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9600" yWindow="-15" windowWidth="5490" windowHeight="7950" tabRatio="670" firstSheet="30" activeTab="42"/>
  </bookViews>
  <sheets>
    <sheet name="Main" sheetId="9" r:id="rId1"/>
    <sheet name="Tecplot Battery" sheetId="46" r:id="rId2"/>
    <sheet name="Tecplot Solar" sheetId="49" r:id="rId3"/>
    <sheet name="Tecplot FuelCell" sheetId="56" r:id="rId4"/>
    <sheet name="Tecplot Hybrid" sheetId="50" r:id="rId5"/>
    <sheet name="Summary" sheetId="51" r:id="rId6"/>
    <sheet name="Graph-Weight" sheetId="44" r:id="rId7"/>
    <sheet name="Takeoff" sheetId="13" r:id="rId8"/>
    <sheet name="RC" sheetId="23" r:id="rId9"/>
    <sheet name="Turn" sheetId="26" r:id="rId10"/>
    <sheet name="Cruise" sheetId="27" r:id="rId11"/>
    <sheet name="Endurance" sheetId="16" r:id="rId12"/>
    <sheet name="Descent" sheetId="42" r:id="rId13"/>
    <sheet name="Airfoil 1" sheetId="11" r:id="rId14"/>
    <sheet name="Airfoil 2" sheetId="30" r:id="rId15"/>
    <sheet name="Airfoil-Takeoff" sheetId="29" r:id="rId16"/>
    <sheet name="Airfoil-RCmax" sheetId="34" r:id="rId17"/>
    <sheet name="Airfoil-RC" sheetId="53" r:id="rId18"/>
    <sheet name="Airfoil-Turn" sheetId="37" r:id="rId19"/>
    <sheet name="Airfoil-Cruise" sheetId="36" r:id="rId20"/>
    <sheet name="Airfoil-Speed" sheetId="58" r:id="rId21"/>
    <sheet name="Airfoil-Descent" sheetId="41" r:id="rId22"/>
    <sheet name="Aerodynamics-Constants" sheetId="32" r:id="rId23"/>
    <sheet name="Aerodynamics-Takeoff" sheetId="1" r:id="rId24"/>
    <sheet name="Aerodynamics-RCmax" sheetId="33" r:id="rId25"/>
    <sheet name="Aerodynamics-RC" sheetId="54" r:id="rId26"/>
    <sheet name="Aerodynamics-Turn" sheetId="38" r:id="rId27"/>
    <sheet name="Aerodynamics-Cruise" sheetId="35" r:id="rId28"/>
    <sheet name="Aerodynamics-Speed" sheetId="59" r:id="rId29"/>
    <sheet name="Aerodynamics-Descent" sheetId="40" r:id="rId30"/>
    <sheet name="Weight" sheetId="2" r:id="rId31"/>
    <sheet name="Stability" sheetId="3" r:id="rId32"/>
    <sheet name="Propulsão" sheetId="8" r:id="rId33"/>
    <sheet name="Desempenho" sheetId="12" r:id="rId34"/>
    <sheet name="PropulsãoCombustão" sheetId="6" r:id="rId35"/>
    <sheet name="Energy" sheetId="20" r:id="rId36"/>
    <sheet name="Systems" sheetId="57" r:id="rId37"/>
    <sheet name="Motor" sheetId="18" r:id="rId38"/>
    <sheet name="Propeller" sheetId="17" r:id="rId39"/>
    <sheet name="Folha1" sheetId="45" r:id="rId40"/>
    <sheet name="Propulsion1" sheetId="21" r:id="rId41"/>
    <sheet name="Propulsion2" sheetId="19" r:id="rId42"/>
    <sheet name="Propulsion-Takeoff" sheetId="22" r:id="rId43"/>
    <sheet name="Propulsion-RCmax" sheetId="24" r:id="rId44"/>
    <sheet name="Propulsion-RC" sheetId="55" r:id="rId45"/>
    <sheet name="Propulsion-Turn" sheetId="25" r:id="rId46"/>
    <sheet name="Propulsion-Cruise" sheetId="28" r:id="rId47"/>
    <sheet name="Propulsion-Speed" sheetId="61" r:id="rId48"/>
    <sheet name="Propulsion-Descent" sheetId="43" r:id="rId49"/>
    <sheet name="ISA" sheetId="4" r:id="rId50"/>
    <sheet name="Sun" sheetId="52" r:id="rId51"/>
  </sheets>
  <externalReferences>
    <externalReference r:id="rId52"/>
  </externalReferences>
  <calcPr calcId="144525" iterate="1"/>
</workbook>
</file>

<file path=xl/calcChain.xml><?xml version="1.0" encoding="utf-8"?>
<calcChain xmlns="http://schemas.openxmlformats.org/spreadsheetml/2006/main">
  <c r="BZ23" i="3" l="1"/>
  <c r="BZ24" i="3" s="1"/>
  <c r="BZ25" i="3" s="1"/>
  <c r="BZ26" i="3" s="1"/>
  <c r="BZ27" i="3" s="1"/>
  <c r="BZ28" i="3" s="1"/>
  <c r="BZ29" i="3" s="1"/>
  <c r="BZ30" i="3" s="1"/>
  <c r="BZ31" i="3" s="1"/>
  <c r="BZ32" i="3" s="1"/>
  <c r="BZ33" i="3" s="1"/>
  <c r="BZ34" i="3" s="1"/>
  <c r="BZ35" i="3" s="1"/>
  <c r="BZ36" i="3" s="1"/>
  <c r="BZ37" i="3" s="1"/>
  <c r="BZ38" i="3" s="1"/>
  <c r="BZ39" i="3" s="1"/>
  <c r="BZ40" i="3" s="1"/>
  <c r="BZ22" i="3"/>
  <c r="BZ21" i="3"/>
  <c r="BP21" i="3"/>
  <c r="BP22" i="3" s="1"/>
  <c r="BP23" i="3" s="1"/>
  <c r="BP24" i="3" s="1"/>
  <c r="BP25" i="3" s="1"/>
  <c r="BP26" i="3" s="1"/>
  <c r="BP27" i="3" s="1"/>
  <c r="BP28" i="3" s="1"/>
  <c r="BP29" i="3" s="1"/>
  <c r="BP30" i="3" s="1"/>
  <c r="BP31" i="3" s="1"/>
  <c r="BP32" i="3" s="1"/>
  <c r="BP33" i="3" s="1"/>
  <c r="BP34" i="3" s="1"/>
  <c r="BP35" i="3" s="1"/>
  <c r="BP36" i="3" s="1"/>
  <c r="BP37" i="3" s="1"/>
  <c r="BP38" i="3" s="1"/>
  <c r="BP39" i="3" s="1"/>
  <c r="BP40" i="3" s="1"/>
  <c r="BF23" i="3"/>
  <c r="BF24" i="3" s="1"/>
  <c r="BF25" i="3" s="1"/>
  <c r="BF26" i="3" s="1"/>
  <c r="BF27" i="3" s="1"/>
  <c r="BF28" i="3" s="1"/>
  <c r="BF29" i="3" s="1"/>
  <c r="BF30" i="3" s="1"/>
  <c r="BF31" i="3" s="1"/>
  <c r="BF32" i="3" s="1"/>
  <c r="BF33" i="3" s="1"/>
  <c r="BF34" i="3" s="1"/>
  <c r="BF35" i="3" s="1"/>
  <c r="BF36" i="3" s="1"/>
  <c r="BF37" i="3" s="1"/>
  <c r="BF38" i="3" s="1"/>
  <c r="BF39" i="3" s="1"/>
  <c r="BF40" i="3" s="1"/>
  <c r="BF22" i="3"/>
  <c r="BE23" i="3"/>
  <c r="BE24" i="3" s="1"/>
  <c r="BE25" i="3" s="1"/>
  <c r="BE26" i="3" s="1"/>
  <c r="BE27" i="3" s="1"/>
  <c r="BE28" i="3" s="1"/>
  <c r="BE29" i="3" s="1"/>
  <c r="BE30" i="3" s="1"/>
  <c r="BE31" i="3" s="1"/>
  <c r="BE32" i="3" s="1"/>
  <c r="BE33" i="3" s="1"/>
  <c r="BE34" i="3" s="1"/>
  <c r="BE35" i="3" s="1"/>
  <c r="BE36" i="3" s="1"/>
  <c r="BE37" i="3" s="1"/>
  <c r="BE38" i="3" s="1"/>
  <c r="BE39" i="3" s="1"/>
  <c r="BE40" i="3" s="1"/>
  <c r="BE22" i="3"/>
  <c r="D19" i="9" l="1"/>
  <c r="D18" i="9"/>
  <c r="F19" i="9"/>
  <c r="F18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22" i="9"/>
  <c r="F22" i="13" l="1"/>
  <c r="F23" i="13"/>
  <c r="F24" i="13"/>
  <c r="F25" i="13"/>
  <c r="F21" i="13"/>
  <c r="C22" i="13"/>
  <c r="C23" i="13"/>
  <c r="C24" i="13"/>
  <c r="C25" i="13"/>
  <c r="C26" i="13"/>
  <c r="AD11" i="3" l="1"/>
  <c r="AB11" i="3"/>
  <c r="B5" i="23" l="1"/>
  <c r="R5" i="4"/>
  <c r="B6" i="13"/>
  <c r="O5" i="4"/>
  <c r="J97" i="11" l="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72" i="11"/>
  <c r="J47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22" i="11"/>
  <c r="L97" i="11"/>
  <c r="B9" i="20" l="1"/>
  <c r="D2" i="52" l="1"/>
  <c r="E2" i="52"/>
  <c r="AI2" i="52"/>
  <c r="D3" i="52"/>
  <c r="D4" i="52"/>
  <c r="D5" i="52"/>
  <c r="D6" i="52"/>
  <c r="D7" i="52"/>
  <c r="D8" i="52"/>
  <c r="D9" i="52"/>
  <c r="D10" i="52"/>
  <c r="D11" i="52"/>
  <c r="D12" i="52"/>
  <c r="D13" i="52"/>
  <c r="D14" i="52"/>
  <c r="D15" i="52"/>
  <c r="D16" i="52"/>
  <c r="D17" i="52"/>
  <c r="D18" i="52"/>
  <c r="D19" i="52"/>
  <c r="D20" i="52"/>
  <c r="D21" i="52"/>
  <c r="D22" i="52"/>
  <c r="D23" i="52"/>
  <c r="D24" i="52"/>
  <c r="D25" i="52"/>
  <c r="D26" i="52"/>
  <c r="D27" i="52"/>
  <c r="D28" i="52"/>
  <c r="D29" i="52"/>
  <c r="D30" i="52"/>
  <c r="D31" i="52"/>
  <c r="D32" i="52"/>
  <c r="D33" i="52"/>
  <c r="D34" i="52"/>
  <c r="D35" i="52"/>
  <c r="D36" i="52"/>
  <c r="D37" i="52"/>
  <c r="D38" i="52"/>
  <c r="D39" i="52"/>
  <c r="D40" i="52"/>
  <c r="D41" i="52"/>
  <c r="D42" i="52"/>
  <c r="D43" i="52"/>
  <c r="D44" i="52"/>
  <c r="D45" i="52"/>
  <c r="D46" i="52"/>
  <c r="D47" i="52"/>
  <c r="D48" i="52"/>
  <c r="D49" i="52"/>
  <c r="D50" i="52"/>
  <c r="D51" i="52"/>
  <c r="D52" i="52"/>
  <c r="D53" i="52"/>
  <c r="D54" i="52"/>
  <c r="D55" i="52"/>
  <c r="D56" i="52"/>
  <c r="D57" i="52"/>
  <c r="D58" i="52"/>
  <c r="D59" i="52"/>
  <c r="D60" i="52"/>
  <c r="D61" i="52"/>
  <c r="D62" i="52"/>
  <c r="D63" i="52"/>
  <c r="D64" i="52"/>
  <c r="D65" i="52"/>
  <c r="D66" i="52"/>
  <c r="D67" i="52"/>
  <c r="D68" i="52"/>
  <c r="D69" i="52"/>
  <c r="D70" i="52"/>
  <c r="D71" i="52"/>
  <c r="D72" i="52"/>
  <c r="D73" i="52"/>
  <c r="D74" i="52"/>
  <c r="D75" i="52"/>
  <c r="D76" i="52"/>
  <c r="D77" i="52"/>
  <c r="D78" i="52"/>
  <c r="D79" i="52"/>
  <c r="D80" i="52"/>
  <c r="D81" i="52"/>
  <c r="D82" i="52"/>
  <c r="D83" i="52"/>
  <c r="D84" i="52"/>
  <c r="D85" i="52"/>
  <c r="D86" i="52"/>
  <c r="D87" i="52"/>
  <c r="D88" i="52"/>
  <c r="D89" i="52"/>
  <c r="D90" i="52"/>
  <c r="D91" i="52"/>
  <c r="D92" i="52"/>
  <c r="D93" i="52"/>
  <c r="D94" i="52"/>
  <c r="D95" i="52"/>
  <c r="D96" i="52"/>
  <c r="D97" i="52"/>
  <c r="D98" i="52"/>
  <c r="D99" i="52"/>
  <c r="D100" i="52"/>
  <c r="D101" i="52"/>
  <c r="D102" i="52"/>
  <c r="D103" i="52"/>
  <c r="D104" i="52"/>
  <c r="D105" i="52"/>
  <c r="D106" i="52"/>
  <c r="D107" i="52"/>
  <c r="D108" i="52"/>
  <c r="D109" i="52"/>
  <c r="D110" i="52"/>
  <c r="D111" i="52"/>
  <c r="D112" i="52"/>
  <c r="D113" i="52"/>
  <c r="D114" i="52"/>
  <c r="D115" i="52"/>
  <c r="D116" i="52"/>
  <c r="D117" i="52"/>
  <c r="D118" i="52"/>
  <c r="D119" i="52"/>
  <c r="D120" i="52"/>
  <c r="D121" i="52"/>
  <c r="D122" i="52"/>
  <c r="D123" i="52"/>
  <c r="D124" i="52"/>
  <c r="D125" i="52"/>
  <c r="D126" i="52"/>
  <c r="D127" i="52"/>
  <c r="D128" i="52"/>
  <c r="D129" i="52"/>
  <c r="D130" i="52"/>
  <c r="D131" i="52"/>
  <c r="D132" i="52"/>
  <c r="D133" i="52"/>
  <c r="D134" i="52"/>
  <c r="D135" i="52"/>
  <c r="D136" i="52"/>
  <c r="D137" i="52"/>
  <c r="D138" i="52"/>
  <c r="D139" i="52"/>
  <c r="D140" i="52"/>
  <c r="D141" i="52"/>
  <c r="D142" i="52"/>
  <c r="D143" i="52"/>
  <c r="D144" i="52"/>
  <c r="D145" i="52"/>
  <c r="D146" i="52"/>
  <c r="D147" i="52"/>
  <c r="D148" i="52"/>
  <c r="D149" i="52"/>
  <c r="D150" i="52"/>
  <c r="D151" i="52"/>
  <c r="D152" i="52"/>
  <c r="D153" i="52"/>
  <c r="D154" i="52"/>
  <c r="D155" i="52"/>
  <c r="D156" i="52"/>
  <c r="D157" i="52"/>
  <c r="D158" i="52"/>
  <c r="D159" i="52"/>
  <c r="D160" i="52"/>
  <c r="D161" i="52"/>
  <c r="D162" i="52"/>
  <c r="D163" i="52"/>
  <c r="D164" i="52"/>
  <c r="D165" i="52"/>
  <c r="D166" i="52"/>
  <c r="D167" i="52"/>
  <c r="D168" i="52"/>
  <c r="D169" i="52"/>
  <c r="D170" i="52"/>
  <c r="D171" i="52"/>
  <c r="D172" i="52"/>
  <c r="D173" i="52"/>
  <c r="D174" i="52"/>
  <c r="D175" i="52"/>
  <c r="D176" i="52"/>
  <c r="D177" i="52"/>
  <c r="D178" i="52"/>
  <c r="D179" i="52"/>
  <c r="D180" i="52"/>
  <c r="D181" i="52"/>
  <c r="D182" i="52"/>
  <c r="D183" i="52"/>
  <c r="D184" i="52"/>
  <c r="D185" i="52"/>
  <c r="D186" i="52"/>
  <c r="D187" i="52"/>
  <c r="D188" i="52"/>
  <c r="D189" i="52"/>
  <c r="D190" i="52"/>
  <c r="D191" i="52"/>
  <c r="D192" i="52"/>
  <c r="D193" i="52"/>
  <c r="D194" i="52"/>
  <c r="D195" i="52"/>
  <c r="D196" i="52"/>
  <c r="D197" i="52"/>
  <c r="D198" i="52"/>
  <c r="D199" i="52"/>
  <c r="D200" i="52"/>
  <c r="D201" i="52"/>
  <c r="D202" i="52"/>
  <c r="D203" i="52"/>
  <c r="D204" i="52"/>
  <c r="D205" i="52"/>
  <c r="D206" i="52"/>
  <c r="D207" i="52"/>
  <c r="D208" i="52"/>
  <c r="D209" i="52"/>
  <c r="D210" i="52"/>
  <c r="D211" i="52"/>
  <c r="D212" i="52"/>
  <c r="D213" i="52"/>
  <c r="D214" i="52"/>
  <c r="D215" i="52"/>
  <c r="D216" i="52"/>
  <c r="D217" i="52"/>
  <c r="D218" i="52"/>
  <c r="D219" i="52"/>
  <c r="D220" i="52"/>
  <c r="D221" i="52"/>
  <c r="D222" i="52"/>
  <c r="D223" i="52"/>
  <c r="D224" i="52"/>
  <c r="D225" i="52"/>
  <c r="D226" i="52"/>
  <c r="D227" i="52"/>
  <c r="D228" i="52"/>
  <c r="D229" i="52"/>
  <c r="D230" i="52"/>
  <c r="D231" i="52"/>
  <c r="D232" i="52"/>
  <c r="D233" i="52"/>
  <c r="D234" i="52"/>
  <c r="D235" i="52"/>
  <c r="D236" i="52"/>
  <c r="D237" i="52"/>
  <c r="D238" i="52"/>
  <c r="D239" i="52"/>
  <c r="D240" i="52"/>
  <c r="D241" i="52"/>
  <c r="O6" i="4"/>
  <c r="E6" i="4"/>
  <c r="E9" i="4" s="1"/>
  <c r="E10" i="4"/>
  <c r="L14" i="4"/>
  <c r="L17" i="4" s="1"/>
  <c r="O14" i="4"/>
  <c r="O17" i="4" s="1"/>
  <c r="R14" i="4"/>
  <c r="R17" i="4"/>
  <c r="C21" i="4"/>
  <c r="D21" i="4" s="1"/>
  <c r="E21" i="4" s="1"/>
  <c r="C22" i="4"/>
  <c r="L22" i="4"/>
  <c r="O22" i="4"/>
  <c r="R22" i="4"/>
  <c r="R23" i="4" s="1"/>
  <c r="R24" i="4" s="1"/>
  <c r="C23" i="4"/>
  <c r="G23" i="4" s="1"/>
  <c r="C23" i="8" s="1"/>
  <c r="C24" i="4"/>
  <c r="C25" i="4"/>
  <c r="G25" i="4"/>
  <c r="C26" i="4"/>
  <c r="C27" i="4"/>
  <c r="C28" i="4"/>
  <c r="D28" i="4" s="1"/>
  <c r="E28" i="4" s="1"/>
  <c r="B28" i="19" s="1"/>
  <c r="C29" i="4"/>
  <c r="D29" i="4" s="1"/>
  <c r="E29" i="4" s="1"/>
  <c r="C30" i="4"/>
  <c r="D30" i="4"/>
  <c r="E30" i="4" s="1"/>
  <c r="C31" i="4"/>
  <c r="F31" i="4" s="1"/>
  <c r="D31" i="4"/>
  <c r="E31" i="4" s="1"/>
  <c r="B31" i="8" s="1"/>
  <c r="C32" i="4"/>
  <c r="G32" i="4" s="1"/>
  <c r="C32" i="8" s="1"/>
  <c r="F32" i="4"/>
  <c r="C33" i="4"/>
  <c r="D33" i="4" s="1"/>
  <c r="E33" i="4" s="1"/>
  <c r="B33" i="8" s="1"/>
  <c r="C34" i="4"/>
  <c r="F34" i="4" s="1"/>
  <c r="D34" i="4"/>
  <c r="E34" i="4" s="1"/>
  <c r="G34" i="4"/>
  <c r="C34" i="8" s="1"/>
  <c r="C35" i="4"/>
  <c r="G35" i="4"/>
  <c r="C35" i="8" s="1"/>
  <c r="C36" i="4"/>
  <c r="G36" i="4" s="1"/>
  <c r="C36" i="8" s="1"/>
  <c r="C37" i="4"/>
  <c r="D37" i="4" s="1"/>
  <c r="E37" i="4" s="1"/>
  <c r="F37" i="4"/>
  <c r="C38" i="4"/>
  <c r="D38" i="4" s="1"/>
  <c r="E38" i="4" s="1"/>
  <c r="C39" i="4"/>
  <c r="C40" i="4"/>
  <c r="D40" i="4" s="1"/>
  <c r="E40" i="4" s="1"/>
  <c r="E22" i="21"/>
  <c r="E23" i="21"/>
  <c r="E24" i="21" s="1"/>
  <c r="E25" i="21" s="1"/>
  <c r="E26" i="21" s="1"/>
  <c r="E27" i="21" s="1"/>
  <c r="E28" i="21" s="1"/>
  <c r="E29" i="21" s="1"/>
  <c r="E30" i="21" s="1"/>
  <c r="E31" i="21" s="1"/>
  <c r="E32" i="21" s="1"/>
  <c r="E33" i="21" s="1"/>
  <c r="E34" i="21" s="1"/>
  <c r="E35" i="21" s="1"/>
  <c r="E36" i="21" s="1"/>
  <c r="E37" i="21" s="1"/>
  <c r="E38" i="21" s="1"/>
  <c r="E39" i="21" s="1"/>
  <c r="E41" i="21"/>
  <c r="V18" i="45"/>
  <c r="W18" i="45"/>
  <c r="V19" i="45"/>
  <c r="W19" i="45"/>
  <c r="V20" i="45"/>
  <c r="W20" i="45"/>
  <c r="V21" i="45"/>
  <c r="W21" i="45"/>
  <c r="V22" i="45"/>
  <c r="W22" i="45"/>
  <c r="V23" i="45"/>
  <c r="W23" i="45"/>
  <c r="V24" i="45"/>
  <c r="W24" i="45"/>
  <c r="V25" i="45"/>
  <c r="W25" i="45"/>
  <c r="V26" i="45"/>
  <c r="W26" i="45"/>
  <c r="V27" i="45"/>
  <c r="W27" i="45"/>
  <c r="V28" i="45"/>
  <c r="W28" i="45"/>
  <c r="V29" i="45"/>
  <c r="W29" i="45"/>
  <c r="V30" i="45"/>
  <c r="W30" i="45"/>
  <c r="V31" i="45"/>
  <c r="W31" i="45"/>
  <c r="V32" i="45"/>
  <c r="W32" i="45"/>
  <c r="V33" i="45"/>
  <c r="W33" i="45"/>
  <c r="V34" i="45"/>
  <c r="W34" i="45"/>
  <c r="V35" i="45"/>
  <c r="W35" i="45"/>
  <c r="V36" i="45"/>
  <c r="W36" i="45"/>
  <c r="V37" i="45"/>
  <c r="W37" i="45"/>
  <c r="V38" i="45"/>
  <c r="W38" i="45"/>
  <c r="V39" i="45"/>
  <c r="W39" i="45"/>
  <c r="V40" i="45"/>
  <c r="W40" i="45"/>
  <c r="V41" i="45"/>
  <c r="W41" i="45"/>
  <c r="V42" i="45"/>
  <c r="W42" i="45"/>
  <c r="V43" i="45"/>
  <c r="W43" i="45"/>
  <c r="V44" i="45"/>
  <c r="W44" i="45"/>
  <c r="V45" i="45"/>
  <c r="W45" i="45"/>
  <c r="V46" i="45"/>
  <c r="W46" i="45"/>
  <c r="V47" i="45"/>
  <c r="W47" i="45"/>
  <c r="V48" i="45"/>
  <c r="W48" i="45"/>
  <c r="B8" i="17"/>
  <c r="D40" i="21" s="1"/>
  <c r="M9" i="17"/>
  <c r="B10" i="17"/>
  <c r="M10" i="17"/>
  <c r="B11" i="17"/>
  <c r="M11" i="17"/>
  <c r="M12" i="17"/>
  <c r="B13" i="17"/>
  <c r="M13" i="17"/>
  <c r="M14" i="17"/>
  <c r="M15" i="17"/>
  <c r="M16" i="17"/>
  <c r="M17" i="17"/>
  <c r="M18" i="17"/>
  <c r="M19" i="17"/>
  <c r="H7" i="18"/>
  <c r="B11" i="18"/>
  <c r="B6" i="57"/>
  <c r="E6" i="57"/>
  <c r="H6" i="57"/>
  <c r="K6" i="57"/>
  <c r="N6" i="57"/>
  <c r="Q6" i="57"/>
  <c r="T6" i="57"/>
  <c r="T12" i="57" s="1"/>
  <c r="B7" i="57"/>
  <c r="N7" i="57"/>
  <c r="N13" i="57" s="1"/>
  <c r="Q7" i="57"/>
  <c r="T7" i="57"/>
  <c r="T13" i="57" s="1"/>
  <c r="K8" i="57"/>
  <c r="B9" i="57"/>
  <c r="K10" i="57"/>
  <c r="K12" i="57" s="1"/>
  <c r="N12" i="57"/>
  <c r="Q12" i="57"/>
  <c r="K13" i="57"/>
  <c r="Q13" i="57"/>
  <c r="B32" i="57" s="1"/>
  <c r="B21" i="57"/>
  <c r="B40" i="57"/>
  <c r="B6" i="20"/>
  <c r="AC6" i="20"/>
  <c r="B7" i="20"/>
  <c r="Q7" i="20"/>
  <c r="T7" i="20"/>
  <c r="Z7" i="20"/>
  <c r="AC7" i="20"/>
  <c r="AF7" i="20"/>
  <c r="Q8" i="20"/>
  <c r="T8" i="20"/>
  <c r="Z9" i="20"/>
  <c r="Z10" i="20"/>
  <c r="T11" i="20"/>
  <c r="T12" i="20"/>
  <c r="B13" i="20"/>
  <c r="T13" i="20"/>
  <c r="BR21" i="20"/>
  <c r="BS21" i="20"/>
  <c r="BT21" i="20" s="1"/>
  <c r="BU21" i="20"/>
  <c r="BV21" i="20"/>
  <c r="BW21" i="20"/>
  <c r="CH21" i="20"/>
  <c r="CI21" i="20"/>
  <c r="CJ21" i="20" s="1"/>
  <c r="CK21" i="20"/>
  <c r="CL21" i="20"/>
  <c r="CM21" i="20"/>
  <c r="BR22" i="20"/>
  <c r="BS22" i="20"/>
  <c r="BT22" i="20"/>
  <c r="BU22" i="20"/>
  <c r="BV22" i="20"/>
  <c r="BW22" i="20"/>
  <c r="CH22" i="20"/>
  <c r="CI22" i="20"/>
  <c r="CJ22" i="20" s="1"/>
  <c r="CK22" i="20"/>
  <c r="CL22" i="20"/>
  <c r="CM22" i="20"/>
  <c r="BR23" i="20"/>
  <c r="BS23" i="20"/>
  <c r="BT23" i="20" s="1"/>
  <c r="BU23" i="20"/>
  <c r="BV23" i="20"/>
  <c r="BW23" i="20"/>
  <c r="CH23" i="20"/>
  <c r="CI23" i="20"/>
  <c r="CJ23" i="20" s="1"/>
  <c r="CK23" i="20"/>
  <c r="CL23" i="20"/>
  <c r="CM23" i="20"/>
  <c r="BR24" i="20"/>
  <c r="BS24" i="20"/>
  <c r="BT24" i="20" s="1"/>
  <c r="BU24" i="20"/>
  <c r="BV24" i="20"/>
  <c r="BW24" i="20"/>
  <c r="CH24" i="20"/>
  <c r="CI24" i="20"/>
  <c r="CJ24" i="20" s="1"/>
  <c r="CK24" i="20"/>
  <c r="CL24" i="20"/>
  <c r="CM24" i="20"/>
  <c r="BR25" i="20"/>
  <c r="BS25" i="20"/>
  <c r="BT25" i="20" s="1"/>
  <c r="BU25" i="20"/>
  <c r="BV25" i="20"/>
  <c r="BW25" i="20"/>
  <c r="CH25" i="20"/>
  <c r="CI25" i="20"/>
  <c r="CJ25" i="20" s="1"/>
  <c r="CK25" i="20"/>
  <c r="CL25" i="20"/>
  <c r="CM25" i="20"/>
  <c r="AF26" i="20"/>
  <c r="BR26" i="20"/>
  <c r="BS26" i="20"/>
  <c r="BT26" i="20" s="1"/>
  <c r="BU26" i="20"/>
  <c r="BV26" i="20"/>
  <c r="BW26" i="20"/>
  <c r="CH26" i="20"/>
  <c r="CI26" i="20"/>
  <c r="CJ26" i="20" s="1"/>
  <c r="CK26" i="20"/>
  <c r="CL26" i="20"/>
  <c r="CM26" i="20"/>
  <c r="BR27" i="20"/>
  <c r="BS27" i="20"/>
  <c r="BT27" i="20" s="1"/>
  <c r="BU27" i="20"/>
  <c r="BV27" i="20"/>
  <c r="BW27" i="20"/>
  <c r="CH27" i="20"/>
  <c r="CI27" i="20"/>
  <c r="CJ27" i="20"/>
  <c r="CK27" i="20"/>
  <c r="CL27" i="20"/>
  <c r="CM27" i="20"/>
  <c r="BR28" i="20"/>
  <c r="BS28" i="20"/>
  <c r="BT28" i="20" s="1"/>
  <c r="BU28" i="20"/>
  <c r="BV28" i="20"/>
  <c r="BW28" i="20"/>
  <c r="CH28" i="20"/>
  <c r="CI28" i="20"/>
  <c r="CJ28" i="20" s="1"/>
  <c r="CK28" i="20"/>
  <c r="CL28" i="20"/>
  <c r="CM28" i="20"/>
  <c r="BR29" i="20"/>
  <c r="BS29" i="20"/>
  <c r="BT29" i="20"/>
  <c r="BU29" i="20"/>
  <c r="BV29" i="20"/>
  <c r="BW29" i="20"/>
  <c r="CH29" i="20"/>
  <c r="CI29" i="20"/>
  <c r="CJ29" i="20" s="1"/>
  <c r="CK29" i="20"/>
  <c r="CL29" i="20"/>
  <c r="CM29" i="20"/>
  <c r="BR30" i="20"/>
  <c r="BS30" i="20"/>
  <c r="BT30" i="20" s="1"/>
  <c r="BU30" i="20"/>
  <c r="BV30" i="20"/>
  <c r="BW30" i="20"/>
  <c r="CH30" i="20"/>
  <c r="CI30" i="20"/>
  <c r="CJ30" i="20" s="1"/>
  <c r="CK30" i="20"/>
  <c r="CL30" i="20"/>
  <c r="CM30" i="20"/>
  <c r="AF31" i="20"/>
  <c r="BR31" i="20"/>
  <c r="BS31" i="20"/>
  <c r="BT31" i="20" s="1"/>
  <c r="BU31" i="20"/>
  <c r="BV31" i="20"/>
  <c r="BW31" i="20"/>
  <c r="CH31" i="20"/>
  <c r="CI31" i="20"/>
  <c r="CJ31" i="20" s="1"/>
  <c r="CK31" i="20"/>
  <c r="CL31" i="20"/>
  <c r="CM31" i="20"/>
  <c r="BR32" i="20"/>
  <c r="BS32" i="20"/>
  <c r="BT32" i="20" s="1"/>
  <c r="BU32" i="20"/>
  <c r="BV32" i="20"/>
  <c r="BW32" i="20"/>
  <c r="CH32" i="20"/>
  <c r="CI32" i="20"/>
  <c r="CJ32" i="20" s="1"/>
  <c r="CK32" i="20"/>
  <c r="CL32" i="20"/>
  <c r="CM32" i="20"/>
  <c r="BR33" i="20"/>
  <c r="BS33" i="20"/>
  <c r="BT33" i="20" s="1"/>
  <c r="BU33" i="20"/>
  <c r="BV33" i="20"/>
  <c r="BW33" i="20"/>
  <c r="CH33" i="20"/>
  <c r="CI33" i="20"/>
  <c r="CJ33" i="20" s="1"/>
  <c r="CK33" i="20"/>
  <c r="CL33" i="20"/>
  <c r="CM33" i="20"/>
  <c r="AF34" i="20"/>
  <c r="BR34" i="20"/>
  <c r="BS34" i="20"/>
  <c r="BT34" i="20"/>
  <c r="BU34" i="20"/>
  <c r="BV34" i="20"/>
  <c r="BW34" i="20"/>
  <c r="CH34" i="20"/>
  <c r="CI34" i="20"/>
  <c r="CJ34" i="20" s="1"/>
  <c r="CK34" i="20"/>
  <c r="CL34" i="20"/>
  <c r="CM34" i="20"/>
  <c r="BR35" i="20"/>
  <c r="BS35" i="20"/>
  <c r="BT35" i="20" s="1"/>
  <c r="BU35" i="20"/>
  <c r="BV35" i="20"/>
  <c r="BW35" i="20"/>
  <c r="CH35" i="20"/>
  <c r="CI35" i="20"/>
  <c r="CJ35" i="20" s="1"/>
  <c r="CK35" i="20"/>
  <c r="CL35" i="20"/>
  <c r="CM35" i="20"/>
  <c r="AF36" i="20"/>
  <c r="BR36" i="20"/>
  <c r="BS36" i="20"/>
  <c r="BT36" i="20" s="1"/>
  <c r="BU36" i="20"/>
  <c r="BV36" i="20"/>
  <c r="BW36" i="20"/>
  <c r="CH36" i="20"/>
  <c r="CI36" i="20"/>
  <c r="CJ36" i="20" s="1"/>
  <c r="CK36" i="20"/>
  <c r="CL36" i="20"/>
  <c r="CM36" i="20"/>
  <c r="BR37" i="20"/>
  <c r="BS37" i="20"/>
  <c r="BT37" i="20" s="1"/>
  <c r="BU37" i="20"/>
  <c r="BV37" i="20"/>
  <c r="BW37" i="20"/>
  <c r="CH37" i="20"/>
  <c r="CI37" i="20"/>
  <c r="CJ37" i="20" s="1"/>
  <c r="CK37" i="20"/>
  <c r="CL37" i="20"/>
  <c r="CM37" i="20"/>
  <c r="BR38" i="20"/>
  <c r="BS38" i="20"/>
  <c r="BT38" i="20" s="1"/>
  <c r="BU38" i="20"/>
  <c r="BV38" i="20"/>
  <c r="BW38" i="20"/>
  <c r="CH38" i="20"/>
  <c r="CI38" i="20"/>
  <c r="CJ38" i="20" s="1"/>
  <c r="CK38" i="20"/>
  <c r="CL38" i="20"/>
  <c r="CM38" i="20"/>
  <c r="BR39" i="20"/>
  <c r="BS39" i="20"/>
  <c r="BT39" i="20" s="1"/>
  <c r="BU39" i="20"/>
  <c r="BV39" i="20"/>
  <c r="BW39" i="20"/>
  <c r="CH39" i="20"/>
  <c r="CI39" i="20"/>
  <c r="CJ39" i="20" s="1"/>
  <c r="CK39" i="20"/>
  <c r="CL39" i="20"/>
  <c r="CM39" i="20"/>
  <c r="BR40" i="20"/>
  <c r="BS40" i="20"/>
  <c r="BT40" i="20" s="1"/>
  <c r="BU40" i="20"/>
  <c r="BV40" i="20"/>
  <c r="BW40" i="20"/>
  <c r="CH40" i="20"/>
  <c r="CI40" i="20"/>
  <c r="CJ40" i="20" s="1"/>
  <c r="CK40" i="20"/>
  <c r="CL40" i="20"/>
  <c r="CM40" i="20"/>
  <c r="AA6" i="6"/>
  <c r="AA7" i="6" s="1"/>
  <c r="AC51" i="6" s="1"/>
  <c r="B8" i="6"/>
  <c r="D25" i="6" s="1"/>
  <c r="AA8" i="6"/>
  <c r="AA9" i="6" s="1"/>
  <c r="B10" i="6"/>
  <c r="K10" i="6"/>
  <c r="K11" i="6"/>
  <c r="K12" i="6"/>
  <c r="D21" i="6"/>
  <c r="D22" i="6"/>
  <c r="D23" i="6"/>
  <c r="D24" i="6"/>
  <c r="D27" i="6"/>
  <c r="D29" i="6"/>
  <c r="D30" i="6"/>
  <c r="D31" i="6"/>
  <c r="D32" i="6"/>
  <c r="D35" i="6"/>
  <c r="D37" i="6"/>
  <c r="D38" i="6"/>
  <c r="D39" i="6"/>
  <c r="D40" i="6"/>
  <c r="AC50" i="6"/>
  <c r="AC54" i="6"/>
  <c r="G6" i="12"/>
  <c r="M6" i="12"/>
  <c r="M7" i="12"/>
  <c r="G8" i="12"/>
  <c r="M8" i="12"/>
  <c r="G9" i="12"/>
  <c r="Q23" i="12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/>
  <c r="Q22" i="12" s="1"/>
  <c r="D6" i="8"/>
  <c r="J6" i="8"/>
  <c r="D7" i="8"/>
  <c r="J7" i="8"/>
  <c r="J8" i="8" s="1"/>
  <c r="W18" i="8"/>
  <c r="W19" i="8"/>
  <c r="V21" i="8"/>
  <c r="V22" i="8"/>
  <c r="V23" i="8"/>
  <c r="V24" i="8"/>
  <c r="C25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J6" i="3"/>
  <c r="BW22" i="3"/>
  <c r="BW23" i="3" s="1"/>
  <c r="BW24" i="3" s="1"/>
  <c r="BW25" i="3" s="1"/>
  <c r="BW26" i="3" s="1"/>
  <c r="BW27" i="3" s="1"/>
  <c r="BW28" i="3" s="1"/>
  <c r="BW29" i="3" s="1"/>
  <c r="BW30" i="3" s="1"/>
  <c r="BW31" i="3" s="1"/>
  <c r="BW32" i="3" s="1"/>
  <c r="BW33" i="3" s="1"/>
  <c r="BW34" i="3" s="1"/>
  <c r="BW35" i="3" s="1"/>
  <c r="BW36" i="3" s="1"/>
  <c r="BW37" i="3" s="1"/>
  <c r="BW38" i="3" s="1"/>
  <c r="BW39" i="3" s="1"/>
  <c r="BW40" i="3" s="1"/>
  <c r="CB22" i="3"/>
  <c r="CB23" i="3" s="1"/>
  <c r="CB24" i="3" s="1"/>
  <c r="CB25" i="3" s="1"/>
  <c r="CB26" i="3" s="1"/>
  <c r="CB27" i="3" s="1"/>
  <c r="CB28" i="3" s="1"/>
  <c r="CB29" i="3" s="1"/>
  <c r="CB30" i="3" s="1"/>
  <c r="CB31" i="3" s="1"/>
  <c r="CB32" i="3" s="1"/>
  <c r="CB33" i="3" s="1"/>
  <c r="CB34" i="3" s="1"/>
  <c r="CB35" i="3" s="1"/>
  <c r="CB36" i="3" s="1"/>
  <c r="CB37" i="3" s="1"/>
  <c r="CB38" i="3" s="1"/>
  <c r="CB39" i="3" s="1"/>
  <c r="CB40" i="3" s="1"/>
  <c r="M6" i="2"/>
  <c r="G7" i="2"/>
  <c r="M7" i="2"/>
  <c r="M8" i="2"/>
  <c r="R9" i="2"/>
  <c r="G10" i="2"/>
  <c r="R1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B6" i="40"/>
  <c r="B6" i="59"/>
  <c r="B6" i="35"/>
  <c r="B6" i="38"/>
  <c r="B6" i="54"/>
  <c r="B6" i="33"/>
  <c r="B7" i="32"/>
  <c r="O21" i="32"/>
  <c r="P21" i="32"/>
  <c r="AI21" i="32"/>
  <c r="AS21" i="32"/>
  <c r="AU21" i="32"/>
  <c r="AU22" i="32" s="1"/>
  <c r="AU23" i="32" s="1"/>
  <c r="AU24" i="32" s="1"/>
  <c r="AU25" i="32" s="1"/>
  <c r="AU26" i="32" s="1"/>
  <c r="AU27" i="32" s="1"/>
  <c r="AU28" i="32" s="1"/>
  <c r="AU29" i="32" s="1"/>
  <c r="AU30" i="32" s="1"/>
  <c r="AU31" i="32" s="1"/>
  <c r="AU32" i="32" s="1"/>
  <c r="AU33" i="32" s="1"/>
  <c r="AU34" i="32" s="1"/>
  <c r="AU35" i="32" s="1"/>
  <c r="AU36" i="32" s="1"/>
  <c r="AU37" i="32" s="1"/>
  <c r="AU38" i="32" s="1"/>
  <c r="AU39" i="32" s="1"/>
  <c r="AU40" i="32" s="1"/>
  <c r="K22" i="32"/>
  <c r="K23" i="32" s="1"/>
  <c r="K24" i="32" s="1"/>
  <c r="M22" i="32"/>
  <c r="M23" i="32" s="1"/>
  <c r="O22" i="32"/>
  <c r="P22" i="32"/>
  <c r="U22" i="32"/>
  <c r="U23" i="32" s="1"/>
  <c r="U24" i="32" s="1"/>
  <c r="U25" i="32" s="1"/>
  <c r="U26" i="32" s="1"/>
  <c r="U27" i="32" s="1"/>
  <c r="U28" i="32" s="1"/>
  <c r="U29" i="32" s="1"/>
  <c r="U30" i="32" s="1"/>
  <c r="U31" i="32" s="1"/>
  <c r="U32" i="32" s="1"/>
  <c r="U33" i="32" s="1"/>
  <c r="U34" i="32" s="1"/>
  <c r="U35" i="32" s="1"/>
  <c r="U36" i="32" s="1"/>
  <c r="U37" i="32" s="1"/>
  <c r="U38" i="32" s="1"/>
  <c r="U39" i="32" s="1"/>
  <c r="U40" i="32" s="1"/>
  <c r="X22" i="32"/>
  <c r="Y22" i="32"/>
  <c r="Y23" i="32" s="1"/>
  <c r="AF22" i="32"/>
  <c r="AH22" i="32"/>
  <c r="AH23" i="32" s="1"/>
  <c r="AI23" i="32" s="1"/>
  <c r="AJ22" i="32"/>
  <c r="AJ23" i="32" s="1"/>
  <c r="AJ24" i="32" s="1"/>
  <c r="AJ25" i="32" s="1"/>
  <c r="AJ26" i="32" s="1"/>
  <c r="AJ27" i="32" s="1"/>
  <c r="AJ28" i="32" s="1"/>
  <c r="AJ29" i="32" s="1"/>
  <c r="AJ30" i="32" s="1"/>
  <c r="AJ31" i="32" s="1"/>
  <c r="AJ32" i="32" s="1"/>
  <c r="AJ33" i="32" s="1"/>
  <c r="AJ34" i="32" s="1"/>
  <c r="AJ35" i="32" s="1"/>
  <c r="AJ36" i="32" s="1"/>
  <c r="AJ37" i="32" s="1"/>
  <c r="AJ38" i="32" s="1"/>
  <c r="AJ39" i="32" s="1"/>
  <c r="AJ40" i="32" s="1"/>
  <c r="AP22" i="32"/>
  <c r="AR22" i="32"/>
  <c r="AS22" i="32" s="1"/>
  <c r="AT22" i="32"/>
  <c r="AT23" i="32" s="1"/>
  <c r="AT24" i="32" s="1"/>
  <c r="AT25" i="32" s="1"/>
  <c r="AT26" i="32" s="1"/>
  <c r="AT27" i="32" s="1"/>
  <c r="AT28" i="32" s="1"/>
  <c r="AT29" i="32" s="1"/>
  <c r="AT30" i="32" s="1"/>
  <c r="AT31" i="32" s="1"/>
  <c r="AT32" i="32" s="1"/>
  <c r="AT33" i="32" s="1"/>
  <c r="AT34" i="32" s="1"/>
  <c r="AT35" i="32" s="1"/>
  <c r="AT36" i="32" s="1"/>
  <c r="AT37" i="32" s="1"/>
  <c r="AT38" i="32" s="1"/>
  <c r="AT39" i="32" s="1"/>
  <c r="AT40" i="32" s="1"/>
  <c r="O23" i="32"/>
  <c r="P23" i="32"/>
  <c r="X23" i="32"/>
  <c r="AF23" i="32"/>
  <c r="AF24" i="32" s="1"/>
  <c r="AF25" i="32" s="1"/>
  <c r="AF26" i="32" s="1"/>
  <c r="AF27" i="32" s="1"/>
  <c r="AF28" i="32" s="1"/>
  <c r="AF29" i="32" s="1"/>
  <c r="AF30" i="32" s="1"/>
  <c r="AF31" i="32" s="1"/>
  <c r="AF32" i="32" s="1"/>
  <c r="AF33" i="32" s="1"/>
  <c r="AF34" i="32" s="1"/>
  <c r="AF35" i="32" s="1"/>
  <c r="AF36" i="32" s="1"/>
  <c r="AF37" i="32" s="1"/>
  <c r="AF38" i="32" s="1"/>
  <c r="AF39" i="32" s="1"/>
  <c r="AF40" i="32" s="1"/>
  <c r="AP23" i="32"/>
  <c r="AP24" i="32" s="1"/>
  <c r="AP25" i="32" s="1"/>
  <c r="AP26" i="32" s="1"/>
  <c r="AP27" i="32" s="1"/>
  <c r="AP28" i="32" s="1"/>
  <c r="AP29" i="32" s="1"/>
  <c r="AP30" i="32" s="1"/>
  <c r="AP31" i="32" s="1"/>
  <c r="AP32" i="32" s="1"/>
  <c r="AP33" i="32" s="1"/>
  <c r="AP34" i="32" s="1"/>
  <c r="AP35" i="32" s="1"/>
  <c r="AP36" i="32" s="1"/>
  <c r="AP37" i="32" s="1"/>
  <c r="AP38" i="32" s="1"/>
  <c r="AP39" i="32" s="1"/>
  <c r="AP40" i="32" s="1"/>
  <c r="M24" i="32"/>
  <c r="M25" i="32" s="1"/>
  <c r="M26" i="32" s="1"/>
  <c r="O24" i="32"/>
  <c r="P24" i="32"/>
  <c r="X24" i="32"/>
  <c r="X25" i="32" s="1"/>
  <c r="X26" i="32" s="1"/>
  <c r="X27" i="32" s="1"/>
  <c r="X28" i="32" s="1"/>
  <c r="X29" i="32" s="1"/>
  <c r="X30" i="32" s="1"/>
  <c r="X31" i="32" s="1"/>
  <c r="X32" i="32" s="1"/>
  <c r="X33" i="32" s="1"/>
  <c r="X34" i="32" s="1"/>
  <c r="X35" i="32" s="1"/>
  <c r="X36" i="32" s="1"/>
  <c r="X37" i="32" s="1"/>
  <c r="X38" i="32" s="1"/>
  <c r="X39" i="32" s="1"/>
  <c r="X40" i="32" s="1"/>
  <c r="K25" i="32"/>
  <c r="K26" i="32" s="1"/>
  <c r="K27" i="32" s="1"/>
  <c r="K28" i="32" s="1"/>
  <c r="K29" i="32" s="1"/>
  <c r="K30" i="32" s="1"/>
  <c r="K31" i="32" s="1"/>
  <c r="K32" i="32" s="1"/>
  <c r="K33" i="32" s="1"/>
  <c r="K34" i="32" s="1"/>
  <c r="K35" i="32" s="1"/>
  <c r="K36" i="32" s="1"/>
  <c r="K37" i="32" s="1"/>
  <c r="K38" i="32" s="1"/>
  <c r="K39" i="32" s="1"/>
  <c r="K40" i="32" s="1"/>
  <c r="O25" i="32"/>
  <c r="P25" i="32"/>
  <c r="O26" i="32"/>
  <c r="P26" i="32"/>
  <c r="M27" i="32"/>
  <c r="M28" i="32" s="1"/>
  <c r="M29" i="32" s="1"/>
  <c r="M30" i="32" s="1"/>
  <c r="M31" i="32" s="1"/>
  <c r="M32" i="32" s="1"/>
  <c r="M33" i="32" s="1"/>
  <c r="M34" i="32" s="1"/>
  <c r="M35" i="32" s="1"/>
  <c r="M36" i="32" s="1"/>
  <c r="M37" i="32" s="1"/>
  <c r="M38" i="32" s="1"/>
  <c r="M39" i="32" s="1"/>
  <c r="M40" i="32" s="1"/>
  <c r="O27" i="32"/>
  <c r="P27" i="32"/>
  <c r="O28" i="32"/>
  <c r="P28" i="32"/>
  <c r="O29" i="32"/>
  <c r="P29" i="32"/>
  <c r="O30" i="32"/>
  <c r="P30" i="32"/>
  <c r="O31" i="32"/>
  <c r="Q31" i="32" s="1"/>
  <c r="T31" i="32" s="1"/>
  <c r="P31" i="32"/>
  <c r="O32" i="32"/>
  <c r="P32" i="32"/>
  <c r="O33" i="32"/>
  <c r="P33" i="32"/>
  <c r="O34" i="32"/>
  <c r="P34" i="32"/>
  <c r="O35" i="32"/>
  <c r="P35" i="32"/>
  <c r="O36" i="32"/>
  <c r="P36" i="32"/>
  <c r="O37" i="32"/>
  <c r="P37" i="32"/>
  <c r="O38" i="32"/>
  <c r="P38" i="32"/>
  <c r="O39" i="32"/>
  <c r="P39" i="32"/>
  <c r="O40" i="32"/>
  <c r="P40" i="32"/>
  <c r="P21" i="41"/>
  <c r="R21" i="41"/>
  <c r="Z21" i="41"/>
  <c r="AB21" i="41"/>
  <c r="P22" i="41"/>
  <c r="R22" i="41"/>
  <c r="Z22" i="41"/>
  <c r="AB22" i="41"/>
  <c r="P23" i="41"/>
  <c r="R23" i="41"/>
  <c r="Z23" i="41"/>
  <c r="AB23" i="41"/>
  <c r="P24" i="41"/>
  <c r="R24" i="41"/>
  <c r="Z24" i="41"/>
  <c r="AB24" i="41"/>
  <c r="P25" i="41"/>
  <c r="R25" i="41"/>
  <c r="Z25" i="41"/>
  <c r="AB25" i="41"/>
  <c r="P26" i="41"/>
  <c r="R26" i="41"/>
  <c r="Z26" i="41"/>
  <c r="AB26" i="41"/>
  <c r="P27" i="41"/>
  <c r="R27" i="41"/>
  <c r="Z27" i="41"/>
  <c r="AB27" i="41"/>
  <c r="P28" i="41"/>
  <c r="R28" i="41"/>
  <c r="Z28" i="41"/>
  <c r="AB28" i="41"/>
  <c r="P29" i="41"/>
  <c r="R29" i="41"/>
  <c r="Z29" i="41"/>
  <c r="AB29" i="41"/>
  <c r="P30" i="41"/>
  <c r="R30" i="41"/>
  <c r="Z30" i="41"/>
  <c r="AB30" i="41"/>
  <c r="P31" i="41"/>
  <c r="R31" i="41"/>
  <c r="Z31" i="41"/>
  <c r="AB31" i="41"/>
  <c r="P32" i="41"/>
  <c r="R32" i="41"/>
  <c r="Z32" i="41"/>
  <c r="AB32" i="41"/>
  <c r="P33" i="41"/>
  <c r="R33" i="41"/>
  <c r="Z33" i="41"/>
  <c r="AB33" i="41"/>
  <c r="P34" i="41"/>
  <c r="R34" i="41"/>
  <c r="Z34" i="41"/>
  <c r="AB34" i="41"/>
  <c r="P35" i="41"/>
  <c r="R35" i="41"/>
  <c r="Z35" i="41"/>
  <c r="AB35" i="41"/>
  <c r="P36" i="41"/>
  <c r="R36" i="41"/>
  <c r="Z36" i="41"/>
  <c r="AB36" i="41"/>
  <c r="P37" i="41"/>
  <c r="R37" i="41"/>
  <c r="Z37" i="41"/>
  <c r="AB37" i="41"/>
  <c r="P38" i="41"/>
  <c r="R38" i="41"/>
  <c r="Z38" i="41"/>
  <c r="AB38" i="41"/>
  <c r="P39" i="41"/>
  <c r="R39" i="41"/>
  <c r="Z39" i="41"/>
  <c r="AB39" i="41"/>
  <c r="P40" i="41"/>
  <c r="R40" i="41"/>
  <c r="Z40" i="41"/>
  <c r="AB40" i="41"/>
  <c r="P21" i="58"/>
  <c r="R21" i="58"/>
  <c r="Z21" i="58"/>
  <c r="AB21" i="58"/>
  <c r="P22" i="58"/>
  <c r="R22" i="58"/>
  <c r="Z22" i="58"/>
  <c r="AB22" i="58"/>
  <c r="P23" i="58"/>
  <c r="R23" i="58"/>
  <c r="Z23" i="58"/>
  <c r="AB23" i="58"/>
  <c r="P24" i="58"/>
  <c r="R24" i="58"/>
  <c r="Z24" i="58"/>
  <c r="AB24" i="58"/>
  <c r="P25" i="58"/>
  <c r="R25" i="58"/>
  <c r="Z25" i="58"/>
  <c r="AB25" i="58"/>
  <c r="P26" i="58"/>
  <c r="R26" i="58"/>
  <c r="Z26" i="58"/>
  <c r="AB26" i="58"/>
  <c r="P27" i="58"/>
  <c r="R27" i="58"/>
  <c r="Z27" i="58"/>
  <c r="AB27" i="58"/>
  <c r="P28" i="58"/>
  <c r="R28" i="58"/>
  <c r="Z28" i="58"/>
  <c r="AB28" i="58"/>
  <c r="P29" i="58"/>
  <c r="R29" i="58"/>
  <c r="Z29" i="58"/>
  <c r="AB29" i="58"/>
  <c r="P30" i="58"/>
  <c r="R30" i="58"/>
  <c r="Z30" i="58"/>
  <c r="AB30" i="58"/>
  <c r="P31" i="58"/>
  <c r="R31" i="58"/>
  <c r="Z31" i="58"/>
  <c r="AB31" i="58"/>
  <c r="P32" i="58"/>
  <c r="R32" i="58"/>
  <c r="Z32" i="58"/>
  <c r="AB32" i="58"/>
  <c r="P33" i="58"/>
  <c r="R33" i="58"/>
  <c r="Z33" i="58"/>
  <c r="AB33" i="58"/>
  <c r="P34" i="58"/>
  <c r="R34" i="58"/>
  <c r="Z34" i="58"/>
  <c r="AB34" i="58"/>
  <c r="P35" i="58"/>
  <c r="R35" i="58"/>
  <c r="Z35" i="58"/>
  <c r="AB35" i="58"/>
  <c r="P36" i="58"/>
  <c r="R36" i="58"/>
  <c r="Z36" i="58"/>
  <c r="AB36" i="58"/>
  <c r="P37" i="58"/>
  <c r="R37" i="58"/>
  <c r="Z37" i="58"/>
  <c r="AB37" i="58"/>
  <c r="P38" i="58"/>
  <c r="R38" i="58"/>
  <c r="Z38" i="58"/>
  <c r="AB38" i="58"/>
  <c r="P39" i="58"/>
  <c r="R39" i="58"/>
  <c r="Z39" i="58"/>
  <c r="AB39" i="58"/>
  <c r="P40" i="58"/>
  <c r="R40" i="58"/>
  <c r="Z40" i="58"/>
  <c r="AB40" i="58"/>
  <c r="P21" i="36"/>
  <c r="R21" i="36"/>
  <c r="Z21" i="36"/>
  <c r="AB21" i="36"/>
  <c r="P22" i="36"/>
  <c r="R22" i="36"/>
  <c r="Z22" i="36"/>
  <c r="AB22" i="36"/>
  <c r="P23" i="36"/>
  <c r="R23" i="36"/>
  <c r="Z23" i="36"/>
  <c r="AB23" i="36"/>
  <c r="P24" i="36"/>
  <c r="R24" i="36"/>
  <c r="Z24" i="36"/>
  <c r="AB24" i="36"/>
  <c r="P25" i="36"/>
  <c r="R25" i="36"/>
  <c r="Z25" i="36"/>
  <c r="AB25" i="36"/>
  <c r="P26" i="36"/>
  <c r="R26" i="36"/>
  <c r="Z26" i="36"/>
  <c r="AB26" i="36"/>
  <c r="P27" i="36"/>
  <c r="R27" i="36"/>
  <c r="Z27" i="36"/>
  <c r="AB27" i="36"/>
  <c r="P28" i="36"/>
  <c r="R28" i="36"/>
  <c r="Z28" i="36"/>
  <c r="AB28" i="36"/>
  <c r="P29" i="36"/>
  <c r="R29" i="36"/>
  <c r="Z29" i="36"/>
  <c r="AB29" i="36"/>
  <c r="P30" i="36"/>
  <c r="R30" i="36"/>
  <c r="Z30" i="36"/>
  <c r="AB30" i="36"/>
  <c r="P31" i="36"/>
  <c r="R31" i="36"/>
  <c r="Z31" i="36"/>
  <c r="AB31" i="36"/>
  <c r="P32" i="36"/>
  <c r="R32" i="36"/>
  <c r="Z32" i="36"/>
  <c r="AB32" i="36"/>
  <c r="P33" i="36"/>
  <c r="R33" i="36"/>
  <c r="Z33" i="36"/>
  <c r="AB33" i="36"/>
  <c r="P34" i="36"/>
  <c r="R34" i="36"/>
  <c r="Z34" i="36"/>
  <c r="AB34" i="36"/>
  <c r="P35" i="36"/>
  <c r="R35" i="36"/>
  <c r="Z35" i="36"/>
  <c r="AB35" i="36"/>
  <c r="P36" i="36"/>
  <c r="R36" i="36"/>
  <c r="Z36" i="36"/>
  <c r="AB36" i="36"/>
  <c r="P37" i="36"/>
  <c r="R37" i="36"/>
  <c r="Z37" i="36"/>
  <c r="AB37" i="36"/>
  <c r="P38" i="36"/>
  <c r="R38" i="36"/>
  <c r="Z38" i="36"/>
  <c r="AB38" i="36"/>
  <c r="P39" i="36"/>
  <c r="R39" i="36"/>
  <c r="Z39" i="36"/>
  <c r="AB39" i="36"/>
  <c r="P40" i="36"/>
  <c r="R40" i="36"/>
  <c r="Z40" i="36"/>
  <c r="AB40" i="36"/>
  <c r="P21" i="37"/>
  <c r="R21" i="37"/>
  <c r="Z21" i="37"/>
  <c r="AB21" i="37"/>
  <c r="P22" i="37"/>
  <c r="R22" i="37"/>
  <c r="Z22" i="37"/>
  <c r="AB22" i="37"/>
  <c r="P23" i="37"/>
  <c r="R23" i="37"/>
  <c r="Z23" i="37"/>
  <c r="AB23" i="37"/>
  <c r="P24" i="37"/>
  <c r="R24" i="37"/>
  <c r="Z24" i="37"/>
  <c r="AB24" i="37"/>
  <c r="P25" i="37"/>
  <c r="R25" i="37"/>
  <c r="Z25" i="37"/>
  <c r="AB25" i="37"/>
  <c r="P26" i="37"/>
  <c r="R26" i="37"/>
  <c r="Z26" i="37"/>
  <c r="AB26" i="37"/>
  <c r="P27" i="37"/>
  <c r="R27" i="37"/>
  <c r="Z27" i="37"/>
  <c r="AB27" i="37"/>
  <c r="P28" i="37"/>
  <c r="R28" i="37"/>
  <c r="Z28" i="37"/>
  <c r="AB28" i="37"/>
  <c r="P29" i="37"/>
  <c r="R29" i="37"/>
  <c r="Z29" i="37"/>
  <c r="AB29" i="37"/>
  <c r="P30" i="37"/>
  <c r="R30" i="37"/>
  <c r="Z30" i="37"/>
  <c r="AB30" i="37"/>
  <c r="P31" i="37"/>
  <c r="R31" i="37"/>
  <c r="Z31" i="37"/>
  <c r="AB31" i="37"/>
  <c r="P32" i="37"/>
  <c r="R32" i="37"/>
  <c r="Z32" i="37"/>
  <c r="AB32" i="37"/>
  <c r="P33" i="37"/>
  <c r="R33" i="37"/>
  <c r="Z33" i="37"/>
  <c r="AB33" i="37"/>
  <c r="P34" i="37"/>
  <c r="R34" i="37"/>
  <c r="Z34" i="37"/>
  <c r="AB34" i="37"/>
  <c r="P35" i="37"/>
  <c r="R35" i="37"/>
  <c r="Z35" i="37"/>
  <c r="AB35" i="37"/>
  <c r="P36" i="37"/>
  <c r="R36" i="37"/>
  <c r="Z36" i="37"/>
  <c r="AB36" i="37"/>
  <c r="P37" i="37"/>
  <c r="R37" i="37"/>
  <c r="Z37" i="37"/>
  <c r="AB37" i="37"/>
  <c r="P38" i="37"/>
  <c r="R38" i="37"/>
  <c r="Z38" i="37"/>
  <c r="AB38" i="37"/>
  <c r="P39" i="37"/>
  <c r="R39" i="37"/>
  <c r="Z39" i="37"/>
  <c r="AB39" i="37"/>
  <c r="P40" i="37"/>
  <c r="R40" i="37"/>
  <c r="Z40" i="37"/>
  <c r="AB40" i="37"/>
  <c r="P21" i="53"/>
  <c r="R21" i="53"/>
  <c r="Z21" i="53"/>
  <c r="AB21" i="53"/>
  <c r="P22" i="53"/>
  <c r="R22" i="53"/>
  <c r="Z22" i="53"/>
  <c r="AB22" i="53"/>
  <c r="P23" i="53"/>
  <c r="R23" i="53"/>
  <c r="Z23" i="53"/>
  <c r="AB23" i="53"/>
  <c r="P24" i="53"/>
  <c r="R24" i="53"/>
  <c r="Z24" i="53"/>
  <c r="AB24" i="53"/>
  <c r="P25" i="53"/>
  <c r="R25" i="53"/>
  <c r="Z25" i="53"/>
  <c r="AB25" i="53"/>
  <c r="P26" i="53"/>
  <c r="R26" i="53"/>
  <c r="Z26" i="53"/>
  <c r="AB26" i="53"/>
  <c r="P27" i="53"/>
  <c r="R27" i="53"/>
  <c r="Z27" i="53"/>
  <c r="AB27" i="53"/>
  <c r="P28" i="53"/>
  <c r="R28" i="53"/>
  <c r="Z28" i="53"/>
  <c r="AB28" i="53"/>
  <c r="P29" i="53"/>
  <c r="R29" i="53"/>
  <c r="Z29" i="53"/>
  <c r="AB29" i="53"/>
  <c r="P30" i="53"/>
  <c r="R30" i="53"/>
  <c r="Z30" i="53"/>
  <c r="AB30" i="53"/>
  <c r="P31" i="53"/>
  <c r="R31" i="53"/>
  <c r="Z31" i="53"/>
  <c r="AB31" i="53"/>
  <c r="P32" i="53"/>
  <c r="R32" i="53"/>
  <c r="Z32" i="53"/>
  <c r="AB32" i="53"/>
  <c r="P33" i="53"/>
  <c r="R33" i="53"/>
  <c r="Z33" i="53"/>
  <c r="AB33" i="53"/>
  <c r="P34" i="53"/>
  <c r="R34" i="53"/>
  <c r="Z34" i="53"/>
  <c r="AB34" i="53"/>
  <c r="P35" i="53"/>
  <c r="R35" i="53"/>
  <c r="Z35" i="53"/>
  <c r="AB35" i="53"/>
  <c r="P36" i="53"/>
  <c r="R36" i="53"/>
  <c r="Z36" i="53"/>
  <c r="AB36" i="53"/>
  <c r="P37" i="53"/>
  <c r="R37" i="53"/>
  <c r="Z37" i="53"/>
  <c r="AB37" i="53"/>
  <c r="P38" i="53"/>
  <c r="R38" i="53"/>
  <c r="Z38" i="53"/>
  <c r="AB38" i="53"/>
  <c r="P39" i="53"/>
  <c r="R39" i="53"/>
  <c r="Z39" i="53"/>
  <c r="AB39" i="53"/>
  <c r="P40" i="53"/>
  <c r="R40" i="53"/>
  <c r="Z40" i="53"/>
  <c r="AB40" i="53"/>
  <c r="P21" i="34"/>
  <c r="R21" i="34"/>
  <c r="Z21" i="34"/>
  <c r="AB21" i="34"/>
  <c r="P22" i="34"/>
  <c r="R22" i="34"/>
  <c r="Z22" i="34"/>
  <c r="AB22" i="34"/>
  <c r="P23" i="34"/>
  <c r="R23" i="34"/>
  <c r="Z23" i="34"/>
  <c r="AB23" i="34"/>
  <c r="P24" i="34"/>
  <c r="R24" i="34"/>
  <c r="Z24" i="34"/>
  <c r="AB24" i="34"/>
  <c r="P25" i="34"/>
  <c r="R25" i="34"/>
  <c r="Z25" i="34"/>
  <c r="AB25" i="34"/>
  <c r="P26" i="34"/>
  <c r="R26" i="34"/>
  <c r="Z26" i="34"/>
  <c r="AB26" i="34"/>
  <c r="P27" i="34"/>
  <c r="R27" i="34"/>
  <c r="Z27" i="34"/>
  <c r="AB27" i="34"/>
  <c r="P28" i="34"/>
  <c r="R28" i="34"/>
  <c r="Z28" i="34"/>
  <c r="AB28" i="34"/>
  <c r="P29" i="34"/>
  <c r="R29" i="34"/>
  <c r="Z29" i="34"/>
  <c r="AB29" i="34"/>
  <c r="P30" i="34"/>
  <c r="R30" i="34"/>
  <c r="Z30" i="34"/>
  <c r="AB30" i="34"/>
  <c r="P31" i="34"/>
  <c r="R31" i="34"/>
  <c r="Z31" i="34"/>
  <c r="AB31" i="34"/>
  <c r="P32" i="34"/>
  <c r="R32" i="34"/>
  <c r="Z32" i="34"/>
  <c r="AB32" i="34"/>
  <c r="P33" i="34"/>
  <c r="R33" i="34"/>
  <c r="Z33" i="34"/>
  <c r="AB33" i="34"/>
  <c r="P34" i="34"/>
  <c r="R34" i="34"/>
  <c r="Z34" i="34"/>
  <c r="AB34" i="34"/>
  <c r="P35" i="34"/>
  <c r="R35" i="34"/>
  <c r="Z35" i="34"/>
  <c r="AB35" i="34"/>
  <c r="P36" i="34"/>
  <c r="R36" i="34"/>
  <c r="Z36" i="34"/>
  <c r="AB36" i="34"/>
  <c r="P37" i="34"/>
  <c r="R37" i="34"/>
  <c r="Z37" i="34"/>
  <c r="AB37" i="34"/>
  <c r="P38" i="34"/>
  <c r="R38" i="34"/>
  <c r="Z38" i="34"/>
  <c r="AB38" i="34"/>
  <c r="P39" i="34"/>
  <c r="R39" i="34"/>
  <c r="Z39" i="34"/>
  <c r="AB39" i="34"/>
  <c r="P40" i="34"/>
  <c r="R40" i="34"/>
  <c r="Z40" i="34"/>
  <c r="AB40" i="34"/>
  <c r="P21" i="29"/>
  <c r="R21" i="29"/>
  <c r="Z21" i="29"/>
  <c r="AB21" i="29"/>
  <c r="P22" i="29"/>
  <c r="R22" i="29"/>
  <c r="Z22" i="29"/>
  <c r="AB22" i="29"/>
  <c r="P23" i="29"/>
  <c r="R23" i="29"/>
  <c r="Z23" i="29"/>
  <c r="AB23" i="29"/>
  <c r="P24" i="29"/>
  <c r="R24" i="29"/>
  <c r="Z24" i="29"/>
  <c r="AB24" i="29"/>
  <c r="P25" i="29"/>
  <c r="R25" i="29"/>
  <c r="Z25" i="29"/>
  <c r="AB25" i="29"/>
  <c r="P26" i="29"/>
  <c r="R26" i="29"/>
  <c r="Z26" i="29"/>
  <c r="AB26" i="29"/>
  <c r="P27" i="29"/>
  <c r="R27" i="29"/>
  <c r="Z27" i="29"/>
  <c r="AB27" i="29"/>
  <c r="P28" i="29"/>
  <c r="R28" i="29"/>
  <c r="Z28" i="29"/>
  <c r="AB28" i="29"/>
  <c r="P29" i="29"/>
  <c r="R29" i="29"/>
  <c r="Z29" i="29"/>
  <c r="AB29" i="29"/>
  <c r="P30" i="29"/>
  <c r="R30" i="29"/>
  <c r="Z30" i="29"/>
  <c r="AB30" i="29"/>
  <c r="P31" i="29"/>
  <c r="R31" i="29"/>
  <c r="Z31" i="29"/>
  <c r="AB31" i="29"/>
  <c r="P32" i="29"/>
  <c r="R32" i="29"/>
  <c r="Z32" i="29"/>
  <c r="AB32" i="29"/>
  <c r="P33" i="29"/>
  <c r="R33" i="29"/>
  <c r="Z33" i="29"/>
  <c r="AB33" i="29"/>
  <c r="P34" i="29"/>
  <c r="R34" i="29"/>
  <c r="Z34" i="29"/>
  <c r="AB34" i="29"/>
  <c r="P35" i="29"/>
  <c r="R35" i="29"/>
  <c r="Z35" i="29"/>
  <c r="AB35" i="29"/>
  <c r="P36" i="29"/>
  <c r="R36" i="29"/>
  <c r="Z36" i="29"/>
  <c r="AB36" i="29"/>
  <c r="P37" i="29"/>
  <c r="R37" i="29"/>
  <c r="Z37" i="29"/>
  <c r="AB37" i="29"/>
  <c r="P38" i="29"/>
  <c r="R38" i="29"/>
  <c r="Z38" i="29"/>
  <c r="AB38" i="29"/>
  <c r="P39" i="29"/>
  <c r="R39" i="29"/>
  <c r="Z39" i="29"/>
  <c r="AB39" i="29"/>
  <c r="P40" i="29"/>
  <c r="R40" i="29"/>
  <c r="Z40" i="29"/>
  <c r="AB40" i="29"/>
  <c r="B7" i="30"/>
  <c r="K5" i="30" s="1"/>
  <c r="B8" i="30"/>
  <c r="K63" i="30" s="1"/>
  <c r="B9" i="30"/>
  <c r="K26" i="30" s="1"/>
  <c r="B10" i="30"/>
  <c r="K65" i="30" s="1"/>
  <c r="K25" i="30"/>
  <c r="M25" i="30" s="1"/>
  <c r="K44" i="30"/>
  <c r="M44" i="30" s="1"/>
  <c r="F11" i="11"/>
  <c r="C7" i="30" s="1"/>
  <c r="L5" i="30" s="1"/>
  <c r="G11" i="11"/>
  <c r="C8" i="30" s="1"/>
  <c r="L6" i="30" s="1"/>
  <c r="H11" i="11"/>
  <c r="C9" i="30" s="1"/>
  <c r="L7" i="30" s="1"/>
  <c r="I11" i="11"/>
  <c r="I12" i="11" s="1"/>
  <c r="F13" i="11"/>
  <c r="D7" i="30" s="1"/>
  <c r="L24" i="30" s="1"/>
  <c r="G13" i="11"/>
  <c r="D8" i="30" s="1"/>
  <c r="L25" i="30" s="1"/>
  <c r="H13" i="11"/>
  <c r="D9" i="30" s="1"/>
  <c r="L26" i="30" s="1"/>
  <c r="I13" i="11"/>
  <c r="D10" i="30" s="1"/>
  <c r="L27" i="30" s="1"/>
  <c r="F14" i="11"/>
  <c r="E7" i="30" s="1"/>
  <c r="G7" i="30" s="1"/>
  <c r="L43" i="30" s="1"/>
  <c r="G14" i="11"/>
  <c r="E8" i="30" s="1"/>
  <c r="G8" i="30" s="1"/>
  <c r="L44" i="30" s="1"/>
  <c r="H14" i="11"/>
  <c r="E9" i="30" s="1"/>
  <c r="G9" i="30" s="1"/>
  <c r="L45" i="30" s="1"/>
  <c r="I14" i="11"/>
  <c r="E10" i="30" s="1"/>
  <c r="G10" i="30" s="1"/>
  <c r="L46" i="30" s="1"/>
  <c r="E22" i="11"/>
  <c r="K22" i="11"/>
  <c r="L22" i="11"/>
  <c r="M22" i="11" s="1"/>
  <c r="N22" i="11"/>
  <c r="K23" i="11"/>
  <c r="L23" i="11"/>
  <c r="M23" i="11" s="1"/>
  <c r="N23" i="11"/>
  <c r="K24" i="11"/>
  <c r="L24" i="11"/>
  <c r="M24" i="11" s="1"/>
  <c r="N24" i="11"/>
  <c r="K25" i="11"/>
  <c r="L25" i="11"/>
  <c r="M25" i="11" s="1"/>
  <c r="N25" i="11"/>
  <c r="K26" i="11"/>
  <c r="L26" i="11"/>
  <c r="M26" i="11" s="1"/>
  <c r="N26" i="11"/>
  <c r="K27" i="11"/>
  <c r="L27" i="11"/>
  <c r="M27" i="11" s="1"/>
  <c r="N27" i="11"/>
  <c r="K28" i="11"/>
  <c r="L28" i="11"/>
  <c r="M28" i="11" s="1"/>
  <c r="N28" i="11"/>
  <c r="K29" i="11"/>
  <c r="L29" i="11"/>
  <c r="M29" i="11" s="1"/>
  <c r="N29" i="11"/>
  <c r="K30" i="11"/>
  <c r="L30" i="11"/>
  <c r="M30" i="11" s="1"/>
  <c r="N30" i="11"/>
  <c r="K31" i="11"/>
  <c r="L31" i="11"/>
  <c r="M31" i="11" s="1"/>
  <c r="N31" i="11"/>
  <c r="K32" i="11"/>
  <c r="L32" i="11"/>
  <c r="M32" i="11" s="1"/>
  <c r="N32" i="11"/>
  <c r="K33" i="11"/>
  <c r="L33" i="11"/>
  <c r="M33" i="11" s="1"/>
  <c r="N33" i="11"/>
  <c r="K34" i="11"/>
  <c r="L34" i="11"/>
  <c r="M34" i="11" s="1"/>
  <c r="N34" i="11"/>
  <c r="K35" i="11"/>
  <c r="L35" i="11"/>
  <c r="M35" i="11" s="1"/>
  <c r="N35" i="11"/>
  <c r="K36" i="11"/>
  <c r="L36" i="11"/>
  <c r="M36" i="11" s="1"/>
  <c r="N36" i="11"/>
  <c r="K37" i="11"/>
  <c r="L37" i="11"/>
  <c r="M37" i="11" s="1"/>
  <c r="N37" i="11"/>
  <c r="K38" i="11"/>
  <c r="L38" i="11"/>
  <c r="M38" i="11" s="1"/>
  <c r="N38" i="11"/>
  <c r="K39" i="11"/>
  <c r="L39" i="11"/>
  <c r="M39" i="11" s="1"/>
  <c r="N39" i="11"/>
  <c r="K40" i="11"/>
  <c r="L40" i="11"/>
  <c r="M40" i="11" s="1"/>
  <c r="N40" i="11"/>
  <c r="K41" i="11"/>
  <c r="L41" i="11"/>
  <c r="M41" i="11" s="1"/>
  <c r="N41" i="11"/>
  <c r="E47" i="11"/>
  <c r="K47" i="11"/>
  <c r="L47" i="11"/>
  <c r="M47" i="11" s="1"/>
  <c r="N47" i="11"/>
  <c r="K48" i="11"/>
  <c r="L48" i="11"/>
  <c r="M48" i="11" s="1"/>
  <c r="N48" i="11"/>
  <c r="K49" i="11"/>
  <c r="L49" i="11"/>
  <c r="M49" i="11"/>
  <c r="N49" i="11"/>
  <c r="K50" i="11"/>
  <c r="L50" i="11"/>
  <c r="M50" i="11" s="1"/>
  <c r="N50" i="11"/>
  <c r="K51" i="11"/>
  <c r="L51" i="11"/>
  <c r="M51" i="11" s="1"/>
  <c r="N51" i="11"/>
  <c r="K52" i="11"/>
  <c r="L52" i="11"/>
  <c r="M52" i="11" s="1"/>
  <c r="N52" i="11"/>
  <c r="K53" i="11"/>
  <c r="L53" i="11"/>
  <c r="M53" i="11" s="1"/>
  <c r="N53" i="11"/>
  <c r="K54" i="11"/>
  <c r="L54" i="11"/>
  <c r="M54" i="11" s="1"/>
  <c r="N54" i="11"/>
  <c r="K55" i="11"/>
  <c r="L55" i="11"/>
  <c r="M55" i="11" s="1"/>
  <c r="N55" i="11"/>
  <c r="K56" i="11"/>
  <c r="L56" i="11"/>
  <c r="M56" i="11" s="1"/>
  <c r="N56" i="11"/>
  <c r="K57" i="11"/>
  <c r="L57" i="11"/>
  <c r="M57" i="11" s="1"/>
  <c r="N57" i="11"/>
  <c r="K58" i="11"/>
  <c r="L58" i="11"/>
  <c r="M58" i="11" s="1"/>
  <c r="N58" i="11"/>
  <c r="K59" i="11"/>
  <c r="L59" i="11"/>
  <c r="M59" i="11" s="1"/>
  <c r="N59" i="11"/>
  <c r="K60" i="11"/>
  <c r="L60" i="11"/>
  <c r="M60" i="11" s="1"/>
  <c r="N60" i="11"/>
  <c r="K61" i="11"/>
  <c r="L61" i="11"/>
  <c r="M61" i="11" s="1"/>
  <c r="N61" i="11"/>
  <c r="K62" i="11"/>
  <c r="L62" i="11"/>
  <c r="M62" i="11" s="1"/>
  <c r="N62" i="11"/>
  <c r="K63" i="11"/>
  <c r="L63" i="11"/>
  <c r="M63" i="11" s="1"/>
  <c r="N63" i="11"/>
  <c r="K64" i="11"/>
  <c r="L64" i="11"/>
  <c r="M64" i="11" s="1"/>
  <c r="N64" i="11"/>
  <c r="K65" i="11"/>
  <c r="L65" i="11"/>
  <c r="M65" i="11" s="1"/>
  <c r="N65" i="11"/>
  <c r="K66" i="11"/>
  <c r="L66" i="11"/>
  <c r="M66" i="11"/>
  <c r="N66" i="11"/>
  <c r="E72" i="11"/>
  <c r="K72" i="11"/>
  <c r="L72" i="11"/>
  <c r="M72" i="11"/>
  <c r="N72" i="11"/>
  <c r="K73" i="11"/>
  <c r="L73" i="11"/>
  <c r="M73" i="11" s="1"/>
  <c r="N73" i="11"/>
  <c r="K74" i="11"/>
  <c r="L74" i="11"/>
  <c r="M74" i="11"/>
  <c r="N74" i="11"/>
  <c r="K75" i="11"/>
  <c r="L75" i="11"/>
  <c r="M75" i="11" s="1"/>
  <c r="N75" i="11"/>
  <c r="K76" i="11"/>
  <c r="L76" i="11"/>
  <c r="M76" i="11" s="1"/>
  <c r="N76" i="11"/>
  <c r="K77" i="11"/>
  <c r="L77" i="11"/>
  <c r="M77" i="11" s="1"/>
  <c r="N77" i="11"/>
  <c r="K78" i="11"/>
  <c r="L78" i="11"/>
  <c r="M78" i="11" s="1"/>
  <c r="N78" i="11"/>
  <c r="K79" i="11"/>
  <c r="L79" i="11"/>
  <c r="M79" i="11" s="1"/>
  <c r="N79" i="11"/>
  <c r="K80" i="11"/>
  <c r="L80" i="11"/>
  <c r="M80" i="11"/>
  <c r="N80" i="11"/>
  <c r="K81" i="11"/>
  <c r="L81" i="11"/>
  <c r="M81" i="11" s="1"/>
  <c r="N81" i="11"/>
  <c r="K82" i="11"/>
  <c r="L82" i="11"/>
  <c r="M82" i="11" s="1"/>
  <c r="N82" i="11"/>
  <c r="K83" i="11"/>
  <c r="L83" i="11"/>
  <c r="M83" i="11" s="1"/>
  <c r="N83" i="11"/>
  <c r="K84" i="11"/>
  <c r="L84" i="11"/>
  <c r="M84" i="11" s="1"/>
  <c r="N84" i="11"/>
  <c r="K85" i="11"/>
  <c r="L85" i="11"/>
  <c r="M85" i="11" s="1"/>
  <c r="N85" i="11"/>
  <c r="K86" i="11"/>
  <c r="L86" i="11"/>
  <c r="M86" i="11" s="1"/>
  <c r="N86" i="11"/>
  <c r="K87" i="11"/>
  <c r="L87" i="11"/>
  <c r="M87" i="11" s="1"/>
  <c r="N87" i="11"/>
  <c r="K88" i="11"/>
  <c r="L88" i="11"/>
  <c r="M88" i="11" s="1"/>
  <c r="N88" i="11"/>
  <c r="K89" i="11"/>
  <c r="L89" i="11"/>
  <c r="M89" i="11" s="1"/>
  <c r="N89" i="11"/>
  <c r="K90" i="11"/>
  <c r="L90" i="11"/>
  <c r="M90" i="11" s="1"/>
  <c r="N90" i="11"/>
  <c r="K91" i="11"/>
  <c r="L91" i="11"/>
  <c r="M91" i="11" s="1"/>
  <c r="N91" i="11"/>
  <c r="E97" i="11"/>
  <c r="K97" i="11"/>
  <c r="M97" i="11"/>
  <c r="N97" i="11"/>
  <c r="K98" i="11"/>
  <c r="L98" i="11"/>
  <c r="M98" i="11" s="1"/>
  <c r="N98" i="11"/>
  <c r="K99" i="11"/>
  <c r="L99" i="11"/>
  <c r="M99" i="11" s="1"/>
  <c r="N99" i="11"/>
  <c r="K100" i="11"/>
  <c r="L100" i="11"/>
  <c r="M100" i="11" s="1"/>
  <c r="N100" i="11"/>
  <c r="K101" i="11"/>
  <c r="L101" i="11"/>
  <c r="M101" i="11" s="1"/>
  <c r="N101" i="11"/>
  <c r="K102" i="11"/>
  <c r="L102" i="11"/>
  <c r="M102" i="11" s="1"/>
  <c r="N102" i="11"/>
  <c r="K103" i="11"/>
  <c r="L103" i="11"/>
  <c r="M103" i="11" s="1"/>
  <c r="N103" i="11"/>
  <c r="K104" i="11"/>
  <c r="L104" i="11"/>
  <c r="M104" i="11" s="1"/>
  <c r="N104" i="11"/>
  <c r="K105" i="11"/>
  <c r="L105" i="11"/>
  <c r="M105" i="11" s="1"/>
  <c r="N105" i="11"/>
  <c r="K106" i="11"/>
  <c r="L106" i="11"/>
  <c r="M106" i="11" s="1"/>
  <c r="N106" i="11"/>
  <c r="K107" i="11"/>
  <c r="L107" i="11"/>
  <c r="M107" i="11" s="1"/>
  <c r="N107" i="11"/>
  <c r="K108" i="11"/>
  <c r="L108" i="11"/>
  <c r="M108" i="11" s="1"/>
  <c r="N108" i="11"/>
  <c r="K109" i="11"/>
  <c r="L109" i="11"/>
  <c r="M109" i="11" s="1"/>
  <c r="N109" i="11"/>
  <c r="K110" i="11"/>
  <c r="L110" i="11"/>
  <c r="M110" i="11"/>
  <c r="N110" i="11"/>
  <c r="K111" i="11"/>
  <c r="L111" i="11"/>
  <c r="M111" i="11"/>
  <c r="N111" i="11"/>
  <c r="K112" i="11"/>
  <c r="L112" i="11"/>
  <c r="M112" i="11" s="1"/>
  <c r="N112" i="11"/>
  <c r="K113" i="11"/>
  <c r="L113" i="11"/>
  <c r="M113" i="11" s="1"/>
  <c r="N113" i="11"/>
  <c r="K114" i="11"/>
  <c r="L114" i="11"/>
  <c r="M114" i="11" s="1"/>
  <c r="N114" i="11"/>
  <c r="K115" i="11"/>
  <c r="L115" i="11"/>
  <c r="M115" i="11" s="1"/>
  <c r="N115" i="11"/>
  <c r="K116" i="11"/>
  <c r="L116" i="11"/>
  <c r="M116" i="11" s="1"/>
  <c r="N116" i="11"/>
  <c r="B5" i="42"/>
  <c r="B6" i="42"/>
  <c r="AR18" i="16"/>
  <c r="AK18" i="9" s="1"/>
  <c r="AR19" i="16"/>
  <c r="AK19" i="9" s="1"/>
  <c r="AB21" i="16"/>
  <c r="AR21" i="16" s="1"/>
  <c r="AB22" i="16"/>
  <c r="AR22" i="16" s="1"/>
  <c r="AS22" i="16" s="1"/>
  <c r="AB23" i="16"/>
  <c r="AR23" i="16" s="1"/>
  <c r="AB24" i="16"/>
  <c r="AR24" i="16" s="1"/>
  <c r="AT24" i="16" s="1"/>
  <c r="AB25" i="16"/>
  <c r="AR25" i="16" s="1"/>
  <c r="AT25" i="16" s="1"/>
  <c r="AL25" i="9" s="1"/>
  <c r="AB26" i="16"/>
  <c r="AR26" i="16" s="1"/>
  <c r="AK26" i="9" s="1"/>
  <c r="AB27" i="16"/>
  <c r="AR27" i="16" s="1"/>
  <c r="AK27" i="9" s="1"/>
  <c r="AB28" i="16"/>
  <c r="AR28" i="16" s="1"/>
  <c r="AS28" i="16" s="1"/>
  <c r="AB29" i="16"/>
  <c r="AR29" i="16" s="1"/>
  <c r="AB30" i="16"/>
  <c r="AR30" i="16" s="1"/>
  <c r="AS30" i="16" s="1"/>
  <c r="AT30" i="16"/>
  <c r="AL30" i="9" s="1"/>
  <c r="AB31" i="16"/>
  <c r="AR31" i="16" s="1"/>
  <c r="AB32" i="16"/>
  <c r="AR32" i="16" s="1"/>
  <c r="AT32" i="16" s="1"/>
  <c r="AL32" i="9" s="1"/>
  <c r="AB33" i="16"/>
  <c r="AR33" i="16" s="1"/>
  <c r="AT33" i="16" s="1"/>
  <c r="AL33" i="9" s="1"/>
  <c r="AB34" i="16"/>
  <c r="AR34" i="16" s="1"/>
  <c r="AK34" i="9" s="1"/>
  <c r="AB35" i="16"/>
  <c r="AR35" i="16" s="1"/>
  <c r="AB36" i="16"/>
  <c r="AR36" i="16" s="1"/>
  <c r="AT36" i="16" s="1"/>
  <c r="AL36" i="9" s="1"/>
  <c r="AS36" i="16"/>
  <c r="AB37" i="16"/>
  <c r="AR37" i="16" s="1"/>
  <c r="AT37" i="16" s="1"/>
  <c r="AL37" i="9" s="1"/>
  <c r="AB38" i="16"/>
  <c r="AR38" i="16" s="1"/>
  <c r="AS38" i="16" s="1"/>
  <c r="AB39" i="16"/>
  <c r="AR39" i="16" s="1"/>
  <c r="AB40" i="16"/>
  <c r="AR40" i="16" s="1"/>
  <c r="AT40" i="16" s="1"/>
  <c r="AS40" i="16"/>
  <c r="B6" i="27"/>
  <c r="L5" i="4" s="1"/>
  <c r="B5" i="26"/>
  <c r="B6" i="26" s="1"/>
  <c r="B9" i="26"/>
  <c r="F3" i="50"/>
  <c r="A5" i="50"/>
  <c r="A6" i="50"/>
  <c r="A7" i="50" s="1"/>
  <c r="A8" i="50" s="1"/>
  <c r="A9" i="50" s="1"/>
  <c r="A10" i="50" s="1"/>
  <c r="A11" i="50" s="1"/>
  <c r="A12" i="50" s="1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/>
  <c r="A44" i="50" s="1"/>
  <c r="A45" i="50" s="1"/>
  <c r="A46" i="50" s="1"/>
  <c r="A47" i="50" s="1"/>
  <c r="A48" i="50" s="1"/>
  <c r="A49" i="50" s="1"/>
  <c r="A50" i="50" s="1"/>
  <c r="A51" i="50" s="1"/>
  <c r="A52" i="50" s="1"/>
  <c r="A53" i="50" s="1"/>
  <c r="A54" i="50" s="1"/>
  <c r="A55" i="50" s="1"/>
  <c r="A56" i="50" s="1"/>
  <c r="A57" i="50" s="1"/>
  <c r="A58" i="50" s="1"/>
  <c r="A59" i="50" s="1"/>
  <c r="A60" i="50" s="1"/>
  <c r="A61" i="50" s="1"/>
  <c r="A62" i="50" s="1"/>
  <c r="A63" i="50" s="1"/>
  <c r="I210" i="50"/>
  <c r="I221" i="50"/>
  <c r="I232" i="50" s="1"/>
  <c r="F3" i="56"/>
  <c r="A5" i="56"/>
  <c r="A6" i="56"/>
  <c r="A7" i="56"/>
  <c r="A8" i="56" s="1"/>
  <c r="A9" i="56" s="1"/>
  <c r="A10" i="56"/>
  <c r="A11" i="56" s="1"/>
  <c r="A12" i="56" s="1"/>
  <c r="A13" i="56" s="1"/>
  <c r="A14" i="56" s="1"/>
  <c r="A15" i="56" s="1"/>
  <c r="A16" i="56" s="1"/>
  <c r="A17" i="56" s="1"/>
  <c r="A18" i="56" s="1"/>
  <c r="A19" i="56" s="1"/>
  <c r="A20" i="56" s="1"/>
  <c r="A21" i="56" s="1"/>
  <c r="A22" i="56" s="1"/>
  <c r="A23" i="56" s="1"/>
  <c r="A24" i="56"/>
  <c r="A44" i="56" s="1"/>
  <c r="I210" i="56"/>
  <c r="I221" i="56" s="1"/>
  <c r="I232" i="56" s="1"/>
  <c r="F3" i="49"/>
  <c r="A5" i="49"/>
  <c r="A6" i="49"/>
  <c r="A7" i="49"/>
  <c r="A8" i="49" s="1"/>
  <c r="A9" i="49" s="1"/>
  <c r="A10" i="49"/>
  <c r="A11" i="49" s="1"/>
  <c r="A12" i="49" s="1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I210" i="49"/>
  <c r="I221" i="49" s="1"/>
  <c r="I232" i="49" s="1"/>
  <c r="F3" i="46"/>
  <c r="A5" i="46"/>
  <c r="A6" i="46" s="1"/>
  <c r="A7" i="46" s="1"/>
  <c r="A8" i="46" s="1"/>
  <c r="A9" i="46" s="1"/>
  <c r="A10" i="46" s="1"/>
  <c r="A11" i="46" s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/>
  <c r="A44" i="46" s="1"/>
  <c r="A64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A99" i="46" s="1"/>
  <c r="A100" i="46" s="1"/>
  <c r="A101" i="46" s="1"/>
  <c r="A102" i="46" s="1"/>
  <c r="A103" i="46" s="1"/>
  <c r="A45" i="46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I210" i="46"/>
  <c r="I221" i="46" s="1"/>
  <c r="I232" i="46" s="1"/>
  <c r="I18" i="9"/>
  <c r="J18" i="9"/>
  <c r="J19" i="9" s="1"/>
  <c r="J40" i="9" s="1"/>
  <c r="Z18" i="9"/>
  <c r="H19" i="9"/>
  <c r="H40" i="9" s="1"/>
  <c r="I19" i="9"/>
  <c r="K19" i="9"/>
  <c r="M19" i="9"/>
  <c r="M40" i="9" s="1"/>
  <c r="Z19" i="9"/>
  <c r="C21" i="9"/>
  <c r="H21" i="9"/>
  <c r="J21" i="9"/>
  <c r="J22" i="9" s="1"/>
  <c r="J23" i="9" s="1"/>
  <c r="J24" i="9" s="1"/>
  <c r="J25" i="9" s="1"/>
  <c r="J26" i="9" s="1"/>
  <c r="J27" i="9" s="1"/>
  <c r="J28" i="9" s="1"/>
  <c r="J29" i="9" s="1"/>
  <c r="J30" i="9" s="1"/>
  <c r="J31" i="9" s="1"/>
  <c r="J32" i="9" s="1"/>
  <c r="J33" i="9" s="1"/>
  <c r="J34" i="9" s="1"/>
  <c r="J35" i="9" s="1"/>
  <c r="J36" i="9" s="1"/>
  <c r="J37" i="9" s="1"/>
  <c r="J38" i="9" s="1"/>
  <c r="J39" i="9" s="1"/>
  <c r="K21" i="9"/>
  <c r="G21" i="8" s="1"/>
  <c r="J21" i="8" s="1"/>
  <c r="M21" i="9"/>
  <c r="AK22" i="9"/>
  <c r="AL24" i="9"/>
  <c r="AK28" i="9"/>
  <c r="K40" i="9"/>
  <c r="G40" i="8" s="1"/>
  <c r="AL40" i="9"/>
  <c r="L45" i="9"/>
  <c r="B46" i="9"/>
  <c r="B47" i="9" s="1"/>
  <c r="C46" i="9"/>
  <c r="C47" i="9" s="1"/>
  <c r="C48" i="9" s="1"/>
  <c r="C49" i="9" s="1"/>
  <c r="C50" i="9" s="1"/>
  <c r="C51" i="9" s="1"/>
  <c r="C52" i="9" s="1"/>
  <c r="C53" i="9" s="1"/>
  <c r="H46" i="9"/>
  <c r="H47" i="9" s="1"/>
  <c r="H48" i="9" s="1"/>
  <c r="K46" i="9"/>
  <c r="K47" i="9" s="1"/>
  <c r="L46" i="9"/>
  <c r="L49" i="9"/>
  <c r="R50" i="9"/>
  <c r="R51" i="9"/>
  <c r="B58" i="9"/>
  <c r="J58" i="9"/>
  <c r="Q39" i="32" l="1"/>
  <c r="T39" i="32" s="1"/>
  <c r="Q21" i="32"/>
  <c r="Q37" i="32"/>
  <c r="Q36" i="32"/>
  <c r="T36" i="32" s="1"/>
  <c r="Q28" i="32"/>
  <c r="Q26" i="32"/>
  <c r="T26" i="32" s="1"/>
  <c r="Q34" i="32"/>
  <c r="Q25" i="32"/>
  <c r="T25" i="32" s="1"/>
  <c r="Q40" i="32"/>
  <c r="T40" i="32" s="1"/>
  <c r="Q30" i="32"/>
  <c r="T30" i="32" s="1"/>
  <c r="B21" i="27"/>
  <c r="B21" i="13"/>
  <c r="AK24" i="9"/>
  <c r="AT22" i="16"/>
  <c r="AL22" i="9" s="1"/>
  <c r="AT21" i="16"/>
  <c r="AL21" i="9" s="1"/>
  <c r="AS21" i="16"/>
  <c r="B40" i="8"/>
  <c r="B40" i="19"/>
  <c r="B21" i="21"/>
  <c r="B21" i="19"/>
  <c r="B38" i="6"/>
  <c r="B38" i="19"/>
  <c r="B38" i="8"/>
  <c r="B38" i="21"/>
  <c r="K22" i="9"/>
  <c r="G22" i="8" s="1"/>
  <c r="J22" i="8" s="1"/>
  <c r="A25" i="46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9"/>
  <c r="B21" i="42"/>
  <c r="Q38" i="32"/>
  <c r="T38" i="32" s="1"/>
  <c r="Q24" i="32"/>
  <c r="T24" i="32" s="1"/>
  <c r="Q23" i="32"/>
  <c r="T23" i="32" s="1"/>
  <c r="AI22" i="32"/>
  <c r="Q22" i="32"/>
  <c r="T22" i="32" s="1"/>
  <c r="M9" i="2"/>
  <c r="AC47" i="6"/>
  <c r="D36" i="6"/>
  <c r="D28" i="6"/>
  <c r="D33" i="61"/>
  <c r="G37" i="4"/>
  <c r="C37" i="8" s="1"/>
  <c r="D32" i="4"/>
  <c r="E32" i="4" s="1"/>
  <c r="B32" i="21" s="1"/>
  <c r="R25" i="4"/>
  <c r="E7" i="4"/>
  <c r="Z110" i="11"/>
  <c r="AA98" i="11"/>
  <c r="AA109" i="11"/>
  <c r="AA111" i="11"/>
  <c r="AA112" i="11" s="1"/>
  <c r="AA113" i="11" s="1"/>
  <c r="AA114" i="11" s="1"/>
  <c r="AA115" i="11" s="1"/>
  <c r="AA116" i="11" s="1"/>
  <c r="AA97" i="11"/>
  <c r="K45" i="30"/>
  <c r="M45" i="30" s="1"/>
  <c r="AC46" i="6"/>
  <c r="Z12" i="20"/>
  <c r="G40" i="4"/>
  <c r="C40" i="8" s="1"/>
  <c r="G29" i="4"/>
  <c r="C29" i="8" s="1"/>
  <c r="L15" i="4"/>
  <c r="L16" i="4" s="1"/>
  <c r="Q29" i="32"/>
  <c r="T29" i="32" s="1"/>
  <c r="AC43" i="6"/>
  <c r="D34" i="6"/>
  <c r="D26" i="6"/>
  <c r="K10" i="17"/>
  <c r="F40" i="4"/>
  <c r="G31" i="4"/>
  <c r="C31" i="8" s="1"/>
  <c r="F29" i="4"/>
  <c r="G21" i="4"/>
  <c r="C21" i="8" s="1"/>
  <c r="H6" i="4"/>
  <c r="AK36" i="9"/>
  <c r="Z21" i="9"/>
  <c r="A64" i="50"/>
  <c r="AK32" i="9"/>
  <c r="A25" i="56"/>
  <c r="A26" i="56" s="1"/>
  <c r="A27" i="56" s="1"/>
  <c r="A28" i="56" s="1"/>
  <c r="A29" i="56" s="1"/>
  <c r="A30" i="56" s="1"/>
  <c r="A31" i="56" s="1"/>
  <c r="A32" i="56" s="1"/>
  <c r="A33" i="56" s="1"/>
  <c r="A34" i="56" s="1"/>
  <c r="A35" i="56" s="1"/>
  <c r="A36" i="56" s="1"/>
  <c r="A37" i="56" s="1"/>
  <c r="A38" i="56" s="1"/>
  <c r="A39" i="56" s="1"/>
  <c r="A40" i="56" s="1"/>
  <c r="A41" i="56" s="1"/>
  <c r="A42" i="56" s="1"/>
  <c r="A43" i="56" s="1"/>
  <c r="AS32" i="16"/>
  <c r="AR23" i="32"/>
  <c r="AC42" i="6"/>
  <c r="D33" i="6"/>
  <c r="D36" i="4"/>
  <c r="E36" i="4" s="1"/>
  <c r="F21" i="4"/>
  <c r="Q33" i="32"/>
  <c r="T33" i="32" s="1"/>
  <c r="AC55" i="6"/>
  <c r="L18" i="4"/>
  <c r="D58" i="9"/>
  <c r="B48" i="9"/>
  <c r="B49" i="9" s="1"/>
  <c r="F58" i="9" s="1"/>
  <c r="H12" i="11"/>
  <c r="Z108" i="11"/>
  <c r="G12" i="11"/>
  <c r="K62" i="30"/>
  <c r="M62" i="30" s="1"/>
  <c r="K24" i="30"/>
  <c r="M24" i="30" s="1"/>
  <c r="Z104" i="11"/>
  <c r="AC105" i="11" s="1"/>
  <c r="Z111" i="11"/>
  <c r="AC97" i="11"/>
  <c r="F12" i="11"/>
  <c r="C10" i="30"/>
  <c r="L8" i="30" s="1"/>
  <c r="L9" i="30" s="1"/>
  <c r="AC109" i="11"/>
  <c r="Z112" i="11"/>
  <c r="Z109" i="11"/>
  <c r="AC110" i="11" s="1"/>
  <c r="K43" i="30"/>
  <c r="M43" i="30" s="1"/>
  <c r="B18" i="9"/>
  <c r="B21" i="9" s="1"/>
  <c r="N5" i="30"/>
  <c r="K6" i="30"/>
  <c r="M6" i="30" s="1"/>
  <c r="N25" i="30"/>
  <c r="N44" i="30"/>
  <c r="Z55" i="11"/>
  <c r="AC56" i="11" s="1"/>
  <c r="G15" i="11"/>
  <c r="G16" i="11" s="1"/>
  <c r="F8" i="30" s="1"/>
  <c r="L63" i="30" s="1"/>
  <c r="N63" i="30" s="1"/>
  <c r="L28" i="30"/>
  <c r="L47" i="30"/>
  <c r="AT29" i="16"/>
  <c r="AL29" i="9" s="1"/>
  <c r="AS29" i="16"/>
  <c r="AK21" i="9"/>
  <c r="AS24" i="16"/>
  <c r="AK30" i="9"/>
  <c r="AT28" i="16"/>
  <c r="AL28" i="9" s="1"/>
  <c r="AK33" i="9"/>
  <c r="AK38" i="9"/>
  <c r="AS37" i="16"/>
  <c r="AS33" i="16"/>
  <c r="AK25" i="9"/>
  <c r="AK40" i="9"/>
  <c r="AK37" i="9"/>
  <c r="AK29" i="9"/>
  <c r="AT38" i="16"/>
  <c r="AL38" i="9" s="1"/>
  <c r="E40" i="12"/>
  <c r="G40" i="2"/>
  <c r="T34" i="32"/>
  <c r="K48" i="9"/>
  <c r="L48" i="9" s="1"/>
  <c r="L47" i="9"/>
  <c r="B50" i="9"/>
  <c r="S10" i="2"/>
  <c r="S8" i="2"/>
  <c r="R11" i="2"/>
  <c r="S11" i="2" s="1"/>
  <c r="S6" i="2"/>
  <c r="S9" i="2"/>
  <c r="S7" i="2"/>
  <c r="E21" i="12"/>
  <c r="G21" i="2"/>
  <c r="AT35" i="16"/>
  <c r="AL35" i="9" s="1"/>
  <c r="AS35" i="16"/>
  <c r="AT23" i="16"/>
  <c r="AL23" i="9" s="1"/>
  <c r="AS23" i="16"/>
  <c r="B34" i="6"/>
  <c r="B34" i="8"/>
  <c r="B34" i="21"/>
  <c r="B34" i="19"/>
  <c r="C40" i="9"/>
  <c r="A104" i="46"/>
  <c r="B21" i="26"/>
  <c r="AS34" i="16"/>
  <c r="AT34" i="16"/>
  <c r="AL34" i="9" s="1"/>
  <c r="AT27" i="16"/>
  <c r="AL27" i="9" s="1"/>
  <c r="AS27" i="16"/>
  <c r="F15" i="11"/>
  <c r="F16" i="11" s="1"/>
  <c r="F7" i="30" s="1"/>
  <c r="L62" i="30" s="1"/>
  <c r="Z51" i="11"/>
  <c r="AC52" i="11" s="1"/>
  <c r="Z50" i="11"/>
  <c r="Z47" i="11"/>
  <c r="AC48" i="11" s="1"/>
  <c r="R6" i="4"/>
  <c r="A45" i="56"/>
  <c r="A46" i="56" s="1"/>
  <c r="A47" i="56" s="1"/>
  <c r="A48" i="56" s="1"/>
  <c r="A49" i="56" s="1"/>
  <c r="A50" i="56" s="1"/>
  <c r="A51" i="56" s="1"/>
  <c r="A52" i="56" s="1"/>
  <c r="A53" i="56" s="1"/>
  <c r="A54" i="56" s="1"/>
  <c r="A55" i="56" s="1"/>
  <c r="A56" i="56" s="1"/>
  <c r="A57" i="56" s="1"/>
  <c r="A58" i="56" s="1"/>
  <c r="A59" i="56" s="1"/>
  <c r="A60" i="56" s="1"/>
  <c r="A61" i="56" s="1"/>
  <c r="A62" i="56" s="1"/>
  <c r="A63" i="56" s="1"/>
  <c r="A64" i="56"/>
  <c r="AT39" i="16"/>
  <c r="AL39" i="9" s="1"/>
  <c r="AS39" i="16"/>
  <c r="M21" i="40"/>
  <c r="AE21" i="20"/>
  <c r="M21" i="35"/>
  <c r="M21" i="38"/>
  <c r="M21" i="54"/>
  <c r="V21" i="20"/>
  <c r="M21" i="59"/>
  <c r="D21" i="51"/>
  <c r="M21" i="1"/>
  <c r="M21" i="33"/>
  <c r="AA21" i="9"/>
  <c r="F21" i="32"/>
  <c r="I15" i="11"/>
  <c r="I16" i="11" s="1"/>
  <c r="F10" i="30" s="1"/>
  <c r="L65" i="30" s="1"/>
  <c r="N65" i="30" s="1"/>
  <c r="AS26" i="16"/>
  <c r="AT26" i="16"/>
  <c r="AL26" i="9" s="1"/>
  <c r="AM34" i="20"/>
  <c r="Y34" i="20"/>
  <c r="D24" i="4"/>
  <c r="E24" i="4" s="1"/>
  <c r="F24" i="4"/>
  <c r="G24" i="4"/>
  <c r="C24" i="8" s="1"/>
  <c r="AS25" i="16"/>
  <c r="Z97" i="11"/>
  <c r="AC98" i="11" s="1"/>
  <c r="Z105" i="11"/>
  <c r="AA106" i="11" s="1"/>
  <c r="Z113" i="11"/>
  <c r="Z99" i="11"/>
  <c r="AC100" i="11" s="1"/>
  <c r="Z107" i="11"/>
  <c r="AA108" i="11" s="1"/>
  <c r="Z115" i="11"/>
  <c r="Z106" i="11"/>
  <c r="AC107" i="11" s="1"/>
  <c r="AC111" i="11"/>
  <c r="Z100" i="11"/>
  <c r="AC101" i="11" s="1"/>
  <c r="Z101" i="11"/>
  <c r="AC102" i="11" s="1"/>
  <c r="Z102" i="11"/>
  <c r="AC103" i="11" s="1"/>
  <c r="Z103" i="11"/>
  <c r="AA104" i="11" s="1"/>
  <c r="Z98" i="11"/>
  <c r="AC99" i="11" s="1"/>
  <c r="Z114" i="11"/>
  <c r="AH24" i="32"/>
  <c r="T28" i="32"/>
  <c r="B21" i="23"/>
  <c r="AT31" i="16"/>
  <c r="AL31" i="9" s="1"/>
  <c r="AS31" i="16"/>
  <c r="Y36" i="20"/>
  <c r="AM36" i="20"/>
  <c r="D22" i="43"/>
  <c r="D26" i="43"/>
  <c r="D30" i="43"/>
  <c r="D34" i="43"/>
  <c r="D38" i="43"/>
  <c r="D22" i="61"/>
  <c r="D26" i="61"/>
  <c r="D30" i="61"/>
  <c r="D34" i="61"/>
  <c r="D38" i="61"/>
  <c r="D22" i="28"/>
  <c r="D26" i="28"/>
  <c r="D30" i="28"/>
  <c r="D34" i="28"/>
  <c r="D38" i="28"/>
  <c r="D22" i="25"/>
  <c r="D26" i="25"/>
  <c r="D30" i="25"/>
  <c r="D34" i="25"/>
  <c r="D38" i="25"/>
  <c r="D22" i="55"/>
  <c r="D26" i="55"/>
  <c r="D30" i="55"/>
  <c r="D34" i="55"/>
  <c r="D38" i="55"/>
  <c r="D22" i="24"/>
  <c r="D26" i="24"/>
  <c r="D30" i="24"/>
  <c r="D34" i="24"/>
  <c r="D38" i="24"/>
  <c r="D22" i="22"/>
  <c r="D26" i="22"/>
  <c r="D30" i="22"/>
  <c r="D34" i="22"/>
  <c r="D38" i="22"/>
  <c r="D22" i="19"/>
  <c r="D26" i="19"/>
  <c r="D30" i="19"/>
  <c r="D34" i="19"/>
  <c r="D38" i="19"/>
  <c r="D22" i="21"/>
  <c r="D30" i="21"/>
  <c r="D38" i="21"/>
  <c r="L9" i="17"/>
  <c r="L11" i="17"/>
  <c r="L16" i="17"/>
  <c r="K19" i="17"/>
  <c r="D25" i="21"/>
  <c r="D33" i="21"/>
  <c r="K14" i="17"/>
  <c r="L19" i="17"/>
  <c r="D23" i="43"/>
  <c r="D27" i="43"/>
  <c r="D31" i="43"/>
  <c r="D35" i="43"/>
  <c r="D39" i="43"/>
  <c r="D23" i="61"/>
  <c r="D27" i="61"/>
  <c r="D31" i="61"/>
  <c r="D35" i="61"/>
  <c r="D39" i="61"/>
  <c r="D23" i="28"/>
  <c r="D27" i="28"/>
  <c r="D31" i="28"/>
  <c r="D35" i="28"/>
  <c r="D39" i="28"/>
  <c r="D23" i="25"/>
  <c r="D27" i="25"/>
  <c r="D31" i="25"/>
  <c r="D35" i="25"/>
  <c r="D39" i="25"/>
  <c r="D23" i="55"/>
  <c r="D27" i="55"/>
  <c r="D31" i="55"/>
  <c r="D35" i="55"/>
  <c r="D39" i="55"/>
  <c r="D23" i="24"/>
  <c r="D27" i="24"/>
  <c r="D31" i="24"/>
  <c r="D35" i="24"/>
  <c r="D39" i="24"/>
  <c r="D23" i="22"/>
  <c r="D27" i="22"/>
  <c r="D31" i="22"/>
  <c r="D35" i="22"/>
  <c r="D39" i="22"/>
  <c r="D23" i="19"/>
  <c r="D27" i="19"/>
  <c r="D31" i="19"/>
  <c r="D35" i="19"/>
  <c r="D39" i="19"/>
  <c r="D28" i="21"/>
  <c r="D36" i="21"/>
  <c r="K12" i="17"/>
  <c r="L14" i="17"/>
  <c r="K17" i="17"/>
  <c r="D21" i="61"/>
  <c r="D28" i="61"/>
  <c r="D33" i="28"/>
  <c r="D40" i="28"/>
  <c r="D25" i="55"/>
  <c r="D32" i="55"/>
  <c r="D37" i="24"/>
  <c r="D24" i="22"/>
  <c r="D29" i="19"/>
  <c r="D36" i="19"/>
  <c r="D26" i="21"/>
  <c r="D39" i="21"/>
  <c r="L10" i="17"/>
  <c r="K13" i="17"/>
  <c r="D29" i="43"/>
  <c r="D36" i="43"/>
  <c r="D21" i="28"/>
  <c r="D28" i="28"/>
  <c r="D33" i="25"/>
  <c r="D40" i="25"/>
  <c r="D25" i="24"/>
  <c r="D32" i="24"/>
  <c r="D37" i="22"/>
  <c r="D24" i="19"/>
  <c r="D31" i="21"/>
  <c r="L13" i="17"/>
  <c r="L17" i="17"/>
  <c r="D24" i="43"/>
  <c r="D29" i="61"/>
  <c r="D36" i="61"/>
  <c r="D21" i="25"/>
  <c r="D28" i="25"/>
  <c r="D33" i="55"/>
  <c r="D40" i="55"/>
  <c r="D25" i="22"/>
  <c r="D32" i="22"/>
  <c r="D37" i="19"/>
  <c r="D23" i="21"/>
  <c r="D35" i="21"/>
  <c r="D29" i="28"/>
  <c r="D29" i="25"/>
  <c r="D29" i="55"/>
  <c r="D29" i="24"/>
  <c r="D29" i="22"/>
  <c r="D32" i="19"/>
  <c r="D27" i="21"/>
  <c r="K9" i="17"/>
  <c r="L12" i="17"/>
  <c r="K16" i="17"/>
  <c r="D28" i="43"/>
  <c r="D21" i="55"/>
  <c r="D21" i="24"/>
  <c r="D21" i="22"/>
  <c r="D21" i="19"/>
  <c r="D21" i="21"/>
  <c r="D34" i="21"/>
  <c r="D40" i="43"/>
  <c r="D40" i="61"/>
  <c r="D33" i="24"/>
  <c r="D33" i="22"/>
  <c r="D33" i="19"/>
  <c r="D25" i="43"/>
  <c r="D24" i="61"/>
  <c r="D37" i="61"/>
  <c r="D36" i="28"/>
  <c r="D32" i="25"/>
  <c r="D28" i="55"/>
  <c r="D24" i="24"/>
  <c r="D40" i="24"/>
  <c r="D36" i="22"/>
  <c r="D32" i="21"/>
  <c r="L18" i="17"/>
  <c r="D32" i="43"/>
  <c r="D25" i="61"/>
  <c r="D24" i="28"/>
  <c r="D37" i="28"/>
  <c r="D36" i="25"/>
  <c r="D28" i="24"/>
  <c r="D40" i="22"/>
  <c r="D24" i="21"/>
  <c r="K15" i="17"/>
  <c r="D33" i="43"/>
  <c r="D32" i="61"/>
  <c r="D25" i="28"/>
  <c r="D24" i="25"/>
  <c r="D37" i="25"/>
  <c r="D36" i="55"/>
  <c r="D28" i="22"/>
  <c r="D25" i="19"/>
  <c r="D29" i="21"/>
  <c r="D37" i="43"/>
  <c r="D32" i="28"/>
  <c r="D24" i="55"/>
  <c r="D40" i="19"/>
  <c r="L15" i="17"/>
  <c r="D36" i="24"/>
  <c r="D37" i="21"/>
  <c r="K11" i="17"/>
  <c r="D21" i="43"/>
  <c r="D25" i="25"/>
  <c r="K18" i="17"/>
  <c r="D37" i="55"/>
  <c r="AK39" i="9"/>
  <c r="AK35" i="9"/>
  <c r="AK31" i="9"/>
  <c r="AK23" i="9"/>
  <c r="M22" i="9"/>
  <c r="H22" i="9"/>
  <c r="H23" i="9" s="1"/>
  <c r="H24" i="9" s="1"/>
  <c r="H25" i="9" s="1"/>
  <c r="H26" i="9" s="1"/>
  <c r="H27" i="9" s="1"/>
  <c r="H28" i="9" s="1"/>
  <c r="H29" i="9" s="1"/>
  <c r="H30" i="9" s="1"/>
  <c r="H31" i="9" s="1"/>
  <c r="H32" i="9" s="1"/>
  <c r="H33" i="9" s="1"/>
  <c r="H34" i="9" s="1"/>
  <c r="H35" i="9" s="1"/>
  <c r="H36" i="9" s="1"/>
  <c r="H37" i="9" s="1"/>
  <c r="H38" i="9" s="1"/>
  <c r="H39" i="9" s="1"/>
  <c r="A65" i="46"/>
  <c r="A66" i="46" s="1"/>
  <c r="A67" i="46" s="1"/>
  <c r="A68" i="46" s="1"/>
  <c r="A69" i="46" s="1"/>
  <c r="A70" i="46" s="1"/>
  <c r="A71" i="46" s="1"/>
  <c r="A72" i="46" s="1"/>
  <c r="A73" i="46" s="1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H15" i="11"/>
  <c r="H16" i="11" s="1"/>
  <c r="F9" i="30" s="1"/>
  <c r="L64" i="30" s="1"/>
  <c r="T37" i="32"/>
  <c r="D28" i="19"/>
  <c r="A25" i="50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L7" i="4"/>
  <c r="L8" i="4" s="1"/>
  <c r="L6" i="4"/>
  <c r="M65" i="30"/>
  <c r="K64" i="30"/>
  <c r="K7" i="30"/>
  <c r="Q32" i="32"/>
  <c r="Q27" i="32"/>
  <c r="AF21" i="20"/>
  <c r="AF29" i="20"/>
  <c r="AF37" i="20"/>
  <c r="AF24" i="20"/>
  <c r="AF32" i="20"/>
  <c r="AF40" i="20"/>
  <c r="AF27" i="20"/>
  <c r="AF35" i="20"/>
  <c r="B8" i="20"/>
  <c r="B12" i="20" s="1"/>
  <c r="AF22" i="20"/>
  <c r="AF23" i="20"/>
  <c r="AF33" i="20"/>
  <c r="AF39" i="20"/>
  <c r="AF38" i="20"/>
  <c r="AF28" i="20"/>
  <c r="AF30" i="20"/>
  <c r="AF25" i="20"/>
  <c r="M26" i="30"/>
  <c r="N26" i="30"/>
  <c r="M5" i="30"/>
  <c r="Y24" i="32"/>
  <c r="N43" i="30"/>
  <c r="T21" i="32"/>
  <c r="Y31" i="20"/>
  <c r="AM31" i="20"/>
  <c r="AM26" i="20"/>
  <c r="Y26" i="20"/>
  <c r="B30" i="6"/>
  <c r="B30" i="21"/>
  <c r="B30" i="19"/>
  <c r="B30" i="8"/>
  <c r="AR24" i="32"/>
  <c r="AS23" i="32"/>
  <c r="B36" i="57"/>
  <c r="B24" i="57"/>
  <c r="B30" i="57"/>
  <c r="B37" i="57"/>
  <c r="B34" i="57"/>
  <c r="B26" i="57"/>
  <c r="B28" i="57"/>
  <c r="B38" i="57"/>
  <c r="B25" i="57"/>
  <c r="B33" i="57"/>
  <c r="E24" i="57"/>
  <c r="E25" i="57"/>
  <c r="E37" i="57"/>
  <c r="E33" i="57"/>
  <c r="E21" i="57"/>
  <c r="G8" i="2" s="1"/>
  <c r="G9" i="2" s="1"/>
  <c r="E40" i="57"/>
  <c r="E28" i="57"/>
  <c r="E32" i="57"/>
  <c r="L26" i="4"/>
  <c r="L23" i="4"/>
  <c r="L24" i="4" s="1"/>
  <c r="L25" i="4"/>
  <c r="B37" i="6"/>
  <c r="B37" i="8"/>
  <c r="B37" i="19"/>
  <c r="B37" i="21"/>
  <c r="D22" i="4"/>
  <c r="E22" i="4" s="1"/>
  <c r="F22" i="4"/>
  <c r="G22" i="4"/>
  <c r="C22" i="8" s="1"/>
  <c r="B36" i="6"/>
  <c r="B36" i="21"/>
  <c r="B36" i="8"/>
  <c r="B36" i="19"/>
  <c r="F39" i="4"/>
  <c r="G39" i="4"/>
  <c r="C39" i="8" s="1"/>
  <c r="D39" i="4"/>
  <c r="E39" i="4" s="1"/>
  <c r="B28" i="6"/>
  <c r="B28" i="21"/>
  <c r="B28" i="8"/>
  <c r="D27" i="4"/>
  <c r="E27" i="4" s="1"/>
  <c r="F27" i="4"/>
  <c r="G27" i="4"/>
  <c r="C27" i="8" s="1"/>
  <c r="H9" i="4"/>
  <c r="H10" i="4"/>
  <c r="D26" i="4"/>
  <c r="E26" i="4" s="1"/>
  <c r="F26" i="4"/>
  <c r="G26" i="4"/>
  <c r="C26" i="8" s="1"/>
  <c r="B33" i="21"/>
  <c r="B33" i="6"/>
  <c r="B33" i="19"/>
  <c r="B29" i="6"/>
  <c r="B29" i="8"/>
  <c r="B29" i="21"/>
  <c r="O10" i="4"/>
  <c r="O7" i="4"/>
  <c r="O8" i="4" s="1"/>
  <c r="O9" i="4"/>
  <c r="O26" i="4"/>
  <c r="O23" i="4"/>
  <c r="O24" i="4" s="1"/>
  <c r="O25" i="4"/>
  <c r="K8" i="30"/>
  <c r="K46" i="30"/>
  <c r="K47" i="30" s="1"/>
  <c r="K27" i="30"/>
  <c r="Q35" i="32"/>
  <c r="J40" i="8"/>
  <c r="AF45" i="6"/>
  <c r="AF22" i="6"/>
  <c r="AF30" i="6"/>
  <c r="AF34" i="6"/>
  <c r="AF38" i="6"/>
  <c r="AF25" i="6"/>
  <c r="AF37" i="6"/>
  <c r="AF48" i="6"/>
  <c r="AF54" i="6"/>
  <c r="AF47" i="6"/>
  <c r="M63" i="30"/>
  <c r="B29" i="19"/>
  <c r="F36" i="4"/>
  <c r="B32" i="19"/>
  <c r="F30" i="4"/>
  <c r="G30" i="4"/>
  <c r="C30" i="8" s="1"/>
  <c r="R26" i="4"/>
  <c r="F38" i="4"/>
  <c r="G38" i="4"/>
  <c r="C38" i="8" s="1"/>
  <c r="R15" i="4"/>
  <c r="R16" i="4" s="1"/>
  <c r="R18" i="4"/>
  <c r="O18" i="4"/>
  <c r="O15" i="4"/>
  <c r="O16" i="4" s="1"/>
  <c r="B40" i="6"/>
  <c r="B40" i="21"/>
  <c r="G28" i="4"/>
  <c r="C28" i="8" s="1"/>
  <c r="F28" i="4"/>
  <c r="B21" i="6"/>
  <c r="AF26" i="6" s="1"/>
  <c r="B21" i="8"/>
  <c r="E22" i="57"/>
  <c r="E26" i="57"/>
  <c r="E30" i="57"/>
  <c r="E34" i="57"/>
  <c r="E38" i="57"/>
  <c r="E23" i="57"/>
  <c r="E27" i="57"/>
  <c r="E31" i="57"/>
  <c r="E35" i="57"/>
  <c r="E39" i="57"/>
  <c r="B31" i="6"/>
  <c r="B31" i="19"/>
  <c r="B31" i="21"/>
  <c r="D25" i="4"/>
  <c r="E25" i="4" s="1"/>
  <c r="F25" i="4"/>
  <c r="AC41" i="6"/>
  <c r="AC45" i="6"/>
  <c r="AC49" i="6"/>
  <c r="AC53" i="6"/>
  <c r="AC21" i="6"/>
  <c r="AC22" i="6"/>
  <c r="AC23" i="6"/>
  <c r="AC24" i="6"/>
  <c r="AC25" i="6"/>
  <c r="AC26" i="6"/>
  <c r="AC27" i="6"/>
  <c r="AC28" i="6"/>
  <c r="AC29" i="6"/>
  <c r="AC30" i="6"/>
  <c r="AC31" i="6"/>
  <c r="AC32" i="6"/>
  <c r="AC33" i="6"/>
  <c r="AC34" i="6"/>
  <c r="AC35" i="6"/>
  <c r="AC36" i="6"/>
  <c r="AC37" i="6"/>
  <c r="AC38" i="6"/>
  <c r="AC39" i="6"/>
  <c r="AC40" i="6"/>
  <c r="AC44" i="6"/>
  <c r="AC48" i="6"/>
  <c r="AC52" i="6"/>
  <c r="E36" i="57"/>
  <c r="E29" i="57"/>
  <c r="B23" i="57"/>
  <c r="B27" i="57"/>
  <c r="B31" i="57"/>
  <c r="B35" i="57"/>
  <c r="B39" i="57"/>
  <c r="B8" i="57"/>
  <c r="B12" i="57" s="1"/>
  <c r="D35" i="4"/>
  <c r="E35" i="4" s="1"/>
  <c r="F35" i="4"/>
  <c r="F33" i="4"/>
  <c r="G33" i="4"/>
  <c r="C33" i="8" s="1"/>
  <c r="B29" i="57"/>
  <c r="B22" i="57"/>
  <c r="D23" i="4"/>
  <c r="E23" i="4" s="1"/>
  <c r="F23" i="4"/>
  <c r="E3" i="52"/>
  <c r="F3" i="52" s="1"/>
  <c r="G3" i="52" s="1"/>
  <c r="AJ2" i="52"/>
  <c r="F2" i="52"/>
  <c r="G2" i="52" s="1"/>
  <c r="I21" i="9" l="1"/>
  <c r="AA21" i="35" s="1"/>
  <c r="C21" i="13"/>
  <c r="D21" i="13" s="1"/>
  <c r="Z53" i="11"/>
  <c r="AA48" i="11"/>
  <c r="AA52" i="11"/>
  <c r="AA49" i="11"/>
  <c r="AA56" i="11"/>
  <c r="AA50" i="11"/>
  <c r="AA54" i="11"/>
  <c r="AA59" i="11"/>
  <c r="AA60" i="11"/>
  <c r="AA58" i="11"/>
  <c r="AA53" i="11"/>
  <c r="AA47" i="11"/>
  <c r="AA51" i="11"/>
  <c r="A84" i="50"/>
  <c r="A65" i="50"/>
  <c r="A66" i="50" s="1"/>
  <c r="A67" i="50" s="1"/>
  <c r="A68" i="50" s="1"/>
  <c r="A69" i="50" s="1"/>
  <c r="A70" i="50" s="1"/>
  <c r="A71" i="50" s="1"/>
  <c r="A72" i="50" s="1"/>
  <c r="A73" i="50" s="1"/>
  <c r="A74" i="50" s="1"/>
  <c r="A75" i="50" s="1"/>
  <c r="A76" i="50" s="1"/>
  <c r="A77" i="50" s="1"/>
  <c r="A78" i="50" s="1"/>
  <c r="A79" i="50" s="1"/>
  <c r="A80" i="50" s="1"/>
  <c r="A81" i="50" s="1"/>
  <c r="A82" i="50" s="1"/>
  <c r="A83" i="50" s="1"/>
  <c r="AA99" i="11"/>
  <c r="B32" i="6"/>
  <c r="AF33" i="6"/>
  <c r="AK33" i="6" s="1"/>
  <c r="AF49" i="6"/>
  <c r="AK49" i="6" s="1"/>
  <c r="Z58" i="11"/>
  <c r="AC59" i="11" s="1"/>
  <c r="Z57" i="11"/>
  <c r="AC58" i="11" s="1"/>
  <c r="AA103" i="11"/>
  <c r="AA105" i="11"/>
  <c r="AA72" i="11"/>
  <c r="AA82" i="11"/>
  <c r="AA84" i="11"/>
  <c r="AA77" i="11"/>
  <c r="AA85" i="11"/>
  <c r="AA86" i="11"/>
  <c r="AA87" i="11" s="1"/>
  <c r="AA88" i="11" s="1"/>
  <c r="AA80" i="11"/>
  <c r="AA110" i="11"/>
  <c r="AB109" i="11" s="1"/>
  <c r="AF52" i="6"/>
  <c r="AF41" i="6"/>
  <c r="AL41" i="6" s="1"/>
  <c r="AM41" i="6" s="1"/>
  <c r="AN41" i="6" s="1"/>
  <c r="N45" i="30"/>
  <c r="Z61" i="11"/>
  <c r="AA107" i="11"/>
  <c r="AA102" i="11"/>
  <c r="AB102" i="11" s="1"/>
  <c r="A45" i="49"/>
  <c r="A46" i="49" s="1"/>
  <c r="A47" i="49" s="1"/>
  <c r="A48" i="49" s="1"/>
  <c r="A49" i="49" s="1"/>
  <c r="A50" i="49" s="1"/>
  <c r="A51" i="49" s="1"/>
  <c r="A52" i="49" s="1"/>
  <c r="A53" i="49" s="1"/>
  <c r="A54" i="49" s="1"/>
  <c r="A55" i="49" s="1"/>
  <c r="A56" i="49" s="1"/>
  <c r="A57" i="49" s="1"/>
  <c r="A58" i="49" s="1"/>
  <c r="A59" i="49" s="1"/>
  <c r="A60" i="49" s="1"/>
  <c r="A61" i="49" s="1"/>
  <c r="A62" i="49" s="1"/>
  <c r="A63" i="49" s="1"/>
  <c r="A64" i="49"/>
  <c r="Z63" i="11"/>
  <c r="Z28" i="11"/>
  <c r="AA29" i="11" s="1"/>
  <c r="AA35" i="11"/>
  <c r="AA26" i="11"/>
  <c r="AA28" i="11"/>
  <c r="AA22" i="11"/>
  <c r="AA33" i="11"/>
  <c r="AA30" i="11"/>
  <c r="AA100" i="11"/>
  <c r="AF43" i="6"/>
  <c r="Z41" i="11"/>
  <c r="Z60" i="11"/>
  <c r="AA61" i="11" s="1"/>
  <c r="AA62" i="11" s="1"/>
  <c r="AA63" i="11" s="1"/>
  <c r="AA64" i="11" s="1"/>
  <c r="AA65" i="11" s="1"/>
  <c r="AA66" i="11" s="1"/>
  <c r="K23" i="9"/>
  <c r="G23" i="8" s="1"/>
  <c r="Z56" i="11"/>
  <c r="AA57" i="11" s="1"/>
  <c r="AB56" i="11" s="1"/>
  <c r="H7" i="4"/>
  <c r="H8" i="4" s="1"/>
  <c r="E8" i="4"/>
  <c r="B32" i="8"/>
  <c r="Z59" i="11"/>
  <c r="AC60" i="11" s="1"/>
  <c r="AA101" i="11"/>
  <c r="AA21" i="1"/>
  <c r="B21" i="53"/>
  <c r="AC47" i="11"/>
  <c r="K66" i="30"/>
  <c r="AD101" i="11"/>
  <c r="Z62" i="11"/>
  <c r="Z49" i="11"/>
  <c r="AC50" i="11" s="1"/>
  <c r="N24" i="30"/>
  <c r="AC54" i="11"/>
  <c r="AC22" i="11"/>
  <c r="Z27" i="11"/>
  <c r="Z32" i="11"/>
  <c r="Z39" i="11"/>
  <c r="Z37" i="11"/>
  <c r="AB97" i="11"/>
  <c r="N6" i="30"/>
  <c r="Z26" i="11"/>
  <c r="AA27" i="11" s="1"/>
  <c r="Z73" i="11"/>
  <c r="AC74" i="11" s="1"/>
  <c r="Z76" i="11"/>
  <c r="AC77" i="11" s="1"/>
  <c r="Z80" i="11"/>
  <c r="AA81" i="11" s="1"/>
  <c r="Z83" i="11"/>
  <c r="Z85" i="11"/>
  <c r="Z87" i="11"/>
  <c r="Z88" i="11" s="1"/>
  <c r="Z89" i="11" s="1"/>
  <c r="Z90" i="11" s="1"/>
  <c r="Z75" i="11"/>
  <c r="AC76" i="11" s="1"/>
  <c r="Z82" i="11"/>
  <c r="AC83" i="11" s="1"/>
  <c r="Z72" i="11"/>
  <c r="AC73" i="11" s="1"/>
  <c r="Z79" i="11"/>
  <c r="Z84" i="11"/>
  <c r="Z77" i="11"/>
  <c r="AA78" i="11" s="1"/>
  <c r="Z78" i="11"/>
  <c r="AC79" i="11" s="1"/>
  <c r="Z86" i="11"/>
  <c r="Z74" i="11"/>
  <c r="AC75" i="11" s="1"/>
  <c r="Z81" i="11"/>
  <c r="AC82" i="11" s="1"/>
  <c r="AC72" i="11"/>
  <c r="AD98" i="11"/>
  <c r="Z29" i="11"/>
  <c r="Z25" i="11"/>
  <c r="AC26" i="11" s="1"/>
  <c r="AD109" i="11"/>
  <c r="Z65" i="11"/>
  <c r="Z66" i="11" s="1"/>
  <c r="Z31" i="11"/>
  <c r="Z36" i="11"/>
  <c r="AA37" i="11" s="1"/>
  <c r="AA38" i="11" s="1"/>
  <c r="AA39" i="11" s="1"/>
  <c r="AA40" i="11" s="1"/>
  <c r="AA41" i="11" s="1"/>
  <c r="Z35" i="11"/>
  <c r="AC36" i="11" s="1"/>
  <c r="Z34" i="11"/>
  <c r="Z38" i="11"/>
  <c r="Z40" i="11"/>
  <c r="Z23" i="11"/>
  <c r="AC24" i="11" s="1"/>
  <c r="AB98" i="11"/>
  <c r="Z30" i="11"/>
  <c r="AA31" i="11" s="1"/>
  <c r="Z54" i="11"/>
  <c r="AA55" i="11" s="1"/>
  <c r="Z52" i="11"/>
  <c r="Z48" i="11"/>
  <c r="Z64" i="11"/>
  <c r="Z22" i="11"/>
  <c r="AC23" i="11" s="1"/>
  <c r="AD22" i="11" s="1"/>
  <c r="Z24" i="11"/>
  <c r="AC25" i="11" s="1"/>
  <c r="AD24" i="11" s="1"/>
  <c r="AC84" i="11"/>
  <c r="AC85" i="11" s="1"/>
  <c r="Z33" i="11"/>
  <c r="AC34" i="11" s="1"/>
  <c r="AD21" i="20"/>
  <c r="D21" i="9"/>
  <c r="G21" i="3" s="1"/>
  <c r="L21" i="40"/>
  <c r="N21" i="40" s="1"/>
  <c r="C21" i="42"/>
  <c r="D21" i="42" s="1"/>
  <c r="L21" i="35"/>
  <c r="N21" i="35" s="1"/>
  <c r="O21" i="35" s="1"/>
  <c r="B19" i="9"/>
  <c r="D43" i="9" s="1"/>
  <c r="L21" i="38"/>
  <c r="N21" i="38" s="1"/>
  <c r="AQ21" i="8"/>
  <c r="B21" i="36"/>
  <c r="L21" i="59"/>
  <c r="N21" i="59" s="1"/>
  <c r="AI21" i="8"/>
  <c r="B21" i="41"/>
  <c r="L21" i="1"/>
  <c r="B21" i="2" s="1"/>
  <c r="B21" i="34"/>
  <c r="AA21" i="8"/>
  <c r="E21" i="51"/>
  <c r="AE21" i="51" s="1"/>
  <c r="AF21" i="51" s="1"/>
  <c r="B21" i="29"/>
  <c r="B21" i="37"/>
  <c r="F21" i="9"/>
  <c r="M21" i="3" s="1"/>
  <c r="E18" i="9"/>
  <c r="E21" i="9" s="1"/>
  <c r="AD21" i="32" s="1"/>
  <c r="Q21" i="33" s="1"/>
  <c r="C21" i="23"/>
  <c r="D21" i="23" s="1"/>
  <c r="B21" i="58"/>
  <c r="U21" i="20"/>
  <c r="C21" i="26"/>
  <c r="D21" i="26" s="1"/>
  <c r="C21" i="27"/>
  <c r="D21" i="27" s="1"/>
  <c r="L21" i="33"/>
  <c r="N21" i="33" s="1"/>
  <c r="O21" i="33" s="1"/>
  <c r="E21" i="32"/>
  <c r="J21" i="32" s="1"/>
  <c r="L21" i="54"/>
  <c r="N21" i="54" s="1"/>
  <c r="AC32" i="11"/>
  <c r="AC31" i="11"/>
  <c r="AC51" i="11"/>
  <c r="B25" i="21"/>
  <c r="B25" i="6"/>
  <c r="B25" i="19"/>
  <c r="B25" i="8"/>
  <c r="A65" i="56"/>
  <c r="A84" i="56"/>
  <c r="AE40" i="20"/>
  <c r="V40" i="20"/>
  <c r="M40" i="40"/>
  <c r="M40" i="35"/>
  <c r="M40" i="33"/>
  <c r="M40" i="1"/>
  <c r="M40" i="38"/>
  <c r="M40" i="59"/>
  <c r="F40" i="32"/>
  <c r="B40" i="42"/>
  <c r="B40" i="13"/>
  <c r="AA40" i="9"/>
  <c r="B40" i="26"/>
  <c r="B40" i="23"/>
  <c r="D40" i="51"/>
  <c r="M40" i="54"/>
  <c r="B40" i="27"/>
  <c r="Z40" i="9"/>
  <c r="C22" i="9"/>
  <c r="Z116" i="11"/>
  <c r="B39" i="6"/>
  <c r="B39" i="19"/>
  <c r="B39" i="21"/>
  <c r="B39" i="8"/>
  <c r="AK26" i="6"/>
  <c r="AL26" i="6"/>
  <c r="AM26" i="6" s="1"/>
  <c r="AN26" i="6" s="1"/>
  <c r="AK38" i="6"/>
  <c r="AL38" i="6"/>
  <c r="AM38" i="6" s="1"/>
  <c r="AN38" i="6" s="1"/>
  <c r="B35" i="6"/>
  <c r="B35" i="8"/>
  <c r="B35" i="19"/>
  <c r="B35" i="21"/>
  <c r="R10" i="4"/>
  <c r="R9" i="4"/>
  <c r="R7" i="4"/>
  <c r="R8" i="4" s="1"/>
  <c r="B7" i="23" s="1"/>
  <c r="AC104" i="11"/>
  <c r="AB103" i="11"/>
  <c r="AK48" i="6"/>
  <c r="AL48" i="6"/>
  <c r="AM48" i="6" s="1"/>
  <c r="AN48" i="6" s="1"/>
  <c r="AK30" i="6"/>
  <c r="AL30" i="6"/>
  <c r="AM30" i="6" s="1"/>
  <c r="AN30" i="6" s="1"/>
  <c r="E22" i="12"/>
  <c r="G22" i="2"/>
  <c r="M23" i="9"/>
  <c r="AC106" i="11"/>
  <c r="AD105" i="11" s="1"/>
  <c r="AB105" i="11"/>
  <c r="F21" i="54"/>
  <c r="F21" i="33"/>
  <c r="F21" i="59"/>
  <c r="F21" i="35"/>
  <c r="F21" i="40"/>
  <c r="F21" i="38"/>
  <c r="F21" i="1"/>
  <c r="B21" i="3"/>
  <c r="B22" i="6"/>
  <c r="B22" i="21"/>
  <c r="B22" i="19"/>
  <c r="B22" i="8"/>
  <c r="Y30" i="20"/>
  <c r="AM30" i="20"/>
  <c r="AM35" i="20"/>
  <c r="Y35" i="20"/>
  <c r="AD110" i="11"/>
  <c r="AC112" i="11"/>
  <c r="M27" i="30"/>
  <c r="M28" i="30" s="1"/>
  <c r="N27" i="30"/>
  <c r="AC108" i="11"/>
  <c r="AB107" i="11"/>
  <c r="AK41" i="6"/>
  <c r="M46" i="30"/>
  <c r="M47" i="30" s="1"/>
  <c r="N46" i="30"/>
  <c r="N47" i="30" s="1"/>
  <c r="F28" i="13"/>
  <c r="F31" i="13"/>
  <c r="F36" i="13"/>
  <c r="F39" i="13"/>
  <c r="F26" i="13"/>
  <c r="F29" i="13"/>
  <c r="F34" i="13"/>
  <c r="F37" i="13"/>
  <c r="F27" i="13"/>
  <c r="F35" i="13"/>
  <c r="F40" i="13"/>
  <c r="F32" i="13"/>
  <c r="F33" i="13"/>
  <c r="F30" i="13"/>
  <c r="F38" i="13"/>
  <c r="K28" i="30"/>
  <c r="I2" i="52"/>
  <c r="Q2" i="52"/>
  <c r="R2" i="52" s="1"/>
  <c r="K2" i="52"/>
  <c r="J2" i="52"/>
  <c r="AK34" i="6"/>
  <c r="AL34" i="6"/>
  <c r="AM34" i="6" s="1"/>
  <c r="AN34" i="6" s="1"/>
  <c r="M8" i="30"/>
  <c r="N8" i="30"/>
  <c r="K9" i="30"/>
  <c r="E27" i="29"/>
  <c r="E35" i="29"/>
  <c r="E26" i="29"/>
  <c r="E34" i="29"/>
  <c r="E25" i="29"/>
  <c r="E33" i="29"/>
  <c r="E31" i="29"/>
  <c r="E30" i="29"/>
  <c r="E37" i="29"/>
  <c r="E28" i="29"/>
  <c r="E40" i="29"/>
  <c r="E36" i="29"/>
  <c r="E21" i="29"/>
  <c r="E24" i="29"/>
  <c r="E39" i="29"/>
  <c r="E29" i="29"/>
  <c r="E22" i="29"/>
  <c r="E38" i="29"/>
  <c r="E23" i="29"/>
  <c r="E32" i="29"/>
  <c r="Y25" i="20"/>
  <c r="AM25" i="20"/>
  <c r="AM21" i="20"/>
  <c r="Y21" i="20"/>
  <c r="AD99" i="11"/>
  <c r="AK37" i="6"/>
  <c r="AL37" i="6"/>
  <c r="AM37" i="6" s="1"/>
  <c r="AN37" i="6" s="1"/>
  <c r="AK22" i="6"/>
  <c r="AL22" i="6"/>
  <c r="AM22" i="6" s="1"/>
  <c r="AN22" i="6" s="1"/>
  <c r="AN21" i="6" s="1"/>
  <c r="Y25" i="32"/>
  <c r="Y28" i="20"/>
  <c r="AM28" i="20"/>
  <c r="AM27" i="20"/>
  <c r="Y27" i="20"/>
  <c r="T27" i="32"/>
  <c r="N62" i="30"/>
  <c r="L66" i="30"/>
  <c r="J3" i="52"/>
  <c r="I3" i="52"/>
  <c r="Q3" i="52"/>
  <c r="R3" i="52" s="1"/>
  <c r="K3" i="52"/>
  <c r="B26" i="6"/>
  <c r="B26" i="8"/>
  <c r="B26" i="21"/>
  <c r="B26" i="19"/>
  <c r="B51" i="9"/>
  <c r="AK25" i="6"/>
  <c r="AL25" i="6"/>
  <c r="AM25" i="6" s="1"/>
  <c r="AN25" i="6" s="1"/>
  <c r="Y39" i="20"/>
  <c r="AM39" i="20"/>
  <c r="AM32" i="20"/>
  <c r="Y32" i="20"/>
  <c r="B23" i="6"/>
  <c r="B23" i="19"/>
  <c r="B23" i="21"/>
  <c r="B23" i="8"/>
  <c r="AF29" i="6"/>
  <c r="B27" i="6"/>
  <c r="B27" i="8"/>
  <c r="B27" i="19"/>
  <c r="B27" i="21"/>
  <c r="Y38" i="20"/>
  <c r="AM38" i="20"/>
  <c r="AM40" i="20"/>
  <c r="Y40" i="20"/>
  <c r="T32" i="32"/>
  <c r="A124" i="46"/>
  <c r="A105" i="46"/>
  <c r="AF27" i="6"/>
  <c r="AF35" i="6"/>
  <c r="AF46" i="6"/>
  <c r="AF55" i="6"/>
  <c r="AF42" i="6"/>
  <c r="AF24" i="6"/>
  <c r="AF40" i="6"/>
  <c r="AF28" i="6"/>
  <c r="AF31" i="6"/>
  <c r="AF32" i="6"/>
  <c r="AF44" i="6"/>
  <c r="AF50" i="6"/>
  <c r="AF39" i="6"/>
  <c r="AF36" i="6"/>
  <c r="AF23" i="6"/>
  <c r="AF51" i="6"/>
  <c r="AF21" i="6"/>
  <c r="AF53" i="6"/>
  <c r="AS24" i="32"/>
  <c r="AR25" i="32"/>
  <c r="Y33" i="20"/>
  <c r="AM33" i="20"/>
  <c r="AM24" i="20"/>
  <c r="Y24" i="20"/>
  <c r="M7" i="30"/>
  <c r="N7" i="30"/>
  <c r="L10" i="4"/>
  <c r="L9" i="4"/>
  <c r="AD102" i="11"/>
  <c r="AL2" i="52"/>
  <c r="AK2" i="52"/>
  <c r="AK47" i="6"/>
  <c r="AL47" i="6"/>
  <c r="AM47" i="6" s="1"/>
  <c r="AN47" i="6" s="1"/>
  <c r="AK52" i="6"/>
  <c r="AL52" i="6"/>
  <c r="AM52" i="6" s="1"/>
  <c r="AN52" i="6" s="1"/>
  <c r="AM23" i="20"/>
  <c r="Y23" i="20"/>
  <c r="AM37" i="20"/>
  <c r="Y37" i="20"/>
  <c r="N64" i="30"/>
  <c r="M64" i="30"/>
  <c r="M66" i="30" s="1"/>
  <c r="AI24" i="32"/>
  <c r="AH25" i="32"/>
  <c r="B24" i="6"/>
  <c r="B24" i="19"/>
  <c r="B24" i="8"/>
  <c r="B24" i="21"/>
  <c r="AD58" i="11"/>
  <c r="F40" i="40"/>
  <c r="F40" i="59"/>
  <c r="B40" i="3"/>
  <c r="F40" i="35"/>
  <c r="F40" i="33"/>
  <c r="F40" i="1"/>
  <c r="F40" i="38"/>
  <c r="F40" i="54"/>
  <c r="AJ3" i="52"/>
  <c r="E4" i="52"/>
  <c r="AK54" i="6"/>
  <c r="AL54" i="6"/>
  <c r="AM54" i="6" s="1"/>
  <c r="AN54" i="6" s="1"/>
  <c r="AK43" i="6"/>
  <c r="AL43" i="6"/>
  <c r="AM43" i="6" s="1"/>
  <c r="AN43" i="6" s="1"/>
  <c r="AK45" i="6"/>
  <c r="AL45" i="6"/>
  <c r="AM45" i="6" s="1"/>
  <c r="AN45" i="6" s="1"/>
  <c r="T35" i="32"/>
  <c r="Y22" i="20"/>
  <c r="AM22" i="20"/>
  <c r="AM29" i="20"/>
  <c r="Y29" i="20"/>
  <c r="AD100" i="11"/>
  <c r="AD97" i="11"/>
  <c r="C21" i="12"/>
  <c r="E21" i="3"/>
  <c r="C21" i="2"/>
  <c r="R21" i="54" l="1"/>
  <c r="AB57" i="11"/>
  <c r="AD72" i="11"/>
  <c r="A65" i="49"/>
  <c r="A66" i="49" s="1"/>
  <c r="A67" i="49" s="1"/>
  <c r="A68" i="49" s="1"/>
  <c r="A69" i="49" s="1"/>
  <c r="A70" i="49" s="1"/>
  <c r="A71" i="49" s="1"/>
  <c r="A72" i="49" s="1"/>
  <c r="A73" i="49" s="1"/>
  <c r="A74" i="49" s="1"/>
  <c r="A75" i="49" s="1"/>
  <c r="A76" i="49" s="1"/>
  <c r="A77" i="49" s="1"/>
  <c r="A78" i="49" s="1"/>
  <c r="A79" i="49" s="1"/>
  <c r="A80" i="49" s="1"/>
  <c r="A81" i="49" s="1"/>
  <c r="A82" i="49" s="1"/>
  <c r="A83" i="49" s="1"/>
  <c r="A84" i="49"/>
  <c r="M9" i="30"/>
  <c r="AB110" i="11"/>
  <c r="K24" i="9"/>
  <c r="AA25" i="11"/>
  <c r="AA32" i="11"/>
  <c r="AB31" i="11" s="1"/>
  <c r="AA74" i="11"/>
  <c r="AA90" i="11"/>
  <c r="AA91" i="11" s="1"/>
  <c r="AC29" i="11"/>
  <c r="AA36" i="11"/>
  <c r="AB35" i="11" s="1"/>
  <c r="AA76" i="11"/>
  <c r="AA73" i="11"/>
  <c r="AA83" i="11"/>
  <c r="AL49" i="6"/>
  <c r="AM49" i="6" s="1"/>
  <c r="AN49" i="6" s="1"/>
  <c r="AL33" i="6"/>
  <c r="AM33" i="6" s="1"/>
  <c r="AN33" i="6" s="1"/>
  <c r="N28" i="30"/>
  <c r="K33" i="30" s="1"/>
  <c r="AC57" i="11"/>
  <c r="AA75" i="11"/>
  <c r="AA24" i="11"/>
  <c r="AA89" i="11"/>
  <c r="AA34" i="11"/>
  <c r="AA23" i="11"/>
  <c r="AB22" i="11" s="1"/>
  <c r="AA79" i="11"/>
  <c r="AB78" i="11" s="1"/>
  <c r="A85" i="50"/>
  <c r="A86" i="50" s="1"/>
  <c r="A87" i="50" s="1"/>
  <c r="A88" i="50" s="1"/>
  <c r="A89" i="50" s="1"/>
  <c r="A90" i="50" s="1"/>
  <c r="A91" i="50" s="1"/>
  <c r="A92" i="50" s="1"/>
  <c r="A93" i="50" s="1"/>
  <c r="A94" i="50" s="1"/>
  <c r="A95" i="50" s="1"/>
  <c r="A96" i="50" s="1"/>
  <c r="A97" i="50" s="1"/>
  <c r="A98" i="50" s="1"/>
  <c r="A99" i="50" s="1"/>
  <c r="A100" i="50" s="1"/>
  <c r="A101" i="50" s="1"/>
  <c r="A102" i="50" s="1"/>
  <c r="A103" i="50" s="1"/>
  <c r="A104" i="50"/>
  <c r="AO21" i="33"/>
  <c r="AP21" i="33" s="1"/>
  <c r="BS21" i="33" s="1"/>
  <c r="AB99" i="11"/>
  <c r="AB54" i="11"/>
  <c r="AB55" i="11"/>
  <c r="AD76" i="11"/>
  <c r="AB50" i="11"/>
  <c r="AD50" i="11"/>
  <c r="AD23" i="11"/>
  <c r="AC55" i="11"/>
  <c r="AD54" i="11" s="1"/>
  <c r="AD83" i="11"/>
  <c r="AB47" i="11"/>
  <c r="AB100" i="11"/>
  <c r="AB32" i="11"/>
  <c r="AB29" i="11"/>
  <c r="AB26" i="11"/>
  <c r="AC28" i="11"/>
  <c r="AC80" i="11"/>
  <c r="AD79" i="11" s="1"/>
  <c r="AB27" i="11"/>
  <c r="AB28" i="11"/>
  <c r="AC37" i="11"/>
  <c r="AD25" i="11"/>
  <c r="AB101" i="11"/>
  <c r="AC27" i="11"/>
  <c r="AB76" i="11"/>
  <c r="AD82" i="11"/>
  <c r="AD73" i="11"/>
  <c r="AB51" i="11"/>
  <c r="AC49" i="11"/>
  <c r="AD47" i="11"/>
  <c r="AD74" i="11"/>
  <c r="AC35" i="11"/>
  <c r="AC78" i="11"/>
  <c r="AD77" i="11" s="1"/>
  <c r="AC30" i="11"/>
  <c r="AC53" i="11"/>
  <c r="AD52" i="11" s="1"/>
  <c r="AB52" i="11"/>
  <c r="AB23" i="11"/>
  <c r="AB33" i="11"/>
  <c r="AB30" i="11"/>
  <c r="N9" i="30"/>
  <c r="K14" i="30" s="1"/>
  <c r="L13" i="30" s="1"/>
  <c r="AB24" i="11"/>
  <c r="AD30" i="11"/>
  <c r="AC33" i="11"/>
  <c r="AD32" i="11" s="1"/>
  <c r="AD75" i="11"/>
  <c r="AD51" i="11"/>
  <c r="AB72" i="11"/>
  <c r="AB80" i="11"/>
  <c r="AC81" i="11"/>
  <c r="Q21" i="59"/>
  <c r="Q21" i="38"/>
  <c r="N21" i="1"/>
  <c r="O21" i="1" s="1"/>
  <c r="E19" i="9"/>
  <c r="E40" i="9" s="1"/>
  <c r="AD40" i="32" s="1"/>
  <c r="Q40" i="40" s="1"/>
  <c r="D40" i="9"/>
  <c r="G40" i="3" s="1"/>
  <c r="R40" i="40" s="1"/>
  <c r="D21" i="3"/>
  <c r="B21" i="12"/>
  <c r="G21" i="12" s="1"/>
  <c r="Q21" i="1"/>
  <c r="B40" i="9"/>
  <c r="I40" i="9" s="1"/>
  <c r="R21" i="40"/>
  <c r="R21" i="38"/>
  <c r="R21" i="33"/>
  <c r="L21" i="32"/>
  <c r="R21" i="1"/>
  <c r="R21" i="59"/>
  <c r="R21" i="35"/>
  <c r="G21" i="32"/>
  <c r="H21" i="32" s="1"/>
  <c r="AN21" i="32" s="1"/>
  <c r="Q21" i="54"/>
  <c r="F40" i="9"/>
  <c r="M40" i="3" s="1"/>
  <c r="Q21" i="40"/>
  <c r="F43" i="9"/>
  <c r="Q21" i="35"/>
  <c r="AD31" i="11"/>
  <c r="AB58" i="11"/>
  <c r="AK50" i="6"/>
  <c r="AL50" i="6"/>
  <c r="AM50" i="6" s="1"/>
  <c r="AN50" i="6" s="1"/>
  <c r="U3" i="52"/>
  <c r="V3" i="52" s="1"/>
  <c r="C34" i="32"/>
  <c r="C34" i="1"/>
  <c r="D24" i="29"/>
  <c r="B24" i="22"/>
  <c r="C40" i="32"/>
  <c r="C40" i="1"/>
  <c r="C26" i="32"/>
  <c r="C26" i="1"/>
  <c r="B27" i="22"/>
  <c r="D27" i="29"/>
  <c r="AD107" i="11"/>
  <c r="AD108" i="11"/>
  <c r="D21" i="2"/>
  <c r="C40" i="12"/>
  <c r="C40" i="2"/>
  <c r="E40" i="3"/>
  <c r="AK53" i="6"/>
  <c r="AL53" i="6"/>
  <c r="AM53" i="6" s="1"/>
  <c r="AN53" i="6" s="1"/>
  <c r="AL32" i="6"/>
  <c r="AM32" i="6" s="1"/>
  <c r="AN32" i="6" s="1"/>
  <c r="AK32" i="6"/>
  <c r="AL35" i="6"/>
  <c r="AM35" i="6" s="1"/>
  <c r="AN35" i="6" s="1"/>
  <c r="AK35" i="6"/>
  <c r="A106" i="46"/>
  <c r="L3" i="52"/>
  <c r="M3" i="52" s="1"/>
  <c r="P3" i="52" s="1"/>
  <c r="C38" i="32"/>
  <c r="C38" i="1"/>
  <c r="C28" i="1"/>
  <c r="C28" i="32"/>
  <c r="C35" i="1"/>
  <c r="C35" i="32"/>
  <c r="B30" i="22"/>
  <c r="D30" i="29"/>
  <c r="B37" i="22"/>
  <c r="D37" i="29"/>
  <c r="D28" i="29"/>
  <c r="B28" i="22"/>
  <c r="AD106" i="11"/>
  <c r="AD111" i="11"/>
  <c r="AC113" i="11"/>
  <c r="B7" i="42"/>
  <c r="B7" i="26"/>
  <c r="B7" i="27"/>
  <c r="AK44" i="6"/>
  <c r="AL44" i="6"/>
  <c r="AM44" i="6" s="1"/>
  <c r="AN44" i="6" s="1"/>
  <c r="L2" i="52"/>
  <c r="N2" i="52" s="1"/>
  <c r="O2" i="52" s="1"/>
  <c r="B31" i="22"/>
  <c r="D31" i="29"/>
  <c r="AK21" i="6"/>
  <c r="AL21" i="6"/>
  <c r="AM21" i="6" s="1"/>
  <c r="AL31" i="6"/>
  <c r="AM31" i="6" s="1"/>
  <c r="AN31" i="6" s="1"/>
  <c r="AK31" i="6"/>
  <c r="AL27" i="6"/>
  <c r="AM27" i="6" s="1"/>
  <c r="AN27" i="6" s="1"/>
  <c r="AK27" i="6"/>
  <c r="A125" i="46"/>
  <c r="A144" i="46"/>
  <c r="AB104" i="11"/>
  <c r="AC38" i="11"/>
  <c r="AD36" i="11"/>
  <c r="L51" i="30"/>
  <c r="K52" i="30"/>
  <c r="Y26" i="32"/>
  <c r="C22" i="32"/>
  <c r="C22" i="1"/>
  <c r="C37" i="32"/>
  <c r="C37" i="1"/>
  <c r="C27" i="32"/>
  <c r="C27" i="1"/>
  <c r="U2" i="52"/>
  <c r="V2" i="52" s="1"/>
  <c r="B25" i="22"/>
  <c r="D25" i="29"/>
  <c r="D34" i="29"/>
  <c r="B34" i="22"/>
  <c r="B23" i="22"/>
  <c r="D23" i="29"/>
  <c r="AO2" i="52"/>
  <c r="AQ2" i="52" s="1"/>
  <c r="AS25" i="32"/>
  <c r="AR26" i="32"/>
  <c r="J23" i="8"/>
  <c r="AK29" i="6"/>
  <c r="AL29" i="6"/>
  <c r="AM29" i="6" s="1"/>
  <c r="AN29" i="6" s="1"/>
  <c r="C32" i="32"/>
  <c r="C32" i="1"/>
  <c r="C36" i="1"/>
  <c r="C36" i="32"/>
  <c r="B38" i="22"/>
  <c r="D38" i="29"/>
  <c r="B22" i="3"/>
  <c r="AZ22" i="3" s="1"/>
  <c r="F22" i="40"/>
  <c r="F22" i="59"/>
  <c r="F22" i="35"/>
  <c r="F22" i="1"/>
  <c r="F22" i="38"/>
  <c r="F22" i="54"/>
  <c r="F22" i="33"/>
  <c r="AK46" i="6"/>
  <c r="AL46" i="6"/>
  <c r="AM46" i="6" s="1"/>
  <c r="AN46" i="6" s="1"/>
  <c r="AD59" i="11"/>
  <c r="AC61" i="11"/>
  <c r="C23" i="1"/>
  <c r="C23" i="32"/>
  <c r="B22" i="22"/>
  <c r="D22" i="29"/>
  <c r="AD103" i="11"/>
  <c r="AD104" i="11"/>
  <c r="AB108" i="11"/>
  <c r="AL51" i="6"/>
  <c r="AM51" i="6" s="1"/>
  <c r="AN51" i="6" s="1"/>
  <c r="AK51" i="6"/>
  <c r="AL28" i="6"/>
  <c r="AM28" i="6" s="1"/>
  <c r="AN28" i="6" s="1"/>
  <c r="AK28" i="6"/>
  <c r="AB106" i="11"/>
  <c r="B52" i="9"/>
  <c r="C29" i="32"/>
  <c r="C29" i="1"/>
  <c r="C30" i="1"/>
  <c r="C30" i="32"/>
  <c r="M2" i="52"/>
  <c r="P2" i="52" s="1"/>
  <c r="S2" i="52" s="1"/>
  <c r="B33" i="22"/>
  <c r="D33" i="29"/>
  <c r="D29" i="29"/>
  <c r="B29" i="22"/>
  <c r="O21" i="40"/>
  <c r="AZ21" i="3"/>
  <c r="AR21" i="3"/>
  <c r="E27" i="41"/>
  <c r="E35" i="41"/>
  <c r="E23" i="58"/>
  <c r="C23" i="59" s="1"/>
  <c r="E31" i="58"/>
  <c r="C31" i="59" s="1"/>
  <c r="E39" i="58"/>
  <c r="C39" i="59" s="1"/>
  <c r="E27" i="36"/>
  <c r="E35" i="36"/>
  <c r="E23" i="37"/>
  <c r="C23" i="38" s="1"/>
  <c r="E31" i="37"/>
  <c r="C31" i="38" s="1"/>
  <c r="E39" i="37"/>
  <c r="C39" i="38" s="1"/>
  <c r="E27" i="53"/>
  <c r="C27" i="54" s="1"/>
  <c r="E35" i="53"/>
  <c r="C35" i="54" s="1"/>
  <c r="E23" i="34"/>
  <c r="C23" i="33" s="1"/>
  <c r="E31" i="34"/>
  <c r="C31" i="33" s="1"/>
  <c r="E39" i="34"/>
  <c r="C39" i="33" s="1"/>
  <c r="E26" i="41"/>
  <c r="E34" i="41"/>
  <c r="E22" i="58"/>
  <c r="C22" i="59" s="1"/>
  <c r="E30" i="58"/>
  <c r="C30" i="59" s="1"/>
  <c r="E38" i="58"/>
  <c r="C38" i="59" s="1"/>
  <c r="E26" i="36"/>
  <c r="E34" i="36"/>
  <c r="E22" i="37"/>
  <c r="C22" i="38" s="1"/>
  <c r="E30" i="37"/>
  <c r="C30" i="38" s="1"/>
  <c r="E38" i="37"/>
  <c r="C38" i="38" s="1"/>
  <c r="E26" i="53"/>
  <c r="C26" i="54" s="1"/>
  <c r="E34" i="53"/>
  <c r="C34" i="54" s="1"/>
  <c r="E22" i="34"/>
  <c r="C22" i="33" s="1"/>
  <c r="E30" i="34"/>
  <c r="C30" i="33" s="1"/>
  <c r="E38" i="34"/>
  <c r="C38" i="33" s="1"/>
  <c r="E25" i="41"/>
  <c r="E33" i="41"/>
  <c r="E21" i="58"/>
  <c r="C21" i="59" s="1"/>
  <c r="E29" i="58"/>
  <c r="C29" i="59" s="1"/>
  <c r="E37" i="58"/>
  <c r="C37" i="59" s="1"/>
  <c r="E25" i="36"/>
  <c r="E33" i="36"/>
  <c r="E21" i="37"/>
  <c r="C21" i="38" s="1"/>
  <c r="E29" i="37"/>
  <c r="C29" i="38" s="1"/>
  <c r="E37" i="37"/>
  <c r="C37" i="38" s="1"/>
  <c r="E25" i="53"/>
  <c r="C25" i="54" s="1"/>
  <c r="E33" i="53"/>
  <c r="C33" i="54" s="1"/>
  <c r="E21" i="34"/>
  <c r="C21" i="33" s="1"/>
  <c r="E29" i="34"/>
  <c r="C29" i="33" s="1"/>
  <c r="E37" i="34"/>
  <c r="C37" i="33" s="1"/>
  <c r="E23" i="41"/>
  <c r="E38" i="41"/>
  <c r="E25" i="58"/>
  <c r="C25" i="59" s="1"/>
  <c r="E32" i="58"/>
  <c r="C32" i="59" s="1"/>
  <c r="E24" i="36"/>
  <c r="E27" i="37"/>
  <c r="C27" i="38" s="1"/>
  <c r="E22" i="53"/>
  <c r="C22" i="54" s="1"/>
  <c r="E29" i="53"/>
  <c r="C29" i="54" s="1"/>
  <c r="E36" i="53"/>
  <c r="C36" i="54" s="1"/>
  <c r="E28" i="34"/>
  <c r="C28" i="33" s="1"/>
  <c r="E22" i="41"/>
  <c r="E29" i="41"/>
  <c r="E36" i="41"/>
  <c r="E28" i="58"/>
  <c r="C28" i="59" s="1"/>
  <c r="E31" i="36"/>
  <c r="E26" i="37"/>
  <c r="C26" i="38" s="1"/>
  <c r="E33" i="37"/>
  <c r="C33" i="38" s="1"/>
  <c r="E40" i="37"/>
  <c r="C40" i="38" s="1"/>
  <c r="E32" i="53"/>
  <c r="C32" i="54" s="1"/>
  <c r="E35" i="34"/>
  <c r="C35" i="33" s="1"/>
  <c r="E31" i="41"/>
  <c r="E26" i="58"/>
  <c r="C26" i="59" s="1"/>
  <c r="E28" i="36"/>
  <c r="E38" i="36"/>
  <c r="E21" i="53"/>
  <c r="C21" i="54" s="1"/>
  <c r="E31" i="53"/>
  <c r="C31" i="54" s="1"/>
  <c r="E27" i="34"/>
  <c r="C27" i="33" s="1"/>
  <c r="E22" i="36"/>
  <c r="E32" i="37"/>
  <c r="C32" i="38" s="1"/>
  <c r="E24" i="53"/>
  <c r="C24" i="54" s="1"/>
  <c r="E40" i="53"/>
  <c r="C40" i="54" s="1"/>
  <c r="E33" i="34"/>
  <c r="C33" i="33" s="1"/>
  <c r="E36" i="34"/>
  <c r="C36" i="33" s="1"/>
  <c r="E21" i="41"/>
  <c r="E24" i="58"/>
  <c r="C24" i="59" s="1"/>
  <c r="E40" i="58"/>
  <c r="C40" i="59" s="1"/>
  <c r="E26" i="34"/>
  <c r="C26" i="33" s="1"/>
  <c r="E34" i="58"/>
  <c r="C34" i="59" s="1"/>
  <c r="E36" i="36"/>
  <c r="E28" i="37"/>
  <c r="C28" i="38" s="1"/>
  <c r="E34" i="37"/>
  <c r="C34" i="38" s="1"/>
  <c r="E23" i="53"/>
  <c r="C23" i="54" s="1"/>
  <c r="E39" i="53"/>
  <c r="C39" i="54" s="1"/>
  <c r="E25" i="34"/>
  <c r="C25" i="33" s="1"/>
  <c r="E30" i="41"/>
  <c r="E29" i="36"/>
  <c r="E39" i="36"/>
  <c r="E40" i="34"/>
  <c r="C40" i="33" s="1"/>
  <c r="E38" i="53"/>
  <c r="C38" i="54" s="1"/>
  <c r="E40" i="36"/>
  <c r="E32" i="36"/>
  <c r="E37" i="41"/>
  <c r="E27" i="58"/>
  <c r="C27" i="59" s="1"/>
  <c r="E21" i="36"/>
  <c r="E30" i="53"/>
  <c r="C30" i="54" s="1"/>
  <c r="E32" i="34"/>
  <c r="C32" i="33" s="1"/>
  <c r="E32" i="41"/>
  <c r="E39" i="41"/>
  <c r="E35" i="37"/>
  <c r="C35" i="38" s="1"/>
  <c r="E30" i="36"/>
  <c r="E35" i="58"/>
  <c r="C35" i="59" s="1"/>
  <c r="E40" i="41"/>
  <c r="E24" i="37"/>
  <c r="C24" i="38" s="1"/>
  <c r="E36" i="58"/>
  <c r="C36" i="59" s="1"/>
  <c r="E23" i="36"/>
  <c r="E33" i="58"/>
  <c r="C33" i="59" s="1"/>
  <c r="E25" i="37"/>
  <c r="C25" i="38" s="1"/>
  <c r="E37" i="53"/>
  <c r="C37" i="54" s="1"/>
  <c r="E24" i="34"/>
  <c r="C24" i="33" s="1"/>
  <c r="E34" i="34"/>
  <c r="C34" i="33" s="1"/>
  <c r="E24" i="41"/>
  <c r="E37" i="36"/>
  <c r="E28" i="41"/>
  <c r="E36" i="37"/>
  <c r="C36" i="38" s="1"/>
  <c r="E28" i="53"/>
  <c r="C28" i="54" s="1"/>
  <c r="AE22" i="20"/>
  <c r="M22" i="40"/>
  <c r="M22" i="35"/>
  <c r="M22" i="33"/>
  <c r="M22" i="1"/>
  <c r="M22" i="59"/>
  <c r="M22" i="54"/>
  <c r="F22" i="32"/>
  <c r="V22" i="20"/>
  <c r="M22" i="38"/>
  <c r="B22" i="27"/>
  <c r="D22" i="51"/>
  <c r="B22" i="26"/>
  <c r="B22" i="13"/>
  <c r="B22" i="42"/>
  <c r="AA22" i="9"/>
  <c r="C23" i="9"/>
  <c r="B22" i="23"/>
  <c r="Z22" i="9"/>
  <c r="A85" i="56"/>
  <c r="A104" i="56"/>
  <c r="AL40" i="6"/>
  <c r="AM40" i="6" s="1"/>
  <c r="AN40" i="6" s="1"/>
  <c r="AK40" i="6"/>
  <c r="E5" i="52"/>
  <c r="AJ4" i="52"/>
  <c r="F4" i="52"/>
  <c r="G4" i="52" s="1"/>
  <c r="AL36" i="6"/>
  <c r="AM36" i="6" s="1"/>
  <c r="AN36" i="6" s="1"/>
  <c r="AK36" i="6"/>
  <c r="AL24" i="6"/>
  <c r="AM24" i="6" s="1"/>
  <c r="AN24" i="6" s="1"/>
  <c r="AK24" i="6"/>
  <c r="Z91" i="11"/>
  <c r="C24" i="32"/>
  <c r="C24" i="1"/>
  <c r="C33" i="32"/>
  <c r="C33" i="1"/>
  <c r="D40" i="29"/>
  <c r="B40" i="22"/>
  <c r="B21" i="22"/>
  <c r="D21" i="29"/>
  <c r="AB111" i="11"/>
  <c r="AL55" i="6"/>
  <c r="AM55" i="6" s="1"/>
  <c r="AN55" i="6" s="1"/>
  <c r="AK55" i="6"/>
  <c r="AB59" i="11"/>
  <c r="D36" i="29"/>
  <c r="B36" i="22"/>
  <c r="AZ40" i="3"/>
  <c r="AH26" i="32"/>
  <c r="AI25" i="32"/>
  <c r="AL23" i="6"/>
  <c r="AM23" i="6" s="1"/>
  <c r="AN23" i="6" s="1"/>
  <c r="AK23" i="6"/>
  <c r="O21" i="59"/>
  <c r="C39" i="1"/>
  <c r="C39" i="32"/>
  <c r="C31" i="1"/>
  <c r="C31" i="32"/>
  <c r="B32" i="22"/>
  <c r="D32" i="29"/>
  <c r="D26" i="29"/>
  <c r="B26" i="22"/>
  <c r="O21" i="54"/>
  <c r="A66" i="56"/>
  <c r="AB84" i="11"/>
  <c r="AL3" i="52"/>
  <c r="AK3" i="52"/>
  <c r="AD84" i="11"/>
  <c r="AC86" i="11"/>
  <c r="O21" i="38"/>
  <c r="AL39" i="6"/>
  <c r="AM39" i="6" s="1"/>
  <c r="AN39" i="6" s="1"/>
  <c r="AK39" i="6"/>
  <c r="AK42" i="6"/>
  <c r="AL42" i="6"/>
  <c r="AM42" i="6" s="1"/>
  <c r="AN42" i="6" s="1"/>
  <c r="G24" i="8"/>
  <c r="K25" i="9"/>
  <c r="N66" i="30"/>
  <c r="K71" i="30" s="1"/>
  <c r="L70" i="30" s="1"/>
  <c r="C21" i="32"/>
  <c r="C21" i="1"/>
  <c r="C25" i="32"/>
  <c r="C25" i="1"/>
  <c r="B35" i="22"/>
  <c r="D35" i="29"/>
  <c r="B39" i="22"/>
  <c r="D39" i="29"/>
  <c r="G23" i="2"/>
  <c r="E23" i="12"/>
  <c r="M24" i="9"/>
  <c r="F21" i="3" l="1"/>
  <c r="AC11" i="3"/>
  <c r="J21" i="3"/>
  <c r="A124" i="50"/>
  <c r="A105" i="50"/>
  <c r="A106" i="50" s="1"/>
  <c r="A107" i="50" s="1"/>
  <c r="A108" i="50" s="1"/>
  <c r="A109" i="50" s="1"/>
  <c r="A110" i="50" s="1"/>
  <c r="A111" i="50" s="1"/>
  <c r="A112" i="50" s="1"/>
  <c r="A113" i="50" s="1"/>
  <c r="A114" i="50" s="1"/>
  <c r="A115" i="50" s="1"/>
  <c r="A116" i="50" s="1"/>
  <c r="A117" i="50" s="1"/>
  <c r="A118" i="50" s="1"/>
  <c r="A119" i="50" s="1"/>
  <c r="A120" i="50" s="1"/>
  <c r="A121" i="50" s="1"/>
  <c r="A122" i="50" s="1"/>
  <c r="A123" i="50" s="1"/>
  <c r="A85" i="49"/>
  <c r="A86" i="49" s="1"/>
  <c r="A87" i="49" s="1"/>
  <c r="A88" i="49" s="1"/>
  <c r="A89" i="49" s="1"/>
  <c r="A90" i="49" s="1"/>
  <c r="A91" i="49" s="1"/>
  <c r="A92" i="49" s="1"/>
  <c r="A93" i="49" s="1"/>
  <c r="A94" i="49" s="1"/>
  <c r="A95" i="49" s="1"/>
  <c r="A96" i="49" s="1"/>
  <c r="A97" i="49" s="1"/>
  <c r="A98" i="49" s="1"/>
  <c r="A99" i="49" s="1"/>
  <c r="A100" i="49" s="1"/>
  <c r="A101" i="49" s="1"/>
  <c r="A102" i="49" s="1"/>
  <c r="A103" i="49" s="1"/>
  <c r="A104" i="49"/>
  <c r="AB36" i="11"/>
  <c r="AD29" i="11"/>
  <c r="AD80" i="11"/>
  <c r="AD28" i="11"/>
  <c r="AD56" i="11"/>
  <c r="AD57" i="11"/>
  <c r="AB79" i="11"/>
  <c r="T2" i="52"/>
  <c r="W2" i="52" s="1"/>
  <c r="AA2" i="52" s="1"/>
  <c r="AO21" i="54"/>
  <c r="AP21" i="54" s="1"/>
  <c r="BS21" i="54" s="1"/>
  <c r="AO21" i="38"/>
  <c r="AP21" i="38" s="1"/>
  <c r="BS21" i="38" s="1"/>
  <c r="E40" i="32"/>
  <c r="L40" i="32" s="1"/>
  <c r="AO21" i="59"/>
  <c r="AP21" i="59" s="1"/>
  <c r="BS21" i="59" s="1"/>
  <c r="AO21" i="40"/>
  <c r="AP21" i="40" s="1"/>
  <c r="BS21" i="40" s="1"/>
  <c r="AO40" i="40"/>
  <c r="AP40" i="40" s="1"/>
  <c r="BS40" i="40" s="1"/>
  <c r="AO21" i="1"/>
  <c r="AP21" i="1" s="1"/>
  <c r="BS21" i="1" s="1"/>
  <c r="AO21" i="35"/>
  <c r="AP21" i="35" s="1"/>
  <c r="BS21" i="35" s="1"/>
  <c r="V21" i="3" s="1"/>
  <c r="W21" i="3" s="1"/>
  <c r="AB73" i="11"/>
  <c r="AB77" i="11"/>
  <c r="AD33" i="11"/>
  <c r="AD53" i="11"/>
  <c r="AB34" i="11"/>
  <c r="AD55" i="11"/>
  <c r="AD49" i="11"/>
  <c r="AD48" i="11"/>
  <c r="AB25" i="11"/>
  <c r="AB48" i="11"/>
  <c r="AB49" i="11"/>
  <c r="AB81" i="11"/>
  <c r="AB74" i="11"/>
  <c r="AB75" i="11"/>
  <c r="AD27" i="11"/>
  <c r="AD26" i="11"/>
  <c r="AD81" i="11"/>
  <c r="AB83" i="11"/>
  <c r="AB82" i="11"/>
  <c r="AD34" i="11"/>
  <c r="AD35" i="11"/>
  <c r="AD78" i="11"/>
  <c r="AB53" i="11"/>
  <c r="C40" i="42"/>
  <c r="D40" i="42" s="1"/>
  <c r="Q40" i="35"/>
  <c r="AO40" i="35" s="1"/>
  <c r="AP40" i="35" s="1"/>
  <c r="BS40" i="35" s="1"/>
  <c r="V40" i="3" s="1"/>
  <c r="W40" i="3" s="1"/>
  <c r="H21" i="8"/>
  <c r="R40" i="33"/>
  <c r="R40" i="59"/>
  <c r="P21" i="3"/>
  <c r="R40" i="54"/>
  <c r="L40" i="33"/>
  <c r="N40" i="33" s="1"/>
  <c r="O40" i="33" s="1"/>
  <c r="B40" i="29"/>
  <c r="B40" i="36"/>
  <c r="L40" i="59"/>
  <c r="N40" i="59" s="1"/>
  <c r="O40" i="59" s="1"/>
  <c r="AA40" i="8"/>
  <c r="C40" i="13"/>
  <c r="D40" i="13" s="1"/>
  <c r="L40" i="1"/>
  <c r="N40" i="1" s="1"/>
  <c r="O40" i="1" s="1"/>
  <c r="B40" i="53"/>
  <c r="C40" i="23"/>
  <c r="D40" i="23" s="1"/>
  <c r="C40" i="26"/>
  <c r="D40" i="26" s="1"/>
  <c r="E40" i="51"/>
  <c r="AE40" i="51" s="1"/>
  <c r="AF40" i="51" s="1"/>
  <c r="R40" i="35"/>
  <c r="B22" i="9"/>
  <c r="I22" i="9" s="1"/>
  <c r="R40" i="1"/>
  <c r="Q40" i="33"/>
  <c r="AI40" i="8"/>
  <c r="AD40" i="20"/>
  <c r="B40" i="34"/>
  <c r="Q40" i="38"/>
  <c r="Q40" i="54"/>
  <c r="AR40" i="3"/>
  <c r="R40" i="38"/>
  <c r="Q40" i="1"/>
  <c r="B40" i="58"/>
  <c r="U40" i="20"/>
  <c r="L40" i="38"/>
  <c r="N40" i="38" s="1"/>
  <c r="O40" i="38" s="1"/>
  <c r="Q40" i="59"/>
  <c r="C40" i="27"/>
  <c r="D40" i="27" s="1"/>
  <c r="L40" i="40"/>
  <c r="N40" i="40" s="1"/>
  <c r="O40" i="40" s="1"/>
  <c r="B40" i="37"/>
  <c r="L40" i="35"/>
  <c r="N40" i="35" s="1"/>
  <c r="O40" i="35" s="1"/>
  <c r="L40" i="54"/>
  <c r="N40" i="54" s="1"/>
  <c r="O40" i="54" s="1"/>
  <c r="B40" i="41"/>
  <c r="AQ40" i="8"/>
  <c r="I21" i="32"/>
  <c r="Z21" i="32"/>
  <c r="S3" i="52"/>
  <c r="T3" i="52"/>
  <c r="AB85" i="11"/>
  <c r="C40" i="35"/>
  <c r="C40" i="40"/>
  <c r="C35" i="35"/>
  <c r="C35" i="40"/>
  <c r="AB60" i="11"/>
  <c r="C23" i="40"/>
  <c r="C23" i="35"/>
  <c r="X2" i="52"/>
  <c r="AB2" i="52"/>
  <c r="AC2" i="52" s="1"/>
  <c r="B24" i="32"/>
  <c r="B24" i="1"/>
  <c r="A67" i="56"/>
  <c r="B32" i="32"/>
  <c r="B32" i="1"/>
  <c r="A105" i="56"/>
  <c r="A124" i="56"/>
  <c r="E22" i="3"/>
  <c r="C22" i="2"/>
  <c r="C22" i="12"/>
  <c r="C37" i="35"/>
  <c r="C37" i="40"/>
  <c r="C38" i="35"/>
  <c r="C38" i="40"/>
  <c r="C33" i="40"/>
  <c r="C33" i="35"/>
  <c r="C26" i="40"/>
  <c r="C26" i="35"/>
  <c r="AR27" i="32"/>
  <c r="AS26" i="32"/>
  <c r="AC39" i="11"/>
  <c r="AD37" i="11"/>
  <c r="F22" i="26"/>
  <c r="F24" i="26"/>
  <c r="F26" i="26"/>
  <c r="F28" i="26"/>
  <c r="F30" i="26"/>
  <c r="F32" i="26"/>
  <c r="F34" i="26"/>
  <c r="F36" i="26"/>
  <c r="F38" i="26"/>
  <c r="F40" i="26"/>
  <c r="F21" i="26"/>
  <c r="F29" i="26"/>
  <c r="F37" i="26"/>
  <c r="F25" i="26"/>
  <c r="F33" i="26"/>
  <c r="F23" i="26"/>
  <c r="F39" i="26"/>
  <c r="F35" i="26"/>
  <c r="F27" i="26"/>
  <c r="F31" i="26"/>
  <c r="B28" i="1"/>
  <c r="B28" i="32"/>
  <c r="B30" i="32"/>
  <c r="B30" i="1"/>
  <c r="E24" i="12"/>
  <c r="G24" i="2"/>
  <c r="M25" i="9"/>
  <c r="AD85" i="11"/>
  <c r="AC87" i="11"/>
  <c r="C39" i="40"/>
  <c r="C39" i="35"/>
  <c r="C28" i="40"/>
  <c r="C28" i="35"/>
  <c r="C31" i="40"/>
  <c r="C31" i="35"/>
  <c r="C25" i="40"/>
  <c r="C25" i="35"/>
  <c r="B34" i="1"/>
  <c r="B34" i="32"/>
  <c r="F22" i="42"/>
  <c r="F24" i="42"/>
  <c r="F26" i="42"/>
  <c r="F28" i="42"/>
  <c r="F30" i="42"/>
  <c r="F32" i="42"/>
  <c r="F34" i="42"/>
  <c r="F36" i="42"/>
  <c r="F38" i="42"/>
  <c r="F40" i="42"/>
  <c r="F25" i="42"/>
  <c r="F33" i="42"/>
  <c r="F23" i="42"/>
  <c r="F31" i="42"/>
  <c r="F39" i="42"/>
  <c r="F35" i="42"/>
  <c r="F21" i="42"/>
  <c r="F37" i="42"/>
  <c r="F27" i="42"/>
  <c r="F29" i="42"/>
  <c r="F21" i="27"/>
  <c r="F23" i="27"/>
  <c r="F25" i="27"/>
  <c r="F27" i="27"/>
  <c r="F29" i="27"/>
  <c r="F31" i="27"/>
  <c r="F33" i="27"/>
  <c r="F35" i="27"/>
  <c r="F37" i="27"/>
  <c r="F39" i="27"/>
  <c r="F24" i="27"/>
  <c r="F32" i="27"/>
  <c r="F40" i="27"/>
  <c r="F22" i="27"/>
  <c r="F30" i="27"/>
  <c r="F38" i="27"/>
  <c r="F34" i="27"/>
  <c r="F36" i="27"/>
  <c r="F28" i="27"/>
  <c r="F26" i="27"/>
  <c r="B21" i="1"/>
  <c r="B21" i="32"/>
  <c r="C34" i="40"/>
  <c r="C34" i="35"/>
  <c r="C27" i="40"/>
  <c r="C27" i="35"/>
  <c r="B29" i="32"/>
  <c r="B29" i="1"/>
  <c r="F21" i="23"/>
  <c r="F23" i="23"/>
  <c r="F25" i="23"/>
  <c r="F27" i="23"/>
  <c r="F29" i="23"/>
  <c r="F31" i="23"/>
  <c r="F33" i="23"/>
  <c r="F35" i="23"/>
  <c r="F37" i="23"/>
  <c r="F39" i="23"/>
  <c r="F24" i="23"/>
  <c r="F32" i="23"/>
  <c r="F40" i="23"/>
  <c r="F28" i="23"/>
  <c r="F36" i="23"/>
  <c r="F22" i="23"/>
  <c r="F38" i="23"/>
  <c r="F26" i="23"/>
  <c r="F34" i="23"/>
  <c r="F30" i="23"/>
  <c r="G25" i="8"/>
  <c r="K26" i="9"/>
  <c r="AB112" i="11"/>
  <c r="A86" i="56"/>
  <c r="C36" i="35"/>
  <c r="C36" i="40"/>
  <c r="B23" i="3"/>
  <c r="AZ23" i="3" s="1"/>
  <c r="F23" i="54"/>
  <c r="F23" i="33"/>
  <c r="F23" i="59"/>
  <c r="F23" i="40"/>
  <c r="F23" i="38"/>
  <c r="F23" i="35"/>
  <c r="F23" i="1"/>
  <c r="B35" i="1"/>
  <c r="B35" i="32"/>
  <c r="J24" i="8"/>
  <c r="C21" i="35"/>
  <c r="C21" i="40"/>
  <c r="C29" i="35"/>
  <c r="C29" i="40"/>
  <c r="B33" i="1"/>
  <c r="B33" i="32"/>
  <c r="AD60" i="11"/>
  <c r="AC62" i="11"/>
  <c r="B38" i="1"/>
  <c r="B38" i="32"/>
  <c r="A145" i="46"/>
  <c r="A164" i="46"/>
  <c r="B31" i="1"/>
  <c r="B31" i="32"/>
  <c r="AD112" i="11"/>
  <c r="AC114" i="11"/>
  <c r="N3" i="52"/>
  <c r="O3" i="52" s="1"/>
  <c r="AK4" i="52"/>
  <c r="AL4" i="52"/>
  <c r="AJ5" i="52"/>
  <c r="E6" i="52"/>
  <c r="F5" i="52"/>
  <c r="G5" i="52" s="1"/>
  <c r="L32" i="30"/>
  <c r="C24" i="40"/>
  <c r="C24" i="35"/>
  <c r="H58" i="9"/>
  <c r="B53" i="9"/>
  <c r="K3" i="50" s="1"/>
  <c r="AV2" i="52"/>
  <c r="AX2" i="52"/>
  <c r="AZ2" i="52"/>
  <c r="AW2" i="52"/>
  <c r="AY2" i="52"/>
  <c r="A126" i="46"/>
  <c r="B37" i="32"/>
  <c r="B37" i="1"/>
  <c r="X3" i="52"/>
  <c r="AB3" i="52"/>
  <c r="AC3" i="52" s="1"/>
  <c r="B23" i="1"/>
  <c r="B23" i="32"/>
  <c r="B25" i="1"/>
  <c r="B25" i="32"/>
  <c r="T21" i="40"/>
  <c r="T21" i="33"/>
  <c r="T21" i="38"/>
  <c r="T21" i="1"/>
  <c r="T21" i="59"/>
  <c r="T21" i="54"/>
  <c r="T21" i="35"/>
  <c r="BJ21" i="3"/>
  <c r="B27" i="1"/>
  <c r="B27" i="32"/>
  <c r="B39" i="1"/>
  <c r="B39" i="32"/>
  <c r="Y27" i="32"/>
  <c r="AO3" i="52"/>
  <c r="AQ3" i="52" s="1"/>
  <c r="AI26" i="32"/>
  <c r="AH27" i="32"/>
  <c r="B36" i="32"/>
  <c r="B36" i="1"/>
  <c r="B40" i="32"/>
  <c r="B40" i="1"/>
  <c r="I4" i="52"/>
  <c r="Q4" i="52"/>
  <c r="R4" i="52" s="1"/>
  <c r="J4" i="52"/>
  <c r="K4" i="52"/>
  <c r="M23" i="40"/>
  <c r="V23" i="20"/>
  <c r="M23" i="35"/>
  <c r="M23" i="38"/>
  <c r="M23" i="54"/>
  <c r="F23" i="32"/>
  <c r="B23" i="13"/>
  <c r="D23" i="51"/>
  <c r="M23" i="59"/>
  <c r="AE23" i="20"/>
  <c r="M23" i="1"/>
  <c r="B23" i="42"/>
  <c r="B23" i="26"/>
  <c r="B23" i="23"/>
  <c r="B23" i="27"/>
  <c r="AA23" i="9"/>
  <c r="C24" i="9"/>
  <c r="M23" i="33"/>
  <c r="Z23" i="9"/>
  <c r="C30" i="40"/>
  <c r="C30" i="35"/>
  <c r="C22" i="40"/>
  <c r="C22" i="35"/>
  <c r="B26" i="32"/>
  <c r="B26" i="1"/>
  <c r="AB37" i="11"/>
  <c r="C32" i="40"/>
  <c r="C32" i="35"/>
  <c r="B22" i="1"/>
  <c r="B22" i="32"/>
  <c r="A107" i="46"/>
  <c r="AA11" i="3" l="1"/>
  <c r="AA21" i="3"/>
  <c r="A105" i="49"/>
  <c r="A106" i="49" s="1"/>
  <c r="A107" i="49" s="1"/>
  <c r="A108" i="49" s="1"/>
  <c r="A109" i="49" s="1"/>
  <c r="A110" i="49" s="1"/>
  <c r="A111" i="49" s="1"/>
  <c r="A112" i="49" s="1"/>
  <c r="A113" i="49" s="1"/>
  <c r="A114" i="49" s="1"/>
  <c r="A115" i="49" s="1"/>
  <c r="A116" i="49" s="1"/>
  <c r="A117" i="49" s="1"/>
  <c r="A118" i="49" s="1"/>
  <c r="A119" i="49" s="1"/>
  <c r="A120" i="49" s="1"/>
  <c r="A121" i="49" s="1"/>
  <c r="A122" i="49" s="1"/>
  <c r="A123" i="49" s="1"/>
  <c r="A124" i="49"/>
  <c r="AD2" i="52"/>
  <c r="AE2" i="52" s="1"/>
  <c r="AG2" i="52" s="1"/>
  <c r="AM2" i="52" s="1"/>
  <c r="A144" i="50"/>
  <c r="A125" i="50"/>
  <c r="A126" i="50" s="1"/>
  <c r="A127" i="50" s="1"/>
  <c r="AA22" i="1"/>
  <c r="K3" i="46"/>
  <c r="BT21" i="54"/>
  <c r="BT21" i="1"/>
  <c r="BT21" i="33"/>
  <c r="BT21" i="38"/>
  <c r="BT21" i="35"/>
  <c r="BT21" i="59"/>
  <c r="BT21" i="40"/>
  <c r="J40" i="32"/>
  <c r="AO40" i="1"/>
  <c r="AP40" i="1" s="1"/>
  <c r="BS40" i="1" s="1"/>
  <c r="AO40" i="33"/>
  <c r="AP40" i="33" s="1"/>
  <c r="BS40" i="33" s="1"/>
  <c r="G40" i="32"/>
  <c r="H40" i="32" s="1"/>
  <c r="I40" i="32" s="1"/>
  <c r="AA40" i="3" s="1"/>
  <c r="AO40" i="54"/>
  <c r="AP40" i="54" s="1"/>
  <c r="BS40" i="54" s="1"/>
  <c r="AO40" i="59"/>
  <c r="AP40" i="59" s="1"/>
  <c r="BS40" i="59" s="1"/>
  <c r="AO40" i="38"/>
  <c r="AP40" i="38" s="1"/>
  <c r="BS40" i="38" s="1"/>
  <c r="G22" i="3"/>
  <c r="R22" i="38" s="1"/>
  <c r="N21" i="32"/>
  <c r="B22" i="58"/>
  <c r="B40" i="2"/>
  <c r="D40" i="2" s="1"/>
  <c r="D40" i="3"/>
  <c r="F40" i="3" s="1"/>
  <c r="BJ40" i="3" s="1"/>
  <c r="C22" i="26"/>
  <c r="D22" i="26" s="1"/>
  <c r="C22" i="27"/>
  <c r="D22" i="27" s="1"/>
  <c r="B40" i="12"/>
  <c r="G40" i="12" s="1"/>
  <c r="M22" i="3"/>
  <c r="B22" i="36"/>
  <c r="AD22" i="20"/>
  <c r="E22" i="51"/>
  <c r="AE22" i="51" s="1"/>
  <c r="AF22" i="51" s="1"/>
  <c r="C22" i="42"/>
  <c r="D22" i="42" s="1"/>
  <c r="B22" i="53"/>
  <c r="C22" i="23"/>
  <c r="D22" i="23" s="1"/>
  <c r="B22" i="41"/>
  <c r="L22" i="54"/>
  <c r="N22" i="54" s="1"/>
  <c r="O22" i="54" s="1"/>
  <c r="B22" i="34"/>
  <c r="U22" i="20"/>
  <c r="B22" i="29"/>
  <c r="AQ22" i="8"/>
  <c r="L22" i="33"/>
  <c r="N22" i="33" s="1"/>
  <c r="O22" i="33" s="1"/>
  <c r="L22" i="38"/>
  <c r="N22" i="38" s="1"/>
  <c r="O22" i="38" s="1"/>
  <c r="D22" i="13"/>
  <c r="E22" i="32"/>
  <c r="G22" i="32" s="1"/>
  <c r="Z22" i="32" s="1"/>
  <c r="L22" i="1"/>
  <c r="N22" i="1" s="1"/>
  <c r="O22" i="1" s="1"/>
  <c r="AA22" i="8"/>
  <c r="AI22" i="8"/>
  <c r="E22" i="9"/>
  <c r="AD22" i="32" s="1"/>
  <c r="Q22" i="38" s="1"/>
  <c r="B22" i="37"/>
  <c r="L22" i="59"/>
  <c r="N22" i="59" s="1"/>
  <c r="O22" i="59" s="1"/>
  <c r="B23" i="9"/>
  <c r="I23" i="9" s="1"/>
  <c r="L22" i="40"/>
  <c r="N22" i="40" s="1"/>
  <c r="O22" i="40" s="1"/>
  <c r="L22" i="35"/>
  <c r="N22" i="35" s="1"/>
  <c r="O22" i="35" s="1"/>
  <c r="AB21" i="3"/>
  <c r="BT40" i="54"/>
  <c r="BT40" i="59"/>
  <c r="BT40" i="1"/>
  <c r="BT40" i="40"/>
  <c r="BT40" i="35"/>
  <c r="BT40" i="38"/>
  <c r="BT40" i="33"/>
  <c r="AE24" i="20"/>
  <c r="M24" i="40"/>
  <c r="M24" i="35"/>
  <c r="M24" i="33"/>
  <c r="M24" i="1"/>
  <c r="M24" i="59"/>
  <c r="M24" i="54"/>
  <c r="M24" i="38"/>
  <c r="V24" i="20"/>
  <c r="B24" i="42"/>
  <c r="B24" i="13"/>
  <c r="AA24" i="9"/>
  <c r="B24" i="26"/>
  <c r="B24" i="23"/>
  <c r="C25" i="9"/>
  <c r="F24" i="32"/>
  <c r="D24" i="51"/>
  <c r="Z24" i="9"/>
  <c r="B24" i="27"/>
  <c r="E23" i="3"/>
  <c r="C23" i="2"/>
  <c r="C23" i="12"/>
  <c r="AW3" i="52"/>
  <c r="AY3" i="52"/>
  <c r="AV3" i="52"/>
  <c r="AZ3" i="52"/>
  <c r="AX3" i="52"/>
  <c r="AV21" i="35"/>
  <c r="AW21" i="35" s="1"/>
  <c r="BW21" i="35" s="1"/>
  <c r="X21" i="3" s="1"/>
  <c r="Y21" i="3" s="1"/>
  <c r="A165" i="46"/>
  <c r="A184" i="46"/>
  <c r="B22" i="54"/>
  <c r="D22" i="34"/>
  <c r="B22" i="55"/>
  <c r="B22" i="24"/>
  <c r="B22" i="33"/>
  <c r="D22" i="53"/>
  <c r="B22" i="40"/>
  <c r="B22" i="35"/>
  <c r="B22" i="61"/>
  <c r="B22" i="28"/>
  <c r="D22" i="58"/>
  <c r="D22" i="41"/>
  <c r="D22" i="36"/>
  <c r="B22" i="59"/>
  <c r="B32" i="43"/>
  <c r="B33" i="55"/>
  <c r="B33" i="24"/>
  <c r="B33" i="33"/>
  <c r="D33" i="53"/>
  <c r="B33" i="54"/>
  <c r="D33" i="34"/>
  <c r="AD86" i="11"/>
  <c r="AC88" i="11"/>
  <c r="AB86" i="11"/>
  <c r="AB38" i="11"/>
  <c r="AV21" i="59"/>
  <c r="AW21" i="59" s="1"/>
  <c r="BW21" i="59" s="1"/>
  <c r="AB21" i="1"/>
  <c r="AD113" i="11"/>
  <c r="AC115" i="11"/>
  <c r="G26" i="8"/>
  <c r="K27" i="9"/>
  <c r="B28" i="55"/>
  <c r="B28" i="54"/>
  <c r="B28" i="33"/>
  <c r="D28" i="34"/>
  <c r="D28" i="53"/>
  <c r="B28" i="24"/>
  <c r="B31" i="55"/>
  <c r="B31" i="24"/>
  <c r="D31" i="34"/>
  <c r="B31" i="54"/>
  <c r="D31" i="53"/>
  <c r="B31" i="33"/>
  <c r="B26" i="40"/>
  <c r="B26" i="35"/>
  <c r="D26" i="41"/>
  <c r="D26" i="36"/>
  <c r="B26" i="59"/>
  <c r="B26" i="61"/>
  <c r="D26" i="58"/>
  <c r="B26" i="28"/>
  <c r="B32" i="40"/>
  <c r="B32" i="35"/>
  <c r="B32" i="59"/>
  <c r="B32" i="61"/>
  <c r="B32" i="28"/>
  <c r="D32" i="41"/>
  <c r="D32" i="36"/>
  <c r="D32" i="58"/>
  <c r="B27" i="61"/>
  <c r="B27" i="28"/>
  <c r="B27" i="59"/>
  <c r="D27" i="41"/>
  <c r="D27" i="36"/>
  <c r="D27" i="58"/>
  <c r="B27" i="35"/>
  <c r="B27" i="40"/>
  <c r="B29" i="43"/>
  <c r="B33" i="43"/>
  <c r="B28" i="43"/>
  <c r="D25" i="37"/>
  <c r="B25" i="25"/>
  <c r="B25" i="38"/>
  <c r="B32" i="38"/>
  <c r="B32" i="25"/>
  <c r="D32" i="37"/>
  <c r="AB61" i="11"/>
  <c r="A108" i="46"/>
  <c r="Y28" i="32"/>
  <c r="AV21" i="1"/>
  <c r="AW21" i="1" s="1"/>
  <c r="BW21" i="1" s="1"/>
  <c r="K5" i="52"/>
  <c r="Q5" i="52"/>
  <c r="R5" i="52" s="1"/>
  <c r="J5" i="52"/>
  <c r="I5" i="52"/>
  <c r="J25" i="8"/>
  <c r="B40" i="55"/>
  <c r="B40" i="24"/>
  <c r="B40" i="54"/>
  <c r="D40" i="53"/>
  <c r="B40" i="33"/>
  <c r="D40" i="34"/>
  <c r="D29" i="34"/>
  <c r="B29" i="54"/>
  <c r="B29" i="55"/>
  <c r="D29" i="53"/>
  <c r="B29" i="24"/>
  <c r="B29" i="33"/>
  <c r="B28" i="40"/>
  <c r="B28" i="28"/>
  <c r="B28" i="35"/>
  <c r="B28" i="61"/>
  <c r="D28" i="58"/>
  <c r="D28" i="41"/>
  <c r="B28" i="59"/>
  <c r="D28" i="36"/>
  <c r="B24" i="40"/>
  <c r="B24" i="35"/>
  <c r="B24" i="61"/>
  <c r="D24" i="41"/>
  <c r="D24" i="36"/>
  <c r="D24" i="58"/>
  <c r="B24" i="28"/>
  <c r="B24" i="59"/>
  <c r="B25" i="59"/>
  <c r="D25" i="41"/>
  <c r="D25" i="36"/>
  <c r="B25" i="28"/>
  <c r="B25" i="61"/>
  <c r="D25" i="58"/>
  <c r="B25" i="40"/>
  <c r="B25" i="35"/>
  <c r="B27" i="43"/>
  <c r="B25" i="43"/>
  <c r="B26" i="43"/>
  <c r="G25" i="2"/>
  <c r="E25" i="12"/>
  <c r="M26" i="9"/>
  <c r="D37" i="37"/>
  <c r="B37" i="38"/>
  <c r="B37" i="25"/>
  <c r="B30" i="38"/>
  <c r="D30" i="37"/>
  <c r="B30" i="25"/>
  <c r="K3" i="56"/>
  <c r="A106" i="56"/>
  <c r="AV21" i="54"/>
  <c r="AW21" i="54" s="1"/>
  <c r="BW21" i="54" s="1"/>
  <c r="B36" i="54"/>
  <c r="D36" i="34"/>
  <c r="B36" i="33"/>
  <c r="B36" i="24"/>
  <c r="D36" i="53"/>
  <c r="B36" i="55"/>
  <c r="B40" i="35"/>
  <c r="B40" i="61"/>
  <c r="B40" i="28"/>
  <c r="B40" i="40"/>
  <c r="D40" i="41"/>
  <c r="D40" i="36"/>
  <c r="B40" i="59"/>
  <c r="D40" i="58"/>
  <c r="B23" i="43"/>
  <c r="B33" i="25"/>
  <c r="B33" i="38"/>
  <c r="D33" i="37"/>
  <c r="B30" i="54"/>
  <c r="D30" i="34"/>
  <c r="B30" i="55"/>
  <c r="B30" i="24"/>
  <c r="B30" i="33"/>
  <c r="D30" i="53"/>
  <c r="B23" i="61"/>
  <c r="B23" i="28"/>
  <c r="B23" i="35"/>
  <c r="D23" i="58"/>
  <c r="D23" i="36"/>
  <c r="D23" i="41"/>
  <c r="B23" i="59"/>
  <c r="B23" i="40"/>
  <c r="F24" i="40"/>
  <c r="F24" i="59"/>
  <c r="F24" i="35"/>
  <c r="F24" i="33"/>
  <c r="F24" i="1"/>
  <c r="F24" i="38"/>
  <c r="F24" i="54"/>
  <c r="B24" i="3"/>
  <c r="AZ24" i="3" s="1"/>
  <c r="B29" i="38"/>
  <c r="D29" i="37"/>
  <c r="B29" i="25"/>
  <c r="U4" i="52"/>
  <c r="V4" i="52" s="1"/>
  <c r="AV21" i="33"/>
  <c r="AW21" i="33" s="1"/>
  <c r="BW21" i="33" s="1"/>
  <c r="A127" i="46"/>
  <c r="AL5" i="52"/>
  <c r="AK5" i="52"/>
  <c r="B34" i="54"/>
  <c r="D34" i="53"/>
  <c r="B34" i="55"/>
  <c r="B34" i="33"/>
  <c r="B34" i="24"/>
  <c r="D34" i="34"/>
  <c r="B24" i="54"/>
  <c r="D24" i="53"/>
  <c r="B24" i="24"/>
  <c r="B24" i="33"/>
  <c r="D24" i="34"/>
  <c r="B24" i="55"/>
  <c r="B25" i="24"/>
  <c r="B25" i="54"/>
  <c r="D25" i="53"/>
  <c r="B25" i="55"/>
  <c r="B25" i="33"/>
  <c r="D25" i="34"/>
  <c r="B34" i="40"/>
  <c r="B34" i="61"/>
  <c r="B34" i="35"/>
  <c r="B34" i="28"/>
  <c r="D34" i="41"/>
  <c r="D34" i="36"/>
  <c r="B34" i="59"/>
  <c r="D34" i="58"/>
  <c r="B37" i="40"/>
  <c r="B37" i="35"/>
  <c r="D37" i="58"/>
  <c r="D37" i="41"/>
  <c r="B37" i="61"/>
  <c r="B37" i="28"/>
  <c r="B37" i="59"/>
  <c r="D37" i="36"/>
  <c r="B21" i="28"/>
  <c r="B21" i="40"/>
  <c r="B21" i="35"/>
  <c r="D21" i="58"/>
  <c r="D21" i="41"/>
  <c r="B21" i="61"/>
  <c r="B21" i="59"/>
  <c r="D21" i="36"/>
  <c r="B21" i="43"/>
  <c r="B38" i="43"/>
  <c r="B22" i="43"/>
  <c r="B27" i="25"/>
  <c r="B27" i="38"/>
  <c r="D27" i="37"/>
  <c r="B21" i="25"/>
  <c r="D21" i="37"/>
  <c r="B21" i="38"/>
  <c r="B26" i="25"/>
  <c r="B26" i="38"/>
  <c r="D26" i="37"/>
  <c r="B23" i="25"/>
  <c r="B23" i="38"/>
  <c r="D23" i="37"/>
  <c r="AC40" i="11"/>
  <c r="AD38" i="11"/>
  <c r="B27" i="55"/>
  <c r="B27" i="24"/>
  <c r="B27" i="54"/>
  <c r="D27" i="53"/>
  <c r="D27" i="34"/>
  <c r="B27" i="33"/>
  <c r="B39" i="61"/>
  <c r="B39" i="28"/>
  <c r="B39" i="40"/>
  <c r="B39" i="35"/>
  <c r="D39" i="58"/>
  <c r="D39" i="36"/>
  <c r="B39" i="59"/>
  <c r="D39" i="41"/>
  <c r="B24" i="43"/>
  <c r="B28" i="25"/>
  <c r="B28" i="38"/>
  <c r="D28" i="37"/>
  <c r="AD61" i="11"/>
  <c r="AC63" i="11"/>
  <c r="B26" i="55"/>
  <c r="B26" i="24"/>
  <c r="B26" i="54"/>
  <c r="D26" i="53"/>
  <c r="B26" i="33"/>
  <c r="D26" i="34"/>
  <c r="B39" i="55"/>
  <c r="B39" i="24"/>
  <c r="B39" i="54"/>
  <c r="B39" i="33"/>
  <c r="D39" i="53"/>
  <c r="D39" i="34"/>
  <c r="B23" i="55"/>
  <c r="B23" i="24"/>
  <c r="B23" i="54"/>
  <c r="D23" i="34"/>
  <c r="D23" i="53"/>
  <c r="B23" i="33"/>
  <c r="B38" i="35"/>
  <c r="B38" i="61"/>
  <c r="B38" i="28"/>
  <c r="B38" i="40"/>
  <c r="D38" i="58"/>
  <c r="D38" i="36"/>
  <c r="D38" i="41"/>
  <c r="B38" i="59"/>
  <c r="B35" i="61"/>
  <c r="B35" i="28"/>
  <c r="B35" i="40"/>
  <c r="B35" i="35"/>
  <c r="B35" i="59"/>
  <c r="D35" i="58"/>
  <c r="D35" i="41"/>
  <c r="D35" i="36"/>
  <c r="AF2" i="52"/>
  <c r="B35" i="43"/>
  <c r="B36" i="43"/>
  <c r="B35" i="25"/>
  <c r="B35" i="38"/>
  <c r="D35" i="37"/>
  <c r="B40" i="25"/>
  <c r="B40" i="38"/>
  <c r="D40" i="37"/>
  <c r="B24" i="38"/>
  <c r="B24" i="25"/>
  <c r="D24" i="37"/>
  <c r="A68" i="56"/>
  <c r="AD3" i="52"/>
  <c r="AE3" i="52" s="1"/>
  <c r="W3" i="52"/>
  <c r="AA3" i="52" s="1"/>
  <c r="A128" i="50"/>
  <c r="AB113" i="11"/>
  <c r="B35" i="55"/>
  <c r="B35" i="24"/>
  <c r="B35" i="33"/>
  <c r="D35" i="34"/>
  <c r="B35" i="54"/>
  <c r="D35" i="53"/>
  <c r="B31" i="61"/>
  <c r="B31" i="28"/>
  <c r="B31" i="59"/>
  <c r="D31" i="58"/>
  <c r="B31" i="35"/>
  <c r="B31" i="40"/>
  <c r="D31" i="36"/>
  <c r="D31" i="41"/>
  <c r="B31" i="43"/>
  <c r="B36" i="38"/>
  <c r="D36" i="37"/>
  <c r="B36" i="25"/>
  <c r="A146" i="46"/>
  <c r="B29" i="61"/>
  <c r="B29" i="28"/>
  <c r="D29" i="58"/>
  <c r="B29" i="59"/>
  <c r="B29" i="40"/>
  <c r="B29" i="35"/>
  <c r="D29" i="41"/>
  <c r="D29" i="36"/>
  <c r="B30" i="43"/>
  <c r="B34" i="38"/>
  <c r="B34" i="25"/>
  <c r="D34" i="37"/>
  <c r="L4" i="52"/>
  <c r="M4" i="52" s="1"/>
  <c r="P4" i="52" s="1"/>
  <c r="AV21" i="38"/>
  <c r="AW21" i="38" s="1"/>
  <c r="BW21" i="38" s="1"/>
  <c r="F6" i="52"/>
  <c r="G6" i="52" s="1"/>
  <c r="E7" i="52"/>
  <c r="AJ6" i="52"/>
  <c r="B32" i="24"/>
  <c r="B32" i="54"/>
  <c r="B32" i="55"/>
  <c r="B32" i="33"/>
  <c r="D32" i="53"/>
  <c r="D32" i="34"/>
  <c r="B36" i="35"/>
  <c r="B36" i="61"/>
  <c r="B36" i="28"/>
  <c r="D36" i="58"/>
  <c r="B36" i="40"/>
  <c r="B36" i="59"/>
  <c r="D36" i="41"/>
  <c r="D36" i="36"/>
  <c r="B37" i="43"/>
  <c r="B40" i="43"/>
  <c r="B31" i="25"/>
  <c r="B31" i="38"/>
  <c r="D31" i="37"/>
  <c r="AS27" i="32"/>
  <c r="AR28" i="32"/>
  <c r="Y2" i="52"/>
  <c r="Z2" i="52"/>
  <c r="AI27" i="32"/>
  <c r="AH28" i="32"/>
  <c r="AV21" i="40"/>
  <c r="AW21" i="40" s="1"/>
  <c r="BW21" i="40" s="1"/>
  <c r="Z3" i="52"/>
  <c r="Y3" i="52"/>
  <c r="K3" i="49"/>
  <c r="AO4" i="52"/>
  <c r="AQ4" i="52" s="1"/>
  <c r="A87" i="56"/>
  <c r="B38" i="55"/>
  <c r="B38" i="24"/>
  <c r="B38" i="54"/>
  <c r="D38" i="34"/>
  <c r="B38" i="33"/>
  <c r="D38" i="53"/>
  <c r="D37" i="34"/>
  <c r="B37" i="33"/>
  <c r="B37" i="54"/>
  <c r="B37" i="55"/>
  <c r="D37" i="53"/>
  <c r="B37" i="24"/>
  <c r="B21" i="55"/>
  <c r="B21" i="24"/>
  <c r="D21" i="34"/>
  <c r="B21" i="33"/>
  <c r="D21" i="53"/>
  <c r="B21" i="54"/>
  <c r="B30" i="40"/>
  <c r="B30" i="35"/>
  <c r="B30" i="59"/>
  <c r="D30" i="58"/>
  <c r="B30" i="61"/>
  <c r="B30" i="28"/>
  <c r="D30" i="41"/>
  <c r="D30" i="36"/>
  <c r="B33" i="40"/>
  <c r="D33" i="41"/>
  <c r="D33" i="36"/>
  <c r="B33" i="28"/>
  <c r="B33" i="61"/>
  <c r="B33" i="59"/>
  <c r="D33" i="58"/>
  <c r="B33" i="35"/>
  <c r="B39" i="43"/>
  <c r="B34" i="43"/>
  <c r="B39" i="25"/>
  <c r="B39" i="38"/>
  <c r="D39" i="37"/>
  <c r="B38" i="38"/>
  <c r="B38" i="25"/>
  <c r="D38" i="37"/>
  <c r="B22" i="38"/>
  <c r="D22" i="37"/>
  <c r="B22" i="25"/>
  <c r="A125" i="56"/>
  <c r="A144" i="56"/>
  <c r="S21" i="32" l="1"/>
  <c r="V21" i="32"/>
  <c r="AH2" i="52"/>
  <c r="A145" i="50"/>
  <c r="A146" i="50" s="1"/>
  <c r="A147" i="50" s="1"/>
  <c r="A164" i="50"/>
  <c r="A125" i="49"/>
  <c r="A126" i="49" s="1"/>
  <c r="A127" i="49" s="1"/>
  <c r="A128" i="49" s="1"/>
  <c r="A129" i="49" s="1"/>
  <c r="A130" i="49" s="1"/>
  <c r="A131" i="49" s="1"/>
  <c r="A132" i="49" s="1"/>
  <c r="A133" i="49" s="1"/>
  <c r="A134" i="49" s="1"/>
  <c r="A135" i="49" s="1"/>
  <c r="A136" i="49" s="1"/>
  <c r="A137" i="49" s="1"/>
  <c r="A138" i="49" s="1"/>
  <c r="A139" i="49" s="1"/>
  <c r="A140" i="49" s="1"/>
  <c r="A141" i="49" s="1"/>
  <c r="A142" i="49" s="1"/>
  <c r="A143" i="49" s="1"/>
  <c r="A144" i="49"/>
  <c r="AA23" i="1"/>
  <c r="AN40" i="32"/>
  <c r="T40" i="33" s="1"/>
  <c r="AV40" i="33" s="1"/>
  <c r="AW40" i="33" s="1"/>
  <c r="BW40" i="33" s="1"/>
  <c r="R22" i="33"/>
  <c r="AR22" i="3"/>
  <c r="M23" i="3"/>
  <c r="R22" i="35"/>
  <c r="R22" i="54"/>
  <c r="R22" i="59"/>
  <c r="R22" i="1"/>
  <c r="AO22" i="38"/>
  <c r="AP22" i="38" s="1"/>
  <c r="BS22" i="38" s="1"/>
  <c r="R22" i="40"/>
  <c r="P40" i="3"/>
  <c r="R21" i="32"/>
  <c r="W21" i="32" s="1"/>
  <c r="E21" i="2"/>
  <c r="J40" i="3"/>
  <c r="H40" i="8" s="1"/>
  <c r="D22" i="3"/>
  <c r="P22" i="3" s="1"/>
  <c r="B22" i="12"/>
  <c r="G22" i="12" s="1"/>
  <c r="Q22" i="33"/>
  <c r="C23" i="23"/>
  <c r="D23" i="23" s="1"/>
  <c r="Q22" i="40"/>
  <c r="Q22" i="54"/>
  <c r="C23" i="26"/>
  <c r="D23" i="26" s="1"/>
  <c r="C23" i="42"/>
  <c r="D23" i="42" s="1"/>
  <c r="Q22" i="59"/>
  <c r="B23" i="53"/>
  <c r="Q22" i="1"/>
  <c r="B23" i="34"/>
  <c r="Q22" i="35"/>
  <c r="H22" i="32"/>
  <c r="AN22" i="32" s="1"/>
  <c r="L23" i="1"/>
  <c r="N23" i="1" s="1"/>
  <c r="O23" i="1" s="1"/>
  <c r="G23" i="3"/>
  <c r="R23" i="33" s="1"/>
  <c r="C23" i="27"/>
  <c r="D23" i="27" s="1"/>
  <c r="L23" i="35"/>
  <c r="N23" i="35" s="1"/>
  <c r="O23" i="35" s="1"/>
  <c r="AQ23" i="8"/>
  <c r="U23" i="20"/>
  <c r="E23" i="32"/>
  <c r="G23" i="32" s="1"/>
  <c r="Z23" i="32" s="1"/>
  <c r="L22" i="32"/>
  <c r="L23" i="33"/>
  <c r="N23" i="33" s="1"/>
  <c r="O23" i="33" s="1"/>
  <c r="B23" i="36"/>
  <c r="B24" i="9"/>
  <c r="I24" i="9" s="1"/>
  <c r="J22" i="32"/>
  <c r="L23" i="40"/>
  <c r="N23" i="40" s="1"/>
  <c r="O23" i="40" s="1"/>
  <c r="AD23" i="20"/>
  <c r="L23" i="59"/>
  <c r="N23" i="59" s="1"/>
  <c r="O23" i="59" s="1"/>
  <c r="B22" i="2"/>
  <c r="D22" i="2" s="1"/>
  <c r="B23" i="41"/>
  <c r="E23" i="9"/>
  <c r="AD23" i="32" s="1"/>
  <c r="Q23" i="59" s="1"/>
  <c r="AI23" i="8"/>
  <c r="B23" i="58"/>
  <c r="B23" i="37"/>
  <c r="L23" i="54"/>
  <c r="N23" i="54" s="1"/>
  <c r="O23" i="54" s="1"/>
  <c r="L23" i="38"/>
  <c r="N23" i="38" s="1"/>
  <c r="O23" i="38" s="1"/>
  <c r="D23" i="13"/>
  <c r="B23" i="29"/>
  <c r="AA23" i="8"/>
  <c r="E23" i="51"/>
  <c r="AE23" i="51" s="1"/>
  <c r="AF23" i="51" s="1"/>
  <c r="T40" i="59"/>
  <c r="AV40" i="59" s="1"/>
  <c r="AW40" i="59" s="1"/>
  <c r="BW40" i="59" s="1"/>
  <c r="BX21" i="38"/>
  <c r="BX21" i="54"/>
  <c r="BX21" i="33"/>
  <c r="BX21" i="59"/>
  <c r="BX21" i="40"/>
  <c r="BX21" i="1"/>
  <c r="BX21" i="35"/>
  <c r="S4" i="52"/>
  <c r="T4" i="52"/>
  <c r="AF3" i="52"/>
  <c r="AG3" i="52"/>
  <c r="AM3" i="52" s="1"/>
  <c r="AN2" i="52"/>
  <c r="AR2" i="52" s="1"/>
  <c r="AD39" i="11"/>
  <c r="AC41" i="11"/>
  <c r="AD40" i="11" s="1"/>
  <c r="AD41" i="11" s="1"/>
  <c r="A128" i="46"/>
  <c r="Y29" i="32"/>
  <c r="AB87" i="11"/>
  <c r="A148" i="50"/>
  <c r="AA40" i="40"/>
  <c r="AB40" i="40" s="1"/>
  <c r="AA40" i="59"/>
  <c r="AB40" i="59" s="1"/>
  <c r="AA40" i="35"/>
  <c r="AB40" i="35" s="1"/>
  <c r="AA40" i="33"/>
  <c r="AB40" i="33" s="1"/>
  <c r="AA40" i="1"/>
  <c r="AB40" i="1" s="1"/>
  <c r="AA40" i="54"/>
  <c r="AB40" i="54" s="1"/>
  <c r="AA40" i="38"/>
  <c r="AB40" i="38" s="1"/>
  <c r="A69" i="56"/>
  <c r="AB40" i="3"/>
  <c r="G27" i="8"/>
  <c r="K28" i="9"/>
  <c r="AD114" i="11"/>
  <c r="AC116" i="11"/>
  <c r="AD115" i="11" s="1"/>
  <c r="AD116" i="11" s="1"/>
  <c r="A88" i="56"/>
  <c r="N4" i="52"/>
  <c r="O4" i="52" s="1"/>
  <c r="AB114" i="11"/>
  <c r="AB115" i="11"/>
  <c r="AB116" i="11" s="1"/>
  <c r="A107" i="56"/>
  <c r="L5" i="52"/>
  <c r="M5" i="52" s="1"/>
  <c r="P5" i="52" s="1"/>
  <c r="S5" i="52" s="1"/>
  <c r="N5" i="52"/>
  <c r="O5" i="52" s="1"/>
  <c r="A109" i="46"/>
  <c r="J26" i="8"/>
  <c r="A185" i="46"/>
  <c r="K6" i="52"/>
  <c r="Q6" i="52"/>
  <c r="R6" i="52" s="1"/>
  <c r="I6" i="52"/>
  <c r="J6" i="52"/>
  <c r="A126" i="56"/>
  <c r="AI28" i="32"/>
  <c r="AH29" i="32"/>
  <c r="AR29" i="32"/>
  <c r="AS28" i="32"/>
  <c r="AK6" i="52"/>
  <c r="AL6" i="52"/>
  <c r="AD62" i="11"/>
  <c r="AC64" i="11"/>
  <c r="X4" i="52"/>
  <c r="AB4" i="52"/>
  <c r="AC4" i="52" s="1"/>
  <c r="E26" i="12"/>
  <c r="G26" i="2"/>
  <c r="M27" i="9"/>
  <c r="AD87" i="11"/>
  <c r="AC89" i="11"/>
  <c r="V25" i="20"/>
  <c r="M25" i="40"/>
  <c r="M25" i="35"/>
  <c r="M25" i="38"/>
  <c r="M25" i="54"/>
  <c r="M25" i="1"/>
  <c r="B25" i="13"/>
  <c r="D25" i="51"/>
  <c r="M25" i="59"/>
  <c r="F25" i="32"/>
  <c r="AE25" i="20"/>
  <c r="M25" i="33"/>
  <c r="B25" i="26"/>
  <c r="B25" i="23"/>
  <c r="B25" i="27"/>
  <c r="Z25" i="9"/>
  <c r="AA25" i="9"/>
  <c r="B25" i="42"/>
  <c r="C26" i="9"/>
  <c r="A145" i="56"/>
  <c r="A164" i="56"/>
  <c r="AB62" i="11"/>
  <c r="AV4" i="52"/>
  <c r="AX4" i="52"/>
  <c r="AW4" i="52"/>
  <c r="AZ4" i="52"/>
  <c r="AY4" i="52"/>
  <c r="A129" i="50"/>
  <c r="AH3" i="52"/>
  <c r="AO5" i="52"/>
  <c r="AQ5" i="52" s="1"/>
  <c r="AB39" i="11"/>
  <c r="AB40" i="11"/>
  <c r="AB41" i="11" s="1"/>
  <c r="T5" i="52"/>
  <c r="U5" i="52"/>
  <c r="V5" i="52" s="1"/>
  <c r="A166" i="46"/>
  <c r="E8" i="52"/>
  <c r="AJ7" i="52"/>
  <c r="F7" i="52"/>
  <c r="G7" i="52" s="1"/>
  <c r="A147" i="46"/>
  <c r="B25" i="3"/>
  <c r="AZ25" i="3" s="1"/>
  <c r="F25" i="54"/>
  <c r="F25" i="33"/>
  <c r="F25" i="38"/>
  <c r="F25" i="59"/>
  <c r="F25" i="40"/>
  <c r="F25" i="35"/>
  <c r="F25" i="1"/>
  <c r="E24" i="3"/>
  <c r="C24" i="2"/>
  <c r="C24" i="12"/>
  <c r="T40" i="40" l="1"/>
  <c r="AV40" i="40" s="1"/>
  <c r="AW40" i="40" s="1"/>
  <c r="BW40" i="40" s="1"/>
  <c r="A165" i="50"/>
  <c r="A166" i="50" s="1"/>
  <c r="A167" i="50" s="1"/>
  <c r="A184" i="50"/>
  <c r="A185" i="50" s="1"/>
  <c r="A186" i="50" s="1"/>
  <c r="A187" i="50" s="1"/>
  <c r="A164" i="49"/>
  <c r="A145" i="49"/>
  <c r="A146" i="49" s="1"/>
  <c r="A147" i="49" s="1"/>
  <c r="A148" i="49" s="1"/>
  <c r="A149" i="49" s="1"/>
  <c r="A150" i="49" s="1"/>
  <c r="A151" i="49" s="1"/>
  <c r="A152" i="49" s="1"/>
  <c r="A153" i="49" s="1"/>
  <c r="A154" i="49" s="1"/>
  <c r="A155" i="49" s="1"/>
  <c r="A156" i="49" s="1"/>
  <c r="A157" i="49" s="1"/>
  <c r="A158" i="49" s="1"/>
  <c r="A159" i="49" s="1"/>
  <c r="A160" i="49" s="1"/>
  <c r="A161" i="49" s="1"/>
  <c r="A162" i="49" s="1"/>
  <c r="A163" i="49" s="1"/>
  <c r="AA24" i="1"/>
  <c r="T40" i="1"/>
  <c r="AV40" i="1" s="1"/>
  <c r="AW40" i="1" s="1"/>
  <c r="BW40" i="1" s="1"/>
  <c r="T40" i="35"/>
  <c r="AV40" i="35" s="1"/>
  <c r="AW40" i="35" s="1"/>
  <c r="BW40" i="35" s="1"/>
  <c r="X40" i="3" s="1"/>
  <c r="Y40" i="3" s="1"/>
  <c r="BX40" i="59" s="1"/>
  <c r="T40" i="38"/>
  <c r="AV40" i="38" s="1"/>
  <c r="AW40" i="38" s="1"/>
  <c r="BW40" i="38" s="1"/>
  <c r="T40" i="54"/>
  <c r="AV40" i="54" s="1"/>
  <c r="AW40" i="54" s="1"/>
  <c r="BW40" i="54" s="1"/>
  <c r="AO22" i="54"/>
  <c r="AP22" i="54" s="1"/>
  <c r="BS22" i="54" s="1"/>
  <c r="AO22" i="35"/>
  <c r="AP22" i="35" s="1"/>
  <c r="BS22" i="35" s="1"/>
  <c r="V22" i="3" s="1"/>
  <c r="W22" i="3" s="1"/>
  <c r="AO22" i="40"/>
  <c r="AP22" i="40" s="1"/>
  <c r="BS22" i="40" s="1"/>
  <c r="AO22" i="1"/>
  <c r="AP22" i="1" s="1"/>
  <c r="BS22" i="1" s="1"/>
  <c r="AO22" i="33"/>
  <c r="AP22" i="33" s="1"/>
  <c r="BS22" i="33" s="1"/>
  <c r="AO23" i="59"/>
  <c r="AP23" i="59" s="1"/>
  <c r="BS23" i="59" s="1"/>
  <c r="M24" i="3"/>
  <c r="AO22" i="59"/>
  <c r="AP22" i="59" s="1"/>
  <c r="BS22" i="59" s="1"/>
  <c r="F22" i="3"/>
  <c r="BJ22" i="3" s="1"/>
  <c r="R23" i="54"/>
  <c r="C24" i="27"/>
  <c r="D24" i="27" s="1"/>
  <c r="AI24" i="8"/>
  <c r="E24" i="51"/>
  <c r="AE24" i="51" s="1"/>
  <c r="AF24" i="51" s="1"/>
  <c r="J22" i="3"/>
  <c r="H22" i="8" s="1"/>
  <c r="H23" i="32"/>
  <c r="I23" i="32" s="1"/>
  <c r="AA23" i="3" s="1"/>
  <c r="N40" i="32"/>
  <c r="S40" i="32" s="1"/>
  <c r="D24" i="13"/>
  <c r="C24" i="42"/>
  <c r="D24" i="42" s="1"/>
  <c r="L24" i="59"/>
  <c r="N24" i="59" s="1"/>
  <c r="O24" i="59" s="1"/>
  <c r="R23" i="38"/>
  <c r="AA24" i="8"/>
  <c r="I22" i="32"/>
  <c r="AA22" i="3" s="1"/>
  <c r="R23" i="1"/>
  <c r="R23" i="40"/>
  <c r="J23" i="32"/>
  <c r="R23" i="59"/>
  <c r="L23" i="32"/>
  <c r="B23" i="12"/>
  <c r="G23" i="12" s="1"/>
  <c r="B23" i="2"/>
  <c r="D23" i="2" s="1"/>
  <c r="R23" i="35"/>
  <c r="Q23" i="38"/>
  <c r="AR23" i="3"/>
  <c r="D23" i="3"/>
  <c r="F23" i="3" s="1"/>
  <c r="BJ23" i="3" s="1"/>
  <c r="Q23" i="33"/>
  <c r="Q23" i="35"/>
  <c r="Q23" i="40"/>
  <c r="B24" i="37"/>
  <c r="L24" i="35"/>
  <c r="N24" i="35" s="1"/>
  <c r="O24" i="35" s="1"/>
  <c r="E24" i="32"/>
  <c r="J24" i="32" s="1"/>
  <c r="AD24" i="20"/>
  <c r="C24" i="26"/>
  <c r="D24" i="26" s="1"/>
  <c r="L24" i="1"/>
  <c r="B24" i="2" s="1"/>
  <c r="D24" i="2" s="1"/>
  <c r="B24" i="53"/>
  <c r="L24" i="33"/>
  <c r="N24" i="33" s="1"/>
  <c r="O24" i="33" s="1"/>
  <c r="L24" i="54"/>
  <c r="N24" i="54" s="1"/>
  <c r="O24" i="54" s="1"/>
  <c r="L24" i="40"/>
  <c r="N24" i="40" s="1"/>
  <c r="O24" i="40" s="1"/>
  <c r="B25" i="9"/>
  <c r="I25" i="9" s="1"/>
  <c r="Q23" i="54"/>
  <c r="E24" i="9"/>
  <c r="AD24" i="32" s="1"/>
  <c r="Q24" i="35" s="1"/>
  <c r="B24" i="58"/>
  <c r="C24" i="23"/>
  <c r="D24" i="23" s="1"/>
  <c r="B24" i="41"/>
  <c r="L24" i="38"/>
  <c r="N24" i="38" s="1"/>
  <c r="O24" i="38" s="1"/>
  <c r="AQ24" i="8"/>
  <c r="U24" i="20"/>
  <c r="G24" i="3"/>
  <c r="R24" i="40" s="1"/>
  <c r="B24" i="29"/>
  <c r="B24" i="36"/>
  <c r="B24" i="34"/>
  <c r="Q23" i="1"/>
  <c r="A148" i="46"/>
  <c r="A70" i="56"/>
  <c r="AN3" i="52"/>
  <c r="AR3" i="52" s="1"/>
  <c r="A108" i="56"/>
  <c r="T22" i="40"/>
  <c r="T22" i="59"/>
  <c r="T22" i="35"/>
  <c r="T22" i="38"/>
  <c r="T22" i="54"/>
  <c r="T22" i="33"/>
  <c r="T22" i="1"/>
  <c r="J7" i="52"/>
  <c r="Q7" i="52"/>
  <c r="R7" i="52" s="1"/>
  <c r="I7" i="52"/>
  <c r="K7" i="52"/>
  <c r="A167" i="46"/>
  <c r="AT2" i="52"/>
  <c r="AS2" i="52"/>
  <c r="AU2" i="52"/>
  <c r="E9" i="52"/>
  <c r="F8" i="52"/>
  <c r="G8" i="52" s="1"/>
  <c r="AJ8" i="52"/>
  <c r="B26" i="3"/>
  <c r="AZ26" i="3" s="1"/>
  <c r="F26" i="40"/>
  <c r="F26" i="59"/>
  <c r="F26" i="35"/>
  <c r="F26" i="1"/>
  <c r="F26" i="33"/>
  <c r="F26" i="54"/>
  <c r="F26" i="38"/>
  <c r="A168" i="50"/>
  <c r="W4" i="52"/>
  <c r="AA4" i="52" s="1"/>
  <c r="AD4" i="52"/>
  <c r="AE4" i="52" s="1"/>
  <c r="V26" i="20"/>
  <c r="M26" i="54"/>
  <c r="M26" i="35"/>
  <c r="M26" i="1"/>
  <c r="F26" i="32"/>
  <c r="AE26" i="20"/>
  <c r="M26" i="59"/>
  <c r="M26" i="33"/>
  <c r="M26" i="40"/>
  <c r="M26" i="38"/>
  <c r="B26" i="13"/>
  <c r="B26" i="23"/>
  <c r="B26" i="27"/>
  <c r="D26" i="51"/>
  <c r="Z26" i="9"/>
  <c r="AA26" i="9"/>
  <c r="C27" i="9"/>
  <c r="B26" i="42"/>
  <c r="B26" i="26"/>
  <c r="C25" i="12"/>
  <c r="E25" i="3"/>
  <c r="C25" i="2"/>
  <c r="J27" i="8"/>
  <c r="A130" i="50"/>
  <c r="W5" i="52"/>
  <c r="AA5" i="52" s="1"/>
  <c r="AD88" i="11"/>
  <c r="AC90" i="11"/>
  <c r="AH30" i="32"/>
  <c r="AI29" i="32"/>
  <c r="A89" i="56"/>
  <c r="AK7" i="52"/>
  <c r="AL7" i="52"/>
  <c r="X5" i="52"/>
  <c r="AB5" i="52"/>
  <c r="AC5" i="52" s="1"/>
  <c r="AB63" i="11"/>
  <c r="AO6" i="52"/>
  <c r="AQ6" i="52" s="1"/>
  <c r="U6" i="52"/>
  <c r="V6" i="52" s="1"/>
  <c r="G27" i="2"/>
  <c r="E27" i="12"/>
  <c r="M28" i="9"/>
  <c r="Z4" i="52"/>
  <c r="A110" i="46"/>
  <c r="A149" i="50"/>
  <c r="Y30" i="32"/>
  <c r="A129" i="46"/>
  <c r="A165" i="56"/>
  <c r="A184" i="56"/>
  <c r="AS29" i="32"/>
  <c r="AR30" i="32"/>
  <c r="A127" i="56"/>
  <c r="A186" i="46"/>
  <c r="AW5" i="52"/>
  <c r="AY5" i="52"/>
  <c r="AZ5" i="52"/>
  <c r="AX5" i="52"/>
  <c r="AV5" i="52"/>
  <c r="A146" i="56"/>
  <c r="AD63" i="11"/>
  <c r="AC65" i="11"/>
  <c r="L6" i="52"/>
  <c r="M6" i="52" s="1"/>
  <c r="P6" i="52" s="1"/>
  <c r="G28" i="8"/>
  <c r="K29" i="9"/>
  <c r="AB88" i="11"/>
  <c r="AH4" i="52" l="1"/>
  <c r="A165" i="49"/>
  <c r="A166" i="49" s="1"/>
  <c r="A167" i="49" s="1"/>
  <c r="A168" i="49" s="1"/>
  <c r="A169" i="49" s="1"/>
  <c r="A170" i="49" s="1"/>
  <c r="A171" i="49" s="1"/>
  <c r="A172" i="49" s="1"/>
  <c r="A173" i="49" s="1"/>
  <c r="A174" i="49" s="1"/>
  <c r="A175" i="49" s="1"/>
  <c r="A176" i="49" s="1"/>
  <c r="A177" i="49" s="1"/>
  <c r="A178" i="49" s="1"/>
  <c r="A179" i="49" s="1"/>
  <c r="A180" i="49" s="1"/>
  <c r="A181" i="49" s="1"/>
  <c r="A182" i="49" s="1"/>
  <c r="A183" i="49" s="1"/>
  <c r="A184" i="49"/>
  <c r="A185" i="49" s="1"/>
  <c r="A186" i="49" s="1"/>
  <c r="A187" i="49" s="1"/>
  <c r="A188" i="49" s="1"/>
  <c r="A189" i="49" s="1"/>
  <c r="A190" i="49" s="1"/>
  <c r="A191" i="49" s="1"/>
  <c r="A192" i="49" s="1"/>
  <c r="A193" i="49" s="1"/>
  <c r="A194" i="49" s="1"/>
  <c r="A195" i="49" s="1"/>
  <c r="A196" i="49" s="1"/>
  <c r="A197" i="49" s="1"/>
  <c r="A198" i="49" s="1"/>
  <c r="A199" i="49" s="1"/>
  <c r="A200" i="49" s="1"/>
  <c r="A201" i="49" s="1"/>
  <c r="A202" i="49" s="1"/>
  <c r="A203" i="49" s="1"/>
  <c r="Y4" i="52"/>
  <c r="AA25" i="1"/>
  <c r="BX40" i="40"/>
  <c r="BX40" i="38"/>
  <c r="BX40" i="35"/>
  <c r="BX40" i="1"/>
  <c r="BX40" i="33"/>
  <c r="BX40" i="54"/>
  <c r="BT22" i="1"/>
  <c r="BT22" i="59"/>
  <c r="BT22" i="40"/>
  <c r="BT22" i="54"/>
  <c r="BT22" i="35"/>
  <c r="BT22" i="38"/>
  <c r="BT22" i="33"/>
  <c r="AO23" i="54"/>
  <c r="AP23" i="54" s="1"/>
  <c r="BS23" i="54" s="1"/>
  <c r="E25" i="9"/>
  <c r="AD25" i="32" s="1"/>
  <c r="Q25" i="59" s="1"/>
  <c r="AO25" i="59" s="1"/>
  <c r="AP25" i="59" s="1"/>
  <c r="BS25" i="59" s="1"/>
  <c r="AO23" i="38"/>
  <c r="AP23" i="38" s="1"/>
  <c r="BS23" i="38" s="1"/>
  <c r="AO23" i="35"/>
  <c r="AP23" i="35" s="1"/>
  <c r="BS23" i="35" s="1"/>
  <c r="V23" i="3" s="1"/>
  <c r="W23" i="3" s="1"/>
  <c r="AO23" i="33"/>
  <c r="AP23" i="33" s="1"/>
  <c r="BS23" i="33" s="1"/>
  <c r="AO23" i="1"/>
  <c r="AP23" i="1" s="1"/>
  <c r="BS23" i="1" s="1"/>
  <c r="AO23" i="40"/>
  <c r="AP23" i="40" s="1"/>
  <c r="BS23" i="40" s="1"/>
  <c r="AO24" i="35"/>
  <c r="AP24" i="35" s="1"/>
  <c r="BS24" i="35" s="1"/>
  <c r="V24" i="3" s="1"/>
  <c r="W24" i="3" s="1"/>
  <c r="AN23" i="32"/>
  <c r="T23" i="54" s="1"/>
  <c r="E40" i="2"/>
  <c r="N22" i="32"/>
  <c r="V22" i="32" s="1"/>
  <c r="V40" i="32"/>
  <c r="R40" i="32"/>
  <c r="W40" i="32" s="1"/>
  <c r="AA22" i="59"/>
  <c r="AB22" i="59" s="1"/>
  <c r="L25" i="38"/>
  <c r="N25" i="38" s="1"/>
  <c r="O25" i="38" s="1"/>
  <c r="Q24" i="1"/>
  <c r="Q24" i="38"/>
  <c r="R24" i="54"/>
  <c r="C25" i="23"/>
  <c r="D25" i="23" s="1"/>
  <c r="R24" i="1"/>
  <c r="R24" i="35"/>
  <c r="Q24" i="40"/>
  <c r="B24" i="12"/>
  <c r="G24" i="12" s="1"/>
  <c r="Q24" i="33"/>
  <c r="D24" i="3"/>
  <c r="J24" i="3" s="1"/>
  <c r="H24" i="8" s="1"/>
  <c r="Q24" i="59"/>
  <c r="P23" i="3"/>
  <c r="AR24" i="3"/>
  <c r="R24" i="59"/>
  <c r="L25" i="1"/>
  <c r="B25" i="2" s="1"/>
  <c r="D25" i="2" s="1"/>
  <c r="B25" i="34"/>
  <c r="B25" i="53"/>
  <c r="L25" i="40"/>
  <c r="N25" i="40" s="1"/>
  <c r="O25" i="40" s="1"/>
  <c r="J23" i="3"/>
  <c r="H23" i="8" s="1"/>
  <c r="E25" i="51"/>
  <c r="AE25" i="51" s="1"/>
  <c r="AF25" i="51" s="1"/>
  <c r="AA25" i="8"/>
  <c r="R24" i="33"/>
  <c r="R24" i="38"/>
  <c r="M25" i="3"/>
  <c r="B25" i="29"/>
  <c r="G25" i="3"/>
  <c r="AR25" i="3" s="1"/>
  <c r="AI25" i="8"/>
  <c r="N24" i="1"/>
  <c r="O24" i="1" s="1"/>
  <c r="C25" i="26"/>
  <c r="D25" i="26" s="1"/>
  <c r="B25" i="41"/>
  <c r="L25" i="33"/>
  <c r="N25" i="33" s="1"/>
  <c r="O25" i="33" s="1"/>
  <c r="L25" i="59"/>
  <c r="N25" i="59" s="1"/>
  <c r="O25" i="59" s="1"/>
  <c r="B25" i="37"/>
  <c r="B25" i="36"/>
  <c r="C25" i="42"/>
  <c r="D25" i="42" s="1"/>
  <c r="G24" i="32"/>
  <c r="Z24" i="32" s="1"/>
  <c r="L25" i="35"/>
  <c r="N25" i="35" s="1"/>
  <c r="O25" i="35" s="1"/>
  <c r="C25" i="27"/>
  <c r="D25" i="27" s="1"/>
  <c r="AD25" i="20"/>
  <c r="B26" i="9"/>
  <c r="I26" i="9" s="1"/>
  <c r="L24" i="32"/>
  <c r="AQ25" i="8"/>
  <c r="L25" i="54"/>
  <c r="N25" i="54" s="1"/>
  <c r="O25" i="54" s="1"/>
  <c r="E25" i="32"/>
  <c r="J25" i="32" s="1"/>
  <c r="U25" i="20"/>
  <c r="Q24" i="54"/>
  <c r="B25" i="58"/>
  <c r="D25" i="13"/>
  <c r="S6" i="52"/>
  <c r="T6" i="52"/>
  <c r="AB22" i="3"/>
  <c r="Y5" i="52"/>
  <c r="Z5" i="52"/>
  <c r="AB89" i="11"/>
  <c r="AB90" i="11"/>
  <c r="AB91" i="11" s="1"/>
  <c r="A166" i="56"/>
  <c r="Y31" i="32"/>
  <c r="A169" i="50"/>
  <c r="AV22" i="40"/>
  <c r="AW22" i="40" s="1"/>
  <c r="BW22" i="40" s="1"/>
  <c r="A71" i="56"/>
  <c r="A128" i="56"/>
  <c r="A188" i="50"/>
  <c r="U7" i="52"/>
  <c r="V7" i="52" s="1"/>
  <c r="G29" i="8"/>
  <c r="K30" i="9"/>
  <c r="AZ6" i="52"/>
  <c r="AV6" i="52"/>
  <c r="AY6" i="52"/>
  <c r="AX6" i="52"/>
  <c r="AW6" i="52"/>
  <c r="AO7" i="52"/>
  <c r="AQ7" i="52" s="1"/>
  <c r="AH31" i="32"/>
  <c r="AI30" i="32"/>
  <c r="AK8" i="52"/>
  <c r="AL8" i="52"/>
  <c r="AV22" i="33"/>
  <c r="AW22" i="33" s="1"/>
  <c r="BW22" i="33" s="1"/>
  <c r="A109" i="56"/>
  <c r="N6" i="52"/>
  <c r="O6" i="52" s="1"/>
  <c r="A150" i="50"/>
  <c r="AD89" i="11"/>
  <c r="AC91" i="11"/>
  <c r="AD90" i="11" s="1"/>
  <c r="AD91" i="11" s="1"/>
  <c r="J8" i="52"/>
  <c r="Q8" i="52"/>
  <c r="R8" i="52" s="1"/>
  <c r="I8" i="52"/>
  <c r="K8" i="52"/>
  <c r="AV22" i="54"/>
  <c r="AW22" i="54" s="1"/>
  <c r="BW22" i="54" s="1"/>
  <c r="X6" i="52"/>
  <c r="AB6" i="52"/>
  <c r="AC6" i="52" s="1"/>
  <c r="AR31" i="32"/>
  <c r="AS30" i="32"/>
  <c r="G28" i="2"/>
  <c r="E28" i="12"/>
  <c r="M29" i="9"/>
  <c r="A149" i="46"/>
  <c r="AD64" i="11"/>
  <c r="AC66" i="11"/>
  <c r="AD65" i="11" s="1"/>
  <c r="AD66" i="11" s="1"/>
  <c r="A130" i="46"/>
  <c r="A131" i="50"/>
  <c r="M27" i="40"/>
  <c r="AE27" i="20"/>
  <c r="M27" i="35"/>
  <c r="M27" i="38"/>
  <c r="M27" i="54"/>
  <c r="V27" i="20"/>
  <c r="B27" i="13"/>
  <c r="D27" i="51"/>
  <c r="M27" i="59"/>
  <c r="M27" i="1"/>
  <c r="F27" i="32"/>
  <c r="B27" i="27"/>
  <c r="B27" i="42"/>
  <c r="B27" i="26"/>
  <c r="Z27" i="9"/>
  <c r="M27" i="33"/>
  <c r="C28" i="9"/>
  <c r="B27" i="23"/>
  <c r="AA27" i="9"/>
  <c r="C26" i="12"/>
  <c r="E26" i="3"/>
  <c r="C26" i="2"/>
  <c r="AF4" i="52"/>
  <c r="AG4" i="52" s="1"/>
  <c r="AM4" i="52" s="1"/>
  <c r="A168" i="46"/>
  <c r="AV22" i="35"/>
  <c r="AW22" i="35" s="1"/>
  <c r="BW22" i="35" s="1"/>
  <c r="X22" i="3" s="1"/>
  <c r="Y22" i="3" s="1"/>
  <c r="AT3" i="52"/>
  <c r="AU3" i="52"/>
  <c r="AS3" i="52"/>
  <c r="A111" i="46"/>
  <c r="L7" i="52"/>
  <c r="M7" i="52" s="1"/>
  <c r="P7" i="52" s="1"/>
  <c r="AV22" i="1"/>
  <c r="AW22" i="1" s="1"/>
  <c r="BW22" i="1" s="1"/>
  <c r="J28" i="8"/>
  <c r="A147" i="56"/>
  <c r="E10" i="52"/>
  <c r="F9" i="52"/>
  <c r="G9" i="52" s="1"/>
  <c r="AJ9" i="52"/>
  <c r="AV22" i="38"/>
  <c r="AW22" i="38" s="1"/>
  <c r="BW22" i="38" s="1"/>
  <c r="A187" i="46"/>
  <c r="A185" i="56"/>
  <c r="B27" i="3"/>
  <c r="AZ27" i="3" s="1"/>
  <c r="F27" i="54"/>
  <c r="F27" i="33"/>
  <c r="F27" i="38"/>
  <c r="F27" i="59"/>
  <c r="F27" i="1"/>
  <c r="F27" i="35"/>
  <c r="F27" i="40"/>
  <c r="AB64" i="11"/>
  <c r="AB65" i="11"/>
  <c r="AB66" i="11" s="1"/>
  <c r="A90" i="56"/>
  <c r="AD5" i="52"/>
  <c r="AE5" i="52" s="1"/>
  <c r="AV22" i="59"/>
  <c r="AW22" i="59" s="1"/>
  <c r="BW22" i="59" s="1"/>
  <c r="Q25" i="38" l="1"/>
  <c r="AO25" i="38" s="1"/>
  <c r="AP25" i="38" s="1"/>
  <c r="BS25" i="38" s="1"/>
  <c r="Q25" i="35"/>
  <c r="AO25" i="35" s="1"/>
  <c r="AP25" i="35" s="1"/>
  <c r="BS25" i="35" s="1"/>
  <c r="V25" i="3" s="1"/>
  <c r="W25" i="3" s="1"/>
  <c r="AA26" i="1"/>
  <c r="Q25" i="33"/>
  <c r="AO25" i="33" s="1"/>
  <c r="AP25" i="33" s="1"/>
  <c r="BS25" i="33" s="1"/>
  <c r="Q25" i="54"/>
  <c r="AO25" i="54" s="1"/>
  <c r="AP25" i="54" s="1"/>
  <c r="BS25" i="54" s="1"/>
  <c r="Q25" i="40"/>
  <c r="AO25" i="40" s="1"/>
  <c r="AP25" i="40" s="1"/>
  <c r="BS25" i="40" s="1"/>
  <c r="Q25" i="1"/>
  <c r="AO25" i="1" s="1"/>
  <c r="AP25" i="1" s="1"/>
  <c r="BS25" i="1" s="1"/>
  <c r="BT23" i="38"/>
  <c r="BT23" i="1"/>
  <c r="BT23" i="59"/>
  <c r="BT23" i="54"/>
  <c r="BT23" i="40"/>
  <c r="BT23" i="33"/>
  <c r="BT23" i="35"/>
  <c r="BT24" i="35"/>
  <c r="BT24" i="38"/>
  <c r="BT24" i="1"/>
  <c r="BT24" i="59"/>
  <c r="BT24" i="33"/>
  <c r="BT24" i="54"/>
  <c r="BT24" i="40"/>
  <c r="AO24" i="40"/>
  <c r="AP24" i="40" s="1"/>
  <c r="BS24" i="40" s="1"/>
  <c r="AO24" i="1"/>
  <c r="AP24" i="1" s="1"/>
  <c r="BS24" i="1" s="1"/>
  <c r="G26" i="3"/>
  <c r="R26" i="33" s="1"/>
  <c r="AO24" i="33"/>
  <c r="AP24" i="33" s="1"/>
  <c r="BS24" i="33" s="1"/>
  <c r="AO24" i="59"/>
  <c r="AP24" i="59" s="1"/>
  <c r="BS24" i="59" s="1"/>
  <c r="AO24" i="54"/>
  <c r="AP24" i="54" s="1"/>
  <c r="BS24" i="54" s="1"/>
  <c r="AO24" i="38"/>
  <c r="AP24" i="38" s="1"/>
  <c r="BS24" i="38" s="1"/>
  <c r="T23" i="35"/>
  <c r="AV23" i="35" s="1"/>
  <c r="AW23" i="35" s="1"/>
  <c r="BW23" i="35" s="1"/>
  <c r="X23" i="3" s="1"/>
  <c r="Y23" i="3" s="1"/>
  <c r="AA22" i="33"/>
  <c r="AB22" i="33" s="1"/>
  <c r="T23" i="40"/>
  <c r="AV23" i="40" s="1"/>
  <c r="AW23" i="40" s="1"/>
  <c r="BW23" i="40" s="1"/>
  <c r="T23" i="33"/>
  <c r="AV23" i="33" s="1"/>
  <c r="AW23" i="33" s="1"/>
  <c r="BW23" i="33" s="1"/>
  <c r="T23" i="1"/>
  <c r="AV23" i="1" s="1"/>
  <c r="AW23" i="1" s="1"/>
  <c r="BW23" i="1" s="1"/>
  <c r="T23" i="59"/>
  <c r="AV23" i="59" s="1"/>
  <c r="AW23" i="59" s="1"/>
  <c r="BW23" i="59" s="1"/>
  <c r="T23" i="38"/>
  <c r="AV23" i="38" s="1"/>
  <c r="AW23" i="38" s="1"/>
  <c r="BW23" i="38" s="1"/>
  <c r="R22" i="32"/>
  <c r="W22" i="32" s="1"/>
  <c r="E22" i="2"/>
  <c r="AA22" i="54"/>
  <c r="AB22" i="54" s="1"/>
  <c r="S22" i="32"/>
  <c r="AA22" i="38"/>
  <c r="AB22" i="38" s="1"/>
  <c r="AB22" i="1"/>
  <c r="L26" i="54"/>
  <c r="N26" i="54" s="1"/>
  <c r="O26" i="54" s="1"/>
  <c r="B26" i="58"/>
  <c r="H24" i="32"/>
  <c r="AN24" i="32" s="1"/>
  <c r="E26" i="51"/>
  <c r="AE26" i="51" s="1"/>
  <c r="AF26" i="51" s="1"/>
  <c r="R25" i="35"/>
  <c r="AA22" i="40"/>
  <c r="AB22" i="40" s="1"/>
  <c r="L26" i="38"/>
  <c r="N26" i="38" s="1"/>
  <c r="O26" i="38" s="1"/>
  <c r="C26" i="23"/>
  <c r="D26" i="23" s="1"/>
  <c r="AA22" i="35"/>
  <c r="AB22" i="35" s="1"/>
  <c r="B27" i="9"/>
  <c r="I27" i="9" s="1"/>
  <c r="B26" i="36"/>
  <c r="AQ26" i="8"/>
  <c r="U26" i="20"/>
  <c r="B26" i="29"/>
  <c r="B26" i="37"/>
  <c r="R25" i="40"/>
  <c r="F24" i="3"/>
  <c r="BJ24" i="3" s="1"/>
  <c r="C26" i="27"/>
  <c r="D26" i="27" s="1"/>
  <c r="E26" i="9"/>
  <c r="AD26" i="32" s="1"/>
  <c r="Q26" i="35" s="1"/>
  <c r="P24" i="3"/>
  <c r="N24" i="32" s="1"/>
  <c r="V24" i="32" s="1"/>
  <c r="B26" i="41"/>
  <c r="L26" i="59"/>
  <c r="N26" i="59" s="1"/>
  <c r="O26" i="59" s="1"/>
  <c r="R25" i="38"/>
  <c r="C26" i="42"/>
  <c r="D26" i="42" s="1"/>
  <c r="L26" i="40"/>
  <c r="N26" i="40" s="1"/>
  <c r="O26" i="40" s="1"/>
  <c r="R25" i="59"/>
  <c r="B26" i="53"/>
  <c r="E26" i="32"/>
  <c r="J26" i="32" s="1"/>
  <c r="R25" i="1"/>
  <c r="N23" i="32"/>
  <c r="V23" i="32" s="1"/>
  <c r="N25" i="1"/>
  <c r="O25" i="1" s="1"/>
  <c r="D25" i="3"/>
  <c r="F25" i="3" s="1"/>
  <c r="BJ25" i="3" s="1"/>
  <c r="B25" i="12"/>
  <c r="G25" i="12" s="1"/>
  <c r="AI26" i="8"/>
  <c r="B26" i="34"/>
  <c r="L26" i="1"/>
  <c r="N26" i="1" s="1"/>
  <c r="O26" i="1" s="1"/>
  <c r="R25" i="33"/>
  <c r="C26" i="26"/>
  <c r="D26" i="26" s="1"/>
  <c r="L26" i="33"/>
  <c r="N26" i="33" s="1"/>
  <c r="O26" i="33" s="1"/>
  <c r="AD26" i="20"/>
  <c r="R25" i="54"/>
  <c r="G25" i="32"/>
  <c r="Z25" i="32" s="1"/>
  <c r="L25" i="32"/>
  <c r="AA26" i="8"/>
  <c r="D26" i="13"/>
  <c r="L26" i="35"/>
  <c r="N26" i="35" s="1"/>
  <c r="O26" i="35" s="1"/>
  <c r="M26" i="3"/>
  <c r="S7" i="52"/>
  <c r="T7" i="52"/>
  <c r="AN4" i="52"/>
  <c r="AR4" i="52" s="1"/>
  <c r="A132" i="50"/>
  <c r="X7" i="52"/>
  <c r="AB7" i="52"/>
  <c r="AC7" i="52" s="1"/>
  <c r="AR32" i="32"/>
  <c r="AS31" i="32"/>
  <c r="AF5" i="52"/>
  <c r="AG5" i="52" s="1"/>
  <c r="AM5" i="52" s="1"/>
  <c r="E27" i="3"/>
  <c r="C27" i="2"/>
  <c r="C27" i="12"/>
  <c r="N7" i="52"/>
  <c r="O7" i="52" s="1"/>
  <c r="AA23" i="54"/>
  <c r="AB23" i="54" s="1"/>
  <c r="AA23" i="33"/>
  <c r="AB23" i="33" s="1"/>
  <c r="AA23" i="40"/>
  <c r="AB23" i="40" s="1"/>
  <c r="AA23" i="35"/>
  <c r="AB23" i="35" s="1"/>
  <c r="AB23" i="1"/>
  <c r="AA23" i="59"/>
  <c r="AB23" i="59" s="1"/>
  <c r="AA23" i="38"/>
  <c r="AB23" i="38" s="1"/>
  <c r="J29" i="8"/>
  <c r="AH5" i="52"/>
  <c r="A186" i="56"/>
  <c r="U8" i="52"/>
  <c r="V8" i="52" s="1"/>
  <c r="A110" i="56"/>
  <c r="A91" i="56"/>
  <c r="BX22" i="40"/>
  <c r="BX22" i="59"/>
  <c r="BX22" i="35"/>
  <c r="BX22" i="1"/>
  <c r="BX22" i="33"/>
  <c r="BX22" i="54"/>
  <c r="BX22" i="38"/>
  <c r="A151" i="50"/>
  <c r="AB23" i="3"/>
  <c r="A150" i="46"/>
  <c r="Y32" i="32"/>
  <c r="A148" i="56"/>
  <c r="A169" i="46"/>
  <c r="AI31" i="32"/>
  <c r="AH32" i="32"/>
  <c r="A129" i="56"/>
  <c r="A72" i="56"/>
  <c r="A167" i="56"/>
  <c r="A188" i="46"/>
  <c r="A112" i="46"/>
  <c r="E29" i="12"/>
  <c r="G29" i="2"/>
  <c r="M30" i="9"/>
  <c r="V28" i="20"/>
  <c r="M28" i="59"/>
  <c r="F28" i="32"/>
  <c r="M28" i="54"/>
  <c r="M28" i="1"/>
  <c r="M28" i="38"/>
  <c r="M28" i="35"/>
  <c r="M28" i="40"/>
  <c r="AE28" i="20"/>
  <c r="B28" i="42"/>
  <c r="B28" i="23"/>
  <c r="B28" i="26"/>
  <c r="M28" i="33"/>
  <c r="AA28" i="9"/>
  <c r="C29" i="9"/>
  <c r="B28" i="13"/>
  <c r="D28" i="51"/>
  <c r="Z28" i="9"/>
  <c r="B28" i="27"/>
  <c r="Z6" i="52"/>
  <c r="AO8" i="52"/>
  <c r="AQ8" i="52" s="1"/>
  <c r="AZ7" i="52"/>
  <c r="AV7" i="52"/>
  <c r="AY7" i="52"/>
  <c r="AW7" i="52"/>
  <c r="AX7" i="52"/>
  <c r="AV23" i="54"/>
  <c r="AW23" i="54" s="1"/>
  <c r="BW23" i="54" s="1"/>
  <c r="AK9" i="52"/>
  <c r="AL9" i="52"/>
  <c r="L8" i="52"/>
  <c r="M8" i="52" s="1"/>
  <c r="P8" i="52" s="1"/>
  <c r="J9" i="52"/>
  <c r="K9" i="52"/>
  <c r="I9" i="52"/>
  <c r="Q9" i="52"/>
  <c r="R9" i="52" s="1"/>
  <c r="AJ10" i="52"/>
  <c r="E11" i="52"/>
  <c r="F10" i="52"/>
  <c r="G10" i="52" s="1"/>
  <c r="A131" i="46"/>
  <c r="F28" i="40"/>
  <c r="F28" i="59"/>
  <c r="F28" i="35"/>
  <c r="F28" i="1"/>
  <c r="B28" i="3"/>
  <c r="AZ28" i="3" s="1"/>
  <c r="F28" i="33"/>
  <c r="F28" i="54"/>
  <c r="F28" i="38"/>
  <c r="G30" i="8"/>
  <c r="K31" i="9"/>
  <c r="A189" i="50"/>
  <c r="A170" i="50"/>
  <c r="W6" i="52"/>
  <c r="AA6" i="52" s="1"/>
  <c r="AD6" i="52"/>
  <c r="AE6" i="52" s="1"/>
  <c r="Y6" i="52" l="1"/>
  <c r="R26" i="35"/>
  <c r="R26" i="59"/>
  <c r="R26" i="40"/>
  <c r="R26" i="38"/>
  <c r="R26" i="54"/>
  <c r="R26" i="1"/>
  <c r="AR26" i="3"/>
  <c r="BT25" i="33"/>
  <c r="BT25" i="35"/>
  <c r="BT25" i="59"/>
  <c r="BT25" i="38"/>
  <c r="BT25" i="1"/>
  <c r="BT25" i="54"/>
  <c r="BT25" i="40"/>
  <c r="E27" i="9"/>
  <c r="AD27" i="32" s="1"/>
  <c r="Q27" i="59" s="1"/>
  <c r="AO27" i="59" s="1"/>
  <c r="AP27" i="59" s="1"/>
  <c r="BS27" i="59" s="1"/>
  <c r="AA27" i="1"/>
  <c r="AO26" i="35"/>
  <c r="AP26" i="35" s="1"/>
  <c r="BS26" i="35" s="1"/>
  <c r="V26" i="3" s="1"/>
  <c r="W26" i="3" s="1"/>
  <c r="Q26" i="40"/>
  <c r="R24" i="32"/>
  <c r="W24" i="32" s="1"/>
  <c r="E24" i="2"/>
  <c r="Q26" i="1"/>
  <c r="G26" i="32"/>
  <c r="H26" i="32" s="1"/>
  <c r="L26" i="32"/>
  <c r="E23" i="2"/>
  <c r="I24" i="32"/>
  <c r="J25" i="3"/>
  <c r="H25" i="8" s="1"/>
  <c r="U27" i="20"/>
  <c r="Q26" i="54"/>
  <c r="L27" i="35"/>
  <c r="N27" i="35" s="1"/>
  <c r="O27" i="35" s="1"/>
  <c r="AQ27" i="8"/>
  <c r="AI27" i="8"/>
  <c r="G27" i="3"/>
  <c r="R27" i="35" s="1"/>
  <c r="C27" i="27"/>
  <c r="D27" i="27" s="1"/>
  <c r="B27" i="34"/>
  <c r="B27" i="37"/>
  <c r="S24" i="32"/>
  <c r="L27" i="59"/>
  <c r="N27" i="59" s="1"/>
  <c r="O27" i="59" s="1"/>
  <c r="B28" i="9"/>
  <c r="I28" i="9" s="1"/>
  <c r="B27" i="36"/>
  <c r="M27" i="3"/>
  <c r="C27" i="26"/>
  <c r="D27" i="26" s="1"/>
  <c r="L27" i="1"/>
  <c r="N27" i="1" s="1"/>
  <c r="O27" i="1" s="1"/>
  <c r="B27" i="58"/>
  <c r="B27" i="41"/>
  <c r="Q26" i="38"/>
  <c r="L27" i="38"/>
  <c r="N27" i="38" s="1"/>
  <c r="O27" i="38" s="1"/>
  <c r="B27" i="29"/>
  <c r="C27" i="42"/>
  <c r="D27" i="42" s="1"/>
  <c r="E27" i="51"/>
  <c r="AE27" i="51" s="1"/>
  <c r="AF27" i="51" s="1"/>
  <c r="B27" i="53"/>
  <c r="L27" i="54"/>
  <c r="N27" i="54" s="1"/>
  <c r="O27" i="54" s="1"/>
  <c r="E27" i="32"/>
  <c r="J27" i="32" s="1"/>
  <c r="AA27" i="8"/>
  <c r="Q26" i="33"/>
  <c r="AD27" i="20"/>
  <c r="C27" i="13"/>
  <c r="D27" i="13" s="1"/>
  <c r="L27" i="40"/>
  <c r="N27" i="40" s="1"/>
  <c r="O27" i="40" s="1"/>
  <c r="L27" i="33"/>
  <c r="N27" i="33" s="1"/>
  <c r="O27" i="33" s="1"/>
  <c r="Q26" i="59"/>
  <c r="C27" i="23"/>
  <c r="D27" i="23" s="1"/>
  <c r="P25" i="3"/>
  <c r="D26" i="3"/>
  <c r="P26" i="3" s="1"/>
  <c r="B26" i="12"/>
  <c r="G26" i="12" s="1"/>
  <c r="B26" i="2"/>
  <c r="D26" i="2" s="1"/>
  <c r="S23" i="32"/>
  <c r="R23" i="32"/>
  <c r="W23" i="32" s="1"/>
  <c r="H25" i="32"/>
  <c r="I25" i="32" s="1"/>
  <c r="AA25" i="3" s="1"/>
  <c r="T24" i="54"/>
  <c r="AV24" i="54" s="1"/>
  <c r="AW24" i="54" s="1"/>
  <c r="BW24" i="54" s="1"/>
  <c r="T24" i="33"/>
  <c r="AV24" i="33" s="1"/>
  <c r="AW24" i="33" s="1"/>
  <c r="BW24" i="33" s="1"/>
  <c r="T24" i="40"/>
  <c r="AV24" i="40" s="1"/>
  <c r="AW24" i="40" s="1"/>
  <c r="BW24" i="40" s="1"/>
  <c r="T24" i="1"/>
  <c r="T24" i="59"/>
  <c r="AV24" i="59" s="1"/>
  <c r="AW24" i="59" s="1"/>
  <c r="BW24" i="59" s="1"/>
  <c r="T24" i="35"/>
  <c r="T24" i="38"/>
  <c r="AV24" i="38" s="1"/>
  <c r="AW24" i="38" s="1"/>
  <c r="BW24" i="38" s="1"/>
  <c r="AN5" i="52"/>
  <c r="AR5" i="52" s="1"/>
  <c r="BX23" i="40"/>
  <c r="BX23" i="38"/>
  <c r="BX23" i="54"/>
  <c r="BX23" i="33"/>
  <c r="BX23" i="59"/>
  <c r="BX23" i="1"/>
  <c r="BX23" i="35"/>
  <c r="S8" i="52"/>
  <c r="T8" i="52"/>
  <c r="AO9" i="52"/>
  <c r="AQ9" i="52" s="1"/>
  <c r="AU4" i="52"/>
  <c r="AS4" i="52"/>
  <c r="AT4" i="52"/>
  <c r="AF6" i="52"/>
  <c r="AG6" i="52" s="1"/>
  <c r="AM6" i="52" s="1"/>
  <c r="A113" i="46"/>
  <c r="A130" i="56"/>
  <c r="Y33" i="32"/>
  <c r="A187" i="56"/>
  <c r="AS32" i="32"/>
  <c r="AR33" i="32"/>
  <c r="A133" i="50"/>
  <c r="A171" i="50"/>
  <c r="AZ8" i="52"/>
  <c r="AV8" i="52"/>
  <c r="AW8" i="52"/>
  <c r="AX8" i="52"/>
  <c r="AY8" i="52"/>
  <c r="E30" i="12"/>
  <c r="G30" i="2"/>
  <c r="M31" i="9"/>
  <c r="A189" i="46"/>
  <c r="A190" i="50"/>
  <c r="AH6" i="52"/>
  <c r="M29" i="40"/>
  <c r="M29" i="35"/>
  <c r="M29" i="38"/>
  <c r="M29" i="54"/>
  <c r="B29" i="13"/>
  <c r="D29" i="51"/>
  <c r="M29" i="59"/>
  <c r="M29" i="1"/>
  <c r="V29" i="20"/>
  <c r="AE29" i="20"/>
  <c r="M29" i="33"/>
  <c r="F29" i="32"/>
  <c r="Z29" i="9"/>
  <c r="B29" i="27"/>
  <c r="B29" i="26"/>
  <c r="B29" i="23"/>
  <c r="B29" i="42"/>
  <c r="C30" i="9"/>
  <c r="AA29" i="9"/>
  <c r="A151" i="46"/>
  <c r="AD7" i="52"/>
  <c r="AE7" i="52" s="1"/>
  <c r="W7" i="52"/>
  <c r="AA7" i="52" s="1"/>
  <c r="G31" i="8"/>
  <c r="K32" i="9"/>
  <c r="J10" i="52"/>
  <c r="K10" i="52"/>
  <c r="I10" i="52"/>
  <c r="Q10" i="52"/>
  <c r="R10" i="52" s="1"/>
  <c r="U9" i="52"/>
  <c r="V9" i="52" s="1"/>
  <c r="N8" i="52"/>
  <c r="O8" i="52" s="1"/>
  <c r="A168" i="56"/>
  <c r="A152" i="50"/>
  <c r="A111" i="56"/>
  <c r="C28" i="12"/>
  <c r="E28" i="3"/>
  <c r="C28" i="2"/>
  <c r="A170" i="46"/>
  <c r="A73" i="56"/>
  <c r="Z7" i="52"/>
  <c r="Y7" i="52"/>
  <c r="B29" i="3"/>
  <c r="AZ29" i="3" s="1"/>
  <c r="F29" i="40"/>
  <c r="F29" i="54"/>
  <c r="F29" i="33"/>
  <c r="F29" i="38"/>
  <c r="F29" i="59"/>
  <c r="F29" i="1"/>
  <c r="F29" i="35"/>
  <c r="AI32" i="32"/>
  <c r="AH33" i="32"/>
  <c r="A92" i="56"/>
  <c r="J30" i="8"/>
  <c r="E12" i="52"/>
  <c r="AJ11" i="52"/>
  <c r="F11" i="52"/>
  <c r="G11" i="52" s="1"/>
  <c r="X8" i="52"/>
  <c r="AB8" i="52"/>
  <c r="AC8" i="52" s="1"/>
  <c r="AK10" i="52"/>
  <c r="AL10" i="52"/>
  <c r="A132" i="46"/>
  <c r="L9" i="52"/>
  <c r="M9" i="52" s="1"/>
  <c r="P9" i="52" s="1"/>
  <c r="A149" i="56"/>
  <c r="AA24" i="3" l="1"/>
  <c r="AB24" i="3" s="1"/>
  <c r="N9" i="52"/>
  <c r="O9" i="52" s="1"/>
  <c r="AH7" i="52"/>
  <c r="AA28" i="1"/>
  <c r="R27" i="40"/>
  <c r="N25" i="32"/>
  <c r="S25" i="32" s="1"/>
  <c r="BT26" i="59"/>
  <c r="BT26" i="54"/>
  <c r="Q27" i="1"/>
  <c r="AO27" i="1" s="1"/>
  <c r="AP27" i="1" s="1"/>
  <c r="BS27" i="1" s="1"/>
  <c r="Q27" i="35"/>
  <c r="Q27" i="54"/>
  <c r="AO27" i="54" s="1"/>
  <c r="AP27" i="54" s="1"/>
  <c r="BS27" i="54" s="1"/>
  <c r="BT26" i="1"/>
  <c r="AO26" i="1"/>
  <c r="AP26" i="1" s="1"/>
  <c r="BS26" i="1" s="1"/>
  <c r="AO26" i="54"/>
  <c r="AP26" i="54" s="1"/>
  <c r="BS26" i="54" s="1"/>
  <c r="BT26" i="35"/>
  <c r="AO26" i="33"/>
  <c r="AP26" i="33" s="1"/>
  <c r="BS26" i="33" s="1"/>
  <c r="Q27" i="33"/>
  <c r="AO27" i="35"/>
  <c r="AP27" i="35" s="1"/>
  <c r="BS27" i="35" s="1"/>
  <c r="V27" i="3" s="1"/>
  <c r="W27" i="3" s="1"/>
  <c r="BT26" i="38"/>
  <c r="BT26" i="40"/>
  <c r="AO26" i="40"/>
  <c r="AP26" i="40" s="1"/>
  <c r="BS26" i="40" s="1"/>
  <c r="BT26" i="33"/>
  <c r="Q27" i="40"/>
  <c r="AO26" i="59"/>
  <c r="AP26" i="59" s="1"/>
  <c r="BS26" i="59" s="1"/>
  <c r="AO26" i="38"/>
  <c r="AP26" i="38" s="1"/>
  <c r="BS26" i="38" s="1"/>
  <c r="G28" i="3"/>
  <c r="AR28" i="3" s="1"/>
  <c r="Q27" i="38"/>
  <c r="Z26" i="32"/>
  <c r="AA24" i="35"/>
  <c r="AB24" i="35" s="1"/>
  <c r="F26" i="3"/>
  <c r="BJ26" i="3" s="1"/>
  <c r="AR27" i="3"/>
  <c r="L28" i="35"/>
  <c r="N28" i="35" s="1"/>
  <c r="O28" i="35" s="1"/>
  <c r="D27" i="3"/>
  <c r="F27" i="3" s="1"/>
  <c r="BJ27" i="3" s="1"/>
  <c r="B28" i="36"/>
  <c r="B27" i="2"/>
  <c r="D27" i="2" s="1"/>
  <c r="AD28" i="20"/>
  <c r="E28" i="32"/>
  <c r="L28" i="32" s="1"/>
  <c r="U28" i="20"/>
  <c r="B27" i="12"/>
  <c r="G27" i="12" s="1"/>
  <c r="C28" i="26"/>
  <c r="D28" i="26" s="1"/>
  <c r="AQ28" i="8"/>
  <c r="E28" i="51"/>
  <c r="AE28" i="51" s="1"/>
  <c r="AF28" i="51" s="1"/>
  <c r="AI28" i="8"/>
  <c r="L28" i="59"/>
  <c r="N28" i="59" s="1"/>
  <c r="O28" i="59" s="1"/>
  <c r="M28" i="3"/>
  <c r="B28" i="37"/>
  <c r="L28" i="40"/>
  <c r="N28" i="40" s="1"/>
  <c r="O28" i="40" s="1"/>
  <c r="E28" i="9"/>
  <c r="AD28" i="32" s="1"/>
  <c r="Q28" i="33" s="1"/>
  <c r="B29" i="9"/>
  <c r="I29" i="9" s="1"/>
  <c r="L28" i="33"/>
  <c r="N28" i="33" s="1"/>
  <c r="O28" i="33" s="1"/>
  <c r="R27" i="59"/>
  <c r="B28" i="58"/>
  <c r="L28" i="38"/>
  <c r="N28" i="38" s="1"/>
  <c r="O28" i="38" s="1"/>
  <c r="R27" i="54"/>
  <c r="AA28" i="8"/>
  <c r="C28" i="23"/>
  <c r="D28" i="23" s="1"/>
  <c r="L28" i="54"/>
  <c r="N28" i="54" s="1"/>
  <c r="O28" i="54" s="1"/>
  <c r="L27" i="32"/>
  <c r="R27" i="33"/>
  <c r="B28" i="34"/>
  <c r="B28" i="41"/>
  <c r="B28" i="29"/>
  <c r="B28" i="53"/>
  <c r="G27" i="32"/>
  <c r="H27" i="32" s="1"/>
  <c r="R27" i="1"/>
  <c r="C28" i="13"/>
  <c r="D28" i="13" s="1"/>
  <c r="C28" i="27"/>
  <c r="D28" i="27" s="1"/>
  <c r="L28" i="1"/>
  <c r="N28" i="1" s="1"/>
  <c r="O28" i="1" s="1"/>
  <c r="C28" i="42"/>
  <c r="D28" i="42" s="1"/>
  <c r="R27" i="38"/>
  <c r="J26" i="3"/>
  <c r="H26" i="8" s="1"/>
  <c r="AN25" i="32"/>
  <c r="T25" i="59" s="1"/>
  <c r="AV25" i="59" s="1"/>
  <c r="AW25" i="59" s="1"/>
  <c r="BW25" i="59" s="1"/>
  <c r="AB25" i="3"/>
  <c r="I26" i="32"/>
  <c r="AA26" i="3" s="1"/>
  <c r="AN26" i="32"/>
  <c r="AV24" i="35"/>
  <c r="AW24" i="35" s="1"/>
  <c r="BW24" i="35" s="1"/>
  <c r="X24" i="3" s="1"/>
  <c r="Y24" i="3" s="1"/>
  <c r="AV24" i="1"/>
  <c r="AW24" i="1" s="1"/>
  <c r="BW24" i="1" s="1"/>
  <c r="S9" i="52"/>
  <c r="T9" i="52"/>
  <c r="AN6" i="52"/>
  <c r="AR6" i="52" s="1"/>
  <c r="A150" i="56"/>
  <c r="J11" i="52"/>
  <c r="K11" i="52"/>
  <c r="I11" i="52"/>
  <c r="Q11" i="52"/>
  <c r="R11" i="52" s="1"/>
  <c r="A133" i="46"/>
  <c r="U10" i="52"/>
  <c r="V10" i="52" s="1"/>
  <c r="AF7" i="52"/>
  <c r="AG7" i="52" s="1"/>
  <c r="AM7" i="52" s="1"/>
  <c r="AN7" i="52" s="1"/>
  <c r="AR7" i="52" s="1"/>
  <c r="A191" i="50"/>
  <c r="A134" i="50"/>
  <c r="AT5" i="52"/>
  <c r="AS5" i="52"/>
  <c r="AU5" i="52"/>
  <c r="AE30" i="20"/>
  <c r="M30" i="59"/>
  <c r="M30" i="54"/>
  <c r="M30" i="1"/>
  <c r="M30" i="33"/>
  <c r="M30" i="38"/>
  <c r="B30" i="27"/>
  <c r="D30" i="51"/>
  <c r="B30" i="26"/>
  <c r="V30" i="20"/>
  <c r="F30" i="32"/>
  <c r="M30" i="40"/>
  <c r="B30" i="13"/>
  <c r="Z30" i="9"/>
  <c r="AA30" i="9"/>
  <c r="C31" i="9"/>
  <c r="M30" i="35"/>
  <c r="B30" i="23"/>
  <c r="B30" i="42"/>
  <c r="A112" i="56"/>
  <c r="AR34" i="32"/>
  <c r="AS33" i="32"/>
  <c r="A131" i="56"/>
  <c r="AO10" i="52"/>
  <c r="AQ10" i="52" s="1"/>
  <c r="L10" i="52"/>
  <c r="M10" i="52" s="1"/>
  <c r="P10" i="52" s="1"/>
  <c r="N10" i="52"/>
  <c r="O10" i="52" s="1"/>
  <c r="G31" i="2"/>
  <c r="E31" i="12"/>
  <c r="M32" i="9"/>
  <c r="A93" i="56"/>
  <c r="A171" i="46"/>
  <c r="A153" i="50"/>
  <c r="G32" i="8"/>
  <c r="K33" i="9"/>
  <c r="A152" i="46"/>
  <c r="C29" i="12"/>
  <c r="C29" i="2"/>
  <c r="E29" i="3"/>
  <c r="A190" i="46"/>
  <c r="B30" i="3"/>
  <c r="AZ30" i="3" s="1"/>
  <c r="F30" i="40"/>
  <c r="F30" i="59"/>
  <c r="F30" i="35"/>
  <c r="F30" i="54"/>
  <c r="F30" i="1"/>
  <c r="F30" i="38"/>
  <c r="F30" i="33"/>
  <c r="A114" i="46"/>
  <c r="X9" i="52"/>
  <c r="AB9" i="52"/>
  <c r="AC9" i="52" s="1"/>
  <c r="A172" i="50"/>
  <c r="A188" i="56"/>
  <c r="AZ9" i="52"/>
  <c r="AV9" i="52"/>
  <c r="AW9" i="52"/>
  <c r="AY9" i="52"/>
  <c r="AX9" i="52"/>
  <c r="A74" i="56"/>
  <c r="AH8" i="52"/>
  <c r="A169" i="56"/>
  <c r="J31" i="8"/>
  <c r="AD8" i="52"/>
  <c r="AE8" i="52" s="1"/>
  <c r="W8" i="52"/>
  <c r="AA8" i="52" s="1"/>
  <c r="AK11" i="52"/>
  <c r="AL11" i="52"/>
  <c r="AH34" i="32"/>
  <c r="AI33" i="32"/>
  <c r="AJ12" i="52"/>
  <c r="E13" i="52"/>
  <c r="F12" i="52"/>
  <c r="G12" i="52" s="1"/>
  <c r="Y34" i="32"/>
  <c r="AA29" i="1" l="1"/>
  <c r="R25" i="32"/>
  <c r="W25" i="32" s="1"/>
  <c r="E25" i="2"/>
  <c r="V25" i="32"/>
  <c r="R28" i="33"/>
  <c r="R28" i="59"/>
  <c r="R28" i="1"/>
  <c r="R28" i="54"/>
  <c r="R28" i="38"/>
  <c r="BT27" i="33"/>
  <c r="BT27" i="54"/>
  <c r="BT27" i="40"/>
  <c r="BT27" i="38"/>
  <c r="BT27" i="1"/>
  <c r="BT27" i="35"/>
  <c r="BT27" i="59"/>
  <c r="E29" i="9"/>
  <c r="AD29" i="32" s="1"/>
  <c r="Q29" i="59" s="1"/>
  <c r="AO29" i="59" s="1"/>
  <c r="AP29" i="59" s="1"/>
  <c r="BS29" i="59" s="1"/>
  <c r="AO28" i="33"/>
  <c r="AP28" i="33" s="1"/>
  <c r="BS28" i="33" s="1"/>
  <c r="AO27" i="40"/>
  <c r="AP27" i="40" s="1"/>
  <c r="BS27" i="40" s="1"/>
  <c r="AO27" i="38"/>
  <c r="AP27" i="38" s="1"/>
  <c r="BS27" i="38" s="1"/>
  <c r="R28" i="35"/>
  <c r="R28" i="40"/>
  <c r="AO27" i="33"/>
  <c r="AP27" i="33" s="1"/>
  <c r="BS27" i="33" s="1"/>
  <c r="AA24" i="59"/>
  <c r="AB24" i="59" s="1"/>
  <c r="AA24" i="33"/>
  <c r="AB24" i="33" s="1"/>
  <c r="AA24" i="38"/>
  <c r="AB24" i="38" s="1"/>
  <c r="AA24" i="54"/>
  <c r="AB24" i="54" s="1"/>
  <c r="Z27" i="32"/>
  <c r="AA24" i="40"/>
  <c r="AB24" i="40" s="1"/>
  <c r="AB24" i="1"/>
  <c r="L29" i="1"/>
  <c r="D29" i="3" s="1"/>
  <c r="L29" i="35"/>
  <c r="N29" i="35" s="1"/>
  <c r="O29" i="35" s="1"/>
  <c r="Q28" i="38"/>
  <c r="J28" i="32"/>
  <c r="P27" i="3"/>
  <c r="J27" i="3"/>
  <c r="H27" i="8" s="1"/>
  <c r="B28" i="12"/>
  <c r="G28" i="12" s="1"/>
  <c r="C29" i="13"/>
  <c r="D29" i="13" s="1"/>
  <c r="B29" i="53"/>
  <c r="C29" i="23"/>
  <c r="D29" i="23" s="1"/>
  <c r="AD29" i="20"/>
  <c r="Q28" i="59"/>
  <c r="B29" i="58"/>
  <c r="C29" i="27"/>
  <c r="D29" i="27" s="1"/>
  <c r="E29" i="32"/>
  <c r="J29" i="32" s="1"/>
  <c r="Q28" i="1"/>
  <c r="AA29" i="8"/>
  <c r="L29" i="33"/>
  <c r="N29" i="33" s="1"/>
  <c r="O29" i="33" s="1"/>
  <c r="L29" i="40"/>
  <c r="N29" i="40" s="1"/>
  <c r="O29" i="40" s="1"/>
  <c r="Q28" i="35"/>
  <c r="B29" i="34"/>
  <c r="G28" i="32"/>
  <c r="H28" i="32" s="1"/>
  <c r="AQ29" i="8"/>
  <c r="Q28" i="54"/>
  <c r="B28" i="2"/>
  <c r="D28" i="2" s="1"/>
  <c r="C29" i="42"/>
  <c r="D29" i="42" s="1"/>
  <c r="E29" i="51"/>
  <c r="AE29" i="51" s="1"/>
  <c r="AF29" i="51" s="1"/>
  <c r="M29" i="3"/>
  <c r="D28" i="3"/>
  <c r="F28" i="3" s="1"/>
  <c r="BJ28" i="3" s="1"/>
  <c r="U29" i="20"/>
  <c r="B29" i="29"/>
  <c r="B29" i="41"/>
  <c r="AI29" i="8"/>
  <c r="G29" i="3"/>
  <c r="R29" i="54" s="1"/>
  <c r="L29" i="38"/>
  <c r="N29" i="38" s="1"/>
  <c r="O29" i="38" s="1"/>
  <c r="B29" i="36"/>
  <c r="L29" i="54"/>
  <c r="N29" i="54" s="1"/>
  <c r="O29" i="54" s="1"/>
  <c r="L29" i="59"/>
  <c r="N29" i="59" s="1"/>
  <c r="O29" i="59" s="1"/>
  <c r="B30" i="9"/>
  <c r="I30" i="9" s="1"/>
  <c r="B29" i="37"/>
  <c r="C29" i="26"/>
  <c r="D29" i="26" s="1"/>
  <c r="Q28" i="40"/>
  <c r="N26" i="32"/>
  <c r="R26" i="32" s="1"/>
  <c r="W26" i="32" s="1"/>
  <c r="T25" i="38"/>
  <c r="AV25" i="38" s="1"/>
  <c r="AW25" i="38" s="1"/>
  <c r="BW25" i="38" s="1"/>
  <c r="T25" i="1"/>
  <c r="AV25" i="1" s="1"/>
  <c r="AW25" i="1" s="1"/>
  <c r="BW25" i="1" s="1"/>
  <c r="T25" i="40"/>
  <c r="AV25" i="40" s="1"/>
  <c r="AW25" i="40" s="1"/>
  <c r="BW25" i="40" s="1"/>
  <c r="T25" i="33"/>
  <c r="AV25" i="33" s="1"/>
  <c r="AW25" i="33" s="1"/>
  <c r="BW25" i="33" s="1"/>
  <c r="T25" i="35"/>
  <c r="AV25" i="35" s="1"/>
  <c r="AW25" i="35" s="1"/>
  <c r="BW25" i="35" s="1"/>
  <c r="X25" i="3" s="1"/>
  <c r="Y25" i="3" s="1"/>
  <c r="T25" i="54"/>
  <c r="AV25" i="54" s="1"/>
  <c r="AW25" i="54" s="1"/>
  <c r="BW25" i="54" s="1"/>
  <c r="I27" i="32"/>
  <c r="AA27" i="3" s="1"/>
  <c r="AN27" i="32"/>
  <c r="AB26" i="3"/>
  <c r="AA25" i="33"/>
  <c r="AB25" i="33" s="1"/>
  <c r="AA25" i="40"/>
  <c r="AB25" i="40" s="1"/>
  <c r="AA25" i="35"/>
  <c r="AB25" i="35" s="1"/>
  <c r="AB25" i="1"/>
  <c r="AA25" i="38"/>
  <c r="AB25" i="38" s="1"/>
  <c r="AA25" i="59"/>
  <c r="AB25" i="59" s="1"/>
  <c r="AA25" i="54"/>
  <c r="AB25" i="54" s="1"/>
  <c r="BX24" i="54"/>
  <c r="BX24" i="1"/>
  <c r="BX24" i="40"/>
  <c r="BX24" i="35"/>
  <c r="BX24" i="38"/>
  <c r="BX24" i="33"/>
  <c r="BX24" i="59"/>
  <c r="T26" i="33"/>
  <c r="T26" i="1"/>
  <c r="T26" i="40"/>
  <c r="AV26" i="40" s="1"/>
  <c r="AW26" i="40" s="1"/>
  <c r="BW26" i="40" s="1"/>
  <c r="T26" i="59"/>
  <c r="AV26" i="59" s="1"/>
  <c r="AW26" i="59" s="1"/>
  <c r="BW26" i="59" s="1"/>
  <c r="T26" i="35"/>
  <c r="AV26" i="35" s="1"/>
  <c r="AW26" i="35" s="1"/>
  <c r="BW26" i="35" s="1"/>
  <c r="X26" i="3" s="1"/>
  <c r="Y26" i="3" s="1"/>
  <c r="BX26" i="54" s="1"/>
  <c r="T26" i="38"/>
  <c r="AV26" i="38" s="1"/>
  <c r="AW26" i="38" s="1"/>
  <c r="BW26" i="38" s="1"/>
  <c r="T26" i="54"/>
  <c r="AV26" i="54" s="1"/>
  <c r="AW26" i="54" s="1"/>
  <c r="BW26" i="54" s="1"/>
  <c r="S10" i="52"/>
  <c r="T10" i="52"/>
  <c r="A151" i="56"/>
  <c r="Y35" i="32"/>
  <c r="A115" i="46"/>
  <c r="A172" i="46"/>
  <c r="A134" i="46"/>
  <c r="J12" i="52"/>
  <c r="Q12" i="52"/>
  <c r="R12" i="52" s="1"/>
  <c r="I12" i="52"/>
  <c r="K12" i="52"/>
  <c r="E14" i="52"/>
  <c r="AJ13" i="52"/>
  <c r="F13" i="52"/>
  <c r="G13" i="52" s="1"/>
  <c r="A189" i="56"/>
  <c r="A191" i="46"/>
  <c r="A153" i="46"/>
  <c r="A94" i="56"/>
  <c r="M31" i="40"/>
  <c r="V31" i="20"/>
  <c r="M31" i="35"/>
  <c r="M31" i="38"/>
  <c r="M31" i="54"/>
  <c r="M31" i="33"/>
  <c r="F31" i="32"/>
  <c r="B31" i="13"/>
  <c r="D31" i="51"/>
  <c r="M31" i="59"/>
  <c r="AE31" i="20"/>
  <c r="B31" i="42"/>
  <c r="B31" i="26"/>
  <c r="B31" i="23"/>
  <c r="B31" i="27"/>
  <c r="AA31" i="9"/>
  <c r="C32" i="9"/>
  <c r="Z31" i="9"/>
  <c r="M31" i="1"/>
  <c r="U11" i="52"/>
  <c r="V11" i="52" s="1"/>
  <c r="AK12" i="52"/>
  <c r="AL12" i="52"/>
  <c r="AF8" i="52"/>
  <c r="AG8" i="52" s="1"/>
  <c r="AM8" i="52" s="1"/>
  <c r="AN8" i="52" s="1"/>
  <c r="AR8" i="52" s="1"/>
  <c r="G33" i="8"/>
  <c r="K34" i="9"/>
  <c r="E32" i="12"/>
  <c r="G32" i="2"/>
  <c r="M33" i="9"/>
  <c r="A132" i="56"/>
  <c r="A135" i="50"/>
  <c r="X10" i="52"/>
  <c r="AB10" i="52"/>
  <c r="AC10" i="52" s="1"/>
  <c r="M11" i="52"/>
  <c r="P11" i="52" s="1"/>
  <c r="S11" i="52" s="1"/>
  <c r="E30" i="3"/>
  <c r="C30" i="2"/>
  <c r="C30" i="12"/>
  <c r="AT7" i="52"/>
  <c r="AS7" i="52"/>
  <c r="AU7" i="52"/>
  <c r="AO11" i="52"/>
  <c r="AQ11" i="52" s="1"/>
  <c r="A75" i="56"/>
  <c r="Y8" i="52"/>
  <c r="AT6" i="52"/>
  <c r="AS6" i="52"/>
  <c r="AU6" i="52"/>
  <c r="F31" i="54"/>
  <c r="F31" i="40"/>
  <c r="F31" i="33"/>
  <c r="F31" i="35"/>
  <c r="F31" i="59"/>
  <c r="F31" i="38"/>
  <c r="F31" i="1"/>
  <c r="B31" i="3"/>
  <c r="AZ31" i="3" s="1"/>
  <c r="A113" i="56"/>
  <c r="L11" i="52"/>
  <c r="N11" i="52"/>
  <c r="O11" i="52" s="1"/>
  <c r="AD9" i="52"/>
  <c r="AE9" i="52" s="1"/>
  <c r="W9" i="52"/>
  <c r="AA9" i="52" s="1"/>
  <c r="AI34" i="32"/>
  <c r="AH35" i="32"/>
  <c r="A170" i="56"/>
  <c r="A173" i="50"/>
  <c r="J32" i="8"/>
  <c r="Z8" i="52"/>
  <c r="A154" i="50"/>
  <c r="AZ10" i="52"/>
  <c r="AX10" i="52"/>
  <c r="AV10" i="52"/>
  <c r="AY10" i="52"/>
  <c r="AW10" i="52"/>
  <c r="AR35" i="32"/>
  <c r="AS34" i="32"/>
  <c r="A192" i="50"/>
  <c r="Z9" i="52" l="1"/>
  <c r="Y9" i="52"/>
  <c r="AA30" i="1"/>
  <c r="Q29" i="40"/>
  <c r="AO29" i="40" s="1"/>
  <c r="AP29" i="40" s="1"/>
  <c r="BS29" i="40" s="1"/>
  <c r="Q29" i="54"/>
  <c r="AO29" i="54" s="1"/>
  <c r="AP29" i="54" s="1"/>
  <c r="BS29" i="54" s="1"/>
  <c r="Q29" i="35"/>
  <c r="AO29" i="35" s="1"/>
  <c r="AP29" i="35" s="1"/>
  <c r="BS29" i="35" s="1"/>
  <c r="V29" i="3" s="1"/>
  <c r="W29" i="3" s="1"/>
  <c r="Q29" i="1"/>
  <c r="AO29" i="1" s="1"/>
  <c r="AP29" i="1" s="1"/>
  <c r="BS29" i="1" s="1"/>
  <c r="G30" i="3"/>
  <c r="R30" i="1" s="1"/>
  <c r="AO28" i="54"/>
  <c r="AP28" i="54" s="1"/>
  <c r="BS28" i="54" s="1"/>
  <c r="AO28" i="1"/>
  <c r="AP28" i="1" s="1"/>
  <c r="BS28" i="1" s="1"/>
  <c r="AO28" i="38"/>
  <c r="AP28" i="38" s="1"/>
  <c r="BS28" i="38" s="1"/>
  <c r="Q29" i="33"/>
  <c r="AO28" i="40"/>
  <c r="AP28" i="40" s="1"/>
  <c r="BS28" i="40" s="1"/>
  <c r="AO28" i="35"/>
  <c r="AP28" i="35" s="1"/>
  <c r="BS28" i="35" s="1"/>
  <c r="V28" i="3" s="1"/>
  <c r="W28" i="3" s="1"/>
  <c r="Q29" i="38"/>
  <c r="AO28" i="59"/>
  <c r="AP28" i="59" s="1"/>
  <c r="BS28" i="59" s="1"/>
  <c r="L30" i="38"/>
  <c r="N30" i="38" s="1"/>
  <c r="O30" i="38" s="1"/>
  <c r="B30" i="53"/>
  <c r="E30" i="32"/>
  <c r="L30" i="32" s="1"/>
  <c r="AD30" i="20"/>
  <c r="Z28" i="32"/>
  <c r="E30" i="51"/>
  <c r="AE30" i="51" s="1"/>
  <c r="AF30" i="51" s="1"/>
  <c r="AQ30" i="8"/>
  <c r="L30" i="54"/>
  <c r="N30" i="54" s="1"/>
  <c r="O30" i="54" s="1"/>
  <c r="N29" i="1"/>
  <c r="O29" i="1" s="1"/>
  <c r="G29" i="32"/>
  <c r="Z29" i="32" s="1"/>
  <c r="B29" i="12"/>
  <c r="G29" i="12" s="1"/>
  <c r="B30" i="29"/>
  <c r="B29" i="2"/>
  <c r="D29" i="2" s="1"/>
  <c r="B30" i="37"/>
  <c r="J28" i="3"/>
  <c r="H28" i="8" s="1"/>
  <c r="M30" i="3"/>
  <c r="E30" i="9"/>
  <c r="AD30" i="32" s="1"/>
  <c r="Q30" i="40" s="1"/>
  <c r="L30" i="1"/>
  <c r="N30" i="1" s="1"/>
  <c r="O30" i="1" s="1"/>
  <c r="P28" i="3"/>
  <c r="C30" i="23"/>
  <c r="D30" i="23" s="1"/>
  <c r="N27" i="32"/>
  <c r="V27" i="32" s="1"/>
  <c r="AA30" i="8"/>
  <c r="B30" i="58"/>
  <c r="R29" i="1"/>
  <c r="J29" i="3"/>
  <c r="H29" i="8" s="1"/>
  <c r="B30" i="34"/>
  <c r="B30" i="36"/>
  <c r="C30" i="27"/>
  <c r="D30" i="27" s="1"/>
  <c r="C30" i="26"/>
  <c r="D30" i="26" s="1"/>
  <c r="L30" i="40"/>
  <c r="N30" i="40" s="1"/>
  <c r="O30" i="40" s="1"/>
  <c r="C30" i="42"/>
  <c r="D30" i="42" s="1"/>
  <c r="B30" i="41"/>
  <c r="R29" i="33"/>
  <c r="R29" i="35"/>
  <c r="R29" i="59"/>
  <c r="C30" i="13"/>
  <c r="D30" i="13" s="1"/>
  <c r="B31" i="9"/>
  <c r="I31" i="9" s="1"/>
  <c r="L30" i="33"/>
  <c r="N30" i="33" s="1"/>
  <c r="O30" i="33" s="1"/>
  <c r="L30" i="59"/>
  <c r="N30" i="59" s="1"/>
  <c r="O30" i="59" s="1"/>
  <c r="R29" i="38"/>
  <c r="L29" i="32"/>
  <c r="L30" i="35"/>
  <c r="N30" i="35" s="1"/>
  <c r="O30" i="35" s="1"/>
  <c r="AI30" i="8"/>
  <c r="U30" i="20"/>
  <c r="AR29" i="3"/>
  <c r="R29" i="40"/>
  <c r="V26" i="32"/>
  <c r="E26" i="2"/>
  <c r="S26" i="32"/>
  <c r="F29" i="3"/>
  <c r="BJ29" i="3" s="1"/>
  <c r="BX26" i="40"/>
  <c r="BX26" i="1"/>
  <c r="BX26" i="33"/>
  <c r="BX26" i="59"/>
  <c r="AB27" i="3"/>
  <c r="BX26" i="35"/>
  <c r="AN28" i="32"/>
  <c r="I28" i="32"/>
  <c r="AA28" i="3" s="1"/>
  <c r="AV26" i="1"/>
  <c r="AW26" i="1" s="1"/>
  <c r="BW26" i="1" s="1"/>
  <c r="BX25" i="38"/>
  <c r="BX25" i="40"/>
  <c r="BX25" i="54"/>
  <c r="BX25" i="33"/>
  <c r="BX25" i="35"/>
  <c r="BX25" i="59"/>
  <c r="BX25" i="1"/>
  <c r="BX26" i="38"/>
  <c r="AV26" i="33"/>
  <c r="AW26" i="33" s="1"/>
  <c r="BW26" i="33" s="1"/>
  <c r="T27" i="54"/>
  <c r="AV27" i="54" s="1"/>
  <c r="AW27" i="54" s="1"/>
  <c r="BW27" i="54" s="1"/>
  <c r="T27" i="38"/>
  <c r="AV27" i="38" s="1"/>
  <c r="AW27" i="38" s="1"/>
  <c r="BW27" i="38" s="1"/>
  <c r="T27" i="35"/>
  <c r="T27" i="40"/>
  <c r="T27" i="33"/>
  <c r="T27" i="1"/>
  <c r="T27" i="59"/>
  <c r="AV27" i="59" s="1"/>
  <c r="AW27" i="59" s="1"/>
  <c r="BW27" i="59" s="1"/>
  <c r="AA26" i="54"/>
  <c r="AB26" i="54" s="1"/>
  <c r="AA26" i="33"/>
  <c r="AB26" i="33" s="1"/>
  <c r="AA26" i="40"/>
  <c r="AB26" i="40" s="1"/>
  <c r="AA26" i="59"/>
  <c r="AB26" i="59" s="1"/>
  <c r="AA26" i="35"/>
  <c r="AB26" i="35" s="1"/>
  <c r="AA26" i="38"/>
  <c r="AB26" i="38" s="1"/>
  <c r="AB26" i="1"/>
  <c r="P29" i="3"/>
  <c r="AT8" i="52"/>
  <c r="AU8" i="52"/>
  <c r="AS8" i="52"/>
  <c r="A76" i="56"/>
  <c r="A174" i="50"/>
  <c r="A136" i="50"/>
  <c r="A155" i="50"/>
  <c r="G34" i="8"/>
  <c r="K35" i="9"/>
  <c r="A190" i="56"/>
  <c r="J33" i="8"/>
  <c r="A114" i="56"/>
  <c r="AZ11" i="52"/>
  <c r="AV11" i="52"/>
  <c r="AX11" i="52"/>
  <c r="AW11" i="52"/>
  <c r="AY11" i="52"/>
  <c r="AH9" i="52"/>
  <c r="X11" i="52"/>
  <c r="AB11" i="52"/>
  <c r="AC11" i="52" s="1"/>
  <c r="E31" i="3"/>
  <c r="C31" i="2"/>
  <c r="C31" i="12"/>
  <c r="A95" i="56"/>
  <c r="J13" i="52"/>
  <c r="K13" i="52"/>
  <c r="I13" i="52"/>
  <c r="Q13" i="52"/>
  <c r="R13" i="52" s="1"/>
  <c r="L12" i="52"/>
  <c r="M12" i="52" s="1"/>
  <c r="P12" i="52" s="1"/>
  <c r="A152" i="56"/>
  <c r="A193" i="50"/>
  <c r="Z10" i="52"/>
  <c r="T11" i="52"/>
  <c r="AK13" i="52"/>
  <c r="AL13" i="52"/>
  <c r="AF9" i="52"/>
  <c r="AG9" i="52" s="1"/>
  <c r="AM9" i="52" s="1"/>
  <c r="AN9" i="52" s="1"/>
  <c r="AR9" i="52" s="1"/>
  <c r="AD10" i="52"/>
  <c r="AE10" i="52" s="1"/>
  <c r="W10" i="52"/>
  <c r="AA10" i="52" s="1"/>
  <c r="AJ14" i="52"/>
  <c r="E15" i="52"/>
  <c r="F14" i="52"/>
  <c r="G14" i="52" s="1"/>
  <c r="A173" i="46"/>
  <c r="E33" i="12"/>
  <c r="M34" i="9"/>
  <c r="G33" i="2"/>
  <c r="U12" i="52"/>
  <c r="V12" i="52" s="1"/>
  <c r="A171" i="56"/>
  <c r="A133" i="56"/>
  <c r="AE32" i="20"/>
  <c r="M32" i="38"/>
  <c r="V32" i="20"/>
  <c r="M32" i="59"/>
  <c r="M32" i="1"/>
  <c r="F32" i="32"/>
  <c r="M32" i="40"/>
  <c r="M32" i="35"/>
  <c r="M32" i="33"/>
  <c r="B32" i="42"/>
  <c r="D32" i="51"/>
  <c r="B32" i="23"/>
  <c r="C33" i="9"/>
  <c r="AA32" i="9"/>
  <c r="M32" i="54"/>
  <c r="B32" i="27"/>
  <c r="B32" i="13"/>
  <c r="Z32" i="9"/>
  <c r="B32" i="26"/>
  <c r="A154" i="46"/>
  <c r="AS35" i="32"/>
  <c r="AR36" i="32"/>
  <c r="AH36" i="32"/>
  <c r="AI35" i="32"/>
  <c r="F32" i="40"/>
  <c r="F32" i="59"/>
  <c r="F32" i="35"/>
  <c r="F32" i="1"/>
  <c r="F32" i="54"/>
  <c r="B32" i="3"/>
  <c r="AZ32" i="3" s="1"/>
  <c r="F32" i="38"/>
  <c r="F32" i="33"/>
  <c r="AO12" i="52"/>
  <c r="AQ12" i="52" s="1"/>
  <c r="A192" i="46"/>
  <c r="A135" i="46"/>
  <c r="A116" i="46"/>
  <c r="Y36" i="32"/>
  <c r="AA31" i="1" l="1"/>
  <c r="R30" i="33"/>
  <c r="R30" i="38"/>
  <c r="AR30" i="3"/>
  <c r="R30" i="35"/>
  <c r="R30" i="54"/>
  <c r="R30" i="59"/>
  <c r="R30" i="40"/>
  <c r="BT29" i="1"/>
  <c r="BT29" i="33"/>
  <c r="BT29" i="40"/>
  <c r="BT29" i="59"/>
  <c r="BT29" i="54"/>
  <c r="BT29" i="35"/>
  <c r="BT29" i="38"/>
  <c r="BT28" i="1"/>
  <c r="BT28" i="38"/>
  <c r="BT28" i="35"/>
  <c r="BT28" i="40"/>
  <c r="BT28" i="54"/>
  <c r="BT28" i="33"/>
  <c r="BT28" i="59"/>
  <c r="AO29" i="38"/>
  <c r="AP29" i="38" s="1"/>
  <c r="BS29" i="38" s="1"/>
  <c r="AO30" i="40"/>
  <c r="AP30" i="40" s="1"/>
  <c r="BS30" i="40" s="1"/>
  <c r="AO29" i="33"/>
  <c r="AP29" i="33" s="1"/>
  <c r="BS29" i="33" s="1"/>
  <c r="L31" i="1"/>
  <c r="N31" i="1" s="1"/>
  <c r="O31" i="1" s="1"/>
  <c r="J30" i="32"/>
  <c r="G30" i="32"/>
  <c r="Z30" i="32" s="1"/>
  <c r="R27" i="32"/>
  <c r="W27" i="32" s="1"/>
  <c r="AI31" i="8"/>
  <c r="B31" i="41"/>
  <c r="B30" i="2"/>
  <c r="D30" i="2" s="1"/>
  <c r="S27" i="32"/>
  <c r="H29" i="32"/>
  <c r="I29" i="32" s="1"/>
  <c r="AA29" i="3" s="1"/>
  <c r="Q30" i="33"/>
  <c r="B31" i="53"/>
  <c r="E27" i="2"/>
  <c r="B31" i="36"/>
  <c r="Q30" i="35"/>
  <c r="C31" i="26"/>
  <c r="D31" i="26" s="1"/>
  <c r="Q30" i="59"/>
  <c r="Q30" i="54"/>
  <c r="D30" i="3"/>
  <c r="F30" i="3" s="1"/>
  <c r="BJ30" i="3" s="1"/>
  <c r="B30" i="12"/>
  <c r="G30" i="12" s="1"/>
  <c r="Q30" i="1"/>
  <c r="AD31" i="20"/>
  <c r="N28" i="32"/>
  <c r="E28" i="2" s="1"/>
  <c r="Q30" i="38"/>
  <c r="N29" i="32"/>
  <c r="E29" i="2" s="1"/>
  <c r="M31" i="3"/>
  <c r="AQ31" i="8"/>
  <c r="B31" i="37"/>
  <c r="L31" i="33"/>
  <c r="N31" i="33" s="1"/>
  <c r="O31" i="33" s="1"/>
  <c r="L31" i="40"/>
  <c r="N31" i="40" s="1"/>
  <c r="O31" i="40" s="1"/>
  <c r="L31" i="35"/>
  <c r="N31" i="35" s="1"/>
  <c r="O31" i="35" s="1"/>
  <c r="C31" i="27"/>
  <c r="D31" i="27" s="1"/>
  <c r="C31" i="23"/>
  <c r="D31" i="23" s="1"/>
  <c r="B31" i="34"/>
  <c r="AA31" i="8"/>
  <c r="E31" i="32"/>
  <c r="L31" i="32" s="1"/>
  <c r="U31" i="20"/>
  <c r="C31" i="13"/>
  <c r="D31" i="13" s="1"/>
  <c r="E31" i="9"/>
  <c r="AD31" i="32" s="1"/>
  <c r="Q31" i="35" s="1"/>
  <c r="B31" i="58"/>
  <c r="C31" i="42"/>
  <c r="D31" i="42" s="1"/>
  <c r="L31" i="38"/>
  <c r="N31" i="38" s="1"/>
  <c r="O31" i="38" s="1"/>
  <c r="E31" i="51"/>
  <c r="AE31" i="51" s="1"/>
  <c r="AF31" i="51" s="1"/>
  <c r="L31" i="54"/>
  <c r="N31" i="54" s="1"/>
  <c r="O31" i="54" s="1"/>
  <c r="L31" i="59"/>
  <c r="N31" i="59" s="1"/>
  <c r="O31" i="59" s="1"/>
  <c r="G31" i="3"/>
  <c r="R31" i="35" s="1"/>
  <c r="B31" i="29"/>
  <c r="B32" i="9"/>
  <c r="I32" i="9" s="1"/>
  <c r="AV27" i="40"/>
  <c r="AW27" i="40" s="1"/>
  <c r="BW27" i="40" s="1"/>
  <c r="AV27" i="1"/>
  <c r="AW27" i="1" s="1"/>
  <c r="BW27" i="1" s="1"/>
  <c r="AV27" i="33"/>
  <c r="AW27" i="33" s="1"/>
  <c r="BW27" i="33" s="1"/>
  <c r="AV27" i="35"/>
  <c r="AW27" i="35" s="1"/>
  <c r="BW27" i="35" s="1"/>
  <c r="X27" i="3" s="1"/>
  <c r="Y27" i="3" s="1"/>
  <c r="AA27" i="33"/>
  <c r="AB27" i="33" s="1"/>
  <c r="AA27" i="59"/>
  <c r="AB27" i="59" s="1"/>
  <c r="AA27" i="40"/>
  <c r="AB27" i="40" s="1"/>
  <c r="AB27" i="1"/>
  <c r="AA27" i="54"/>
  <c r="AB27" i="54" s="1"/>
  <c r="AA27" i="38"/>
  <c r="AB27" i="38" s="1"/>
  <c r="AA27" i="35"/>
  <c r="AB27" i="35" s="1"/>
  <c r="AB28" i="3"/>
  <c r="T28" i="40"/>
  <c r="AV28" i="40" s="1"/>
  <c r="AW28" i="40" s="1"/>
  <c r="BW28" i="40" s="1"/>
  <c r="T28" i="59"/>
  <c r="AV28" i="59" s="1"/>
  <c r="AW28" i="59" s="1"/>
  <c r="BW28" i="59" s="1"/>
  <c r="T28" i="35"/>
  <c r="AV28" i="35" s="1"/>
  <c r="AW28" i="35" s="1"/>
  <c r="BW28" i="35" s="1"/>
  <c r="X28" i="3" s="1"/>
  <c r="Y28" i="3" s="1"/>
  <c r="BX28" i="38" s="1"/>
  <c r="T28" i="38"/>
  <c r="T28" i="54"/>
  <c r="AV28" i="54" s="1"/>
  <c r="AW28" i="54" s="1"/>
  <c r="BW28" i="54" s="1"/>
  <c r="T28" i="33"/>
  <c r="T28" i="1"/>
  <c r="AV28" i="1" s="1"/>
  <c r="AW28" i="1" s="1"/>
  <c r="BW28" i="1" s="1"/>
  <c r="S12" i="52"/>
  <c r="T12" i="52"/>
  <c r="C32" i="12"/>
  <c r="C32" i="2"/>
  <c r="E32" i="3"/>
  <c r="AJ15" i="52"/>
  <c r="E16" i="52"/>
  <c r="F15" i="52"/>
  <c r="G15" i="52" s="1"/>
  <c r="U13" i="52"/>
  <c r="V13" i="52" s="1"/>
  <c r="AS36" i="32"/>
  <c r="AR37" i="32"/>
  <c r="AK14" i="52"/>
  <c r="AL14" i="52"/>
  <c r="A153" i="56"/>
  <c r="A115" i="56"/>
  <c r="A136" i="46"/>
  <c r="W11" i="52"/>
  <c r="AA11" i="52" s="1"/>
  <c r="AD11" i="52"/>
  <c r="AE11" i="52" s="1"/>
  <c r="A191" i="56"/>
  <c r="A117" i="46"/>
  <c r="V33" i="20"/>
  <c r="M33" i="40"/>
  <c r="M33" i="35"/>
  <c r="M33" i="38"/>
  <c r="M33" i="54"/>
  <c r="M33" i="59"/>
  <c r="M33" i="33"/>
  <c r="B33" i="13"/>
  <c r="D33" i="51"/>
  <c r="M33" i="1"/>
  <c r="F33" i="32"/>
  <c r="B33" i="26"/>
  <c r="B33" i="23"/>
  <c r="B33" i="42"/>
  <c r="AE33" i="20"/>
  <c r="Z33" i="9"/>
  <c r="B33" i="27"/>
  <c r="AA33" i="9"/>
  <c r="C34" i="9"/>
  <c r="AT9" i="52"/>
  <c r="AS9" i="52"/>
  <c r="AU9" i="52"/>
  <c r="L13" i="52"/>
  <c r="M13" i="52" s="1"/>
  <c r="P13" i="52" s="1"/>
  <c r="N13" i="52"/>
  <c r="O13" i="52" s="1"/>
  <c r="A156" i="50"/>
  <c r="A172" i="56"/>
  <c r="B33" i="3"/>
  <c r="AZ33" i="3" s="1"/>
  <c r="F33" i="54"/>
  <c r="F33" i="33"/>
  <c r="F33" i="40"/>
  <c r="F33" i="35"/>
  <c r="F33" i="59"/>
  <c r="F33" i="38"/>
  <c r="F33" i="1"/>
  <c r="A174" i="46"/>
  <c r="Y10" i="52"/>
  <c r="N12" i="52"/>
  <c r="O12" i="52" s="1"/>
  <c r="Y11" i="52"/>
  <c r="G35" i="8"/>
  <c r="K36" i="9"/>
  <c r="A77" i="56"/>
  <c r="AF10" i="52"/>
  <c r="AG10" i="52"/>
  <c r="AM10" i="52" s="1"/>
  <c r="AN10" i="52" s="1"/>
  <c r="AR10" i="52" s="1"/>
  <c r="A96" i="56"/>
  <c r="J34" i="8"/>
  <c r="A137" i="50"/>
  <c r="AH10" i="52"/>
  <c r="Y37" i="32"/>
  <c r="A193" i="46"/>
  <c r="A155" i="46"/>
  <c r="X12" i="52"/>
  <c r="AB12" i="52"/>
  <c r="AC12" i="52" s="1"/>
  <c r="E34" i="12"/>
  <c r="G34" i="2"/>
  <c r="M35" i="9"/>
  <c r="A175" i="50"/>
  <c r="AZ12" i="52"/>
  <c r="AX12" i="52"/>
  <c r="AV12" i="52"/>
  <c r="AW12" i="52"/>
  <c r="AY12" i="52"/>
  <c r="AI36" i="32"/>
  <c r="AH37" i="32"/>
  <c r="A134" i="56"/>
  <c r="J14" i="52"/>
  <c r="I14" i="52"/>
  <c r="K14" i="52"/>
  <c r="Q14" i="52"/>
  <c r="R14" i="52" s="1"/>
  <c r="AO13" i="52"/>
  <c r="AQ13" i="52" s="1"/>
  <c r="A194" i="50"/>
  <c r="AA32" i="1" l="1"/>
  <c r="AO30" i="59"/>
  <c r="AP30" i="59" s="1"/>
  <c r="BS30" i="59" s="1"/>
  <c r="B31" i="12"/>
  <c r="G31" i="12" s="1"/>
  <c r="B31" i="2"/>
  <c r="D31" i="2" s="1"/>
  <c r="AO30" i="33"/>
  <c r="AP30" i="33" s="1"/>
  <c r="BS30" i="33" s="1"/>
  <c r="AO30" i="54"/>
  <c r="AP30" i="54" s="1"/>
  <c r="BS30" i="54" s="1"/>
  <c r="AO31" i="35"/>
  <c r="AP31" i="35" s="1"/>
  <c r="BS31" i="35" s="1"/>
  <c r="V31" i="3" s="1"/>
  <c r="W31" i="3" s="1"/>
  <c r="AO30" i="35"/>
  <c r="AP30" i="35" s="1"/>
  <c r="BS30" i="35" s="1"/>
  <c r="V30" i="3" s="1"/>
  <c r="W30" i="3" s="1"/>
  <c r="G32" i="3"/>
  <c r="R32" i="40" s="1"/>
  <c r="AO30" i="38"/>
  <c r="AP30" i="38" s="1"/>
  <c r="BS30" i="38" s="1"/>
  <c r="D31" i="3"/>
  <c r="P31" i="3" s="1"/>
  <c r="AO30" i="1"/>
  <c r="AP30" i="1" s="1"/>
  <c r="BS30" i="1" s="1"/>
  <c r="S29" i="32"/>
  <c r="H30" i="32"/>
  <c r="AN30" i="32" s="1"/>
  <c r="T30" i="38" s="1"/>
  <c r="AV30" i="38" s="1"/>
  <c r="AW30" i="38" s="1"/>
  <c r="BW30" i="38" s="1"/>
  <c r="AD32" i="20"/>
  <c r="R29" i="32"/>
  <c r="W29" i="32" s="1"/>
  <c r="J31" i="32"/>
  <c r="U32" i="20"/>
  <c r="L32" i="33"/>
  <c r="N32" i="33" s="1"/>
  <c r="O32" i="33" s="1"/>
  <c r="R31" i="1"/>
  <c r="R31" i="54"/>
  <c r="AR31" i="3"/>
  <c r="AN29" i="32"/>
  <c r="T29" i="54" s="1"/>
  <c r="AV29" i="54" s="1"/>
  <c r="AW29" i="54" s="1"/>
  <c r="BW29" i="54" s="1"/>
  <c r="R31" i="40"/>
  <c r="R31" i="33"/>
  <c r="R31" i="59"/>
  <c r="R31" i="38"/>
  <c r="S28" i="32"/>
  <c r="R28" i="32"/>
  <c r="W28" i="32" s="1"/>
  <c r="C32" i="27"/>
  <c r="D32" i="27" s="1"/>
  <c r="L32" i="35"/>
  <c r="N32" i="35" s="1"/>
  <c r="O32" i="35" s="1"/>
  <c r="E32" i="32"/>
  <c r="J32" i="32" s="1"/>
  <c r="C32" i="23"/>
  <c r="D32" i="23" s="1"/>
  <c r="G31" i="32"/>
  <c r="Z31" i="32" s="1"/>
  <c r="M32" i="3"/>
  <c r="B32" i="58"/>
  <c r="B32" i="36"/>
  <c r="V28" i="32"/>
  <c r="B32" i="29"/>
  <c r="AI32" i="8"/>
  <c r="AA32" i="8"/>
  <c r="E32" i="9"/>
  <c r="AD32" i="32" s="1"/>
  <c r="Q32" i="59" s="1"/>
  <c r="B32" i="34"/>
  <c r="Q31" i="40"/>
  <c r="B33" i="9"/>
  <c r="I33" i="9" s="1"/>
  <c r="L32" i="54"/>
  <c r="N32" i="54" s="1"/>
  <c r="O32" i="54" s="1"/>
  <c r="AQ32" i="8"/>
  <c r="L32" i="1"/>
  <c r="N32" i="1" s="1"/>
  <c r="O32" i="1" s="1"/>
  <c r="E32" i="51"/>
  <c r="AE32" i="51" s="1"/>
  <c r="AF32" i="51" s="1"/>
  <c r="B32" i="53"/>
  <c r="C32" i="13"/>
  <c r="D32" i="13" s="1"/>
  <c r="B32" i="37"/>
  <c r="Q31" i="54"/>
  <c r="J30" i="3"/>
  <c r="H30" i="8" s="1"/>
  <c r="P30" i="3"/>
  <c r="C32" i="26"/>
  <c r="D32" i="26" s="1"/>
  <c r="L32" i="40"/>
  <c r="N32" i="40" s="1"/>
  <c r="O32" i="40" s="1"/>
  <c r="B32" i="41"/>
  <c r="L32" i="59"/>
  <c r="N32" i="59" s="1"/>
  <c r="O32" i="59" s="1"/>
  <c r="C32" i="42"/>
  <c r="D32" i="42" s="1"/>
  <c r="L32" i="38"/>
  <c r="N32" i="38" s="1"/>
  <c r="O32" i="38" s="1"/>
  <c r="V29" i="32"/>
  <c r="Q31" i="1"/>
  <c r="Q31" i="33"/>
  <c r="Q31" i="38"/>
  <c r="Q31" i="59"/>
  <c r="BX28" i="54"/>
  <c r="BX28" i="40"/>
  <c r="BX28" i="1"/>
  <c r="BX28" i="35"/>
  <c r="BX28" i="59"/>
  <c r="BX28" i="33"/>
  <c r="BX27" i="33"/>
  <c r="BX27" i="59"/>
  <c r="BX27" i="38"/>
  <c r="BX27" i="1"/>
  <c r="BX27" i="54"/>
  <c r="BX27" i="40"/>
  <c r="BX27" i="35"/>
  <c r="AA28" i="59"/>
  <c r="AB28" i="59" s="1"/>
  <c r="AA28" i="40"/>
  <c r="AB28" i="40" s="1"/>
  <c r="AA28" i="35"/>
  <c r="AB28" i="35" s="1"/>
  <c r="AB28" i="1"/>
  <c r="AA28" i="38"/>
  <c r="AB28" i="38" s="1"/>
  <c r="AA28" i="54"/>
  <c r="AB28" i="54" s="1"/>
  <c r="AA28" i="33"/>
  <c r="AB28" i="33" s="1"/>
  <c r="AB29" i="3"/>
  <c r="AV28" i="38"/>
  <c r="AW28" i="38" s="1"/>
  <c r="BW28" i="38" s="1"/>
  <c r="AV28" i="33"/>
  <c r="AW28" i="33" s="1"/>
  <c r="BW28" i="33" s="1"/>
  <c r="S13" i="52"/>
  <c r="T13" i="52"/>
  <c r="AJ16" i="52"/>
  <c r="F16" i="52"/>
  <c r="G16" i="52" s="1"/>
  <c r="E17" i="52"/>
  <c r="L14" i="52"/>
  <c r="N14" i="52" s="1"/>
  <c r="O14" i="52" s="1"/>
  <c r="A135" i="56"/>
  <c r="A137" i="46"/>
  <c r="AO14" i="52"/>
  <c r="AQ14" i="52" s="1"/>
  <c r="AK15" i="52"/>
  <c r="AL15" i="52"/>
  <c r="A156" i="46"/>
  <c r="A97" i="56"/>
  <c r="A175" i="46"/>
  <c r="A157" i="50"/>
  <c r="M14" i="52"/>
  <c r="P14" i="52" s="1"/>
  <c r="S14" i="52" s="1"/>
  <c r="V34" i="20"/>
  <c r="M34" i="38"/>
  <c r="M34" i="1"/>
  <c r="F34" i="32"/>
  <c r="AE34" i="20"/>
  <c r="M34" i="40"/>
  <c r="M34" i="33"/>
  <c r="B34" i="13"/>
  <c r="M34" i="54"/>
  <c r="B34" i="23"/>
  <c r="B34" i="27"/>
  <c r="D34" i="51"/>
  <c r="Z34" i="9"/>
  <c r="B34" i="42"/>
  <c r="C35" i="9"/>
  <c r="M34" i="35"/>
  <c r="AA34" i="9"/>
  <c r="B34" i="26"/>
  <c r="M34" i="59"/>
  <c r="AT10" i="52"/>
  <c r="AU10" i="52"/>
  <c r="AS10" i="52"/>
  <c r="G36" i="8"/>
  <c r="K37" i="9"/>
  <c r="AI37" i="32"/>
  <c r="AH38" i="32"/>
  <c r="B34" i="3"/>
  <c r="AZ34" i="3" s="1"/>
  <c r="F34" i="40"/>
  <c r="F34" i="59"/>
  <c r="F34" i="35"/>
  <c r="F34" i="1"/>
  <c r="F34" i="54"/>
  <c r="F34" i="38"/>
  <c r="F34" i="33"/>
  <c r="A194" i="46"/>
  <c r="J35" i="8"/>
  <c r="A173" i="56"/>
  <c r="C33" i="2"/>
  <c r="C33" i="12"/>
  <c r="E33" i="3"/>
  <c r="A116" i="56"/>
  <c r="E35" i="12"/>
  <c r="G35" i="2"/>
  <c r="M36" i="9"/>
  <c r="A138" i="50"/>
  <c r="Z11" i="52"/>
  <c r="AS37" i="32"/>
  <c r="AR38" i="32"/>
  <c r="AF11" i="52"/>
  <c r="AG11" i="52" s="1"/>
  <c r="AM11" i="52" s="1"/>
  <c r="AN11" i="52" s="1"/>
  <c r="AR11" i="52" s="1"/>
  <c r="A195" i="50"/>
  <c r="AZ13" i="52"/>
  <c r="AV13" i="52"/>
  <c r="AY13" i="52"/>
  <c r="AX13" i="52"/>
  <c r="AW13" i="52"/>
  <c r="A78" i="56"/>
  <c r="A192" i="56"/>
  <c r="X13" i="52"/>
  <c r="AB13" i="52"/>
  <c r="AC13" i="52" s="1"/>
  <c r="U14" i="52"/>
  <c r="V14" i="52" s="1"/>
  <c r="A176" i="50"/>
  <c r="Y38" i="32"/>
  <c r="AH11" i="52"/>
  <c r="A118" i="46"/>
  <c r="A154" i="56"/>
  <c r="J15" i="52"/>
  <c r="K15" i="52"/>
  <c r="Q15" i="52"/>
  <c r="R15" i="52" s="1"/>
  <c r="I15" i="52"/>
  <c r="AD12" i="52"/>
  <c r="AE12" i="52" s="1"/>
  <c r="W12" i="52"/>
  <c r="AA12" i="52" s="1"/>
  <c r="Z12" i="52" l="1"/>
  <c r="Y12" i="52"/>
  <c r="AA33" i="1"/>
  <c r="F31" i="3"/>
  <c r="BJ31" i="3" s="1"/>
  <c r="J31" i="3"/>
  <c r="H31" i="8" s="1"/>
  <c r="R32" i="33"/>
  <c r="R32" i="59"/>
  <c r="R32" i="54"/>
  <c r="BT30" i="54"/>
  <c r="BT30" i="59"/>
  <c r="BT30" i="33"/>
  <c r="BT30" i="35"/>
  <c r="BT30" i="40"/>
  <c r="BT30" i="1"/>
  <c r="BT30" i="38"/>
  <c r="BT31" i="54"/>
  <c r="BT31" i="40"/>
  <c r="BT31" i="35"/>
  <c r="BT31" i="33"/>
  <c r="BT31" i="38"/>
  <c r="BT31" i="1"/>
  <c r="BT31" i="59"/>
  <c r="AO31" i="54"/>
  <c r="AP31" i="54" s="1"/>
  <c r="BS31" i="54" s="1"/>
  <c r="AO31" i="59"/>
  <c r="AP31" i="59" s="1"/>
  <c r="BS31" i="59" s="1"/>
  <c r="G33" i="3"/>
  <c r="R33" i="38" s="1"/>
  <c r="R32" i="35"/>
  <c r="AO31" i="33"/>
  <c r="AP31" i="33" s="1"/>
  <c r="BS31" i="33" s="1"/>
  <c r="AO31" i="40"/>
  <c r="AP31" i="40" s="1"/>
  <c r="BS31" i="40" s="1"/>
  <c r="R32" i="38"/>
  <c r="AO31" i="38"/>
  <c r="AP31" i="38" s="1"/>
  <c r="BS31" i="38" s="1"/>
  <c r="AO31" i="1"/>
  <c r="AP31" i="1" s="1"/>
  <c r="BS31" i="1" s="1"/>
  <c r="AR32" i="3"/>
  <c r="R32" i="1"/>
  <c r="AO32" i="59"/>
  <c r="AP32" i="59" s="1"/>
  <c r="BS32" i="59" s="1"/>
  <c r="Q32" i="1"/>
  <c r="G32" i="32"/>
  <c r="Z32" i="32" s="1"/>
  <c r="T30" i="54"/>
  <c r="AV30" i="54" s="1"/>
  <c r="AW30" i="54" s="1"/>
  <c r="BW30" i="54" s="1"/>
  <c r="T30" i="1"/>
  <c r="AV30" i="1" s="1"/>
  <c r="AW30" i="1" s="1"/>
  <c r="BW30" i="1" s="1"/>
  <c r="T30" i="40"/>
  <c r="AV30" i="40" s="1"/>
  <c r="AW30" i="40" s="1"/>
  <c r="BW30" i="40" s="1"/>
  <c r="T29" i="33"/>
  <c r="AV29" i="33" s="1"/>
  <c r="AW29" i="33" s="1"/>
  <c r="BW29" i="33" s="1"/>
  <c r="T29" i="1"/>
  <c r="AV29" i="1" s="1"/>
  <c r="AW29" i="1" s="1"/>
  <c r="BW29" i="1" s="1"/>
  <c r="T30" i="33"/>
  <c r="AV30" i="33" s="1"/>
  <c r="AW30" i="33" s="1"/>
  <c r="BW30" i="33" s="1"/>
  <c r="T30" i="59"/>
  <c r="AV30" i="59" s="1"/>
  <c r="AW30" i="59" s="1"/>
  <c r="BW30" i="59" s="1"/>
  <c r="T30" i="35"/>
  <c r="AV30" i="35" s="1"/>
  <c r="AW30" i="35" s="1"/>
  <c r="BW30" i="35" s="1"/>
  <c r="X30" i="3" s="1"/>
  <c r="Y30" i="3" s="1"/>
  <c r="BX30" i="33" s="1"/>
  <c r="T29" i="59"/>
  <c r="AV29" i="59" s="1"/>
  <c r="AW29" i="59" s="1"/>
  <c r="BW29" i="59" s="1"/>
  <c r="I30" i="32"/>
  <c r="T29" i="40"/>
  <c r="AV29" i="40" s="1"/>
  <c r="AW29" i="40" s="1"/>
  <c r="BW29" i="40" s="1"/>
  <c r="T29" i="38"/>
  <c r="AV29" i="38" s="1"/>
  <c r="AW29" i="38" s="1"/>
  <c r="BW29" i="38" s="1"/>
  <c r="B32" i="12"/>
  <c r="G32" i="12" s="1"/>
  <c r="Q32" i="40"/>
  <c r="T29" i="35"/>
  <c r="AV29" i="35" s="1"/>
  <c r="AW29" i="35" s="1"/>
  <c r="BW29" i="35" s="1"/>
  <c r="X29" i="3" s="1"/>
  <c r="Y29" i="3" s="1"/>
  <c r="BX29" i="35" s="1"/>
  <c r="Q32" i="35"/>
  <c r="B32" i="2"/>
  <c r="D32" i="2" s="1"/>
  <c r="L33" i="40"/>
  <c r="N33" i="40" s="1"/>
  <c r="O33" i="40" s="1"/>
  <c r="L33" i="1"/>
  <c r="D33" i="3" s="1"/>
  <c r="Q32" i="54"/>
  <c r="Q32" i="33"/>
  <c r="B33" i="58"/>
  <c r="C33" i="23"/>
  <c r="D33" i="23" s="1"/>
  <c r="B33" i="37"/>
  <c r="E33" i="32"/>
  <c r="J33" i="32" s="1"/>
  <c r="Q32" i="38"/>
  <c r="B33" i="41"/>
  <c r="B33" i="29"/>
  <c r="AI33" i="8"/>
  <c r="L32" i="32"/>
  <c r="C33" i="42"/>
  <c r="D33" i="42" s="1"/>
  <c r="L33" i="38"/>
  <c r="N33" i="38" s="1"/>
  <c r="O33" i="38" s="1"/>
  <c r="C33" i="13"/>
  <c r="D33" i="13" s="1"/>
  <c r="H31" i="32"/>
  <c r="AN31" i="32" s="1"/>
  <c r="T31" i="33" s="1"/>
  <c r="E33" i="9"/>
  <c r="AD33" i="32" s="1"/>
  <c r="Q33" i="35" s="1"/>
  <c r="B33" i="53"/>
  <c r="M33" i="3"/>
  <c r="C33" i="27"/>
  <c r="D33" i="27" s="1"/>
  <c r="U33" i="20"/>
  <c r="AA33" i="8"/>
  <c r="L33" i="33"/>
  <c r="N33" i="33" s="1"/>
  <c r="O33" i="33" s="1"/>
  <c r="L33" i="35"/>
  <c r="N33" i="35" s="1"/>
  <c r="O33" i="35" s="1"/>
  <c r="E33" i="51"/>
  <c r="AE33" i="51" s="1"/>
  <c r="AF33" i="51" s="1"/>
  <c r="D32" i="3"/>
  <c r="P32" i="3" s="1"/>
  <c r="L33" i="54"/>
  <c r="N33" i="54" s="1"/>
  <c r="O33" i="54" s="1"/>
  <c r="AQ33" i="8"/>
  <c r="C33" i="26"/>
  <c r="D33" i="26" s="1"/>
  <c r="B33" i="36"/>
  <c r="B33" i="34"/>
  <c r="B34" i="9"/>
  <c r="I34" i="9" s="1"/>
  <c r="L33" i="59"/>
  <c r="N33" i="59" s="1"/>
  <c r="O33" i="59" s="1"/>
  <c r="AD33" i="20"/>
  <c r="N30" i="32"/>
  <c r="S30" i="32" s="1"/>
  <c r="AA29" i="54"/>
  <c r="AB29" i="54" s="1"/>
  <c r="AA29" i="40"/>
  <c r="AB29" i="40" s="1"/>
  <c r="AA29" i="33"/>
  <c r="AB29" i="33" s="1"/>
  <c r="AA29" i="59"/>
  <c r="AB29" i="59" s="1"/>
  <c r="AA29" i="35"/>
  <c r="AB29" i="35" s="1"/>
  <c r="AB29" i="1"/>
  <c r="AA29" i="38"/>
  <c r="AB29" i="38" s="1"/>
  <c r="AT11" i="52"/>
  <c r="AS11" i="52"/>
  <c r="AU11" i="52"/>
  <c r="A158" i="50"/>
  <c r="A157" i="46"/>
  <c r="AO15" i="52"/>
  <c r="AQ15" i="52" s="1"/>
  <c r="L15" i="52"/>
  <c r="M15" i="52" s="1"/>
  <c r="P15" i="52" s="1"/>
  <c r="S15" i="52" s="1"/>
  <c r="N15" i="52"/>
  <c r="O15" i="52" s="1"/>
  <c r="A79" i="56"/>
  <c r="G36" i="2"/>
  <c r="E36" i="12"/>
  <c r="M37" i="9"/>
  <c r="G37" i="8"/>
  <c r="K38" i="9"/>
  <c r="F35" i="54"/>
  <c r="F35" i="33"/>
  <c r="F35" i="35"/>
  <c r="F35" i="59"/>
  <c r="F35" i="38"/>
  <c r="F35" i="40"/>
  <c r="B35" i="3"/>
  <c r="AZ35" i="3" s="1"/>
  <c r="F35" i="1"/>
  <c r="J36" i="8"/>
  <c r="C34" i="12"/>
  <c r="E34" i="3"/>
  <c r="C34" i="2"/>
  <c r="A176" i="46"/>
  <c r="AZ14" i="52"/>
  <c r="AX14" i="52"/>
  <c r="AY14" i="52"/>
  <c r="AV14" i="52"/>
  <c r="AW14" i="52"/>
  <c r="A155" i="56"/>
  <c r="A177" i="50"/>
  <c r="A195" i="46"/>
  <c r="AD13" i="52"/>
  <c r="AE13" i="52" s="1"/>
  <c r="W13" i="52"/>
  <c r="AA13" i="52" s="1"/>
  <c r="AH12" i="52"/>
  <c r="A193" i="56"/>
  <c r="AS38" i="32"/>
  <c r="AR39" i="32"/>
  <c r="AE35" i="20"/>
  <c r="M35" i="35"/>
  <c r="M35" i="38"/>
  <c r="M35" i="54"/>
  <c r="M35" i="59"/>
  <c r="M35" i="33"/>
  <c r="V35" i="20"/>
  <c r="B35" i="13"/>
  <c r="D35" i="51"/>
  <c r="M35" i="1"/>
  <c r="B35" i="27"/>
  <c r="B35" i="42"/>
  <c r="F35" i="32"/>
  <c r="AA35" i="9"/>
  <c r="B35" i="26"/>
  <c r="B35" i="23"/>
  <c r="C36" i="9"/>
  <c r="M35" i="40"/>
  <c r="Z35" i="9"/>
  <c r="A98" i="56"/>
  <c r="E18" i="52"/>
  <c r="AJ17" i="52"/>
  <c r="F17" i="52"/>
  <c r="G17" i="52" s="1"/>
  <c r="X14" i="52"/>
  <c r="AB14" i="52"/>
  <c r="AC14" i="52" s="1"/>
  <c r="A174" i="56"/>
  <c r="A119" i="46"/>
  <c r="Y39" i="32"/>
  <c r="T14" i="52"/>
  <c r="A139" i="50"/>
  <c r="AL16" i="52"/>
  <c r="AK16" i="52"/>
  <c r="AH13" i="52"/>
  <c r="AF12" i="52"/>
  <c r="AG12" i="52"/>
  <c r="AM12" i="52" s="1"/>
  <c r="AN12" i="52" s="1"/>
  <c r="AR12" i="52" s="1"/>
  <c r="A196" i="50"/>
  <c r="A117" i="56"/>
  <c r="AH39" i="32"/>
  <c r="AI38" i="32"/>
  <c r="A138" i="46"/>
  <c r="I16" i="52"/>
  <c r="J16" i="52"/>
  <c r="K16" i="52"/>
  <c r="Q16" i="52"/>
  <c r="R16" i="52" s="1"/>
  <c r="U15" i="52"/>
  <c r="V15" i="52" s="1"/>
  <c r="A136" i="56"/>
  <c r="AA30" i="3" l="1"/>
  <c r="AB30" i="3" s="1"/>
  <c r="N31" i="32"/>
  <c r="R31" i="32" s="1"/>
  <c r="W31" i="32" s="1"/>
  <c r="R33" i="54"/>
  <c r="Z13" i="52"/>
  <c r="AA34" i="1"/>
  <c r="R33" i="33"/>
  <c r="AR33" i="3"/>
  <c r="R33" i="35"/>
  <c r="R33" i="40"/>
  <c r="AO32" i="38"/>
  <c r="AP32" i="38" s="1"/>
  <c r="BS32" i="38" s="1"/>
  <c r="AO32" i="54"/>
  <c r="AP32" i="54" s="1"/>
  <c r="BS32" i="54" s="1"/>
  <c r="R33" i="1"/>
  <c r="R33" i="59"/>
  <c r="AO32" i="35"/>
  <c r="AP32" i="35" s="1"/>
  <c r="BS32" i="35" s="1"/>
  <c r="V32" i="3" s="1"/>
  <c r="W32" i="3" s="1"/>
  <c r="AO33" i="35"/>
  <c r="AP33" i="35" s="1"/>
  <c r="BS33" i="35" s="1"/>
  <c r="V33" i="3" s="1"/>
  <c r="W33" i="3" s="1"/>
  <c r="AO32" i="1"/>
  <c r="AP32" i="1" s="1"/>
  <c r="BS32" i="1" s="1"/>
  <c r="AO32" i="40"/>
  <c r="AP32" i="40" s="1"/>
  <c r="BS32" i="40" s="1"/>
  <c r="M34" i="3"/>
  <c r="AO32" i="33"/>
  <c r="AP32" i="33" s="1"/>
  <c r="BS32" i="33" s="1"/>
  <c r="L34" i="59"/>
  <c r="N34" i="59" s="1"/>
  <c r="O34" i="59" s="1"/>
  <c r="BX29" i="54"/>
  <c r="H32" i="32"/>
  <c r="I32" i="32" s="1"/>
  <c r="AA32" i="3" s="1"/>
  <c r="AD34" i="20"/>
  <c r="L34" i="1"/>
  <c r="D34" i="3" s="1"/>
  <c r="E34" i="32"/>
  <c r="J34" i="32" s="1"/>
  <c r="B35" i="9"/>
  <c r="I35" i="9" s="1"/>
  <c r="L34" i="54"/>
  <c r="N34" i="54" s="1"/>
  <c r="O34" i="54" s="1"/>
  <c r="C34" i="27"/>
  <c r="D34" i="27" s="1"/>
  <c r="BX29" i="40"/>
  <c r="G34" i="3"/>
  <c r="R34" i="33" s="1"/>
  <c r="AI34" i="8"/>
  <c r="AA30" i="40"/>
  <c r="AB30" i="40" s="1"/>
  <c r="BX30" i="38"/>
  <c r="C34" i="42"/>
  <c r="D34" i="42" s="1"/>
  <c r="L34" i="40"/>
  <c r="N34" i="40" s="1"/>
  <c r="O34" i="40" s="1"/>
  <c r="B34" i="58"/>
  <c r="B34" i="29"/>
  <c r="AA34" i="8"/>
  <c r="BX30" i="54"/>
  <c r="BX30" i="35"/>
  <c r="BX30" i="40"/>
  <c r="BX30" i="1"/>
  <c r="BX29" i="33"/>
  <c r="Q33" i="54"/>
  <c r="BX30" i="59"/>
  <c r="T31" i="35"/>
  <c r="AV31" i="35" s="1"/>
  <c r="AW31" i="35" s="1"/>
  <c r="BW31" i="35" s="1"/>
  <c r="X31" i="3" s="1"/>
  <c r="Y31" i="3" s="1"/>
  <c r="L33" i="32"/>
  <c r="T31" i="1"/>
  <c r="AV31" i="1" s="1"/>
  <c r="AW31" i="1" s="1"/>
  <c r="BW31" i="1" s="1"/>
  <c r="BX29" i="59"/>
  <c r="BX29" i="38"/>
  <c r="F32" i="3"/>
  <c r="BJ32" i="3" s="1"/>
  <c r="BX29" i="1"/>
  <c r="Q33" i="59"/>
  <c r="L34" i="38"/>
  <c r="N34" i="38" s="1"/>
  <c r="O34" i="38" s="1"/>
  <c r="AQ34" i="8"/>
  <c r="E34" i="9"/>
  <c r="AD34" i="32" s="1"/>
  <c r="Q34" i="40" s="1"/>
  <c r="L34" i="35"/>
  <c r="N34" i="35" s="1"/>
  <c r="O34" i="35" s="1"/>
  <c r="E34" i="51"/>
  <c r="AE34" i="51" s="1"/>
  <c r="AF34" i="51" s="1"/>
  <c r="T31" i="40"/>
  <c r="AV31" i="40" s="1"/>
  <c r="AW31" i="40" s="1"/>
  <c r="BW31" i="40" s="1"/>
  <c r="N33" i="1"/>
  <c r="O33" i="1" s="1"/>
  <c r="T31" i="59"/>
  <c r="AV31" i="59" s="1"/>
  <c r="AW31" i="59" s="1"/>
  <c r="BW31" i="59" s="1"/>
  <c r="J32" i="3"/>
  <c r="N32" i="32" s="1"/>
  <c r="C34" i="13"/>
  <c r="D34" i="13" s="1"/>
  <c r="B34" i="36"/>
  <c r="B33" i="2"/>
  <c r="D33" i="2" s="1"/>
  <c r="I31" i="32"/>
  <c r="AA31" i="3" s="1"/>
  <c r="T31" i="54"/>
  <c r="AV31" i="54" s="1"/>
  <c r="AW31" i="54" s="1"/>
  <c r="BW31" i="54" s="1"/>
  <c r="G33" i="32"/>
  <c r="H33" i="32" s="1"/>
  <c r="C34" i="26"/>
  <c r="D34" i="26" s="1"/>
  <c r="B34" i="37"/>
  <c r="B33" i="12"/>
  <c r="G33" i="12" s="1"/>
  <c r="T31" i="38"/>
  <c r="AV31" i="38" s="1"/>
  <c r="AW31" i="38" s="1"/>
  <c r="BW31" i="38" s="1"/>
  <c r="C34" i="23"/>
  <c r="D34" i="23" s="1"/>
  <c r="U34" i="20"/>
  <c r="B34" i="34"/>
  <c r="Q33" i="1"/>
  <c r="L34" i="33"/>
  <c r="N34" i="33" s="1"/>
  <c r="O34" i="33" s="1"/>
  <c r="B34" i="41"/>
  <c r="B34" i="53"/>
  <c r="Q33" i="40"/>
  <c r="Q33" i="38"/>
  <c r="Q33" i="33"/>
  <c r="R30" i="32"/>
  <c r="W30" i="32" s="1"/>
  <c r="E30" i="2"/>
  <c r="V30" i="32"/>
  <c r="S31" i="32"/>
  <c r="F33" i="3"/>
  <c r="BJ33" i="3" s="1"/>
  <c r="J33" i="3"/>
  <c r="H33" i="8" s="1"/>
  <c r="P33" i="3"/>
  <c r="A196" i="46"/>
  <c r="A139" i="46"/>
  <c r="AS12" i="52"/>
  <c r="AU12" i="52"/>
  <c r="AT12" i="52"/>
  <c r="Y40" i="32"/>
  <c r="Z40" i="32" s="1"/>
  <c r="A137" i="56"/>
  <c r="X15" i="52"/>
  <c r="AB15" i="52"/>
  <c r="AC15" i="52" s="1"/>
  <c r="AI39" i="32"/>
  <c r="AH40" i="32"/>
  <c r="A99" i="56"/>
  <c r="A177" i="46"/>
  <c r="AO16" i="52"/>
  <c r="AQ16" i="52" s="1"/>
  <c r="A140" i="50"/>
  <c r="K17" i="52"/>
  <c r="Q17" i="52"/>
  <c r="R17" i="52" s="1"/>
  <c r="I17" i="52"/>
  <c r="J17" i="52"/>
  <c r="AR40" i="32"/>
  <c r="AS39" i="32"/>
  <c r="T15" i="52"/>
  <c r="E37" i="12"/>
  <c r="G37" i="2"/>
  <c r="M38" i="9"/>
  <c r="A80" i="56"/>
  <c r="U16" i="52"/>
  <c r="V16" i="52" s="1"/>
  <c r="A118" i="56"/>
  <c r="A120" i="46"/>
  <c r="A178" i="50"/>
  <c r="Y13" i="52"/>
  <c r="AV15" i="52"/>
  <c r="AW15" i="52"/>
  <c r="AX15" i="52"/>
  <c r="AZ15" i="52"/>
  <c r="AY15" i="52"/>
  <c r="AV31" i="33"/>
  <c r="AW31" i="33" s="1"/>
  <c r="BW31" i="33" s="1"/>
  <c r="F36" i="40"/>
  <c r="F36" i="59"/>
  <c r="F36" i="35"/>
  <c r="F36" i="38"/>
  <c r="F36" i="1"/>
  <c r="B36" i="3"/>
  <c r="AZ36" i="3" s="1"/>
  <c r="F36" i="33"/>
  <c r="F36" i="54"/>
  <c r="L16" i="52"/>
  <c r="M16" i="52" s="1"/>
  <c r="P16" i="52" s="1"/>
  <c r="S16" i="52" s="1"/>
  <c r="N16" i="52"/>
  <c r="O16" i="52" s="1"/>
  <c r="V36" i="20"/>
  <c r="M36" i="40"/>
  <c r="M36" i="33"/>
  <c r="F36" i="32"/>
  <c r="AE36" i="20"/>
  <c r="M36" i="38"/>
  <c r="M36" i="1"/>
  <c r="M36" i="35"/>
  <c r="B36" i="42"/>
  <c r="M36" i="54"/>
  <c r="B36" i="23"/>
  <c r="B36" i="26"/>
  <c r="D36" i="51"/>
  <c r="B36" i="27"/>
  <c r="C37" i="9"/>
  <c r="B36" i="13"/>
  <c r="AA36" i="9"/>
  <c r="Z36" i="9"/>
  <c r="M36" i="59"/>
  <c r="A158" i="46"/>
  <c r="A197" i="50"/>
  <c r="AD14" i="52"/>
  <c r="AE14" i="52" s="1"/>
  <c r="W14" i="52"/>
  <c r="AA14" i="52" s="1"/>
  <c r="AL17" i="52"/>
  <c r="AK17" i="52"/>
  <c r="AF13" i="52"/>
  <c r="AG13" i="52" s="1"/>
  <c r="AM13" i="52" s="1"/>
  <c r="AN13" i="52" s="1"/>
  <c r="AR13" i="52" s="1"/>
  <c r="G38" i="8"/>
  <c r="K39" i="9"/>
  <c r="G39" i="8" s="1"/>
  <c r="A156" i="56"/>
  <c r="A175" i="56"/>
  <c r="AJ18" i="52"/>
  <c r="E19" i="52"/>
  <c r="F18" i="52"/>
  <c r="G18" i="52" s="1"/>
  <c r="E35" i="3"/>
  <c r="C35" i="2"/>
  <c r="C35" i="12"/>
  <c r="A194" i="56"/>
  <c r="J37" i="8"/>
  <c r="A159" i="50"/>
  <c r="E31" i="2" l="1"/>
  <c r="V31" i="32"/>
  <c r="Y14" i="52"/>
  <c r="Z14" i="52"/>
  <c r="AA35" i="1"/>
  <c r="P34" i="3"/>
  <c r="BT32" i="59"/>
  <c r="BT32" i="35"/>
  <c r="BT32" i="33"/>
  <c r="BT32" i="40"/>
  <c r="BT32" i="1"/>
  <c r="BT32" i="54"/>
  <c r="BT32" i="38"/>
  <c r="BT33" i="33"/>
  <c r="BT33" i="40"/>
  <c r="BT33" i="54"/>
  <c r="BT33" i="38"/>
  <c r="BT33" i="1"/>
  <c r="BT33" i="59"/>
  <c r="BT33" i="35"/>
  <c r="AO34" i="40"/>
  <c r="AP34" i="40" s="1"/>
  <c r="BS34" i="40" s="1"/>
  <c r="AO33" i="33"/>
  <c r="AP33" i="33" s="1"/>
  <c r="BS33" i="33" s="1"/>
  <c r="AO33" i="38"/>
  <c r="AP33" i="38" s="1"/>
  <c r="BS33" i="38" s="1"/>
  <c r="AO33" i="40"/>
  <c r="AP33" i="40" s="1"/>
  <c r="BS33" i="40" s="1"/>
  <c r="AO33" i="54"/>
  <c r="AP33" i="54" s="1"/>
  <c r="BS33" i="54" s="1"/>
  <c r="AO33" i="59"/>
  <c r="AP33" i="59" s="1"/>
  <c r="BS33" i="59" s="1"/>
  <c r="AO33" i="1"/>
  <c r="AP33" i="1" s="1"/>
  <c r="BS33" i="1" s="1"/>
  <c r="G35" i="3"/>
  <c r="R35" i="33" s="1"/>
  <c r="AN32" i="32"/>
  <c r="T32" i="33" s="1"/>
  <c r="AV32" i="33" s="1"/>
  <c r="AW32" i="33" s="1"/>
  <c r="BW32" i="33" s="1"/>
  <c r="AR34" i="3"/>
  <c r="L34" i="32"/>
  <c r="C35" i="42"/>
  <c r="D35" i="42" s="1"/>
  <c r="AA30" i="33"/>
  <c r="AB30" i="33" s="1"/>
  <c r="C35" i="13"/>
  <c r="D35" i="13" s="1"/>
  <c r="AA35" i="8"/>
  <c r="L35" i="38"/>
  <c r="N35" i="38" s="1"/>
  <c r="O35" i="38" s="1"/>
  <c r="C35" i="23"/>
  <c r="D35" i="23" s="1"/>
  <c r="R34" i="35"/>
  <c r="B35" i="37"/>
  <c r="B36" i="9"/>
  <c r="I36" i="9" s="1"/>
  <c r="C35" i="27"/>
  <c r="D35" i="27" s="1"/>
  <c r="L35" i="1"/>
  <c r="D35" i="3" s="1"/>
  <c r="B35" i="41"/>
  <c r="E35" i="32"/>
  <c r="J35" i="32" s="1"/>
  <c r="B35" i="53"/>
  <c r="B35" i="58"/>
  <c r="AI35" i="8"/>
  <c r="U35" i="20"/>
  <c r="E35" i="51"/>
  <c r="AE35" i="51" s="1"/>
  <c r="AF35" i="51" s="1"/>
  <c r="AQ35" i="8"/>
  <c r="E35" i="9"/>
  <c r="AD35" i="32" s="1"/>
  <c r="Q35" i="38" s="1"/>
  <c r="AD35" i="20"/>
  <c r="L35" i="54"/>
  <c r="N35" i="54" s="1"/>
  <c r="O35" i="54" s="1"/>
  <c r="B35" i="34"/>
  <c r="B34" i="2"/>
  <c r="D34" i="2" s="1"/>
  <c r="G34" i="32"/>
  <c r="H34" i="32" s="1"/>
  <c r="M35" i="3"/>
  <c r="L35" i="40"/>
  <c r="N35" i="40" s="1"/>
  <c r="O35" i="40" s="1"/>
  <c r="B35" i="29"/>
  <c r="C35" i="26"/>
  <c r="D35" i="26" s="1"/>
  <c r="H32" i="8"/>
  <c r="L35" i="33"/>
  <c r="N35" i="33" s="1"/>
  <c r="O35" i="33" s="1"/>
  <c r="L35" i="59"/>
  <c r="N35" i="59" s="1"/>
  <c r="O35" i="59" s="1"/>
  <c r="L35" i="35"/>
  <c r="N35" i="35" s="1"/>
  <c r="O35" i="35" s="1"/>
  <c r="B35" i="36"/>
  <c r="AA30" i="54"/>
  <c r="AB30" i="54" s="1"/>
  <c r="AA30" i="38"/>
  <c r="AB30" i="38" s="1"/>
  <c r="R34" i="59"/>
  <c r="R34" i="54"/>
  <c r="AB30" i="1"/>
  <c r="AA30" i="35"/>
  <c r="AB30" i="35" s="1"/>
  <c r="R34" i="1"/>
  <c r="N34" i="1"/>
  <c r="O34" i="1" s="1"/>
  <c r="B34" i="12"/>
  <c r="G34" i="12" s="1"/>
  <c r="R34" i="40"/>
  <c r="R34" i="38"/>
  <c r="AA30" i="59"/>
  <c r="AB30" i="59" s="1"/>
  <c r="Z33" i="32"/>
  <c r="Q34" i="33"/>
  <c r="Q34" i="35"/>
  <c r="Q34" i="54"/>
  <c r="Q34" i="59"/>
  <c r="Q34" i="38"/>
  <c r="Q34" i="1"/>
  <c r="AB31" i="3"/>
  <c r="J34" i="3"/>
  <c r="H34" i="8" s="1"/>
  <c r="F34" i="3"/>
  <c r="BJ34" i="3" s="1"/>
  <c r="AB32" i="3"/>
  <c r="I33" i="32"/>
  <c r="AA33" i="3" s="1"/>
  <c r="AN33" i="32"/>
  <c r="R32" i="32"/>
  <c r="W32" i="32" s="1"/>
  <c r="V32" i="32"/>
  <c r="S32" i="32"/>
  <c r="E32" i="2"/>
  <c r="N33" i="32"/>
  <c r="A160" i="50"/>
  <c r="A157" i="56"/>
  <c r="J39" i="8"/>
  <c r="M37" i="35"/>
  <c r="M37" i="38"/>
  <c r="M37" i="54"/>
  <c r="V37" i="20"/>
  <c r="M37" i="59"/>
  <c r="B37" i="13"/>
  <c r="D37" i="51"/>
  <c r="AE37" i="20"/>
  <c r="M37" i="33"/>
  <c r="M37" i="40"/>
  <c r="Z37" i="9"/>
  <c r="B37" i="23"/>
  <c r="C38" i="9"/>
  <c r="B37" i="27"/>
  <c r="B37" i="26"/>
  <c r="AA37" i="9"/>
  <c r="F37" i="32"/>
  <c r="M37" i="1"/>
  <c r="B37" i="42"/>
  <c r="A119" i="56"/>
  <c r="A140" i="46"/>
  <c r="A176" i="56"/>
  <c r="J38" i="8"/>
  <c r="AO17" i="52"/>
  <c r="AQ17" i="52" s="1"/>
  <c r="C36" i="12"/>
  <c r="E36" i="3"/>
  <c r="C36" i="2"/>
  <c r="T16" i="52"/>
  <c r="AS40" i="32"/>
  <c r="A141" i="50"/>
  <c r="A178" i="46"/>
  <c r="AI40" i="32"/>
  <c r="X16" i="52"/>
  <c r="AB16" i="52"/>
  <c r="AC16" i="52" s="1"/>
  <c r="A197" i="46"/>
  <c r="AT13" i="52"/>
  <c r="AS13" i="52"/>
  <c r="AU13" i="52"/>
  <c r="AH14" i="52"/>
  <c r="AW16" i="52"/>
  <c r="AX16" i="52"/>
  <c r="AY16" i="52"/>
  <c r="AZ16" i="52"/>
  <c r="AV16" i="52"/>
  <c r="Q18" i="52"/>
  <c r="R18" i="52" s="1"/>
  <c r="I18" i="52"/>
  <c r="J18" i="52"/>
  <c r="K18" i="52"/>
  <c r="A179" i="50"/>
  <c r="A81" i="56"/>
  <c r="BX31" i="38"/>
  <c r="BX31" i="54"/>
  <c r="BX31" i="33"/>
  <c r="BX31" i="59"/>
  <c r="BX31" i="40"/>
  <c r="BX31" i="1"/>
  <c r="BX31" i="35"/>
  <c r="A195" i="56"/>
  <c r="AJ19" i="52"/>
  <c r="E20" i="52"/>
  <c r="F19" i="52"/>
  <c r="G19" i="52" s="1"/>
  <c r="A159" i="46"/>
  <c r="G38" i="2"/>
  <c r="E38" i="12"/>
  <c r="M39" i="9"/>
  <c r="A100" i="56"/>
  <c r="AK18" i="52"/>
  <c r="AL18" i="52"/>
  <c r="AF14" i="52"/>
  <c r="AG14" i="52" s="1"/>
  <c r="AM14" i="52" s="1"/>
  <c r="AN14" i="52" s="1"/>
  <c r="AR14" i="52" s="1"/>
  <c r="AD15" i="52"/>
  <c r="AE15" i="52" s="1"/>
  <c r="W15" i="52"/>
  <c r="AA15" i="52" s="1"/>
  <c r="L17" i="52"/>
  <c r="N17" i="52" s="1"/>
  <c r="O17" i="52" s="1"/>
  <c r="A198" i="50"/>
  <c r="A121" i="46"/>
  <c r="B37" i="3"/>
  <c r="AZ37" i="3" s="1"/>
  <c r="F37" i="54"/>
  <c r="F37" i="33"/>
  <c r="F37" i="59"/>
  <c r="F37" i="38"/>
  <c r="F37" i="40"/>
  <c r="F37" i="1"/>
  <c r="F37" i="35"/>
  <c r="U17" i="52"/>
  <c r="V17" i="52" s="1"/>
  <c r="A138" i="56"/>
  <c r="AA36" i="1" l="1"/>
  <c r="AO34" i="1"/>
  <c r="AP34" i="1" s="1"/>
  <c r="BS34" i="1" s="1"/>
  <c r="AO34" i="33"/>
  <c r="AP34" i="33" s="1"/>
  <c r="BS34" i="33" s="1"/>
  <c r="R35" i="54"/>
  <c r="R35" i="40"/>
  <c r="E36" i="9"/>
  <c r="AD36" i="32" s="1"/>
  <c r="Q36" i="54" s="1"/>
  <c r="AO36" i="54" s="1"/>
  <c r="AP36" i="54" s="1"/>
  <c r="BS36" i="54" s="1"/>
  <c r="AO34" i="59"/>
  <c r="AP34" i="59" s="1"/>
  <c r="BS34" i="59" s="1"/>
  <c r="AO35" i="38"/>
  <c r="AP35" i="38" s="1"/>
  <c r="BS35" i="38" s="1"/>
  <c r="R35" i="59"/>
  <c r="R35" i="35"/>
  <c r="R35" i="1"/>
  <c r="AO34" i="54"/>
  <c r="AP34" i="54" s="1"/>
  <c r="BS34" i="54" s="1"/>
  <c r="AR35" i="3"/>
  <c r="AO34" i="38"/>
  <c r="AP34" i="38" s="1"/>
  <c r="BS34" i="38" s="1"/>
  <c r="AO34" i="35"/>
  <c r="AP34" i="35" s="1"/>
  <c r="BS34" i="35" s="1"/>
  <c r="V34" i="3" s="1"/>
  <c r="W34" i="3" s="1"/>
  <c r="BT34" i="38" s="1"/>
  <c r="R35" i="38"/>
  <c r="L36" i="40"/>
  <c r="N36" i="40" s="1"/>
  <c r="O36" i="40" s="1"/>
  <c r="E36" i="32"/>
  <c r="L36" i="32" s="1"/>
  <c r="T32" i="59"/>
  <c r="AV32" i="59" s="1"/>
  <c r="AW32" i="59" s="1"/>
  <c r="BW32" i="59" s="1"/>
  <c r="T32" i="38"/>
  <c r="AV32" i="38" s="1"/>
  <c r="AW32" i="38" s="1"/>
  <c r="BW32" i="38" s="1"/>
  <c r="T32" i="40"/>
  <c r="AV32" i="40" s="1"/>
  <c r="AW32" i="40" s="1"/>
  <c r="BW32" i="40" s="1"/>
  <c r="L36" i="59"/>
  <c r="N36" i="59" s="1"/>
  <c r="O36" i="59" s="1"/>
  <c r="M36" i="3"/>
  <c r="T32" i="54"/>
  <c r="AV32" i="54" s="1"/>
  <c r="AW32" i="54" s="1"/>
  <c r="BW32" i="54" s="1"/>
  <c r="T32" i="35"/>
  <c r="AV32" i="35" s="1"/>
  <c r="AW32" i="35" s="1"/>
  <c r="BW32" i="35" s="1"/>
  <c r="X32" i="3" s="1"/>
  <c r="Y32" i="3" s="1"/>
  <c r="T32" i="1"/>
  <c r="AV32" i="1" s="1"/>
  <c r="AW32" i="1" s="1"/>
  <c r="BW32" i="1" s="1"/>
  <c r="B36" i="34"/>
  <c r="G35" i="32"/>
  <c r="H35" i="32" s="1"/>
  <c r="Q35" i="33"/>
  <c r="Q35" i="35"/>
  <c r="L35" i="32"/>
  <c r="AA36" i="8"/>
  <c r="AI36" i="8"/>
  <c r="L36" i="1"/>
  <c r="B36" i="2" s="1"/>
  <c r="D36" i="2" s="1"/>
  <c r="B35" i="12"/>
  <c r="G35" i="12" s="1"/>
  <c r="C36" i="13"/>
  <c r="D36" i="13" s="1"/>
  <c r="U36" i="20"/>
  <c r="N35" i="1"/>
  <c r="O35" i="1" s="1"/>
  <c r="L36" i="33"/>
  <c r="N36" i="33" s="1"/>
  <c r="O36" i="33" s="1"/>
  <c r="L36" i="38"/>
  <c r="N36" i="38" s="1"/>
  <c r="O36" i="38" s="1"/>
  <c r="Q35" i="54"/>
  <c r="B36" i="41"/>
  <c r="B36" i="58"/>
  <c r="B37" i="9"/>
  <c r="I37" i="9" s="1"/>
  <c r="Q35" i="1"/>
  <c r="C36" i="27"/>
  <c r="D36" i="27" s="1"/>
  <c r="C36" i="26"/>
  <c r="D36" i="26" s="1"/>
  <c r="L36" i="35"/>
  <c r="N36" i="35" s="1"/>
  <c r="O36" i="35" s="1"/>
  <c r="G36" i="3"/>
  <c r="R36" i="38" s="1"/>
  <c r="C36" i="42"/>
  <c r="D36" i="42" s="1"/>
  <c r="B35" i="2"/>
  <c r="D35" i="2" s="1"/>
  <c r="B36" i="36"/>
  <c r="C36" i="23"/>
  <c r="D36" i="23" s="1"/>
  <c r="AD36" i="20"/>
  <c r="E36" i="51"/>
  <c r="AE36" i="51" s="1"/>
  <c r="AF36" i="51" s="1"/>
  <c r="L36" i="54"/>
  <c r="N36" i="54" s="1"/>
  <c r="O36" i="54" s="1"/>
  <c r="AQ36" i="8"/>
  <c r="N34" i="32"/>
  <c r="E34" i="2" s="1"/>
  <c r="Q35" i="40"/>
  <c r="Z34" i="32"/>
  <c r="B36" i="37"/>
  <c r="B36" i="29"/>
  <c r="B36" i="53"/>
  <c r="Q35" i="59"/>
  <c r="AA31" i="38"/>
  <c r="AB31" i="38" s="1"/>
  <c r="AA31" i="59"/>
  <c r="AB31" i="59" s="1"/>
  <c r="AA31" i="40"/>
  <c r="AB31" i="40" s="1"/>
  <c r="AA31" i="35"/>
  <c r="AB31" i="35" s="1"/>
  <c r="AB31" i="1"/>
  <c r="AA31" i="54"/>
  <c r="AB31" i="54" s="1"/>
  <c r="AA31" i="33"/>
  <c r="AB31" i="33" s="1"/>
  <c r="V33" i="32"/>
  <c r="E33" i="2"/>
  <c r="R33" i="32"/>
  <c r="W33" i="32" s="1"/>
  <c r="S33" i="32"/>
  <c r="P35" i="3"/>
  <c r="J35" i="3"/>
  <c r="H35" i="8" s="1"/>
  <c r="I34" i="32"/>
  <c r="AA34" i="3" s="1"/>
  <c r="AN34" i="32"/>
  <c r="T33" i="54"/>
  <c r="AV33" i="54" s="1"/>
  <c r="AW33" i="54" s="1"/>
  <c r="BW33" i="54" s="1"/>
  <c r="T33" i="33"/>
  <c r="T33" i="40"/>
  <c r="T33" i="38"/>
  <c r="T33" i="1"/>
  <c r="T33" i="59"/>
  <c r="AV33" i="59" s="1"/>
  <c r="AW33" i="59" s="1"/>
  <c r="BW33" i="59" s="1"/>
  <c r="T33" i="35"/>
  <c r="AV33" i="35" s="1"/>
  <c r="AW33" i="35" s="1"/>
  <c r="BW33" i="35" s="1"/>
  <c r="X33" i="3" s="1"/>
  <c r="Y33" i="3" s="1"/>
  <c r="BX33" i="54" s="1"/>
  <c r="AB33" i="3"/>
  <c r="AA32" i="35"/>
  <c r="AB32" i="35" s="1"/>
  <c r="AA32" i="40"/>
  <c r="AB32" i="40" s="1"/>
  <c r="AA32" i="59"/>
  <c r="AB32" i="59" s="1"/>
  <c r="AA32" i="38"/>
  <c r="AB32" i="38" s="1"/>
  <c r="AA32" i="54"/>
  <c r="AB32" i="54" s="1"/>
  <c r="AB32" i="1"/>
  <c r="AA32" i="33"/>
  <c r="AB32" i="33" s="1"/>
  <c r="F35" i="3"/>
  <c r="BJ35" i="3" s="1"/>
  <c r="AT14" i="52"/>
  <c r="AS14" i="52"/>
  <c r="AU14" i="52"/>
  <c r="A139" i="56"/>
  <c r="B38" i="3"/>
  <c r="AZ38" i="3" s="1"/>
  <c r="F38" i="40"/>
  <c r="F38" i="59"/>
  <c r="F38" i="35"/>
  <c r="F38" i="1"/>
  <c r="F38" i="38"/>
  <c r="F38" i="54"/>
  <c r="F38" i="33"/>
  <c r="AK19" i="52"/>
  <c r="AL19" i="52"/>
  <c r="A180" i="50"/>
  <c r="AH16" i="52"/>
  <c r="A142" i="50"/>
  <c r="AW17" i="52"/>
  <c r="AV17" i="52"/>
  <c r="AX17" i="52"/>
  <c r="AY17" i="52"/>
  <c r="AZ17" i="52"/>
  <c r="C37" i="12"/>
  <c r="C37" i="2"/>
  <c r="E37" i="3"/>
  <c r="Z15" i="52"/>
  <c r="AF15" i="52"/>
  <c r="AG15" i="52"/>
  <c r="AM15" i="52" s="1"/>
  <c r="AN15" i="52" s="1"/>
  <c r="AR15" i="52" s="1"/>
  <c r="U18" i="52"/>
  <c r="V18" i="52" s="1"/>
  <c r="A122" i="46"/>
  <c r="A141" i="46"/>
  <c r="A161" i="50"/>
  <c r="W16" i="52"/>
  <c r="AA16" i="52" s="1"/>
  <c r="AD16" i="52"/>
  <c r="AE16" i="52" s="1"/>
  <c r="AE38" i="20"/>
  <c r="M38" i="40"/>
  <c r="V38" i="20"/>
  <c r="M38" i="35"/>
  <c r="M38" i="33"/>
  <c r="M38" i="1"/>
  <c r="F38" i="32"/>
  <c r="B38" i="27"/>
  <c r="D38" i="51"/>
  <c r="B38" i="26"/>
  <c r="M38" i="59"/>
  <c r="B38" i="13"/>
  <c r="B38" i="42"/>
  <c r="Z38" i="9"/>
  <c r="B38" i="23"/>
  <c r="AA38" i="9"/>
  <c r="C39" i="9"/>
  <c r="M38" i="38"/>
  <c r="M38" i="54"/>
  <c r="A101" i="56"/>
  <c r="AO18" i="52"/>
  <c r="AQ18" i="52" s="1"/>
  <c r="A196" i="56"/>
  <c r="Q19" i="52"/>
  <c r="R19" i="52" s="1"/>
  <c r="I19" i="52"/>
  <c r="J19" i="52"/>
  <c r="K19" i="52"/>
  <c r="A198" i="46"/>
  <c r="A120" i="56"/>
  <c r="L18" i="52"/>
  <c r="M18" i="52" s="1"/>
  <c r="P18" i="52" s="1"/>
  <c r="Y15" i="52"/>
  <c r="M17" i="52"/>
  <c r="P17" i="52" s="1"/>
  <c r="A82" i="56"/>
  <c r="X17" i="52"/>
  <c r="AB17" i="52"/>
  <c r="AC17" i="52" s="1"/>
  <c r="A199" i="50"/>
  <c r="AH15" i="52"/>
  <c r="E39" i="12"/>
  <c r="G39" i="2"/>
  <c r="A160" i="46"/>
  <c r="E21" i="52"/>
  <c r="AJ20" i="52"/>
  <c r="F20" i="52"/>
  <c r="G20" i="52" s="1"/>
  <c r="A179" i="46"/>
  <c r="A177" i="56"/>
  <c r="A158" i="56"/>
  <c r="N18" i="52" l="1"/>
  <c r="O18" i="52" s="1"/>
  <c r="AA37" i="1"/>
  <c r="Q36" i="59"/>
  <c r="AO36" i="59" s="1"/>
  <c r="AP36" i="59" s="1"/>
  <c r="BS36" i="59" s="1"/>
  <c r="Q36" i="35"/>
  <c r="AO36" i="35" s="1"/>
  <c r="AP36" i="35" s="1"/>
  <c r="BS36" i="35" s="1"/>
  <c r="V36" i="3" s="1"/>
  <c r="W36" i="3" s="1"/>
  <c r="Q36" i="40"/>
  <c r="AO36" i="40" s="1"/>
  <c r="AP36" i="40" s="1"/>
  <c r="BS36" i="40" s="1"/>
  <c r="BT34" i="59"/>
  <c r="BT34" i="35"/>
  <c r="AO35" i="1"/>
  <c r="AP35" i="1" s="1"/>
  <c r="BS35" i="1" s="1"/>
  <c r="AO35" i="59"/>
  <c r="AP35" i="59" s="1"/>
  <c r="BS35" i="59" s="1"/>
  <c r="M37" i="3"/>
  <c r="AO35" i="35"/>
  <c r="AP35" i="35" s="1"/>
  <c r="BS35" i="35" s="1"/>
  <c r="V35" i="3" s="1"/>
  <c r="W35" i="3" s="1"/>
  <c r="BT34" i="33"/>
  <c r="BT34" i="1"/>
  <c r="Q36" i="38"/>
  <c r="BT34" i="54"/>
  <c r="AO35" i="33"/>
  <c r="AP35" i="33" s="1"/>
  <c r="BS35" i="33" s="1"/>
  <c r="AO35" i="54"/>
  <c r="AP35" i="54" s="1"/>
  <c r="BS35" i="54" s="1"/>
  <c r="BT34" i="40"/>
  <c r="AO35" i="40"/>
  <c r="AP35" i="40" s="1"/>
  <c r="BS35" i="40" s="1"/>
  <c r="Q36" i="1"/>
  <c r="Q36" i="33"/>
  <c r="C37" i="13"/>
  <c r="D37" i="13" s="1"/>
  <c r="B37" i="36"/>
  <c r="C37" i="42"/>
  <c r="D37" i="42" s="1"/>
  <c r="L37" i="54"/>
  <c r="N37" i="54" s="1"/>
  <c r="O37" i="54" s="1"/>
  <c r="G36" i="32"/>
  <c r="Z36" i="32" s="1"/>
  <c r="J36" i="32"/>
  <c r="B38" i="9"/>
  <c r="I38" i="9" s="1"/>
  <c r="E37" i="9"/>
  <c r="AD37" i="32" s="1"/>
  <c r="Q37" i="40" s="1"/>
  <c r="E37" i="51"/>
  <c r="AE37" i="51" s="1"/>
  <c r="AF37" i="51" s="1"/>
  <c r="L37" i="1"/>
  <c r="B37" i="2" s="1"/>
  <c r="D37" i="2" s="1"/>
  <c r="C37" i="26"/>
  <c r="D37" i="26" s="1"/>
  <c r="Z35" i="32"/>
  <c r="B36" i="12"/>
  <c r="G36" i="12" s="1"/>
  <c r="AI37" i="8"/>
  <c r="D36" i="3"/>
  <c r="J36" i="3" s="1"/>
  <c r="H36" i="8" s="1"/>
  <c r="N36" i="1"/>
  <c r="O36" i="1" s="1"/>
  <c r="B37" i="34"/>
  <c r="U37" i="20"/>
  <c r="AR36" i="3"/>
  <c r="R36" i="40"/>
  <c r="B37" i="37"/>
  <c r="AQ37" i="8"/>
  <c r="R36" i="35"/>
  <c r="AA37" i="8"/>
  <c r="B37" i="58"/>
  <c r="L37" i="40"/>
  <c r="N37" i="40" s="1"/>
  <c r="O37" i="40" s="1"/>
  <c r="R36" i="1"/>
  <c r="L37" i="38"/>
  <c r="N37" i="38" s="1"/>
  <c r="O37" i="38" s="1"/>
  <c r="C37" i="23"/>
  <c r="D37" i="23" s="1"/>
  <c r="L37" i="33"/>
  <c r="N37" i="33" s="1"/>
  <c r="O37" i="33" s="1"/>
  <c r="S34" i="32"/>
  <c r="R36" i="33"/>
  <c r="G37" i="3"/>
  <c r="R37" i="40" s="1"/>
  <c r="E37" i="32"/>
  <c r="J37" i="32" s="1"/>
  <c r="L37" i="35"/>
  <c r="N37" i="35" s="1"/>
  <c r="O37" i="35" s="1"/>
  <c r="B37" i="53"/>
  <c r="B37" i="41"/>
  <c r="R36" i="54"/>
  <c r="L37" i="59"/>
  <c r="N37" i="59" s="1"/>
  <c r="O37" i="59" s="1"/>
  <c r="AD37" i="20"/>
  <c r="C37" i="27"/>
  <c r="D37" i="27" s="1"/>
  <c r="B37" i="29"/>
  <c r="R36" i="59"/>
  <c r="V34" i="32"/>
  <c r="R34" i="32"/>
  <c r="W34" i="32" s="1"/>
  <c r="N35" i="32"/>
  <c r="R35" i="32" s="1"/>
  <c r="W35" i="32" s="1"/>
  <c r="BX33" i="59"/>
  <c r="BX33" i="33"/>
  <c r="BX33" i="40"/>
  <c r="BX33" i="35"/>
  <c r="BX32" i="35"/>
  <c r="BX32" i="59"/>
  <c r="BX32" i="33"/>
  <c r="BX32" i="54"/>
  <c r="BX32" i="40"/>
  <c r="BX32" i="38"/>
  <c r="BX32" i="1"/>
  <c r="AV33" i="1"/>
  <c r="AW33" i="1" s="1"/>
  <c r="BW33" i="1" s="1"/>
  <c r="BX33" i="1"/>
  <c r="AA33" i="38"/>
  <c r="AB33" i="38" s="1"/>
  <c r="AA33" i="33"/>
  <c r="AB33" i="33" s="1"/>
  <c r="AA33" i="59"/>
  <c r="AB33" i="59" s="1"/>
  <c r="AB33" i="1"/>
  <c r="AA33" i="35"/>
  <c r="AB33" i="35" s="1"/>
  <c r="AA33" i="54"/>
  <c r="AB33" i="54" s="1"/>
  <c r="AA33" i="40"/>
  <c r="AB33" i="40" s="1"/>
  <c r="AB34" i="3"/>
  <c r="AV33" i="33"/>
  <c r="AW33" i="33" s="1"/>
  <c r="BW33" i="33" s="1"/>
  <c r="AV33" i="40"/>
  <c r="AW33" i="40" s="1"/>
  <c r="BW33" i="40" s="1"/>
  <c r="BX33" i="38"/>
  <c r="I35" i="32"/>
  <c r="AA35" i="3" s="1"/>
  <c r="AN35" i="32"/>
  <c r="T34" i="59"/>
  <c r="AV34" i="59" s="1"/>
  <c r="AW34" i="59" s="1"/>
  <c r="BW34" i="59" s="1"/>
  <c r="T34" i="40"/>
  <c r="AV34" i="40" s="1"/>
  <c r="AW34" i="40" s="1"/>
  <c r="BW34" i="40" s="1"/>
  <c r="T34" i="35"/>
  <c r="AV34" i="35" s="1"/>
  <c r="AW34" i="35" s="1"/>
  <c r="BW34" i="35" s="1"/>
  <c r="X34" i="3" s="1"/>
  <c r="Y34" i="3" s="1"/>
  <c r="BX34" i="54" s="1"/>
  <c r="T34" i="38"/>
  <c r="T34" i="33"/>
  <c r="T34" i="54"/>
  <c r="AV34" i="54" s="1"/>
  <c r="AW34" i="54" s="1"/>
  <c r="BW34" i="54" s="1"/>
  <c r="T34" i="1"/>
  <c r="AV33" i="38"/>
  <c r="AW33" i="38" s="1"/>
  <c r="BW33" i="38" s="1"/>
  <c r="S18" i="52"/>
  <c r="T18" i="52"/>
  <c r="A161" i="46"/>
  <c r="F39" i="54"/>
  <c r="F39" i="33"/>
  <c r="B39" i="3"/>
  <c r="AZ39" i="3" s="1"/>
  <c r="F39" i="59"/>
  <c r="F39" i="38"/>
  <c r="F39" i="1"/>
  <c r="F39" i="35"/>
  <c r="F39" i="40"/>
  <c r="A200" i="50"/>
  <c r="U19" i="52"/>
  <c r="V19" i="52" s="1"/>
  <c r="V39" i="20"/>
  <c r="M39" i="35"/>
  <c r="M39" i="38"/>
  <c r="M39" i="54"/>
  <c r="F39" i="32"/>
  <c r="B39" i="13"/>
  <c r="D39" i="51"/>
  <c r="AE39" i="20"/>
  <c r="M39" i="59"/>
  <c r="B39" i="42"/>
  <c r="M39" i="40"/>
  <c r="M39" i="1"/>
  <c r="B39" i="26"/>
  <c r="B39" i="23"/>
  <c r="B39" i="27"/>
  <c r="AA39" i="9"/>
  <c r="M39" i="33"/>
  <c r="Z39" i="9"/>
  <c r="I3" i="56"/>
  <c r="I3" i="46"/>
  <c r="I3" i="50"/>
  <c r="I3" i="49"/>
  <c r="A143" i="50"/>
  <c r="A181" i="50"/>
  <c r="A83" i="56"/>
  <c r="L19" i="52"/>
  <c r="N19" i="52" s="1"/>
  <c r="O19" i="52" s="1"/>
  <c r="A178" i="56"/>
  <c r="A199" i="46"/>
  <c r="Z16" i="52"/>
  <c r="AS15" i="52"/>
  <c r="AT15" i="52"/>
  <c r="AU15" i="52"/>
  <c r="A140" i="56"/>
  <c r="AL20" i="52"/>
  <c r="AK20" i="52"/>
  <c r="AW18" i="52"/>
  <c r="AV18" i="52"/>
  <c r="AX18" i="52"/>
  <c r="AZ18" i="52"/>
  <c r="AY18" i="52"/>
  <c r="X18" i="52"/>
  <c r="AB18" i="52"/>
  <c r="AC18" i="52" s="1"/>
  <c r="E22" i="52"/>
  <c r="AJ21" i="52"/>
  <c r="F21" i="52"/>
  <c r="G21" i="52" s="1"/>
  <c r="A121" i="56"/>
  <c r="S17" i="52"/>
  <c r="T17" i="52"/>
  <c r="E38" i="3"/>
  <c r="C38" i="2"/>
  <c r="C38" i="12"/>
  <c r="AO19" i="52"/>
  <c r="AQ19" i="52" s="1"/>
  <c r="A197" i="56"/>
  <c r="I20" i="52"/>
  <c r="K20" i="52"/>
  <c r="Q20" i="52"/>
  <c r="R20" i="52" s="1"/>
  <c r="J20" i="52"/>
  <c r="A142" i="46"/>
  <c r="Y16" i="52"/>
  <c r="A159" i="56"/>
  <c r="A180" i="46"/>
  <c r="A102" i="56"/>
  <c r="AF16" i="52"/>
  <c r="AG16" i="52" s="1"/>
  <c r="AM16" i="52" s="1"/>
  <c r="AN16" i="52" s="1"/>
  <c r="AR16" i="52" s="1"/>
  <c r="A162" i="50"/>
  <c r="A123" i="46"/>
  <c r="C38" i="23" l="1"/>
  <c r="D38" i="23" s="1"/>
  <c r="AA38" i="1"/>
  <c r="AD38" i="20"/>
  <c r="AQ38" i="8"/>
  <c r="B38" i="29"/>
  <c r="BT36" i="40"/>
  <c r="BT36" i="33"/>
  <c r="BT36" i="54"/>
  <c r="BT36" i="1"/>
  <c r="BT36" i="35"/>
  <c r="BT36" i="38"/>
  <c r="BT36" i="59"/>
  <c r="BT35" i="59"/>
  <c r="BT35" i="54"/>
  <c r="BT35" i="40"/>
  <c r="BT35" i="38"/>
  <c r="BT35" i="35"/>
  <c r="BT35" i="1"/>
  <c r="BT35" i="33"/>
  <c r="AO36" i="38"/>
  <c r="AP36" i="38" s="1"/>
  <c r="BS36" i="38" s="1"/>
  <c r="AO36" i="33"/>
  <c r="AP36" i="33" s="1"/>
  <c r="BS36" i="33" s="1"/>
  <c r="M38" i="3"/>
  <c r="AO36" i="1"/>
  <c r="AP36" i="1" s="1"/>
  <c r="BS36" i="1" s="1"/>
  <c r="AO37" i="40"/>
  <c r="AP37" i="40" s="1"/>
  <c r="BS37" i="40" s="1"/>
  <c r="B38" i="58"/>
  <c r="L38" i="59"/>
  <c r="N38" i="59" s="1"/>
  <c r="O38" i="59" s="1"/>
  <c r="L38" i="40"/>
  <c r="N38" i="40" s="1"/>
  <c r="O38" i="40" s="1"/>
  <c r="N37" i="1"/>
  <c r="O37" i="1" s="1"/>
  <c r="AA38" i="8"/>
  <c r="Q37" i="35"/>
  <c r="B37" i="12"/>
  <c r="G37" i="12" s="1"/>
  <c r="B38" i="41"/>
  <c r="L38" i="38"/>
  <c r="N38" i="38" s="1"/>
  <c r="O38" i="38" s="1"/>
  <c r="G38" i="3"/>
  <c r="R38" i="54" s="1"/>
  <c r="U38" i="20"/>
  <c r="L38" i="1"/>
  <c r="B38" i="2" s="1"/>
  <c r="D38" i="2" s="1"/>
  <c r="L38" i="35"/>
  <c r="N38" i="35" s="1"/>
  <c r="O38" i="35" s="1"/>
  <c r="B38" i="36"/>
  <c r="C38" i="42"/>
  <c r="D38" i="42" s="1"/>
  <c r="B38" i="37"/>
  <c r="Q37" i="54"/>
  <c r="E38" i="9"/>
  <c r="AD38" i="32" s="1"/>
  <c r="Q38" i="38" s="1"/>
  <c r="C38" i="13"/>
  <c r="D38" i="13" s="1"/>
  <c r="L38" i="54"/>
  <c r="N38" i="54" s="1"/>
  <c r="O38" i="54" s="1"/>
  <c r="L38" i="33"/>
  <c r="N38" i="33" s="1"/>
  <c r="O38" i="33" s="1"/>
  <c r="B38" i="53"/>
  <c r="AI38" i="8"/>
  <c r="R37" i="35"/>
  <c r="Q37" i="33"/>
  <c r="R37" i="38"/>
  <c r="H36" i="32"/>
  <c r="I36" i="32" s="1"/>
  <c r="AA36" i="3" s="1"/>
  <c r="Q37" i="59"/>
  <c r="R37" i="1"/>
  <c r="R37" i="54"/>
  <c r="E38" i="51"/>
  <c r="AE38" i="51" s="1"/>
  <c r="AF38" i="51" s="1"/>
  <c r="B39" i="9"/>
  <c r="I39" i="9" s="1"/>
  <c r="C38" i="27"/>
  <c r="D38" i="27" s="1"/>
  <c r="Q37" i="38"/>
  <c r="C38" i="26"/>
  <c r="D38" i="26" s="1"/>
  <c r="B38" i="34"/>
  <c r="E38" i="32"/>
  <c r="L38" i="32" s="1"/>
  <c r="Q37" i="1"/>
  <c r="D37" i="3"/>
  <c r="J37" i="3" s="1"/>
  <c r="H37" i="8" s="1"/>
  <c r="F36" i="3"/>
  <c r="BJ36" i="3" s="1"/>
  <c r="AR37" i="3"/>
  <c r="R37" i="59"/>
  <c r="P36" i="3"/>
  <c r="N36" i="32" s="1"/>
  <c r="L37" i="32"/>
  <c r="R37" i="33"/>
  <c r="G37" i="32"/>
  <c r="Z37" i="32" s="1"/>
  <c r="S35" i="32"/>
  <c r="V35" i="32"/>
  <c r="E35" i="2"/>
  <c r="BX34" i="35"/>
  <c r="BX34" i="33"/>
  <c r="BX34" i="40"/>
  <c r="BX34" i="38"/>
  <c r="BX34" i="1"/>
  <c r="BX34" i="59"/>
  <c r="T35" i="35"/>
  <c r="AV35" i="35" s="1"/>
  <c r="AW35" i="35" s="1"/>
  <c r="BW35" i="35" s="1"/>
  <c r="X35" i="3" s="1"/>
  <c r="Y35" i="3" s="1"/>
  <c r="BX35" i="40" s="1"/>
  <c r="T35" i="40"/>
  <c r="T35" i="59"/>
  <c r="AV35" i="59" s="1"/>
  <c r="AW35" i="59" s="1"/>
  <c r="BW35" i="59" s="1"/>
  <c r="T35" i="54"/>
  <c r="T35" i="1"/>
  <c r="T35" i="33"/>
  <c r="AV35" i="33" s="1"/>
  <c r="AW35" i="33" s="1"/>
  <c r="BW35" i="33" s="1"/>
  <c r="T35" i="38"/>
  <c r="AV35" i="38" s="1"/>
  <c r="AW35" i="38" s="1"/>
  <c r="BW35" i="38" s="1"/>
  <c r="AB35" i="3"/>
  <c r="AV34" i="33"/>
  <c r="AW34" i="33" s="1"/>
  <c r="BW34" i="33" s="1"/>
  <c r="AA34" i="40"/>
  <c r="AB34" i="40" s="1"/>
  <c r="AB34" i="1"/>
  <c r="AA34" i="59"/>
  <c r="AB34" i="59" s="1"/>
  <c r="AA34" i="35"/>
  <c r="AB34" i="35" s="1"/>
  <c r="AA34" i="33"/>
  <c r="AB34" i="33" s="1"/>
  <c r="AA34" i="38"/>
  <c r="AB34" i="38" s="1"/>
  <c r="AA34" i="54"/>
  <c r="AB34" i="54" s="1"/>
  <c r="AV34" i="38"/>
  <c r="AW34" i="38" s="1"/>
  <c r="BW34" i="38" s="1"/>
  <c r="AV34" i="1"/>
  <c r="AW34" i="1" s="1"/>
  <c r="BW34" i="1" s="1"/>
  <c r="AT16" i="52"/>
  <c r="AU16" i="52"/>
  <c r="AS16" i="52"/>
  <c r="A162" i="46"/>
  <c r="A198" i="56"/>
  <c r="A141" i="56"/>
  <c r="X19" i="52"/>
  <c r="AB19" i="52"/>
  <c r="AC19" i="52" s="1"/>
  <c r="A160" i="56"/>
  <c r="A122" i="56"/>
  <c r="L20" i="52"/>
  <c r="N20" i="52"/>
  <c r="A200" i="46"/>
  <c r="A201" i="50"/>
  <c r="M20" i="52"/>
  <c r="P20" i="52" s="1"/>
  <c r="S20" i="52" s="1"/>
  <c r="AL21" i="52"/>
  <c r="AK21" i="52"/>
  <c r="AO20" i="52"/>
  <c r="AQ20" i="52" s="1"/>
  <c r="W17" i="52"/>
  <c r="AD17" i="52"/>
  <c r="M19" i="52"/>
  <c r="P19" i="52" s="1"/>
  <c r="A163" i="50"/>
  <c r="U20" i="52"/>
  <c r="V20" i="52" s="1"/>
  <c r="T20" i="52"/>
  <c r="W18" i="52"/>
  <c r="AA18" i="52" s="1"/>
  <c r="AD18" i="52"/>
  <c r="AE18" i="52" s="1"/>
  <c r="A103" i="56"/>
  <c r="AJ22" i="52"/>
  <c r="E23" i="52"/>
  <c r="F22" i="52"/>
  <c r="G22" i="52" s="1"/>
  <c r="A181" i="46"/>
  <c r="AW19" i="52"/>
  <c r="AV19" i="52"/>
  <c r="AY19" i="52"/>
  <c r="AZ19" i="52"/>
  <c r="AX19" i="52"/>
  <c r="A179" i="56"/>
  <c r="A182" i="50"/>
  <c r="A143" i="46"/>
  <c r="O20" i="52"/>
  <c r="J21" i="52"/>
  <c r="I21" i="52"/>
  <c r="K21" i="52"/>
  <c r="Q21" i="52"/>
  <c r="R21" i="52" s="1"/>
  <c r="E39" i="3"/>
  <c r="C39" i="2"/>
  <c r="C39" i="12"/>
  <c r="R38" i="1" l="1"/>
  <c r="AA39" i="1"/>
  <c r="AO37" i="1"/>
  <c r="AP37" i="1" s="1"/>
  <c r="BS37" i="1" s="1"/>
  <c r="AO37" i="35"/>
  <c r="AP37" i="35" s="1"/>
  <c r="BS37" i="35" s="1"/>
  <c r="V37" i="3" s="1"/>
  <c r="W37" i="3" s="1"/>
  <c r="AO37" i="59"/>
  <c r="AP37" i="59" s="1"/>
  <c r="BS37" i="59" s="1"/>
  <c r="AO37" i="38"/>
  <c r="AP37" i="38" s="1"/>
  <c r="BS37" i="38" s="1"/>
  <c r="AO38" i="38"/>
  <c r="AP38" i="38" s="1"/>
  <c r="BS38" i="38" s="1"/>
  <c r="M39" i="3"/>
  <c r="AO37" i="33"/>
  <c r="AP37" i="33" s="1"/>
  <c r="BS37" i="33" s="1"/>
  <c r="AO37" i="54"/>
  <c r="AP37" i="54" s="1"/>
  <c r="BS37" i="54" s="1"/>
  <c r="B39" i="58"/>
  <c r="L39" i="40"/>
  <c r="N39" i="40" s="1"/>
  <c r="O39" i="40" s="1"/>
  <c r="C39" i="13"/>
  <c r="D39" i="13" s="1"/>
  <c r="H37" i="32"/>
  <c r="AN37" i="32" s="1"/>
  <c r="C39" i="23"/>
  <c r="D39" i="23" s="1"/>
  <c r="L39" i="38"/>
  <c r="N39" i="38" s="1"/>
  <c r="O39" i="38" s="1"/>
  <c r="AD39" i="20"/>
  <c r="D38" i="3"/>
  <c r="F38" i="3" s="1"/>
  <c r="BJ38" i="3" s="1"/>
  <c r="AA36" i="59"/>
  <c r="AB36" i="59" s="1"/>
  <c r="B38" i="12"/>
  <c r="G38" i="12" s="1"/>
  <c r="N38" i="1"/>
  <c r="O38" i="1" s="1"/>
  <c r="Q38" i="54"/>
  <c r="R38" i="59"/>
  <c r="R38" i="33"/>
  <c r="R38" i="35"/>
  <c r="Q38" i="40"/>
  <c r="AR38" i="3"/>
  <c r="Q38" i="35"/>
  <c r="AA39" i="8"/>
  <c r="R38" i="38"/>
  <c r="AN36" i="32"/>
  <c r="T36" i="33" s="1"/>
  <c r="AV36" i="33" s="1"/>
  <c r="AW36" i="33" s="1"/>
  <c r="BW36" i="33" s="1"/>
  <c r="B39" i="41"/>
  <c r="R38" i="40"/>
  <c r="J38" i="32"/>
  <c r="Q38" i="33"/>
  <c r="Q38" i="59"/>
  <c r="C39" i="27"/>
  <c r="D39" i="27" s="1"/>
  <c r="Q38" i="1"/>
  <c r="L39" i="59"/>
  <c r="N39" i="59" s="1"/>
  <c r="O39" i="59" s="1"/>
  <c r="B39" i="34"/>
  <c r="E39" i="51"/>
  <c r="AE39" i="51" s="1"/>
  <c r="AF39" i="51" s="1"/>
  <c r="E39" i="9"/>
  <c r="AD39" i="32" s="1"/>
  <c r="Q39" i="1" s="1"/>
  <c r="G39" i="3"/>
  <c r="AR39" i="3" s="1"/>
  <c r="E39" i="32"/>
  <c r="J39" i="32" s="1"/>
  <c r="L39" i="35"/>
  <c r="N39" i="35" s="1"/>
  <c r="O39" i="35" s="1"/>
  <c r="L39" i="1"/>
  <c r="B39" i="2" s="1"/>
  <c r="D39" i="2" s="1"/>
  <c r="AQ39" i="8"/>
  <c r="B39" i="29"/>
  <c r="G38" i="32"/>
  <c r="Z38" i="32" s="1"/>
  <c r="C39" i="42"/>
  <c r="D39" i="42" s="1"/>
  <c r="B39" i="53"/>
  <c r="B39" i="36"/>
  <c r="C39" i="26"/>
  <c r="D39" i="26" s="1"/>
  <c r="L39" i="33"/>
  <c r="N39" i="33" s="1"/>
  <c r="O39" i="33" s="1"/>
  <c r="U39" i="20"/>
  <c r="B39" i="37"/>
  <c r="AI39" i="8"/>
  <c r="L39" i="54"/>
  <c r="N39" i="54" s="1"/>
  <c r="O39" i="54" s="1"/>
  <c r="F37" i="3"/>
  <c r="BJ37" i="3" s="1"/>
  <c r="P37" i="3"/>
  <c r="N37" i="32" s="1"/>
  <c r="BX35" i="1"/>
  <c r="BX35" i="59"/>
  <c r="BX35" i="54"/>
  <c r="BX35" i="38"/>
  <c r="BX35" i="35"/>
  <c r="BX35" i="33"/>
  <c r="AV35" i="1"/>
  <c r="AW35" i="1" s="1"/>
  <c r="BW35" i="1" s="1"/>
  <c r="S36" i="32"/>
  <c r="E36" i="2"/>
  <c r="V36" i="32"/>
  <c r="R36" i="32"/>
  <c r="W36" i="32" s="1"/>
  <c r="AV35" i="40"/>
  <c r="AW35" i="40" s="1"/>
  <c r="BW35" i="40" s="1"/>
  <c r="AA35" i="54"/>
  <c r="AB35" i="54" s="1"/>
  <c r="AA35" i="40"/>
  <c r="AB35" i="40" s="1"/>
  <c r="AA35" i="59"/>
  <c r="AB35" i="59" s="1"/>
  <c r="AA35" i="33"/>
  <c r="AB35" i="33" s="1"/>
  <c r="AA35" i="38"/>
  <c r="AB35" i="38" s="1"/>
  <c r="AA35" i="35"/>
  <c r="AB35" i="35" s="1"/>
  <c r="AB35" i="1"/>
  <c r="AV35" i="54"/>
  <c r="AW35" i="54" s="1"/>
  <c r="BW35" i="54" s="1"/>
  <c r="AO21" i="52"/>
  <c r="AQ21" i="52" s="1"/>
  <c r="A142" i="56"/>
  <c r="M21" i="52"/>
  <c r="P21" i="52" s="1"/>
  <c r="S21" i="52" s="1"/>
  <c r="AA17" i="52"/>
  <c r="Y17" i="52"/>
  <c r="Z17" i="52"/>
  <c r="L21" i="52"/>
  <c r="N21" i="52" s="1"/>
  <c r="O21" i="52" s="1"/>
  <c r="A123" i="56"/>
  <c r="W20" i="52"/>
  <c r="AA20" i="52" s="1"/>
  <c r="AD20" i="52"/>
  <c r="AE20" i="52" s="1"/>
  <c r="S19" i="52"/>
  <c r="T19" i="52"/>
  <c r="A201" i="46"/>
  <c r="X20" i="52"/>
  <c r="AB20" i="52"/>
  <c r="AC20" i="52" s="1"/>
  <c r="AW20" i="52"/>
  <c r="AY20" i="52"/>
  <c r="AZ20" i="52"/>
  <c r="AV20" i="52"/>
  <c r="AX20" i="52"/>
  <c r="A163" i="46"/>
  <c r="U21" i="52"/>
  <c r="V21" i="52" s="1"/>
  <c r="AF18" i="52"/>
  <c r="AG18" i="52"/>
  <c r="AM18" i="52" s="1"/>
  <c r="AE17" i="52"/>
  <c r="AH17" i="52"/>
  <c r="A183" i="50"/>
  <c r="AL22" i="52"/>
  <c r="AK22" i="52"/>
  <c r="A180" i="56"/>
  <c r="A202" i="50"/>
  <c r="A199" i="56"/>
  <c r="Q22" i="52"/>
  <c r="R22" i="52" s="1"/>
  <c r="J22" i="52"/>
  <c r="I22" i="52"/>
  <c r="K22" i="52"/>
  <c r="AB36" i="3"/>
  <c r="AJ23" i="52"/>
  <c r="E24" i="52"/>
  <c r="F23" i="52"/>
  <c r="G23" i="52" s="1"/>
  <c r="Y18" i="52"/>
  <c r="Z18" i="52"/>
  <c r="AH18" i="52"/>
  <c r="A182" i="46"/>
  <c r="A161" i="56"/>
  <c r="BT37" i="40" l="1"/>
  <c r="BT37" i="35"/>
  <c r="BT37" i="54"/>
  <c r="BT37" i="59"/>
  <c r="BT37" i="38"/>
  <c r="BT37" i="33"/>
  <c r="BT37" i="1"/>
  <c r="AO38" i="35"/>
  <c r="AP38" i="35" s="1"/>
  <c r="BS38" i="35" s="1"/>
  <c r="V38" i="3" s="1"/>
  <c r="W38" i="3" s="1"/>
  <c r="BT38" i="59" s="1"/>
  <c r="AO39" i="1"/>
  <c r="AP39" i="1" s="1"/>
  <c r="BS39" i="1" s="1"/>
  <c r="AO38" i="40"/>
  <c r="AP38" i="40" s="1"/>
  <c r="BS38" i="40" s="1"/>
  <c r="AO38" i="59"/>
  <c r="AP38" i="59" s="1"/>
  <c r="BS38" i="59" s="1"/>
  <c r="AO38" i="33"/>
  <c r="AP38" i="33" s="1"/>
  <c r="BS38" i="33" s="1"/>
  <c r="AO38" i="1"/>
  <c r="AP38" i="1" s="1"/>
  <c r="BS38" i="1" s="1"/>
  <c r="AO38" i="54"/>
  <c r="AP38" i="54" s="1"/>
  <c r="BS38" i="54" s="1"/>
  <c r="T36" i="40"/>
  <c r="AV36" i="40" s="1"/>
  <c r="AW36" i="40" s="1"/>
  <c r="BW36" i="40" s="1"/>
  <c r="I37" i="32"/>
  <c r="AA36" i="33"/>
  <c r="AB36" i="33" s="1"/>
  <c r="AA36" i="38"/>
  <c r="AB36" i="38" s="1"/>
  <c r="AB36" i="1"/>
  <c r="T36" i="1"/>
  <c r="AV36" i="1" s="1"/>
  <c r="AW36" i="1" s="1"/>
  <c r="BW36" i="1" s="1"/>
  <c r="AA36" i="40"/>
  <c r="AB36" i="40" s="1"/>
  <c r="R39" i="40"/>
  <c r="R39" i="38"/>
  <c r="T36" i="54"/>
  <c r="AV36" i="54" s="1"/>
  <c r="AW36" i="54" s="1"/>
  <c r="BW36" i="54" s="1"/>
  <c r="J38" i="3"/>
  <c r="H38" i="8" s="1"/>
  <c r="P38" i="3"/>
  <c r="AA36" i="54"/>
  <c r="AB36" i="54" s="1"/>
  <c r="AA36" i="35"/>
  <c r="AB36" i="35" s="1"/>
  <c r="T36" i="38"/>
  <c r="AV36" i="38" s="1"/>
  <c r="AW36" i="38" s="1"/>
  <c r="BW36" i="38" s="1"/>
  <c r="T36" i="35"/>
  <c r="AV36" i="35" s="1"/>
  <c r="AW36" i="35" s="1"/>
  <c r="BW36" i="35" s="1"/>
  <c r="X36" i="3" s="1"/>
  <c r="Y36" i="3" s="1"/>
  <c r="BX36" i="54" s="1"/>
  <c r="Q39" i="59"/>
  <c r="H38" i="32"/>
  <c r="AN38" i="32" s="1"/>
  <c r="T38" i="54" s="1"/>
  <c r="T36" i="59"/>
  <c r="AV36" i="59" s="1"/>
  <c r="AW36" i="59" s="1"/>
  <c r="BW36" i="59" s="1"/>
  <c r="D39" i="3"/>
  <c r="F39" i="3" s="1"/>
  <c r="BJ39" i="3" s="1"/>
  <c r="Q39" i="38"/>
  <c r="B39" i="12"/>
  <c r="G39" i="12" s="1"/>
  <c r="R39" i="59"/>
  <c r="G39" i="32"/>
  <c r="Z39" i="32" s="1"/>
  <c r="Q39" i="40"/>
  <c r="R39" i="33"/>
  <c r="L39" i="32"/>
  <c r="R39" i="1"/>
  <c r="N39" i="1"/>
  <c r="O39" i="1" s="1"/>
  <c r="R39" i="54"/>
  <c r="R39" i="35"/>
  <c r="Q39" i="33"/>
  <c r="Q39" i="35"/>
  <c r="Q39" i="54"/>
  <c r="T37" i="35"/>
  <c r="T37" i="1"/>
  <c r="AV37" i="1" s="1"/>
  <c r="AW37" i="1" s="1"/>
  <c r="BW37" i="1" s="1"/>
  <c r="T37" i="59"/>
  <c r="T37" i="54"/>
  <c r="T37" i="40"/>
  <c r="T37" i="38"/>
  <c r="T37" i="33"/>
  <c r="AV37" i="33" s="1"/>
  <c r="AW37" i="33" s="1"/>
  <c r="BW37" i="33" s="1"/>
  <c r="V37" i="32"/>
  <c r="R37" i="32"/>
  <c r="W37" i="32" s="1"/>
  <c r="E37" i="2"/>
  <c r="S37" i="32"/>
  <c r="U22" i="52"/>
  <c r="V22" i="52" s="1"/>
  <c r="AF17" i="52"/>
  <c r="AG17" i="52"/>
  <c r="AM17" i="52" s="1"/>
  <c r="AN17" i="52" s="1"/>
  <c r="AR17" i="52" s="1"/>
  <c r="AF20" i="52"/>
  <c r="AG20" i="52" s="1"/>
  <c r="AM20" i="52" s="1"/>
  <c r="AW21" i="52"/>
  <c r="AV21" i="52"/>
  <c r="AY21" i="52"/>
  <c r="AZ21" i="52"/>
  <c r="AX21" i="52"/>
  <c r="A203" i="50"/>
  <c r="AO22" i="52"/>
  <c r="AQ22" i="52" s="1"/>
  <c r="Q23" i="52"/>
  <c r="R23" i="52" s="1"/>
  <c r="I23" i="52"/>
  <c r="J23" i="52"/>
  <c r="K23" i="52"/>
  <c r="AH20" i="52"/>
  <c r="W19" i="52"/>
  <c r="AD19" i="52"/>
  <c r="A181" i="56"/>
  <c r="T21" i="52"/>
  <c r="AL23" i="52"/>
  <c r="AK23" i="52"/>
  <c r="X21" i="52"/>
  <c r="AB21" i="52"/>
  <c r="AC21" i="52" s="1"/>
  <c r="A143" i="56"/>
  <c r="A200" i="56"/>
  <c r="A202" i="46"/>
  <c r="A183" i="46"/>
  <c r="AJ24" i="52"/>
  <c r="E25" i="52"/>
  <c r="F24" i="52"/>
  <c r="G24" i="52" s="1"/>
  <c r="Z20" i="52"/>
  <c r="Y20" i="52"/>
  <c r="A162" i="56"/>
  <c r="L22" i="52"/>
  <c r="N22" i="52" s="1"/>
  <c r="O22" i="52" s="1"/>
  <c r="AA37" i="3" l="1"/>
  <c r="AB37" i="3" s="1"/>
  <c r="AN18" i="52"/>
  <c r="AR18" i="52" s="1"/>
  <c r="M22" i="52"/>
  <c r="P22" i="52" s="1"/>
  <c r="S22" i="52" s="1"/>
  <c r="BT38" i="33"/>
  <c r="AO39" i="38"/>
  <c r="AP39" i="38" s="1"/>
  <c r="BS39" i="38" s="1"/>
  <c r="BT38" i="40"/>
  <c r="AO39" i="40"/>
  <c r="AP39" i="40" s="1"/>
  <c r="BS39" i="40" s="1"/>
  <c r="BT38" i="38"/>
  <c r="BT38" i="35"/>
  <c r="AO39" i="33"/>
  <c r="AP39" i="33" s="1"/>
  <c r="BS39" i="33" s="1"/>
  <c r="AO39" i="59"/>
  <c r="AP39" i="59" s="1"/>
  <c r="BS39" i="59" s="1"/>
  <c r="BT38" i="1"/>
  <c r="AO39" i="54"/>
  <c r="AP39" i="54" s="1"/>
  <c r="BS39" i="54" s="1"/>
  <c r="AO39" i="35"/>
  <c r="AP39" i="35" s="1"/>
  <c r="BS39" i="35" s="1"/>
  <c r="V39" i="3" s="1"/>
  <c r="W39" i="3" s="1"/>
  <c r="BT38" i="54"/>
  <c r="AA37" i="33"/>
  <c r="AB37" i="33" s="1"/>
  <c r="P39" i="3"/>
  <c r="J39" i="3"/>
  <c r="H39" i="8" s="1"/>
  <c r="I38" i="32"/>
  <c r="N38" i="32"/>
  <c r="V38" i="32" s="1"/>
  <c r="T38" i="38"/>
  <c r="AV38" i="38" s="1"/>
  <c r="AW38" i="38" s="1"/>
  <c r="BW38" i="38" s="1"/>
  <c r="T38" i="35"/>
  <c r="AV38" i="35" s="1"/>
  <c r="AW38" i="35" s="1"/>
  <c r="BW38" i="35" s="1"/>
  <c r="X38" i="3" s="1"/>
  <c r="Y38" i="3" s="1"/>
  <c r="BX36" i="1"/>
  <c r="BX36" i="33"/>
  <c r="BX36" i="35"/>
  <c r="BX36" i="59"/>
  <c r="T38" i="59"/>
  <c r="AV38" i="59" s="1"/>
  <c r="AW38" i="59" s="1"/>
  <c r="BW38" i="59" s="1"/>
  <c r="BX36" i="40"/>
  <c r="BX36" i="38"/>
  <c r="T38" i="1"/>
  <c r="AV38" i="1" s="1"/>
  <c r="AW38" i="1" s="1"/>
  <c r="BW38" i="1" s="1"/>
  <c r="T38" i="40"/>
  <c r="AV38" i="40" s="1"/>
  <c r="AW38" i="40" s="1"/>
  <c r="BW38" i="40" s="1"/>
  <c r="T38" i="33"/>
  <c r="AV38" i="33" s="1"/>
  <c r="AW38" i="33" s="1"/>
  <c r="BW38" i="33" s="1"/>
  <c r="H39" i="32"/>
  <c r="I39" i="32" s="1"/>
  <c r="AA39" i="3" s="1"/>
  <c r="AA37" i="38"/>
  <c r="AB37" i="38" s="1"/>
  <c r="AA37" i="54"/>
  <c r="AB37" i="54" s="1"/>
  <c r="AA37" i="35"/>
  <c r="AB37" i="35" s="1"/>
  <c r="AV37" i="38"/>
  <c r="AW37" i="38" s="1"/>
  <c r="BW37" i="38" s="1"/>
  <c r="AV37" i="40"/>
  <c r="AW37" i="40" s="1"/>
  <c r="BW37" i="40" s="1"/>
  <c r="AV37" i="54"/>
  <c r="AW37" i="54" s="1"/>
  <c r="BW37" i="54" s="1"/>
  <c r="AV37" i="59"/>
  <c r="AW37" i="59" s="1"/>
  <c r="BW37" i="59" s="1"/>
  <c r="AV37" i="35"/>
  <c r="AW37" i="35" s="1"/>
  <c r="BW37" i="35" s="1"/>
  <c r="X37" i="3" s="1"/>
  <c r="Y37" i="3" s="1"/>
  <c r="I24" i="52"/>
  <c r="K24" i="52"/>
  <c r="Q24" i="52"/>
  <c r="R24" i="52" s="1"/>
  <c r="J24" i="52"/>
  <c r="A163" i="56"/>
  <c r="A201" i="56"/>
  <c r="L23" i="52"/>
  <c r="M23" i="52" s="1"/>
  <c r="P23" i="52" s="1"/>
  <c r="AW22" i="52"/>
  <c r="AV22" i="52"/>
  <c r="AX22" i="52"/>
  <c r="AY22" i="52"/>
  <c r="AZ22" i="52"/>
  <c r="AV38" i="54"/>
  <c r="AW38" i="54" s="1"/>
  <c r="BW38" i="54" s="1"/>
  <c r="W21" i="52"/>
  <c r="AA21" i="52" s="1"/>
  <c r="AD21" i="52"/>
  <c r="AE21" i="52" s="1"/>
  <c r="U23" i="52"/>
  <c r="V23" i="52" s="1"/>
  <c r="A203" i="46"/>
  <c r="AT18" i="52"/>
  <c r="AS18" i="52"/>
  <c r="AU18" i="52"/>
  <c r="E26" i="52"/>
  <c r="AJ25" i="52"/>
  <c r="F25" i="52"/>
  <c r="G25" i="52" s="1"/>
  <c r="AO23" i="52"/>
  <c r="AQ23" i="52" s="1"/>
  <c r="A182" i="56"/>
  <c r="AE19" i="52"/>
  <c r="AH19" i="52"/>
  <c r="AT17" i="52"/>
  <c r="AU17" i="52"/>
  <c r="AS17" i="52"/>
  <c r="AA19" i="52"/>
  <c r="Z19" i="52"/>
  <c r="Y19" i="52"/>
  <c r="AK24" i="52"/>
  <c r="AL24" i="52"/>
  <c r="X22" i="52"/>
  <c r="AB22" i="52"/>
  <c r="AC22" i="52" s="1"/>
  <c r="AA38" i="3" l="1"/>
  <c r="AB38" i="3" s="1"/>
  <c r="S23" i="52"/>
  <c r="T23" i="52"/>
  <c r="T22" i="52"/>
  <c r="N23" i="52"/>
  <c r="O23" i="52" s="1"/>
  <c r="BT39" i="40"/>
  <c r="BT39" i="33"/>
  <c r="BT39" i="35"/>
  <c r="BT39" i="1"/>
  <c r="BT39" i="54"/>
  <c r="BT39" i="38"/>
  <c r="BT39" i="59"/>
  <c r="AB37" i="1"/>
  <c r="AA37" i="40"/>
  <c r="AB37" i="40" s="1"/>
  <c r="S38" i="32"/>
  <c r="AA37" i="59"/>
  <c r="AB37" i="59" s="1"/>
  <c r="E38" i="2"/>
  <c r="AN39" i="32"/>
  <c r="T39" i="54" s="1"/>
  <c r="R38" i="32"/>
  <c r="W38" i="32" s="1"/>
  <c r="N39" i="32"/>
  <c r="R39" i="32" s="1"/>
  <c r="W39" i="32" s="1"/>
  <c r="AA38" i="38"/>
  <c r="AB38" i="38" s="1"/>
  <c r="AA38" i="54"/>
  <c r="AB38" i="54" s="1"/>
  <c r="BX37" i="40"/>
  <c r="BX37" i="35"/>
  <c r="BX37" i="59"/>
  <c r="BX37" i="1"/>
  <c r="BX37" i="38"/>
  <c r="BX37" i="54"/>
  <c r="BX37" i="33"/>
  <c r="AB39" i="3"/>
  <c r="BX38" i="40"/>
  <c r="BX38" i="59"/>
  <c r="BX38" i="35"/>
  <c r="BX38" i="1"/>
  <c r="BX38" i="33"/>
  <c r="BX38" i="54"/>
  <c r="BX38" i="38"/>
  <c r="X23" i="52"/>
  <c r="AB23" i="52"/>
  <c r="AC23" i="52" s="1"/>
  <c r="AW23" i="52"/>
  <c r="AV23" i="52"/>
  <c r="AY23" i="52"/>
  <c r="AZ23" i="52"/>
  <c r="AX23" i="52"/>
  <c r="W23" i="52"/>
  <c r="AA23" i="52" s="1"/>
  <c r="L24" i="52"/>
  <c r="M24" i="52" s="1"/>
  <c r="P24" i="52" s="1"/>
  <c r="N24" i="52"/>
  <c r="O24" i="52" s="1"/>
  <c r="U24" i="52"/>
  <c r="V24" i="52" s="1"/>
  <c r="A183" i="56"/>
  <c r="AO24" i="52"/>
  <c r="AQ24" i="52" s="1"/>
  <c r="AJ26" i="52"/>
  <c r="F26" i="52"/>
  <c r="G26" i="52" s="1"/>
  <c r="E27" i="52"/>
  <c r="J25" i="52"/>
  <c r="K25" i="52"/>
  <c r="Q25" i="52"/>
  <c r="R25" i="52" s="1"/>
  <c r="I25" i="52"/>
  <c r="Y21" i="52"/>
  <c r="A202" i="56"/>
  <c r="W22" i="52"/>
  <c r="AA22" i="52" s="1"/>
  <c r="AD22" i="52"/>
  <c r="AE22" i="52" s="1"/>
  <c r="AL25" i="52"/>
  <c r="AK25" i="52"/>
  <c r="Z21" i="52"/>
  <c r="AG19" i="52"/>
  <c r="AM19" i="52" s="1"/>
  <c r="AN19" i="52" s="1"/>
  <c r="AF19" i="52"/>
  <c r="AF21" i="52"/>
  <c r="AG21" i="52" s="1"/>
  <c r="AM21" i="52" s="1"/>
  <c r="AH21" i="52"/>
  <c r="AA38" i="33" l="1"/>
  <c r="AB38" i="33" s="1"/>
  <c r="T39" i="33"/>
  <c r="AV39" i="33" s="1"/>
  <c r="AW39" i="33" s="1"/>
  <c r="BW39" i="33" s="1"/>
  <c r="T39" i="38"/>
  <c r="AV39" i="38" s="1"/>
  <c r="AW39" i="38" s="1"/>
  <c r="BW39" i="38" s="1"/>
  <c r="T39" i="35"/>
  <c r="AV39" i="35" s="1"/>
  <c r="AW39" i="35" s="1"/>
  <c r="BW39" i="35" s="1"/>
  <c r="X39" i="3" s="1"/>
  <c r="Y39" i="3" s="1"/>
  <c r="T39" i="1"/>
  <c r="AV39" i="1" s="1"/>
  <c r="AW39" i="1" s="1"/>
  <c r="BW39" i="1" s="1"/>
  <c r="T39" i="59"/>
  <c r="AV39" i="59" s="1"/>
  <c r="AW39" i="59" s="1"/>
  <c r="BW39" i="59" s="1"/>
  <c r="AA38" i="40"/>
  <c r="AB38" i="40" s="1"/>
  <c r="AA38" i="59"/>
  <c r="AB38" i="59" s="1"/>
  <c r="T39" i="40"/>
  <c r="AV39" i="40" s="1"/>
  <c r="AW39" i="40" s="1"/>
  <c r="BW39" i="40" s="1"/>
  <c r="AA38" i="35"/>
  <c r="AB38" i="35" s="1"/>
  <c r="AB38" i="1"/>
  <c r="S39" i="32"/>
  <c r="V39" i="32"/>
  <c r="E39" i="2"/>
  <c r="AV39" i="54"/>
  <c r="AW39" i="54" s="1"/>
  <c r="BW39" i="54" s="1"/>
  <c r="AA39" i="35"/>
  <c r="AB39" i="35" s="1"/>
  <c r="AA39" i="33"/>
  <c r="AB39" i="33" s="1"/>
  <c r="AA39" i="40"/>
  <c r="AB39" i="40" s="1"/>
  <c r="AA39" i="59"/>
  <c r="AB39" i="59" s="1"/>
  <c r="AA39" i="54"/>
  <c r="AB39" i="54" s="1"/>
  <c r="AB39" i="1"/>
  <c r="AA39" i="38"/>
  <c r="AB39" i="38" s="1"/>
  <c r="S24" i="52"/>
  <c r="T24" i="52"/>
  <c r="A203" i="56"/>
  <c r="I26" i="52"/>
  <c r="Q26" i="52"/>
  <c r="R26" i="52" s="1"/>
  <c r="J26" i="52"/>
  <c r="K26" i="52"/>
  <c r="X24" i="52"/>
  <c r="AB24" i="52"/>
  <c r="AC24" i="52" s="1"/>
  <c r="AH23" i="52"/>
  <c r="AK26" i="52"/>
  <c r="AL26" i="52"/>
  <c r="Y22" i="52"/>
  <c r="Z23" i="52"/>
  <c r="Y23" i="52"/>
  <c r="U25" i="52"/>
  <c r="V25" i="52" s="1"/>
  <c r="Z22" i="52"/>
  <c r="AR19" i="52"/>
  <c r="AN20" i="52"/>
  <c r="AR20" i="52" s="1"/>
  <c r="AW24" i="52"/>
  <c r="AX24" i="52"/>
  <c r="AY24" i="52"/>
  <c r="AZ24" i="52"/>
  <c r="AV24" i="52"/>
  <c r="AF22" i="52"/>
  <c r="AG22" i="52" s="1"/>
  <c r="AM22" i="52" s="1"/>
  <c r="AD23" i="52"/>
  <c r="AE23" i="52" s="1"/>
  <c r="AO25" i="52"/>
  <c r="AQ25" i="52" s="1"/>
  <c r="L25" i="52"/>
  <c r="M25" i="52" s="1"/>
  <c r="P25" i="52" s="1"/>
  <c r="S25" i="52" s="1"/>
  <c r="AJ27" i="52"/>
  <c r="E28" i="52"/>
  <c r="F27" i="52"/>
  <c r="G27" i="52" s="1"/>
  <c r="AH22" i="52"/>
  <c r="N25" i="52" l="1"/>
  <c r="O25" i="52" s="1"/>
  <c r="BX39" i="59"/>
  <c r="BX39" i="35"/>
  <c r="BX39" i="38"/>
  <c r="BX39" i="54"/>
  <c r="BX39" i="40"/>
  <c r="BX39" i="33"/>
  <c r="BX39" i="1"/>
  <c r="AK27" i="52"/>
  <c r="AL27" i="52"/>
  <c r="L26" i="52"/>
  <c r="N26" i="52" s="1"/>
  <c r="O26" i="52" s="1"/>
  <c r="AU20" i="52"/>
  <c r="AS20" i="52"/>
  <c r="AT20" i="52"/>
  <c r="AO26" i="52"/>
  <c r="AQ26" i="52" s="1"/>
  <c r="U26" i="52"/>
  <c r="V26" i="52" s="1"/>
  <c r="M26" i="52"/>
  <c r="P26" i="52" s="1"/>
  <c r="S26" i="52" s="1"/>
  <c r="AX25" i="52"/>
  <c r="AV25" i="52"/>
  <c r="AW25" i="52"/>
  <c r="AY25" i="52"/>
  <c r="AZ25" i="52"/>
  <c r="X25" i="52"/>
  <c r="AB25" i="52"/>
  <c r="AC25" i="52" s="1"/>
  <c r="T25" i="52"/>
  <c r="AN21" i="52"/>
  <c r="AR21" i="52" s="1"/>
  <c r="AU19" i="52"/>
  <c r="AS19" i="52"/>
  <c r="AT19" i="52"/>
  <c r="J27" i="52"/>
  <c r="Q27" i="52"/>
  <c r="R27" i="52" s="1"/>
  <c r="I27" i="52"/>
  <c r="K27" i="52"/>
  <c r="AJ28" i="52"/>
  <c r="E29" i="52"/>
  <c r="F28" i="52"/>
  <c r="G28" i="52" s="1"/>
  <c r="AF23" i="52"/>
  <c r="AG23" i="52" s="1"/>
  <c r="AM23" i="52" s="1"/>
  <c r="W24" i="52"/>
  <c r="AA24" i="52" s="1"/>
  <c r="AD24" i="52"/>
  <c r="AE24" i="52" s="1"/>
  <c r="AN22" i="52" l="1"/>
  <c r="AR22" i="52" s="1"/>
  <c r="AU22" i="52" s="1"/>
  <c r="AN23" i="52"/>
  <c r="AR23" i="52" s="1"/>
  <c r="AU23" i="52" s="1"/>
  <c r="U27" i="52"/>
  <c r="V27" i="52" s="1"/>
  <c r="L27" i="52"/>
  <c r="M27" i="52" s="1"/>
  <c r="P27" i="52" s="1"/>
  <c r="K28" i="52"/>
  <c r="Q28" i="52"/>
  <c r="R28" i="52" s="1"/>
  <c r="J28" i="52"/>
  <c r="I28" i="52"/>
  <c r="AT21" i="52"/>
  <c r="AU21" i="52"/>
  <c r="AS21" i="52"/>
  <c r="X26" i="52"/>
  <c r="AB26" i="52"/>
  <c r="AC26" i="52" s="1"/>
  <c r="Y24" i="52"/>
  <c r="AH24" i="52"/>
  <c r="AO27" i="52"/>
  <c r="AQ27" i="52" s="1"/>
  <c r="AF24" i="52"/>
  <c r="AG24" i="52" s="1"/>
  <c r="AM24" i="52" s="1"/>
  <c r="AN24" i="52" s="1"/>
  <c r="AR24" i="52" s="1"/>
  <c r="AJ29" i="52"/>
  <c r="F29" i="52"/>
  <c r="G29" i="52" s="1"/>
  <c r="E30" i="52"/>
  <c r="T26" i="52"/>
  <c r="AK28" i="52"/>
  <c r="AL28" i="52"/>
  <c r="Z24" i="52"/>
  <c r="AD25" i="52"/>
  <c r="AE25" i="52" s="1"/>
  <c r="W25" i="52"/>
  <c r="AA25" i="52" s="1"/>
  <c r="AY26" i="52"/>
  <c r="AV26" i="52"/>
  <c r="AZ26" i="52"/>
  <c r="AW26" i="52"/>
  <c r="AX26" i="52"/>
  <c r="AT23" i="52" l="1"/>
  <c r="AS22" i="52"/>
  <c r="AT22" i="52"/>
  <c r="AS23" i="52"/>
  <c r="Z25" i="52"/>
  <c r="S27" i="52"/>
  <c r="T27" i="52"/>
  <c r="E31" i="52"/>
  <c r="F30" i="52"/>
  <c r="G30" i="52" s="1"/>
  <c r="AJ30" i="52"/>
  <c r="AO28" i="52"/>
  <c r="AQ28" i="52" s="1"/>
  <c r="AU24" i="52"/>
  <c r="AT24" i="52"/>
  <c r="AS24" i="52"/>
  <c r="AH25" i="52"/>
  <c r="W26" i="52"/>
  <c r="AA26" i="52" s="1"/>
  <c r="AD26" i="52"/>
  <c r="AE26" i="52" s="1"/>
  <c r="AZ27" i="52"/>
  <c r="AY27" i="52"/>
  <c r="AW27" i="52"/>
  <c r="AV27" i="52"/>
  <c r="AX27" i="52"/>
  <c r="N27" i="52"/>
  <c r="O27" i="52" s="1"/>
  <c r="J29" i="52"/>
  <c r="Q29" i="52"/>
  <c r="R29" i="52" s="1"/>
  <c r="I29" i="52"/>
  <c r="K29" i="52"/>
  <c r="Y25" i="52"/>
  <c r="AF25" i="52"/>
  <c r="AG25" i="52" s="1"/>
  <c r="AM25" i="52" s="1"/>
  <c r="AN25" i="52" s="1"/>
  <c r="AR25" i="52" s="1"/>
  <c r="AK29" i="52"/>
  <c r="AL29" i="52"/>
  <c r="L28" i="52"/>
  <c r="M28" i="52" s="1"/>
  <c r="P28" i="52" s="1"/>
  <c r="N28" i="52"/>
  <c r="O28" i="52" s="1"/>
  <c r="X27" i="52"/>
  <c r="AB27" i="52"/>
  <c r="AC27" i="52" s="1"/>
  <c r="Z26" i="52"/>
  <c r="U28" i="52"/>
  <c r="V28" i="52" s="1"/>
  <c r="AS25" i="52" l="1"/>
  <c r="AT25" i="52"/>
  <c r="AU25" i="52"/>
  <c r="S28" i="52"/>
  <c r="T28" i="52"/>
  <c r="L29" i="52"/>
  <c r="N29" i="52" s="1"/>
  <c r="O29" i="52" s="1"/>
  <c r="Y26" i="52"/>
  <c r="AX28" i="52"/>
  <c r="AY28" i="52"/>
  <c r="AZ28" i="52"/>
  <c r="AW28" i="52"/>
  <c r="AV28" i="52"/>
  <c r="AF26" i="52"/>
  <c r="AG26" i="52" s="1"/>
  <c r="AM26" i="52" s="1"/>
  <c r="AN26" i="52" s="1"/>
  <c r="AR26" i="52" s="1"/>
  <c r="AO29" i="52"/>
  <c r="AQ29" i="52" s="1"/>
  <c r="J30" i="52"/>
  <c r="K30" i="52"/>
  <c r="Q30" i="52"/>
  <c r="R30" i="52" s="1"/>
  <c r="I30" i="52"/>
  <c r="AH26" i="52"/>
  <c r="E32" i="52"/>
  <c r="AJ31" i="52"/>
  <c r="F31" i="52"/>
  <c r="G31" i="52" s="1"/>
  <c r="AL30" i="52"/>
  <c r="AK30" i="52"/>
  <c r="X28" i="52"/>
  <c r="AB28" i="52"/>
  <c r="AC28" i="52" s="1"/>
  <c r="U29" i="52"/>
  <c r="V29" i="52" s="1"/>
  <c r="W27" i="52"/>
  <c r="AA27" i="52" s="1"/>
  <c r="AD27" i="52"/>
  <c r="AE27" i="52" s="1"/>
  <c r="M29" i="52" l="1"/>
  <c r="P29" i="52" s="1"/>
  <c r="S29" i="52" s="1"/>
  <c r="AH27" i="52"/>
  <c r="AT26" i="52"/>
  <c r="AU26" i="52"/>
  <c r="AS26" i="52"/>
  <c r="AK31" i="52"/>
  <c r="AL31" i="52"/>
  <c r="X29" i="52"/>
  <c r="AB29" i="52"/>
  <c r="AC29" i="52" s="1"/>
  <c r="AJ32" i="52"/>
  <c r="E33" i="52"/>
  <c r="F32" i="52"/>
  <c r="G32" i="52" s="1"/>
  <c r="L30" i="52"/>
  <c r="N30" i="52" s="1"/>
  <c r="O30" i="52" s="1"/>
  <c r="T29" i="52"/>
  <c r="Y27" i="52"/>
  <c r="Z27" i="52"/>
  <c r="AD28" i="52"/>
  <c r="AE28" i="52" s="1"/>
  <c r="W28" i="52"/>
  <c r="AA28" i="52" s="1"/>
  <c r="AY29" i="52"/>
  <c r="AZ29" i="52"/>
  <c r="AV29" i="52"/>
  <c r="AX29" i="52"/>
  <c r="AW29" i="52"/>
  <c r="AO30" i="52"/>
  <c r="AQ30" i="52" s="1"/>
  <c r="AH28" i="52"/>
  <c r="AF27" i="52"/>
  <c r="AG27" i="52" s="1"/>
  <c r="AM27" i="52" s="1"/>
  <c r="AN27" i="52" s="1"/>
  <c r="AR27" i="52" s="1"/>
  <c r="I31" i="52"/>
  <c r="J31" i="52"/>
  <c r="K31" i="52"/>
  <c r="Q31" i="52"/>
  <c r="R31" i="52" s="1"/>
  <c r="U30" i="52"/>
  <c r="V30" i="52" s="1"/>
  <c r="Z28" i="52" l="1"/>
  <c r="Y28" i="52"/>
  <c r="AU27" i="52"/>
  <c r="AS27" i="52"/>
  <c r="AT27" i="52"/>
  <c r="U31" i="52"/>
  <c r="V31" i="52" s="1"/>
  <c r="W29" i="52"/>
  <c r="AA29" i="52" s="1"/>
  <c r="AD29" i="52"/>
  <c r="AE29" i="52" s="1"/>
  <c r="Y29" i="52"/>
  <c r="X30" i="52"/>
  <c r="AB30" i="52"/>
  <c r="AC30" i="52" s="1"/>
  <c r="M30" i="52"/>
  <c r="P30" i="52" s="1"/>
  <c r="AW30" i="52"/>
  <c r="AX30" i="52"/>
  <c r="AV30" i="52"/>
  <c r="AZ30" i="52"/>
  <c r="AY30" i="52"/>
  <c r="Q32" i="52"/>
  <c r="R32" i="52" s="1"/>
  <c r="I32" i="52"/>
  <c r="J32" i="52"/>
  <c r="K32" i="52"/>
  <c r="AK32" i="52"/>
  <c r="AL32" i="52"/>
  <c r="L31" i="52"/>
  <c r="M31" i="52" s="1"/>
  <c r="P31" i="52" s="1"/>
  <c r="AO31" i="52"/>
  <c r="AQ31" i="52" s="1"/>
  <c r="AF28" i="52"/>
  <c r="AG28" i="52" s="1"/>
  <c r="AM28" i="52" s="1"/>
  <c r="AN28" i="52" s="1"/>
  <c r="AR28" i="52" s="1"/>
  <c r="AJ33" i="52"/>
  <c r="E34" i="52"/>
  <c r="F33" i="52"/>
  <c r="G33" i="52" s="1"/>
  <c r="N31" i="52" l="1"/>
  <c r="O31" i="52" s="1"/>
  <c r="AT28" i="52"/>
  <c r="AU28" i="52"/>
  <c r="AS28" i="52"/>
  <c r="S31" i="52"/>
  <c r="T31" i="52"/>
  <c r="AV31" i="52"/>
  <c r="AW31" i="52"/>
  <c r="AY31" i="52"/>
  <c r="AZ31" i="52"/>
  <c r="AX31" i="52"/>
  <c r="AF29" i="52"/>
  <c r="AG29" i="52"/>
  <c r="AM29" i="52" s="1"/>
  <c r="AN29" i="52" s="1"/>
  <c r="AR29" i="52" s="1"/>
  <c r="Q33" i="52"/>
  <c r="R33" i="52" s="1"/>
  <c r="J33" i="52"/>
  <c r="K33" i="52"/>
  <c r="I33" i="52"/>
  <c r="X31" i="52"/>
  <c r="AB31" i="52"/>
  <c r="AC31" i="52" s="1"/>
  <c r="F34" i="52"/>
  <c r="G34" i="52" s="1"/>
  <c r="AJ34" i="52"/>
  <c r="E35" i="52"/>
  <c r="AK33" i="52"/>
  <c r="AL33" i="52"/>
  <c r="U32" i="52"/>
  <c r="V32" i="52" s="1"/>
  <c r="S30" i="52"/>
  <c r="T30" i="52"/>
  <c r="AO32" i="52"/>
  <c r="AQ32" i="52" s="1"/>
  <c r="AH29" i="52"/>
  <c r="L32" i="52"/>
  <c r="N32" i="52" s="1"/>
  <c r="O32" i="52" s="1"/>
  <c r="Z29" i="52"/>
  <c r="I34" i="52" l="1"/>
  <c r="Q34" i="52"/>
  <c r="R34" i="52" s="1"/>
  <c r="K34" i="52"/>
  <c r="J34" i="52"/>
  <c r="AU29" i="52"/>
  <c r="AS29" i="52"/>
  <c r="AT29" i="52"/>
  <c r="AD31" i="52"/>
  <c r="AE31" i="52" s="1"/>
  <c r="W31" i="52"/>
  <c r="AA31" i="52" s="1"/>
  <c r="M32" i="52"/>
  <c r="P32" i="52" s="1"/>
  <c r="AD30" i="52"/>
  <c r="W30" i="52"/>
  <c r="AJ35" i="52"/>
  <c r="E36" i="52"/>
  <c r="F35" i="52"/>
  <c r="G35" i="52" s="1"/>
  <c r="X32" i="52"/>
  <c r="AB32" i="52"/>
  <c r="AC32" i="52" s="1"/>
  <c r="U33" i="52"/>
  <c r="V33" i="52" s="1"/>
  <c r="AW32" i="52"/>
  <c r="AZ32" i="52"/>
  <c r="AV32" i="52"/>
  <c r="AY32" i="52"/>
  <c r="AX32" i="52"/>
  <c r="AO33" i="52"/>
  <c r="AQ33" i="52" s="1"/>
  <c r="AL34" i="52"/>
  <c r="AK34" i="52"/>
  <c r="L33" i="52"/>
  <c r="M33" i="52" s="1"/>
  <c r="P33" i="52" s="1"/>
  <c r="N33" i="52"/>
  <c r="O33" i="52" s="1"/>
  <c r="Z31" i="52" l="1"/>
  <c r="Y31" i="52"/>
  <c r="S33" i="52"/>
  <c r="T33" i="52"/>
  <c r="X33" i="52"/>
  <c r="AB33" i="52"/>
  <c r="AC33" i="52" s="1"/>
  <c r="AO34" i="52"/>
  <c r="AQ34" i="52" s="1"/>
  <c r="L34" i="52"/>
  <c r="M34" i="52" s="1"/>
  <c r="P34" i="52" s="1"/>
  <c r="AE30" i="52"/>
  <c r="AH30" i="52"/>
  <c r="AG31" i="52"/>
  <c r="AM31" i="52" s="1"/>
  <c r="AF31" i="52"/>
  <c r="J35" i="52"/>
  <c r="I35" i="52"/>
  <c r="K35" i="52"/>
  <c r="Q35" i="52"/>
  <c r="R35" i="52" s="1"/>
  <c r="S32" i="52"/>
  <c r="T32" i="52"/>
  <c r="U34" i="52"/>
  <c r="V34" i="52" s="1"/>
  <c r="AH31" i="52"/>
  <c r="AK35" i="52"/>
  <c r="AL35" i="52"/>
  <c r="AA30" i="52"/>
  <c r="Z30" i="52"/>
  <c r="Y30" i="52"/>
  <c r="AX33" i="52"/>
  <c r="AY33" i="52"/>
  <c r="AW33" i="52"/>
  <c r="AZ33" i="52"/>
  <c r="AV33" i="52"/>
  <c r="AJ36" i="52"/>
  <c r="E37" i="52"/>
  <c r="F36" i="52"/>
  <c r="G36" i="52" s="1"/>
  <c r="N34" i="52" l="1"/>
  <c r="O34" i="52" s="1"/>
  <c r="S34" i="52"/>
  <c r="T34" i="52"/>
  <c r="L35" i="52"/>
  <c r="N35" i="52" s="1"/>
  <c r="O35" i="52" s="1"/>
  <c r="AJ37" i="52"/>
  <c r="F37" i="52"/>
  <c r="G37" i="52" s="1"/>
  <c r="E38" i="52"/>
  <c r="X34" i="52"/>
  <c r="AB34" i="52"/>
  <c r="AC34" i="52" s="1"/>
  <c r="AK36" i="52"/>
  <c r="AL36" i="52"/>
  <c r="W32" i="52"/>
  <c r="AD32" i="52"/>
  <c r="U35" i="52"/>
  <c r="V35" i="52" s="1"/>
  <c r="AO35" i="52"/>
  <c r="AQ35" i="52" s="1"/>
  <c r="AF30" i="52"/>
  <c r="AG30" i="52" s="1"/>
  <c r="AM30" i="52" s="1"/>
  <c r="AN30" i="52" s="1"/>
  <c r="AY34" i="52"/>
  <c r="AW34" i="52"/>
  <c r="AV34" i="52"/>
  <c r="AX34" i="52"/>
  <c r="AZ34" i="52"/>
  <c r="J36" i="52"/>
  <c r="K36" i="52"/>
  <c r="Q36" i="52"/>
  <c r="R36" i="52" s="1"/>
  <c r="I36" i="52"/>
  <c r="M35" i="52"/>
  <c r="P35" i="52" s="1"/>
  <c r="S35" i="52" s="1"/>
  <c r="AD33" i="52"/>
  <c r="AE33" i="52" s="1"/>
  <c r="W33" i="52"/>
  <c r="AA33" i="52" s="1"/>
  <c r="AR30" i="52" l="1"/>
  <c r="AS30" i="52" s="1"/>
  <c r="AN31" i="52"/>
  <c r="AR31" i="52" s="1"/>
  <c r="AT31" i="52" s="1"/>
  <c r="AH33" i="52"/>
  <c r="Z33" i="52"/>
  <c r="T35" i="52"/>
  <c r="E39" i="52"/>
  <c r="F38" i="52"/>
  <c r="G38" i="52" s="1"/>
  <c r="AJ38" i="52"/>
  <c r="AF33" i="52"/>
  <c r="AG33" i="52" s="1"/>
  <c r="AM33" i="52" s="1"/>
  <c r="Y33" i="52"/>
  <c r="X35" i="52"/>
  <c r="AB35" i="52"/>
  <c r="AC35" i="52" s="1"/>
  <c r="K37" i="52"/>
  <c r="I37" i="52"/>
  <c r="J37" i="52"/>
  <c r="Q37" i="52"/>
  <c r="R37" i="52" s="1"/>
  <c r="AA32" i="52"/>
  <c r="Z32" i="52"/>
  <c r="Y32" i="52"/>
  <c r="AK37" i="52"/>
  <c r="AL37" i="52"/>
  <c r="AO36" i="52"/>
  <c r="AQ36" i="52" s="1"/>
  <c r="AE32" i="52"/>
  <c r="AH32" i="52"/>
  <c r="U36" i="52"/>
  <c r="V36" i="52" s="1"/>
  <c r="L36" i="52"/>
  <c r="N36" i="52" s="1"/>
  <c r="O36" i="52" s="1"/>
  <c r="AX35" i="52"/>
  <c r="AY35" i="52"/>
  <c r="AV35" i="52"/>
  <c r="AW35" i="52"/>
  <c r="AZ35" i="52"/>
  <c r="W34" i="52"/>
  <c r="AA34" i="52" s="1"/>
  <c r="AD34" i="52"/>
  <c r="AE34" i="52" s="1"/>
  <c r="AU30" i="52" l="1"/>
  <c r="AS31" i="52"/>
  <c r="AT30" i="52"/>
  <c r="AU31" i="52"/>
  <c r="AF34" i="52"/>
  <c r="AG34" i="52" s="1"/>
  <c r="AM34" i="52" s="1"/>
  <c r="AF32" i="52"/>
  <c r="AG32" i="52"/>
  <c r="AM32" i="52" s="1"/>
  <c r="AN32" i="52" s="1"/>
  <c r="AR32" i="52" s="1"/>
  <c r="L37" i="52"/>
  <c r="M37" i="52" s="1"/>
  <c r="P37" i="52" s="1"/>
  <c r="AK38" i="52"/>
  <c r="AL38" i="52"/>
  <c r="Z34" i="52"/>
  <c r="I38" i="52"/>
  <c r="Q38" i="52"/>
  <c r="R38" i="52" s="1"/>
  <c r="K38" i="52"/>
  <c r="J38" i="52"/>
  <c r="AH34" i="52"/>
  <c r="Y34" i="52"/>
  <c r="E40" i="52"/>
  <c r="AJ39" i="52"/>
  <c r="F39" i="52"/>
  <c r="G39" i="52" s="1"/>
  <c r="M36" i="52"/>
  <c r="P36" i="52" s="1"/>
  <c r="AZ36" i="52"/>
  <c r="AW36" i="52"/>
  <c r="AX36" i="52"/>
  <c r="AV36" i="52"/>
  <c r="AY36" i="52"/>
  <c r="X36" i="52"/>
  <c r="AB36" i="52"/>
  <c r="AC36" i="52" s="1"/>
  <c r="AO37" i="52"/>
  <c r="AQ37" i="52" s="1"/>
  <c r="AD35" i="52"/>
  <c r="AE35" i="52" s="1"/>
  <c r="W35" i="52"/>
  <c r="AA35" i="52" s="1"/>
  <c r="U37" i="52"/>
  <c r="V37" i="52" s="1"/>
  <c r="Y35" i="52" l="1"/>
  <c r="AH35" i="52"/>
  <c r="AN33" i="52"/>
  <c r="AR33" i="52" s="1"/>
  <c r="S37" i="52"/>
  <c r="T37" i="52"/>
  <c r="Z35" i="52"/>
  <c r="AF35" i="52"/>
  <c r="AG35" i="52"/>
  <c r="AM35" i="52" s="1"/>
  <c r="AN35" i="52" s="1"/>
  <c r="AR35" i="52" s="1"/>
  <c r="S36" i="52"/>
  <c r="T36" i="52"/>
  <c r="L38" i="52"/>
  <c r="M38" i="52" s="1"/>
  <c r="P38" i="52" s="1"/>
  <c r="N38" i="52"/>
  <c r="O38" i="52" s="1"/>
  <c r="N37" i="52"/>
  <c r="O37" i="52" s="1"/>
  <c r="J39" i="52"/>
  <c r="I39" i="52"/>
  <c r="K39" i="52"/>
  <c r="Q39" i="52"/>
  <c r="R39" i="52" s="1"/>
  <c r="U38" i="52"/>
  <c r="V38" i="52" s="1"/>
  <c r="AS32" i="52"/>
  <c r="AT32" i="52"/>
  <c r="AU32" i="52"/>
  <c r="AX37" i="52"/>
  <c r="AW37" i="52"/>
  <c r="AY37" i="52"/>
  <c r="AV37" i="52"/>
  <c r="AZ37" i="52"/>
  <c r="AJ40" i="52"/>
  <c r="E41" i="52"/>
  <c r="F40" i="52"/>
  <c r="G40" i="52" s="1"/>
  <c r="AO38" i="52"/>
  <c r="AQ38" i="52" s="1"/>
  <c r="AL39" i="52"/>
  <c r="AK39" i="52"/>
  <c r="X37" i="52"/>
  <c r="AB37" i="52"/>
  <c r="AC37" i="52" s="1"/>
  <c r="AN34" i="52"/>
  <c r="AR34" i="52" s="1"/>
  <c r="AU33" i="52"/>
  <c r="AS33" i="52"/>
  <c r="AT33" i="52"/>
  <c r="S38" i="52" l="1"/>
  <c r="T38" i="52"/>
  <c r="AJ41" i="52"/>
  <c r="E42" i="52"/>
  <c r="F41" i="52"/>
  <c r="G41" i="52" s="1"/>
  <c r="AK40" i="52"/>
  <c r="AL40" i="52"/>
  <c r="W36" i="52"/>
  <c r="AD36" i="52"/>
  <c r="AO39" i="52"/>
  <c r="AQ39" i="52" s="1"/>
  <c r="AY38" i="52"/>
  <c r="AZ38" i="52"/>
  <c r="AV38" i="52"/>
  <c r="AW38" i="52"/>
  <c r="AX38" i="52"/>
  <c r="AT34" i="52"/>
  <c r="AS34" i="52"/>
  <c r="AU34" i="52"/>
  <c r="L39" i="52"/>
  <c r="M39" i="52" s="1"/>
  <c r="P39" i="52" s="1"/>
  <c r="X38" i="52"/>
  <c r="AB38" i="52"/>
  <c r="AC38" i="52" s="1"/>
  <c r="U39" i="52"/>
  <c r="V39" i="52" s="1"/>
  <c r="AU35" i="52"/>
  <c r="AT35" i="52"/>
  <c r="AS35" i="52"/>
  <c r="K40" i="52"/>
  <c r="J40" i="52"/>
  <c r="Q40" i="52"/>
  <c r="R40" i="52" s="1"/>
  <c r="I40" i="52"/>
  <c r="W37" i="52"/>
  <c r="AA37" i="52" s="1"/>
  <c r="AD37" i="52"/>
  <c r="AE37" i="52" s="1"/>
  <c r="Z37" i="52" l="1"/>
  <c r="S39" i="52"/>
  <c r="T39" i="52"/>
  <c r="L40" i="52"/>
  <c r="M40" i="52" s="1"/>
  <c r="P40" i="52" s="1"/>
  <c r="AV39" i="52"/>
  <c r="AZ39" i="52"/>
  <c r="AX39" i="52"/>
  <c r="AY39" i="52"/>
  <c r="AW39" i="52"/>
  <c r="J41" i="52"/>
  <c r="K41" i="52"/>
  <c r="Q41" i="52"/>
  <c r="R41" i="52" s="1"/>
  <c r="I41" i="52"/>
  <c r="AJ42" i="52"/>
  <c r="E43" i="52"/>
  <c r="F42" i="52"/>
  <c r="G42" i="52" s="1"/>
  <c r="AA36" i="52"/>
  <c r="Y36" i="52"/>
  <c r="Z36" i="52"/>
  <c r="AL41" i="52"/>
  <c r="AK41" i="52"/>
  <c r="AF37" i="52"/>
  <c r="AG37" i="52" s="1"/>
  <c r="AM37" i="52" s="1"/>
  <c r="AO40" i="52"/>
  <c r="AQ40" i="52" s="1"/>
  <c r="AH37" i="52"/>
  <c r="AE36" i="52"/>
  <c r="AH36" i="52"/>
  <c r="W38" i="52"/>
  <c r="AA38" i="52" s="1"/>
  <c r="AD38" i="52"/>
  <c r="AE38" i="52" s="1"/>
  <c r="U40" i="52"/>
  <c r="V40" i="52" s="1"/>
  <c r="Y38" i="52"/>
  <c r="Z38" i="52"/>
  <c r="N39" i="52"/>
  <c r="O39" i="52" s="1"/>
  <c r="X39" i="52"/>
  <c r="AB39" i="52"/>
  <c r="AC39" i="52" s="1"/>
  <c r="Y37" i="52"/>
  <c r="AH38" i="52" l="1"/>
  <c r="S40" i="52"/>
  <c r="T40" i="52"/>
  <c r="U41" i="52"/>
  <c r="V41" i="52" s="1"/>
  <c r="AV40" i="52"/>
  <c r="AW40" i="52"/>
  <c r="AX40" i="52"/>
  <c r="AY40" i="52"/>
  <c r="AZ40" i="52"/>
  <c r="AF38" i="52"/>
  <c r="AG38" i="52" s="1"/>
  <c r="AM38" i="52" s="1"/>
  <c r="AK42" i="52"/>
  <c r="AL42" i="52"/>
  <c r="N40" i="52"/>
  <c r="O40" i="52" s="1"/>
  <c r="AD39" i="52"/>
  <c r="AE39" i="52" s="1"/>
  <c r="W39" i="52"/>
  <c r="AA39" i="52" s="1"/>
  <c r="X40" i="52"/>
  <c r="AB40" i="52"/>
  <c r="AC40" i="52" s="1"/>
  <c r="I42" i="52"/>
  <c r="J42" i="52"/>
  <c r="Q42" i="52"/>
  <c r="R42" i="52" s="1"/>
  <c r="K42" i="52"/>
  <c r="L41" i="52"/>
  <c r="M41" i="52" s="1"/>
  <c r="P41" i="52" s="1"/>
  <c r="E44" i="52"/>
  <c r="AJ43" i="52"/>
  <c r="F43" i="52"/>
  <c r="G43" i="52" s="1"/>
  <c r="AF36" i="52"/>
  <c r="AG36" i="52" s="1"/>
  <c r="AM36" i="52" s="1"/>
  <c r="AN36" i="52" s="1"/>
  <c r="AO41" i="52"/>
  <c r="AQ41" i="52" s="1"/>
  <c r="N41" i="52" l="1"/>
  <c r="O41" i="52" s="1"/>
  <c r="Y39" i="52"/>
  <c r="Z39" i="52"/>
  <c r="S41" i="52"/>
  <c r="T41" i="52"/>
  <c r="AR36" i="52"/>
  <c r="AN37" i="52"/>
  <c r="AR37" i="52" s="1"/>
  <c r="AV41" i="52"/>
  <c r="AW41" i="52"/>
  <c r="AZ41" i="52"/>
  <c r="AX41" i="52"/>
  <c r="AY41" i="52"/>
  <c r="X41" i="52"/>
  <c r="AB41" i="52"/>
  <c r="AC41" i="52" s="1"/>
  <c r="AL43" i="52"/>
  <c r="AK43" i="52"/>
  <c r="AO42" i="52"/>
  <c r="AQ42" i="52" s="1"/>
  <c r="AF39" i="52"/>
  <c r="AG39" i="52" s="1"/>
  <c r="AM39" i="52" s="1"/>
  <c r="I43" i="52"/>
  <c r="Q43" i="52"/>
  <c r="R43" i="52" s="1"/>
  <c r="K43" i="52"/>
  <c r="J43" i="52"/>
  <c r="U42" i="52"/>
  <c r="V42" i="52" s="1"/>
  <c r="AH39" i="52"/>
  <c r="L42" i="52"/>
  <c r="N42" i="52" s="1"/>
  <c r="O42" i="52" s="1"/>
  <c r="E45" i="52"/>
  <c r="AJ44" i="52"/>
  <c r="F44" i="52"/>
  <c r="G44" i="52" s="1"/>
  <c r="AD40" i="52"/>
  <c r="AE40" i="52" s="1"/>
  <c r="W40" i="52"/>
  <c r="AA40" i="52" s="1"/>
  <c r="M42" i="52" l="1"/>
  <c r="P42" i="52" s="1"/>
  <c r="S42" i="52" s="1"/>
  <c r="AN38" i="52"/>
  <c r="AR38" i="52" s="1"/>
  <c r="AT38" i="52" s="1"/>
  <c r="AF40" i="52"/>
  <c r="AG40" i="52"/>
  <c r="AM40" i="52" s="1"/>
  <c r="X42" i="52"/>
  <c r="AB42" i="52"/>
  <c r="AC42" i="52" s="1"/>
  <c r="I44" i="52"/>
  <c r="Q44" i="52"/>
  <c r="R44" i="52" s="1"/>
  <c r="J44" i="52"/>
  <c r="K44" i="52"/>
  <c r="AW42" i="52"/>
  <c r="AX42" i="52"/>
  <c r="AV42" i="52"/>
  <c r="AY42" i="52"/>
  <c r="AZ42" i="52"/>
  <c r="Y40" i="52"/>
  <c r="Z40" i="52"/>
  <c r="AJ45" i="52"/>
  <c r="E46" i="52"/>
  <c r="F45" i="52"/>
  <c r="G45" i="52" s="1"/>
  <c r="AH40" i="52"/>
  <c r="AO43" i="52"/>
  <c r="AQ43" i="52" s="1"/>
  <c r="AU37" i="52"/>
  <c r="AS37" i="52"/>
  <c r="AT37" i="52"/>
  <c r="AT36" i="52"/>
  <c r="AU36" i="52"/>
  <c r="AS36" i="52"/>
  <c r="AK44" i="52"/>
  <c r="AL44" i="52"/>
  <c r="L43" i="52"/>
  <c r="M43" i="52" s="1"/>
  <c r="P43" i="52" s="1"/>
  <c r="N43" i="52"/>
  <c r="O43" i="52" s="1"/>
  <c r="U43" i="52"/>
  <c r="V43" i="52" s="1"/>
  <c r="Y41" i="52"/>
  <c r="Z41" i="52"/>
  <c r="AD41" i="52"/>
  <c r="AE41" i="52" s="1"/>
  <c r="W41" i="52"/>
  <c r="AA41" i="52" s="1"/>
  <c r="T42" i="52" l="1"/>
  <c r="AN39" i="52"/>
  <c r="AR39" i="52" s="1"/>
  <c r="AU38" i="52"/>
  <c r="AN40" i="52"/>
  <c r="AR40" i="52" s="1"/>
  <c r="AU40" i="52" s="1"/>
  <c r="AS38" i="52"/>
  <c r="S43" i="52"/>
  <c r="T43" i="52"/>
  <c r="AX43" i="52"/>
  <c r="AY43" i="52"/>
  <c r="AZ43" i="52"/>
  <c r="AV43" i="52"/>
  <c r="AW43" i="52"/>
  <c r="AJ46" i="52"/>
  <c r="F46" i="52"/>
  <c r="G46" i="52" s="1"/>
  <c r="E47" i="52"/>
  <c r="U44" i="52"/>
  <c r="V44" i="52" s="1"/>
  <c r="AK45" i="52"/>
  <c r="AL45" i="52"/>
  <c r="X43" i="52"/>
  <c r="AB43" i="52"/>
  <c r="AC43" i="52" s="1"/>
  <c r="AS40" i="52"/>
  <c r="AT40" i="52"/>
  <c r="AO44" i="52"/>
  <c r="AQ44" i="52" s="1"/>
  <c r="AH41" i="52"/>
  <c r="W42" i="52"/>
  <c r="AA42" i="52" s="1"/>
  <c r="AD42" i="52"/>
  <c r="AE42" i="52" s="1"/>
  <c r="AF41" i="52"/>
  <c r="AG41" i="52" s="1"/>
  <c r="AM41" i="52" s="1"/>
  <c r="AN41" i="52" s="1"/>
  <c r="AR41" i="52" s="1"/>
  <c r="J45" i="52"/>
  <c r="K45" i="52"/>
  <c r="Q45" i="52"/>
  <c r="R45" i="52" s="1"/>
  <c r="I45" i="52"/>
  <c r="L44" i="52"/>
  <c r="M44" i="52" s="1"/>
  <c r="P44" i="52" s="1"/>
  <c r="AT39" i="52" l="1"/>
  <c r="AS39" i="52"/>
  <c r="AU39" i="52"/>
  <c r="AU41" i="52"/>
  <c r="AS41" i="52"/>
  <c r="AT41" i="52"/>
  <c r="S44" i="52"/>
  <c r="T44" i="52"/>
  <c r="AF42" i="52"/>
  <c r="AG42" i="52" s="1"/>
  <c r="AM42" i="52" s="1"/>
  <c r="AN42" i="52" s="1"/>
  <c r="AR42" i="52" s="1"/>
  <c r="E48" i="52"/>
  <c r="F47" i="52"/>
  <c r="G47" i="52" s="1"/>
  <c r="AJ47" i="52"/>
  <c r="K46" i="52"/>
  <c r="J46" i="52"/>
  <c r="Q46" i="52"/>
  <c r="R46" i="52" s="1"/>
  <c r="I46" i="52"/>
  <c r="N44" i="52"/>
  <c r="O44" i="52" s="1"/>
  <c r="AH42" i="52"/>
  <c r="AY44" i="52"/>
  <c r="AZ44" i="52"/>
  <c r="AV44" i="52"/>
  <c r="AX44" i="52"/>
  <c r="AW44" i="52"/>
  <c r="AO45" i="52"/>
  <c r="AQ45" i="52" s="1"/>
  <c r="AK46" i="52"/>
  <c r="AL46" i="52"/>
  <c r="L45" i="52"/>
  <c r="N45" i="52" s="1"/>
  <c r="O45" i="52" s="1"/>
  <c r="Z42" i="52"/>
  <c r="Y42" i="52"/>
  <c r="U45" i="52"/>
  <c r="V45" i="52" s="1"/>
  <c r="X44" i="52"/>
  <c r="AB44" i="52"/>
  <c r="AC44" i="52" s="1"/>
  <c r="W43" i="52"/>
  <c r="AA43" i="52" s="1"/>
  <c r="AD43" i="52"/>
  <c r="AE43" i="52" s="1"/>
  <c r="Y43" i="52" l="1"/>
  <c r="M45" i="52"/>
  <c r="P45" i="52" s="1"/>
  <c r="S45" i="52" s="1"/>
  <c r="AS42" i="52"/>
  <c r="AU42" i="52"/>
  <c r="AT42" i="52"/>
  <c r="L46" i="52"/>
  <c r="N46" i="52" s="1"/>
  <c r="O46" i="52" s="1"/>
  <c r="X45" i="52"/>
  <c r="AB45" i="52"/>
  <c r="AC45" i="52" s="1"/>
  <c r="AH43" i="52"/>
  <c r="AZ45" i="52"/>
  <c r="AW45" i="52"/>
  <c r="AV45" i="52"/>
  <c r="AY45" i="52"/>
  <c r="AX45" i="52"/>
  <c r="Z43" i="52"/>
  <c r="AD44" i="52"/>
  <c r="AE44" i="52" s="1"/>
  <c r="W44" i="52"/>
  <c r="AA44" i="52" s="1"/>
  <c r="I47" i="52"/>
  <c r="Q47" i="52"/>
  <c r="R47" i="52" s="1"/>
  <c r="K47" i="52"/>
  <c r="J47" i="52"/>
  <c r="AF43" i="52"/>
  <c r="AG43" i="52" s="1"/>
  <c r="AM43" i="52" s="1"/>
  <c r="AN43" i="52" s="1"/>
  <c r="AR43" i="52" s="1"/>
  <c r="AK47" i="52"/>
  <c r="AL47" i="52"/>
  <c r="AO46" i="52"/>
  <c r="AQ46" i="52" s="1"/>
  <c r="U46" i="52"/>
  <c r="V46" i="52" s="1"/>
  <c r="E49" i="52"/>
  <c r="AJ48" i="52"/>
  <c r="F48" i="52"/>
  <c r="G48" i="52" s="1"/>
  <c r="Z44" i="52" l="1"/>
  <c r="AH44" i="52"/>
  <c r="T45" i="52"/>
  <c r="J48" i="52"/>
  <c r="Q48" i="52"/>
  <c r="R48" i="52" s="1"/>
  <c r="K48" i="52"/>
  <c r="I48" i="52"/>
  <c r="AL48" i="52"/>
  <c r="AK48" i="52"/>
  <c r="AO47" i="52"/>
  <c r="AQ47" i="52" s="1"/>
  <c r="M46" i="52"/>
  <c r="P46" i="52" s="1"/>
  <c r="AJ49" i="52"/>
  <c r="E50" i="52"/>
  <c r="F49" i="52"/>
  <c r="G49" i="52" s="1"/>
  <c r="AF44" i="52"/>
  <c r="AG44" i="52" s="1"/>
  <c r="AM44" i="52" s="1"/>
  <c r="AN44" i="52" s="1"/>
  <c r="AR44" i="52" s="1"/>
  <c r="L47" i="52"/>
  <c r="M47" i="52" s="1"/>
  <c r="P47" i="52" s="1"/>
  <c r="S47" i="52" s="1"/>
  <c r="N47" i="52"/>
  <c r="O47" i="52" s="1"/>
  <c r="Y44" i="52"/>
  <c r="AS43" i="52"/>
  <c r="AT43" i="52"/>
  <c r="AU43" i="52"/>
  <c r="X46" i="52"/>
  <c r="AB46" i="52"/>
  <c r="AC46" i="52" s="1"/>
  <c r="W45" i="52"/>
  <c r="AA45" i="52" s="1"/>
  <c r="AD45" i="52"/>
  <c r="AE45" i="52" s="1"/>
  <c r="AX46" i="52"/>
  <c r="AY46" i="52"/>
  <c r="AZ46" i="52"/>
  <c r="AV46" i="52"/>
  <c r="AW46" i="52"/>
  <c r="U47" i="52"/>
  <c r="V47" i="52" s="1"/>
  <c r="AS44" i="52" l="1"/>
  <c r="AT44" i="52"/>
  <c r="AU44" i="52"/>
  <c r="K49" i="52"/>
  <c r="I49" i="52"/>
  <c r="Q49" i="52"/>
  <c r="R49" i="52" s="1"/>
  <c r="J49" i="52"/>
  <c r="X47" i="52"/>
  <c r="AB47" i="52"/>
  <c r="AC47" i="52" s="1"/>
  <c r="AJ50" i="52"/>
  <c r="E51" i="52"/>
  <c r="F50" i="52"/>
  <c r="G50" i="52" s="1"/>
  <c r="T47" i="52"/>
  <c r="AO48" i="52"/>
  <c r="AQ48" i="52" s="1"/>
  <c r="AF45" i="52"/>
  <c r="AG45" i="52" s="1"/>
  <c r="AM45" i="52" s="1"/>
  <c r="AN45" i="52" s="1"/>
  <c r="AR45" i="52" s="1"/>
  <c r="AL49" i="52"/>
  <c r="AK49" i="52"/>
  <c r="AH45" i="52"/>
  <c r="Z45" i="52"/>
  <c r="S46" i="52"/>
  <c r="T46" i="52"/>
  <c r="AY47" i="52"/>
  <c r="AW47" i="52"/>
  <c r="AX47" i="52"/>
  <c r="AZ47" i="52"/>
  <c r="AV47" i="52"/>
  <c r="Y45" i="52"/>
  <c r="U48" i="52"/>
  <c r="V48" i="52" s="1"/>
  <c r="L48" i="52"/>
  <c r="N48" i="52" s="1"/>
  <c r="O48" i="52" s="1"/>
  <c r="M48" i="52" l="1"/>
  <c r="P48" i="52" s="1"/>
  <c r="AT45" i="52"/>
  <c r="AS45" i="52"/>
  <c r="AU45" i="52"/>
  <c r="AV48" i="52"/>
  <c r="AZ48" i="52"/>
  <c r="AY48" i="52"/>
  <c r="AX48" i="52"/>
  <c r="AW48" i="52"/>
  <c r="AD47" i="52"/>
  <c r="AE47" i="52" s="1"/>
  <c r="W47" i="52"/>
  <c r="AA47" i="52" s="1"/>
  <c r="AO49" i="52"/>
  <c r="AQ49" i="52" s="1"/>
  <c r="AK50" i="52"/>
  <c r="AL50" i="52"/>
  <c r="W46" i="52"/>
  <c r="AD46" i="52"/>
  <c r="U49" i="52"/>
  <c r="V49" i="52" s="1"/>
  <c r="K50" i="52"/>
  <c r="Q50" i="52"/>
  <c r="R50" i="52" s="1"/>
  <c r="I50" i="52"/>
  <c r="J50" i="52"/>
  <c r="X48" i="52"/>
  <c r="AB48" i="52"/>
  <c r="AC48" i="52" s="1"/>
  <c r="L49" i="52"/>
  <c r="N49" i="52" s="1"/>
  <c r="O49" i="52" s="1"/>
  <c r="E52" i="52"/>
  <c r="AJ51" i="52"/>
  <c r="F51" i="52"/>
  <c r="G51" i="52" s="1"/>
  <c r="AH47" i="52"/>
  <c r="S48" i="52" l="1"/>
  <c r="T48" i="52"/>
  <c r="W48" i="52" s="1"/>
  <c r="AA48" i="52" s="1"/>
  <c r="Z47" i="52"/>
  <c r="Y47" i="52"/>
  <c r="AE46" i="52"/>
  <c r="AH46" i="52"/>
  <c r="I51" i="52"/>
  <c r="Q51" i="52"/>
  <c r="R51" i="52" s="1"/>
  <c r="J51" i="52"/>
  <c r="K51" i="52"/>
  <c r="AO50" i="52"/>
  <c r="AQ50" i="52" s="1"/>
  <c r="F52" i="52"/>
  <c r="G52" i="52" s="1"/>
  <c r="AJ52" i="52"/>
  <c r="E53" i="52"/>
  <c r="U50" i="52"/>
  <c r="V50" i="52" s="1"/>
  <c r="AV49" i="52"/>
  <c r="AW49" i="52"/>
  <c r="AX49" i="52"/>
  <c r="AZ49" i="52"/>
  <c r="AY49" i="52"/>
  <c r="M49" i="52"/>
  <c r="P49" i="52" s="1"/>
  <c r="AA46" i="52"/>
  <c r="Z46" i="52"/>
  <c r="Y46" i="52"/>
  <c r="L50" i="52"/>
  <c r="N50" i="52" s="1"/>
  <c r="O50" i="52" s="1"/>
  <c r="X49" i="52"/>
  <c r="AB49" i="52"/>
  <c r="AC49" i="52" s="1"/>
  <c r="AF47" i="52"/>
  <c r="AG47" i="52" s="1"/>
  <c r="AM47" i="52" s="1"/>
  <c r="AL51" i="52"/>
  <c r="AK51" i="52"/>
  <c r="M50" i="52" l="1"/>
  <c r="P50" i="52" s="1"/>
  <c r="S50" i="52" s="1"/>
  <c r="Z48" i="52"/>
  <c r="AD48" i="52"/>
  <c r="Y48" i="52"/>
  <c r="S49" i="52"/>
  <c r="T49" i="52"/>
  <c r="X50" i="52"/>
  <c r="AB50" i="52"/>
  <c r="AC50" i="52" s="1"/>
  <c r="AO51" i="52"/>
  <c r="AQ51" i="52" s="1"/>
  <c r="T50" i="52"/>
  <c r="L51" i="52"/>
  <c r="N51" i="52" s="1"/>
  <c r="O51" i="52" s="1"/>
  <c r="AW50" i="52"/>
  <c r="AX50" i="52"/>
  <c r="AZ50" i="52"/>
  <c r="AV50" i="52"/>
  <c r="AY50" i="52"/>
  <c r="AK52" i="52"/>
  <c r="AL52" i="52"/>
  <c r="I52" i="52"/>
  <c r="Q52" i="52"/>
  <c r="R52" i="52" s="1"/>
  <c r="J52" i="52"/>
  <c r="K52" i="52"/>
  <c r="AF46" i="52"/>
  <c r="AG46" i="52" s="1"/>
  <c r="AM46" i="52" s="1"/>
  <c r="AN46" i="52" s="1"/>
  <c r="AR46" i="52" s="1"/>
  <c r="U51" i="52"/>
  <c r="V51" i="52" s="1"/>
  <c r="AJ53" i="52"/>
  <c r="E54" i="52"/>
  <c r="F53" i="52"/>
  <c r="G53" i="52" s="1"/>
  <c r="AE48" i="52" l="1"/>
  <c r="AF48" i="52" s="1"/>
  <c r="AG48" i="52" s="1"/>
  <c r="AM48" i="52" s="1"/>
  <c r="AH48" i="52"/>
  <c r="M51" i="52"/>
  <c r="P51" i="52" s="1"/>
  <c r="AN47" i="52"/>
  <c r="AR47" i="52" s="1"/>
  <c r="AT47" i="52" s="1"/>
  <c r="AS47" i="52"/>
  <c r="X51" i="52"/>
  <c r="AB51" i="52"/>
  <c r="AC51" i="52" s="1"/>
  <c r="AX51" i="52"/>
  <c r="AY51" i="52"/>
  <c r="AW51" i="52"/>
  <c r="AZ51" i="52"/>
  <c r="AV51" i="52"/>
  <c r="AO52" i="52"/>
  <c r="AQ52" i="52" s="1"/>
  <c r="J53" i="52"/>
  <c r="K53" i="52"/>
  <c r="I53" i="52"/>
  <c r="Q53" i="52"/>
  <c r="R53" i="52" s="1"/>
  <c r="AJ54" i="52"/>
  <c r="E55" i="52"/>
  <c r="F54" i="52"/>
  <c r="G54" i="52" s="1"/>
  <c r="U52" i="52"/>
  <c r="V52" i="52" s="1"/>
  <c r="AH50" i="52"/>
  <c r="AU46" i="52"/>
  <c r="AS46" i="52"/>
  <c r="AT46" i="52"/>
  <c r="AD49" i="52"/>
  <c r="W49" i="52"/>
  <c r="AK53" i="52"/>
  <c r="AL53" i="52"/>
  <c r="L52" i="52"/>
  <c r="N52" i="52" s="1"/>
  <c r="O52" i="52" s="1"/>
  <c r="W50" i="52"/>
  <c r="AA50" i="52" s="1"/>
  <c r="AD50" i="52"/>
  <c r="AE50" i="52" s="1"/>
  <c r="AU47" i="52" l="1"/>
  <c r="AN48" i="52"/>
  <c r="AR48" i="52" s="1"/>
  <c r="S51" i="52"/>
  <c r="T51" i="52"/>
  <c r="Z50" i="52"/>
  <c r="M52" i="52"/>
  <c r="P52" i="52" s="1"/>
  <c r="AO53" i="52"/>
  <c r="AQ53" i="52" s="1"/>
  <c r="X52" i="52"/>
  <c r="AB52" i="52"/>
  <c r="AC52" i="52" s="1"/>
  <c r="Y50" i="52"/>
  <c r="U53" i="52"/>
  <c r="V53" i="52" s="1"/>
  <c r="AE49" i="52"/>
  <c r="AH49" i="52"/>
  <c r="K54" i="52"/>
  <c r="I54" i="52"/>
  <c r="Q54" i="52"/>
  <c r="R54" i="52" s="1"/>
  <c r="J54" i="52"/>
  <c r="AF50" i="52"/>
  <c r="AG50" i="52"/>
  <c r="AM50" i="52" s="1"/>
  <c r="E56" i="52"/>
  <c r="AJ55" i="52"/>
  <c r="F55" i="52"/>
  <c r="G55" i="52" s="1"/>
  <c r="L53" i="52"/>
  <c r="M53" i="52" s="1"/>
  <c r="P53" i="52" s="1"/>
  <c r="S53" i="52" s="1"/>
  <c r="N53" i="52"/>
  <c r="O53" i="52" s="1"/>
  <c r="AK54" i="52"/>
  <c r="AL54" i="52"/>
  <c r="AA49" i="52"/>
  <c r="Y49" i="52"/>
  <c r="Z49" i="52"/>
  <c r="AS48" i="52"/>
  <c r="AT48" i="52"/>
  <c r="AU48" i="52"/>
  <c r="AY52" i="52"/>
  <c r="AZ52" i="52"/>
  <c r="AV52" i="52"/>
  <c r="AX52" i="52"/>
  <c r="AW52" i="52"/>
  <c r="AD51" i="52" l="1"/>
  <c r="W51" i="52"/>
  <c r="AO54" i="52"/>
  <c r="AQ54" i="52" s="1"/>
  <c r="I55" i="52"/>
  <c r="Q55" i="52"/>
  <c r="R55" i="52" s="1"/>
  <c r="K55" i="52"/>
  <c r="J55" i="52"/>
  <c r="U54" i="52"/>
  <c r="V54" i="52" s="1"/>
  <c r="T53" i="52"/>
  <c r="AZ53" i="52"/>
  <c r="AW53" i="52"/>
  <c r="AX53" i="52"/>
  <c r="AY53" i="52"/>
  <c r="AV53" i="52"/>
  <c r="AF49" i="52"/>
  <c r="AG49" i="52" s="1"/>
  <c r="AM49" i="52" s="1"/>
  <c r="AN49" i="52" s="1"/>
  <c r="AR49" i="52" s="1"/>
  <c r="X53" i="52"/>
  <c r="AB53" i="52"/>
  <c r="AC53" i="52" s="1"/>
  <c r="L54" i="52"/>
  <c r="M54" i="52" s="1"/>
  <c r="P54" i="52" s="1"/>
  <c r="AK55" i="52"/>
  <c r="AL55" i="52"/>
  <c r="E57" i="52"/>
  <c r="F56" i="52"/>
  <c r="G56" i="52" s="1"/>
  <c r="AJ56" i="52"/>
  <c r="S52" i="52"/>
  <c r="T52" i="52"/>
  <c r="AE51" i="52" l="1"/>
  <c r="AF51" i="52" s="1"/>
  <c r="AG51" i="52" s="1"/>
  <c r="AM51" i="52" s="1"/>
  <c r="AH51" i="52"/>
  <c r="N54" i="52"/>
  <c r="O54" i="52" s="1"/>
  <c r="AA51" i="52"/>
  <c r="Y51" i="52"/>
  <c r="Z51" i="52"/>
  <c r="S54" i="52"/>
  <c r="T54" i="52"/>
  <c r="AD52" i="52"/>
  <c r="W52" i="52"/>
  <c r="J56" i="52"/>
  <c r="I56" i="52"/>
  <c r="K56" i="52"/>
  <c r="Q56" i="52"/>
  <c r="R56" i="52" s="1"/>
  <c r="L55" i="52"/>
  <c r="N55" i="52" s="1"/>
  <c r="O55" i="52" s="1"/>
  <c r="AJ57" i="52"/>
  <c r="E58" i="52"/>
  <c r="F57" i="52"/>
  <c r="G57" i="52" s="1"/>
  <c r="U55" i="52"/>
  <c r="V55" i="52" s="1"/>
  <c r="AO55" i="52"/>
  <c r="AQ55" i="52" s="1"/>
  <c r="W53" i="52"/>
  <c r="AA53" i="52" s="1"/>
  <c r="AD53" i="52"/>
  <c r="AE53" i="52" s="1"/>
  <c r="AL56" i="52"/>
  <c r="AK56" i="52"/>
  <c r="X54" i="52"/>
  <c r="AB54" i="52"/>
  <c r="AC54" i="52" s="1"/>
  <c r="AS49" i="52"/>
  <c r="AU49" i="52"/>
  <c r="AT49" i="52"/>
  <c r="AN50" i="52"/>
  <c r="AX54" i="52"/>
  <c r="AW54" i="52"/>
  <c r="AV54" i="52"/>
  <c r="AY54" i="52"/>
  <c r="AZ54" i="52"/>
  <c r="M55" i="52" l="1"/>
  <c r="P55" i="52" s="1"/>
  <c r="S55" i="52" s="1"/>
  <c r="Z53" i="52"/>
  <c r="K57" i="52"/>
  <c r="J57" i="52"/>
  <c r="I57" i="52"/>
  <c r="Q57" i="52"/>
  <c r="R57" i="52" s="1"/>
  <c r="AY55" i="52"/>
  <c r="AZ55" i="52"/>
  <c r="AW55" i="52"/>
  <c r="AX55" i="52"/>
  <c r="AV55" i="52"/>
  <c r="E59" i="52"/>
  <c r="AJ58" i="52"/>
  <c r="F58" i="52"/>
  <c r="G58" i="52" s="1"/>
  <c r="AA52" i="52"/>
  <c r="Z52" i="52"/>
  <c r="Y52" i="52"/>
  <c r="T55" i="52"/>
  <c r="AE52" i="52"/>
  <c r="AH52" i="52"/>
  <c r="X55" i="52"/>
  <c r="AB55" i="52"/>
  <c r="AC55" i="52" s="1"/>
  <c r="AO56" i="52"/>
  <c r="AQ56" i="52" s="1"/>
  <c r="AD54" i="52"/>
  <c r="AE54" i="52" s="1"/>
  <c r="W54" i="52"/>
  <c r="AA54" i="52" s="1"/>
  <c r="U56" i="52"/>
  <c r="V56" i="52" s="1"/>
  <c r="L56" i="52"/>
  <c r="M56" i="52" s="1"/>
  <c r="P56" i="52" s="1"/>
  <c r="AK57" i="52"/>
  <c r="AL57" i="52"/>
  <c r="AR50" i="52"/>
  <c r="AN51" i="52"/>
  <c r="AR51" i="52" s="1"/>
  <c r="AF53" i="52"/>
  <c r="AG53" i="52"/>
  <c r="AM53" i="52" s="1"/>
  <c r="Y53" i="52"/>
  <c r="AH53" i="52"/>
  <c r="S56" i="52" l="1"/>
  <c r="T56" i="52"/>
  <c r="AF52" i="52"/>
  <c r="AG52" i="52" s="1"/>
  <c r="AM52" i="52" s="1"/>
  <c r="AN52" i="52" s="1"/>
  <c r="E60" i="52"/>
  <c r="F59" i="52"/>
  <c r="G59" i="52" s="1"/>
  <c r="AJ59" i="52"/>
  <c r="AF54" i="52"/>
  <c r="AG54" i="52" s="1"/>
  <c r="AM54" i="52" s="1"/>
  <c r="N56" i="52"/>
  <c r="O56" i="52" s="1"/>
  <c r="L57" i="52"/>
  <c r="N57" i="52" s="1"/>
  <c r="O57" i="52" s="1"/>
  <c r="AO57" i="52"/>
  <c r="AQ57" i="52" s="1"/>
  <c r="AK58" i="52"/>
  <c r="AL58" i="52"/>
  <c r="Y54" i="52"/>
  <c r="AD55" i="52"/>
  <c r="AE55" i="52" s="1"/>
  <c r="W55" i="52"/>
  <c r="AA55" i="52" s="1"/>
  <c r="U57" i="52"/>
  <c r="V57" i="52" s="1"/>
  <c r="AH55" i="52"/>
  <c r="X56" i="52"/>
  <c r="AB56" i="52"/>
  <c r="AC56" i="52" s="1"/>
  <c r="Z54" i="52"/>
  <c r="AV56" i="52"/>
  <c r="AZ56" i="52"/>
  <c r="AW56" i="52"/>
  <c r="AY56" i="52"/>
  <c r="AX56" i="52"/>
  <c r="AU51" i="52"/>
  <c r="AS51" i="52"/>
  <c r="AT51" i="52"/>
  <c r="AH54" i="52"/>
  <c r="AS50" i="52"/>
  <c r="AT50" i="52"/>
  <c r="AU50" i="52"/>
  <c r="Z55" i="52"/>
  <c r="Q58" i="52"/>
  <c r="R58" i="52" s="1"/>
  <c r="J58" i="52"/>
  <c r="I58" i="52"/>
  <c r="K58" i="52"/>
  <c r="AR52" i="52" l="1"/>
  <c r="AN53" i="52"/>
  <c r="AR53" i="52" s="1"/>
  <c r="M58" i="52"/>
  <c r="P58" i="52" s="1"/>
  <c r="S58" i="52" s="1"/>
  <c r="AV57" i="52"/>
  <c r="AW57" i="52"/>
  <c r="AY57" i="52"/>
  <c r="AZ57" i="52"/>
  <c r="AX57" i="52"/>
  <c r="U58" i="52"/>
  <c r="V58" i="52" s="1"/>
  <c r="X57" i="52"/>
  <c r="AB57" i="52"/>
  <c r="AC57" i="52" s="1"/>
  <c r="AL59" i="52"/>
  <c r="AK59" i="52"/>
  <c r="L58" i="52"/>
  <c r="N58" i="52"/>
  <c r="O58" i="52" s="1"/>
  <c r="I59" i="52"/>
  <c r="Q59" i="52"/>
  <c r="R59" i="52" s="1"/>
  <c r="J59" i="52"/>
  <c r="K59" i="52"/>
  <c r="Y55" i="52"/>
  <c r="AF55" i="52"/>
  <c r="AG55" i="52" s="1"/>
  <c r="AM55" i="52" s="1"/>
  <c r="M57" i="52"/>
  <c r="P57" i="52" s="1"/>
  <c r="AJ60" i="52"/>
  <c r="E61" i="52"/>
  <c r="F60" i="52"/>
  <c r="G60" i="52" s="1"/>
  <c r="AO58" i="52"/>
  <c r="AQ58" i="52" s="1"/>
  <c r="AD56" i="52"/>
  <c r="AE56" i="52" s="1"/>
  <c r="W56" i="52"/>
  <c r="AA56" i="52" s="1"/>
  <c r="T58" i="52" l="1"/>
  <c r="AD58" i="52" s="1"/>
  <c r="AE58" i="52" s="1"/>
  <c r="AJ61" i="52"/>
  <c r="E62" i="52"/>
  <c r="F61" i="52"/>
  <c r="G61" i="52" s="1"/>
  <c r="AK60" i="52"/>
  <c r="AL60" i="52"/>
  <c r="S57" i="52"/>
  <c r="T57" i="52"/>
  <c r="Y56" i="52"/>
  <c r="AN54" i="52"/>
  <c r="AR54" i="52" s="1"/>
  <c r="X58" i="52"/>
  <c r="AB58" i="52"/>
  <c r="AC58" i="52" s="1"/>
  <c r="AW58" i="52"/>
  <c r="AX58" i="52"/>
  <c r="AY58" i="52"/>
  <c r="AZ58" i="52"/>
  <c r="AV58" i="52"/>
  <c r="AH56" i="52"/>
  <c r="Z56" i="52"/>
  <c r="AT53" i="52"/>
  <c r="AS53" i="52"/>
  <c r="AU53" i="52"/>
  <c r="AF56" i="52"/>
  <c r="AG56" i="52" s="1"/>
  <c r="AM56" i="52" s="1"/>
  <c r="L59" i="52"/>
  <c r="M59" i="52" s="1"/>
  <c r="P59" i="52" s="1"/>
  <c r="U59" i="52"/>
  <c r="V59" i="52" s="1"/>
  <c r="I60" i="52"/>
  <c r="Q60" i="52"/>
  <c r="R60" i="52" s="1"/>
  <c r="J60" i="52"/>
  <c r="K60" i="52"/>
  <c r="AO59" i="52"/>
  <c r="AQ59" i="52" s="1"/>
  <c r="AT52" i="52"/>
  <c r="AU52" i="52"/>
  <c r="AS52" i="52"/>
  <c r="W58" i="52" l="1"/>
  <c r="AA58" i="52" s="1"/>
  <c r="N59" i="52"/>
  <c r="O59" i="52" s="1"/>
  <c r="S59" i="52"/>
  <c r="T59" i="52"/>
  <c r="U60" i="52"/>
  <c r="V60" i="52" s="1"/>
  <c r="AS54" i="52"/>
  <c r="AU54" i="52"/>
  <c r="AT54" i="52"/>
  <c r="AN55" i="52"/>
  <c r="AR55" i="52" s="1"/>
  <c r="AF58" i="52"/>
  <c r="AG58" i="52" s="1"/>
  <c r="AM58" i="52" s="1"/>
  <c r="Q61" i="52"/>
  <c r="R61" i="52" s="1"/>
  <c r="I61" i="52"/>
  <c r="J61" i="52"/>
  <c r="K61" i="52"/>
  <c r="E63" i="52"/>
  <c r="F62" i="52"/>
  <c r="G62" i="52" s="1"/>
  <c r="AJ62" i="52"/>
  <c r="AD57" i="52"/>
  <c r="W57" i="52"/>
  <c r="AX59" i="52"/>
  <c r="AY59" i="52"/>
  <c r="AV59" i="52"/>
  <c r="AW59" i="52"/>
  <c r="AZ59" i="52"/>
  <c r="AH58" i="52"/>
  <c r="AO60" i="52"/>
  <c r="AQ60" i="52" s="1"/>
  <c r="X59" i="52"/>
  <c r="AB59" i="52"/>
  <c r="AC59" i="52" s="1"/>
  <c r="AK61" i="52"/>
  <c r="AL61" i="52"/>
  <c r="L60" i="52"/>
  <c r="M60" i="52" s="1"/>
  <c r="P60" i="52" s="1"/>
  <c r="Y58" i="52"/>
  <c r="Z58" i="52"/>
  <c r="AN56" i="52" l="1"/>
  <c r="AR56" i="52" s="1"/>
  <c r="S60" i="52"/>
  <c r="T60" i="52"/>
  <c r="AS55" i="52"/>
  <c r="AT55" i="52"/>
  <c r="AU55" i="52"/>
  <c r="N60" i="52"/>
  <c r="O60" i="52" s="1"/>
  <c r="L61" i="52"/>
  <c r="N61" i="52" s="1"/>
  <c r="O61" i="52" s="1"/>
  <c r="AO61" i="52"/>
  <c r="AQ61" i="52" s="1"/>
  <c r="U61" i="52"/>
  <c r="V61" i="52" s="1"/>
  <c r="X60" i="52"/>
  <c r="AB60" i="52"/>
  <c r="AC60" i="52" s="1"/>
  <c r="I62" i="52"/>
  <c r="Q62" i="52"/>
  <c r="R62" i="52" s="1"/>
  <c r="K62" i="52"/>
  <c r="J62" i="52"/>
  <c r="AD59" i="52"/>
  <c r="AE59" i="52" s="1"/>
  <c r="W59" i="52"/>
  <c r="AA59" i="52" s="1"/>
  <c r="AA57" i="52"/>
  <c r="Y57" i="52"/>
  <c r="Z57" i="52"/>
  <c r="AE57" i="52"/>
  <c r="AH57" i="52"/>
  <c r="AK62" i="52"/>
  <c r="AL62" i="52"/>
  <c r="AV60" i="52"/>
  <c r="AZ60" i="52"/>
  <c r="AW60" i="52"/>
  <c r="AX60" i="52"/>
  <c r="AY60" i="52"/>
  <c r="E64" i="52"/>
  <c r="AJ63" i="52"/>
  <c r="F63" i="52"/>
  <c r="G63" i="52" s="1"/>
  <c r="AS56" i="52"/>
  <c r="AU56" i="52"/>
  <c r="AT56" i="52"/>
  <c r="AO62" i="52" l="1"/>
  <c r="AQ62" i="52" s="1"/>
  <c r="AH59" i="52"/>
  <c r="L62" i="52"/>
  <c r="N62" i="52" s="1"/>
  <c r="O62" i="52" s="1"/>
  <c r="J63" i="52"/>
  <c r="Q63" i="52"/>
  <c r="R63" i="52" s="1"/>
  <c r="I63" i="52"/>
  <c r="K63" i="52"/>
  <c r="U62" i="52"/>
  <c r="V62" i="52" s="1"/>
  <c r="M61" i="52"/>
  <c r="P61" i="52" s="1"/>
  <c r="AF59" i="52"/>
  <c r="AG59" i="52" s="1"/>
  <c r="AM59" i="52" s="1"/>
  <c r="X61" i="52"/>
  <c r="AB61" i="52"/>
  <c r="AC61" i="52" s="1"/>
  <c r="AF57" i="52"/>
  <c r="AG57" i="52"/>
  <c r="AM57" i="52" s="1"/>
  <c r="AN57" i="52" s="1"/>
  <c r="Z59" i="52"/>
  <c r="AX61" i="52"/>
  <c r="AY61" i="52"/>
  <c r="AZ61" i="52"/>
  <c r="AW61" i="52"/>
  <c r="AV61" i="52"/>
  <c r="AD60" i="52"/>
  <c r="AE60" i="52" s="1"/>
  <c r="W60" i="52"/>
  <c r="AA60" i="52" s="1"/>
  <c r="AL63" i="52"/>
  <c r="AK63" i="52"/>
  <c r="AJ64" i="52"/>
  <c r="E65" i="52"/>
  <c r="F64" i="52"/>
  <c r="G64" i="52" s="1"/>
  <c r="Y59" i="52"/>
  <c r="U63" i="52" l="1"/>
  <c r="V63" i="52" s="1"/>
  <c r="AY62" i="52"/>
  <c r="AV62" i="52"/>
  <c r="AW62" i="52"/>
  <c r="AZ62" i="52"/>
  <c r="AX62" i="52"/>
  <c r="K64" i="52"/>
  <c r="Q64" i="52"/>
  <c r="R64" i="52" s="1"/>
  <c r="I64" i="52"/>
  <c r="J64" i="52"/>
  <c r="AF60" i="52"/>
  <c r="AG60" i="52" s="1"/>
  <c r="AM60" i="52" s="1"/>
  <c r="M62" i="52"/>
  <c r="P62" i="52" s="1"/>
  <c r="L63" i="52"/>
  <c r="N63" i="52" s="1"/>
  <c r="O63" i="52" s="1"/>
  <c r="E66" i="52"/>
  <c r="AJ65" i="52"/>
  <c r="F65" i="52"/>
  <c r="G65" i="52" s="1"/>
  <c r="S61" i="52"/>
  <c r="T61" i="52"/>
  <c r="AR57" i="52"/>
  <c r="AN58" i="52"/>
  <c r="AR58" i="52" s="1"/>
  <c r="AK64" i="52"/>
  <c r="AL64" i="52"/>
  <c r="Z60" i="52"/>
  <c r="AO63" i="52"/>
  <c r="AQ63" i="52" s="1"/>
  <c r="Y60" i="52"/>
  <c r="X62" i="52"/>
  <c r="AB62" i="52"/>
  <c r="AC62" i="52" s="1"/>
  <c r="AH60" i="52"/>
  <c r="M63" i="52"/>
  <c r="P63" i="52" s="1"/>
  <c r="S63" i="52" s="1"/>
  <c r="AN59" i="52" l="1"/>
  <c r="AR59" i="52" s="1"/>
  <c r="Q65" i="52"/>
  <c r="R65" i="52" s="1"/>
  <c r="J65" i="52"/>
  <c r="I65" i="52"/>
  <c r="K65" i="52"/>
  <c r="AK65" i="52"/>
  <c r="AL65" i="52"/>
  <c r="L64" i="52"/>
  <c r="N64" i="52" s="1"/>
  <c r="O64" i="52" s="1"/>
  <c r="AO64" i="52"/>
  <c r="AQ64" i="52" s="1"/>
  <c r="E67" i="52"/>
  <c r="AJ66" i="52"/>
  <c r="F66" i="52"/>
  <c r="G66" i="52" s="1"/>
  <c r="U64" i="52"/>
  <c r="V64" i="52" s="1"/>
  <c r="AS58" i="52"/>
  <c r="AT58" i="52"/>
  <c r="AU58" i="52"/>
  <c r="AT57" i="52"/>
  <c r="AU57" i="52"/>
  <c r="AS57" i="52"/>
  <c r="T63" i="52"/>
  <c r="AV63" i="52"/>
  <c r="AZ63" i="52"/>
  <c r="AX63" i="52"/>
  <c r="AW63" i="52"/>
  <c r="AY63" i="52"/>
  <c r="W61" i="52"/>
  <c r="AD61" i="52"/>
  <c r="S62" i="52"/>
  <c r="T62" i="52"/>
  <c r="X63" i="52"/>
  <c r="AB63" i="52"/>
  <c r="AC63" i="52" s="1"/>
  <c r="AS59" i="52"/>
  <c r="AT59" i="52"/>
  <c r="AU59" i="52"/>
  <c r="AN60" i="52" l="1"/>
  <c r="AR60" i="52" s="1"/>
  <c r="AA61" i="52"/>
  <c r="Y61" i="52"/>
  <c r="Z61" i="52"/>
  <c r="AD63" i="52"/>
  <c r="AE63" i="52" s="1"/>
  <c r="W63" i="52"/>
  <c r="AA63" i="52" s="1"/>
  <c r="X64" i="52"/>
  <c r="AB64" i="52"/>
  <c r="AC64" i="52" s="1"/>
  <c r="AE61" i="52"/>
  <c r="AH61" i="52"/>
  <c r="AV64" i="52"/>
  <c r="AW64" i="52"/>
  <c r="AY64" i="52"/>
  <c r="AZ64" i="52"/>
  <c r="AX64" i="52"/>
  <c r="U65" i="52"/>
  <c r="V65" i="52" s="1"/>
  <c r="AO65" i="52"/>
  <c r="AQ65" i="52" s="1"/>
  <c r="W62" i="52"/>
  <c r="AD62" i="52"/>
  <c r="I66" i="52"/>
  <c r="Q66" i="52"/>
  <c r="R66" i="52" s="1"/>
  <c r="J66" i="52"/>
  <c r="K66" i="52"/>
  <c r="E68" i="52"/>
  <c r="AJ67" i="52"/>
  <c r="F67" i="52"/>
  <c r="G67" i="52" s="1"/>
  <c r="L65" i="52"/>
  <c r="M65" i="52" s="1"/>
  <c r="P65" i="52" s="1"/>
  <c r="S65" i="52" s="1"/>
  <c r="M64" i="52"/>
  <c r="P64" i="52" s="1"/>
  <c r="AL66" i="52"/>
  <c r="AK66" i="52"/>
  <c r="Z63" i="52" l="1"/>
  <c r="N65" i="52"/>
  <c r="O65" i="52" s="1"/>
  <c r="AS60" i="52"/>
  <c r="AT60" i="52"/>
  <c r="AU60" i="52"/>
  <c r="AK67" i="52"/>
  <c r="AL67" i="52"/>
  <c r="AA62" i="52"/>
  <c r="Z62" i="52"/>
  <c r="Y62" i="52"/>
  <c r="AO66" i="52"/>
  <c r="AQ66" i="52" s="1"/>
  <c r="AJ68" i="52"/>
  <c r="E69" i="52"/>
  <c r="F68" i="52"/>
  <c r="G68" i="52" s="1"/>
  <c r="Y63" i="52"/>
  <c r="AW65" i="52"/>
  <c r="AX65" i="52"/>
  <c r="AV65" i="52"/>
  <c r="AY65" i="52"/>
  <c r="AZ65" i="52"/>
  <c r="S64" i="52"/>
  <c r="T64" i="52"/>
  <c r="L66" i="52"/>
  <c r="N66" i="52" s="1"/>
  <c r="O66" i="52" s="1"/>
  <c r="T65" i="52"/>
  <c r="U66" i="52"/>
  <c r="V66" i="52" s="1"/>
  <c r="X65" i="52"/>
  <c r="AB65" i="52"/>
  <c r="AC65" i="52" s="1"/>
  <c r="AF63" i="52"/>
  <c r="AG63" i="52" s="1"/>
  <c r="AM63" i="52" s="1"/>
  <c r="AH63" i="52"/>
  <c r="I67" i="52"/>
  <c r="Q67" i="52"/>
  <c r="R67" i="52" s="1"/>
  <c r="J67" i="52"/>
  <c r="K67" i="52"/>
  <c r="AE62" i="52"/>
  <c r="AH62" i="52"/>
  <c r="AF61" i="52"/>
  <c r="AG61" i="52"/>
  <c r="AM61" i="52" s="1"/>
  <c r="AN61" i="52" s="1"/>
  <c r="AR61" i="52" s="1"/>
  <c r="AX66" i="52" l="1"/>
  <c r="AY66" i="52"/>
  <c r="AW66" i="52"/>
  <c r="AZ66" i="52"/>
  <c r="AV66" i="52"/>
  <c r="L67" i="52"/>
  <c r="M67" i="52" s="1"/>
  <c r="P67" i="52" s="1"/>
  <c r="M66" i="52"/>
  <c r="P66" i="52" s="1"/>
  <c r="AL68" i="52"/>
  <c r="AK68" i="52"/>
  <c r="U67" i="52"/>
  <c r="V67" i="52" s="1"/>
  <c r="X66" i="52"/>
  <c r="AB66" i="52"/>
  <c r="AC66" i="52" s="1"/>
  <c r="AU61" i="52"/>
  <c r="AS61" i="52"/>
  <c r="AT61" i="52"/>
  <c r="W65" i="52"/>
  <c r="AA65" i="52" s="1"/>
  <c r="AD65" i="52"/>
  <c r="AE65" i="52" s="1"/>
  <c r="J68" i="52"/>
  <c r="K68" i="52"/>
  <c r="Q68" i="52"/>
  <c r="R68" i="52" s="1"/>
  <c r="I68" i="52"/>
  <c r="AF62" i="52"/>
  <c r="AG62" i="52" s="1"/>
  <c r="AM62" i="52" s="1"/>
  <c r="AN62" i="52" s="1"/>
  <c r="AD64" i="52"/>
  <c r="W64" i="52"/>
  <c r="AJ69" i="52"/>
  <c r="E70" i="52"/>
  <c r="F69" i="52"/>
  <c r="G69" i="52" s="1"/>
  <c r="AO67" i="52"/>
  <c r="AQ67" i="52" s="1"/>
  <c r="AH65" i="52" l="1"/>
  <c r="S67" i="52"/>
  <c r="T67" i="52"/>
  <c r="AR62" i="52"/>
  <c r="AN63" i="52"/>
  <c r="AR63" i="52" s="1"/>
  <c r="K69" i="52"/>
  <c r="I69" i="52"/>
  <c r="J69" i="52"/>
  <c r="Q69" i="52"/>
  <c r="R69" i="52" s="1"/>
  <c r="AO68" i="52"/>
  <c r="AQ68" i="52" s="1"/>
  <c r="E71" i="52"/>
  <c r="F70" i="52"/>
  <c r="G70" i="52" s="1"/>
  <c r="AJ70" i="52"/>
  <c r="S66" i="52"/>
  <c r="T66" i="52"/>
  <c r="AK69" i="52"/>
  <c r="AL69" i="52"/>
  <c r="N67" i="52"/>
  <c r="O67" i="52" s="1"/>
  <c r="AA64" i="52"/>
  <c r="Z64" i="52"/>
  <c r="Y64" i="52"/>
  <c r="L68" i="52"/>
  <c r="M68" i="52" s="1"/>
  <c r="P68" i="52" s="1"/>
  <c r="Z65" i="52"/>
  <c r="AE64" i="52"/>
  <c r="AH64" i="52"/>
  <c r="Y65" i="52"/>
  <c r="U68" i="52"/>
  <c r="V68" i="52" s="1"/>
  <c r="AY67" i="52"/>
  <c r="AZ67" i="52"/>
  <c r="AV67" i="52"/>
  <c r="AW67" i="52"/>
  <c r="AX67" i="52"/>
  <c r="AF65" i="52"/>
  <c r="AG65" i="52"/>
  <c r="AM65" i="52" s="1"/>
  <c r="X67" i="52"/>
  <c r="AB67" i="52"/>
  <c r="AC67" i="52" s="1"/>
  <c r="N68" i="52" l="1"/>
  <c r="O68" i="52" s="1"/>
  <c r="S68" i="52"/>
  <c r="T68" i="52"/>
  <c r="U69" i="52"/>
  <c r="V69" i="52" s="1"/>
  <c r="AF64" i="52"/>
  <c r="AG64" i="52"/>
  <c r="AM64" i="52" s="1"/>
  <c r="AN64" i="52" s="1"/>
  <c r="AR64" i="52" s="1"/>
  <c r="L69" i="52"/>
  <c r="N69" i="52" s="1"/>
  <c r="O69" i="52" s="1"/>
  <c r="AK70" i="52"/>
  <c r="AL70" i="52"/>
  <c r="X68" i="52"/>
  <c r="AB68" i="52"/>
  <c r="AC68" i="52" s="1"/>
  <c r="AO69" i="52"/>
  <c r="AQ69" i="52" s="1"/>
  <c r="AT62" i="52"/>
  <c r="AU62" i="52"/>
  <c r="AS62" i="52"/>
  <c r="W66" i="52"/>
  <c r="AD66" i="52"/>
  <c r="I70" i="52"/>
  <c r="Q70" i="52"/>
  <c r="R70" i="52" s="1"/>
  <c r="K70" i="52"/>
  <c r="J70" i="52"/>
  <c r="E72" i="52"/>
  <c r="AJ71" i="52"/>
  <c r="F71" i="52"/>
  <c r="G71" i="52" s="1"/>
  <c r="AT63" i="52"/>
  <c r="AU63" i="52"/>
  <c r="AS63" i="52"/>
  <c r="AZ68" i="52"/>
  <c r="AW68" i="52"/>
  <c r="AV68" i="52"/>
  <c r="AY68" i="52"/>
  <c r="AX68" i="52"/>
  <c r="AD67" i="52"/>
  <c r="AE67" i="52" s="1"/>
  <c r="W67" i="52"/>
  <c r="AA67" i="52" s="1"/>
  <c r="Z67" i="52" l="1"/>
  <c r="Y67" i="52"/>
  <c r="AL71" i="52"/>
  <c r="AK71" i="52"/>
  <c r="AJ72" i="52"/>
  <c r="E73" i="52"/>
  <c r="F72" i="52"/>
  <c r="G72" i="52" s="1"/>
  <c r="X69" i="52"/>
  <c r="AB69" i="52"/>
  <c r="AC69" i="52" s="1"/>
  <c r="U70" i="52"/>
  <c r="V70" i="52" s="1"/>
  <c r="AO70" i="52"/>
  <c r="AQ70" i="52" s="1"/>
  <c r="AX69" i="52"/>
  <c r="AW69" i="52"/>
  <c r="AY69" i="52"/>
  <c r="AV69" i="52"/>
  <c r="AZ69" i="52"/>
  <c r="AU64" i="52"/>
  <c r="AS64" i="52"/>
  <c r="AT64" i="52"/>
  <c r="AF67" i="52"/>
  <c r="AG67" i="52" s="1"/>
  <c r="AM67" i="52" s="1"/>
  <c r="L70" i="52"/>
  <c r="N70" i="52" s="1"/>
  <c r="O70" i="52" s="1"/>
  <c r="AH67" i="52"/>
  <c r="M70" i="52"/>
  <c r="P70" i="52" s="1"/>
  <c r="S70" i="52" s="1"/>
  <c r="W68" i="52"/>
  <c r="AA68" i="52" s="1"/>
  <c r="AD68" i="52"/>
  <c r="AE68" i="52" s="1"/>
  <c r="AH68" i="52"/>
  <c r="AE66" i="52"/>
  <c r="AH66" i="52"/>
  <c r="AA66" i="52"/>
  <c r="Z66" i="52"/>
  <c r="Y66" i="52"/>
  <c r="M69" i="52"/>
  <c r="P69" i="52" s="1"/>
  <c r="J71" i="52"/>
  <c r="I71" i="52"/>
  <c r="Q71" i="52"/>
  <c r="R71" i="52" s="1"/>
  <c r="K71" i="52"/>
  <c r="AN65" i="52"/>
  <c r="AR65" i="52" s="1"/>
  <c r="Y68" i="52" l="1"/>
  <c r="Z68" i="52"/>
  <c r="T70" i="52"/>
  <c r="AF68" i="52"/>
  <c r="AG68" i="52" s="1"/>
  <c r="AM68" i="52" s="1"/>
  <c r="E74" i="52"/>
  <c r="AJ73" i="52"/>
  <c r="F73" i="52"/>
  <c r="G73" i="52" s="1"/>
  <c r="U71" i="52"/>
  <c r="V71" i="52" s="1"/>
  <c r="AY70" i="52"/>
  <c r="AZ70" i="52"/>
  <c r="AV70" i="52"/>
  <c r="AW70" i="52"/>
  <c r="AX70" i="52"/>
  <c r="AK72" i="52"/>
  <c r="AL72" i="52"/>
  <c r="S69" i="52"/>
  <c r="T69" i="52"/>
  <c r="AU65" i="52"/>
  <c r="AT65" i="52"/>
  <c r="AS65" i="52"/>
  <c r="K72" i="52"/>
  <c r="I72" i="52"/>
  <c r="J72" i="52"/>
  <c r="Q72" i="52"/>
  <c r="R72" i="52" s="1"/>
  <c r="L71" i="52"/>
  <c r="N71" i="52" s="1"/>
  <c r="O71" i="52" s="1"/>
  <c r="AF66" i="52"/>
  <c r="AG66" i="52"/>
  <c r="AM66" i="52" s="1"/>
  <c r="AN66" i="52" s="1"/>
  <c r="AR66" i="52" s="1"/>
  <c r="X70" i="52"/>
  <c r="AB70" i="52"/>
  <c r="AC70" i="52" s="1"/>
  <c r="AO71" i="52"/>
  <c r="AQ71" i="52" s="1"/>
  <c r="L72" i="52" l="1"/>
  <c r="N72" i="52" s="1"/>
  <c r="O72" i="52" s="1"/>
  <c r="AO72" i="52"/>
  <c r="AQ72" i="52" s="1"/>
  <c r="M71" i="52"/>
  <c r="P71" i="52" s="1"/>
  <c r="X71" i="52"/>
  <c r="AB71" i="52"/>
  <c r="AC71" i="52" s="1"/>
  <c r="I73" i="52"/>
  <c r="J73" i="52"/>
  <c r="K73" i="52"/>
  <c r="Q73" i="52"/>
  <c r="R73" i="52" s="1"/>
  <c r="W69" i="52"/>
  <c r="AD69" i="52"/>
  <c r="AK73" i="52"/>
  <c r="AL73" i="52"/>
  <c r="AU66" i="52"/>
  <c r="AS66" i="52"/>
  <c r="AT66" i="52"/>
  <c r="AV71" i="52"/>
  <c r="AZ71" i="52"/>
  <c r="AX71" i="52"/>
  <c r="AW71" i="52"/>
  <c r="AY71" i="52"/>
  <c r="U72" i="52"/>
  <c r="V72" i="52" s="1"/>
  <c r="AJ74" i="52"/>
  <c r="F74" i="52"/>
  <c r="G74" i="52" s="1"/>
  <c r="E75" i="52"/>
  <c r="W70" i="52"/>
  <c r="AA70" i="52" s="1"/>
  <c r="AD70" i="52"/>
  <c r="AE70" i="52" s="1"/>
  <c r="AN67" i="52"/>
  <c r="AR67" i="52" s="1"/>
  <c r="Z70" i="52" l="1"/>
  <c r="M72" i="52"/>
  <c r="P72" i="52" s="1"/>
  <c r="AN68" i="52"/>
  <c r="AR68" i="52" s="1"/>
  <c r="AF70" i="52"/>
  <c r="AG70" i="52" s="1"/>
  <c r="AM70" i="52" s="1"/>
  <c r="U73" i="52"/>
  <c r="V73" i="52" s="1"/>
  <c r="Y70" i="52"/>
  <c r="AT67" i="52"/>
  <c r="AU67" i="52"/>
  <c r="AS67" i="52"/>
  <c r="AJ75" i="52"/>
  <c r="E76" i="52"/>
  <c r="F75" i="52"/>
  <c r="G75" i="52" s="1"/>
  <c r="AO73" i="52"/>
  <c r="AQ73" i="52" s="1"/>
  <c r="AH70" i="52"/>
  <c r="J74" i="52"/>
  <c r="K74" i="52"/>
  <c r="I74" i="52"/>
  <c r="Q74" i="52"/>
  <c r="R74" i="52" s="1"/>
  <c r="AV72" i="52"/>
  <c r="AZ72" i="52"/>
  <c r="AW72" i="52"/>
  <c r="AX72" i="52"/>
  <c r="AY72" i="52"/>
  <c r="AK74" i="52"/>
  <c r="AL74" i="52"/>
  <c r="AE69" i="52"/>
  <c r="AH69" i="52"/>
  <c r="L73" i="52"/>
  <c r="N73" i="52" s="1"/>
  <c r="O73" i="52" s="1"/>
  <c r="X72" i="52"/>
  <c r="AB72" i="52"/>
  <c r="AC72" i="52" s="1"/>
  <c r="AA69" i="52"/>
  <c r="Y69" i="52"/>
  <c r="Z69" i="52"/>
  <c r="S71" i="52"/>
  <c r="T71" i="52"/>
  <c r="S72" i="52" l="1"/>
  <c r="T72" i="52"/>
  <c r="W72" i="52" s="1"/>
  <c r="AA72" i="52" s="1"/>
  <c r="X73" i="52"/>
  <c r="AB73" i="52"/>
  <c r="AC73" i="52" s="1"/>
  <c r="L74" i="52"/>
  <c r="N74" i="52"/>
  <c r="AK75" i="52"/>
  <c r="AL75" i="52"/>
  <c r="AO74" i="52"/>
  <c r="AQ74" i="52" s="1"/>
  <c r="M73" i="52"/>
  <c r="P73" i="52" s="1"/>
  <c r="AU68" i="52"/>
  <c r="AS68" i="52"/>
  <c r="AT68" i="52"/>
  <c r="E77" i="52"/>
  <c r="F76" i="52"/>
  <c r="G76" i="52" s="1"/>
  <c r="AJ76" i="52"/>
  <c r="AF69" i="52"/>
  <c r="AG69" i="52" s="1"/>
  <c r="AM69" i="52" s="1"/>
  <c r="AN69" i="52" s="1"/>
  <c r="AR69" i="52" s="1"/>
  <c r="AD71" i="52"/>
  <c r="W71" i="52"/>
  <c r="U74" i="52"/>
  <c r="V74" i="52" s="1"/>
  <c r="K75" i="52"/>
  <c r="J75" i="52"/>
  <c r="I75" i="52"/>
  <c r="Q75" i="52"/>
  <c r="R75" i="52" s="1"/>
  <c r="M74" i="52"/>
  <c r="P74" i="52" s="1"/>
  <c r="S74" i="52" s="1"/>
  <c r="O74" i="52"/>
  <c r="Y72" i="52"/>
  <c r="Z72" i="52"/>
  <c r="AY73" i="52"/>
  <c r="AZ73" i="52"/>
  <c r="AV73" i="52"/>
  <c r="AW73" i="52"/>
  <c r="AX73" i="52"/>
  <c r="AD72" i="52"/>
  <c r="AE72" i="52" s="1"/>
  <c r="AN70" i="52" l="1"/>
  <c r="AR70" i="52" s="1"/>
  <c r="AS70" i="52" s="1"/>
  <c r="AF72" i="52"/>
  <c r="AG72" i="52" s="1"/>
  <c r="AM72" i="52" s="1"/>
  <c r="I76" i="52"/>
  <c r="Q76" i="52"/>
  <c r="R76" i="52" s="1"/>
  <c r="K76" i="52"/>
  <c r="J76" i="52"/>
  <c r="AU70" i="52"/>
  <c r="X74" i="52"/>
  <c r="AB74" i="52"/>
  <c r="AC74" i="52" s="1"/>
  <c r="E78" i="52"/>
  <c r="F77" i="52"/>
  <c r="G77" i="52" s="1"/>
  <c r="AJ77" i="52"/>
  <c r="AH72" i="52"/>
  <c r="T74" i="52"/>
  <c r="AO75" i="52"/>
  <c r="AQ75" i="52" s="1"/>
  <c r="AE71" i="52"/>
  <c r="AH71" i="52"/>
  <c r="AS69" i="52"/>
  <c r="AU69" i="52"/>
  <c r="AT69" i="52"/>
  <c r="S73" i="52"/>
  <c r="T73" i="52"/>
  <c r="AA71" i="52"/>
  <c r="Z71" i="52"/>
  <c r="Y71" i="52"/>
  <c r="U75" i="52"/>
  <c r="V75" i="52" s="1"/>
  <c r="L75" i="52"/>
  <c r="M75" i="52" s="1"/>
  <c r="P75" i="52" s="1"/>
  <c r="N75" i="52"/>
  <c r="O75" i="52" s="1"/>
  <c r="AK76" i="52"/>
  <c r="AL76" i="52"/>
  <c r="AZ74" i="52"/>
  <c r="AW74" i="52"/>
  <c r="AV74" i="52"/>
  <c r="AX74" i="52"/>
  <c r="AY74" i="52"/>
  <c r="AT70" i="52" l="1"/>
  <c r="S75" i="52"/>
  <c r="T75" i="52"/>
  <c r="AL77" i="52"/>
  <c r="AK77" i="52"/>
  <c r="AO76" i="52"/>
  <c r="AQ76" i="52" s="1"/>
  <c r="U76" i="52"/>
  <c r="V76" i="52" s="1"/>
  <c r="W73" i="52"/>
  <c r="AD73" i="52"/>
  <c r="AX75" i="52"/>
  <c r="AY75" i="52"/>
  <c r="AZ75" i="52"/>
  <c r="AW75" i="52"/>
  <c r="AV75" i="52"/>
  <c r="AF71" i="52"/>
  <c r="AG71" i="52"/>
  <c r="AM71" i="52" s="1"/>
  <c r="AN71" i="52" s="1"/>
  <c r="AR71" i="52" s="1"/>
  <c r="AJ78" i="52"/>
  <c r="E79" i="52"/>
  <c r="F78" i="52"/>
  <c r="G78" i="52" s="1"/>
  <c r="AH74" i="52"/>
  <c r="W74" i="52"/>
  <c r="AA74" i="52" s="1"/>
  <c r="AD74" i="52"/>
  <c r="AE74" i="52" s="1"/>
  <c r="J77" i="52"/>
  <c r="Q77" i="52"/>
  <c r="R77" i="52" s="1"/>
  <c r="K77" i="52"/>
  <c r="I77" i="52"/>
  <c r="L76" i="52"/>
  <c r="M76" i="52" s="1"/>
  <c r="P76" i="52" s="1"/>
  <c r="N76" i="52"/>
  <c r="O76" i="52" s="1"/>
  <c r="X75" i="52"/>
  <c r="AB75" i="52"/>
  <c r="AC75" i="52" s="1"/>
  <c r="AN72" i="52" l="1"/>
  <c r="AR72" i="52" s="1"/>
  <c r="AT72" i="52" s="1"/>
  <c r="S76" i="52"/>
  <c r="T76" i="52"/>
  <c r="X76" i="52"/>
  <c r="AB76" i="52"/>
  <c r="AC76" i="52" s="1"/>
  <c r="L77" i="52"/>
  <c r="N77" i="52" s="1"/>
  <c r="O77" i="52" s="1"/>
  <c r="AS71" i="52"/>
  <c r="AT71" i="52"/>
  <c r="AU71" i="52"/>
  <c r="AF74" i="52"/>
  <c r="AG74" i="52"/>
  <c r="AM74" i="52" s="1"/>
  <c r="U77" i="52"/>
  <c r="V77" i="52" s="1"/>
  <c r="Y74" i="52"/>
  <c r="AY76" i="52"/>
  <c r="AV76" i="52"/>
  <c r="AW76" i="52"/>
  <c r="AX76" i="52"/>
  <c r="AZ76" i="52"/>
  <c r="AE73" i="52"/>
  <c r="AH73" i="52"/>
  <c r="AJ79" i="52"/>
  <c r="E80" i="52"/>
  <c r="F79" i="52"/>
  <c r="G79" i="52" s="1"/>
  <c r="AA73" i="52"/>
  <c r="Y73" i="52"/>
  <c r="Z73" i="52"/>
  <c r="W75" i="52"/>
  <c r="AA75" i="52" s="1"/>
  <c r="AD75" i="52"/>
  <c r="AE75" i="52" s="1"/>
  <c r="AK78" i="52"/>
  <c r="AL78" i="52"/>
  <c r="Z74" i="52"/>
  <c r="K78" i="52"/>
  <c r="I78" i="52"/>
  <c r="J78" i="52"/>
  <c r="Q78" i="52"/>
  <c r="R78" i="52" s="1"/>
  <c r="AO77" i="52"/>
  <c r="AQ77" i="52" s="1"/>
  <c r="AS72" i="52"/>
  <c r="AU72" i="52" l="1"/>
  <c r="M77" i="52"/>
  <c r="P77" i="52" s="1"/>
  <c r="K79" i="52"/>
  <c r="J79" i="52"/>
  <c r="Q79" i="52"/>
  <c r="R79" i="52" s="1"/>
  <c r="I79" i="52"/>
  <c r="AO78" i="52"/>
  <c r="AQ78" i="52" s="1"/>
  <c r="E81" i="52"/>
  <c r="AJ80" i="52"/>
  <c r="F80" i="52"/>
  <c r="G80" i="52" s="1"/>
  <c r="X77" i="52"/>
  <c r="AB77" i="52"/>
  <c r="AC77" i="52" s="1"/>
  <c r="AV77" i="52"/>
  <c r="AZ77" i="52"/>
  <c r="AW77" i="52"/>
  <c r="AY77" i="52"/>
  <c r="AX77" i="52"/>
  <c r="AK79" i="52"/>
  <c r="AL79" i="52"/>
  <c r="AF75" i="52"/>
  <c r="AG75" i="52" s="1"/>
  <c r="AM75" i="52" s="1"/>
  <c r="AH75" i="52"/>
  <c r="AH76" i="52"/>
  <c r="L78" i="52"/>
  <c r="N78" i="52" s="1"/>
  <c r="O78" i="52" s="1"/>
  <c r="Y75" i="52"/>
  <c r="U78" i="52"/>
  <c r="V78" i="52" s="1"/>
  <c r="Z75" i="52"/>
  <c r="AF73" i="52"/>
  <c r="AG73" i="52" s="1"/>
  <c r="AM73" i="52" s="1"/>
  <c r="AN73" i="52" s="1"/>
  <c r="AD76" i="52"/>
  <c r="AE76" i="52" s="1"/>
  <c r="W76" i="52"/>
  <c r="AA76" i="52" s="1"/>
  <c r="AD77" i="52" l="1"/>
  <c r="AE77" i="52" s="1"/>
  <c r="AF77" i="52" s="1"/>
  <c r="AG77" i="52" s="1"/>
  <c r="AM77" i="52" s="1"/>
  <c r="S77" i="52"/>
  <c r="T77" i="52"/>
  <c r="W77" i="52" s="1"/>
  <c r="AA77" i="52" s="1"/>
  <c r="AR73" i="52"/>
  <c r="AN74" i="52"/>
  <c r="AR74" i="52" s="1"/>
  <c r="AV78" i="52"/>
  <c r="AW78" i="52"/>
  <c r="AX78" i="52"/>
  <c r="AY78" i="52"/>
  <c r="AZ78" i="52"/>
  <c r="M78" i="52"/>
  <c r="P78" i="52" s="1"/>
  <c r="X78" i="52"/>
  <c r="AB78" i="52"/>
  <c r="AC78" i="52" s="1"/>
  <c r="I80" i="52"/>
  <c r="Q80" i="52"/>
  <c r="R80" i="52" s="1"/>
  <c r="J80" i="52"/>
  <c r="K80" i="52"/>
  <c r="AL80" i="52"/>
  <c r="AK80" i="52"/>
  <c r="U79" i="52"/>
  <c r="V79" i="52" s="1"/>
  <c r="L79" i="52"/>
  <c r="N79" i="52" s="1"/>
  <c r="O79" i="52" s="1"/>
  <c r="Z77" i="52"/>
  <c r="AF76" i="52"/>
  <c r="AG76" i="52" s="1"/>
  <c r="AM76" i="52" s="1"/>
  <c r="Z76" i="52"/>
  <c r="Y76" i="52"/>
  <c r="AO79" i="52"/>
  <c r="AQ79" i="52" s="1"/>
  <c r="F81" i="52"/>
  <c r="G81" i="52" s="1"/>
  <c r="AJ81" i="52"/>
  <c r="E82" i="52"/>
  <c r="M79" i="52" l="1"/>
  <c r="P79" i="52" s="1"/>
  <c r="S79" i="52" s="1"/>
  <c r="AH77" i="52"/>
  <c r="Y77" i="52"/>
  <c r="X79" i="52"/>
  <c r="AB79" i="52"/>
  <c r="AC79" i="52" s="1"/>
  <c r="AJ82" i="52"/>
  <c r="E83" i="52"/>
  <c r="F82" i="52"/>
  <c r="G82" i="52" s="1"/>
  <c r="T79" i="52"/>
  <c r="AK81" i="52"/>
  <c r="AL81" i="52"/>
  <c r="S78" i="52"/>
  <c r="T78" i="52"/>
  <c r="I81" i="52"/>
  <c r="Q81" i="52"/>
  <c r="R81" i="52" s="1"/>
  <c r="J81" i="52"/>
  <c r="K81" i="52"/>
  <c r="AS73" i="52"/>
  <c r="AU73" i="52"/>
  <c r="AT73" i="52"/>
  <c r="AW79" i="52"/>
  <c r="AX79" i="52"/>
  <c r="AZ79" i="52"/>
  <c r="AY79" i="52"/>
  <c r="AV79" i="52"/>
  <c r="L80" i="52"/>
  <c r="N80" i="52" s="1"/>
  <c r="O80" i="52" s="1"/>
  <c r="AN75" i="52"/>
  <c r="AR75" i="52" s="1"/>
  <c r="AO80" i="52"/>
  <c r="AQ80" i="52" s="1"/>
  <c r="AT74" i="52"/>
  <c r="AS74" i="52"/>
  <c r="AU74" i="52"/>
  <c r="U80" i="52"/>
  <c r="V80" i="52" s="1"/>
  <c r="AN76" i="52" l="1"/>
  <c r="AR76" i="52" s="1"/>
  <c r="AT76" i="52" s="1"/>
  <c r="AD78" i="52"/>
  <c r="W78" i="52"/>
  <c r="AJ83" i="52"/>
  <c r="E84" i="52"/>
  <c r="F83" i="52"/>
  <c r="G83" i="52" s="1"/>
  <c r="AO81" i="52"/>
  <c r="AQ81" i="52" s="1"/>
  <c r="AK82" i="52"/>
  <c r="AL82" i="52"/>
  <c r="AX80" i="52"/>
  <c r="AY80" i="52"/>
  <c r="AZ80" i="52"/>
  <c r="AW80" i="52"/>
  <c r="AV80" i="52"/>
  <c r="L81" i="52"/>
  <c r="M81" i="52" s="1"/>
  <c r="P81" i="52" s="1"/>
  <c r="U81" i="52"/>
  <c r="V81" i="52" s="1"/>
  <c r="W79" i="52"/>
  <c r="AA79" i="52" s="1"/>
  <c r="AD79" i="52"/>
  <c r="AE79" i="52" s="1"/>
  <c r="M80" i="52"/>
  <c r="P80" i="52" s="1"/>
  <c r="AU75" i="52"/>
  <c r="AS75" i="52"/>
  <c r="AT75" i="52"/>
  <c r="X80" i="52"/>
  <c r="AB80" i="52"/>
  <c r="AC80" i="52" s="1"/>
  <c r="J82" i="52"/>
  <c r="K82" i="52"/>
  <c r="I82" i="52"/>
  <c r="Q82" i="52"/>
  <c r="R82" i="52" s="1"/>
  <c r="AU76" i="52"/>
  <c r="AS76" i="52"/>
  <c r="Y79" i="52" l="1"/>
  <c r="AN77" i="52"/>
  <c r="AR77" i="52" s="1"/>
  <c r="AT77" i="52" s="1"/>
  <c r="Z79" i="52"/>
  <c r="S81" i="52"/>
  <c r="T81" i="52"/>
  <c r="K83" i="52"/>
  <c r="Q83" i="52"/>
  <c r="R83" i="52" s="1"/>
  <c r="I83" i="52"/>
  <c r="J83" i="52"/>
  <c r="E85" i="52"/>
  <c r="F84" i="52"/>
  <c r="G84" i="52" s="1"/>
  <c r="AJ84" i="52"/>
  <c r="L82" i="52"/>
  <c r="M82" i="52" s="1"/>
  <c r="P82" i="52" s="1"/>
  <c r="S82" i="52" s="1"/>
  <c r="N82" i="52"/>
  <c r="O82" i="52" s="1"/>
  <c r="S80" i="52"/>
  <c r="T80" i="52"/>
  <c r="N81" i="52"/>
  <c r="O81" i="52" s="1"/>
  <c r="AF79" i="52"/>
  <c r="AG79" i="52"/>
  <c r="AM79" i="52" s="1"/>
  <c r="AH79" i="52"/>
  <c r="AK83" i="52"/>
  <c r="AL83" i="52"/>
  <c r="AY81" i="52"/>
  <c r="AZ81" i="52"/>
  <c r="AV81" i="52"/>
  <c r="AW81" i="52"/>
  <c r="AX81" i="52"/>
  <c r="AO82" i="52"/>
  <c r="AQ82" i="52" s="1"/>
  <c r="AA78" i="52"/>
  <c r="Y78" i="52"/>
  <c r="Z78" i="52"/>
  <c r="U82" i="52"/>
  <c r="V82" i="52" s="1"/>
  <c r="X81" i="52"/>
  <c r="AB81" i="52"/>
  <c r="AC81" i="52" s="1"/>
  <c r="AE78" i="52"/>
  <c r="AH78" i="52"/>
  <c r="AS77" i="52" l="1"/>
  <c r="AU77" i="52"/>
  <c r="E86" i="52"/>
  <c r="F85" i="52"/>
  <c r="G85" i="52" s="1"/>
  <c r="AJ85" i="52"/>
  <c r="T82" i="52"/>
  <c r="I84" i="52"/>
  <c r="Q84" i="52"/>
  <c r="R84" i="52" s="1"/>
  <c r="J84" i="52"/>
  <c r="K84" i="52"/>
  <c r="AD80" i="52"/>
  <c r="W80" i="52"/>
  <c r="L83" i="52"/>
  <c r="N83" i="52"/>
  <c r="O83" i="52" s="1"/>
  <c r="AO83" i="52"/>
  <c r="AQ83" i="52" s="1"/>
  <c r="U83" i="52"/>
  <c r="V83" i="52" s="1"/>
  <c r="AZ82" i="52"/>
  <c r="AW82" i="52"/>
  <c r="AX82" i="52"/>
  <c r="AY82" i="52"/>
  <c r="AV82" i="52"/>
  <c r="X82" i="52"/>
  <c r="AB82" i="52"/>
  <c r="AC82" i="52" s="1"/>
  <c r="AF78" i="52"/>
  <c r="AG78" i="52" s="1"/>
  <c r="AM78" i="52" s="1"/>
  <c r="AN78" i="52" s="1"/>
  <c r="AR78" i="52" s="1"/>
  <c r="M83" i="52"/>
  <c r="P83" i="52" s="1"/>
  <c r="S83" i="52" s="1"/>
  <c r="AK84" i="52"/>
  <c r="AL84" i="52"/>
  <c r="AD81" i="52"/>
  <c r="AE81" i="52" s="1"/>
  <c r="W81" i="52"/>
  <c r="AA81" i="52" s="1"/>
  <c r="T83" i="52" l="1"/>
  <c r="L84" i="52"/>
  <c r="N84" i="52" s="1"/>
  <c r="O84" i="52" s="1"/>
  <c r="AN79" i="52"/>
  <c r="AR79" i="52" s="1"/>
  <c r="AH81" i="52"/>
  <c r="U84" i="52"/>
  <c r="V84" i="52" s="1"/>
  <c r="AX83" i="52"/>
  <c r="AW83" i="52"/>
  <c r="AY83" i="52"/>
  <c r="AV83" i="52"/>
  <c r="AZ83" i="52"/>
  <c r="M84" i="52"/>
  <c r="P84" i="52" s="1"/>
  <c r="S84" i="52" s="1"/>
  <c r="AF81" i="52"/>
  <c r="AG81" i="52" s="1"/>
  <c r="AM81" i="52" s="1"/>
  <c r="W82" i="52"/>
  <c r="AA82" i="52" s="1"/>
  <c r="AD82" i="52"/>
  <c r="AE82" i="52" s="1"/>
  <c r="AH82" i="52"/>
  <c r="AA80" i="52"/>
  <c r="Y80" i="52"/>
  <c r="Z80" i="52"/>
  <c r="AL85" i="52"/>
  <c r="AK85" i="52"/>
  <c r="Z81" i="52"/>
  <c r="AE80" i="52"/>
  <c r="AH80" i="52"/>
  <c r="J85" i="52"/>
  <c r="I85" i="52"/>
  <c r="K85" i="52"/>
  <c r="Q85" i="52"/>
  <c r="R85" i="52" s="1"/>
  <c r="AU78" i="52"/>
  <c r="AT78" i="52"/>
  <c r="AS78" i="52"/>
  <c r="AO84" i="52"/>
  <c r="AQ84" i="52" s="1"/>
  <c r="Z82" i="52"/>
  <c r="Y82" i="52"/>
  <c r="Y81" i="52"/>
  <c r="X83" i="52"/>
  <c r="AB83" i="52"/>
  <c r="AC83" i="52" s="1"/>
  <c r="AJ86" i="52"/>
  <c r="E87" i="52"/>
  <c r="F86" i="52"/>
  <c r="G86" i="52" s="1"/>
  <c r="T84" i="52" l="1"/>
  <c r="AO85" i="52"/>
  <c r="AQ85" i="52" s="1"/>
  <c r="K86" i="52"/>
  <c r="J86" i="52"/>
  <c r="Q86" i="52"/>
  <c r="R86" i="52" s="1"/>
  <c r="I86" i="52"/>
  <c r="AJ87" i="52"/>
  <c r="E88" i="52"/>
  <c r="F87" i="52"/>
  <c r="G87" i="52" s="1"/>
  <c r="X84" i="52"/>
  <c r="AB84" i="52"/>
  <c r="AC84" i="52" s="1"/>
  <c r="U85" i="52"/>
  <c r="V85" i="52" s="1"/>
  <c r="AY84" i="52"/>
  <c r="AV84" i="52"/>
  <c r="AZ84" i="52"/>
  <c r="AX84" i="52"/>
  <c r="AW84" i="52"/>
  <c r="W84" i="52"/>
  <c r="AA84" i="52" s="1"/>
  <c r="AK86" i="52"/>
  <c r="AL86" i="52"/>
  <c r="AF82" i="52"/>
  <c r="AG82" i="52" s="1"/>
  <c r="AM82" i="52" s="1"/>
  <c r="AT79" i="52"/>
  <c r="AS79" i="52"/>
  <c r="AU79" i="52"/>
  <c r="L85" i="52"/>
  <c r="N85" i="52" s="1"/>
  <c r="O85" i="52" s="1"/>
  <c r="AF80" i="52"/>
  <c r="AG80" i="52"/>
  <c r="AM80" i="52" s="1"/>
  <c r="AN80" i="52" s="1"/>
  <c r="AR80" i="52" s="1"/>
  <c r="Z83" i="52"/>
  <c r="AD83" i="52"/>
  <c r="AE83" i="52" s="1"/>
  <c r="W83" i="52"/>
  <c r="AA83" i="52" s="1"/>
  <c r="AS80" i="52" l="1"/>
  <c r="AU80" i="52"/>
  <c r="AT80" i="52"/>
  <c r="M85" i="52"/>
  <c r="P85" i="52" s="1"/>
  <c r="Q87" i="52"/>
  <c r="R87" i="52" s="1"/>
  <c r="I87" i="52"/>
  <c r="J87" i="52"/>
  <c r="K87" i="52"/>
  <c r="E89" i="52"/>
  <c r="F88" i="52"/>
  <c r="G88" i="52" s="1"/>
  <c r="AJ88" i="52"/>
  <c r="AN81" i="52"/>
  <c r="AR81" i="52" s="1"/>
  <c r="X85" i="52"/>
  <c r="AB85" i="52"/>
  <c r="AC85" i="52" s="1"/>
  <c r="U86" i="52"/>
  <c r="V86" i="52" s="1"/>
  <c r="AF83" i="52"/>
  <c r="AG83" i="52" s="1"/>
  <c r="AM83" i="52" s="1"/>
  <c r="AD84" i="52"/>
  <c r="AE84" i="52" s="1"/>
  <c r="AK87" i="52"/>
  <c r="AL87" i="52"/>
  <c r="AV85" i="52"/>
  <c r="AZ85" i="52"/>
  <c r="AW85" i="52"/>
  <c r="AX85" i="52"/>
  <c r="AY85" i="52"/>
  <c r="Y84" i="52"/>
  <c r="Z84" i="52"/>
  <c r="AO86" i="52"/>
  <c r="AQ86" i="52" s="1"/>
  <c r="L86" i="52"/>
  <c r="N86" i="52" s="1"/>
  <c r="O86" i="52" s="1"/>
  <c r="AH83" i="52"/>
  <c r="Y83" i="52"/>
  <c r="S85" i="52" l="1"/>
  <c r="T85" i="52"/>
  <c r="X86" i="52"/>
  <c r="AB86" i="52"/>
  <c r="AC86" i="52" s="1"/>
  <c r="AJ89" i="52"/>
  <c r="F89" i="52"/>
  <c r="G89" i="52" s="1"/>
  <c r="E90" i="52"/>
  <c r="AF84" i="52"/>
  <c r="AG84" i="52" s="1"/>
  <c r="AM84" i="52" s="1"/>
  <c r="AV86" i="52"/>
  <c r="AW86" i="52"/>
  <c r="AY86" i="52"/>
  <c r="AZ86" i="52"/>
  <c r="AX86" i="52"/>
  <c r="AL88" i="52"/>
  <c r="AK88" i="52"/>
  <c r="J88" i="52"/>
  <c r="K88" i="52"/>
  <c r="Q88" i="52"/>
  <c r="R88" i="52" s="1"/>
  <c r="I88" i="52"/>
  <c r="M86" i="52"/>
  <c r="P86" i="52" s="1"/>
  <c r="AH84" i="52"/>
  <c r="L87" i="52"/>
  <c r="M87" i="52" s="1"/>
  <c r="P87" i="52" s="1"/>
  <c r="AU81" i="52"/>
  <c r="AT81" i="52"/>
  <c r="AS81" i="52"/>
  <c r="U87" i="52"/>
  <c r="V87" i="52" s="1"/>
  <c r="AO87" i="52"/>
  <c r="AQ87" i="52" s="1"/>
  <c r="AN82" i="52"/>
  <c r="AR82" i="52" s="1"/>
  <c r="N87" i="52" l="1"/>
  <c r="O87" i="52" s="1"/>
  <c r="S87" i="52"/>
  <c r="T87" i="52"/>
  <c r="AW87" i="52"/>
  <c r="AY87" i="52"/>
  <c r="AZ87" i="52"/>
  <c r="AV87" i="52"/>
  <c r="AX87" i="52"/>
  <c r="AD85" i="52"/>
  <c r="W85" i="52"/>
  <c r="U88" i="52"/>
  <c r="V88" i="52" s="1"/>
  <c r="I89" i="52"/>
  <c r="J89" i="52"/>
  <c r="K89" i="52"/>
  <c r="Q89" i="52"/>
  <c r="R89" i="52" s="1"/>
  <c r="AO88" i="52"/>
  <c r="AQ88" i="52" s="1"/>
  <c r="S86" i="52"/>
  <c r="T86" i="52"/>
  <c r="AJ90" i="52"/>
  <c r="E91" i="52"/>
  <c r="F90" i="52"/>
  <c r="G90" i="52" s="1"/>
  <c r="AK89" i="52"/>
  <c r="AL89" i="52"/>
  <c r="X87" i="52"/>
  <c r="AB87" i="52"/>
  <c r="AC87" i="52" s="1"/>
  <c r="AU82" i="52"/>
  <c r="AS82" i="52"/>
  <c r="AT82" i="52"/>
  <c r="L88" i="52"/>
  <c r="M88" i="52" s="1"/>
  <c r="P88" i="52" s="1"/>
  <c r="N88" i="52"/>
  <c r="O88" i="52" s="1"/>
  <c r="AN83" i="52"/>
  <c r="AR83" i="52" s="1"/>
  <c r="AN84" i="52" l="1"/>
  <c r="AR84" i="52" s="1"/>
  <c r="S88" i="52"/>
  <c r="T88" i="52"/>
  <c r="AK90" i="52"/>
  <c r="AL90" i="52"/>
  <c r="L89" i="52"/>
  <c r="N89" i="52" s="1"/>
  <c r="O89" i="52" s="1"/>
  <c r="AT84" i="52"/>
  <c r="AU84" i="52"/>
  <c r="AS84" i="52"/>
  <c r="AD86" i="52"/>
  <c r="W86" i="52"/>
  <c r="AO89" i="52"/>
  <c r="AQ89" i="52" s="1"/>
  <c r="AW88" i="52"/>
  <c r="AX88" i="52"/>
  <c r="AY88" i="52"/>
  <c r="AV88" i="52"/>
  <c r="AZ88" i="52"/>
  <c r="AA85" i="52"/>
  <c r="Z85" i="52"/>
  <c r="Y85" i="52"/>
  <c r="Q90" i="52"/>
  <c r="R90" i="52" s="1"/>
  <c r="I90" i="52"/>
  <c r="J90" i="52"/>
  <c r="K90" i="52"/>
  <c r="U89" i="52"/>
  <c r="V89" i="52" s="1"/>
  <c r="W87" i="52"/>
  <c r="AA87" i="52" s="1"/>
  <c r="AD87" i="52"/>
  <c r="AE87" i="52" s="1"/>
  <c r="X88" i="52"/>
  <c r="AB88" i="52"/>
  <c r="AC88" i="52" s="1"/>
  <c r="AE85" i="52"/>
  <c r="AH85" i="52"/>
  <c r="AU83" i="52"/>
  <c r="AS83" i="52"/>
  <c r="AT83" i="52"/>
  <c r="AJ91" i="52"/>
  <c r="E92" i="52"/>
  <c r="F91" i="52"/>
  <c r="G91" i="52" s="1"/>
  <c r="AH87" i="52" l="1"/>
  <c r="X89" i="52"/>
  <c r="AB89" i="52"/>
  <c r="AC89" i="52" s="1"/>
  <c r="Q91" i="52"/>
  <c r="R91" i="52" s="1"/>
  <c r="I91" i="52"/>
  <c r="J91" i="52"/>
  <c r="K91" i="52"/>
  <c r="AJ92" i="52"/>
  <c r="E93" i="52"/>
  <c r="F92" i="52"/>
  <c r="G92" i="52" s="1"/>
  <c r="AF85" i="52"/>
  <c r="AG85" i="52"/>
  <c r="AM85" i="52" s="1"/>
  <c r="AN85" i="52" s="1"/>
  <c r="AR85" i="52" s="1"/>
  <c r="L90" i="52"/>
  <c r="M90" i="52" s="1"/>
  <c r="P90" i="52" s="1"/>
  <c r="M89" i="52"/>
  <c r="P89" i="52" s="1"/>
  <c r="AO90" i="52"/>
  <c r="AQ90" i="52" s="1"/>
  <c r="Y87" i="52"/>
  <c r="AA86" i="52"/>
  <c r="Y86" i="52"/>
  <c r="Z86" i="52"/>
  <c r="AV89" i="52"/>
  <c r="AW89" i="52"/>
  <c r="AX89" i="52"/>
  <c r="AY89" i="52"/>
  <c r="AZ89" i="52"/>
  <c r="AK91" i="52"/>
  <c r="AL91" i="52"/>
  <c r="Z87" i="52"/>
  <c r="AF87" i="52"/>
  <c r="AG87" i="52" s="1"/>
  <c r="AM87" i="52" s="1"/>
  <c r="U90" i="52"/>
  <c r="V90" i="52" s="1"/>
  <c r="AE86" i="52"/>
  <c r="AH86" i="52"/>
  <c r="AD88" i="52"/>
  <c r="AE88" i="52" s="1"/>
  <c r="W88" i="52"/>
  <c r="AA88" i="52" s="1"/>
  <c r="AH88" i="52" l="1"/>
  <c r="S90" i="52"/>
  <c r="T90" i="52"/>
  <c r="X90" i="52"/>
  <c r="AB90" i="52"/>
  <c r="AC90" i="52" s="1"/>
  <c r="S89" i="52"/>
  <c r="T89" i="52"/>
  <c r="E94" i="52"/>
  <c r="AJ93" i="52"/>
  <c r="F93" i="52"/>
  <c r="G93" i="52" s="1"/>
  <c r="N90" i="52"/>
  <c r="O90" i="52" s="1"/>
  <c r="AK92" i="52"/>
  <c r="AL92" i="52"/>
  <c r="Y88" i="52"/>
  <c r="AF88" i="52"/>
  <c r="AG88" i="52" s="1"/>
  <c r="AM88" i="52" s="1"/>
  <c r="AT85" i="52"/>
  <c r="AU85" i="52"/>
  <c r="AS85" i="52"/>
  <c r="M91" i="52"/>
  <c r="P91" i="52" s="1"/>
  <c r="S91" i="52" s="1"/>
  <c r="T91" i="52"/>
  <c r="U91" i="52"/>
  <c r="V91" i="52" s="1"/>
  <c r="L91" i="52"/>
  <c r="N91" i="52"/>
  <c r="O91" i="52" s="1"/>
  <c r="AO91" i="52"/>
  <c r="AQ91" i="52" s="1"/>
  <c r="Z88" i="52"/>
  <c r="AF86" i="52"/>
  <c r="AG86" i="52"/>
  <c r="AM86" i="52" s="1"/>
  <c r="AN86" i="52" s="1"/>
  <c r="AR86" i="52" s="1"/>
  <c r="AW90" i="52"/>
  <c r="AV90" i="52"/>
  <c r="AZ90" i="52"/>
  <c r="AY90" i="52"/>
  <c r="AX90" i="52"/>
  <c r="I92" i="52"/>
  <c r="Q92" i="52"/>
  <c r="R92" i="52" s="1"/>
  <c r="J92" i="52"/>
  <c r="K92" i="52"/>
  <c r="AO92" i="52" l="1"/>
  <c r="AQ92" i="52" s="1"/>
  <c r="AS86" i="52"/>
  <c r="AU86" i="52"/>
  <c r="AT86" i="52"/>
  <c r="J93" i="52"/>
  <c r="I93" i="52"/>
  <c r="K93" i="52"/>
  <c r="Q93" i="52"/>
  <c r="R93" i="52" s="1"/>
  <c r="AX91" i="52"/>
  <c r="AW91" i="52"/>
  <c r="AY91" i="52"/>
  <c r="AZ91" i="52"/>
  <c r="AV91" i="52"/>
  <c r="AL93" i="52"/>
  <c r="AK93" i="52"/>
  <c r="L92" i="52"/>
  <c r="M92" i="52" s="1"/>
  <c r="P92" i="52" s="1"/>
  <c r="E95" i="52"/>
  <c r="AJ94" i="52"/>
  <c r="F94" i="52"/>
  <c r="G94" i="52" s="1"/>
  <c r="U92" i="52"/>
  <c r="V92" i="52" s="1"/>
  <c r="AN87" i="52"/>
  <c r="AR87" i="52" s="1"/>
  <c r="W91" i="52"/>
  <c r="AA91" i="52" s="1"/>
  <c r="X91" i="52"/>
  <c r="AB91" i="52"/>
  <c r="AC91" i="52" s="1"/>
  <c r="AD89" i="52"/>
  <c r="W89" i="52"/>
  <c r="W90" i="52"/>
  <c r="AA90" i="52" s="1"/>
  <c r="AD90" i="52"/>
  <c r="AE90" i="52" s="1"/>
  <c r="S92" i="52" l="1"/>
  <c r="T92" i="52"/>
  <c r="AT87" i="52"/>
  <c r="AU87" i="52"/>
  <c r="AS87" i="52"/>
  <c r="AE89" i="52"/>
  <c r="AH89" i="52"/>
  <c r="X92" i="52"/>
  <c r="AB92" i="52"/>
  <c r="AC92" i="52" s="1"/>
  <c r="AA89" i="52"/>
  <c r="Z89" i="52"/>
  <c r="Y89" i="52"/>
  <c r="N92" i="52"/>
  <c r="O92" i="52" s="1"/>
  <c r="AH91" i="52"/>
  <c r="Y91" i="52"/>
  <c r="Z91" i="52"/>
  <c r="U93" i="52"/>
  <c r="V93" i="52" s="1"/>
  <c r="Z90" i="52"/>
  <c r="AL94" i="52"/>
  <c r="AK94" i="52"/>
  <c r="AH90" i="52"/>
  <c r="AO93" i="52"/>
  <c r="AQ93" i="52" s="1"/>
  <c r="Y90" i="52"/>
  <c r="I94" i="52"/>
  <c r="Q94" i="52"/>
  <c r="R94" i="52" s="1"/>
  <c r="K94" i="52"/>
  <c r="J94" i="52"/>
  <c r="AF90" i="52"/>
  <c r="AG90" i="52" s="1"/>
  <c r="AM90" i="52" s="1"/>
  <c r="AD91" i="52"/>
  <c r="AE91" i="52" s="1"/>
  <c r="F95" i="52"/>
  <c r="G95" i="52" s="1"/>
  <c r="E96" i="52"/>
  <c r="AJ95" i="52"/>
  <c r="L93" i="52"/>
  <c r="N93" i="52" s="1"/>
  <c r="O93" i="52" s="1"/>
  <c r="AY92" i="52"/>
  <c r="AW92" i="52"/>
  <c r="AX92" i="52"/>
  <c r="AV92" i="52"/>
  <c r="AZ92" i="52"/>
  <c r="AN88" i="52"/>
  <c r="AR88" i="52" s="1"/>
  <c r="AT88" i="52" l="1"/>
  <c r="AS88" i="52"/>
  <c r="AU88" i="52"/>
  <c r="M93" i="52"/>
  <c r="P93" i="52" s="1"/>
  <c r="L94" i="52"/>
  <c r="N94" i="52"/>
  <c r="O94" i="52" s="1"/>
  <c r="AK95" i="52"/>
  <c r="AL95" i="52"/>
  <c r="AF89" i="52"/>
  <c r="AG89" i="52" s="1"/>
  <c r="AM89" i="52" s="1"/>
  <c r="AN89" i="52" s="1"/>
  <c r="U94" i="52"/>
  <c r="V94" i="52" s="1"/>
  <c r="AJ96" i="52"/>
  <c r="E97" i="52"/>
  <c r="F96" i="52"/>
  <c r="G96" i="52" s="1"/>
  <c r="M94" i="52"/>
  <c r="P94" i="52" s="1"/>
  <c r="S94" i="52" s="1"/>
  <c r="AO94" i="52"/>
  <c r="AQ94" i="52" s="1"/>
  <c r="I95" i="52"/>
  <c r="Q95" i="52"/>
  <c r="R95" i="52" s="1"/>
  <c r="J95" i="52"/>
  <c r="K95" i="52"/>
  <c r="X93" i="52"/>
  <c r="AB93" i="52"/>
  <c r="AC93" i="52" s="1"/>
  <c r="AF91" i="52"/>
  <c r="AG91" i="52" s="1"/>
  <c r="AM91" i="52" s="1"/>
  <c r="AV93" i="52"/>
  <c r="AW93" i="52"/>
  <c r="AX93" i="52"/>
  <c r="AY93" i="52"/>
  <c r="AZ93" i="52"/>
  <c r="W92" i="52"/>
  <c r="AA92" i="52" s="1"/>
  <c r="AD92" i="52"/>
  <c r="AE92" i="52" s="1"/>
  <c r="AR89" i="52" l="1"/>
  <c r="AN90" i="52"/>
  <c r="AR90" i="52" s="1"/>
  <c r="X94" i="52"/>
  <c r="AB94" i="52"/>
  <c r="AC94" i="52" s="1"/>
  <c r="T94" i="52"/>
  <c r="AW94" i="52"/>
  <c r="AX94" i="52"/>
  <c r="AY94" i="52"/>
  <c r="AV94" i="52"/>
  <c r="AZ94" i="52"/>
  <c r="Z92" i="52"/>
  <c r="Y92" i="52"/>
  <c r="S93" i="52"/>
  <c r="T93" i="52"/>
  <c r="O95" i="52"/>
  <c r="AJ97" i="52"/>
  <c r="E98" i="52"/>
  <c r="F97" i="52"/>
  <c r="G97" i="52" s="1"/>
  <c r="AO95" i="52"/>
  <c r="AQ95" i="52" s="1"/>
  <c r="L95" i="52"/>
  <c r="M95" i="52" s="1"/>
  <c r="P95" i="52" s="1"/>
  <c r="N95" i="52"/>
  <c r="I96" i="52"/>
  <c r="Q96" i="52"/>
  <c r="R96" i="52" s="1"/>
  <c r="J96" i="52"/>
  <c r="K96" i="52"/>
  <c r="AF92" i="52"/>
  <c r="AG92" i="52" s="1"/>
  <c r="AM92" i="52" s="1"/>
  <c r="U95" i="52"/>
  <c r="V95" i="52" s="1"/>
  <c r="AK96" i="52"/>
  <c r="AL96" i="52"/>
  <c r="AH92" i="52"/>
  <c r="AN91" i="52" l="1"/>
  <c r="AR91" i="52" s="1"/>
  <c r="AN92" i="52"/>
  <c r="AR92" i="52" s="1"/>
  <c r="AT92" i="52" s="1"/>
  <c r="AS92" i="52"/>
  <c r="S95" i="52"/>
  <c r="T95" i="52"/>
  <c r="X95" i="52"/>
  <c r="AB95" i="52"/>
  <c r="AC95" i="52" s="1"/>
  <c r="AO96" i="52"/>
  <c r="AQ96" i="52" s="1"/>
  <c r="U96" i="52"/>
  <c r="V96" i="52" s="1"/>
  <c r="AJ98" i="52"/>
  <c r="E99" i="52"/>
  <c r="F98" i="52"/>
  <c r="G98" i="52" s="1"/>
  <c r="AS89" i="52"/>
  <c r="AU89" i="52"/>
  <c r="AT89" i="52"/>
  <c r="AK97" i="52"/>
  <c r="AL97" i="52"/>
  <c r="AD93" i="52"/>
  <c r="W93" i="52"/>
  <c r="AT91" i="52"/>
  <c r="AU91" i="52"/>
  <c r="AS91" i="52"/>
  <c r="AX95" i="52"/>
  <c r="AY95" i="52"/>
  <c r="AZ95" i="52"/>
  <c r="AW95" i="52"/>
  <c r="AV95" i="52"/>
  <c r="W94" i="52"/>
  <c r="AA94" i="52" s="1"/>
  <c r="AD94" i="52"/>
  <c r="AE94" i="52" s="1"/>
  <c r="L96" i="52"/>
  <c r="N96" i="52" s="1"/>
  <c r="O96" i="52" s="1"/>
  <c r="J97" i="52"/>
  <c r="I97" i="52"/>
  <c r="K97" i="52"/>
  <c r="Q97" i="52"/>
  <c r="R97" i="52" s="1"/>
  <c r="AS90" i="52"/>
  <c r="AT90" i="52"/>
  <c r="AU90" i="52"/>
  <c r="AU92" i="52" l="1"/>
  <c r="AY96" i="52"/>
  <c r="AZ96" i="52"/>
  <c r="AV96" i="52"/>
  <c r="AW96" i="52"/>
  <c r="AX96" i="52"/>
  <c r="Z94" i="52"/>
  <c r="Y94" i="52"/>
  <c r="AL98" i="52"/>
  <c r="AK98" i="52"/>
  <c r="X96" i="52"/>
  <c r="AB96" i="52"/>
  <c r="AC96" i="52" s="1"/>
  <c r="AE93" i="52"/>
  <c r="AH93" i="52"/>
  <c r="AO97" i="52"/>
  <c r="AQ97" i="52" s="1"/>
  <c r="AJ99" i="52"/>
  <c r="E100" i="52"/>
  <c r="F99" i="52"/>
  <c r="G99" i="52" s="1"/>
  <c r="AF94" i="52"/>
  <c r="AG94" i="52" s="1"/>
  <c r="AM94" i="52" s="1"/>
  <c r="AA93" i="52"/>
  <c r="Z93" i="52"/>
  <c r="Y93" i="52"/>
  <c r="K98" i="52"/>
  <c r="I98" i="52"/>
  <c r="Q98" i="52"/>
  <c r="R98" i="52" s="1"/>
  <c r="J98" i="52"/>
  <c r="U97" i="52"/>
  <c r="V97" i="52" s="1"/>
  <c r="W95" i="52"/>
  <c r="AA95" i="52" s="1"/>
  <c r="AD95" i="52"/>
  <c r="AE95" i="52" s="1"/>
  <c r="L97" i="52"/>
  <c r="N97" i="52" s="1"/>
  <c r="O97" i="52" s="1"/>
  <c r="AH94" i="52"/>
  <c r="M96" i="52"/>
  <c r="P96" i="52" s="1"/>
  <c r="AH95" i="52" l="1"/>
  <c r="AF95" i="52"/>
  <c r="AG95" i="52" s="1"/>
  <c r="AM95" i="52" s="1"/>
  <c r="AK99" i="52"/>
  <c r="AL99" i="52"/>
  <c r="AO98" i="52"/>
  <c r="AQ98" i="52" s="1"/>
  <c r="F100" i="52"/>
  <c r="G100" i="52" s="1"/>
  <c r="E101" i="52"/>
  <c r="AJ100" i="52"/>
  <c r="M97" i="52"/>
  <c r="P97" i="52" s="1"/>
  <c r="AZ97" i="52"/>
  <c r="AV97" i="52"/>
  <c r="AW97" i="52"/>
  <c r="AX97" i="52"/>
  <c r="AY97" i="52"/>
  <c r="L98" i="52"/>
  <c r="N98" i="52" s="1"/>
  <c r="O98" i="52" s="1"/>
  <c r="AF93" i="52"/>
  <c r="AG93" i="52" s="1"/>
  <c r="AM93" i="52" s="1"/>
  <c r="AN93" i="52" s="1"/>
  <c r="Y95" i="52"/>
  <c r="X97" i="52"/>
  <c r="AB97" i="52"/>
  <c r="AC97" i="52" s="1"/>
  <c r="S96" i="52"/>
  <c r="T96" i="52"/>
  <c r="Z95" i="52"/>
  <c r="U98" i="52"/>
  <c r="V98" i="52" s="1"/>
  <c r="J99" i="52"/>
  <c r="Q99" i="52"/>
  <c r="R99" i="52" s="1"/>
  <c r="K99" i="52"/>
  <c r="I99" i="52"/>
  <c r="AR93" i="52" l="1"/>
  <c r="AN94" i="52"/>
  <c r="AR94" i="52" s="1"/>
  <c r="X98" i="52"/>
  <c r="AB98" i="52"/>
  <c r="AC98" i="52" s="1"/>
  <c r="AJ101" i="52"/>
  <c r="E102" i="52"/>
  <c r="F101" i="52"/>
  <c r="G101" i="52" s="1"/>
  <c r="U99" i="52"/>
  <c r="V99" i="52" s="1"/>
  <c r="AO99" i="52"/>
  <c r="AQ99" i="52" s="1"/>
  <c r="AK100" i="52"/>
  <c r="AL100" i="52"/>
  <c r="W96" i="52"/>
  <c r="AD96" i="52"/>
  <c r="M98" i="52"/>
  <c r="P98" i="52" s="1"/>
  <c r="S97" i="52"/>
  <c r="T97" i="52"/>
  <c r="AZ98" i="52"/>
  <c r="AW98" i="52"/>
  <c r="AV98" i="52"/>
  <c r="AX98" i="52"/>
  <c r="AY98" i="52"/>
  <c r="L99" i="52"/>
  <c r="N99" i="52" s="1"/>
  <c r="O99" i="52" s="1"/>
  <c r="Q100" i="52"/>
  <c r="R100" i="52" s="1"/>
  <c r="I100" i="52"/>
  <c r="J100" i="52"/>
  <c r="K100" i="52"/>
  <c r="M99" i="52" l="1"/>
  <c r="P99" i="52" s="1"/>
  <c r="S99" i="52" s="1"/>
  <c r="AN95" i="52"/>
  <c r="AR95" i="52" s="1"/>
  <c r="AU95" i="52" s="1"/>
  <c r="X99" i="52"/>
  <c r="AB99" i="52"/>
  <c r="AC99" i="52" s="1"/>
  <c r="S98" i="52"/>
  <c r="T98" i="52"/>
  <c r="T99" i="52"/>
  <c r="AD97" i="52"/>
  <c r="W97" i="52"/>
  <c r="AT95" i="52"/>
  <c r="AS95" i="52"/>
  <c r="AE96" i="52"/>
  <c r="AH96" i="52"/>
  <c r="AA96" i="52"/>
  <c r="Y96" i="52"/>
  <c r="Z96" i="52"/>
  <c r="U100" i="52"/>
  <c r="V100" i="52" s="1"/>
  <c r="AO100" i="52"/>
  <c r="AQ100" i="52" s="1"/>
  <c r="AJ102" i="52"/>
  <c r="E103" i="52"/>
  <c r="F102" i="52"/>
  <c r="G102" i="52" s="1"/>
  <c r="AT94" i="52"/>
  <c r="AU94" i="52"/>
  <c r="AS94" i="52"/>
  <c r="L100" i="52"/>
  <c r="M100" i="52" s="1"/>
  <c r="P100" i="52" s="1"/>
  <c r="S100" i="52" s="1"/>
  <c r="N100" i="52"/>
  <c r="O100" i="52" s="1"/>
  <c r="J101" i="52"/>
  <c r="K101" i="52"/>
  <c r="Q101" i="52"/>
  <c r="R101" i="52" s="1"/>
  <c r="I101" i="52"/>
  <c r="AV99" i="52"/>
  <c r="AW99" i="52"/>
  <c r="AX99" i="52"/>
  <c r="AY99" i="52"/>
  <c r="AZ99" i="52"/>
  <c r="AK101" i="52"/>
  <c r="AL101" i="52"/>
  <c r="AU93" i="52"/>
  <c r="AT93" i="52"/>
  <c r="AS93" i="52"/>
  <c r="AD98" i="52" l="1"/>
  <c r="W98" i="52"/>
  <c r="AO101" i="52"/>
  <c r="AQ101" i="52" s="1"/>
  <c r="AY100" i="52"/>
  <c r="AZ100" i="52"/>
  <c r="AV100" i="52"/>
  <c r="AX100" i="52"/>
  <c r="AW100" i="52"/>
  <c r="AF96" i="52"/>
  <c r="AG96" i="52" s="1"/>
  <c r="AM96" i="52" s="1"/>
  <c r="AN96" i="52" s="1"/>
  <c r="AR96" i="52" s="1"/>
  <c r="T100" i="52"/>
  <c r="U101" i="52"/>
  <c r="V101" i="52" s="1"/>
  <c r="K102" i="52"/>
  <c r="J102" i="52"/>
  <c r="Q102" i="52"/>
  <c r="R102" i="52" s="1"/>
  <c r="I102" i="52"/>
  <c r="AA97" i="52"/>
  <c r="Z97" i="52"/>
  <c r="Y97" i="52"/>
  <c r="AD99" i="52"/>
  <c r="AE99" i="52" s="1"/>
  <c r="W99" i="52"/>
  <c r="AA99" i="52" s="1"/>
  <c r="AK102" i="52"/>
  <c r="AL102" i="52"/>
  <c r="X100" i="52"/>
  <c r="AB100" i="52"/>
  <c r="AC100" i="52" s="1"/>
  <c r="L101" i="52"/>
  <c r="M101" i="52" s="1"/>
  <c r="P101" i="52" s="1"/>
  <c r="S101" i="52" s="1"/>
  <c r="E104" i="52"/>
  <c r="F103" i="52"/>
  <c r="G103" i="52" s="1"/>
  <c r="AJ103" i="52"/>
  <c r="AE97" i="52"/>
  <c r="AH97" i="52"/>
  <c r="N101" i="52" l="1"/>
  <c r="O101" i="52" s="1"/>
  <c r="AS96" i="52"/>
  <c r="AT96" i="52"/>
  <c r="AU96" i="52"/>
  <c r="AO102" i="52"/>
  <c r="AQ102" i="52" s="1"/>
  <c r="I103" i="52"/>
  <c r="Q103" i="52"/>
  <c r="R103" i="52" s="1"/>
  <c r="J103" i="52"/>
  <c r="K103" i="52"/>
  <c r="E105" i="52"/>
  <c r="AJ104" i="52"/>
  <c r="F104" i="52"/>
  <c r="G104" i="52" s="1"/>
  <c r="AF99" i="52"/>
  <c r="AG99" i="52"/>
  <c r="AM99" i="52" s="1"/>
  <c r="Z99" i="52"/>
  <c r="AH99" i="52"/>
  <c r="AZ101" i="52"/>
  <c r="AW101" i="52"/>
  <c r="AV101" i="52"/>
  <c r="AX101" i="52"/>
  <c r="AY101" i="52"/>
  <c r="AF97" i="52"/>
  <c r="AG97" i="52" s="1"/>
  <c r="AM97" i="52" s="1"/>
  <c r="AN97" i="52" s="1"/>
  <c r="AR97" i="52" s="1"/>
  <c r="Y99" i="52"/>
  <c r="X101" i="52"/>
  <c r="AB101" i="52"/>
  <c r="AC101" i="52" s="1"/>
  <c r="AA98" i="52"/>
  <c r="Y98" i="52"/>
  <c r="Z98" i="52"/>
  <c r="AD100" i="52"/>
  <c r="AE100" i="52" s="1"/>
  <c r="W100" i="52"/>
  <c r="AA100" i="52" s="1"/>
  <c r="AK103" i="52"/>
  <c r="AL103" i="52"/>
  <c r="U102" i="52"/>
  <c r="V102" i="52" s="1"/>
  <c r="L102" i="52"/>
  <c r="N102" i="52" s="1"/>
  <c r="O102" i="52" s="1"/>
  <c r="T101" i="52"/>
  <c r="AE98" i="52"/>
  <c r="AH98" i="52"/>
  <c r="M102" i="52" l="1"/>
  <c r="P102" i="52" s="1"/>
  <c r="S102" i="52" s="1"/>
  <c r="AH100" i="52"/>
  <c r="AT97" i="52"/>
  <c r="AU97" i="52"/>
  <c r="AS97" i="52"/>
  <c r="U103" i="52"/>
  <c r="V103" i="52" s="1"/>
  <c r="AF98" i="52"/>
  <c r="AG98" i="52" s="1"/>
  <c r="AM98" i="52" s="1"/>
  <c r="AN98" i="52" s="1"/>
  <c r="AR98" i="52" s="1"/>
  <c r="AO103" i="52"/>
  <c r="AQ103" i="52" s="1"/>
  <c r="M103" i="52"/>
  <c r="P103" i="52" s="1"/>
  <c r="S103" i="52" s="1"/>
  <c r="W101" i="52"/>
  <c r="AA101" i="52" s="1"/>
  <c r="AD101" i="52"/>
  <c r="AE101" i="52" s="1"/>
  <c r="J104" i="52"/>
  <c r="Q104" i="52"/>
  <c r="R104" i="52" s="1"/>
  <c r="K104" i="52"/>
  <c r="I104" i="52"/>
  <c r="AF100" i="52"/>
  <c r="AG100" i="52" s="1"/>
  <c r="AM100" i="52" s="1"/>
  <c r="X102" i="52"/>
  <c r="AB102" i="52"/>
  <c r="AC102" i="52" s="1"/>
  <c r="AL104" i="52"/>
  <c r="AK104" i="52"/>
  <c r="AX102" i="52"/>
  <c r="AY102" i="52"/>
  <c r="AZ102" i="52"/>
  <c r="AV102" i="52"/>
  <c r="AW102" i="52"/>
  <c r="Z100" i="52"/>
  <c r="AJ105" i="52"/>
  <c r="E106" i="52"/>
  <c r="F105" i="52"/>
  <c r="G105" i="52" s="1"/>
  <c r="Y100" i="52"/>
  <c r="T102" i="52"/>
  <c r="L103" i="52"/>
  <c r="N103" i="52"/>
  <c r="O103" i="52" s="1"/>
  <c r="K105" i="52" l="1"/>
  <c r="I105" i="52"/>
  <c r="J105" i="52"/>
  <c r="Q105" i="52"/>
  <c r="R105" i="52" s="1"/>
  <c r="AF101" i="52"/>
  <c r="AG101" i="52" s="1"/>
  <c r="AM101" i="52" s="1"/>
  <c r="X103" i="52"/>
  <c r="AB103" i="52"/>
  <c r="AC103" i="52" s="1"/>
  <c r="T103" i="52"/>
  <c r="AH101" i="52"/>
  <c r="M104" i="52"/>
  <c r="P104" i="52" s="1"/>
  <c r="S104" i="52" s="1"/>
  <c r="Z101" i="52"/>
  <c r="L104" i="52"/>
  <c r="N104" i="52" s="1"/>
  <c r="O104" i="52" s="1"/>
  <c r="E107" i="52"/>
  <c r="AJ106" i="52"/>
  <c r="F106" i="52"/>
  <c r="G106" i="52" s="1"/>
  <c r="Y101" i="52"/>
  <c r="AO104" i="52"/>
  <c r="AQ104" i="52" s="1"/>
  <c r="AS98" i="52"/>
  <c r="AU98" i="52"/>
  <c r="AT98" i="52"/>
  <c r="AK105" i="52"/>
  <c r="AL105" i="52"/>
  <c r="AN99" i="52"/>
  <c r="AR99" i="52" s="1"/>
  <c r="W102" i="52"/>
  <c r="AA102" i="52" s="1"/>
  <c r="AD102" i="52"/>
  <c r="AE102" i="52" s="1"/>
  <c r="U104" i="52"/>
  <c r="V104" i="52" s="1"/>
  <c r="AY103" i="52"/>
  <c r="AW103" i="52"/>
  <c r="AV103" i="52"/>
  <c r="AX103" i="52"/>
  <c r="AZ103" i="52"/>
  <c r="AH102" i="52" l="1"/>
  <c r="T104" i="52"/>
  <c r="W104" i="52" s="1"/>
  <c r="AA104" i="52" s="1"/>
  <c r="Z102" i="52"/>
  <c r="AN100" i="52"/>
  <c r="AR100" i="52" s="1"/>
  <c r="AU100" i="52" s="1"/>
  <c r="AV104" i="52"/>
  <c r="AZ104" i="52"/>
  <c r="AY104" i="52"/>
  <c r="AW104" i="52"/>
  <c r="AX104" i="52"/>
  <c r="AT99" i="52"/>
  <c r="AS99" i="52"/>
  <c r="AU99" i="52"/>
  <c r="AO105" i="52"/>
  <c r="AQ105" i="52" s="1"/>
  <c r="U105" i="52"/>
  <c r="V105" i="52" s="1"/>
  <c r="X104" i="52"/>
  <c r="AB104" i="52"/>
  <c r="AC104" i="52" s="1"/>
  <c r="AD104" i="52" s="1"/>
  <c r="AE104" i="52" s="1"/>
  <c r="AK106" i="52"/>
  <c r="AL106" i="52"/>
  <c r="Y102" i="52"/>
  <c r="K106" i="52"/>
  <c r="I106" i="52"/>
  <c r="Q106" i="52"/>
  <c r="R106" i="52" s="1"/>
  <c r="J106" i="52"/>
  <c r="L105" i="52"/>
  <c r="N105" i="52" s="1"/>
  <c r="O105" i="52" s="1"/>
  <c r="AF102" i="52"/>
  <c r="AG102" i="52"/>
  <c r="AM102" i="52" s="1"/>
  <c r="E108" i="52"/>
  <c r="AJ107" i="52"/>
  <c r="F107" i="52"/>
  <c r="G107" i="52" s="1"/>
  <c r="AD103" i="52"/>
  <c r="AE103" i="52" s="1"/>
  <c r="W103" i="52"/>
  <c r="AA103" i="52" s="1"/>
  <c r="AT100" i="52" l="1"/>
  <c r="AS100" i="52"/>
  <c r="AN101" i="52"/>
  <c r="AR101" i="52" s="1"/>
  <c r="AF104" i="52"/>
  <c r="AG104" i="52" s="1"/>
  <c r="AM104" i="52" s="1"/>
  <c r="F108" i="52"/>
  <c r="G108" i="52" s="1"/>
  <c r="AJ108" i="52"/>
  <c r="E109" i="52"/>
  <c r="Z104" i="52"/>
  <c r="Y104" i="52"/>
  <c r="X105" i="52"/>
  <c r="AB105" i="52"/>
  <c r="AC105" i="52" s="1"/>
  <c r="AF103" i="52"/>
  <c r="AG103" i="52" s="1"/>
  <c r="AM103" i="52" s="1"/>
  <c r="M105" i="52"/>
  <c r="P105" i="52" s="1"/>
  <c r="I107" i="52"/>
  <c r="Q107" i="52"/>
  <c r="R107" i="52" s="1"/>
  <c r="J107" i="52"/>
  <c r="K107" i="52"/>
  <c r="AO106" i="52"/>
  <c r="AQ106" i="52" s="1"/>
  <c r="Z103" i="52"/>
  <c r="AH103" i="52"/>
  <c r="AL107" i="52"/>
  <c r="AK107" i="52"/>
  <c r="U106" i="52"/>
  <c r="V106" i="52" s="1"/>
  <c r="Y103" i="52"/>
  <c r="AV105" i="52"/>
  <c r="AW105" i="52"/>
  <c r="AX105" i="52"/>
  <c r="AZ105" i="52"/>
  <c r="AY105" i="52"/>
  <c r="L106" i="52"/>
  <c r="N106" i="52"/>
  <c r="O106" i="52" s="1"/>
  <c r="M106" i="52"/>
  <c r="P106" i="52" s="1"/>
  <c r="S106" i="52" s="1"/>
  <c r="AH104" i="52"/>
  <c r="AS101" i="52" l="1"/>
  <c r="AU101" i="52"/>
  <c r="AT101" i="52"/>
  <c r="AN102" i="52"/>
  <c r="AR102" i="52" s="1"/>
  <c r="T106" i="52"/>
  <c r="L107" i="52"/>
  <c r="N107" i="52" s="1"/>
  <c r="O107" i="52" s="1"/>
  <c r="U107" i="52"/>
  <c r="V107" i="52" s="1"/>
  <c r="AO107" i="52"/>
  <c r="AQ107" i="52" s="1"/>
  <c r="S105" i="52"/>
  <c r="T105" i="52"/>
  <c r="AJ109" i="52"/>
  <c r="E110" i="52"/>
  <c r="F109" i="52"/>
  <c r="G109" i="52" s="1"/>
  <c r="AL108" i="52"/>
  <c r="AK108" i="52"/>
  <c r="AW106" i="52"/>
  <c r="AX106" i="52"/>
  <c r="AZ106" i="52"/>
  <c r="AV106" i="52"/>
  <c r="AY106" i="52"/>
  <c r="I108" i="52"/>
  <c r="Q108" i="52"/>
  <c r="R108" i="52" s="1"/>
  <c r="J108" i="52"/>
  <c r="K108" i="52"/>
  <c r="X106" i="52"/>
  <c r="AB106" i="52"/>
  <c r="AC106" i="52" s="1"/>
  <c r="AN103" i="52" l="1"/>
  <c r="AS102" i="52"/>
  <c r="AT102" i="52"/>
  <c r="AU102" i="52"/>
  <c r="M107" i="52"/>
  <c r="P107" i="52" s="1"/>
  <c r="AO108" i="52"/>
  <c r="AQ108" i="52" s="1"/>
  <c r="W106" i="52"/>
  <c r="AA106" i="52" s="1"/>
  <c r="AD106" i="52"/>
  <c r="AE106" i="52" s="1"/>
  <c r="M108" i="52"/>
  <c r="P108" i="52" s="1"/>
  <c r="S108" i="52" s="1"/>
  <c r="AX107" i="52"/>
  <c r="AY107" i="52"/>
  <c r="AW107" i="52"/>
  <c r="AV107" i="52"/>
  <c r="AZ107" i="52"/>
  <c r="AJ110" i="52"/>
  <c r="E111" i="52"/>
  <c r="F110" i="52"/>
  <c r="G110" i="52" s="1"/>
  <c r="X107" i="52"/>
  <c r="AB107" i="52"/>
  <c r="AC107" i="52" s="1"/>
  <c r="L108" i="52"/>
  <c r="N108" i="52" s="1"/>
  <c r="O108" i="52" s="1"/>
  <c r="AK109" i="52"/>
  <c r="AL109" i="52"/>
  <c r="J109" i="52"/>
  <c r="K109" i="52"/>
  <c r="I109" i="52"/>
  <c r="Q109" i="52"/>
  <c r="R109" i="52" s="1"/>
  <c r="U108" i="52"/>
  <c r="V108" i="52" s="1"/>
  <c r="AD105" i="52"/>
  <c r="W105" i="52"/>
  <c r="AR103" i="52" l="1"/>
  <c r="AN104" i="52"/>
  <c r="AR104" i="52" s="1"/>
  <c r="T108" i="52"/>
  <c r="Z106" i="52"/>
  <c r="AK110" i="52"/>
  <c r="AL110" i="52"/>
  <c r="Y106" i="52"/>
  <c r="AH106" i="52"/>
  <c r="U109" i="52"/>
  <c r="V109" i="52" s="1"/>
  <c r="AF106" i="52"/>
  <c r="AG106" i="52" s="1"/>
  <c r="AM106" i="52" s="1"/>
  <c r="AE105" i="52"/>
  <c r="AH105" i="52"/>
  <c r="L109" i="52"/>
  <c r="M109" i="52" s="1"/>
  <c r="P109" i="52" s="1"/>
  <c r="K110" i="52"/>
  <c r="I110" i="52"/>
  <c r="Q110" i="52"/>
  <c r="R110" i="52" s="1"/>
  <c r="J110" i="52"/>
  <c r="AY108" i="52"/>
  <c r="AZ108" i="52"/>
  <c r="AV108" i="52"/>
  <c r="AX108" i="52"/>
  <c r="AW108" i="52"/>
  <c r="AA105" i="52"/>
  <c r="Z105" i="52"/>
  <c r="Y105" i="52"/>
  <c r="X108" i="52"/>
  <c r="AB108" i="52"/>
  <c r="AC108" i="52" s="1"/>
  <c r="AO109" i="52"/>
  <c r="AQ109" i="52" s="1"/>
  <c r="E112" i="52"/>
  <c r="F111" i="52"/>
  <c r="G111" i="52" s="1"/>
  <c r="AJ111" i="52"/>
  <c r="S107" i="52"/>
  <c r="T107" i="52"/>
  <c r="AS104" i="52" l="1"/>
  <c r="AT104" i="52"/>
  <c r="AU104" i="52"/>
  <c r="AU103" i="52"/>
  <c r="AS103" i="52"/>
  <c r="AT103" i="52"/>
  <c r="S109" i="52"/>
  <c r="T109" i="52"/>
  <c r="AO110" i="52"/>
  <c r="AQ110" i="52" s="1"/>
  <c r="X109" i="52"/>
  <c r="AB109" i="52"/>
  <c r="AC109" i="52" s="1"/>
  <c r="Z108" i="52"/>
  <c r="N109" i="52"/>
  <c r="O109" i="52" s="1"/>
  <c r="AF105" i="52"/>
  <c r="AG105" i="52" s="1"/>
  <c r="AM105" i="52" s="1"/>
  <c r="AN105" i="52" s="1"/>
  <c r="L110" i="52"/>
  <c r="N110" i="52"/>
  <c r="O110" i="52" s="1"/>
  <c r="AZ109" i="52"/>
  <c r="AW109" i="52"/>
  <c r="AX109" i="52"/>
  <c r="AY109" i="52"/>
  <c r="AV109" i="52"/>
  <c r="AD108" i="52"/>
  <c r="AE108" i="52" s="1"/>
  <c r="W108" i="52"/>
  <c r="AA108" i="52" s="1"/>
  <c r="AD107" i="52"/>
  <c r="W107" i="52"/>
  <c r="E113" i="52"/>
  <c r="F112" i="52"/>
  <c r="G112" i="52" s="1"/>
  <c r="AJ112" i="52"/>
  <c r="U110" i="52"/>
  <c r="V110" i="52" s="1"/>
  <c r="M110" i="52"/>
  <c r="P110" i="52" s="1"/>
  <c r="S110" i="52" s="1"/>
  <c r="AK111" i="52"/>
  <c r="AL111" i="52"/>
  <c r="I111" i="52"/>
  <c r="Q111" i="52"/>
  <c r="R111" i="52" s="1"/>
  <c r="K111" i="52"/>
  <c r="J111" i="52"/>
  <c r="AR105" i="52" l="1"/>
  <c r="AN106" i="52"/>
  <c r="AR106" i="52" s="1"/>
  <c r="AE107" i="52"/>
  <c r="AH107" i="52"/>
  <c r="Y108" i="52"/>
  <c r="U111" i="52"/>
  <c r="V111" i="52" s="1"/>
  <c r="T110" i="52"/>
  <c r="AF108" i="52"/>
  <c r="AG108" i="52" s="1"/>
  <c r="AM108" i="52" s="1"/>
  <c r="M111" i="52"/>
  <c r="P111" i="52" s="1"/>
  <c r="S111" i="52" s="1"/>
  <c r="AO111" i="52"/>
  <c r="AQ111" i="52" s="1"/>
  <c r="AL112" i="52"/>
  <c r="AK112" i="52"/>
  <c r="J112" i="52"/>
  <c r="Q112" i="52"/>
  <c r="R112" i="52" s="1"/>
  <c r="I112" i="52"/>
  <c r="K112" i="52"/>
  <c r="AX110" i="52"/>
  <c r="AW110" i="52"/>
  <c r="AV110" i="52"/>
  <c r="AY110" i="52"/>
  <c r="AZ110" i="52"/>
  <c r="AJ113" i="52"/>
  <c r="E114" i="52"/>
  <c r="F113" i="52"/>
  <c r="G113" i="52" s="1"/>
  <c r="L111" i="52"/>
  <c r="N111" i="52" s="1"/>
  <c r="O111" i="52" s="1"/>
  <c r="X110" i="52"/>
  <c r="AB110" i="52"/>
  <c r="AC110" i="52" s="1"/>
  <c r="AH108" i="52"/>
  <c r="AA107" i="52"/>
  <c r="Y107" i="52"/>
  <c r="Z107" i="52"/>
  <c r="W109" i="52"/>
  <c r="AA109" i="52" s="1"/>
  <c r="AD109" i="52"/>
  <c r="AE109" i="52" s="1"/>
  <c r="T111" i="52" l="1"/>
  <c r="Y109" i="52"/>
  <c r="Z109" i="52"/>
  <c r="X111" i="52"/>
  <c r="AB111" i="52"/>
  <c r="AC111" i="52" s="1"/>
  <c r="K113" i="52"/>
  <c r="J113" i="52"/>
  <c r="I113" i="52"/>
  <c r="Q113" i="52"/>
  <c r="R113" i="52" s="1"/>
  <c r="AH109" i="52"/>
  <c r="AF107" i="52"/>
  <c r="AG107" i="52" s="1"/>
  <c r="AM107" i="52" s="1"/>
  <c r="AN107" i="52" s="1"/>
  <c r="AK113" i="52"/>
  <c r="AL113" i="52"/>
  <c r="AD110" i="52"/>
  <c r="AE110" i="52" s="1"/>
  <c r="W110" i="52"/>
  <c r="AA110" i="52" s="1"/>
  <c r="Z110" i="52"/>
  <c r="Y110" i="52"/>
  <c r="AD111" i="52"/>
  <c r="AE111" i="52" s="1"/>
  <c r="W111" i="52"/>
  <c r="AA111" i="52" s="1"/>
  <c r="L112" i="52"/>
  <c r="M112" i="52" s="1"/>
  <c r="P112" i="52" s="1"/>
  <c r="E115" i="52"/>
  <c r="AJ114" i="52"/>
  <c r="F114" i="52"/>
  <c r="G114" i="52" s="1"/>
  <c r="AU106" i="52"/>
  <c r="AT106" i="52"/>
  <c r="AS106" i="52"/>
  <c r="AF109" i="52"/>
  <c r="AG109" i="52"/>
  <c r="AM109" i="52" s="1"/>
  <c r="U112" i="52"/>
  <c r="V112" i="52" s="1"/>
  <c r="AO112" i="52"/>
  <c r="AQ112" i="52" s="1"/>
  <c r="AY111" i="52"/>
  <c r="AZ111" i="52"/>
  <c r="AV111" i="52"/>
  <c r="AW111" i="52"/>
  <c r="AX111" i="52"/>
  <c r="AU105" i="52"/>
  <c r="AS105" i="52"/>
  <c r="AT105" i="52"/>
  <c r="AR107" i="52" l="1"/>
  <c r="AN108" i="52"/>
  <c r="AR108" i="52" s="1"/>
  <c r="S112" i="52"/>
  <c r="T112" i="52"/>
  <c r="X112" i="52"/>
  <c r="AB112" i="52"/>
  <c r="AC112" i="52" s="1"/>
  <c r="Q114" i="52"/>
  <c r="R114" i="52" s="1"/>
  <c r="J114" i="52"/>
  <c r="I114" i="52"/>
  <c r="K114" i="52"/>
  <c r="AN109" i="52"/>
  <c r="AR109" i="52" s="1"/>
  <c r="AK114" i="52"/>
  <c r="AL114" i="52"/>
  <c r="U113" i="52"/>
  <c r="V113" i="52" s="1"/>
  <c r="E116" i="52"/>
  <c r="AJ115" i="52"/>
  <c r="F115" i="52"/>
  <c r="G115" i="52" s="1"/>
  <c r="L113" i="52"/>
  <c r="M113" i="52" s="1"/>
  <c r="P113" i="52" s="1"/>
  <c r="AH110" i="52"/>
  <c r="AO113" i="52"/>
  <c r="AQ113" i="52" s="1"/>
  <c r="AV112" i="52"/>
  <c r="AZ112" i="52"/>
  <c r="AW112" i="52"/>
  <c r="AX112" i="52"/>
  <c r="AY112" i="52"/>
  <c r="N112" i="52"/>
  <c r="O112" i="52" s="1"/>
  <c r="AH111" i="52"/>
  <c r="AF110" i="52"/>
  <c r="AG110" i="52" s="1"/>
  <c r="AM110" i="52" s="1"/>
  <c r="AN110" i="52" s="1"/>
  <c r="AR110" i="52" s="1"/>
  <c r="AF111" i="52"/>
  <c r="AG111" i="52" s="1"/>
  <c r="AM111" i="52" s="1"/>
  <c r="Y111" i="52"/>
  <c r="Z111" i="52"/>
  <c r="AN111" i="52" l="1"/>
  <c r="AR111" i="52" s="1"/>
  <c r="AT111" i="52"/>
  <c r="AU111" i="52"/>
  <c r="AS111" i="52"/>
  <c r="S113" i="52"/>
  <c r="T113" i="52"/>
  <c r="AJ116" i="52"/>
  <c r="F116" i="52"/>
  <c r="G116" i="52" s="1"/>
  <c r="E117" i="52"/>
  <c r="L114" i="52"/>
  <c r="N114" i="52" s="1"/>
  <c r="O114" i="52" s="1"/>
  <c r="X113" i="52"/>
  <c r="AB113" i="52"/>
  <c r="AC113" i="52" s="1"/>
  <c r="U114" i="52"/>
  <c r="V114" i="52" s="1"/>
  <c r="AV113" i="52"/>
  <c r="AW113" i="52"/>
  <c r="AY113" i="52"/>
  <c r="AZ113" i="52"/>
  <c r="AX113" i="52"/>
  <c r="AL115" i="52"/>
  <c r="AK115" i="52"/>
  <c r="AT110" i="52"/>
  <c r="AU110" i="52"/>
  <c r="AS110" i="52"/>
  <c r="N113" i="52"/>
  <c r="O113" i="52" s="1"/>
  <c r="I115" i="52"/>
  <c r="Q115" i="52"/>
  <c r="R115" i="52" s="1"/>
  <c r="K115" i="52"/>
  <c r="J115" i="52"/>
  <c r="AT109" i="52"/>
  <c r="AU109" i="52"/>
  <c r="AS109" i="52"/>
  <c r="AU107" i="52"/>
  <c r="AS107" i="52"/>
  <c r="AT107" i="52"/>
  <c r="AH112" i="52"/>
  <c r="AO114" i="52"/>
  <c r="AQ114" i="52" s="1"/>
  <c r="AD112" i="52"/>
  <c r="AE112" i="52" s="1"/>
  <c r="W112" i="52"/>
  <c r="AA112" i="52" s="1"/>
  <c r="AU108" i="52"/>
  <c r="AT108" i="52"/>
  <c r="AS108" i="52"/>
  <c r="M114" i="52" l="1"/>
  <c r="P114" i="52" s="1"/>
  <c r="AJ117" i="52"/>
  <c r="E118" i="52"/>
  <c r="F117" i="52"/>
  <c r="G117" i="52" s="1"/>
  <c r="U115" i="52"/>
  <c r="V115" i="52" s="1"/>
  <c r="X114" i="52"/>
  <c r="AB114" i="52"/>
  <c r="AC114" i="52" s="1"/>
  <c r="I116" i="52"/>
  <c r="Q116" i="52"/>
  <c r="R116" i="52" s="1"/>
  <c r="J116" i="52"/>
  <c r="K116" i="52"/>
  <c r="L115" i="52"/>
  <c r="N115" i="52" s="1"/>
  <c r="O115" i="52" s="1"/>
  <c r="AF112" i="52"/>
  <c r="AG112" i="52"/>
  <c r="AM112" i="52" s="1"/>
  <c r="AN112" i="52" s="1"/>
  <c r="AR112" i="52" s="1"/>
  <c r="Z112" i="52"/>
  <c r="Z113" i="52"/>
  <c r="AO115" i="52"/>
  <c r="AQ115" i="52" s="1"/>
  <c r="AK116" i="52"/>
  <c r="AL116" i="52"/>
  <c r="Y112" i="52"/>
  <c r="AD113" i="52"/>
  <c r="AE113" i="52" s="1"/>
  <c r="W113" i="52"/>
  <c r="AA113" i="52" s="1"/>
  <c r="AW114" i="52"/>
  <c r="AX114" i="52"/>
  <c r="AY114" i="52"/>
  <c r="AV114" i="52"/>
  <c r="AZ114" i="52"/>
  <c r="S114" i="52" l="1"/>
  <c r="T114" i="52"/>
  <c r="W114" i="52" s="1"/>
  <c r="AA114" i="52" s="1"/>
  <c r="AU112" i="52"/>
  <c r="AT112" i="52"/>
  <c r="AS112" i="52"/>
  <c r="AK117" i="52"/>
  <c r="AL117" i="52"/>
  <c r="M115" i="52"/>
  <c r="P115" i="52" s="1"/>
  <c r="X115" i="52"/>
  <c r="AB115" i="52"/>
  <c r="AC115" i="52" s="1"/>
  <c r="AO116" i="52"/>
  <c r="AQ116" i="52" s="1"/>
  <c r="Y113" i="52"/>
  <c r="J117" i="52"/>
  <c r="K117" i="52"/>
  <c r="Q117" i="52"/>
  <c r="R117" i="52" s="1"/>
  <c r="I117" i="52"/>
  <c r="U116" i="52"/>
  <c r="V116" i="52" s="1"/>
  <c r="AJ118" i="52"/>
  <c r="E119" i="52"/>
  <c r="F118" i="52"/>
  <c r="G118" i="52" s="1"/>
  <c r="AF113" i="52"/>
  <c r="AG113" i="52"/>
  <c r="AM113" i="52" s="1"/>
  <c r="AN113" i="52" s="1"/>
  <c r="AR113" i="52" s="1"/>
  <c r="AX115" i="52"/>
  <c r="AY115" i="52"/>
  <c r="AW115" i="52"/>
  <c r="AZ115" i="52"/>
  <c r="AV115" i="52"/>
  <c r="L116" i="52"/>
  <c r="N116" i="52" s="1"/>
  <c r="O116" i="52" s="1"/>
  <c r="AH113" i="52"/>
  <c r="M116" i="52"/>
  <c r="P116" i="52" s="1"/>
  <c r="S116" i="52" s="1"/>
  <c r="Z114" i="52" l="1"/>
  <c r="Y114" i="52"/>
  <c r="AD114" i="52"/>
  <c r="AE114" i="52" s="1"/>
  <c r="AF114" i="52" s="1"/>
  <c r="E120" i="52"/>
  <c r="F119" i="52"/>
  <c r="G119" i="52" s="1"/>
  <c r="AJ119" i="52"/>
  <c r="L117" i="52"/>
  <c r="N117" i="52" s="1"/>
  <c r="O117" i="52" s="1"/>
  <c r="X116" i="52"/>
  <c r="AB116" i="52"/>
  <c r="AC116" i="52" s="1"/>
  <c r="S115" i="52"/>
  <c r="T115" i="52"/>
  <c r="AH114" i="52"/>
  <c r="K118" i="52"/>
  <c r="Q118" i="52"/>
  <c r="R118" i="52" s="1"/>
  <c r="J118" i="52"/>
  <c r="I118" i="52"/>
  <c r="AO117" i="52"/>
  <c r="AQ117" i="52" s="1"/>
  <c r="AK118" i="52"/>
  <c r="AL118" i="52"/>
  <c r="AY116" i="52"/>
  <c r="AZ116" i="52"/>
  <c r="AV116" i="52"/>
  <c r="AW116" i="52"/>
  <c r="AX116" i="52"/>
  <c r="T116" i="52"/>
  <c r="AS113" i="52"/>
  <c r="AT113" i="52"/>
  <c r="AU113" i="52"/>
  <c r="U117" i="52"/>
  <c r="V117" i="52" s="1"/>
  <c r="AG114" i="52" l="1"/>
  <c r="AM114" i="52" s="1"/>
  <c r="AN114" i="52" s="1"/>
  <c r="AR114" i="52" s="1"/>
  <c r="AT114" i="52" s="1"/>
  <c r="AU114" i="52"/>
  <c r="AD115" i="52"/>
  <c r="W115" i="52"/>
  <c r="AK119" i="52"/>
  <c r="AL119" i="52"/>
  <c r="AD116" i="52"/>
  <c r="AE116" i="52" s="1"/>
  <c r="W116" i="52"/>
  <c r="AA116" i="52" s="1"/>
  <c r="L118" i="52"/>
  <c r="N118" i="52" s="1"/>
  <c r="O118" i="52" s="1"/>
  <c r="I119" i="52"/>
  <c r="Q119" i="52"/>
  <c r="R119" i="52" s="1"/>
  <c r="J119" i="52"/>
  <c r="K119" i="52"/>
  <c r="X117" i="52"/>
  <c r="AB117" i="52"/>
  <c r="AC117" i="52" s="1"/>
  <c r="AO118" i="52"/>
  <c r="AQ118" i="52" s="1"/>
  <c r="E121" i="52"/>
  <c r="AJ120" i="52"/>
  <c r="F120" i="52"/>
  <c r="G120" i="52" s="1"/>
  <c r="AZ117" i="52"/>
  <c r="AW117" i="52"/>
  <c r="AV117" i="52"/>
  <c r="AX117" i="52"/>
  <c r="AY117" i="52"/>
  <c r="M117" i="52"/>
  <c r="P117" i="52" s="1"/>
  <c r="U118" i="52"/>
  <c r="V118" i="52" s="1"/>
  <c r="AS114" i="52" l="1"/>
  <c r="M118" i="52"/>
  <c r="P118" i="52" s="1"/>
  <c r="Z116" i="52"/>
  <c r="Y116" i="52"/>
  <c r="AF116" i="52"/>
  <c r="AG116" i="52" s="1"/>
  <c r="AM116" i="52" s="1"/>
  <c r="AH116" i="52"/>
  <c r="J120" i="52"/>
  <c r="I120" i="52"/>
  <c r="K120" i="52"/>
  <c r="Q120" i="52"/>
  <c r="R120" i="52" s="1"/>
  <c r="AO119" i="52"/>
  <c r="AQ119" i="52" s="1"/>
  <c r="L119" i="52"/>
  <c r="N119" i="52" s="1"/>
  <c r="O119" i="52" s="1"/>
  <c r="X118" i="52"/>
  <c r="AB118" i="52"/>
  <c r="AC118" i="52" s="1"/>
  <c r="AL120" i="52"/>
  <c r="AK120" i="52"/>
  <c r="U119" i="52"/>
  <c r="V119" i="52" s="1"/>
  <c r="AE115" i="52"/>
  <c r="AH115" i="52"/>
  <c r="S117" i="52"/>
  <c r="T117" i="52"/>
  <c r="AX118" i="52"/>
  <c r="AZ118" i="52"/>
  <c r="AW118" i="52"/>
  <c r="AY118" i="52"/>
  <c r="AV118" i="52"/>
  <c r="AA115" i="52"/>
  <c r="Y115" i="52"/>
  <c r="Z115" i="52"/>
  <c r="AJ121" i="52"/>
  <c r="E122" i="52"/>
  <c r="F121" i="52"/>
  <c r="G121" i="52" s="1"/>
  <c r="M119" i="52" l="1"/>
  <c r="P119" i="52" s="1"/>
  <c r="S119" i="52" s="1"/>
  <c r="S118" i="52"/>
  <c r="T118" i="52"/>
  <c r="W118" i="52" s="1"/>
  <c r="AA118" i="52" s="1"/>
  <c r="AK121" i="52"/>
  <c r="AL121" i="52"/>
  <c r="X119" i="52"/>
  <c r="AB119" i="52"/>
  <c r="AC119" i="52" s="1"/>
  <c r="W117" i="52"/>
  <c r="AD117" i="52"/>
  <c r="T119" i="52"/>
  <c r="AY119" i="52"/>
  <c r="AV119" i="52"/>
  <c r="AW119" i="52"/>
  <c r="AX119" i="52"/>
  <c r="AZ119" i="52"/>
  <c r="K121" i="52"/>
  <c r="I121" i="52"/>
  <c r="J121" i="52"/>
  <c r="Q121" i="52"/>
  <c r="R121" i="52" s="1"/>
  <c r="AF115" i="52"/>
  <c r="AG115" i="52" s="1"/>
  <c r="AM115" i="52" s="1"/>
  <c r="AN115" i="52" s="1"/>
  <c r="L120" i="52"/>
  <c r="N120" i="52" s="1"/>
  <c r="O120" i="52" s="1"/>
  <c r="E123" i="52"/>
  <c r="AJ122" i="52"/>
  <c r="F122" i="52"/>
  <c r="G122" i="52" s="1"/>
  <c r="AO120" i="52"/>
  <c r="AQ120" i="52" s="1"/>
  <c r="U120" i="52"/>
  <c r="V120" i="52" s="1"/>
  <c r="AD118" i="52" l="1"/>
  <c r="AE118" i="52" s="1"/>
  <c r="AF118" i="52" s="1"/>
  <c r="AG118" i="52" s="1"/>
  <c r="AM118" i="52" s="1"/>
  <c r="Y118" i="52"/>
  <c r="Z118" i="52"/>
  <c r="AR115" i="52"/>
  <c r="AN116" i="52"/>
  <c r="AR116" i="52" s="1"/>
  <c r="AD119" i="52"/>
  <c r="AE119" i="52" s="1"/>
  <c r="W119" i="52"/>
  <c r="AA119" i="52" s="1"/>
  <c r="E124" i="52"/>
  <c r="F123" i="52"/>
  <c r="G123" i="52" s="1"/>
  <c r="AJ123" i="52"/>
  <c r="U121" i="52"/>
  <c r="V121" i="52" s="1"/>
  <c r="AE117" i="52"/>
  <c r="AH117" i="52"/>
  <c r="L121" i="52"/>
  <c r="M121" i="52" s="1"/>
  <c r="P121" i="52" s="1"/>
  <c r="AA117" i="52"/>
  <c r="Z117" i="52"/>
  <c r="Y117" i="52"/>
  <c r="AK122" i="52"/>
  <c r="AL122" i="52"/>
  <c r="X120" i="52"/>
  <c r="AB120" i="52"/>
  <c r="AC120" i="52" s="1"/>
  <c r="AV120" i="52"/>
  <c r="AZ120" i="52"/>
  <c r="AX120" i="52"/>
  <c r="AY120" i="52"/>
  <c r="AW120" i="52"/>
  <c r="AO121" i="52"/>
  <c r="AQ121" i="52" s="1"/>
  <c r="M120" i="52"/>
  <c r="P120" i="52" s="1"/>
  <c r="Y119" i="52"/>
  <c r="Q122" i="52"/>
  <c r="R122" i="52" s="1"/>
  <c r="I122" i="52"/>
  <c r="J122" i="52"/>
  <c r="K122" i="52"/>
  <c r="AH119" i="52" l="1"/>
  <c r="AH118" i="52"/>
  <c r="S121" i="52"/>
  <c r="T121" i="52"/>
  <c r="I123" i="52"/>
  <c r="Q123" i="52"/>
  <c r="R123" i="52" s="1"/>
  <c r="J123" i="52"/>
  <c r="K123" i="52"/>
  <c r="AV121" i="52"/>
  <c r="AW121" i="52"/>
  <c r="AX121" i="52"/>
  <c r="AY121" i="52"/>
  <c r="AZ121" i="52"/>
  <c r="X121" i="52"/>
  <c r="AB121" i="52"/>
  <c r="AC121" i="52" s="1"/>
  <c r="AU115" i="52"/>
  <c r="AS115" i="52"/>
  <c r="AT115" i="52"/>
  <c r="U122" i="52"/>
  <c r="V122" i="52" s="1"/>
  <c r="Z119" i="52"/>
  <c r="AL123" i="52"/>
  <c r="AK123" i="52"/>
  <c r="N121" i="52"/>
  <c r="O121" i="52" s="1"/>
  <c r="E125" i="52"/>
  <c r="AJ124" i="52"/>
  <c r="F124" i="52"/>
  <c r="G124" i="52" s="1"/>
  <c r="AO122" i="52"/>
  <c r="AQ122" i="52" s="1"/>
  <c r="AF117" i="52"/>
  <c r="AG117" i="52" s="1"/>
  <c r="AM117" i="52" s="1"/>
  <c r="AN117" i="52" s="1"/>
  <c r="AF119" i="52"/>
  <c r="AG119" i="52" s="1"/>
  <c r="AM119" i="52" s="1"/>
  <c r="L122" i="52"/>
  <c r="N122" i="52" s="1"/>
  <c r="O122" i="52" s="1"/>
  <c r="S120" i="52"/>
  <c r="T120" i="52"/>
  <c r="AU116" i="52"/>
  <c r="AT116" i="52"/>
  <c r="AS116" i="52"/>
  <c r="AR117" i="52" l="1"/>
  <c r="AN118" i="52"/>
  <c r="AR118" i="52" s="1"/>
  <c r="I124" i="52"/>
  <c r="Q124" i="52"/>
  <c r="R124" i="52" s="1"/>
  <c r="J124" i="52"/>
  <c r="K124" i="52"/>
  <c r="AO123" i="52"/>
  <c r="AQ123" i="52" s="1"/>
  <c r="AL124" i="52"/>
  <c r="AK124" i="52"/>
  <c r="M122" i="52"/>
  <c r="P122" i="52" s="1"/>
  <c r="X122" i="52"/>
  <c r="AB122" i="52"/>
  <c r="AC122" i="52" s="1"/>
  <c r="L123" i="52"/>
  <c r="M123" i="52" s="1"/>
  <c r="P123" i="52" s="1"/>
  <c r="S123" i="52" s="1"/>
  <c r="N123" i="52"/>
  <c r="O123" i="52" s="1"/>
  <c r="U123" i="52"/>
  <c r="V123" i="52" s="1"/>
  <c r="AW122" i="52"/>
  <c r="AX122" i="52"/>
  <c r="AV122" i="52"/>
  <c r="AZ122" i="52"/>
  <c r="AY122" i="52"/>
  <c r="AJ125" i="52"/>
  <c r="E126" i="52"/>
  <c r="F125" i="52"/>
  <c r="G125" i="52" s="1"/>
  <c r="AD120" i="52"/>
  <c r="W120" i="52"/>
  <c r="AD121" i="52"/>
  <c r="AE121" i="52" s="1"/>
  <c r="W121" i="52"/>
  <c r="AA121" i="52" s="1"/>
  <c r="AL125" i="52" l="1"/>
  <c r="AK125" i="52"/>
  <c r="AF121" i="52"/>
  <c r="AG121" i="52" s="1"/>
  <c r="AM121" i="52" s="1"/>
  <c r="AA120" i="52"/>
  <c r="Z120" i="52"/>
  <c r="Y120" i="52"/>
  <c r="AE120" i="52"/>
  <c r="AH120" i="52"/>
  <c r="AH121" i="52"/>
  <c r="J125" i="52"/>
  <c r="K125" i="52"/>
  <c r="Q125" i="52"/>
  <c r="R125" i="52" s="1"/>
  <c r="I125" i="52"/>
  <c r="Z121" i="52"/>
  <c r="AS118" i="52"/>
  <c r="AU118" i="52"/>
  <c r="AT118" i="52"/>
  <c r="L124" i="52"/>
  <c r="M124" i="52" s="1"/>
  <c r="P124" i="52" s="1"/>
  <c r="T123" i="52"/>
  <c r="U124" i="52"/>
  <c r="V124" i="52" s="1"/>
  <c r="Y121" i="52"/>
  <c r="AS117" i="52"/>
  <c r="AT117" i="52"/>
  <c r="AU117" i="52"/>
  <c r="S122" i="52"/>
  <c r="T122" i="52"/>
  <c r="X123" i="52"/>
  <c r="AB123" i="52"/>
  <c r="AC123" i="52" s="1"/>
  <c r="AO124" i="52"/>
  <c r="AQ124" i="52" s="1"/>
  <c r="AJ126" i="52"/>
  <c r="E127" i="52"/>
  <c r="F126" i="52"/>
  <c r="G126" i="52" s="1"/>
  <c r="AX123" i="52"/>
  <c r="AY123" i="52"/>
  <c r="AV123" i="52"/>
  <c r="AW123" i="52"/>
  <c r="AZ123" i="52"/>
  <c r="AN119" i="52"/>
  <c r="AR119" i="52" s="1"/>
  <c r="N124" i="52" l="1"/>
  <c r="O124" i="52" s="1"/>
  <c r="S124" i="52"/>
  <c r="T124" i="52"/>
  <c r="K126" i="52"/>
  <c r="I126" i="52"/>
  <c r="Q126" i="52"/>
  <c r="R126" i="52" s="1"/>
  <c r="J126" i="52"/>
  <c r="AO125" i="52"/>
  <c r="AQ125" i="52" s="1"/>
  <c r="E128" i="52"/>
  <c r="AJ127" i="52"/>
  <c r="F127" i="52"/>
  <c r="G127" i="52" s="1"/>
  <c r="W123" i="52"/>
  <c r="AA123" i="52" s="1"/>
  <c r="AD123" i="52"/>
  <c r="AE123" i="52" s="1"/>
  <c r="U125" i="52"/>
  <c r="V125" i="52" s="1"/>
  <c r="AK126" i="52"/>
  <c r="AL126" i="52"/>
  <c r="AY124" i="52"/>
  <c r="AZ124" i="52"/>
  <c r="AV124" i="52"/>
  <c r="AW124" i="52"/>
  <c r="AX124" i="52"/>
  <c r="AT119" i="52"/>
  <c r="AU119" i="52"/>
  <c r="AS119" i="52"/>
  <c r="AF120" i="52"/>
  <c r="AG120" i="52" s="1"/>
  <c r="AM120" i="52" s="1"/>
  <c r="AN120" i="52" s="1"/>
  <c r="AR120" i="52" s="1"/>
  <c r="W122" i="52"/>
  <c r="AD122" i="52"/>
  <c r="L125" i="52"/>
  <c r="M125" i="52" s="1"/>
  <c r="P125" i="52" s="1"/>
  <c r="X124" i="52"/>
  <c r="AB124" i="52"/>
  <c r="AC124" i="52" s="1"/>
  <c r="AH123" i="52" l="1"/>
  <c r="Z123" i="52"/>
  <c r="S125" i="52"/>
  <c r="T125" i="52"/>
  <c r="X125" i="52"/>
  <c r="AB125" i="52"/>
  <c r="AC125" i="52" s="1"/>
  <c r="AZ125" i="52"/>
  <c r="AW125" i="52"/>
  <c r="AY125" i="52"/>
  <c r="AV125" i="52"/>
  <c r="AX125" i="52"/>
  <c r="Y123" i="52"/>
  <c r="N125" i="52"/>
  <c r="O125" i="52" s="1"/>
  <c r="AF123" i="52"/>
  <c r="AG123" i="52" s="1"/>
  <c r="AM123" i="52" s="1"/>
  <c r="L126" i="52"/>
  <c r="N126" i="52" s="1"/>
  <c r="O126" i="52" s="1"/>
  <c r="AE122" i="52"/>
  <c r="AH122" i="52"/>
  <c r="AO126" i="52"/>
  <c r="AQ126" i="52" s="1"/>
  <c r="AA122" i="52"/>
  <c r="Z122" i="52"/>
  <c r="Y122" i="52"/>
  <c r="AK127" i="52"/>
  <c r="AL127" i="52"/>
  <c r="E129" i="52"/>
  <c r="F128" i="52"/>
  <c r="G128" i="52" s="1"/>
  <c r="AJ128" i="52"/>
  <c r="AN121" i="52"/>
  <c r="AR121" i="52" s="1"/>
  <c r="U126" i="52"/>
  <c r="V126" i="52" s="1"/>
  <c r="I127" i="52"/>
  <c r="Q127" i="52"/>
  <c r="R127" i="52" s="1"/>
  <c r="J127" i="52"/>
  <c r="K127" i="52"/>
  <c r="AS120" i="52"/>
  <c r="AT120" i="52"/>
  <c r="AU120" i="52"/>
  <c r="AD124" i="52"/>
  <c r="AE124" i="52" s="1"/>
  <c r="W124" i="52"/>
  <c r="AA124" i="52" s="1"/>
  <c r="AH124" i="52" l="1"/>
  <c r="L127" i="52"/>
  <c r="N127" i="52" s="1"/>
  <c r="O127" i="52" s="1"/>
  <c r="AF124" i="52"/>
  <c r="AG124" i="52" s="1"/>
  <c r="AM124" i="52" s="1"/>
  <c r="U127" i="52"/>
  <c r="V127" i="52" s="1"/>
  <c r="AJ129" i="52"/>
  <c r="E130" i="52"/>
  <c r="F129" i="52"/>
  <c r="G129" i="52" s="1"/>
  <c r="M126" i="52"/>
  <c r="P126" i="52" s="1"/>
  <c r="X126" i="52"/>
  <c r="AB126" i="52"/>
  <c r="AC126" i="52" s="1"/>
  <c r="AX126" i="52"/>
  <c r="AV126" i="52"/>
  <c r="AW126" i="52"/>
  <c r="AY126" i="52"/>
  <c r="AZ126" i="52"/>
  <c r="AO127" i="52"/>
  <c r="AQ127" i="52" s="1"/>
  <c r="Z124" i="52"/>
  <c r="AS121" i="52"/>
  <c r="AT121" i="52"/>
  <c r="AU121" i="52"/>
  <c r="AF122" i="52"/>
  <c r="AG122" i="52"/>
  <c r="AM122" i="52" s="1"/>
  <c r="AN122" i="52" s="1"/>
  <c r="AR122" i="52" s="1"/>
  <c r="J128" i="52"/>
  <c r="Q128" i="52"/>
  <c r="R128" i="52" s="1"/>
  <c r="K128" i="52"/>
  <c r="I128" i="52"/>
  <c r="Y124" i="52"/>
  <c r="AL128" i="52"/>
  <c r="AK128" i="52"/>
  <c r="W125" i="52"/>
  <c r="AA125" i="52" s="1"/>
  <c r="AD125" i="52"/>
  <c r="AE125" i="52" s="1"/>
  <c r="AO128" i="52" l="1"/>
  <c r="AQ128" i="52" s="1"/>
  <c r="AL129" i="52"/>
  <c r="AK129" i="52"/>
  <c r="X127" i="52"/>
  <c r="AB127" i="52"/>
  <c r="AC127" i="52" s="1"/>
  <c r="U128" i="52"/>
  <c r="V128" i="52" s="1"/>
  <c r="L128" i="52"/>
  <c r="M128" i="52" s="1"/>
  <c r="P128" i="52" s="1"/>
  <c r="S126" i="52"/>
  <c r="T126" i="52"/>
  <c r="Y125" i="52"/>
  <c r="AH125" i="52"/>
  <c r="K129" i="52"/>
  <c r="Q129" i="52"/>
  <c r="R129" i="52" s="1"/>
  <c r="I129" i="52"/>
  <c r="J129" i="52"/>
  <c r="AN123" i="52"/>
  <c r="AR123" i="52" s="1"/>
  <c r="AT122" i="52"/>
  <c r="AS122" i="52"/>
  <c r="AU122" i="52"/>
  <c r="M127" i="52"/>
  <c r="P127" i="52" s="1"/>
  <c r="AF125" i="52"/>
  <c r="AG125" i="52" s="1"/>
  <c r="AM125" i="52" s="1"/>
  <c r="Z125" i="52"/>
  <c r="AY127" i="52"/>
  <c r="AX127" i="52"/>
  <c r="AZ127" i="52"/>
  <c r="AV127" i="52"/>
  <c r="AW127" i="52"/>
  <c r="AJ130" i="52"/>
  <c r="E131" i="52"/>
  <c r="F130" i="52"/>
  <c r="G130" i="52" s="1"/>
  <c r="S128" i="52" l="1"/>
  <c r="T128" i="52"/>
  <c r="S127" i="52"/>
  <c r="T127" i="52"/>
  <c r="AU123" i="52"/>
  <c r="AS123" i="52"/>
  <c r="AT123" i="52"/>
  <c r="AN124" i="52"/>
  <c r="AR124" i="52" s="1"/>
  <c r="L129" i="52"/>
  <c r="M129" i="52" s="1"/>
  <c r="P129" i="52" s="1"/>
  <c r="N128" i="52"/>
  <c r="O128" i="52" s="1"/>
  <c r="X128" i="52"/>
  <c r="AB128" i="52"/>
  <c r="AC128" i="52" s="1"/>
  <c r="E132" i="52"/>
  <c r="AJ131" i="52"/>
  <c r="F131" i="52"/>
  <c r="G131" i="52" s="1"/>
  <c r="AV128" i="52"/>
  <c r="AZ128" i="52"/>
  <c r="AW128" i="52"/>
  <c r="AX128" i="52"/>
  <c r="AY128" i="52"/>
  <c r="U129" i="52"/>
  <c r="V129" i="52" s="1"/>
  <c r="AO129" i="52"/>
  <c r="AQ129" i="52" s="1"/>
  <c r="I130" i="52"/>
  <c r="J130" i="52"/>
  <c r="Q130" i="52"/>
  <c r="R130" i="52" s="1"/>
  <c r="K130" i="52"/>
  <c r="AK130" i="52"/>
  <c r="AL130" i="52"/>
  <c r="W126" i="52"/>
  <c r="AD126" i="52"/>
  <c r="S129" i="52" l="1"/>
  <c r="T129" i="52"/>
  <c r="W129" i="52" s="1"/>
  <c r="AA129" i="52" s="1"/>
  <c r="N129" i="52"/>
  <c r="O129" i="52" s="1"/>
  <c r="AA126" i="52"/>
  <c r="Y126" i="52"/>
  <c r="Z126" i="52"/>
  <c r="E133" i="52"/>
  <c r="AJ132" i="52"/>
  <c r="F132" i="52"/>
  <c r="G132" i="52" s="1"/>
  <c r="AO130" i="52"/>
  <c r="AQ130" i="52" s="1"/>
  <c r="W127" i="52"/>
  <c r="AD127" i="52"/>
  <c r="L130" i="52"/>
  <c r="N130" i="52"/>
  <c r="O130" i="52" s="1"/>
  <c r="I131" i="52"/>
  <c r="Q131" i="52"/>
  <c r="R131" i="52" s="1"/>
  <c r="K131" i="52"/>
  <c r="J131" i="52"/>
  <c r="AD128" i="52"/>
  <c r="AE128" i="52" s="1"/>
  <c r="W128" i="52"/>
  <c r="AA128" i="52" s="1"/>
  <c r="X129" i="52"/>
  <c r="AB129" i="52"/>
  <c r="AC129" i="52" s="1"/>
  <c r="U130" i="52"/>
  <c r="V130" i="52" s="1"/>
  <c r="M130" i="52"/>
  <c r="P130" i="52" s="1"/>
  <c r="S130" i="52" s="1"/>
  <c r="AE126" i="52"/>
  <c r="AH126" i="52"/>
  <c r="AV129" i="52"/>
  <c r="AW129" i="52"/>
  <c r="AZ129" i="52"/>
  <c r="AY129" i="52"/>
  <c r="AX129" i="52"/>
  <c r="AL131" i="52"/>
  <c r="AK131" i="52"/>
  <c r="AT124" i="52"/>
  <c r="AS124" i="52"/>
  <c r="AU124" i="52"/>
  <c r="AN125" i="52"/>
  <c r="AR125" i="52" s="1"/>
  <c r="AD129" i="52" l="1"/>
  <c r="AE129" i="52" s="1"/>
  <c r="AF129" i="52" s="1"/>
  <c r="AG129" i="52" s="1"/>
  <c r="AM129" i="52" s="1"/>
  <c r="AO131" i="52"/>
  <c r="AQ131" i="52" s="1"/>
  <c r="Y129" i="52"/>
  <c r="Z129" i="52"/>
  <c r="Y128" i="52"/>
  <c r="AW130" i="52"/>
  <c r="AX130" i="52"/>
  <c r="AV130" i="52"/>
  <c r="AY130" i="52"/>
  <c r="AZ130" i="52"/>
  <c r="AF126" i="52"/>
  <c r="AG126" i="52" s="1"/>
  <c r="AM126" i="52" s="1"/>
  <c r="AN126" i="52" s="1"/>
  <c r="AR126" i="52" s="1"/>
  <c r="Z128" i="52"/>
  <c r="I132" i="52"/>
  <c r="Q132" i="52"/>
  <c r="R132" i="52" s="1"/>
  <c r="J132" i="52"/>
  <c r="K132" i="52"/>
  <c r="AE127" i="52"/>
  <c r="AH127" i="52"/>
  <c r="AK132" i="52"/>
  <c r="AL132" i="52"/>
  <c r="AF128" i="52"/>
  <c r="AG128" i="52" s="1"/>
  <c r="AM128" i="52" s="1"/>
  <c r="AA127" i="52"/>
  <c r="Y127" i="52"/>
  <c r="Z127" i="52"/>
  <c r="AJ133" i="52"/>
  <c r="E134" i="52"/>
  <c r="F133" i="52"/>
  <c r="G133" i="52" s="1"/>
  <c r="T130" i="52"/>
  <c r="L131" i="52"/>
  <c r="M131" i="52" s="1"/>
  <c r="P131" i="52" s="1"/>
  <c r="AU125" i="52"/>
  <c r="AS125" i="52"/>
  <c r="AT125" i="52"/>
  <c r="X130" i="52"/>
  <c r="AB130" i="52"/>
  <c r="AC130" i="52" s="1"/>
  <c r="U131" i="52"/>
  <c r="V131" i="52" s="1"/>
  <c r="AH128" i="52"/>
  <c r="AH129" i="52" l="1"/>
  <c r="AT126" i="52"/>
  <c r="AS126" i="52"/>
  <c r="AU126" i="52"/>
  <c r="S131" i="52"/>
  <c r="T131" i="52"/>
  <c r="AF127" i="52"/>
  <c r="AG127" i="52" s="1"/>
  <c r="AM127" i="52" s="1"/>
  <c r="AN127" i="52" s="1"/>
  <c r="AR127" i="52" s="1"/>
  <c r="X131" i="52"/>
  <c r="AB131" i="52"/>
  <c r="AC131" i="52" s="1"/>
  <c r="N131" i="52"/>
  <c r="O131" i="52" s="1"/>
  <c r="L132" i="52"/>
  <c r="M132" i="52" s="1"/>
  <c r="P132" i="52" s="1"/>
  <c r="W130" i="52"/>
  <c r="AA130" i="52" s="1"/>
  <c r="AD130" i="52"/>
  <c r="AE130" i="52" s="1"/>
  <c r="U132" i="52"/>
  <c r="V132" i="52" s="1"/>
  <c r="Z130" i="52"/>
  <c r="AJ134" i="52"/>
  <c r="E135" i="52"/>
  <c r="F134" i="52"/>
  <c r="G134" i="52" s="1"/>
  <c r="AO132" i="52"/>
  <c r="AQ132" i="52" s="1"/>
  <c r="AX131" i="52"/>
  <c r="AY131" i="52"/>
  <c r="AZ131" i="52"/>
  <c r="AV131" i="52"/>
  <c r="AW131" i="52"/>
  <c r="AK133" i="52"/>
  <c r="AL133" i="52"/>
  <c r="J133" i="52"/>
  <c r="K133" i="52"/>
  <c r="I133" i="52"/>
  <c r="Q133" i="52"/>
  <c r="R133" i="52" s="1"/>
  <c r="AH130" i="52" l="1"/>
  <c r="Y130" i="52"/>
  <c r="S132" i="52"/>
  <c r="T132" i="52"/>
  <c r="AU127" i="52"/>
  <c r="AS127" i="52"/>
  <c r="AT127" i="52"/>
  <c r="W131" i="52"/>
  <c r="AA131" i="52" s="1"/>
  <c r="AD131" i="52"/>
  <c r="AE131" i="52" s="1"/>
  <c r="X132" i="52"/>
  <c r="AB132" i="52"/>
  <c r="AC132" i="52" s="1"/>
  <c r="U133" i="52"/>
  <c r="V133" i="52" s="1"/>
  <c r="K134" i="52"/>
  <c r="J134" i="52"/>
  <c r="Q134" i="52"/>
  <c r="R134" i="52" s="1"/>
  <c r="I134" i="52"/>
  <c r="L133" i="52"/>
  <c r="N133" i="52" s="1"/>
  <c r="O133" i="52" s="1"/>
  <c r="N132" i="52"/>
  <c r="O132" i="52" s="1"/>
  <c r="AY132" i="52"/>
  <c r="AZ132" i="52"/>
  <c r="AV132" i="52"/>
  <c r="AX132" i="52"/>
  <c r="AW132" i="52"/>
  <c r="AF130" i="52"/>
  <c r="AG130" i="52" s="1"/>
  <c r="AM130" i="52" s="1"/>
  <c r="Z131" i="52"/>
  <c r="AN128" i="52"/>
  <c r="AO133" i="52"/>
  <c r="AQ133" i="52" s="1"/>
  <c r="F135" i="52"/>
  <c r="G135" i="52" s="1"/>
  <c r="AJ135" i="52"/>
  <c r="E136" i="52"/>
  <c r="AL134" i="52"/>
  <c r="AK134" i="52"/>
  <c r="M133" i="52" l="1"/>
  <c r="P133" i="52" s="1"/>
  <c r="S133" i="52" s="1"/>
  <c r="AH131" i="52"/>
  <c r="U134" i="52"/>
  <c r="V134" i="52" s="1"/>
  <c r="AK135" i="52"/>
  <c r="AL135" i="52"/>
  <c r="L134" i="52"/>
  <c r="N134" i="52" s="1"/>
  <c r="O134" i="52" s="1"/>
  <c r="X133" i="52"/>
  <c r="AB133" i="52"/>
  <c r="AC133" i="52" s="1"/>
  <c r="AF131" i="52"/>
  <c r="AG131" i="52"/>
  <c r="AM131" i="52" s="1"/>
  <c r="AJ136" i="52"/>
  <c r="E137" i="52"/>
  <c r="F136" i="52"/>
  <c r="G136" i="52" s="1"/>
  <c r="Y131" i="52"/>
  <c r="I135" i="52"/>
  <c r="Q135" i="52"/>
  <c r="R135" i="52" s="1"/>
  <c r="K135" i="52"/>
  <c r="J135" i="52"/>
  <c r="AD132" i="52"/>
  <c r="AE132" i="52" s="1"/>
  <c r="W132" i="52"/>
  <c r="AA132" i="52" s="1"/>
  <c r="AR128" i="52"/>
  <c r="AN129" i="52"/>
  <c r="AR129" i="52" s="1"/>
  <c r="Y132" i="52"/>
  <c r="Z132" i="52"/>
  <c r="AO134" i="52"/>
  <c r="AQ134" i="52" s="1"/>
  <c r="AZ133" i="52"/>
  <c r="AW133" i="52"/>
  <c r="AV133" i="52"/>
  <c r="AX133" i="52"/>
  <c r="AY133" i="52"/>
  <c r="T133" i="52" l="1"/>
  <c r="W133" i="52" s="1"/>
  <c r="AA133" i="52" s="1"/>
  <c r="AJ137" i="52"/>
  <c r="E138" i="52"/>
  <c r="F137" i="52"/>
  <c r="G137" i="52" s="1"/>
  <c r="U135" i="52"/>
  <c r="V135" i="52" s="1"/>
  <c r="AS129" i="52"/>
  <c r="AT129" i="52"/>
  <c r="AU129" i="52"/>
  <c r="M134" i="52"/>
  <c r="P134" i="52" s="1"/>
  <c r="X134" i="52"/>
  <c r="AB134" i="52"/>
  <c r="AC134" i="52" s="1"/>
  <c r="AS128" i="52"/>
  <c r="AT128" i="52"/>
  <c r="AU128" i="52"/>
  <c r="AF132" i="52"/>
  <c r="AG132" i="52" s="1"/>
  <c r="AM132" i="52" s="1"/>
  <c r="AX134" i="52"/>
  <c r="AZ134" i="52"/>
  <c r="AV134" i="52"/>
  <c r="AW134" i="52"/>
  <c r="AY134" i="52"/>
  <c r="AO135" i="52"/>
  <c r="AQ135" i="52" s="1"/>
  <c r="L135" i="52"/>
  <c r="N135" i="52" s="1"/>
  <c r="O135" i="52" s="1"/>
  <c r="AK136" i="52"/>
  <c r="AL136" i="52"/>
  <c r="AH132" i="52"/>
  <c r="J136" i="52"/>
  <c r="K136" i="52"/>
  <c r="I136" i="52"/>
  <c r="Q136" i="52"/>
  <c r="R136" i="52" s="1"/>
  <c r="AN130" i="52"/>
  <c r="AR130" i="52" s="1"/>
  <c r="AD133" i="52" l="1"/>
  <c r="X135" i="52"/>
  <c r="AB135" i="52"/>
  <c r="AC135" i="52" s="1"/>
  <c r="Y133" i="52"/>
  <c r="AY135" i="52"/>
  <c r="AX135" i="52"/>
  <c r="AZ135" i="52"/>
  <c r="AV135" i="52"/>
  <c r="AW135" i="52"/>
  <c r="S134" i="52"/>
  <c r="T134" i="52"/>
  <c r="Z133" i="52"/>
  <c r="AS130" i="52"/>
  <c r="AT130" i="52"/>
  <c r="AU130" i="52"/>
  <c r="M135" i="52"/>
  <c r="P135" i="52" s="1"/>
  <c r="AJ138" i="52"/>
  <c r="E139" i="52"/>
  <c r="F138" i="52"/>
  <c r="G138" i="52" s="1"/>
  <c r="U136" i="52"/>
  <c r="V136" i="52" s="1"/>
  <c r="AO136" i="52"/>
  <c r="AQ136" i="52" s="1"/>
  <c r="AL137" i="52"/>
  <c r="AK137" i="52"/>
  <c r="L136" i="52"/>
  <c r="N136" i="52" s="1"/>
  <c r="O136" i="52" s="1"/>
  <c r="K137" i="52"/>
  <c r="I137" i="52"/>
  <c r="J137" i="52"/>
  <c r="Q137" i="52"/>
  <c r="R137" i="52" s="1"/>
  <c r="AN131" i="52"/>
  <c r="AR131" i="52" s="1"/>
  <c r="AE133" i="52" l="1"/>
  <c r="AF133" i="52" s="1"/>
  <c r="AG133" i="52" s="1"/>
  <c r="AM133" i="52" s="1"/>
  <c r="AH133" i="52"/>
  <c r="M136" i="52"/>
  <c r="P136" i="52" s="1"/>
  <c r="S136" i="52" s="1"/>
  <c r="AO137" i="52"/>
  <c r="AQ137" i="52" s="1"/>
  <c r="AK138" i="52"/>
  <c r="AL138" i="52"/>
  <c r="U137" i="52"/>
  <c r="V137" i="52" s="1"/>
  <c r="X136" i="52"/>
  <c r="AB136" i="52"/>
  <c r="AC136" i="52" s="1"/>
  <c r="T136" i="52"/>
  <c r="AZ136" i="52"/>
  <c r="AW136" i="52"/>
  <c r="AX136" i="52"/>
  <c r="AV136" i="52"/>
  <c r="AY136" i="52"/>
  <c r="Q138" i="52"/>
  <c r="R138" i="52" s="1"/>
  <c r="I138" i="52"/>
  <c r="J138" i="52"/>
  <c r="K138" i="52"/>
  <c r="AT131" i="52"/>
  <c r="AS131" i="52"/>
  <c r="AU131" i="52"/>
  <c r="L137" i="52"/>
  <c r="N137" i="52" s="1"/>
  <c r="O137" i="52" s="1"/>
  <c r="S135" i="52"/>
  <c r="T135" i="52"/>
  <c r="M137" i="52"/>
  <c r="P137" i="52" s="1"/>
  <c r="S137" i="52" s="1"/>
  <c r="E140" i="52"/>
  <c r="F139" i="52"/>
  <c r="G139" i="52" s="1"/>
  <c r="AJ139" i="52"/>
  <c r="W134" i="52"/>
  <c r="AD134" i="52"/>
  <c r="AN132" i="52"/>
  <c r="AR132" i="52" s="1"/>
  <c r="AA134" i="52" l="1"/>
  <c r="Y134" i="52"/>
  <c r="Z134" i="52"/>
  <c r="L138" i="52"/>
  <c r="N138" i="52" s="1"/>
  <c r="O138" i="52" s="1"/>
  <c r="M138" i="52"/>
  <c r="P138" i="52" s="1"/>
  <c r="S138" i="52" s="1"/>
  <c r="T137" i="52"/>
  <c r="AO138" i="52"/>
  <c r="AQ138" i="52" s="1"/>
  <c r="AD136" i="52"/>
  <c r="AE136" i="52" s="1"/>
  <c r="W136" i="52"/>
  <c r="AA136" i="52" s="1"/>
  <c r="E141" i="52"/>
  <c r="F140" i="52"/>
  <c r="G140" i="52" s="1"/>
  <c r="AJ140" i="52"/>
  <c r="AH136" i="52"/>
  <c r="AV137" i="52"/>
  <c r="AW137" i="52"/>
  <c r="AZ137" i="52"/>
  <c r="AX137" i="52"/>
  <c r="AY137" i="52"/>
  <c r="X137" i="52"/>
  <c r="AB137" i="52"/>
  <c r="AC137" i="52" s="1"/>
  <c r="AL139" i="52"/>
  <c r="AK139" i="52"/>
  <c r="AE134" i="52"/>
  <c r="AH134" i="52"/>
  <c r="AD135" i="52"/>
  <c r="W135" i="52"/>
  <c r="U138" i="52"/>
  <c r="V138" i="52" s="1"/>
  <c r="K139" i="52"/>
  <c r="Q139" i="52"/>
  <c r="R139" i="52" s="1"/>
  <c r="I139" i="52"/>
  <c r="J139" i="52"/>
  <c r="Z136" i="52"/>
  <c r="AU132" i="52"/>
  <c r="AT132" i="52"/>
  <c r="AS132" i="52"/>
  <c r="AN133" i="52"/>
  <c r="AR133" i="52" s="1"/>
  <c r="Y136" i="52" l="1"/>
  <c r="W137" i="52"/>
  <c r="AA137" i="52" s="1"/>
  <c r="AD137" i="52"/>
  <c r="AE137" i="52" s="1"/>
  <c r="L139" i="52"/>
  <c r="M139" i="52" s="1"/>
  <c r="P139" i="52" s="1"/>
  <c r="AL140" i="52"/>
  <c r="AK140" i="52"/>
  <c r="AS133" i="52"/>
  <c r="AU133" i="52"/>
  <c r="AT133" i="52"/>
  <c r="AF134" i="52"/>
  <c r="AG134" i="52" s="1"/>
  <c r="AM134" i="52" s="1"/>
  <c r="AN134" i="52" s="1"/>
  <c r="AR134" i="52" s="1"/>
  <c r="X138" i="52"/>
  <c r="AB138" i="52"/>
  <c r="AC138" i="52" s="1"/>
  <c r="AO139" i="52"/>
  <c r="AQ139" i="52" s="1"/>
  <c r="J140" i="52"/>
  <c r="I140" i="52"/>
  <c r="K140" i="52"/>
  <c r="Q140" i="52"/>
  <c r="R140" i="52" s="1"/>
  <c r="AF136" i="52"/>
  <c r="AG136" i="52" s="1"/>
  <c r="AM136" i="52" s="1"/>
  <c r="AE135" i="52"/>
  <c r="AH135" i="52"/>
  <c r="U139" i="52"/>
  <c r="V139" i="52" s="1"/>
  <c r="AJ141" i="52"/>
  <c r="E142" i="52"/>
  <c r="F141" i="52"/>
  <c r="G141" i="52" s="1"/>
  <c r="T138" i="52"/>
  <c r="AH137" i="52"/>
  <c r="AA135" i="52"/>
  <c r="Y135" i="52"/>
  <c r="Z135" i="52"/>
  <c r="AV138" i="52"/>
  <c r="AZ138" i="52"/>
  <c r="AX138" i="52"/>
  <c r="AY138" i="52"/>
  <c r="AW138" i="52"/>
  <c r="Z137" i="52" l="1"/>
  <c r="Y137" i="52"/>
  <c r="AS134" i="52"/>
  <c r="AT134" i="52"/>
  <c r="AU134" i="52"/>
  <c r="S139" i="52"/>
  <c r="T139" i="52"/>
  <c r="U140" i="52"/>
  <c r="V140" i="52" s="1"/>
  <c r="AO140" i="52"/>
  <c r="AQ140" i="52" s="1"/>
  <c r="AF135" i="52"/>
  <c r="AG135" i="52" s="1"/>
  <c r="AM135" i="52" s="1"/>
  <c r="AN135" i="52" s="1"/>
  <c r="AR135" i="52" s="1"/>
  <c r="N139" i="52"/>
  <c r="O139" i="52" s="1"/>
  <c r="W138" i="52"/>
  <c r="AA138" i="52" s="1"/>
  <c r="AD138" i="52"/>
  <c r="AE138" i="52" s="1"/>
  <c r="J141" i="52"/>
  <c r="K141" i="52"/>
  <c r="Q141" i="52"/>
  <c r="R141" i="52" s="1"/>
  <c r="I141" i="52"/>
  <c r="AJ142" i="52"/>
  <c r="E143" i="52"/>
  <c r="F142" i="52"/>
  <c r="G142" i="52" s="1"/>
  <c r="X139" i="52"/>
  <c r="AB139" i="52"/>
  <c r="AC139" i="52" s="1"/>
  <c r="N140" i="52"/>
  <c r="O140" i="52" s="1"/>
  <c r="L140" i="52"/>
  <c r="M140" i="52" s="1"/>
  <c r="P140" i="52" s="1"/>
  <c r="S140" i="52" s="1"/>
  <c r="AF137" i="52"/>
  <c r="AG137" i="52" s="1"/>
  <c r="AM137" i="52" s="1"/>
  <c r="AX139" i="52"/>
  <c r="AV139" i="52"/>
  <c r="AW139" i="52"/>
  <c r="AY139" i="52"/>
  <c r="AZ139" i="52"/>
  <c r="AK141" i="52"/>
  <c r="AL141" i="52"/>
  <c r="Y138" i="52" l="1"/>
  <c r="X140" i="52"/>
  <c r="AB140" i="52"/>
  <c r="AC140" i="52" s="1"/>
  <c r="AN136" i="52"/>
  <c r="AR136" i="52" s="1"/>
  <c r="AK142" i="52"/>
  <c r="AL142" i="52"/>
  <c r="T140" i="52"/>
  <c r="AH138" i="52"/>
  <c r="U141" i="52"/>
  <c r="V141" i="52" s="1"/>
  <c r="AY140" i="52"/>
  <c r="AZ140" i="52"/>
  <c r="AV140" i="52"/>
  <c r="AX140" i="52"/>
  <c r="AW140" i="52"/>
  <c r="L141" i="52"/>
  <c r="M141" i="52" s="1"/>
  <c r="P141" i="52" s="1"/>
  <c r="N141" i="52"/>
  <c r="O141" i="52" s="1"/>
  <c r="K142" i="52"/>
  <c r="I142" i="52"/>
  <c r="J142" i="52"/>
  <c r="Q142" i="52"/>
  <c r="R142" i="52" s="1"/>
  <c r="AS135" i="52"/>
  <c r="AU135" i="52"/>
  <c r="AT135" i="52"/>
  <c r="AD139" i="52"/>
  <c r="AE139" i="52" s="1"/>
  <c r="W139" i="52"/>
  <c r="AA139" i="52" s="1"/>
  <c r="Y139" i="52"/>
  <c r="AO141" i="52"/>
  <c r="AQ141" i="52" s="1"/>
  <c r="AF138" i="52"/>
  <c r="AG138" i="52" s="1"/>
  <c r="AM138" i="52" s="1"/>
  <c r="E144" i="52"/>
  <c r="F143" i="52"/>
  <c r="G143" i="52" s="1"/>
  <c r="AJ143" i="52"/>
  <c r="Z138" i="52"/>
  <c r="S141" i="52" l="1"/>
  <c r="T141" i="52"/>
  <c r="AF139" i="52"/>
  <c r="AG139" i="52" s="1"/>
  <c r="AM139" i="52" s="1"/>
  <c r="AN139" i="52" s="1"/>
  <c r="AR139" i="52" s="1"/>
  <c r="I143" i="52"/>
  <c r="Q143" i="52"/>
  <c r="R143" i="52" s="1"/>
  <c r="K143" i="52"/>
  <c r="J143" i="52"/>
  <c r="L142" i="52"/>
  <c r="N142" i="52" s="1"/>
  <c r="O142" i="52" s="1"/>
  <c r="AN137" i="52"/>
  <c r="AR137" i="52" s="1"/>
  <c r="E145" i="52"/>
  <c r="F144" i="52"/>
  <c r="G144" i="52" s="1"/>
  <c r="AJ144" i="52"/>
  <c r="AD140" i="52"/>
  <c r="AE140" i="52" s="1"/>
  <c r="W140" i="52"/>
  <c r="AA140" i="52" s="1"/>
  <c r="AZ141" i="52"/>
  <c r="AW141" i="52"/>
  <c r="AV141" i="52"/>
  <c r="AX141" i="52"/>
  <c r="AY141" i="52"/>
  <c r="AN138" i="52"/>
  <c r="AR138" i="52" s="1"/>
  <c r="AO142" i="52"/>
  <c r="AQ142" i="52" s="1"/>
  <c r="AH139" i="52"/>
  <c r="AS136" i="52"/>
  <c r="AT136" i="52"/>
  <c r="AU136" i="52"/>
  <c r="X141" i="52"/>
  <c r="AB141" i="52"/>
  <c r="AC141" i="52" s="1"/>
  <c r="AH140" i="52"/>
  <c r="AK143" i="52"/>
  <c r="AL143" i="52"/>
  <c r="Z139" i="52"/>
  <c r="U142" i="52"/>
  <c r="V142" i="52" s="1"/>
  <c r="Z140" i="52" l="1"/>
  <c r="Y140" i="52"/>
  <c r="AU139" i="52"/>
  <c r="AT139" i="52"/>
  <c r="AS139" i="52"/>
  <c r="M142" i="52"/>
  <c r="P142" i="52" s="1"/>
  <c r="L143" i="52"/>
  <c r="M143" i="52" s="1"/>
  <c r="P143" i="52" s="1"/>
  <c r="N143" i="52"/>
  <c r="O143" i="52" s="1"/>
  <c r="AO143" i="52"/>
  <c r="AQ143" i="52" s="1"/>
  <c r="AL144" i="52"/>
  <c r="AK144" i="52"/>
  <c r="J144" i="52"/>
  <c r="Q144" i="52"/>
  <c r="R144" i="52" s="1"/>
  <c r="K144" i="52"/>
  <c r="I144" i="52"/>
  <c r="U143" i="52"/>
  <c r="V143" i="52" s="1"/>
  <c r="AX142" i="52"/>
  <c r="AW142" i="52"/>
  <c r="AY142" i="52"/>
  <c r="AZ142" i="52"/>
  <c r="AV142" i="52"/>
  <c r="AT138" i="52"/>
  <c r="AU138" i="52"/>
  <c r="AS138" i="52"/>
  <c r="AJ145" i="52"/>
  <c r="E146" i="52"/>
  <c r="F145" i="52"/>
  <c r="G145" i="52" s="1"/>
  <c r="AS137" i="52"/>
  <c r="AU137" i="52"/>
  <c r="AT137" i="52"/>
  <c r="X142" i="52"/>
  <c r="AB142" i="52"/>
  <c r="AC142" i="52" s="1"/>
  <c r="AF140" i="52"/>
  <c r="AG140" i="52" s="1"/>
  <c r="AM140" i="52" s="1"/>
  <c r="AN140" i="52" s="1"/>
  <c r="AR140" i="52" s="1"/>
  <c r="W141" i="52"/>
  <c r="AA141" i="52" s="1"/>
  <c r="AD141" i="52"/>
  <c r="AE141" i="52" s="1"/>
  <c r="S143" i="52" l="1"/>
  <c r="T143" i="52"/>
  <c r="K145" i="52"/>
  <c r="I145" i="52"/>
  <c r="J145" i="52"/>
  <c r="Q145" i="52"/>
  <c r="R145" i="52" s="1"/>
  <c r="X143" i="52"/>
  <c r="AB143" i="52"/>
  <c r="AC143" i="52" s="1"/>
  <c r="AO144" i="52"/>
  <c r="AQ144" i="52" s="1"/>
  <c r="AJ146" i="52"/>
  <c r="E147" i="52"/>
  <c r="F146" i="52"/>
  <c r="G146" i="52" s="1"/>
  <c r="AY143" i="52"/>
  <c r="AZ143" i="52"/>
  <c r="AW143" i="52"/>
  <c r="AX143" i="52"/>
  <c r="AV143" i="52"/>
  <c r="AH141" i="52"/>
  <c r="S142" i="52"/>
  <c r="T142" i="52"/>
  <c r="AK145" i="52"/>
  <c r="AL145" i="52"/>
  <c r="AF141" i="52"/>
  <c r="AG141" i="52" s="1"/>
  <c r="AM141" i="52" s="1"/>
  <c r="AN141" i="52" s="1"/>
  <c r="AR141" i="52" s="1"/>
  <c r="U144" i="52"/>
  <c r="V144" i="52" s="1"/>
  <c r="L144" i="52"/>
  <c r="M144" i="52" s="1"/>
  <c r="P144" i="52" s="1"/>
  <c r="AU140" i="52"/>
  <c r="AT140" i="52"/>
  <c r="AS140" i="52"/>
  <c r="Y141" i="52"/>
  <c r="Z141" i="52"/>
  <c r="S144" i="52" l="1"/>
  <c r="T144" i="52"/>
  <c r="AS141" i="52"/>
  <c r="AT141" i="52"/>
  <c r="AU141" i="52"/>
  <c r="AO145" i="52"/>
  <c r="AQ145" i="52" s="1"/>
  <c r="J146" i="52"/>
  <c r="K146" i="52"/>
  <c r="Q146" i="52"/>
  <c r="R146" i="52" s="1"/>
  <c r="I146" i="52"/>
  <c r="E148" i="52"/>
  <c r="AJ147" i="52"/>
  <c r="F147" i="52"/>
  <c r="G147" i="52" s="1"/>
  <c r="AK146" i="52"/>
  <c r="AL146" i="52"/>
  <c r="U145" i="52"/>
  <c r="V145" i="52" s="1"/>
  <c r="N144" i="52"/>
  <c r="O144" i="52" s="1"/>
  <c r="W142" i="52"/>
  <c r="AD142" i="52"/>
  <c r="L145" i="52"/>
  <c r="N145" i="52" s="1"/>
  <c r="O145" i="52" s="1"/>
  <c r="X144" i="52"/>
  <c r="AB144" i="52"/>
  <c r="AC144" i="52" s="1"/>
  <c r="AV144" i="52"/>
  <c r="AZ144" i="52"/>
  <c r="AX144" i="52"/>
  <c r="AY144" i="52"/>
  <c r="AW144" i="52"/>
  <c r="AD143" i="52"/>
  <c r="AE143" i="52" s="1"/>
  <c r="W143" i="52"/>
  <c r="AA143" i="52" s="1"/>
  <c r="M145" i="52" l="1"/>
  <c r="P145" i="52" s="1"/>
  <c r="S145" i="52" s="1"/>
  <c r="AF143" i="52"/>
  <c r="AG143" i="52" s="1"/>
  <c r="AM143" i="52" s="1"/>
  <c r="AA142" i="52"/>
  <c r="Y142" i="52"/>
  <c r="Z142" i="52"/>
  <c r="I147" i="52"/>
  <c r="Q147" i="52"/>
  <c r="R147" i="52" s="1"/>
  <c r="J147" i="52"/>
  <c r="K147" i="52"/>
  <c r="L146" i="52"/>
  <c r="M146" i="52" s="1"/>
  <c r="P146" i="52" s="1"/>
  <c r="AL147" i="52"/>
  <c r="AK147" i="52"/>
  <c r="AV145" i="52"/>
  <c r="AW145" i="52"/>
  <c r="AX145" i="52"/>
  <c r="AZ145" i="52"/>
  <c r="AY145" i="52"/>
  <c r="X145" i="52"/>
  <c r="AB145" i="52"/>
  <c r="AC145" i="52" s="1"/>
  <c r="T145" i="52"/>
  <c r="AJ148" i="52"/>
  <c r="E149" i="52"/>
  <c r="F148" i="52"/>
  <c r="G148" i="52" s="1"/>
  <c r="AH143" i="52"/>
  <c r="AE142" i="52"/>
  <c r="AH142" i="52"/>
  <c r="Y143" i="52"/>
  <c r="AO146" i="52"/>
  <c r="AQ146" i="52" s="1"/>
  <c r="Z143" i="52"/>
  <c r="U146" i="52"/>
  <c r="V146" i="52" s="1"/>
  <c r="AD144" i="52"/>
  <c r="AE144" i="52" s="1"/>
  <c r="W144" i="52"/>
  <c r="AA144" i="52" s="1"/>
  <c r="N146" i="52" l="1"/>
  <c r="O146" i="52" s="1"/>
  <c r="S146" i="52"/>
  <c r="T146" i="52"/>
  <c r="AF142" i="52"/>
  <c r="AG142" i="52" s="1"/>
  <c r="AM142" i="52" s="1"/>
  <c r="AN142" i="52" s="1"/>
  <c r="Z144" i="52"/>
  <c r="L147" i="52"/>
  <c r="M147" i="52" s="1"/>
  <c r="P147" i="52" s="1"/>
  <c r="N147" i="52"/>
  <c r="O147" i="52" s="1"/>
  <c r="U147" i="52"/>
  <c r="V147" i="52" s="1"/>
  <c r="I148" i="52"/>
  <c r="Q148" i="52"/>
  <c r="R148" i="52" s="1"/>
  <c r="J148" i="52"/>
  <c r="K148" i="52"/>
  <c r="AH144" i="52"/>
  <c r="AJ149" i="52"/>
  <c r="E150" i="52"/>
  <c r="F149" i="52"/>
  <c r="G149" i="52" s="1"/>
  <c r="AW146" i="52"/>
  <c r="AX146" i="52"/>
  <c r="AY146" i="52"/>
  <c r="AZ146" i="52"/>
  <c r="AV146" i="52"/>
  <c r="AL148" i="52"/>
  <c r="AK148" i="52"/>
  <c r="AO147" i="52"/>
  <c r="AQ147" i="52" s="1"/>
  <c r="AD145" i="52"/>
  <c r="AE145" i="52" s="1"/>
  <c r="W145" i="52"/>
  <c r="AA145" i="52" s="1"/>
  <c r="AF144" i="52"/>
  <c r="AG144" i="52" s="1"/>
  <c r="AM144" i="52" s="1"/>
  <c r="X146" i="52"/>
  <c r="AB146" i="52"/>
  <c r="AC146" i="52" s="1"/>
  <c r="Y144" i="52"/>
  <c r="Z145" i="52" l="1"/>
  <c r="S147" i="52"/>
  <c r="T147" i="52"/>
  <c r="AR142" i="52"/>
  <c r="AN143" i="52"/>
  <c r="AR143" i="52" s="1"/>
  <c r="AO148" i="52"/>
  <c r="AQ148" i="52" s="1"/>
  <c r="AJ150" i="52"/>
  <c r="E151" i="52"/>
  <c r="F150" i="52"/>
  <c r="G150" i="52" s="1"/>
  <c r="L148" i="52"/>
  <c r="N148" i="52" s="1"/>
  <c r="O148" i="52" s="1"/>
  <c r="U148" i="52"/>
  <c r="V148" i="52" s="1"/>
  <c r="AF145" i="52"/>
  <c r="AG145" i="52" s="1"/>
  <c r="AM145" i="52" s="1"/>
  <c r="W146" i="52"/>
  <c r="AA146" i="52" s="1"/>
  <c r="AD146" i="52"/>
  <c r="AE146" i="52" s="1"/>
  <c r="AK149" i="52"/>
  <c r="AL149" i="52"/>
  <c r="X147" i="52"/>
  <c r="AB147" i="52"/>
  <c r="AC147" i="52" s="1"/>
  <c r="J149" i="52"/>
  <c r="K149" i="52"/>
  <c r="I149" i="52"/>
  <c r="Q149" i="52"/>
  <c r="R149" i="52" s="1"/>
  <c r="AX147" i="52"/>
  <c r="AY147" i="52"/>
  <c r="AV147" i="52"/>
  <c r="AZ147" i="52"/>
  <c r="AW147" i="52"/>
  <c r="AH146" i="52"/>
  <c r="Y145" i="52"/>
  <c r="AH145" i="52"/>
  <c r="Z146" i="52" l="1"/>
  <c r="Y146" i="52"/>
  <c r="Z147" i="52"/>
  <c r="AK150" i="52"/>
  <c r="AL150" i="52"/>
  <c r="U149" i="52"/>
  <c r="V149" i="52" s="1"/>
  <c r="M148" i="52"/>
  <c r="P148" i="52" s="1"/>
  <c r="X148" i="52"/>
  <c r="AB148" i="52"/>
  <c r="AC148" i="52" s="1"/>
  <c r="AY148" i="52"/>
  <c r="AZ148" i="52"/>
  <c r="AV148" i="52"/>
  <c r="AX148" i="52"/>
  <c r="AW148" i="52"/>
  <c r="AO149" i="52"/>
  <c r="AQ149" i="52" s="1"/>
  <c r="AU143" i="52"/>
  <c r="AT143" i="52"/>
  <c r="AS143" i="52"/>
  <c r="L149" i="52"/>
  <c r="N149" i="52" s="1"/>
  <c r="O149" i="52" s="1"/>
  <c r="AN144" i="52"/>
  <c r="AR144" i="52" s="1"/>
  <c r="AS142" i="52"/>
  <c r="AT142" i="52"/>
  <c r="AU142" i="52"/>
  <c r="AD147" i="52"/>
  <c r="AE147" i="52" s="1"/>
  <c r="W147" i="52"/>
  <c r="AA147" i="52" s="1"/>
  <c r="AF146" i="52"/>
  <c r="AG146" i="52" s="1"/>
  <c r="AM146" i="52" s="1"/>
  <c r="K150" i="52"/>
  <c r="Q150" i="52"/>
  <c r="R150" i="52" s="1"/>
  <c r="I150" i="52"/>
  <c r="J150" i="52"/>
  <c r="E152" i="52"/>
  <c r="F151" i="52"/>
  <c r="G151" i="52" s="1"/>
  <c r="AJ151" i="52"/>
  <c r="M149" i="52" l="1"/>
  <c r="P149" i="52" s="1"/>
  <c r="S149" i="52" s="1"/>
  <c r="AF147" i="52"/>
  <c r="AG147" i="52" s="1"/>
  <c r="AM147" i="52" s="1"/>
  <c r="X149" i="52"/>
  <c r="AB149" i="52"/>
  <c r="AC149" i="52" s="1"/>
  <c r="AK151" i="52"/>
  <c r="AL151" i="52"/>
  <c r="AT144" i="52"/>
  <c r="AS144" i="52"/>
  <c r="AU144" i="52"/>
  <c r="L150" i="52"/>
  <c r="M150" i="52" s="1"/>
  <c r="P150" i="52" s="1"/>
  <c r="T149" i="52"/>
  <c r="U150" i="52"/>
  <c r="V150" i="52" s="1"/>
  <c r="AZ149" i="52"/>
  <c r="AW149" i="52"/>
  <c r="AV149" i="52"/>
  <c r="AX149" i="52"/>
  <c r="AY149" i="52"/>
  <c r="AO150" i="52"/>
  <c r="AQ150" i="52" s="1"/>
  <c r="Y147" i="52"/>
  <c r="AN145" i="52"/>
  <c r="AR145" i="52" s="1"/>
  <c r="I151" i="52"/>
  <c r="Q151" i="52"/>
  <c r="R151" i="52" s="1"/>
  <c r="J151" i="52"/>
  <c r="K151" i="52"/>
  <c r="E153" i="52"/>
  <c r="F152" i="52"/>
  <c r="G152" i="52" s="1"/>
  <c r="AJ152" i="52"/>
  <c r="S148" i="52"/>
  <c r="T148" i="52"/>
  <c r="AH147" i="52"/>
  <c r="S150" i="52" l="1"/>
  <c r="T150" i="52"/>
  <c r="X150" i="52"/>
  <c r="AB150" i="52"/>
  <c r="AC150" i="52" s="1"/>
  <c r="AO151" i="52"/>
  <c r="AQ151" i="52" s="1"/>
  <c r="U151" i="52"/>
  <c r="V151" i="52" s="1"/>
  <c r="AL152" i="52"/>
  <c r="AK152" i="52"/>
  <c r="AT145" i="52"/>
  <c r="AU145" i="52"/>
  <c r="AS145" i="52"/>
  <c r="W149" i="52"/>
  <c r="AA149" i="52" s="1"/>
  <c r="AD149" i="52"/>
  <c r="AE149" i="52" s="1"/>
  <c r="AH149" i="52"/>
  <c r="N150" i="52"/>
  <c r="O150" i="52" s="1"/>
  <c r="AJ153" i="52"/>
  <c r="E154" i="52"/>
  <c r="F153" i="52"/>
  <c r="G153" i="52" s="1"/>
  <c r="J152" i="52"/>
  <c r="Q152" i="52"/>
  <c r="R152" i="52" s="1"/>
  <c r="I152" i="52"/>
  <c r="K152" i="52"/>
  <c r="AD148" i="52"/>
  <c r="W148" i="52"/>
  <c r="L151" i="52"/>
  <c r="N151" i="52" s="1"/>
  <c r="O151" i="52" s="1"/>
  <c r="AX150" i="52"/>
  <c r="AZ150" i="52"/>
  <c r="AV150" i="52"/>
  <c r="AW150" i="52"/>
  <c r="AY150" i="52"/>
  <c r="AN146" i="52"/>
  <c r="AR146" i="52" s="1"/>
  <c r="M151" i="52" l="1"/>
  <c r="P151" i="52" s="1"/>
  <c r="S151" i="52" s="1"/>
  <c r="Z149" i="52"/>
  <c r="AA148" i="52"/>
  <c r="Z148" i="52"/>
  <c r="Y148" i="52"/>
  <c r="E155" i="52"/>
  <c r="AJ154" i="52"/>
  <c r="F154" i="52"/>
  <c r="G154" i="52" s="1"/>
  <c r="AE148" i="52"/>
  <c r="AH148" i="52"/>
  <c r="AK153" i="52"/>
  <c r="AL153" i="52"/>
  <c r="AY151" i="52"/>
  <c r="AW151" i="52"/>
  <c r="AX151" i="52"/>
  <c r="AZ151" i="52"/>
  <c r="AV151" i="52"/>
  <c r="Y149" i="52"/>
  <c r="AT146" i="52"/>
  <c r="AS146" i="52"/>
  <c r="AU146" i="52"/>
  <c r="AO152" i="52"/>
  <c r="AQ152" i="52" s="1"/>
  <c r="AN147" i="52"/>
  <c r="AR147" i="52" s="1"/>
  <c r="W150" i="52"/>
  <c r="AA150" i="52" s="1"/>
  <c r="AD150" i="52"/>
  <c r="AE150" i="52" s="1"/>
  <c r="U152" i="52"/>
  <c r="V152" i="52" s="1"/>
  <c r="N152" i="52"/>
  <c r="O152" i="52" s="1"/>
  <c r="L152" i="52"/>
  <c r="M152" i="52" s="1"/>
  <c r="P152" i="52" s="1"/>
  <c r="X151" i="52"/>
  <c r="AB151" i="52"/>
  <c r="AC151" i="52" s="1"/>
  <c r="K153" i="52"/>
  <c r="I153" i="52"/>
  <c r="J153" i="52"/>
  <c r="Q153" i="52"/>
  <c r="R153" i="52" s="1"/>
  <c r="AF149" i="52"/>
  <c r="AG149" i="52" s="1"/>
  <c r="AM149" i="52" s="1"/>
  <c r="T151" i="52"/>
  <c r="AH150" i="52" l="1"/>
  <c r="S152" i="52"/>
  <c r="T152" i="52"/>
  <c r="AK154" i="52"/>
  <c r="AL154" i="52"/>
  <c r="AU147" i="52"/>
  <c r="AT147" i="52"/>
  <c r="AS147" i="52"/>
  <c r="E156" i="52"/>
  <c r="AJ155" i="52"/>
  <c r="F155" i="52"/>
  <c r="G155" i="52" s="1"/>
  <c r="AD151" i="52"/>
  <c r="AE151" i="52" s="1"/>
  <c r="W151" i="52"/>
  <c r="AA151" i="52" s="1"/>
  <c r="AV152" i="52"/>
  <c r="AZ152" i="52"/>
  <c r="AW152" i="52"/>
  <c r="AX152" i="52"/>
  <c r="AY152" i="52"/>
  <c r="AO153" i="52"/>
  <c r="AQ153" i="52" s="1"/>
  <c r="U153" i="52"/>
  <c r="V153" i="52" s="1"/>
  <c r="AF148" i="52"/>
  <c r="AG148" i="52" s="1"/>
  <c r="AM148" i="52" s="1"/>
  <c r="AN148" i="52" s="1"/>
  <c r="Z150" i="52"/>
  <c r="L153" i="52"/>
  <c r="N153" i="52" s="1"/>
  <c r="O153" i="52" s="1"/>
  <c r="X152" i="52"/>
  <c r="AB152" i="52"/>
  <c r="AC152" i="52" s="1"/>
  <c r="AF150" i="52"/>
  <c r="AG150" i="52" s="1"/>
  <c r="AM150" i="52" s="1"/>
  <c r="Q154" i="52"/>
  <c r="R154" i="52" s="1"/>
  <c r="I154" i="52"/>
  <c r="J154" i="52"/>
  <c r="K154" i="52"/>
  <c r="Y150" i="52"/>
  <c r="M153" i="52" l="1"/>
  <c r="P153" i="52" s="1"/>
  <c r="S153" i="52" s="1"/>
  <c r="AR148" i="52"/>
  <c r="AN149" i="52"/>
  <c r="AR149" i="52" s="1"/>
  <c r="AF151" i="52"/>
  <c r="AG151" i="52" s="1"/>
  <c r="AM151" i="52" s="1"/>
  <c r="T153" i="52"/>
  <c r="X153" i="52"/>
  <c r="AB153" i="52"/>
  <c r="AC153" i="52" s="1"/>
  <c r="AH151" i="52"/>
  <c r="I155" i="52"/>
  <c r="Q155" i="52"/>
  <c r="R155" i="52" s="1"/>
  <c r="J155" i="52"/>
  <c r="K155" i="52"/>
  <c r="AL155" i="52"/>
  <c r="AK155" i="52"/>
  <c r="AD152" i="52"/>
  <c r="AE152" i="52" s="1"/>
  <c r="W152" i="52"/>
  <c r="AA152" i="52" s="1"/>
  <c r="AV153" i="52"/>
  <c r="AW153" i="52"/>
  <c r="AX153" i="52"/>
  <c r="AY153" i="52"/>
  <c r="AZ153" i="52"/>
  <c r="AO154" i="52"/>
  <c r="AQ154" i="52" s="1"/>
  <c r="L154" i="52"/>
  <c r="N154" i="52" s="1"/>
  <c r="O154" i="52" s="1"/>
  <c r="Z151" i="52"/>
  <c r="U154" i="52"/>
  <c r="V154" i="52" s="1"/>
  <c r="Y151" i="52"/>
  <c r="AJ156" i="52"/>
  <c r="E157" i="52"/>
  <c r="F156" i="52"/>
  <c r="G156" i="52" s="1"/>
  <c r="AH152" i="52" l="1"/>
  <c r="AK156" i="52"/>
  <c r="AL156" i="52"/>
  <c r="L155" i="52"/>
  <c r="M155" i="52" s="1"/>
  <c r="P155" i="52" s="1"/>
  <c r="AW154" i="52"/>
  <c r="AX154" i="52"/>
  <c r="AV154" i="52"/>
  <c r="AY154" i="52"/>
  <c r="AZ154" i="52"/>
  <c r="X154" i="52"/>
  <c r="AB154" i="52"/>
  <c r="AC154" i="52" s="1"/>
  <c r="AD153" i="52"/>
  <c r="AE153" i="52" s="1"/>
  <c r="W153" i="52"/>
  <c r="AA153" i="52" s="1"/>
  <c r="Y152" i="52"/>
  <c r="AF152" i="52"/>
  <c r="AG152" i="52" s="1"/>
  <c r="AM152" i="52" s="1"/>
  <c r="Z152" i="52"/>
  <c r="AS149" i="52"/>
  <c r="AU149" i="52"/>
  <c r="AT149" i="52"/>
  <c r="U155" i="52"/>
  <c r="V155" i="52" s="1"/>
  <c r="I156" i="52"/>
  <c r="Q156" i="52"/>
  <c r="R156" i="52" s="1"/>
  <c r="J156" i="52"/>
  <c r="K156" i="52"/>
  <c r="M154" i="52"/>
  <c r="P154" i="52" s="1"/>
  <c r="AN150" i="52"/>
  <c r="AR150" i="52" s="1"/>
  <c r="AJ157" i="52"/>
  <c r="E158" i="52"/>
  <c r="F157" i="52"/>
  <c r="G157" i="52" s="1"/>
  <c r="AO155" i="52"/>
  <c r="AQ155" i="52" s="1"/>
  <c r="AU148" i="52"/>
  <c r="AS148" i="52"/>
  <c r="AT148" i="52"/>
  <c r="S155" i="52" l="1"/>
  <c r="T155" i="52"/>
  <c r="AL157" i="52"/>
  <c r="AK157" i="52"/>
  <c r="AJ158" i="52"/>
  <c r="E159" i="52"/>
  <c r="F158" i="52"/>
  <c r="G158" i="52" s="1"/>
  <c r="Y153" i="52"/>
  <c r="N155" i="52"/>
  <c r="O155" i="52" s="1"/>
  <c r="AT150" i="52"/>
  <c r="AU150" i="52"/>
  <c r="AS150" i="52"/>
  <c r="AF153" i="52"/>
  <c r="AG153" i="52"/>
  <c r="AM153" i="52" s="1"/>
  <c r="AO156" i="52"/>
  <c r="AQ156" i="52" s="1"/>
  <c r="AH153" i="52"/>
  <c r="X155" i="52"/>
  <c r="AB155" i="52"/>
  <c r="AC155" i="52" s="1"/>
  <c r="S154" i="52"/>
  <c r="T154" i="52"/>
  <c r="AX155" i="52"/>
  <c r="AY155" i="52"/>
  <c r="AV155" i="52"/>
  <c r="AW155" i="52"/>
  <c r="AZ155" i="52"/>
  <c r="L156" i="52"/>
  <c r="M156" i="52" s="1"/>
  <c r="P156" i="52" s="1"/>
  <c r="J157" i="52"/>
  <c r="K157" i="52"/>
  <c r="Q157" i="52"/>
  <c r="R157" i="52" s="1"/>
  <c r="I157" i="52"/>
  <c r="U156" i="52"/>
  <c r="V156" i="52" s="1"/>
  <c r="Z153" i="52"/>
  <c r="AN151" i="52"/>
  <c r="AR151" i="52" s="1"/>
  <c r="S156" i="52" l="1"/>
  <c r="T156" i="52"/>
  <c r="W154" i="52"/>
  <c r="AD154" i="52"/>
  <c r="E160" i="52"/>
  <c r="F159" i="52"/>
  <c r="G159" i="52" s="1"/>
  <c r="AJ159" i="52"/>
  <c r="L157" i="52"/>
  <c r="N157" i="52" s="1"/>
  <c r="O157" i="52" s="1"/>
  <c r="AS151" i="52"/>
  <c r="AT151" i="52"/>
  <c r="AU151" i="52"/>
  <c r="AK158" i="52"/>
  <c r="AL158" i="52"/>
  <c r="AD155" i="52"/>
  <c r="AE155" i="52" s="1"/>
  <c r="W155" i="52"/>
  <c r="AA155" i="52" s="1"/>
  <c r="U157" i="52"/>
  <c r="V157" i="52" s="1"/>
  <c r="X156" i="52"/>
  <c r="AB156" i="52"/>
  <c r="AC156" i="52" s="1"/>
  <c r="AO157" i="52"/>
  <c r="AQ157" i="52" s="1"/>
  <c r="N156" i="52"/>
  <c r="O156" i="52" s="1"/>
  <c r="AY156" i="52"/>
  <c r="AZ156" i="52"/>
  <c r="AV156" i="52"/>
  <c r="AW156" i="52"/>
  <c r="AX156" i="52"/>
  <c r="M157" i="52"/>
  <c r="P157" i="52" s="1"/>
  <c r="S157" i="52" s="1"/>
  <c r="K158" i="52"/>
  <c r="Q158" i="52"/>
  <c r="R158" i="52" s="1"/>
  <c r="I158" i="52"/>
  <c r="J158" i="52"/>
  <c r="AN152" i="52"/>
  <c r="AR152" i="52" s="1"/>
  <c r="AE154" i="52" l="1"/>
  <c r="AH154" i="52"/>
  <c r="Y155" i="52"/>
  <c r="I159" i="52"/>
  <c r="Q159" i="52"/>
  <c r="R159" i="52" s="1"/>
  <c r="J159" i="52"/>
  <c r="K159" i="52"/>
  <c r="U158" i="52"/>
  <c r="V158" i="52" s="1"/>
  <c r="T157" i="52"/>
  <c r="E161" i="52"/>
  <c r="AJ160" i="52"/>
  <c r="F160" i="52"/>
  <c r="G160" i="52" s="1"/>
  <c r="AF155" i="52"/>
  <c r="AG155" i="52" s="1"/>
  <c r="AM155" i="52" s="1"/>
  <c r="AH155" i="52"/>
  <c r="AN153" i="52"/>
  <c r="AR153" i="52" s="1"/>
  <c r="AO158" i="52"/>
  <c r="AQ158" i="52" s="1"/>
  <c r="AA154" i="52"/>
  <c r="Z154" i="52"/>
  <c r="Y154" i="52"/>
  <c r="X157" i="52"/>
  <c r="AB157" i="52"/>
  <c r="AC157" i="52" s="1"/>
  <c r="AZ157" i="52"/>
  <c r="AW157" i="52"/>
  <c r="AY157" i="52"/>
  <c r="AV157" i="52"/>
  <c r="AX157" i="52"/>
  <c r="AU152" i="52"/>
  <c r="AS152" i="52"/>
  <c r="AT152" i="52"/>
  <c r="L158" i="52"/>
  <c r="M158" i="52" s="1"/>
  <c r="P158" i="52" s="1"/>
  <c r="N158" i="52"/>
  <c r="O158" i="52" s="1"/>
  <c r="Z155" i="52"/>
  <c r="AK159" i="52"/>
  <c r="AL159" i="52"/>
  <c r="AD156" i="52"/>
  <c r="AE156" i="52" s="1"/>
  <c r="W156" i="52"/>
  <c r="AA156" i="52" s="1"/>
  <c r="S158" i="52" l="1"/>
  <c r="T158" i="52"/>
  <c r="J160" i="52"/>
  <c r="I160" i="52"/>
  <c r="K160" i="52"/>
  <c r="Q160" i="52"/>
  <c r="R160" i="52" s="1"/>
  <c r="AJ161" i="52"/>
  <c r="E162" i="52"/>
  <c r="F161" i="52"/>
  <c r="G161" i="52" s="1"/>
  <c r="AT153" i="52"/>
  <c r="AU153" i="52"/>
  <c r="AS153" i="52"/>
  <c r="W157" i="52"/>
  <c r="AA157" i="52" s="1"/>
  <c r="AD157" i="52"/>
  <c r="AE157" i="52" s="1"/>
  <c r="Z156" i="52"/>
  <c r="AX158" i="52"/>
  <c r="AV158" i="52"/>
  <c r="AW158" i="52"/>
  <c r="AY158" i="52"/>
  <c r="AZ158" i="52"/>
  <c r="AL160" i="52"/>
  <c r="AK160" i="52"/>
  <c r="Y157" i="52"/>
  <c r="Y156" i="52"/>
  <c r="AF156" i="52"/>
  <c r="AG156" i="52" s="1"/>
  <c r="AM156" i="52" s="1"/>
  <c r="X158" i="52"/>
  <c r="AB158" i="52"/>
  <c r="AC158" i="52" s="1"/>
  <c r="U159" i="52"/>
  <c r="V159" i="52" s="1"/>
  <c r="AO159" i="52"/>
  <c r="AQ159" i="52" s="1"/>
  <c r="AH156" i="52"/>
  <c r="L159" i="52"/>
  <c r="M159" i="52" s="1"/>
  <c r="P159" i="52" s="1"/>
  <c r="N159" i="52"/>
  <c r="O159" i="52" s="1"/>
  <c r="AF154" i="52"/>
  <c r="AG154" i="52" s="1"/>
  <c r="AM154" i="52" s="1"/>
  <c r="AN154" i="52" s="1"/>
  <c r="AR154" i="52" s="1"/>
  <c r="Z157" i="52" l="1"/>
  <c r="S159" i="52"/>
  <c r="T159" i="52"/>
  <c r="AO160" i="52"/>
  <c r="AQ160" i="52" s="1"/>
  <c r="AK161" i="52"/>
  <c r="AL161" i="52"/>
  <c r="AY159" i="52"/>
  <c r="AV159" i="52"/>
  <c r="AW159" i="52"/>
  <c r="AX159" i="52"/>
  <c r="AZ159" i="52"/>
  <c r="U160" i="52"/>
  <c r="V160" i="52" s="1"/>
  <c r="AT154" i="52"/>
  <c r="AU154" i="52"/>
  <c r="AS154" i="52"/>
  <c r="AH157" i="52"/>
  <c r="AN155" i="52"/>
  <c r="AR155" i="52" s="1"/>
  <c r="X159" i="52"/>
  <c r="AB159" i="52"/>
  <c r="AC159" i="52" s="1"/>
  <c r="K161" i="52"/>
  <c r="Q161" i="52"/>
  <c r="R161" i="52" s="1"/>
  <c r="I161" i="52"/>
  <c r="J161" i="52"/>
  <c r="L160" i="52"/>
  <c r="N160" i="52" s="1"/>
  <c r="O160" i="52" s="1"/>
  <c r="AF157" i="52"/>
  <c r="AG157" i="52" s="1"/>
  <c r="AM157" i="52" s="1"/>
  <c r="AJ162" i="52"/>
  <c r="E163" i="52"/>
  <c r="F162" i="52"/>
  <c r="G162" i="52" s="1"/>
  <c r="AD158" i="52"/>
  <c r="AE158" i="52" s="1"/>
  <c r="W158" i="52"/>
  <c r="AA158" i="52" s="1"/>
  <c r="Z158" i="52" l="1"/>
  <c r="M160" i="52"/>
  <c r="P160" i="52" s="1"/>
  <c r="S160" i="52" s="1"/>
  <c r="AK162" i="52"/>
  <c r="AL162" i="52"/>
  <c r="Q162" i="52"/>
  <c r="R162" i="52" s="1"/>
  <c r="I162" i="52"/>
  <c r="J162" i="52"/>
  <c r="K162" i="52"/>
  <c r="L161" i="52"/>
  <c r="N161" i="52" s="1"/>
  <c r="O161" i="52" s="1"/>
  <c r="E164" i="52"/>
  <c r="F163" i="52"/>
  <c r="G163" i="52" s="1"/>
  <c r="AJ163" i="52"/>
  <c r="Y158" i="52"/>
  <c r="X160" i="52"/>
  <c r="AB160" i="52"/>
  <c r="AC160" i="52" s="1"/>
  <c r="AO161" i="52"/>
  <c r="AQ161" i="52" s="1"/>
  <c r="AH158" i="52"/>
  <c r="AN156" i="52"/>
  <c r="AR156" i="52" s="1"/>
  <c r="U161" i="52"/>
  <c r="V161" i="52" s="1"/>
  <c r="AZ160" i="52"/>
  <c r="AV160" i="52"/>
  <c r="AW160" i="52"/>
  <c r="AX160" i="52"/>
  <c r="AY160" i="52"/>
  <c r="AF158" i="52"/>
  <c r="AG158" i="52" s="1"/>
  <c r="AM158" i="52" s="1"/>
  <c r="AT155" i="52"/>
  <c r="AU155" i="52"/>
  <c r="AS155" i="52"/>
  <c r="AD159" i="52"/>
  <c r="AE159" i="52" s="1"/>
  <c r="W159" i="52"/>
  <c r="AA159" i="52" s="1"/>
  <c r="T160" i="52" l="1"/>
  <c r="M161" i="52"/>
  <c r="P161" i="52" s="1"/>
  <c r="S161" i="52" s="1"/>
  <c r="Z159" i="52"/>
  <c r="X161" i="52"/>
  <c r="AB161" i="52"/>
  <c r="AC161" i="52" s="1"/>
  <c r="AL163" i="52"/>
  <c r="AK163" i="52"/>
  <c r="L162" i="52"/>
  <c r="N162" i="52" s="1"/>
  <c r="O162" i="52" s="1"/>
  <c r="K163" i="52"/>
  <c r="I163" i="52"/>
  <c r="J163" i="52"/>
  <c r="Q163" i="52"/>
  <c r="R163" i="52" s="1"/>
  <c r="AY161" i="52"/>
  <c r="AZ161" i="52"/>
  <c r="AV161" i="52"/>
  <c r="AW161" i="52"/>
  <c r="AX161" i="52"/>
  <c r="U162" i="52"/>
  <c r="V162" i="52" s="1"/>
  <c r="Y159" i="52"/>
  <c r="AJ164" i="52"/>
  <c r="E165" i="52"/>
  <c r="F164" i="52"/>
  <c r="G164" i="52" s="1"/>
  <c r="AO162" i="52"/>
  <c r="AQ162" i="52" s="1"/>
  <c r="AS156" i="52"/>
  <c r="AT156" i="52"/>
  <c r="AU156" i="52"/>
  <c r="AF159" i="52"/>
  <c r="AG159" i="52" s="1"/>
  <c r="AM159" i="52" s="1"/>
  <c r="AH159" i="52"/>
  <c r="W160" i="52"/>
  <c r="AA160" i="52" s="1"/>
  <c r="AD160" i="52"/>
  <c r="AE160" i="52" s="1"/>
  <c r="AN157" i="52"/>
  <c r="AR157" i="52" s="1"/>
  <c r="Z160" i="52" l="1"/>
  <c r="T161" i="52"/>
  <c r="W161" i="52" s="1"/>
  <c r="AA161" i="52" s="1"/>
  <c r="AZ162" i="52"/>
  <c r="AV162" i="52"/>
  <c r="AW162" i="52"/>
  <c r="AX162" i="52"/>
  <c r="AY162" i="52"/>
  <c r="AF160" i="52"/>
  <c r="AG160" i="52" s="1"/>
  <c r="AM160" i="52" s="1"/>
  <c r="AH160" i="52"/>
  <c r="M162" i="52"/>
  <c r="P162" i="52" s="1"/>
  <c r="AO163" i="52"/>
  <c r="AQ163" i="52" s="1"/>
  <c r="J164" i="52"/>
  <c r="K164" i="52"/>
  <c r="I164" i="52"/>
  <c r="Q164" i="52"/>
  <c r="R164" i="52" s="1"/>
  <c r="U163" i="52"/>
  <c r="V163" i="52" s="1"/>
  <c r="AN158" i="52"/>
  <c r="AR158" i="52" s="1"/>
  <c r="AL164" i="52"/>
  <c r="AK164" i="52"/>
  <c r="X162" i="52"/>
  <c r="AB162" i="52"/>
  <c r="AC162" i="52" s="1"/>
  <c r="AJ165" i="52"/>
  <c r="E166" i="52"/>
  <c r="F165" i="52"/>
  <c r="G165" i="52" s="1"/>
  <c r="L163" i="52"/>
  <c r="N163" i="52" s="1"/>
  <c r="O163" i="52" s="1"/>
  <c r="AT157" i="52"/>
  <c r="AU157" i="52"/>
  <c r="AS157" i="52"/>
  <c r="Y160" i="52"/>
  <c r="AD161" i="52" l="1"/>
  <c r="AE161" i="52" s="1"/>
  <c r="AF161" i="52" s="1"/>
  <c r="AJ166" i="52"/>
  <c r="E167" i="52"/>
  <c r="F166" i="52"/>
  <c r="G166" i="52" s="1"/>
  <c r="AO164" i="52"/>
  <c r="AQ164" i="52" s="1"/>
  <c r="L164" i="52"/>
  <c r="M164" i="52" s="1"/>
  <c r="P164" i="52" s="1"/>
  <c r="M163" i="52"/>
  <c r="P163" i="52" s="1"/>
  <c r="AK165" i="52"/>
  <c r="AL165" i="52"/>
  <c r="AH161" i="52"/>
  <c r="AS158" i="52"/>
  <c r="AT158" i="52"/>
  <c r="AU158" i="52"/>
  <c r="AX163" i="52"/>
  <c r="AY163" i="52"/>
  <c r="AZ163" i="52"/>
  <c r="AV163" i="52"/>
  <c r="AW163" i="52"/>
  <c r="S162" i="52"/>
  <c r="T162" i="52"/>
  <c r="Z161" i="52"/>
  <c r="U164" i="52"/>
  <c r="V164" i="52" s="1"/>
  <c r="X163" i="52"/>
  <c r="AB163" i="52"/>
  <c r="AC163" i="52" s="1"/>
  <c r="Y161" i="52"/>
  <c r="I165" i="52"/>
  <c r="J165" i="52"/>
  <c r="K165" i="52"/>
  <c r="Q165" i="52"/>
  <c r="R165" i="52" s="1"/>
  <c r="AN159" i="52"/>
  <c r="AR159" i="52" s="1"/>
  <c r="AG161" i="52" l="1"/>
  <c r="AM161" i="52" s="1"/>
  <c r="S164" i="52"/>
  <c r="T164" i="52"/>
  <c r="N164" i="52"/>
  <c r="O164" i="52" s="1"/>
  <c r="AV164" i="52"/>
  <c r="AW164" i="52"/>
  <c r="AX164" i="52"/>
  <c r="AY164" i="52"/>
  <c r="AZ164" i="52"/>
  <c r="L165" i="52"/>
  <c r="M165" i="52" s="1"/>
  <c r="P165" i="52" s="1"/>
  <c r="Q166" i="52"/>
  <c r="R166" i="52" s="1"/>
  <c r="I166" i="52"/>
  <c r="J166" i="52"/>
  <c r="K166" i="52"/>
  <c r="AO165" i="52"/>
  <c r="AQ165" i="52" s="1"/>
  <c r="W162" i="52"/>
  <c r="AD162" i="52"/>
  <c r="AJ167" i="52"/>
  <c r="E168" i="52"/>
  <c r="F167" i="52"/>
  <c r="G167" i="52" s="1"/>
  <c r="AS159" i="52"/>
  <c r="AT159" i="52"/>
  <c r="AU159" i="52"/>
  <c r="U165" i="52"/>
  <c r="V165" i="52" s="1"/>
  <c r="X164" i="52"/>
  <c r="AB164" i="52"/>
  <c r="AC164" i="52" s="1"/>
  <c r="S163" i="52"/>
  <c r="T163" i="52"/>
  <c r="AK166" i="52"/>
  <c r="AL166" i="52"/>
  <c r="AN160" i="52"/>
  <c r="AR160" i="52" s="1"/>
  <c r="AN161" i="52" l="1"/>
  <c r="AR161" i="52" s="1"/>
  <c r="AU161" i="52" s="1"/>
  <c r="S165" i="52"/>
  <c r="T165" i="52"/>
  <c r="I167" i="52"/>
  <c r="Q167" i="52"/>
  <c r="R167" i="52" s="1"/>
  <c r="J167" i="52"/>
  <c r="K167" i="52"/>
  <c r="AW165" i="52"/>
  <c r="AV165" i="52"/>
  <c r="AX165" i="52"/>
  <c r="AY165" i="52"/>
  <c r="AZ165" i="52"/>
  <c r="N165" i="52"/>
  <c r="O165" i="52" s="1"/>
  <c r="AD163" i="52"/>
  <c r="W163" i="52"/>
  <c r="F168" i="52"/>
  <c r="G168" i="52" s="1"/>
  <c r="AJ168" i="52"/>
  <c r="E169" i="52"/>
  <c r="AE162" i="52"/>
  <c r="AH162" i="52"/>
  <c r="M166" i="52"/>
  <c r="P166" i="52" s="1"/>
  <c r="S166" i="52" s="1"/>
  <c r="X165" i="52"/>
  <c r="AB165" i="52"/>
  <c r="AC165" i="52" s="1"/>
  <c r="AK167" i="52"/>
  <c r="AL167" i="52"/>
  <c r="L166" i="52"/>
  <c r="N166" i="52" s="1"/>
  <c r="O166" i="52" s="1"/>
  <c r="AU160" i="52"/>
  <c r="AS160" i="52"/>
  <c r="AT160" i="52"/>
  <c r="AO166" i="52"/>
  <c r="AQ166" i="52" s="1"/>
  <c r="AA162" i="52"/>
  <c r="Y162" i="52"/>
  <c r="Z162" i="52"/>
  <c r="U166" i="52"/>
  <c r="V166" i="52" s="1"/>
  <c r="AD164" i="52"/>
  <c r="AE164" i="52" s="1"/>
  <c r="W164" i="52"/>
  <c r="AA164" i="52" s="1"/>
  <c r="AS161" i="52" l="1"/>
  <c r="AT161" i="52"/>
  <c r="Z164" i="52"/>
  <c r="Y164" i="52"/>
  <c r="X166" i="52"/>
  <c r="AB166" i="52"/>
  <c r="AC166" i="52" s="1"/>
  <c r="AF162" i="52"/>
  <c r="AG162" i="52" s="1"/>
  <c r="AM162" i="52" s="1"/>
  <c r="AN162" i="52" s="1"/>
  <c r="AR162" i="52" s="1"/>
  <c r="AH164" i="52"/>
  <c r="L167" i="52"/>
  <c r="M167" i="52" s="1"/>
  <c r="P167" i="52" s="1"/>
  <c r="N167" i="52"/>
  <c r="O167" i="52" s="1"/>
  <c r="AO167" i="52"/>
  <c r="AQ167" i="52" s="1"/>
  <c r="AF164" i="52"/>
  <c r="AG164" i="52" s="1"/>
  <c r="AM164" i="52" s="1"/>
  <c r="AA163" i="52"/>
  <c r="Y163" i="52"/>
  <c r="Z163" i="52"/>
  <c r="AE163" i="52"/>
  <c r="AH163" i="52"/>
  <c r="E170" i="52"/>
  <c r="F169" i="52"/>
  <c r="G169" i="52" s="1"/>
  <c r="AJ169" i="52"/>
  <c r="W165" i="52"/>
  <c r="AA165" i="52" s="1"/>
  <c r="AD165" i="52"/>
  <c r="AE165" i="52" s="1"/>
  <c r="Y165" i="52"/>
  <c r="J168" i="52"/>
  <c r="I168" i="52"/>
  <c r="K168" i="52"/>
  <c r="Q168" i="52"/>
  <c r="R168" i="52" s="1"/>
  <c r="T166" i="52"/>
  <c r="U167" i="52"/>
  <c r="V167" i="52" s="1"/>
  <c r="AX166" i="52"/>
  <c r="AV166" i="52"/>
  <c r="AW166" i="52"/>
  <c r="AY166" i="52"/>
  <c r="AZ166" i="52"/>
  <c r="AL168" i="52"/>
  <c r="AK168" i="52"/>
  <c r="S167" i="52" l="1"/>
  <c r="T167" i="52"/>
  <c r="AU162" i="52"/>
  <c r="AT162" i="52"/>
  <c r="AS162" i="52"/>
  <c r="AF165" i="52"/>
  <c r="AG165" i="52" s="1"/>
  <c r="AM165" i="52" s="1"/>
  <c r="AD166" i="52"/>
  <c r="AE166" i="52" s="1"/>
  <c r="W166" i="52"/>
  <c r="AA166" i="52" s="1"/>
  <c r="U168" i="52"/>
  <c r="V168" i="52" s="1"/>
  <c r="AK169" i="52"/>
  <c r="AL169" i="52"/>
  <c r="Q169" i="52"/>
  <c r="R169" i="52" s="1"/>
  <c r="J169" i="52"/>
  <c r="K169" i="52"/>
  <c r="I169" i="52"/>
  <c r="AO168" i="52"/>
  <c r="AQ168" i="52" s="1"/>
  <c r="L168" i="52"/>
  <c r="M168" i="52" s="1"/>
  <c r="P168" i="52" s="1"/>
  <c r="X167" i="52"/>
  <c r="AB167" i="52"/>
  <c r="AC167" i="52" s="1"/>
  <c r="AF163" i="52"/>
  <c r="AG163" i="52" s="1"/>
  <c r="AM163" i="52" s="1"/>
  <c r="AN163" i="52" s="1"/>
  <c r="E171" i="52"/>
  <c r="F170" i="52"/>
  <c r="G170" i="52" s="1"/>
  <c r="AJ170" i="52"/>
  <c r="AH165" i="52"/>
  <c r="Z165" i="52"/>
  <c r="AH166" i="52"/>
  <c r="AY167" i="52"/>
  <c r="AV167" i="52"/>
  <c r="AW167" i="52"/>
  <c r="AX167" i="52"/>
  <c r="AZ167" i="52"/>
  <c r="Z166" i="52" l="1"/>
  <c r="AR163" i="52"/>
  <c r="AN164" i="52"/>
  <c r="AR164" i="52" s="1"/>
  <c r="S168" i="52"/>
  <c r="T168" i="52"/>
  <c r="AL170" i="52"/>
  <c r="AK170" i="52"/>
  <c r="L169" i="52"/>
  <c r="N169" i="52" s="1"/>
  <c r="O169" i="52" s="1"/>
  <c r="AF166" i="52"/>
  <c r="AG166" i="52" s="1"/>
  <c r="AM166" i="52" s="1"/>
  <c r="U169" i="52"/>
  <c r="V169" i="52" s="1"/>
  <c r="I170" i="52"/>
  <c r="Q170" i="52"/>
  <c r="R170" i="52" s="1"/>
  <c r="J170" i="52"/>
  <c r="K170" i="52"/>
  <c r="N168" i="52"/>
  <c r="O168" i="52" s="1"/>
  <c r="Y166" i="52"/>
  <c r="AJ171" i="52"/>
  <c r="E172" i="52"/>
  <c r="F171" i="52"/>
  <c r="G171" i="52" s="1"/>
  <c r="AZ168" i="52"/>
  <c r="AY168" i="52"/>
  <c r="AV168" i="52"/>
  <c r="AW168" i="52"/>
  <c r="AX168" i="52"/>
  <c r="AO169" i="52"/>
  <c r="AQ169" i="52" s="1"/>
  <c r="X168" i="52"/>
  <c r="AB168" i="52"/>
  <c r="AC168" i="52" s="1"/>
  <c r="AD167" i="52"/>
  <c r="AE167" i="52" s="1"/>
  <c r="W167" i="52"/>
  <c r="AA167" i="52" s="1"/>
  <c r="AK171" i="52" l="1"/>
  <c r="AL171" i="52"/>
  <c r="AO170" i="52"/>
  <c r="AQ170" i="52" s="1"/>
  <c r="M169" i="52"/>
  <c r="P169" i="52" s="1"/>
  <c r="AH167" i="52"/>
  <c r="AV169" i="52"/>
  <c r="AZ169" i="52"/>
  <c r="AW169" i="52"/>
  <c r="AX169" i="52"/>
  <c r="AY169" i="52"/>
  <c r="W168" i="52"/>
  <c r="AA168" i="52" s="1"/>
  <c r="AD168" i="52"/>
  <c r="AE168" i="52" s="1"/>
  <c r="J171" i="52"/>
  <c r="K171" i="52"/>
  <c r="Q171" i="52"/>
  <c r="R171" i="52" s="1"/>
  <c r="I171" i="52"/>
  <c r="U170" i="52"/>
  <c r="V170" i="52" s="1"/>
  <c r="Z167" i="52"/>
  <c r="AT164" i="52"/>
  <c r="AU164" i="52"/>
  <c r="AS164" i="52"/>
  <c r="AS163" i="52"/>
  <c r="AT163" i="52"/>
  <c r="AU163" i="52"/>
  <c r="L170" i="52"/>
  <c r="N170" i="52" s="1"/>
  <c r="O170" i="52" s="1"/>
  <c r="Y167" i="52"/>
  <c r="AF167" i="52"/>
  <c r="AG167" i="52" s="1"/>
  <c r="AM167" i="52" s="1"/>
  <c r="E173" i="52"/>
  <c r="AJ172" i="52"/>
  <c r="F172" i="52"/>
  <c r="G172" i="52" s="1"/>
  <c r="X169" i="52"/>
  <c r="AB169" i="52"/>
  <c r="AC169" i="52" s="1"/>
  <c r="AN165" i="52"/>
  <c r="AR165" i="52" s="1"/>
  <c r="AH168" i="52" l="1"/>
  <c r="I172" i="52"/>
  <c r="Q172" i="52"/>
  <c r="R172" i="52" s="1"/>
  <c r="J172" i="52"/>
  <c r="K172" i="52"/>
  <c r="U171" i="52"/>
  <c r="V171" i="52" s="1"/>
  <c r="Y168" i="52"/>
  <c r="AU165" i="52"/>
  <c r="AS165" i="52"/>
  <c r="AT165" i="52"/>
  <c r="Z168" i="52"/>
  <c r="L171" i="52"/>
  <c r="N171" i="52" s="1"/>
  <c r="O171" i="52" s="1"/>
  <c r="AV170" i="52"/>
  <c r="AW170" i="52"/>
  <c r="AX170" i="52"/>
  <c r="AY170" i="52"/>
  <c r="AZ170" i="52"/>
  <c r="M170" i="52"/>
  <c r="P170" i="52" s="1"/>
  <c r="AF168" i="52"/>
  <c r="AG168" i="52" s="1"/>
  <c r="AM168" i="52" s="1"/>
  <c r="AO171" i="52"/>
  <c r="AQ171" i="52" s="1"/>
  <c r="AK172" i="52"/>
  <c r="AL172" i="52"/>
  <c r="AJ173" i="52"/>
  <c r="E174" i="52"/>
  <c r="F173" i="52"/>
  <c r="G173" i="52" s="1"/>
  <c r="X170" i="52"/>
  <c r="AB170" i="52"/>
  <c r="AC170" i="52" s="1"/>
  <c r="S169" i="52"/>
  <c r="T169" i="52"/>
  <c r="AN166" i="52"/>
  <c r="AR166" i="52" s="1"/>
  <c r="M171" i="52" l="1"/>
  <c r="P171" i="52" s="1"/>
  <c r="AV171" i="52"/>
  <c r="AW171" i="52"/>
  <c r="AX171" i="52"/>
  <c r="AY171" i="52"/>
  <c r="AZ171" i="52"/>
  <c r="X171" i="52"/>
  <c r="AB171" i="52"/>
  <c r="AC171" i="52" s="1"/>
  <c r="I173" i="52"/>
  <c r="Q173" i="52"/>
  <c r="R173" i="52" s="1"/>
  <c r="J173" i="52"/>
  <c r="K173" i="52"/>
  <c r="AJ174" i="52"/>
  <c r="E175" i="52"/>
  <c r="F174" i="52"/>
  <c r="G174" i="52" s="1"/>
  <c r="AU166" i="52"/>
  <c r="AT166" i="52"/>
  <c r="AS166" i="52"/>
  <c r="U172" i="52"/>
  <c r="V172" i="52" s="1"/>
  <c r="AD169" i="52"/>
  <c r="W169" i="52"/>
  <c r="AL173" i="52"/>
  <c r="AK173" i="52"/>
  <c r="L172" i="52"/>
  <c r="M172" i="52" s="1"/>
  <c r="P172" i="52" s="1"/>
  <c r="S170" i="52"/>
  <c r="T170" i="52"/>
  <c r="AO172" i="52"/>
  <c r="AQ172" i="52" s="1"/>
  <c r="AN167" i="52"/>
  <c r="AR167" i="52" s="1"/>
  <c r="S172" i="52" l="1"/>
  <c r="T172" i="52"/>
  <c r="AW172" i="52"/>
  <c r="AX172" i="52"/>
  <c r="AY172" i="52"/>
  <c r="AZ172" i="52"/>
  <c r="AV172" i="52"/>
  <c r="AD170" i="52"/>
  <c r="W170" i="52"/>
  <c r="U173" i="52"/>
  <c r="V173" i="52" s="1"/>
  <c r="AE169" i="52"/>
  <c r="AH169" i="52"/>
  <c r="AO173" i="52"/>
  <c r="AQ173" i="52" s="1"/>
  <c r="AA169" i="52"/>
  <c r="Y169" i="52"/>
  <c r="Z169" i="52"/>
  <c r="AJ175" i="52"/>
  <c r="E176" i="52"/>
  <c r="F175" i="52"/>
  <c r="G175" i="52" s="1"/>
  <c r="N172" i="52"/>
  <c r="O172" i="52" s="1"/>
  <c r="S171" i="52"/>
  <c r="T171" i="52"/>
  <c r="I174" i="52"/>
  <c r="Q174" i="52"/>
  <c r="R174" i="52" s="1"/>
  <c r="J174" i="52"/>
  <c r="K174" i="52"/>
  <c r="L173" i="52"/>
  <c r="M173" i="52" s="1"/>
  <c r="P173" i="52" s="1"/>
  <c r="X172" i="52"/>
  <c r="AB172" i="52"/>
  <c r="AC172" i="52" s="1"/>
  <c r="AK174" i="52"/>
  <c r="AL174" i="52"/>
  <c r="AU167" i="52"/>
  <c r="AS167" i="52"/>
  <c r="AT167" i="52"/>
  <c r="AN168" i="52"/>
  <c r="AR168" i="52" s="1"/>
  <c r="S173" i="52" l="1"/>
  <c r="T173" i="52"/>
  <c r="AF169" i="52"/>
  <c r="AG169" i="52" s="1"/>
  <c r="AM169" i="52" s="1"/>
  <c r="AN169" i="52" s="1"/>
  <c r="AR169" i="52" s="1"/>
  <c r="AD171" i="52"/>
  <c r="W171" i="52"/>
  <c r="X173" i="52"/>
  <c r="AB173" i="52"/>
  <c r="AC173" i="52" s="1"/>
  <c r="AK175" i="52"/>
  <c r="AL175" i="52"/>
  <c r="AS168" i="52"/>
  <c r="AT168" i="52"/>
  <c r="AU168" i="52"/>
  <c r="N173" i="52"/>
  <c r="O173" i="52" s="1"/>
  <c r="AA170" i="52"/>
  <c r="Y170" i="52"/>
  <c r="Z170" i="52"/>
  <c r="J175" i="52"/>
  <c r="K175" i="52"/>
  <c r="I175" i="52"/>
  <c r="Q175" i="52"/>
  <c r="R175" i="52" s="1"/>
  <c r="AX173" i="52"/>
  <c r="AY173" i="52"/>
  <c r="AZ173" i="52"/>
  <c r="AV173" i="52"/>
  <c r="AW173" i="52"/>
  <c r="W172" i="52"/>
  <c r="AA172" i="52" s="1"/>
  <c r="AD172" i="52"/>
  <c r="AE172" i="52" s="1"/>
  <c r="AE170" i="52"/>
  <c r="AH170" i="52"/>
  <c r="L174" i="52"/>
  <c r="N174" i="52" s="1"/>
  <c r="O174" i="52" s="1"/>
  <c r="AJ176" i="52"/>
  <c r="E177" i="52"/>
  <c r="F176" i="52"/>
  <c r="G176" i="52" s="1"/>
  <c r="AO174" i="52"/>
  <c r="AQ174" i="52" s="1"/>
  <c r="U174" i="52"/>
  <c r="V174" i="52" s="1"/>
  <c r="Y172" i="52" l="1"/>
  <c r="AT169" i="52"/>
  <c r="AU169" i="52"/>
  <c r="AS169" i="52"/>
  <c r="AE171" i="52"/>
  <c r="AH171" i="52"/>
  <c r="AY174" i="52"/>
  <c r="AZ174" i="52"/>
  <c r="AW174" i="52"/>
  <c r="AX174" i="52"/>
  <c r="AV174" i="52"/>
  <c r="AH172" i="52"/>
  <c r="AF170" i="52"/>
  <c r="AG170" i="52" s="1"/>
  <c r="AM170" i="52" s="1"/>
  <c r="AN170" i="52" s="1"/>
  <c r="AR170" i="52" s="1"/>
  <c r="AO175" i="52"/>
  <c r="AQ175" i="52" s="1"/>
  <c r="M174" i="52"/>
  <c r="P174" i="52" s="1"/>
  <c r="X174" i="52"/>
  <c r="AB174" i="52"/>
  <c r="AC174" i="52" s="1"/>
  <c r="AF172" i="52"/>
  <c r="AG172" i="52"/>
  <c r="AM172" i="52" s="1"/>
  <c r="E178" i="52"/>
  <c r="F177" i="52"/>
  <c r="G177" i="52" s="1"/>
  <c r="AJ177" i="52"/>
  <c r="AD173" i="52"/>
  <c r="AE173" i="52" s="1"/>
  <c r="W173" i="52"/>
  <c r="AA173" i="52" s="1"/>
  <c r="AA171" i="52"/>
  <c r="Y171" i="52"/>
  <c r="Z171" i="52"/>
  <c r="L175" i="52"/>
  <c r="M175" i="52" s="1"/>
  <c r="P175" i="52" s="1"/>
  <c r="K176" i="52"/>
  <c r="Q176" i="52"/>
  <c r="R176" i="52" s="1"/>
  <c r="J176" i="52"/>
  <c r="I176" i="52"/>
  <c r="U175" i="52"/>
  <c r="V175" i="52" s="1"/>
  <c r="AK176" i="52"/>
  <c r="AL176" i="52"/>
  <c r="Z172" i="52"/>
  <c r="Z173" i="52" l="1"/>
  <c r="Y173" i="52"/>
  <c r="N175" i="52"/>
  <c r="O175" i="52" s="1"/>
  <c r="AU170" i="52"/>
  <c r="AS170" i="52"/>
  <c r="AT170" i="52"/>
  <c r="S175" i="52"/>
  <c r="T175" i="52"/>
  <c r="L176" i="52"/>
  <c r="N176" i="52" s="1"/>
  <c r="O176" i="52" s="1"/>
  <c r="U176" i="52"/>
  <c r="V176" i="52" s="1"/>
  <c r="AF173" i="52"/>
  <c r="AG173" i="52" s="1"/>
  <c r="AM173" i="52" s="1"/>
  <c r="AH173" i="52"/>
  <c r="AF171" i="52"/>
  <c r="AG171" i="52" s="1"/>
  <c r="AM171" i="52" s="1"/>
  <c r="AN171" i="52" s="1"/>
  <c r="AK177" i="52"/>
  <c r="AL177" i="52"/>
  <c r="I177" i="52"/>
  <c r="J177" i="52"/>
  <c r="K177" i="52"/>
  <c r="Q177" i="52"/>
  <c r="R177" i="52" s="1"/>
  <c r="AO176" i="52"/>
  <c r="AQ176" i="52" s="1"/>
  <c r="S174" i="52"/>
  <c r="T174" i="52"/>
  <c r="X175" i="52"/>
  <c r="AB175" i="52"/>
  <c r="AC175" i="52" s="1"/>
  <c r="E179" i="52"/>
  <c r="F178" i="52"/>
  <c r="G178" i="52" s="1"/>
  <c r="AJ178" i="52"/>
  <c r="AZ175" i="52"/>
  <c r="AW175" i="52"/>
  <c r="AX175" i="52"/>
  <c r="AY175" i="52"/>
  <c r="AV175" i="52"/>
  <c r="AR171" i="52" l="1"/>
  <c r="AN172" i="52"/>
  <c r="AR172" i="52" s="1"/>
  <c r="AV176" i="52"/>
  <c r="AZ176" i="52"/>
  <c r="AY176" i="52"/>
  <c r="AW176" i="52"/>
  <c r="AX176" i="52"/>
  <c r="L177" i="52"/>
  <c r="M177" i="52" s="1"/>
  <c r="P177" i="52" s="1"/>
  <c r="M176" i="52"/>
  <c r="P176" i="52" s="1"/>
  <c r="W174" i="52"/>
  <c r="AD174" i="52"/>
  <c r="AO177" i="52"/>
  <c r="AQ177" i="52" s="1"/>
  <c r="AD175" i="52"/>
  <c r="AE175" i="52" s="1"/>
  <c r="W175" i="52"/>
  <c r="AA175" i="52" s="1"/>
  <c r="AL178" i="52"/>
  <c r="AK178" i="52"/>
  <c r="I178" i="52"/>
  <c r="J178" i="52"/>
  <c r="K178" i="52"/>
  <c r="Q178" i="52"/>
  <c r="R178" i="52" s="1"/>
  <c r="U177" i="52"/>
  <c r="V177" i="52" s="1"/>
  <c r="X176" i="52"/>
  <c r="AB176" i="52"/>
  <c r="AC176" i="52" s="1"/>
  <c r="AJ179" i="52"/>
  <c r="E180" i="52"/>
  <c r="F179" i="52"/>
  <c r="G179" i="52" s="1"/>
  <c r="Y175" i="52" l="1"/>
  <c r="S177" i="52"/>
  <c r="T177" i="52"/>
  <c r="X177" i="52"/>
  <c r="AB177" i="52"/>
  <c r="AC177" i="52" s="1"/>
  <c r="AO178" i="52"/>
  <c r="AQ178" i="52" s="1"/>
  <c r="Z175" i="52"/>
  <c r="Q179" i="52"/>
  <c r="R179" i="52" s="1"/>
  <c r="I179" i="52"/>
  <c r="J179" i="52"/>
  <c r="K179" i="52"/>
  <c r="U178" i="52"/>
  <c r="V178" i="52" s="1"/>
  <c r="AF175" i="52"/>
  <c r="AG175" i="52"/>
  <c r="AM175" i="52" s="1"/>
  <c r="S176" i="52"/>
  <c r="T176" i="52"/>
  <c r="AJ180" i="52"/>
  <c r="E181" i="52"/>
  <c r="F180" i="52"/>
  <c r="G180" i="52" s="1"/>
  <c r="AV177" i="52"/>
  <c r="AW177" i="52"/>
  <c r="AX177" i="52"/>
  <c r="AZ177" i="52"/>
  <c r="AY177" i="52"/>
  <c r="N177" i="52"/>
  <c r="O177" i="52" s="1"/>
  <c r="L178" i="52"/>
  <c r="M178" i="52" s="1"/>
  <c r="P178" i="52" s="1"/>
  <c r="AE174" i="52"/>
  <c r="AH174" i="52"/>
  <c r="AH175" i="52"/>
  <c r="AU172" i="52"/>
  <c r="AT172" i="52"/>
  <c r="AS172" i="52"/>
  <c r="AL179" i="52"/>
  <c r="AK179" i="52"/>
  <c r="AN173" i="52"/>
  <c r="AR173" i="52" s="1"/>
  <c r="AA174" i="52"/>
  <c r="Z174" i="52"/>
  <c r="Y174" i="52"/>
  <c r="AT171" i="52"/>
  <c r="AU171" i="52"/>
  <c r="AS171" i="52"/>
  <c r="N178" i="52" l="1"/>
  <c r="O178" i="52" s="1"/>
  <c r="S178" i="52"/>
  <c r="T178" i="52"/>
  <c r="AV178" i="52"/>
  <c r="AW178" i="52"/>
  <c r="AX178" i="52"/>
  <c r="AY178" i="52"/>
  <c r="AZ178" i="52"/>
  <c r="I180" i="52"/>
  <c r="Q180" i="52"/>
  <c r="R180" i="52" s="1"/>
  <c r="J180" i="52"/>
  <c r="K180" i="52"/>
  <c r="E182" i="52"/>
  <c r="AJ181" i="52"/>
  <c r="F181" i="52"/>
  <c r="G181" i="52" s="1"/>
  <c r="U179" i="52"/>
  <c r="V179" i="52" s="1"/>
  <c r="AS173" i="52"/>
  <c r="AU173" i="52"/>
  <c r="AT173" i="52"/>
  <c r="AF174" i="52"/>
  <c r="AG174" i="52" s="1"/>
  <c r="AM174" i="52" s="1"/>
  <c r="AN174" i="52" s="1"/>
  <c r="AR174" i="52" s="1"/>
  <c r="AK180" i="52"/>
  <c r="AL180" i="52"/>
  <c r="L179" i="52"/>
  <c r="N179" i="52" s="1"/>
  <c r="O179" i="52" s="1"/>
  <c r="AD177" i="52"/>
  <c r="AE177" i="52" s="1"/>
  <c r="W177" i="52"/>
  <c r="AA177" i="52" s="1"/>
  <c r="X178" i="52"/>
  <c r="AB178" i="52"/>
  <c r="AC178" i="52" s="1"/>
  <c r="AO179" i="52"/>
  <c r="AQ179" i="52" s="1"/>
  <c r="AD176" i="52"/>
  <c r="W176" i="52"/>
  <c r="M179" i="52" l="1"/>
  <c r="P179" i="52" s="1"/>
  <c r="S179" i="52" s="1"/>
  <c r="AV179" i="52"/>
  <c r="AX179" i="52"/>
  <c r="AY179" i="52"/>
  <c r="AZ179" i="52"/>
  <c r="AW179" i="52"/>
  <c r="L180" i="52"/>
  <c r="M180" i="52" s="1"/>
  <c r="P180" i="52" s="1"/>
  <c r="Z177" i="52"/>
  <c r="U180" i="52"/>
  <c r="V180" i="52" s="1"/>
  <c r="AJ182" i="52"/>
  <c r="E183" i="52"/>
  <c r="F182" i="52"/>
  <c r="G182" i="52" s="1"/>
  <c r="J181" i="52"/>
  <c r="I181" i="52"/>
  <c r="K181" i="52"/>
  <c r="Q181" i="52"/>
  <c r="R181" i="52" s="1"/>
  <c r="AN175" i="52"/>
  <c r="AR175" i="52" s="1"/>
  <c r="X179" i="52"/>
  <c r="AB179" i="52"/>
  <c r="AC179" i="52" s="1"/>
  <c r="AS174" i="52"/>
  <c r="AU174" i="52"/>
  <c r="AT174" i="52"/>
  <c r="Y177" i="52"/>
  <c r="AA176" i="52"/>
  <c r="Z176" i="52"/>
  <c r="Y176" i="52"/>
  <c r="AK181" i="52"/>
  <c r="AL181" i="52"/>
  <c r="AD178" i="52"/>
  <c r="AE178" i="52" s="1"/>
  <c r="W178" i="52"/>
  <c r="AA178" i="52" s="1"/>
  <c r="AO180" i="52"/>
  <c r="AQ180" i="52" s="1"/>
  <c r="AF177" i="52"/>
  <c r="AG177" i="52" s="1"/>
  <c r="AM177" i="52" s="1"/>
  <c r="AH177" i="52"/>
  <c r="AE176" i="52"/>
  <c r="AH176" i="52"/>
  <c r="T179" i="52" l="1"/>
  <c r="S180" i="52"/>
  <c r="T180" i="52"/>
  <c r="AF178" i="52"/>
  <c r="AG178" i="52" s="1"/>
  <c r="AM178" i="52" s="1"/>
  <c r="M181" i="52"/>
  <c r="P181" i="52" s="1"/>
  <c r="S181" i="52" s="1"/>
  <c r="AF176" i="52"/>
  <c r="AG176" i="52"/>
  <c r="AM176" i="52" s="1"/>
  <c r="AN176" i="52" s="1"/>
  <c r="AR176" i="52" s="1"/>
  <c r="AO181" i="52"/>
  <c r="AQ181" i="52" s="1"/>
  <c r="L181" i="52"/>
  <c r="N181" i="52"/>
  <c r="O181" i="52" s="1"/>
  <c r="Z178" i="52"/>
  <c r="I182" i="52"/>
  <c r="Q182" i="52"/>
  <c r="R182" i="52" s="1"/>
  <c r="K182" i="52"/>
  <c r="J182" i="52"/>
  <c r="Y178" i="52"/>
  <c r="N180" i="52"/>
  <c r="O180" i="52" s="1"/>
  <c r="AU175" i="52"/>
  <c r="AS175" i="52"/>
  <c r="AT175" i="52"/>
  <c r="AK182" i="52"/>
  <c r="AL182" i="52"/>
  <c r="AD179" i="52"/>
  <c r="AE179" i="52" s="1"/>
  <c r="W179" i="52"/>
  <c r="AA179" i="52" s="1"/>
  <c r="E184" i="52"/>
  <c r="F183" i="52"/>
  <c r="G183" i="52" s="1"/>
  <c r="AJ183" i="52"/>
  <c r="AW180" i="52"/>
  <c r="AY180" i="52"/>
  <c r="AV180" i="52"/>
  <c r="AX180" i="52"/>
  <c r="AZ180" i="52"/>
  <c r="T181" i="52"/>
  <c r="U181" i="52"/>
  <c r="V181" i="52" s="1"/>
  <c r="AH178" i="52"/>
  <c r="X180" i="52"/>
  <c r="AB180" i="52"/>
  <c r="AC180" i="52" s="1"/>
  <c r="Z179" i="52" l="1"/>
  <c r="AF179" i="52"/>
  <c r="AG179" i="52" s="1"/>
  <c r="AM179" i="52" s="1"/>
  <c r="J183" i="52"/>
  <c r="I183" i="52"/>
  <c r="K183" i="52"/>
  <c r="Q183" i="52"/>
  <c r="R183" i="52" s="1"/>
  <c r="E185" i="52"/>
  <c r="F184" i="52"/>
  <c r="G184" i="52" s="1"/>
  <c r="AJ184" i="52"/>
  <c r="AH179" i="52"/>
  <c r="Y179" i="52"/>
  <c r="AO182" i="52"/>
  <c r="AQ182" i="52" s="1"/>
  <c r="N182" i="52"/>
  <c r="L182" i="52"/>
  <c r="M182" i="52" s="1"/>
  <c r="P182" i="52" s="1"/>
  <c r="S182" i="52" s="1"/>
  <c r="AX181" i="52"/>
  <c r="AZ181" i="52"/>
  <c r="AV181" i="52"/>
  <c r="AW181" i="52"/>
  <c r="AY181" i="52"/>
  <c r="W180" i="52"/>
  <c r="AA180" i="52" s="1"/>
  <c r="AD180" i="52"/>
  <c r="AE180" i="52" s="1"/>
  <c r="X181" i="52"/>
  <c r="AB181" i="52"/>
  <c r="AC181" i="52" s="1"/>
  <c r="AD181" i="52" s="1"/>
  <c r="AE181" i="52" s="1"/>
  <c r="W181" i="52"/>
  <c r="AA181" i="52" s="1"/>
  <c r="O182" i="52"/>
  <c r="AT176" i="52"/>
  <c r="AS176" i="52"/>
  <c r="AU176" i="52"/>
  <c r="AL183" i="52"/>
  <c r="AK183" i="52"/>
  <c r="U182" i="52"/>
  <c r="V182" i="52" s="1"/>
  <c r="AN177" i="52"/>
  <c r="AR177" i="52" s="1"/>
  <c r="AO183" i="52" l="1"/>
  <c r="AQ183" i="52" s="1"/>
  <c r="Z181" i="52"/>
  <c r="Y181" i="52"/>
  <c r="AF180" i="52"/>
  <c r="AG180" i="52" s="1"/>
  <c r="AM180" i="52" s="1"/>
  <c r="AL184" i="52"/>
  <c r="AK184" i="52"/>
  <c r="U183" i="52"/>
  <c r="V183" i="52" s="1"/>
  <c r="K184" i="52"/>
  <c r="Q184" i="52"/>
  <c r="R184" i="52" s="1"/>
  <c r="I184" i="52"/>
  <c r="J184" i="52"/>
  <c r="AJ185" i="52"/>
  <c r="E186" i="52"/>
  <c r="F185" i="52"/>
  <c r="G185" i="52" s="1"/>
  <c r="L183" i="52"/>
  <c r="M183" i="52" s="1"/>
  <c r="P183" i="52" s="1"/>
  <c r="T182" i="52"/>
  <c r="Z180" i="52"/>
  <c r="AS177" i="52"/>
  <c r="AT177" i="52"/>
  <c r="AU177" i="52"/>
  <c r="X182" i="52"/>
  <c r="AB182" i="52"/>
  <c r="AC182" i="52" s="1"/>
  <c r="AF181" i="52"/>
  <c r="AG181" i="52"/>
  <c r="AM181" i="52" s="1"/>
  <c r="AY182" i="52"/>
  <c r="AV182" i="52"/>
  <c r="AZ182" i="52"/>
  <c r="AW182" i="52"/>
  <c r="AX182" i="52"/>
  <c r="Y180" i="52"/>
  <c r="AH181" i="52"/>
  <c r="AH180" i="52"/>
  <c r="AN178" i="52"/>
  <c r="AR178" i="52" s="1"/>
  <c r="S183" i="52" l="1"/>
  <c r="T183" i="52"/>
  <c r="W182" i="52"/>
  <c r="AA182" i="52" s="1"/>
  <c r="AD182" i="52"/>
  <c r="AE182" i="52" s="1"/>
  <c r="L184" i="52"/>
  <c r="M184" i="52" s="1"/>
  <c r="P184" i="52" s="1"/>
  <c r="N184" i="52"/>
  <c r="O184" i="52" s="1"/>
  <c r="AO184" i="52"/>
  <c r="AQ184" i="52" s="1"/>
  <c r="AH182" i="52"/>
  <c r="N183" i="52"/>
  <c r="O183" i="52" s="1"/>
  <c r="U184" i="52"/>
  <c r="V184" i="52" s="1"/>
  <c r="J185" i="52"/>
  <c r="K185" i="52"/>
  <c r="Q185" i="52"/>
  <c r="R185" i="52" s="1"/>
  <c r="I185" i="52"/>
  <c r="E187" i="52"/>
  <c r="AJ186" i="52"/>
  <c r="F186" i="52"/>
  <c r="G186" i="52" s="1"/>
  <c r="AZ183" i="52"/>
  <c r="AY183" i="52"/>
  <c r="AW183" i="52"/>
  <c r="AX183" i="52"/>
  <c r="AV183" i="52"/>
  <c r="AS178" i="52"/>
  <c r="AU178" i="52"/>
  <c r="AT178" i="52"/>
  <c r="AK185" i="52"/>
  <c r="AL185" i="52"/>
  <c r="X183" i="52"/>
  <c r="AB183" i="52"/>
  <c r="AC183" i="52" s="1"/>
  <c r="AN179" i="52"/>
  <c r="AR179" i="52" s="1"/>
  <c r="AN180" i="52" l="1"/>
  <c r="S184" i="52"/>
  <c r="T184" i="52"/>
  <c r="U185" i="52"/>
  <c r="V185" i="52" s="1"/>
  <c r="AK186" i="52"/>
  <c r="AL186" i="52"/>
  <c r="Z182" i="52"/>
  <c r="AJ187" i="52"/>
  <c r="E188" i="52"/>
  <c r="F187" i="52"/>
  <c r="G187" i="52" s="1"/>
  <c r="Y182" i="52"/>
  <c r="X184" i="52"/>
  <c r="AB184" i="52"/>
  <c r="AC184" i="52" s="1"/>
  <c r="AF182" i="52"/>
  <c r="AG182" i="52" s="1"/>
  <c r="AM182" i="52" s="1"/>
  <c r="AO185" i="52"/>
  <c r="AQ185" i="52" s="1"/>
  <c r="AV184" i="52"/>
  <c r="AW184" i="52"/>
  <c r="AX184" i="52"/>
  <c r="AY184" i="52"/>
  <c r="AZ184" i="52"/>
  <c r="AS179" i="52"/>
  <c r="AT179" i="52"/>
  <c r="AU179" i="52"/>
  <c r="I186" i="52"/>
  <c r="Q186" i="52"/>
  <c r="R186" i="52" s="1"/>
  <c r="J186" i="52"/>
  <c r="K186" i="52"/>
  <c r="L185" i="52"/>
  <c r="M185" i="52" s="1"/>
  <c r="P185" i="52" s="1"/>
  <c r="W183" i="52"/>
  <c r="AA183" i="52" s="1"/>
  <c r="AD183" i="52"/>
  <c r="AE183" i="52" s="1"/>
  <c r="AR180" i="52" l="1"/>
  <c r="AN181" i="52"/>
  <c r="AR181" i="52" s="1"/>
  <c r="S185" i="52"/>
  <c r="T185" i="52"/>
  <c r="AF183" i="52"/>
  <c r="AG183" i="52"/>
  <c r="AM183" i="52" s="1"/>
  <c r="AJ188" i="52"/>
  <c r="E189" i="52"/>
  <c r="F188" i="52"/>
  <c r="G188" i="52" s="1"/>
  <c r="AO186" i="52"/>
  <c r="AQ186" i="52" s="1"/>
  <c r="AK187" i="52"/>
  <c r="AL187" i="52"/>
  <c r="N185" i="52"/>
  <c r="O185" i="52" s="1"/>
  <c r="Y183" i="52"/>
  <c r="AH183" i="52"/>
  <c r="AV185" i="52"/>
  <c r="AW185" i="52"/>
  <c r="AX185" i="52"/>
  <c r="AY185" i="52"/>
  <c r="AZ185" i="52"/>
  <c r="X185" i="52"/>
  <c r="AB185" i="52"/>
  <c r="AC185" i="52" s="1"/>
  <c r="AD184" i="52"/>
  <c r="AE184" i="52" s="1"/>
  <c r="W184" i="52"/>
  <c r="AA184" i="52" s="1"/>
  <c r="Z183" i="52"/>
  <c r="L186" i="52"/>
  <c r="N186" i="52" s="1"/>
  <c r="O186" i="52" s="1"/>
  <c r="U186" i="52"/>
  <c r="V186" i="52" s="1"/>
  <c r="I187" i="52"/>
  <c r="Q187" i="52"/>
  <c r="R187" i="52" s="1"/>
  <c r="J187" i="52"/>
  <c r="K187" i="52"/>
  <c r="M186" i="52" l="1"/>
  <c r="P186" i="52" s="1"/>
  <c r="S186" i="52" s="1"/>
  <c r="AH184" i="52"/>
  <c r="AT180" i="52"/>
  <c r="AS180" i="52"/>
  <c r="AU180" i="52"/>
  <c r="AT181" i="52"/>
  <c r="AS181" i="52"/>
  <c r="AU181" i="52"/>
  <c r="AN182" i="52"/>
  <c r="AR182" i="52" s="1"/>
  <c r="AK188" i="52"/>
  <c r="AL188" i="52"/>
  <c r="AF184" i="52"/>
  <c r="AG184" i="52" s="1"/>
  <c r="AM184" i="52" s="1"/>
  <c r="Z184" i="52"/>
  <c r="AD185" i="52"/>
  <c r="AE185" i="52" s="1"/>
  <c r="W185" i="52"/>
  <c r="AA185" i="52" s="1"/>
  <c r="X186" i="52"/>
  <c r="AB186" i="52"/>
  <c r="AC186" i="52" s="1"/>
  <c r="L187" i="52"/>
  <c r="M187" i="52" s="1"/>
  <c r="P187" i="52" s="1"/>
  <c r="I188" i="52"/>
  <c r="Q188" i="52"/>
  <c r="R188" i="52" s="1"/>
  <c r="J188" i="52"/>
  <c r="K188" i="52"/>
  <c r="AO187" i="52"/>
  <c r="AQ187" i="52" s="1"/>
  <c r="T186" i="52"/>
  <c r="Y184" i="52"/>
  <c r="AW186" i="52"/>
  <c r="AX186" i="52"/>
  <c r="AY186" i="52"/>
  <c r="AZ186" i="52"/>
  <c r="AV186" i="52"/>
  <c r="U187" i="52"/>
  <c r="V187" i="52" s="1"/>
  <c r="AJ189" i="52"/>
  <c r="E190" i="52"/>
  <c r="F189" i="52"/>
  <c r="G189" i="52" s="1"/>
  <c r="N187" i="52" l="1"/>
  <c r="O187" i="52" s="1"/>
  <c r="AU182" i="52"/>
  <c r="AS182" i="52"/>
  <c r="AT182" i="52"/>
  <c r="AN183" i="52"/>
  <c r="AR183" i="52" s="1"/>
  <c r="S187" i="52"/>
  <c r="T187" i="52"/>
  <c r="Y185" i="52"/>
  <c r="W186" i="52"/>
  <c r="AA186" i="52" s="1"/>
  <c r="AD186" i="52"/>
  <c r="AE186" i="52" s="1"/>
  <c r="U188" i="52"/>
  <c r="V188" i="52" s="1"/>
  <c r="AH185" i="52"/>
  <c r="J189" i="52"/>
  <c r="K189" i="52"/>
  <c r="I189" i="52"/>
  <c r="Q189" i="52"/>
  <c r="R189" i="52" s="1"/>
  <c r="AF185" i="52"/>
  <c r="AG185" i="52"/>
  <c r="AM185" i="52" s="1"/>
  <c r="AK189" i="52"/>
  <c r="AL189" i="52"/>
  <c r="AO188" i="52"/>
  <c r="AQ188" i="52" s="1"/>
  <c r="Z185" i="52"/>
  <c r="L188" i="52"/>
  <c r="M188" i="52" s="1"/>
  <c r="P188" i="52" s="1"/>
  <c r="N188" i="52"/>
  <c r="O188" i="52" s="1"/>
  <c r="AJ190" i="52"/>
  <c r="E191" i="52"/>
  <c r="F190" i="52"/>
  <c r="G190" i="52" s="1"/>
  <c r="X187" i="52"/>
  <c r="AB187" i="52"/>
  <c r="AC187" i="52" s="1"/>
  <c r="AX187" i="52"/>
  <c r="AY187" i="52"/>
  <c r="AZ187" i="52"/>
  <c r="AV187" i="52"/>
  <c r="AW187" i="52"/>
  <c r="AH186" i="52" l="1"/>
  <c r="AT183" i="52"/>
  <c r="AS183" i="52"/>
  <c r="AU183" i="52"/>
  <c r="AN184" i="52"/>
  <c r="AR184" i="52" s="1"/>
  <c r="S188" i="52"/>
  <c r="T188" i="52"/>
  <c r="L189" i="52"/>
  <c r="N189" i="52" s="1"/>
  <c r="O189" i="52" s="1"/>
  <c r="X188" i="52"/>
  <c r="AB188" i="52"/>
  <c r="AC188" i="52" s="1"/>
  <c r="E192" i="52"/>
  <c r="F191" i="52"/>
  <c r="G191" i="52" s="1"/>
  <c r="AJ191" i="52"/>
  <c r="AF186" i="52"/>
  <c r="AG186" i="52" s="1"/>
  <c r="AM186" i="52" s="1"/>
  <c r="AY188" i="52"/>
  <c r="AZ188" i="52"/>
  <c r="AW188" i="52"/>
  <c r="AX188" i="52"/>
  <c r="AV188" i="52"/>
  <c r="AO189" i="52"/>
  <c r="AQ189" i="52" s="1"/>
  <c r="U189" i="52"/>
  <c r="V189" i="52" s="1"/>
  <c r="M189" i="52"/>
  <c r="P189" i="52" s="1"/>
  <c r="S189" i="52" s="1"/>
  <c r="K190" i="52"/>
  <c r="Q190" i="52"/>
  <c r="R190" i="52" s="1"/>
  <c r="I190" i="52"/>
  <c r="J190" i="52"/>
  <c r="AK190" i="52"/>
  <c r="AL190" i="52"/>
  <c r="Z186" i="52"/>
  <c r="Y186" i="52"/>
  <c r="AD187" i="52"/>
  <c r="AE187" i="52" s="1"/>
  <c r="W187" i="52"/>
  <c r="AA187" i="52" s="1"/>
  <c r="Z187" i="52" l="1"/>
  <c r="Y187" i="52"/>
  <c r="AU184" i="52"/>
  <c r="AS184" i="52"/>
  <c r="AT184" i="52"/>
  <c r="AN185" i="52"/>
  <c r="AR185" i="52" s="1"/>
  <c r="AF187" i="52"/>
  <c r="AG187" i="52" s="1"/>
  <c r="AM187" i="52" s="1"/>
  <c r="L190" i="52"/>
  <c r="N190" i="52" s="1"/>
  <c r="O190" i="52" s="1"/>
  <c r="AZ189" i="52"/>
  <c r="AW189" i="52"/>
  <c r="AX189" i="52"/>
  <c r="AY189" i="52"/>
  <c r="AV189" i="52"/>
  <c r="U190" i="52"/>
  <c r="V190" i="52" s="1"/>
  <c r="AO190" i="52"/>
  <c r="AQ190" i="52" s="1"/>
  <c r="AK191" i="52"/>
  <c r="AL191" i="52"/>
  <c r="E193" i="52"/>
  <c r="F192" i="52"/>
  <c r="G192" i="52" s="1"/>
  <c r="AJ192" i="52"/>
  <c r="AH187" i="52"/>
  <c r="I191" i="52"/>
  <c r="J191" i="52"/>
  <c r="K191" i="52"/>
  <c r="Q191" i="52"/>
  <c r="R191" i="52" s="1"/>
  <c r="X189" i="52"/>
  <c r="AB189" i="52"/>
  <c r="AC189" i="52" s="1"/>
  <c r="T189" i="52"/>
  <c r="W188" i="52"/>
  <c r="AA188" i="52" s="1"/>
  <c r="AD188" i="52"/>
  <c r="AE188" i="52" s="1"/>
  <c r="M190" i="52" l="1"/>
  <c r="P190" i="52" s="1"/>
  <c r="S190" i="52" s="1"/>
  <c r="AN186" i="52"/>
  <c r="AR186" i="52" s="1"/>
  <c r="AS185" i="52"/>
  <c r="AU185" i="52"/>
  <c r="AT185" i="52"/>
  <c r="AL192" i="52"/>
  <c r="AK192" i="52"/>
  <c r="X190" i="52"/>
  <c r="AB190" i="52"/>
  <c r="AC190" i="52" s="1"/>
  <c r="Z188" i="52"/>
  <c r="I192" i="52"/>
  <c r="J192" i="52"/>
  <c r="K192" i="52"/>
  <c r="Q192" i="52"/>
  <c r="R192" i="52" s="1"/>
  <c r="T190" i="52"/>
  <c r="AH188" i="52"/>
  <c r="AV190" i="52"/>
  <c r="AW190" i="52"/>
  <c r="AX190" i="52"/>
  <c r="AY190" i="52"/>
  <c r="AZ190" i="52"/>
  <c r="Y188" i="52"/>
  <c r="E194" i="52"/>
  <c r="AJ193" i="52"/>
  <c r="F193" i="52"/>
  <c r="G193" i="52" s="1"/>
  <c r="AO191" i="52"/>
  <c r="AQ191" i="52" s="1"/>
  <c r="AF188" i="52"/>
  <c r="AG188" i="52" s="1"/>
  <c r="AM188" i="52" s="1"/>
  <c r="AD189" i="52"/>
  <c r="AE189" i="52" s="1"/>
  <c r="W189" i="52"/>
  <c r="AA189" i="52" s="1"/>
  <c r="U191" i="52"/>
  <c r="V191" i="52" s="1"/>
  <c r="L191" i="52"/>
  <c r="M191" i="52" s="1"/>
  <c r="P191" i="52" s="1"/>
  <c r="AU186" i="52" l="1"/>
  <c r="AT186" i="52"/>
  <c r="AS186" i="52"/>
  <c r="AN187" i="52"/>
  <c r="AR187" i="52" s="1"/>
  <c r="S191" i="52"/>
  <c r="T191" i="52"/>
  <c r="X191" i="52"/>
  <c r="AB191" i="52"/>
  <c r="AC191" i="52" s="1"/>
  <c r="AD190" i="52"/>
  <c r="AE190" i="52" s="1"/>
  <c r="W190" i="52"/>
  <c r="AA190" i="52" s="1"/>
  <c r="Z189" i="52"/>
  <c r="U192" i="52"/>
  <c r="V192" i="52" s="1"/>
  <c r="AO192" i="52"/>
  <c r="AQ192" i="52" s="1"/>
  <c r="AH189" i="52"/>
  <c r="L192" i="52"/>
  <c r="N192" i="52" s="1"/>
  <c r="O192" i="52" s="1"/>
  <c r="AF189" i="52"/>
  <c r="AG189" i="52" s="1"/>
  <c r="AM189" i="52" s="1"/>
  <c r="AL193" i="52"/>
  <c r="AK193" i="52"/>
  <c r="N191" i="52"/>
  <c r="O191" i="52" s="1"/>
  <c r="AJ194" i="52"/>
  <c r="E195" i="52"/>
  <c r="F194" i="52"/>
  <c r="G194" i="52" s="1"/>
  <c r="AV191" i="52"/>
  <c r="AW191" i="52"/>
  <c r="AX191" i="52"/>
  <c r="AZ191" i="52"/>
  <c r="AY191" i="52"/>
  <c r="Y189" i="52"/>
  <c r="Q193" i="52"/>
  <c r="R193" i="52" s="1"/>
  <c r="J193" i="52"/>
  <c r="I193" i="52"/>
  <c r="K193" i="52"/>
  <c r="AN188" i="52" l="1"/>
  <c r="AR188" i="52" s="1"/>
  <c r="AS187" i="52"/>
  <c r="AU187" i="52"/>
  <c r="AT187" i="52"/>
  <c r="M192" i="52"/>
  <c r="P192" i="52" s="1"/>
  <c r="S192" i="52" s="1"/>
  <c r="L193" i="52"/>
  <c r="N193" i="52" s="1"/>
  <c r="O193" i="52" s="1"/>
  <c r="X192" i="52"/>
  <c r="AB192" i="52"/>
  <c r="AC192" i="52" s="1"/>
  <c r="U193" i="52"/>
  <c r="V193" i="52" s="1"/>
  <c r="I194" i="52"/>
  <c r="Q194" i="52"/>
  <c r="R194" i="52" s="1"/>
  <c r="J194" i="52"/>
  <c r="K194" i="52"/>
  <c r="Y190" i="52"/>
  <c r="AL194" i="52"/>
  <c r="AK194" i="52"/>
  <c r="AF190" i="52"/>
  <c r="AG190" i="52" s="1"/>
  <c r="AM190" i="52" s="1"/>
  <c r="Z190" i="52"/>
  <c r="AH190" i="52"/>
  <c r="AJ195" i="52"/>
  <c r="E196" i="52"/>
  <c r="F195" i="52"/>
  <c r="G195" i="52" s="1"/>
  <c r="AV192" i="52"/>
  <c r="AW192" i="52"/>
  <c r="AX192" i="52"/>
  <c r="AY192" i="52"/>
  <c r="AZ192" i="52"/>
  <c r="M193" i="52"/>
  <c r="P193" i="52" s="1"/>
  <c r="S193" i="52" s="1"/>
  <c r="AO193" i="52"/>
  <c r="AQ193" i="52" s="1"/>
  <c r="AD191" i="52"/>
  <c r="AE191" i="52" s="1"/>
  <c r="W191" i="52"/>
  <c r="AA191" i="52" s="1"/>
  <c r="AS188" i="52" l="1"/>
  <c r="AU188" i="52"/>
  <c r="AT188" i="52"/>
  <c r="AN189" i="52"/>
  <c r="AR189" i="52" s="1"/>
  <c r="T192" i="52"/>
  <c r="AF191" i="52"/>
  <c r="AG191" i="52" s="1"/>
  <c r="AM191" i="52" s="1"/>
  <c r="AH191" i="52"/>
  <c r="AD192" i="52"/>
  <c r="AE192" i="52" s="1"/>
  <c r="W192" i="52"/>
  <c r="AA192" i="52" s="1"/>
  <c r="I195" i="52"/>
  <c r="Q195" i="52"/>
  <c r="R195" i="52" s="1"/>
  <c r="J195" i="52"/>
  <c r="K195" i="52"/>
  <c r="U194" i="52"/>
  <c r="V194" i="52" s="1"/>
  <c r="AV193" i="52"/>
  <c r="AW193" i="52"/>
  <c r="AX193" i="52"/>
  <c r="AZ193" i="52"/>
  <c r="AY193" i="52"/>
  <c r="AJ196" i="52"/>
  <c r="E197" i="52"/>
  <c r="F196" i="52"/>
  <c r="G196" i="52" s="1"/>
  <c r="X193" i="52"/>
  <c r="AB193" i="52"/>
  <c r="AC193" i="52" s="1"/>
  <c r="AK195" i="52"/>
  <c r="AL195" i="52"/>
  <c r="T193" i="52"/>
  <c r="Z191" i="52"/>
  <c r="Z192" i="52"/>
  <c r="AO194" i="52"/>
  <c r="AQ194" i="52" s="1"/>
  <c r="Y191" i="52"/>
  <c r="L194" i="52"/>
  <c r="N194" i="52" s="1"/>
  <c r="O194" i="52" s="1"/>
  <c r="AT189" i="52" l="1"/>
  <c r="AU189" i="52"/>
  <c r="AS189" i="52"/>
  <c r="AN190" i="52"/>
  <c r="AR190" i="52" s="1"/>
  <c r="Y193" i="52"/>
  <c r="L195" i="52"/>
  <c r="N195" i="52"/>
  <c r="O195" i="52" s="1"/>
  <c r="I196" i="52"/>
  <c r="Q196" i="52"/>
  <c r="R196" i="52" s="1"/>
  <c r="J196" i="52"/>
  <c r="K196" i="52"/>
  <c r="U195" i="52"/>
  <c r="V195" i="52" s="1"/>
  <c r="AH192" i="52"/>
  <c r="AJ197" i="52"/>
  <c r="E198" i="52"/>
  <c r="F197" i="52"/>
  <c r="G197" i="52" s="1"/>
  <c r="M195" i="52"/>
  <c r="P195" i="52" s="1"/>
  <c r="S195" i="52" s="1"/>
  <c r="AW194" i="52"/>
  <c r="AX194" i="52"/>
  <c r="AY194" i="52"/>
  <c r="AZ194" i="52"/>
  <c r="AV194" i="52"/>
  <c r="X194" i="52"/>
  <c r="AB194" i="52"/>
  <c r="AC194" i="52" s="1"/>
  <c r="M194" i="52"/>
  <c r="P194" i="52" s="1"/>
  <c r="AD193" i="52"/>
  <c r="AE193" i="52" s="1"/>
  <c r="W193" i="52"/>
  <c r="AA193" i="52" s="1"/>
  <c r="AK196" i="52"/>
  <c r="AL196" i="52"/>
  <c r="AF192" i="52"/>
  <c r="AG192" i="52" s="1"/>
  <c r="AM192" i="52" s="1"/>
  <c r="AO195" i="52"/>
  <c r="AQ195" i="52" s="1"/>
  <c r="Y192" i="52"/>
  <c r="AN191" i="52" l="1"/>
  <c r="AR191" i="52" s="1"/>
  <c r="AN192" i="52"/>
  <c r="AR192" i="52" s="1"/>
  <c r="AT192" i="52" s="1"/>
  <c r="AU190" i="52"/>
  <c r="AT190" i="52"/>
  <c r="AS190" i="52"/>
  <c r="T195" i="52"/>
  <c r="W195" i="52" s="1"/>
  <c r="AA195" i="52" s="1"/>
  <c r="AS192" i="52"/>
  <c r="AU192" i="52"/>
  <c r="AF193" i="52"/>
  <c r="AG193" i="52" s="1"/>
  <c r="AM193" i="52" s="1"/>
  <c r="AN193" i="52" s="1"/>
  <c r="AR193" i="52" s="1"/>
  <c r="AK197" i="52"/>
  <c r="AL197" i="52"/>
  <c r="AX195" i="52"/>
  <c r="AY195" i="52"/>
  <c r="AZ195" i="52"/>
  <c r="AV195" i="52"/>
  <c r="AW195" i="52"/>
  <c r="X195" i="52"/>
  <c r="AB195" i="52"/>
  <c r="AC195" i="52" s="1"/>
  <c r="Z193" i="52"/>
  <c r="L196" i="52"/>
  <c r="M196" i="52" s="1"/>
  <c r="P196" i="52" s="1"/>
  <c r="S194" i="52"/>
  <c r="T194" i="52"/>
  <c r="AO196" i="52"/>
  <c r="AQ196" i="52" s="1"/>
  <c r="J197" i="52"/>
  <c r="K197" i="52"/>
  <c r="Q197" i="52"/>
  <c r="R197" i="52" s="1"/>
  <c r="I197" i="52"/>
  <c r="AH193" i="52"/>
  <c r="AJ198" i="52"/>
  <c r="E199" i="52"/>
  <c r="F198" i="52"/>
  <c r="G198" i="52" s="1"/>
  <c r="U196" i="52"/>
  <c r="V196" i="52" s="1"/>
  <c r="AU191" i="52" l="1"/>
  <c r="AS191" i="52"/>
  <c r="AT191" i="52"/>
  <c r="S196" i="52"/>
  <c r="T196" i="52"/>
  <c r="AT193" i="52"/>
  <c r="AS193" i="52"/>
  <c r="AU193" i="52"/>
  <c r="K198" i="52"/>
  <c r="I198" i="52"/>
  <c r="Q198" i="52"/>
  <c r="R198" i="52" s="1"/>
  <c r="J198" i="52"/>
  <c r="L197" i="52"/>
  <c r="N197" i="52"/>
  <c r="O197" i="52" s="1"/>
  <c r="N196" i="52"/>
  <c r="O196" i="52" s="1"/>
  <c r="AO197" i="52"/>
  <c r="AQ197" i="52" s="1"/>
  <c r="E200" i="52"/>
  <c r="AJ199" i="52"/>
  <c r="F199" i="52"/>
  <c r="G199" i="52" s="1"/>
  <c r="AY196" i="52"/>
  <c r="AZ196" i="52"/>
  <c r="AV196" i="52"/>
  <c r="AW196" i="52"/>
  <c r="AX196" i="52"/>
  <c r="X196" i="52"/>
  <c r="AB196" i="52"/>
  <c r="AC196" i="52" s="1"/>
  <c r="Y195" i="52"/>
  <c r="Z195" i="52"/>
  <c r="T197" i="52"/>
  <c r="U197" i="52"/>
  <c r="V197" i="52" s="1"/>
  <c r="AK198" i="52"/>
  <c r="AL198" i="52"/>
  <c r="M197" i="52"/>
  <c r="P197" i="52" s="1"/>
  <c r="S197" i="52" s="1"/>
  <c r="W194" i="52"/>
  <c r="AD194" i="52"/>
  <c r="AD195" i="52"/>
  <c r="AE195" i="52" s="1"/>
  <c r="L198" i="52" l="1"/>
  <c r="N198" i="52" s="1"/>
  <c r="O198" i="52" s="1"/>
  <c r="U198" i="52"/>
  <c r="V198" i="52" s="1"/>
  <c r="AE194" i="52"/>
  <c r="AH194" i="52"/>
  <c r="AA194" i="52"/>
  <c r="Y194" i="52"/>
  <c r="Z194" i="52"/>
  <c r="AZ197" i="52"/>
  <c r="AV197" i="52"/>
  <c r="AX197" i="52"/>
  <c r="AY197" i="52"/>
  <c r="AW197" i="52"/>
  <c r="AF195" i="52"/>
  <c r="AG195" i="52"/>
  <c r="AM195" i="52" s="1"/>
  <c r="Y196" i="52"/>
  <c r="AO198" i="52"/>
  <c r="AQ198" i="52" s="1"/>
  <c r="I199" i="52"/>
  <c r="J199" i="52"/>
  <c r="K199" i="52"/>
  <c r="Q199" i="52"/>
  <c r="R199" i="52" s="1"/>
  <c r="X197" i="52"/>
  <c r="AB197" i="52"/>
  <c r="AC197" i="52" s="1"/>
  <c r="AD197" i="52" s="1"/>
  <c r="AE197" i="52" s="1"/>
  <c r="E201" i="52"/>
  <c r="F200" i="52"/>
  <c r="G200" i="52" s="1"/>
  <c r="AJ200" i="52"/>
  <c r="W197" i="52"/>
  <c r="AA197" i="52" s="1"/>
  <c r="AH195" i="52"/>
  <c r="AK199" i="52"/>
  <c r="AL199" i="52"/>
  <c r="AD196" i="52"/>
  <c r="AE196" i="52" s="1"/>
  <c r="W196" i="52"/>
  <c r="AA196" i="52" s="1"/>
  <c r="M198" i="52" l="1"/>
  <c r="P198" i="52" s="1"/>
  <c r="S198" i="52" s="1"/>
  <c r="Z196" i="52"/>
  <c r="AH196" i="52"/>
  <c r="AF197" i="52"/>
  <c r="AG197" i="52" s="1"/>
  <c r="AM197" i="52" s="1"/>
  <c r="AF194" i="52"/>
  <c r="AG194" i="52"/>
  <c r="AM194" i="52" s="1"/>
  <c r="AN194" i="52" s="1"/>
  <c r="AR194" i="52" s="1"/>
  <c r="AH197" i="52"/>
  <c r="T198" i="52"/>
  <c r="X198" i="52"/>
  <c r="AB198" i="52"/>
  <c r="AC198" i="52" s="1"/>
  <c r="AF196" i="52"/>
  <c r="AG196" i="52" s="1"/>
  <c r="AM196" i="52" s="1"/>
  <c r="K200" i="52"/>
  <c r="I200" i="52"/>
  <c r="J200" i="52"/>
  <c r="Q200" i="52"/>
  <c r="R200" i="52" s="1"/>
  <c r="Z197" i="52"/>
  <c r="Y197" i="52"/>
  <c r="U199" i="52"/>
  <c r="V199" i="52" s="1"/>
  <c r="AL200" i="52"/>
  <c r="AK200" i="52"/>
  <c r="L199" i="52"/>
  <c r="N199" i="52" s="1"/>
  <c r="O199" i="52" s="1"/>
  <c r="AO199" i="52"/>
  <c r="AQ199" i="52" s="1"/>
  <c r="E202" i="52"/>
  <c r="AJ201" i="52"/>
  <c r="F201" i="52"/>
  <c r="G201" i="52" s="1"/>
  <c r="AV198" i="52"/>
  <c r="AW198" i="52"/>
  <c r="AX198" i="52"/>
  <c r="AY198" i="52"/>
  <c r="AZ198" i="52"/>
  <c r="L200" i="52" l="1"/>
  <c r="M200" i="52" s="1"/>
  <c r="P200" i="52" s="1"/>
  <c r="M199" i="52"/>
  <c r="P199" i="52" s="1"/>
  <c r="Q201" i="52"/>
  <c r="R201" i="52" s="1"/>
  <c r="K201" i="52"/>
  <c r="I201" i="52"/>
  <c r="J201" i="52"/>
  <c r="AK201" i="52"/>
  <c r="AL201" i="52"/>
  <c r="AT194" i="52"/>
  <c r="AU194" i="52"/>
  <c r="AS194" i="52"/>
  <c r="AJ202" i="52"/>
  <c r="E203" i="52"/>
  <c r="F202" i="52"/>
  <c r="G202" i="52" s="1"/>
  <c r="X199" i="52"/>
  <c r="AB199" i="52"/>
  <c r="AC199" i="52" s="1"/>
  <c r="AO200" i="52"/>
  <c r="AQ200" i="52" s="1"/>
  <c r="AV199" i="52"/>
  <c r="AX199" i="52"/>
  <c r="AY199" i="52"/>
  <c r="AZ199" i="52"/>
  <c r="AW199" i="52"/>
  <c r="AN195" i="52"/>
  <c r="AR195" i="52" s="1"/>
  <c r="U200" i="52"/>
  <c r="V200" i="52" s="1"/>
  <c r="W198" i="52"/>
  <c r="AA198" i="52" s="1"/>
  <c r="AD198" i="52"/>
  <c r="AE198" i="52" s="1"/>
  <c r="Y198" i="52" l="1"/>
  <c r="N200" i="52"/>
  <c r="O200" i="52" s="1"/>
  <c r="S200" i="52"/>
  <c r="T200" i="52"/>
  <c r="AF198" i="52"/>
  <c r="AG198" i="52"/>
  <c r="AM198" i="52" s="1"/>
  <c r="E204" i="52"/>
  <c r="F203" i="52"/>
  <c r="G203" i="52" s="1"/>
  <c r="AJ203" i="52"/>
  <c r="L201" i="52"/>
  <c r="N201" i="52" s="1"/>
  <c r="O201" i="52" s="1"/>
  <c r="Z198" i="52"/>
  <c r="AK202" i="52"/>
  <c r="AL202" i="52"/>
  <c r="M201" i="52"/>
  <c r="P201" i="52" s="1"/>
  <c r="S201" i="52" s="1"/>
  <c r="X200" i="52"/>
  <c r="AB200" i="52"/>
  <c r="AC200" i="52" s="1"/>
  <c r="AN196" i="52"/>
  <c r="U201" i="52"/>
  <c r="V201" i="52" s="1"/>
  <c r="S199" i="52"/>
  <c r="T199" i="52"/>
  <c r="AO201" i="52"/>
  <c r="AQ201" i="52" s="1"/>
  <c r="AS195" i="52"/>
  <c r="AT195" i="52"/>
  <c r="AU195" i="52"/>
  <c r="AH198" i="52"/>
  <c r="I202" i="52"/>
  <c r="Q202" i="52"/>
  <c r="R202" i="52" s="1"/>
  <c r="J202" i="52"/>
  <c r="K202" i="52"/>
  <c r="AV200" i="52"/>
  <c r="AW200" i="52"/>
  <c r="AZ200" i="52"/>
  <c r="AX200" i="52"/>
  <c r="AY200" i="52"/>
  <c r="AV201" i="52" l="1"/>
  <c r="AW201" i="52"/>
  <c r="AX201" i="52"/>
  <c r="AY201" i="52"/>
  <c r="AZ201" i="52"/>
  <c r="AL203" i="52"/>
  <c r="AK203" i="52"/>
  <c r="I203" i="52"/>
  <c r="Q203" i="52"/>
  <c r="R203" i="52" s="1"/>
  <c r="J203" i="52"/>
  <c r="K203" i="52"/>
  <c r="AD199" i="52"/>
  <c r="W199" i="52"/>
  <c r="AJ204" i="52"/>
  <c r="E205" i="52"/>
  <c r="F204" i="52"/>
  <c r="G204" i="52" s="1"/>
  <c r="AO202" i="52"/>
  <c r="AQ202" i="52" s="1"/>
  <c r="X201" i="52"/>
  <c r="AB201" i="52"/>
  <c r="AC201" i="52" s="1"/>
  <c r="T201" i="52"/>
  <c r="AD200" i="52"/>
  <c r="AE200" i="52" s="1"/>
  <c r="W200" i="52"/>
  <c r="AA200" i="52" s="1"/>
  <c r="L202" i="52"/>
  <c r="M202" i="52" s="1"/>
  <c r="P202" i="52" s="1"/>
  <c r="AR196" i="52"/>
  <c r="AN197" i="52"/>
  <c r="AR197" i="52" s="1"/>
  <c r="U202" i="52"/>
  <c r="V202" i="52" s="1"/>
  <c r="S202" i="52" l="1"/>
  <c r="T202" i="52"/>
  <c r="X202" i="52"/>
  <c r="AB202" i="52"/>
  <c r="AC202" i="52" s="1"/>
  <c r="AD201" i="52"/>
  <c r="AE201" i="52" s="1"/>
  <c r="W201" i="52"/>
  <c r="AA201" i="52" s="1"/>
  <c r="AJ205" i="52"/>
  <c r="E206" i="52"/>
  <c r="F205" i="52"/>
  <c r="G205" i="52" s="1"/>
  <c r="AL204" i="52"/>
  <c r="AK204" i="52"/>
  <c r="AO203" i="52"/>
  <c r="AQ203" i="52" s="1"/>
  <c r="I204" i="52"/>
  <c r="Q204" i="52"/>
  <c r="R204" i="52" s="1"/>
  <c r="J204" i="52"/>
  <c r="K204" i="52"/>
  <c r="AH200" i="52"/>
  <c r="AE199" i="52"/>
  <c r="AH199" i="52"/>
  <c r="U203" i="52"/>
  <c r="V203" i="52" s="1"/>
  <c r="AT197" i="52"/>
  <c r="AU197" i="52"/>
  <c r="AS197" i="52"/>
  <c r="AH201" i="52"/>
  <c r="AU196" i="52"/>
  <c r="AS196" i="52"/>
  <c r="AT196" i="52"/>
  <c r="Y200" i="52"/>
  <c r="N202" i="52"/>
  <c r="O202" i="52" s="1"/>
  <c r="AF200" i="52"/>
  <c r="AG200" i="52" s="1"/>
  <c r="AM200" i="52" s="1"/>
  <c r="AA199" i="52"/>
  <c r="Y199" i="52"/>
  <c r="Z199" i="52"/>
  <c r="Z200" i="52"/>
  <c r="AW202" i="52"/>
  <c r="AX202" i="52"/>
  <c r="AY202" i="52"/>
  <c r="AV202" i="52"/>
  <c r="AZ202" i="52"/>
  <c r="L203" i="52"/>
  <c r="M203" i="52" s="1"/>
  <c r="P203" i="52" s="1"/>
  <c r="N203" i="52"/>
  <c r="O203" i="52" s="1"/>
  <c r="AN198" i="52"/>
  <c r="AR198" i="52" s="1"/>
  <c r="S203" i="52" l="1"/>
  <c r="T203" i="52"/>
  <c r="Z201" i="52"/>
  <c r="L204" i="52"/>
  <c r="N204" i="52" s="1"/>
  <c r="O204" i="52" s="1"/>
  <c r="AJ206" i="52"/>
  <c r="E207" i="52"/>
  <c r="F206" i="52"/>
  <c r="G206" i="52" s="1"/>
  <c r="Y201" i="52"/>
  <c r="U204" i="52"/>
  <c r="V204" i="52" s="1"/>
  <c r="AK205" i="52"/>
  <c r="AL205" i="52"/>
  <c r="X203" i="52"/>
  <c r="AB203" i="52"/>
  <c r="AC203" i="52" s="1"/>
  <c r="AT198" i="52"/>
  <c r="AU198" i="52"/>
  <c r="AS198" i="52"/>
  <c r="AX203" i="52"/>
  <c r="AY203" i="52"/>
  <c r="AZ203" i="52"/>
  <c r="AV203" i="52"/>
  <c r="AW203" i="52"/>
  <c r="AF201" i="52"/>
  <c r="AG201" i="52" s="1"/>
  <c r="AM201" i="52" s="1"/>
  <c r="M204" i="52"/>
  <c r="P204" i="52" s="1"/>
  <c r="S204" i="52" s="1"/>
  <c r="AF199" i="52"/>
  <c r="AG199" i="52" s="1"/>
  <c r="AM199" i="52" s="1"/>
  <c r="AN199" i="52" s="1"/>
  <c r="AO204" i="52"/>
  <c r="AQ204" i="52" s="1"/>
  <c r="AH202" i="52"/>
  <c r="J205" i="52"/>
  <c r="Q205" i="52"/>
  <c r="R205" i="52" s="1"/>
  <c r="I205" i="52"/>
  <c r="K205" i="52"/>
  <c r="W202" i="52"/>
  <c r="AA202" i="52" s="1"/>
  <c r="AD202" i="52"/>
  <c r="AE202" i="52" s="1"/>
  <c r="AR199" i="52" l="1"/>
  <c r="AN200" i="52"/>
  <c r="AR200" i="52" s="1"/>
  <c r="AJ207" i="52"/>
  <c r="E208" i="52"/>
  <c r="F207" i="52"/>
  <c r="G207" i="52" s="1"/>
  <c r="U205" i="52"/>
  <c r="V205" i="52" s="1"/>
  <c r="AY204" i="52"/>
  <c r="AZ204" i="52"/>
  <c r="AV204" i="52"/>
  <c r="AX204" i="52"/>
  <c r="AW204" i="52"/>
  <c r="K206" i="52"/>
  <c r="J206" i="52"/>
  <c r="I206" i="52"/>
  <c r="Q206" i="52"/>
  <c r="R206" i="52" s="1"/>
  <c r="L205" i="52"/>
  <c r="N205" i="52" s="1"/>
  <c r="O205" i="52" s="1"/>
  <c r="AH203" i="52"/>
  <c r="AO205" i="52"/>
  <c r="AQ205" i="52" s="1"/>
  <c r="AL206" i="52"/>
  <c r="AK206" i="52"/>
  <c r="AF202" i="52"/>
  <c r="AG202" i="52"/>
  <c r="AM202" i="52" s="1"/>
  <c r="Z202" i="52"/>
  <c r="Y202" i="52"/>
  <c r="T204" i="52"/>
  <c r="X204" i="52"/>
  <c r="AB204" i="52"/>
  <c r="AC204" i="52" s="1"/>
  <c r="W203" i="52"/>
  <c r="AA203" i="52" s="1"/>
  <c r="AD203" i="52"/>
  <c r="AE203" i="52" s="1"/>
  <c r="E209" i="52" l="1"/>
  <c r="F208" i="52"/>
  <c r="G208" i="52" s="1"/>
  <c r="AJ208" i="52"/>
  <c r="M205" i="52"/>
  <c r="P205" i="52" s="1"/>
  <c r="U206" i="52"/>
  <c r="V206" i="52" s="1"/>
  <c r="AK207" i="52"/>
  <c r="AL207" i="52"/>
  <c r="AZ205" i="52"/>
  <c r="AX205" i="52"/>
  <c r="AY205" i="52"/>
  <c r="AV205" i="52"/>
  <c r="AW205" i="52"/>
  <c r="AO206" i="52"/>
  <c r="AQ206" i="52" s="1"/>
  <c r="L206" i="52"/>
  <c r="N206" i="52" s="1"/>
  <c r="O206" i="52" s="1"/>
  <c r="Z203" i="52"/>
  <c r="X205" i="52"/>
  <c r="AB205" i="52"/>
  <c r="AC205" i="52" s="1"/>
  <c r="AS200" i="52"/>
  <c r="AU200" i="52"/>
  <c r="AT200" i="52"/>
  <c r="AS199" i="52"/>
  <c r="AT199" i="52"/>
  <c r="AU199" i="52"/>
  <c r="AD204" i="52"/>
  <c r="AE204" i="52" s="1"/>
  <c r="W204" i="52"/>
  <c r="AA204" i="52" s="1"/>
  <c r="Y203" i="52"/>
  <c r="AF203" i="52"/>
  <c r="AG203" i="52" s="1"/>
  <c r="AM203" i="52" s="1"/>
  <c r="Q207" i="52"/>
  <c r="R207" i="52" s="1"/>
  <c r="I207" i="52"/>
  <c r="K207" i="52"/>
  <c r="J207" i="52"/>
  <c r="AN201" i="52"/>
  <c r="AR201" i="52" s="1"/>
  <c r="Z204" i="52" l="1"/>
  <c r="M206" i="52"/>
  <c r="P206" i="52" s="1"/>
  <c r="S206" i="52" s="1"/>
  <c r="AF204" i="52"/>
  <c r="AG204" i="52" s="1"/>
  <c r="AM204" i="52" s="1"/>
  <c r="AV206" i="52"/>
  <c r="AW206" i="52"/>
  <c r="AX206" i="52"/>
  <c r="AY206" i="52"/>
  <c r="AZ206" i="52"/>
  <c r="X206" i="52"/>
  <c r="AB206" i="52"/>
  <c r="AC206" i="52" s="1"/>
  <c r="L207" i="52"/>
  <c r="N207" i="52" s="1"/>
  <c r="O207" i="52" s="1"/>
  <c r="Y204" i="52"/>
  <c r="S205" i="52"/>
  <c r="T205" i="52"/>
  <c r="AT201" i="52"/>
  <c r="AU201" i="52"/>
  <c r="AS201" i="52"/>
  <c r="AH204" i="52"/>
  <c r="AL208" i="52"/>
  <c r="AK208" i="52"/>
  <c r="Q208" i="52"/>
  <c r="R208" i="52" s="1"/>
  <c r="K208" i="52"/>
  <c r="I208" i="52"/>
  <c r="J208" i="52"/>
  <c r="U207" i="52"/>
  <c r="V207" i="52" s="1"/>
  <c r="AN202" i="52"/>
  <c r="AR202" i="52" s="1"/>
  <c r="AO207" i="52"/>
  <c r="AQ207" i="52" s="1"/>
  <c r="E210" i="52"/>
  <c r="AJ209" i="52"/>
  <c r="F209" i="52"/>
  <c r="G209" i="52" s="1"/>
  <c r="T206" i="52" l="1"/>
  <c r="L208" i="52"/>
  <c r="N208" i="52" s="1"/>
  <c r="O208" i="52" s="1"/>
  <c r="AJ210" i="52"/>
  <c r="E211" i="52"/>
  <c r="F210" i="52"/>
  <c r="G210" i="52" s="1"/>
  <c r="U208" i="52"/>
  <c r="V208" i="52" s="1"/>
  <c r="AD205" i="52"/>
  <c r="W205" i="52"/>
  <c r="W206" i="52"/>
  <c r="AA206" i="52" s="1"/>
  <c r="AD206" i="52"/>
  <c r="AE206" i="52" s="1"/>
  <c r="AT202" i="52"/>
  <c r="AU202" i="52"/>
  <c r="AS202" i="52"/>
  <c r="X207" i="52"/>
  <c r="AB207" i="52"/>
  <c r="AC207" i="52" s="1"/>
  <c r="I209" i="52"/>
  <c r="J209" i="52"/>
  <c r="Q209" i="52"/>
  <c r="R209" i="52" s="1"/>
  <c r="K209" i="52"/>
  <c r="AV207" i="52"/>
  <c r="AW207" i="52"/>
  <c r="AX207" i="52"/>
  <c r="AY207" i="52"/>
  <c r="AZ207" i="52"/>
  <c r="AO208" i="52"/>
  <c r="AQ208" i="52" s="1"/>
  <c r="AK209" i="52"/>
  <c r="AL209" i="52"/>
  <c r="M207" i="52"/>
  <c r="P207" i="52" s="1"/>
  <c r="AN203" i="52"/>
  <c r="AR203" i="52" s="1"/>
  <c r="AH206" i="52" l="1"/>
  <c r="M208" i="52"/>
  <c r="P208" i="52" s="1"/>
  <c r="S207" i="52"/>
  <c r="T207" i="52"/>
  <c r="U209" i="52"/>
  <c r="V209" i="52" s="1"/>
  <c r="AF206" i="52"/>
  <c r="AG206" i="52" s="1"/>
  <c r="AM206" i="52" s="1"/>
  <c r="AE205" i="52"/>
  <c r="AH205" i="52"/>
  <c r="AJ211" i="52"/>
  <c r="E212" i="52"/>
  <c r="F211" i="52"/>
  <c r="G211" i="52" s="1"/>
  <c r="AT203" i="52"/>
  <c r="AU203" i="52"/>
  <c r="AS203" i="52"/>
  <c r="L209" i="52"/>
  <c r="N209" i="52" s="1"/>
  <c r="O209" i="52" s="1"/>
  <c r="X208" i="52"/>
  <c r="AB208" i="52"/>
  <c r="AC208" i="52" s="1"/>
  <c r="AO209" i="52"/>
  <c r="AQ209" i="52" s="1"/>
  <c r="Q210" i="52"/>
  <c r="R210" i="52" s="1"/>
  <c r="J210" i="52"/>
  <c r="K210" i="52"/>
  <c r="I210" i="52"/>
  <c r="AA205" i="52"/>
  <c r="Z205" i="52"/>
  <c r="Y205" i="52"/>
  <c r="AV208" i="52"/>
  <c r="AX208" i="52"/>
  <c r="AY208" i="52"/>
  <c r="AZ208" i="52"/>
  <c r="AW208" i="52"/>
  <c r="AL210" i="52"/>
  <c r="AK210" i="52"/>
  <c r="Z206" i="52"/>
  <c r="Y206" i="52"/>
  <c r="AN204" i="52"/>
  <c r="AR204" i="52" s="1"/>
  <c r="S208" i="52" l="1"/>
  <c r="T208" i="52"/>
  <c r="W208" i="52" s="1"/>
  <c r="AA208" i="52" s="1"/>
  <c r="AK211" i="52"/>
  <c r="AL211" i="52"/>
  <c r="AS204" i="52"/>
  <c r="AT204" i="52"/>
  <c r="AU204" i="52"/>
  <c r="AV209" i="52"/>
  <c r="AZ209" i="52"/>
  <c r="AY209" i="52"/>
  <c r="AW209" i="52"/>
  <c r="AX209" i="52"/>
  <c r="M209" i="52"/>
  <c r="P209" i="52" s="1"/>
  <c r="I211" i="52"/>
  <c r="Q211" i="52"/>
  <c r="R211" i="52" s="1"/>
  <c r="J211" i="52"/>
  <c r="K211" i="52"/>
  <c r="E213" i="52"/>
  <c r="AJ212" i="52"/>
  <c r="F212" i="52"/>
  <c r="G212" i="52" s="1"/>
  <c r="X209" i="52"/>
  <c r="AB209" i="52"/>
  <c r="AC209" i="52" s="1"/>
  <c r="AO210" i="52"/>
  <c r="AQ210" i="52" s="1"/>
  <c r="AD207" i="52"/>
  <c r="W207" i="52"/>
  <c r="L210" i="52"/>
  <c r="M210" i="52" s="1"/>
  <c r="P210" i="52" s="1"/>
  <c r="AF205" i="52"/>
  <c r="AG205" i="52" s="1"/>
  <c r="AM205" i="52" s="1"/>
  <c r="AN205" i="52" s="1"/>
  <c r="U210" i="52"/>
  <c r="V210" i="52" s="1"/>
  <c r="AD208" i="52" l="1"/>
  <c r="Z208" i="52"/>
  <c r="Y208" i="52"/>
  <c r="AR205" i="52"/>
  <c r="AN206" i="52"/>
  <c r="AR206" i="52" s="1"/>
  <c r="S210" i="52"/>
  <c r="T210" i="52"/>
  <c r="AA207" i="52"/>
  <c r="Y207" i="52"/>
  <c r="Z207" i="52"/>
  <c r="S209" i="52"/>
  <c r="T209" i="52"/>
  <c r="X210" i="52"/>
  <c r="AB210" i="52"/>
  <c r="AC210" i="52" s="1"/>
  <c r="AJ213" i="52"/>
  <c r="F213" i="52"/>
  <c r="G213" i="52" s="1"/>
  <c r="E214" i="52"/>
  <c r="AE207" i="52"/>
  <c r="AH207" i="52"/>
  <c r="AV210" i="52"/>
  <c r="AW210" i="52"/>
  <c r="AX210" i="52"/>
  <c r="AY210" i="52"/>
  <c r="AZ210" i="52"/>
  <c r="N210" i="52"/>
  <c r="O210" i="52" s="1"/>
  <c r="AO211" i="52"/>
  <c r="AQ211" i="52" s="1"/>
  <c r="I212" i="52"/>
  <c r="Q212" i="52"/>
  <c r="R212" i="52" s="1"/>
  <c r="J212" i="52"/>
  <c r="K212" i="52"/>
  <c r="L211" i="52"/>
  <c r="N211" i="52" s="1"/>
  <c r="O211" i="52" s="1"/>
  <c r="AL212" i="52"/>
  <c r="AK212" i="52"/>
  <c r="U211" i="52"/>
  <c r="V211" i="52" s="1"/>
  <c r="AE208" i="52" l="1"/>
  <c r="AH208" i="52"/>
  <c r="M211" i="52"/>
  <c r="P211" i="52" s="1"/>
  <c r="AJ214" i="52"/>
  <c r="E215" i="52"/>
  <c r="F214" i="52"/>
  <c r="G214" i="52" s="1"/>
  <c r="X211" i="52"/>
  <c r="AB211" i="52"/>
  <c r="AC211" i="52" s="1"/>
  <c r="L212" i="52"/>
  <c r="M212" i="52" s="1"/>
  <c r="P212" i="52" s="1"/>
  <c r="I213" i="52"/>
  <c r="Q213" i="52"/>
  <c r="R213" i="52" s="1"/>
  <c r="J213" i="52"/>
  <c r="K213" i="52"/>
  <c r="U212" i="52"/>
  <c r="V212" i="52" s="1"/>
  <c r="AW211" i="52"/>
  <c r="AX211" i="52"/>
  <c r="AY211" i="52"/>
  <c r="AV211" i="52"/>
  <c r="AZ211" i="52"/>
  <c r="AK213" i="52"/>
  <c r="AL213" i="52"/>
  <c r="AU206" i="52"/>
  <c r="AS206" i="52"/>
  <c r="AT206" i="52"/>
  <c r="W210" i="52"/>
  <c r="AA210" i="52" s="1"/>
  <c r="AD210" i="52"/>
  <c r="AE210" i="52" s="1"/>
  <c r="AO212" i="52"/>
  <c r="AQ212" i="52" s="1"/>
  <c r="AD209" i="52"/>
  <c r="W209" i="52"/>
  <c r="AF207" i="52"/>
  <c r="AG207" i="52"/>
  <c r="AM207" i="52" s="1"/>
  <c r="AN207" i="52" s="1"/>
  <c r="AR207" i="52" s="1"/>
  <c r="AT205" i="52"/>
  <c r="AS205" i="52"/>
  <c r="AU205" i="52"/>
  <c r="AF208" i="52" l="1"/>
  <c r="AG208" i="52" s="1"/>
  <c r="AM208" i="52" s="1"/>
  <c r="AN208" i="52" s="1"/>
  <c r="AR208" i="52" s="1"/>
  <c r="S212" i="52"/>
  <c r="T212" i="52"/>
  <c r="J214" i="52"/>
  <c r="K214" i="52"/>
  <c r="I214" i="52"/>
  <c r="Q214" i="52"/>
  <c r="R214" i="52" s="1"/>
  <c r="AE209" i="52"/>
  <c r="AH209" i="52"/>
  <c r="Z210" i="52"/>
  <c r="L213" i="52"/>
  <c r="M213" i="52" s="1"/>
  <c r="P213" i="52" s="1"/>
  <c r="AJ215" i="52"/>
  <c r="E216" i="52"/>
  <c r="F215" i="52"/>
  <c r="G215" i="52" s="1"/>
  <c r="AF210" i="52"/>
  <c r="AG210" i="52" s="1"/>
  <c r="AM210" i="52" s="1"/>
  <c r="AA209" i="52"/>
  <c r="Y209" i="52"/>
  <c r="Z209" i="52"/>
  <c r="Y210" i="52"/>
  <c r="U213" i="52"/>
  <c r="V213" i="52" s="1"/>
  <c r="AX212" i="52"/>
  <c r="AY212" i="52"/>
  <c r="AZ212" i="52"/>
  <c r="AV212" i="52"/>
  <c r="AW212" i="52"/>
  <c r="AH210" i="52"/>
  <c r="AK214" i="52"/>
  <c r="AL214" i="52"/>
  <c r="N212" i="52"/>
  <c r="O212" i="52" s="1"/>
  <c r="S211" i="52"/>
  <c r="T211" i="52"/>
  <c r="AO213" i="52"/>
  <c r="AQ213" i="52" s="1"/>
  <c r="AT207" i="52"/>
  <c r="AU207" i="52"/>
  <c r="AS207" i="52"/>
  <c r="X212" i="52"/>
  <c r="AB212" i="52"/>
  <c r="AC212" i="52" s="1"/>
  <c r="S213" i="52" l="1"/>
  <c r="T213" i="52"/>
  <c r="X213" i="52"/>
  <c r="AB213" i="52"/>
  <c r="AC213" i="52" s="1"/>
  <c r="K215" i="52"/>
  <c r="J215" i="52"/>
  <c r="I215" i="52"/>
  <c r="Q215" i="52"/>
  <c r="R215" i="52" s="1"/>
  <c r="AF209" i="52"/>
  <c r="AG209" i="52"/>
  <c r="AM209" i="52" s="1"/>
  <c r="AN209" i="52" s="1"/>
  <c r="AR209" i="52" s="1"/>
  <c r="W211" i="52"/>
  <c r="AD211" i="52"/>
  <c r="E217" i="52"/>
  <c r="AJ216" i="52"/>
  <c r="F216" i="52"/>
  <c r="G216" i="52" s="1"/>
  <c r="U214" i="52"/>
  <c r="V214" i="52" s="1"/>
  <c r="AS208" i="52"/>
  <c r="AT208" i="52"/>
  <c r="AU208" i="52"/>
  <c r="AK215" i="52"/>
  <c r="AL215" i="52"/>
  <c r="L214" i="52"/>
  <c r="M214" i="52" s="1"/>
  <c r="P214" i="52" s="1"/>
  <c r="N214" i="52"/>
  <c r="O214" i="52" s="1"/>
  <c r="N213" i="52"/>
  <c r="O213" i="52" s="1"/>
  <c r="W212" i="52"/>
  <c r="AA212" i="52" s="1"/>
  <c r="AD212" i="52"/>
  <c r="AE212" i="52" s="1"/>
  <c r="AO214" i="52"/>
  <c r="AQ214" i="52" s="1"/>
  <c r="AY213" i="52"/>
  <c r="AZ213" i="52"/>
  <c r="AV213" i="52"/>
  <c r="AX213" i="52"/>
  <c r="AW213" i="52"/>
  <c r="AN210" i="52" l="1"/>
  <c r="AR210" i="52" s="1"/>
  <c r="S214" i="52"/>
  <c r="T214" i="52"/>
  <c r="AS210" i="52"/>
  <c r="AT210" i="52"/>
  <c r="AU210" i="52"/>
  <c r="E218" i="52"/>
  <c r="F217" i="52"/>
  <c r="G217" i="52" s="1"/>
  <c r="AJ217" i="52"/>
  <c r="U215" i="52"/>
  <c r="V215" i="52" s="1"/>
  <c r="AE211" i="52"/>
  <c r="AH211" i="52"/>
  <c r="L215" i="52"/>
  <c r="M215" i="52" s="1"/>
  <c r="P215" i="52" s="1"/>
  <c r="S215" i="52" s="1"/>
  <c r="AH212" i="52"/>
  <c r="AA211" i="52"/>
  <c r="Y211" i="52"/>
  <c r="Z211" i="52"/>
  <c r="AZ214" i="52"/>
  <c r="AW214" i="52"/>
  <c r="AX214" i="52"/>
  <c r="AY214" i="52"/>
  <c r="AV214" i="52"/>
  <c r="AO215" i="52"/>
  <c r="AQ215" i="52" s="1"/>
  <c r="Y212" i="52"/>
  <c r="AD213" i="52"/>
  <c r="AE213" i="52" s="1"/>
  <c r="W213" i="52"/>
  <c r="AA213" i="52" s="1"/>
  <c r="X214" i="52"/>
  <c r="AB214" i="52"/>
  <c r="AC214" i="52" s="1"/>
  <c r="Z212" i="52"/>
  <c r="Q216" i="52"/>
  <c r="R216" i="52" s="1"/>
  <c r="K216" i="52"/>
  <c r="I216" i="52"/>
  <c r="J216" i="52"/>
  <c r="AS209" i="52"/>
  <c r="AU209" i="52"/>
  <c r="AT209" i="52"/>
  <c r="AF212" i="52"/>
  <c r="AG212" i="52" s="1"/>
  <c r="AM212" i="52" s="1"/>
  <c r="AK216" i="52"/>
  <c r="AL216" i="52"/>
  <c r="N215" i="52" l="1"/>
  <c r="O215" i="52" s="1"/>
  <c r="Z213" i="52"/>
  <c r="Y213" i="52"/>
  <c r="L216" i="52"/>
  <c r="M216" i="52" s="1"/>
  <c r="P216" i="52" s="1"/>
  <c r="AY215" i="52"/>
  <c r="AZ215" i="52"/>
  <c r="AV215" i="52"/>
  <c r="AW215" i="52"/>
  <c r="AX215" i="52"/>
  <c r="AH214" i="52"/>
  <c r="Q217" i="52"/>
  <c r="R217" i="52" s="1"/>
  <c r="I217" i="52"/>
  <c r="J217" i="52"/>
  <c r="K217" i="52"/>
  <c r="AF213" i="52"/>
  <c r="AG213" i="52" s="1"/>
  <c r="AM213" i="52" s="1"/>
  <c r="AH213" i="52"/>
  <c r="AJ218" i="52"/>
  <c r="E219" i="52"/>
  <c r="F218" i="52"/>
  <c r="G218" i="52" s="1"/>
  <c r="AF211" i="52"/>
  <c r="AG211" i="52" s="1"/>
  <c r="AM211" i="52" s="1"/>
  <c r="AN211" i="52" s="1"/>
  <c r="AO216" i="52"/>
  <c r="AQ216" i="52" s="1"/>
  <c r="X215" i="52"/>
  <c r="AB215" i="52"/>
  <c r="AC215" i="52" s="1"/>
  <c r="W214" i="52"/>
  <c r="AA214" i="52" s="1"/>
  <c r="AD214" i="52"/>
  <c r="AE214" i="52" s="1"/>
  <c r="T215" i="52"/>
  <c r="U216" i="52"/>
  <c r="V216" i="52" s="1"/>
  <c r="AL217" i="52"/>
  <c r="AK217" i="52"/>
  <c r="AR211" i="52" l="1"/>
  <c r="AN212" i="52"/>
  <c r="AR212" i="52" s="1"/>
  <c r="S216" i="52"/>
  <c r="T216" i="52"/>
  <c r="AO217" i="52"/>
  <c r="AQ217" i="52" s="1"/>
  <c r="E220" i="52"/>
  <c r="AJ219" i="52"/>
  <c r="F219" i="52"/>
  <c r="G219" i="52" s="1"/>
  <c r="L217" i="52"/>
  <c r="N217" i="52" s="1"/>
  <c r="O217" i="52" s="1"/>
  <c r="X216" i="52"/>
  <c r="AB216" i="52"/>
  <c r="AC216" i="52" s="1"/>
  <c r="AK218" i="52"/>
  <c r="AL218" i="52"/>
  <c r="AV216" i="52"/>
  <c r="AY216" i="52"/>
  <c r="AZ216" i="52"/>
  <c r="AX216" i="52"/>
  <c r="AW216" i="52"/>
  <c r="U217" i="52"/>
  <c r="V217" i="52" s="1"/>
  <c r="Z214" i="52"/>
  <c r="N216" i="52"/>
  <c r="O216" i="52" s="1"/>
  <c r="W215" i="52"/>
  <c r="AA215" i="52" s="1"/>
  <c r="AD215" i="52"/>
  <c r="AE215" i="52" s="1"/>
  <c r="Y214" i="52"/>
  <c r="AF214" i="52"/>
  <c r="AG214" i="52" s="1"/>
  <c r="AM214" i="52" s="1"/>
  <c r="I218" i="52"/>
  <c r="J218" i="52"/>
  <c r="K218" i="52"/>
  <c r="Q218" i="52"/>
  <c r="R218" i="52" s="1"/>
  <c r="M217" i="52" l="1"/>
  <c r="P217" i="52" s="1"/>
  <c r="AV217" i="52"/>
  <c r="AW217" i="52"/>
  <c r="AX217" i="52"/>
  <c r="AY217" i="52"/>
  <c r="AZ217" i="52"/>
  <c r="X217" i="52"/>
  <c r="AB217" i="52"/>
  <c r="AC217" i="52" s="1"/>
  <c r="Z216" i="52"/>
  <c r="AO218" i="52"/>
  <c r="AQ218" i="52" s="1"/>
  <c r="I219" i="52"/>
  <c r="Q219" i="52"/>
  <c r="R219" i="52" s="1"/>
  <c r="K219" i="52"/>
  <c r="J219" i="52"/>
  <c r="AD216" i="52"/>
  <c r="AE216" i="52" s="1"/>
  <c r="W216" i="52"/>
  <c r="AA216" i="52" s="1"/>
  <c r="AL219" i="52"/>
  <c r="AK219" i="52"/>
  <c r="Z215" i="52"/>
  <c r="F220" i="52"/>
  <c r="G220" i="52" s="1"/>
  <c r="E221" i="52"/>
  <c r="AJ220" i="52"/>
  <c r="AS212" i="52"/>
  <c r="AU212" i="52"/>
  <c r="AT212" i="52"/>
  <c r="AT211" i="52"/>
  <c r="AS211" i="52"/>
  <c r="AU211" i="52"/>
  <c r="AG215" i="52"/>
  <c r="AM215" i="52" s="1"/>
  <c r="AF215" i="52"/>
  <c r="U218" i="52"/>
  <c r="V218" i="52" s="1"/>
  <c r="Y215" i="52"/>
  <c r="L218" i="52"/>
  <c r="M218" i="52" s="1"/>
  <c r="P218" i="52" s="1"/>
  <c r="AH216" i="52"/>
  <c r="AH215" i="52"/>
  <c r="AN213" i="52"/>
  <c r="AR213" i="52" s="1"/>
  <c r="S218" i="52" l="1"/>
  <c r="T218" i="52"/>
  <c r="W218" i="52" s="1"/>
  <c r="AA218" i="52" s="1"/>
  <c r="N218" i="52"/>
  <c r="O218" i="52" s="1"/>
  <c r="S217" i="52"/>
  <c r="T217" i="52"/>
  <c r="AL220" i="52"/>
  <c r="AK220" i="52"/>
  <c r="Y216" i="52"/>
  <c r="AJ221" i="52"/>
  <c r="E222" i="52"/>
  <c r="F221" i="52"/>
  <c r="G221" i="52" s="1"/>
  <c r="AF216" i="52"/>
  <c r="AG216" i="52"/>
  <c r="AM216" i="52" s="1"/>
  <c r="L219" i="52"/>
  <c r="M219" i="52" s="1"/>
  <c r="P219" i="52" s="1"/>
  <c r="S219" i="52" s="1"/>
  <c r="N219" i="52"/>
  <c r="O219" i="52"/>
  <c r="U219" i="52"/>
  <c r="V219" i="52" s="1"/>
  <c r="AS213" i="52"/>
  <c r="AT213" i="52"/>
  <c r="AU213" i="52"/>
  <c r="I220" i="52"/>
  <c r="Q220" i="52"/>
  <c r="R220" i="52" s="1"/>
  <c r="J220" i="52"/>
  <c r="K220" i="52"/>
  <c r="X218" i="52"/>
  <c r="AB218" i="52"/>
  <c r="AC218" i="52" s="1"/>
  <c r="AO219" i="52"/>
  <c r="AQ219" i="52" s="1"/>
  <c r="AV218" i="52"/>
  <c r="AW218" i="52"/>
  <c r="AX218" i="52"/>
  <c r="AY218" i="52"/>
  <c r="AZ218" i="52"/>
  <c r="AN214" i="52"/>
  <c r="AR214" i="52" s="1"/>
  <c r="W217" i="52" l="1"/>
  <c r="AD217" i="52"/>
  <c r="Y218" i="52"/>
  <c r="Z218" i="52"/>
  <c r="AK221" i="52"/>
  <c r="AL221" i="52"/>
  <c r="AN215" i="52"/>
  <c r="AR215" i="52" s="1"/>
  <c r="AT214" i="52"/>
  <c r="AU214" i="52"/>
  <c r="AS214" i="52"/>
  <c r="AO220" i="52"/>
  <c r="AQ220" i="52" s="1"/>
  <c r="L220" i="52"/>
  <c r="N220" i="52" s="1"/>
  <c r="O220" i="52" s="1"/>
  <c r="X219" i="52"/>
  <c r="AB219" i="52"/>
  <c r="AC219" i="52" s="1"/>
  <c r="I221" i="52"/>
  <c r="Q221" i="52"/>
  <c r="R221" i="52" s="1"/>
  <c r="J221" i="52"/>
  <c r="K221" i="52"/>
  <c r="AW219" i="52"/>
  <c r="AX219" i="52"/>
  <c r="AY219" i="52"/>
  <c r="AV219" i="52"/>
  <c r="AZ219" i="52"/>
  <c r="U220" i="52"/>
  <c r="V220" i="52" s="1"/>
  <c r="T219" i="52"/>
  <c r="AJ222" i="52"/>
  <c r="E223" i="52"/>
  <c r="F222" i="52"/>
  <c r="G222" i="52" s="1"/>
  <c r="AD218" i="52"/>
  <c r="AE218" i="52" s="1"/>
  <c r="AE217" i="52" l="1"/>
  <c r="AH217" i="52"/>
  <c r="AA217" i="52"/>
  <c r="Z217" i="52"/>
  <c r="Y217" i="52"/>
  <c r="AS215" i="52"/>
  <c r="AT215" i="52"/>
  <c r="AU215" i="52"/>
  <c r="AF218" i="52"/>
  <c r="AG218" i="52" s="1"/>
  <c r="AM218" i="52" s="1"/>
  <c r="AH218" i="52"/>
  <c r="J222" i="52"/>
  <c r="K222" i="52"/>
  <c r="I222" i="52"/>
  <c r="Q222" i="52"/>
  <c r="R222" i="52" s="1"/>
  <c r="L221" i="52"/>
  <c r="M221" i="52" s="1"/>
  <c r="P221" i="52" s="1"/>
  <c r="AO221" i="52"/>
  <c r="AQ221" i="52" s="1"/>
  <c r="AJ223" i="52"/>
  <c r="E224" i="52"/>
  <c r="F223" i="52"/>
  <c r="G223" i="52" s="1"/>
  <c r="U221" i="52"/>
  <c r="V221" i="52" s="1"/>
  <c r="AX220" i="52"/>
  <c r="AY220" i="52"/>
  <c r="AZ220" i="52"/>
  <c r="AV220" i="52"/>
  <c r="AW220" i="52"/>
  <c r="AK222" i="52"/>
  <c r="AL222" i="52"/>
  <c r="M220" i="52"/>
  <c r="P220" i="52" s="1"/>
  <c r="W219" i="52"/>
  <c r="AA219" i="52" s="1"/>
  <c r="AD219" i="52"/>
  <c r="AE219" i="52" s="1"/>
  <c r="X220" i="52"/>
  <c r="AB220" i="52"/>
  <c r="AC220" i="52" s="1"/>
  <c r="AN216" i="52"/>
  <c r="AH219" i="52" l="1"/>
  <c r="AF217" i="52"/>
  <c r="AG217" i="52" s="1"/>
  <c r="AM217" i="52" s="1"/>
  <c r="AN217" i="52" s="1"/>
  <c r="AR217" i="52" s="1"/>
  <c r="S221" i="52"/>
  <c r="T221" i="52"/>
  <c r="AK223" i="52"/>
  <c r="AL223" i="52"/>
  <c r="AO222" i="52"/>
  <c r="AQ222" i="52" s="1"/>
  <c r="Z219" i="52"/>
  <c r="AY221" i="52"/>
  <c r="AZ221" i="52"/>
  <c r="AV221" i="52"/>
  <c r="AW221" i="52"/>
  <c r="AX221" i="52"/>
  <c r="Y219" i="52"/>
  <c r="N221" i="52"/>
  <c r="O221" i="52" s="1"/>
  <c r="L222" i="52"/>
  <c r="N222" i="52" s="1"/>
  <c r="O222" i="52" s="1"/>
  <c r="AF219" i="52"/>
  <c r="AG219" i="52"/>
  <c r="AM219" i="52" s="1"/>
  <c r="U222" i="52"/>
  <c r="V222" i="52" s="1"/>
  <c r="E225" i="52"/>
  <c r="F224" i="52"/>
  <c r="G224" i="52" s="1"/>
  <c r="AJ224" i="52"/>
  <c r="M222" i="52"/>
  <c r="P222" i="52" s="1"/>
  <c r="S222" i="52" s="1"/>
  <c r="X221" i="52"/>
  <c r="AB221" i="52"/>
  <c r="AC221" i="52" s="1"/>
  <c r="K223" i="52"/>
  <c r="Q223" i="52"/>
  <c r="R223" i="52" s="1"/>
  <c r="J223" i="52"/>
  <c r="I223" i="52"/>
  <c r="AR216" i="52"/>
  <c r="S220" i="52"/>
  <c r="T220" i="52"/>
  <c r="AZ222" i="52" l="1"/>
  <c r="AY222" i="52"/>
  <c r="AV222" i="52"/>
  <c r="AX222" i="52"/>
  <c r="AW222" i="52"/>
  <c r="AS216" i="52"/>
  <c r="AU216" i="52"/>
  <c r="AT216" i="52"/>
  <c r="AK224" i="52"/>
  <c r="AL224" i="52"/>
  <c r="AU217" i="52"/>
  <c r="AS217" i="52"/>
  <c r="AT217" i="52"/>
  <c r="M223" i="52"/>
  <c r="P223" i="52" s="1"/>
  <c r="S223" i="52" s="1"/>
  <c r="Q224" i="52"/>
  <c r="R224" i="52" s="1"/>
  <c r="K224" i="52"/>
  <c r="J224" i="52"/>
  <c r="I224" i="52"/>
  <c r="AO223" i="52"/>
  <c r="AQ223" i="52" s="1"/>
  <c r="L223" i="52"/>
  <c r="N223" i="52" s="1"/>
  <c r="O223" i="52" s="1"/>
  <c r="E226" i="52"/>
  <c r="F225" i="52"/>
  <c r="G225" i="52" s="1"/>
  <c r="AJ225" i="52"/>
  <c r="X222" i="52"/>
  <c r="AB222" i="52"/>
  <c r="AC222" i="52" s="1"/>
  <c r="W221" i="52"/>
  <c r="AA221" i="52" s="1"/>
  <c r="AD221" i="52"/>
  <c r="AE221" i="52" s="1"/>
  <c r="U223" i="52"/>
  <c r="V223" i="52" s="1"/>
  <c r="AD220" i="52"/>
  <c r="W220" i="52"/>
  <c r="T222" i="52"/>
  <c r="AN218" i="52"/>
  <c r="AR218" i="52" s="1"/>
  <c r="AA220" i="52" l="1"/>
  <c r="Y220" i="52"/>
  <c r="Z220" i="52"/>
  <c r="AV223" i="52"/>
  <c r="AW223" i="52"/>
  <c r="AX223" i="52"/>
  <c r="AZ223" i="52"/>
  <c r="AY223" i="52"/>
  <c r="AE220" i="52"/>
  <c r="AH220" i="52"/>
  <c r="Z221" i="52"/>
  <c r="AL225" i="52"/>
  <c r="AK225" i="52"/>
  <c r="L224" i="52"/>
  <c r="N224" i="52" s="1"/>
  <c r="O224" i="52" s="1"/>
  <c r="Y221" i="52"/>
  <c r="X223" i="52"/>
  <c r="AB223" i="52"/>
  <c r="AC223" i="52" s="1"/>
  <c r="I225" i="52"/>
  <c r="J225" i="52"/>
  <c r="K225" i="52"/>
  <c r="Q225" i="52"/>
  <c r="R225" i="52" s="1"/>
  <c r="AO224" i="52"/>
  <c r="AQ224" i="52" s="1"/>
  <c r="T223" i="52"/>
  <c r="E227" i="52"/>
  <c r="AJ226" i="52"/>
  <c r="F226" i="52"/>
  <c r="G226" i="52" s="1"/>
  <c r="U224" i="52"/>
  <c r="V224" i="52" s="1"/>
  <c r="AF221" i="52"/>
  <c r="AG221" i="52" s="1"/>
  <c r="AM221" i="52" s="1"/>
  <c r="AS218" i="52"/>
  <c r="AT218" i="52"/>
  <c r="AU218" i="52"/>
  <c r="W222" i="52"/>
  <c r="AA222" i="52" s="1"/>
  <c r="AD222" i="52"/>
  <c r="AE222" i="52" s="1"/>
  <c r="AH221" i="52"/>
  <c r="AH222" i="52"/>
  <c r="AN219" i="52"/>
  <c r="AR219" i="52" s="1"/>
  <c r="AD223" i="52" l="1"/>
  <c r="AE223" i="52" s="1"/>
  <c r="W223" i="52"/>
  <c r="AA223" i="52" s="1"/>
  <c r="M224" i="52"/>
  <c r="P224" i="52" s="1"/>
  <c r="AV224" i="52"/>
  <c r="AW224" i="52"/>
  <c r="AY224" i="52"/>
  <c r="AX224" i="52"/>
  <c r="AZ224" i="52"/>
  <c r="X224" i="52"/>
  <c r="AB224" i="52"/>
  <c r="AC224" i="52" s="1"/>
  <c r="AF220" i="52"/>
  <c r="AG220" i="52" s="1"/>
  <c r="AM220" i="52" s="1"/>
  <c r="AN220" i="52" s="1"/>
  <c r="AR220" i="52" s="1"/>
  <c r="AF222" i="52"/>
  <c r="AG222" i="52" s="1"/>
  <c r="AM222" i="52" s="1"/>
  <c r="Y222" i="52"/>
  <c r="AT219" i="52"/>
  <c r="AS219" i="52"/>
  <c r="AU219" i="52"/>
  <c r="K226" i="52"/>
  <c r="Q226" i="52"/>
  <c r="R226" i="52" s="1"/>
  <c r="J226" i="52"/>
  <c r="I226" i="52"/>
  <c r="U225" i="52"/>
  <c r="V225" i="52" s="1"/>
  <c r="Z222" i="52"/>
  <c r="AK226" i="52"/>
  <c r="AL226" i="52"/>
  <c r="E228" i="52"/>
  <c r="AJ227" i="52"/>
  <c r="F227" i="52"/>
  <c r="G227" i="52" s="1"/>
  <c r="L225" i="52"/>
  <c r="M225" i="52" s="1"/>
  <c r="P225" i="52" s="1"/>
  <c r="S225" i="52" s="1"/>
  <c r="AO225" i="52"/>
  <c r="AQ225" i="52" s="1"/>
  <c r="N225" i="52" l="1"/>
  <c r="O225" i="52" s="1"/>
  <c r="L226" i="52"/>
  <c r="M226" i="52" s="1"/>
  <c r="P226" i="52" s="1"/>
  <c r="U226" i="52"/>
  <c r="V226" i="52" s="1"/>
  <c r="I227" i="52"/>
  <c r="Q227" i="52"/>
  <c r="R227" i="52" s="1"/>
  <c r="K227" i="52"/>
  <c r="J227" i="52"/>
  <c r="T225" i="52"/>
  <c r="Y223" i="52"/>
  <c r="AH223" i="52"/>
  <c r="AK227" i="52"/>
  <c r="AL227" i="52"/>
  <c r="X225" i="52"/>
  <c r="AB225" i="52"/>
  <c r="AC225" i="52" s="1"/>
  <c r="Z223" i="52"/>
  <c r="AJ228" i="52"/>
  <c r="E229" i="52"/>
  <c r="F228" i="52"/>
  <c r="G228" i="52" s="1"/>
  <c r="S224" i="52"/>
  <c r="T224" i="52"/>
  <c r="AS220" i="52"/>
  <c r="AT220" i="52"/>
  <c r="AU220" i="52"/>
  <c r="AF223" i="52"/>
  <c r="AG223" i="52" s="1"/>
  <c r="AM223" i="52" s="1"/>
  <c r="AV225" i="52"/>
  <c r="AW225" i="52"/>
  <c r="AX225" i="52"/>
  <c r="AY225" i="52"/>
  <c r="AZ225" i="52"/>
  <c r="AO226" i="52"/>
  <c r="AQ226" i="52" s="1"/>
  <c r="AN221" i="52"/>
  <c r="AR221" i="52" s="1"/>
  <c r="S226" i="52" l="1"/>
  <c r="T226" i="52"/>
  <c r="I228" i="52"/>
  <c r="Q228" i="52"/>
  <c r="R228" i="52" s="1"/>
  <c r="J228" i="52"/>
  <c r="K228" i="52"/>
  <c r="AJ229" i="52"/>
  <c r="E230" i="52"/>
  <c r="F229" i="52"/>
  <c r="G229" i="52" s="1"/>
  <c r="AK228" i="52"/>
  <c r="AL228" i="52"/>
  <c r="AD225" i="52"/>
  <c r="AE225" i="52" s="1"/>
  <c r="W225" i="52"/>
  <c r="AA225" i="52" s="1"/>
  <c r="X226" i="52"/>
  <c r="AB226" i="52"/>
  <c r="AC226" i="52" s="1"/>
  <c r="AU221" i="52"/>
  <c r="AS221" i="52"/>
  <c r="AT221" i="52"/>
  <c r="N226" i="52"/>
  <c r="O226" i="52" s="1"/>
  <c r="N227" i="52"/>
  <c r="O227" i="52" s="1"/>
  <c r="L227" i="52"/>
  <c r="M227" i="52" s="1"/>
  <c r="P227" i="52" s="1"/>
  <c r="AD224" i="52"/>
  <c r="W224" i="52"/>
  <c r="AV226" i="52"/>
  <c r="AW226" i="52"/>
  <c r="AX226" i="52"/>
  <c r="AZ226" i="52"/>
  <c r="AY226" i="52"/>
  <c r="Z225" i="52"/>
  <c r="U227" i="52"/>
  <c r="V227" i="52" s="1"/>
  <c r="AO227" i="52"/>
  <c r="AQ227" i="52" s="1"/>
  <c r="AN222" i="52"/>
  <c r="AR222" i="52" s="1"/>
  <c r="S227" i="52" l="1"/>
  <c r="T227" i="52"/>
  <c r="W227" i="52" s="1"/>
  <c r="AA227" i="52" s="1"/>
  <c r="AW227" i="52"/>
  <c r="AX227" i="52"/>
  <c r="AY227" i="52"/>
  <c r="AV227" i="52"/>
  <c r="AZ227" i="52"/>
  <c r="X227" i="52"/>
  <c r="AB227" i="52"/>
  <c r="AC227" i="52" s="1"/>
  <c r="AL229" i="52"/>
  <c r="AK229" i="52"/>
  <c r="AF225" i="52"/>
  <c r="AG225" i="52" s="1"/>
  <c r="AM225" i="52" s="1"/>
  <c r="L228" i="52"/>
  <c r="N228" i="52" s="1"/>
  <c r="O228" i="52" s="1"/>
  <c r="Y225" i="52"/>
  <c r="AH225" i="52"/>
  <c r="AO228" i="52"/>
  <c r="AQ228" i="52" s="1"/>
  <c r="U228" i="52"/>
  <c r="V228" i="52" s="1"/>
  <c r="AA224" i="52"/>
  <c r="Y224" i="52"/>
  <c r="Z224" i="52"/>
  <c r="I229" i="52"/>
  <c r="Q229" i="52"/>
  <c r="R229" i="52" s="1"/>
  <c r="J229" i="52"/>
  <c r="K229" i="52"/>
  <c r="AD226" i="52"/>
  <c r="AE226" i="52" s="1"/>
  <c r="W226" i="52"/>
  <c r="AA226" i="52" s="1"/>
  <c r="AT222" i="52"/>
  <c r="AS222" i="52"/>
  <c r="AU222" i="52"/>
  <c r="AE224" i="52"/>
  <c r="AH224" i="52"/>
  <c r="AJ230" i="52"/>
  <c r="E231" i="52"/>
  <c r="F230" i="52"/>
  <c r="G230" i="52" s="1"/>
  <c r="AN223" i="52"/>
  <c r="AR223" i="52" s="1"/>
  <c r="AH226" i="52" l="1"/>
  <c r="AS223" i="52"/>
  <c r="AT223" i="52"/>
  <c r="AU223" i="52"/>
  <c r="J230" i="52"/>
  <c r="K230" i="52"/>
  <c r="Q230" i="52"/>
  <c r="R230" i="52" s="1"/>
  <c r="I230" i="52"/>
  <c r="AO229" i="52"/>
  <c r="AQ229" i="52" s="1"/>
  <c r="AJ231" i="52"/>
  <c r="E232" i="52"/>
  <c r="F231" i="52"/>
  <c r="G231" i="52" s="1"/>
  <c r="M228" i="52"/>
  <c r="P228" i="52" s="1"/>
  <c r="Z226" i="52"/>
  <c r="X228" i="52"/>
  <c r="AB228" i="52"/>
  <c r="AC228" i="52" s="1"/>
  <c r="AF226" i="52"/>
  <c r="AG226" i="52"/>
  <c r="AM226" i="52" s="1"/>
  <c r="U229" i="52"/>
  <c r="V229" i="52" s="1"/>
  <c r="AX228" i="52"/>
  <c r="AY228" i="52"/>
  <c r="AZ228" i="52"/>
  <c r="AV228" i="52"/>
  <c r="AW228" i="52"/>
  <c r="Y226" i="52"/>
  <c r="AK230" i="52"/>
  <c r="AL230" i="52"/>
  <c r="AF224" i="52"/>
  <c r="AG224" i="52"/>
  <c r="AM224" i="52" s="1"/>
  <c r="AN224" i="52" s="1"/>
  <c r="AR224" i="52" s="1"/>
  <c r="L229" i="52"/>
  <c r="M229" i="52" s="1"/>
  <c r="P229" i="52" s="1"/>
  <c r="S229" i="52" s="1"/>
  <c r="AD227" i="52"/>
  <c r="AE227" i="52" s="1"/>
  <c r="Y227" i="52"/>
  <c r="Z227" i="52"/>
  <c r="N229" i="52" l="1"/>
  <c r="O229" i="52" s="1"/>
  <c r="X229" i="52"/>
  <c r="AB229" i="52"/>
  <c r="AC229" i="52" s="1"/>
  <c r="AS224" i="52"/>
  <c r="AT224" i="52"/>
  <c r="AU224" i="52"/>
  <c r="T229" i="52"/>
  <c r="K231" i="52"/>
  <c r="Q231" i="52"/>
  <c r="R231" i="52" s="1"/>
  <c r="I231" i="52"/>
  <c r="J231" i="52"/>
  <c r="AH227" i="52"/>
  <c r="E233" i="52"/>
  <c r="AJ232" i="52"/>
  <c r="F232" i="52"/>
  <c r="G232" i="52" s="1"/>
  <c r="L230" i="52"/>
  <c r="N230" i="52" s="1"/>
  <c r="O230" i="52" s="1"/>
  <c r="U230" i="52"/>
  <c r="V230" i="52" s="1"/>
  <c r="AO230" i="52"/>
  <c r="AQ230" i="52" s="1"/>
  <c r="AK231" i="52"/>
  <c r="AL231" i="52"/>
  <c r="AY229" i="52"/>
  <c r="AZ229" i="52"/>
  <c r="AX229" i="52"/>
  <c r="AV229" i="52"/>
  <c r="AW229" i="52"/>
  <c r="S228" i="52"/>
  <c r="T228" i="52"/>
  <c r="AF227" i="52"/>
  <c r="AG227" i="52"/>
  <c r="AM227" i="52" s="1"/>
  <c r="AN225" i="52"/>
  <c r="AR225" i="52" s="1"/>
  <c r="M230" i="52" l="1"/>
  <c r="P230" i="52" s="1"/>
  <c r="S230" i="52" s="1"/>
  <c r="U231" i="52"/>
  <c r="V231" i="52" s="1"/>
  <c r="X230" i="52"/>
  <c r="AB230" i="52"/>
  <c r="AC230" i="52" s="1"/>
  <c r="E234" i="52"/>
  <c r="F233" i="52"/>
  <c r="G233" i="52" s="1"/>
  <c r="AJ233" i="52"/>
  <c r="W229" i="52"/>
  <c r="AA229" i="52" s="1"/>
  <c r="AD229" i="52"/>
  <c r="AE229" i="52" s="1"/>
  <c r="AD228" i="52"/>
  <c r="W228" i="52"/>
  <c r="T230" i="52"/>
  <c r="AK232" i="52"/>
  <c r="AL232" i="52"/>
  <c r="AU225" i="52"/>
  <c r="AT225" i="52"/>
  <c r="AS225" i="52"/>
  <c r="AO231" i="52"/>
  <c r="AQ231" i="52" s="1"/>
  <c r="L231" i="52"/>
  <c r="N231" i="52" s="1"/>
  <c r="O231" i="52" s="1"/>
  <c r="AH229" i="52"/>
  <c r="I232" i="52"/>
  <c r="J232" i="52"/>
  <c r="Q232" i="52"/>
  <c r="R232" i="52" s="1"/>
  <c r="K232" i="52"/>
  <c r="AZ230" i="52"/>
  <c r="AY230" i="52"/>
  <c r="AV230" i="52"/>
  <c r="AX230" i="52"/>
  <c r="AW230" i="52"/>
  <c r="AN226" i="52"/>
  <c r="AR226" i="52" s="1"/>
  <c r="AV231" i="52" l="1"/>
  <c r="AW231" i="52"/>
  <c r="AX231" i="52"/>
  <c r="AY231" i="52"/>
  <c r="AZ231" i="52"/>
  <c r="Z229" i="52"/>
  <c r="AO232" i="52"/>
  <c r="AQ232" i="52" s="1"/>
  <c r="M231" i="52"/>
  <c r="P231" i="52" s="1"/>
  <c r="AL233" i="52"/>
  <c r="AK233" i="52"/>
  <c r="Y229" i="52"/>
  <c r="AT226" i="52"/>
  <c r="AU226" i="52"/>
  <c r="AS226" i="52"/>
  <c r="AN227" i="52"/>
  <c r="AR227" i="52" s="1"/>
  <c r="J233" i="52"/>
  <c r="K233" i="52"/>
  <c r="I233" i="52"/>
  <c r="Q233" i="52"/>
  <c r="R233" i="52" s="1"/>
  <c r="AD230" i="52"/>
  <c r="AE230" i="52" s="1"/>
  <c r="W230" i="52"/>
  <c r="AA230" i="52" s="1"/>
  <c r="E235" i="52"/>
  <c r="AJ234" i="52"/>
  <c r="F234" i="52"/>
  <c r="G234" i="52" s="1"/>
  <c r="AA228" i="52"/>
  <c r="Z228" i="52"/>
  <c r="Y228" i="52"/>
  <c r="AE228" i="52"/>
  <c r="AH228" i="52"/>
  <c r="AH230" i="52"/>
  <c r="U232" i="52"/>
  <c r="V232" i="52" s="1"/>
  <c r="L232" i="52"/>
  <c r="M232" i="52" s="1"/>
  <c r="P232" i="52" s="1"/>
  <c r="AF229" i="52"/>
  <c r="AG229" i="52" s="1"/>
  <c r="AM229" i="52" s="1"/>
  <c r="X231" i="52"/>
  <c r="AB231" i="52"/>
  <c r="AC231" i="52" s="1"/>
  <c r="S232" i="52" l="1"/>
  <c r="T232" i="52"/>
  <c r="W232" i="52" s="1"/>
  <c r="AA232" i="52" s="1"/>
  <c r="N232" i="52"/>
  <c r="O232" i="52" s="1"/>
  <c r="Y230" i="52"/>
  <c r="AK234" i="52"/>
  <c r="AL234" i="52"/>
  <c r="L233" i="52"/>
  <c r="N233" i="52" s="1"/>
  <c r="O233" i="52" s="1"/>
  <c r="Z230" i="52"/>
  <c r="AJ235" i="52"/>
  <c r="E236" i="52"/>
  <c r="F235" i="52"/>
  <c r="G235" i="52" s="1"/>
  <c r="AS227" i="52"/>
  <c r="AU227" i="52"/>
  <c r="AT227" i="52"/>
  <c r="AO233" i="52"/>
  <c r="AQ233" i="52" s="1"/>
  <c r="AV232" i="52"/>
  <c r="AW232" i="52"/>
  <c r="AX232" i="52"/>
  <c r="AY232" i="52"/>
  <c r="AZ232" i="52"/>
  <c r="M233" i="52"/>
  <c r="P233" i="52" s="1"/>
  <c r="S233" i="52" s="1"/>
  <c r="AF230" i="52"/>
  <c r="AG230" i="52"/>
  <c r="AM230" i="52" s="1"/>
  <c r="Q234" i="52"/>
  <c r="R234" i="52" s="1"/>
  <c r="I234" i="52"/>
  <c r="J234" i="52"/>
  <c r="K234" i="52"/>
  <c r="S231" i="52"/>
  <c r="T231" i="52"/>
  <c r="AF228" i="52"/>
  <c r="AG228" i="52" s="1"/>
  <c r="AM228" i="52" s="1"/>
  <c r="AN228" i="52" s="1"/>
  <c r="X232" i="52"/>
  <c r="AB232" i="52"/>
  <c r="AC232" i="52" s="1"/>
  <c r="U233" i="52"/>
  <c r="V233" i="52" s="1"/>
  <c r="AR228" i="52" l="1"/>
  <c r="AN229" i="52"/>
  <c r="AR229" i="52" s="1"/>
  <c r="X233" i="52"/>
  <c r="AB233" i="52"/>
  <c r="AC233" i="52" s="1"/>
  <c r="W231" i="52"/>
  <c r="AD231" i="52"/>
  <c r="T233" i="52"/>
  <c r="AO234" i="52"/>
  <c r="AQ234" i="52" s="1"/>
  <c r="I235" i="52"/>
  <c r="Q235" i="52"/>
  <c r="R235" i="52" s="1"/>
  <c r="J235" i="52"/>
  <c r="K235" i="52"/>
  <c r="L234" i="52"/>
  <c r="N234" i="52" s="1"/>
  <c r="O234" i="52" s="1"/>
  <c r="Z232" i="52"/>
  <c r="Y232" i="52"/>
  <c r="M234" i="52"/>
  <c r="P234" i="52" s="1"/>
  <c r="S234" i="52" s="1"/>
  <c r="AD232" i="52"/>
  <c r="AE232" i="52" s="1"/>
  <c r="E237" i="52"/>
  <c r="AJ236" i="52"/>
  <c r="F236" i="52"/>
  <c r="G236" i="52" s="1"/>
  <c r="U234" i="52"/>
  <c r="V234" i="52" s="1"/>
  <c r="AV233" i="52"/>
  <c r="AW233" i="52"/>
  <c r="AY233" i="52"/>
  <c r="AZ233" i="52"/>
  <c r="AX233" i="52"/>
  <c r="AK235" i="52"/>
  <c r="AL235" i="52"/>
  <c r="T234" i="52" l="1"/>
  <c r="W234" i="52" s="1"/>
  <c r="AA234" i="52" s="1"/>
  <c r="AF232" i="52"/>
  <c r="AG232" i="52" s="1"/>
  <c r="AM232" i="52" s="1"/>
  <c r="AH232" i="52"/>
  <c r="AD233" i="52"/>
  <c r="AE233" i="52" s="1"/>
  <c r="W233" i="52"/>
  <c r="AA233" i="52" s="1"/>
  <c r="AJ237" i="52"/>
  <c r="E238" i="52"/>
  <c r="F237" i="52"/>
  <c r="G237" i="52" s="1"/>
  <c r="AN230" i="52"/>
  <c r="AR230" i="52" s="1"/>
  <c r="AO235" i="52"/>
  <c r="AQ235" i="52" s="1"/>
  <c r="N235" i="52"/>
  <c r="O235" i="52" s="1"/>
  <c r="L235" i="52"/>
  <c r="U235" i="52"/>
  <c r="V235" i="52" s="1"/>
  <c r="AA231" i="52"/>
  <c r="Y231" i="52"/>
  <c r="Z231" i="52"/>
  <c r="X234" i="52"/>
  <c r="AB234" i="52"/>
  <c r="AC234" i="52" s="1"/>
  <c r="AU229" i="52"/>
  <c r="AS229" i="52"/>
  <c r="AT229" i="52"/>
  <c r="AE231" i="52"/>
  <c r="AH231" i="52"/>
  <c r="M235" i="52"/>
  <c r="P235" i="52" s="1"/>
  <c r="S235" i="52" s="1"/>
  <c r="I236" i="52"/>
  <c r="Q236" i="52"/>
  <c r="R236" i="52" s="1"/>
  <c r="J236" i="52"/>
  <c r="K236" i="52"/>
  <c r="AV234" i="52"/>
  <c r="AW234" i="52"/>
  <c r="AX234" i="52"/>
  <c r="AY234" i="52"/>
  <c r="AZ234" i="52"/>
  <c r="AK236" i="52"/>
  <c r="AL236" i="52"/>
  <c r="AS228" i="52"/>
  <c r="AU228" i="52"/>
  <c r="AT228" i="52"/>
  <c r="AD234" i="52" l="1"/>
  <c r="AE234" i="52" s="1"/>
  <c r="AF234" i="52" s="1"/>
  <c r="AG234" i="52" s="1"/>
  <c r="AM234" i="52" s="1"/>
  <c r="AW235" i="52"/>
  <c r="AX235" i="52"/>
  <c r="AY235" i="52"/>
  <c r="AV235" i="52"/>
  <c r="AZ235" i="52"/>
  <c r="AF233" i="52"/>
  <c r="AG233" i="52" s="1"/>
  <c r="AM233" i="52" s="1"/>
  <c r="AS230" i="52"/>
  <c r="AU230" i="52"/>
  <c r="AT230" i="52"/>
  <c r="AK237" i="52"/>
  <c r="AL237" i="52"/>
  <c r="Y234" i="52"/>
  <c r="Z234" i="52"/>
  <c r="AF231" i="52"/>
  <c r="AG231" i="52" s="1"/>
  <c r="AM231" i="52" s="1"/>
  <c r="AN231" i="52" s="1"/>
  <c r="AR231" i="52" s="1"/>
  <c r="L236" i="52"/>
  <c r="N236" i="52"/>
  <c r="O236" i="52" s="1"/>
  <c r="AH234" i="52"/>
  <c r="AO236" i="52"/>
  <c r="AQ236" i="52" s="1"/>
  <c r="X235" i="52"/>
  <c r="AB235" i="52"/>
  <c r="AC235" i="52" s="1"/>
  <c r="M236" i="52"/>
  <c r="P236" i="52" s="1"/>
  <c r="S236" i="52" s="1"/>
  <c r="Z233" i="52"/>
  <c r="T235" i="52"/>
  <c r="AJ238" i="52"/>
  <c r="E239" i="52"/>
  <c r="F238" i="52"/>
  <c r="G238" i="52" s="1"/>
  <c r="U236" i="52"/>
  <c r="V236" i="52" s="1"/>
  <c r="I237" i="52"/>
  <c r="Q237" i="52"/>
  <c r="R237" i="52" s="1"/>
  <c r="J237" i="52"/>
  <c r="K237" i="52"/>
  <c r="AH233" i="52"/>
  <c r="Y233" i="52"/>
  <c r="T236" i="52" l="1"/>
  <c r="W236" i="52" s="1"/>
  <c r="AA236" i="52" s="1"/>
  <c r="U237" i="52"/>
  <c r="V237" i="52" s="1"/>
  <c r="W235" i="52"/>
  <c r="AA235" i="52" s="1"/>
  <c r="AD235" i="52"/>
  <c r="AE235" i="52" s="1"/>
  <c r="X236" i="52"/>
  <c r="AB236" i="52"/>
  <c r="AC236" i="52" s="1"/>
  <c r="J238" i="52"/>
  <c r="K238" i="52"/>
  <c r="Q238" i="52"/>
  <c r="R238" i="52" s="1"/>
  <c r="I238" i="52"/>
  <c r="AS231" i="52"/>
  <c r="AT231" i="52"/>
  <c r="AU231" i="52"/>
  <c r="AX236" i="52"/>
  <c r="AY236" i="52"/>
  <c r="AZ236" i="52"/>
  <c r="AW236" i="52"/>
  <c r="AV236" i="52"/>
  <c r="AO237" i="52"/>
  <c r="AQ237" i="52" s="1"/>
  <c r="AN232" i="52"/>
  <c r="AR232" i="52" s="1"/>
  <c r="AJ239" i="52"/>
  <c r="E240" i="52"/>
  <c r="F239" i="52"/>
  <c r="G239" i="52" s="1"/>
  <c r="N237" i="52"/>
  <c r="O237" i="52" s="1"/>
  <c r="L237" i="52"/>
  <c r="M237" i="52" s="1"/>
  <c r="P237" i="52" s="1"/>
  <c r="AK238" i="52"/>
  <c r="AL238" i="52"/>
  <c r="AD236" i="52" l="1"/>
  <c r="AE236" i="52" s="1"/>
  <c r="AF236" i="52" s="1"/>
  <c r="S237" i="52"/>
  <c r="T237" i="52"/>
  <c r="AF235" i="52"/>
  <c r="AG235" i="52" s="1"/>
  <c r="AM235" i="52" s="1"/>
  <c r="U238" i="52"/>
  <c r="V238" i="52" s="1"/>
  <c r="AY237" i="52"/>
  <c r="AZ237" i="52"/>
  <c r="AV237" i="52"/>
  <c r="AX237" i="52"/>
  <c r="AW237" i="52"/>
  <c r="L238" i="52"/>
  <c r="N238" i="52" s="1"/>
  <c r="O238" i="52" s="1"/>
  <c r="X237" i="52"/>
  <c r="AB237" i="52"/>
  <c r="AC237" i="52" s="1"/>
  <c r="AS232" i="52"/>
  <c r="AT232" i="52"/>
  <c r="AU232" i="52"/>
  <c r="AH235" i="52"/>
  <c r="K239" i="52"/>
  <c r="I239" i="52"/>
  <c r="J239" i="52"/>
  <c r="Q239" i="52"/>
  <c r="R239" i="52" s="1"/>
  <c r="E241" i="52"/>
  <c r="AJ240" i="52"/>
  <c r="F240" i="52"/>
  <c r="G240" i="52" s="1"/>
  <c r="Z235" i="52"/>
  <c r="Y236" i="52"/>
  <c r="Z236" i="52"/>
  <c r="AO238" i="52"/>
  <c r="AQ238" i="52" s="1"/>
  <c r="AK239" i="52"/>
  <c r="AL239" i="52"/>
  <c r="Y235" i="52"/>
  <c r="AN233" i="52"/>
  <c r="M238" i="52" l="1"/>
  <c r="P238" i="52" s="1"/>
  <c r="S238" i="52" s="1"/>
  <c r="AG236" i="52"/>
  <c r="AM236" i="52" s="1"/>
  <c r="AH236" i="52"/>
  <c r="X238" i="52"/>
  <c r="AB238" i="52"/>
  <c r="AC238" i="52" s="1"/>
  <c r="T238" i="52"/>
  <c r="F241" i="52"/>
  <c r="G241" i="52" s="1"/>
  <c r="AJ241" i="52"/>
  <c r="AR233" i="52"/>
  <c r="AN234" i="52"/>
  <c r="AR234" i="52" s="1"/>
  <c r="L239" i="52"/>
  <c r="M239" i="52" s="1"/>
  <c r="P239" i="52" s="1"/>
  <c r="AO239" i="52"/>
  <c r="AQ239" i="52" s="1"/>
  <c r="J240" i="52"/>
  <c r="K240" i="52"/>
  <c r="I240" i="52"/>
  <c r="Q240" i="52"/>
  <c r="R240" i="52" s="1"/>
  <c r="AD237" i="52"/>
  <c r="AE237" i="52" s="1"/>
  <c r="W237" i="52"/>
  <c r="AA237" i="52" s="1"/>
  <c r="AZ238" i="52"/>
  <c r="AV238" i="52"/>
  <c r="AW238" i="52"/>
  <c r="AX238" i="52"/>
  <c r="AY238" i="52"/>
  <c r="U239" i="52"/>
  <c r="V239" i="52" s="1"/>
  <c r="Y237" i="52"/>
  <c r="AK240" i="52"/>
  <c r="AL240" i="52"/>
  <c r="S239" i="52" l="1"/>
  <c r="T239" i="52"/>
  <c r="AD239" i="52" s="1"/>
  <c r="AE239" i="52" s="1"/>
  <c r="N239" i="52"/>
  <c r="O239" i="52" s="1"/>
  <c r="AN235" i="52"/>
  <c r="AS233" i="52"/>
  <c r="AT233" i="52"/>
  <c r="AU233" i="52"/>
  <c r="X239" i="52"/>
  <c r="AB239" i="52"/>
  <c r="AC239" i="52" s="1"/>
  <c r="L240" i="52"/>
  <c r="N240" i="52" s="1"/>
  <c r="O240" i="52" s="1"/>
  <c r="AL241" i="52"/>
  <c r="AK241" i="52"/>
  <c r="AW239" i="52"/>
  <c r="AX239" i="52"/>
  <c r="AY239" i="52"/>
  <c r="AV239" i="52"/>
  <c r="AZ239" i="52"/>
  <c r="Q241" i="52"/>
  <c r="R241" i="52" s="1"/>
  <c r="J241" i="52"/>
  <c r="K241" i="52"/>
  <c r="I241" i="52"/>
  <c r="AD238" i="52"/>
  <c r="AE238" i="52" s="1"/>
  <c r="W238" i="52"/>
  <c r="AA238" i="52" s="1"/>
  <c r="AO240" i="52"/>
  <c r="AQ240" i="52" s="1"/>
  <c r="AF237" i="52"/>
  <c r="AG237" i="52" s="1"/>
  <c r="AM237" i="52" s="1"/>
  <c r="Z237" i="52"/>
  <c r="U240" i="52"/>
  <c r="V240" i="52" s="1"/>
  <c r="AH237" i="52"/>
  <c r="AS234" i="52"/>
  <c r="AT234" i="52"/>
  <c r="AU234" i="52"/>
  <c r="Z238" i="52" l="1"/>
  <c r="W239" i="52"/>
  <c r="AA239" i="52" s="1"/>
  <c r="L241" i="52"/>
  <c r="N241" i="52" s="1"/>
  <c r="O241" i="52" s="1"/>
  <c r="Y238" i="52"/>
  <c r="AV240" i="52"/>
  <c r="AY240" i="52"/>
  <c r="AZ240" i="52"/>
  <c r="AW240" i="52"/>
  <c r="AX240" i="52"/>
  <c r="U241" i="52"/>
  <c r="V241" i="52" s="1"/>
  <c r="AH239" i="52"/>
  <c r="AG239" i="52"/>
  <c r="AM239" i="52" s="1"/>
  <c r="AF239" i="52"/>
  <c r="AH238" i="52"/>
  <c r="X240" i="52"/>
  <c r="AB240" i="52"/>
  <c r="AC240" i="52" s="1"/>
  <c r="M240" i="52"/>
  <c r="P240" i="52" s="1"/>
  <c r="AF238" i="52"/>
  <c r="AG238" i="52" s="1"/>
  <c r="AM238" i="52" s="1"/>
  <c r="AO241" i="52"/>
  <c r="AQ241" i="52" s="1"/>
  <c r="AI4" i="52"/>
  <c r="W7" i="20" s="1"/>
  <c r="AR235" i="52"/>
  <c r="AN236" i="52"/>
  <c r="AR236" i="52" s="1"/>
  <c r="Y239" i="52" l="1"/>
  <c r="Z239" i="52"/>
  <c r="AS236" i="52"/>
  <c r="AU236" i="52"/>
  <c r="AT236" i="52"/>
  <c r="AS235" i="52"/>
  <c r="AT235" i="52"/>
  <c r="AU235" i="52"/>
  <c r="AV241" i="52"/>
  <c r="AW241" i="52"/>
  <c r="AZ241" i="52"/>
  <c r="AY241" i="52"/>
  <c r="AX241" i="52"/>
  <c r="BC2" i="52"/>
  <c r="S240" i="52"/>
  <c r="T240" i="52"/>
  <c r="X241" i="52"/>
  <c r="AB241" i="52"/>
  <c r="AC241" i="52" s="1"/>
  <c r="M241" i="52"/>
  <c r="P241" i="52" s="1"/>
  <c r="AN237" i="52"/>
  <c r="AR237" i="52" s="1"/>
  <c r="BC5" i="52" l="1"/>
  <c r="BC10" i="52"/>
  <c r="BC12" i="52"/>
  <c r="BC14" i="52"/>
  <c r="BC6" i="52"/>
  <c r="BC4" i="52"/>
  <c r="BC8" i="52"/>
  <c r="BC13" i="52"/>
  <c r="BC9" i="52"/>
  <c r="AD240" i="52"/>
  <c r="W240" i="52"/>
  <c r="AT237" i="52"/>
  <c r="AS237" i="52"/>
  <c r="AU237" i="52"/>
  <c r="S241" i="52"/>
  <c r="T241" i="52"/>
  <c r="AN238" i="52"/>
  <c r="BC20" i="52" l="1"/>
  <c r="BC19" i="52"/>
  <c r="AR238" i="52"/>
  <c r="AN239" i="52"/>
  <c r="AR239" i="52" s="1"/>
  <c r="AA240" i="52"/>
  <c r="Y240" i="52"/>
  <c r="Z240" i="52"/>
  <c r="AE240" i="52"/>
  <c r="AH240" i="52"/>
  <c r="BC17" i="52"/>
  <c r="AD241" i="52"/>
  <c r="W241" i="52"/>
  <c r="BC16" i="52"/>
  <c r="AE241" i="52" l="1"/>
  <c r="AH241" i="52"/>
  <c r="AF240" i="52"/>
  <c r="AG240" i="52" s="1"/>
  <c r="AM240" i="52" s="1"/>
  <c r="AN240" i="52" s="1"/>
  <c r="AR240" i="52" s="1"/>
  <c r="AU239" i="52"/>
  <c r="AS239" i="52"/>
  <c r="AT239" i="52"/>
  <c r="AT238" i="52"/>
  <c r="AS238" i="52"/>
  <c r="AU238" i="52"/>
  <c r="AA241" i="52"/>
  <c r="Z241" i="52"/>
  <c r="Y241" i="52"/>
  <c r="AS240" i="52" l="1"/>
  <c r="AT240" i="52"/>
  <c r="AU240" i="52"/>
  <c r="AF241" i="52"/>
  <c r="AG241" i="52" s="1"/>
  <c r="AM241" i="52" s="1"/>
  <c r="AN241" i="52" l="1"/>
  <c r="AI3" i="52"/>
  <c r="AI5" i="52" l="1"/>
  <c r="W6" i="20"/>
  <c r="AI6" i="52"/>
  <c r="AR241" i="52"/>
  <c r="AS241" i="52" l="1"/>
  <c r="BC3" i="52" s="1"/>
  <c r="AT241" i="52"/>
  <c r="BC7" i="52" s="1"/>
  <c r="AU241" i="52"/>
  <c r="BC11" i="52" s="1"/>
  <c r="BC18" i="52" l="1"/>
  <c r="BC15" i="52"/>
  <c r="BC23" i="52" s="1"/>
  <c r="BC21" i="52" s="1"/>
  <c r="BC22" i="52" l="1"/>
  <c r="BE11" i="52" s="1"/>
  <c r="BE228" i="52" l="1"/>
  <c r="BE170" i="52"/>
  <c r="BE221" i="52"/>
  <c r="BE234" i="52"/>
  <c r="BE135" i="52"/>
  <c r="BE84" i="52"/>
  <c r="BE241" i="52"/>
  <c r="BE230" i="52"/>
  <c r="BE184" i="52"/>
  <c r="BE6" i="52"/>
  <c r="BE130" i="52"/>
  <c r="BE232" i="52"/>
  <c r="BE178" i="52"/>
  <c r="BE225" i="52"/>
  <c r="BE120" i="52"/>
  <c r="BE211" i="52"/>
  <c r="BE191" i="52"/>
  <c r="BE160" i="52"/>
  <c r="BE185" i="52"/>
  <c r="BE200" i="52"/>
  <c r="BE215" i="52"/>
  <c r="BE179" i="52"/>
  <c r="BE189" i="52"/>
  <c r="BE190" i="52"/>
  <c r="BE127" i="52"/>
  <c r="BE168" i="52"/>
  <c r="BE122" i="52"/>
  <c r="BE134" i="52"/>
  <c r="BE128" i="52"/>
  <c r="BE105" i="52"/>
  <c r="BE95" i="52"/>
  <c r="BE85" i="52"/>
  <c r="BE92" i="52"/>
  <c r="BE83" i="52"/>
  <c r="BE62" i="52"/>
  <c r="BE43" i="52"/>
  <c r="BE49" i="52"/>
  <c r="BE40" i="52"/>
  <c r="BE24" i="52"/>
  <c r="BE18" i="52"/>
  <c r="BE12" i="52"/>
  <c r="BE217" i="52"/>
  <c r="BE152" i="52"/>
  <c r="BE220" i="52"/>
  <c r="BE111" i="52"/>
  <c r="BE180" i="52"/>
  <c r="BE186" i="52"/>
  <c r="BE136" i="52"/>
  <c r="BE163" i="52"/>
  <c r="BE177" i="52"/>
  <c r="BE208" i="52"/>
  <c r="BE171" i="52"/>
  <c r="BE183" i="52"/>
  <c r="BE182" i="52"/>
  <c r="BE100" i="52"/>
  <c r="BE154" i="52"/>
  <c r="BE115" i="52"/>
  <c r="BE131" i="52"/>
  <c r="BE124" i="52"/>
  <c r="BE99" i="52"/>
  <c r="BE80" i="52"/>
  <c r="BE77" i="52"/>
  <c r="BE76" i="52"/>
  <c r="BE75" i="52"/>
  <c r="BE42" i="52"/>
  <c r="BE69" i="52"/>
  <c r="BE41" i="52"/>
  <c r="BE36" i="52"/>
  <c r="BE34" i="52"/>
  <c r="BE3" i="52"/>
  <c r="BE218" i="52"/>
  <c r="BE90" i="52"/>
  <c r="BE212" i="52"/>
  <c r="BE227" i="52"/>
  <c r="BE173" i="52"/>
  <c r="BE112" i="52"/>
  <c r="BE237" i="52"/>
  <c r="BE144" i="52"/>
  <c r="BE172" i="52"/>
  <c r="BE203" i="52"/>
  <c r="BE165" i="52"/>
  <c r="BE148" i="52"/>
  <c r="BE181" i="52"/>
  <c r="BE175" i="52"/>
  <c r="BE147" i="52"/>
  <c r="BE94" i="52"/>
  <c r="BE106" i="52"/>
  <c r="BE103" i="52"/>
  <c r="BE71" i="52"/>
  <c r="BE58" i="52"/>
  <c r="BE44" i="52"/>
  <c r="BE86" i="52"/>
  <c r="BE63" i="52"/>
  <c r="BE72" i="52"/>
  <c r="BE61" i="52"/>
  <c r="BE25" i="52"/>
  <c r="BE29" i="52"/>
  <c r="BE26" i="52"/>
  <c r="BE16" i="52"/>
  <c r="BE10" i="52"/>
  <c r="BE202" i="52"/>
  <c r="BE192" i="52"/>
  <c r="BE201" i="52"/>
  <c r="BE224" i="52"/>
  <c r="BE123" i="52"/>
  <c r="BE65" i="52"/>
  <c r="BE229" i="52"/>
  <c r="BE238" i="52"/>
  <c r="BE169" i="52"/>
  <c r="BE193" i="52"/>
  <c r="BE159" i="52"/>
  <c r="BE140" i="52"/>
  <c r="BE164" i="52"/>
  <c r="BE162" i="52"/>
  <c r="BE132" i="52"/>
  <c r="BE89" i="52"/>
  <c r="BE81" i="52"/>
  <c r="BE66" i="52"/>
  <c r="BE133" i="52"/>
  <c r="BE126" i="52"/>
  <c r="BE96" i="52"/>
  <c r="BE78" i="52"/>
  <c r="BE60" i="52"/>
  <c r="BE64" i="52"/>
  <c r="BE47" i="52"/>
  <c r="BE53" i="52"/>
  <c r="BE37" i="52"/>
  <c r="BE23" i="52"/>
  <c r="BE28" i="52"/>
  <c r="BE9" i="52"/>
  <c r="BE155" i="52"/>
  <c r="BE119" i="52"/>
  <c r="BE156" i="52"/>
  <c r="BE143" i="52"/>
  <c r="BE88" i="52"/>
  <c r="BE73" i="52"/>
  <c r="BE158" i="52"/>
  <c r="BE137" i="52"/>
  <c r="BE125" i="52"/>
  <c r="BE118" i="52"/>
  <c r="BE87" i="52"/>
  <c r="BE82" i="52"/>
  <c r="BE52" i="52"/>
  <c r="BE59" i="52"/>
  <c r="BE39" i="52"/>
  <c r="BE45" i="52"/>
  <c r="BE32" i="52"/>
  <c r="BE22" i="52"/>
  <c r="BE5" i="52"/>
  <c r="BE8" i="52"/>
  <c r="BE210" i="52"/>
  <c r="BE114" i="52"/>
  <c r="BE207" i="52"/>
  <c r="BE167" i="52"/>
  <c r="BE236" i="52"/>
  <c r="BE219" i="52"/>
  <c r="BE213" i="52"/>
  <c r="BE222" i="52"/>
  <c r="BE239" i="52"/>
  <c r="BE204" i="52"/>
  <c r="BE104" i="52"/>
  <c r="BE93" i="52"/>
  <c r="BE174" i="52"/>
  <c r="BE116" i="52"/>
  <c r="BE161" i="52"/>
  <c r="BE157" i="52"/>
  <c r="BE150" i="52"/>
  <c r="BE129" i="52"/>
  <c r="BE117" i="52"/>
  <c r="BE110" i="52"/>
  <c r="BE79" i="52"/>
  <c r="BE74" i="52"/>
  <c r="BE56" i="52"/>
  <c r="BE27" i="52"/>
  <c r="BE33" i="52"/>
  <c r="BE38" i="52"/>
  <c r="BE35" i="52"/>
  <c r="BE21" i="52"/>
  <c r="BE15" i="52"/>
  <c r="BE7" i="52"/>
  <c r="BE235" i="52"/>
  <c r="BE107" i="52"/>
  <c r="BE199" i="52"/>
  <c r="BE240" i="52"/>
  <c r="BE226" i="52"/>
  <c r="BE216" i="52"/>
  <c r="BE205" i="52"/>
  <c r="BE214" i="52"/>
  <c r="BE231" i="52"/>
  <c r="BE196" i="52"/>
  <c r="BE97" i="52"/>
  <c r="BE206" i="52"/>
  <c r="BE146" i="52"/>
  <c r="BE108" i="52"/>
  <c r="BE153" i="52"/>
  <c r="BE149" i="52"/>
  <c r="BE142" i="52"/>
  <c r="BE121" i="52"/>
  <c r="BE109" i="52"/>
  <c r="BE102" i="52"/>
  <c r="BE67" i="52"/>
  <c r="BE70" i="52"/>
  <c r="BE51" i="52"/>
  <c r="BE68" i="52"/>
  <c r="BE30" i="52"/>
  <c r="BE54" i="52"/>
  <c r="BE31" i="52"/>
  <c r="BE20" i="52"/>
  <c r="BE14" i="52"/>
  <c r="BE187" i="52"/>
  <c r="BE2" i="52"/>
  <c r="BE151" i="52"/>
  <c r="BE233" i="52"/>
  <c r="BE194" i="52"/>
  <c r="BE166" i="52"/>
  <c r="BE195" i="52"/>
  <c r="BE209" i="52"/>
  <c r="BE223" i="52"/>
  <c r="BE188" i="52"/>
  <c r="BE197" i="52"/>
  <c r="BE198" i="52"/>
  <c r="BE138" i="52"/>
  <c r="BE176" i="52"/>
  <c r="BE145" i="52"/>
  <c r="BE141" i="52"/>
  <c r="BE139" i="52"/>
  <c r="BE113" i="52"/>
  <c r="BE101" i="52"/>
  <c r="BE91" i="52"/>
  <c r="BE98" i="52"/>
  <c r="BE55" i="52"/>
  <c r="BE48" i="52"/>
  <c r="BE50" i="52"/>
  <c r="BE57" i="52"/>
  <c r="BE46" i="52"/>
  <c r="BE17" i="52"/>
  <c r="BE19" i="52"/>
  <c r="BE13" i="52"/>
  <c r="BE4" i="52"/>
  <c r="AB21" i="35"/>
  <c r="AA21" i="40"/>
  <c r="AB21" i="40" s="1"/>
  <c r="AA21" i="54"/>
  <c r="AB21" i="54" s="1"/>
  <c r="AA21" i="33"/>
  <c r="AB21" i="33" s="1"/>
  <c r="AA21" i="59"/>
  <c r="AB21" i="59" s="1"/>
  <c r="AA21" i="38"/>
  <c r="AB21" i="38" s="1"/>
  <c r="D124" i="49"/>
  <c r="E124" i="49"/>
  <c r="G124" i="49"/>
  <c r="AE124" i="49"/>
  <c r="AF124" i="49"/>
  <c r="D125" i="49"/>
  <c r="E125" i="49"/>
  <c r="G125" i="49"/>
  <c r="AE125" i="49"/>
  <c r="AF125" i="49"/>
  <c r="D126" i="49"/>
  <c r="E126" i="49"/>
  <c r="G126" i="49"/>
  <c r="AE126" i="49"/>
  <c r="AF126" i="49"/>
  <c r="D127" i="49"/>
  <c r="E127" i="49"/>
  <c r="G127" i="49"/>
  <c r="AE127" i="49"/>
  <c r="AF127" i="49"/>
  <c r="D128" i="49"/>
  <c r="E128" i="49"/>
  <c r="G128" i="49"/>
  <c r="AE128" i="49"/>
  <c r="AF128" i="49"/>
  <c r="D129" i="49"/>
  <c r="E129" i="49"/>
  <c r="G129" i="49"/>
  <c r="AE129" i="49"/>
  <c r="AF129" i="49"/>
  <c r="D130" i="49"/>
  <c r="E130" i="49"/>
  <c r="G130" i="49"/>
  <c r="AE130" i="49"/>
  <c r="AF130" i="49"/>
  <c r="D131" i="49"/>
  <c r="E131" i="49"/>
  <c r="G131" i="49"/>
  <c r="AE131" i="49"/>
  <c r="AF131" i="49"/>
  <c r="D132" i="49"/>
  <c r="E132" i="49"/>
  <c r="G132" i="49"/>
  <c r="AE132" i="49"/>
  <c r="AF132" i="49"/>
  <c r="D133" i="49"/>
  <c r="E133" i="49"/>
  <c r="G133" i="49"/>
  <c r="AE133" i="49"/>
  <c r="AF133" i="49"/>
  <c r="D134" i="49"/>
  <c r="E134" i="49"/>
  <c r="G134" i="49"/>
  <c r="AE134" i="49"/>
  <c r="AF134" i="49"/>
  <c r="D135" i="49"/>
  <c r="E135" i="49"/>
  <c r="G135" i="49"/>
  <c r="AE135" i="49"/>
  <c r="AF135" i="49"/>
  <c r="D136" i="49"/>
  <c r="E136" i="49"/>
  <c r="G136" i="49"/>
  <c r="AE136" i="49"/>
  <c r="AF136" i="49"/>
  <c r="D137" i="49"/>
  <c r="E137" i="49"/>
  <c r="G137" i="49"/>
  <c r="AE137" i="49"/>
  <c r="AF137" i="49"/>
  <c r="D138" i="49"/>
  <c r="E138" i="49"/>
  <c r="G138" i="49"/>
  <c r="AE138" i="49"/>
  <c r="AF138" i="49"/>
  <c r="D139" i="49"/>
  <c r="E139" i="49"/>
  <c r="G139" i="49"/>
  <c r="AE139" i="49"/>
  <c r="AF139" i="49"/>
  <c r="D140" i="49"/>
  <c r="E140" i="49"/>
  <c r="G140" i="49"/>
  <c r="AE140" i="49"/>
  <c r="AF140" i="49"/>
  <c r="D141" i="49"/>
  <c r="E141" i="49"/>
  <c r="G141" i="49"/>
  <c r="AE141" i="49"/>
  <c r="AF141" i="49"/>
  <c r="D142" i="49"/>
  <c r="E142" i="49"/>
  <c r="G142" i="49"/>
  <c r="AE142" i="49"/>
  <c r="AF142" i="49"/>
  <c r="D143" i="49"/>
  <c r="E143" i="49"/>
  <c r="G143" i="49"/>
  <c r="AE143" i="49"/>
  <c r="AF143" i="49"/>
  <c r="AA21" i="32"/>
  <c r="AB21" i="32"/>
  <c r="AC21" i="32"/>
  <c r="AE21" i="32"/>
  <c r="AG21" i="32"/>
  <c r="AK21" i="32"/>
  <c r="AL21" i="32"/>
  <c r="AM21" i="32"/>
  <c r="AO21" i="32"/>
  <c r="AQ21" i="32"/>
  <c r="AA22" i="32"/>
  <c r="AB22" i="32"/>
  <c r="AC22" i="32"/>
  <c r="AE22" i="32"/>
  <c r="AG22" i="32"/>
  <c r="AK22" i="32"/>
  <c r="AL22" i="32"/>
  <c r="AM22" i="32"/>
  <c r="AO22" i="32"/>
  <c r="AQ22" i="32"/>
  <c r="AA23" i="32"/>
  <c r="AB23" i="32"/>
  <c r="AC23" i="32"/>
  <c r="AE23" i="32"/>
  <c r="AG23" i="32"/>
  <c r="AK23" i="32"/>
  <c r="AL23" i="32"/>
  <c r="AM23" i="32"/>
  <c r="AO23" i="32"/>
  <c r="AQ23" i="32"/>
  <c r="AA24" i="32"/>
  <c r="AB24" i="32"/>
  <c r="AC24" i="32"/>
  <c r="AE24" i="32"/>
  <c r="AG24" i="32"/>
  <c r="AK24" i="32"/>
  <c r="AL24" i="32"/>
  <c r="AM24" i="32"/>
  <c r="AO24" i="32"/>
  <c r="AQ24" i="32"/>
  <c r="AA25" i="32"/>
  <c r="AB25" i="32"/>
  <c r="AC25" i="32"/>
  <c r="AE25" i="32"/>
  <c r="AG25" i="32"/>
  <c r="AK25" i="32"/>
  <c r="AL25" i="32"/>
  <c r="AM25" i="32"/>
  <c r="AO25" i="32"/>
  <c r="AQ25" i="32"/>
  <c r="AA26" i="32"/>
  <c r="AB26" i="32"/>
  <c r="AC26" i="32"/>
  <c r="AE26" i="32"/>
  <c r="AG26" i="32"/>
  <c r="AK26" i="32"/>
  <c r="AL26" i="32"/>
  <c r="AM26" i="32"/>
  <c r="AO26" i="32"/>
  <c r="AQ26" i="32"/>
  <c r="AA27" i="32"/>
  <c r="AB27" i="32"/>
  <c r="AC27" i="32"/>
  <c r="AE27" i="32"/>
  <c r="AG27" i="32"/>
  <c r="AK27" i="32"/>
  <c r="AL27" i="32"/>
  <c r="AM27" i="32"/>
  <c r="AO27" i="32"/>
  <c r="AQ27" i="32"/>
  <c r="AA28" i="32"/>
  <c r="AB28" i="32"/>
  <c r="AC28" i="32"/>
  <c r="AE28" i="32"/>
  <c r="AG28" i="32"/>
  <c r="AK28" i="32"/>
  <c r="AL28" i="32"/>
  <c r="AM28" i="32"/>
  <c r="AO28" i="32"/>
  <c r="AQ28" i="32"/>
  <c r="AA29" i="32"/>
  <c r="AB29" i="32"/>
  <c r="AC29" i="32"/>
  <c r="AE29" i="32"/>
  <c r="AG29" i="32"/>
  <c r="AK29" i="32"/>
  <c r="AL29" i="32"/>
  <c r="AM29" i="32"/>
  <c r="AO29" i="32"/>
  <c r="AQ29" i="32"/>
  <c r="AA30" i="32"/>
  <c r="AB30" i="32"/>
  <c r="AC30" i="32"/>
  <c r="AE30" i="32"/>
  <c r="AG30" i="32"/>
  <c r="AK30" i="32"/>
  <c r="AL30" i="32"/>
  <c r="AM30" i="32"/>
  <c r="AO30" i="32"/>
  <c r="AQ30" i="32"/>
  <c r="AA31" i="32"/>
  <c r="AB31" i="32"/>
  <c r="AC31" i="32"/>
  <c r="AE31" i="32"/>
  <c r="AG31" i="32"/>
  <c r="AK31" i="32"/>
  <c r="AL31" i="32"/>
  <c r="AM31" i="32"/>
  <c r="AO31" i="32"/>
  <c r="AQ31" i="32"/>
  <c r="AA32" i="32"/>
  <c r="AB32" i="32"/>
  <c r="AC32" i="32"/>
  <c r="AE32" i="32"/>
  <c r="AG32" i="32"/>
  <c r="AK32" i="32"/>
  <c r="AL32" i="32"/>
  <c r="AM32" i="32"/>
  <c r="AO32" i="32"/>
  <c r="AQ32" i="32"/>
  <c r="AA33" i="32"/>
  <c r="AB33" i="32"/>
  <c r="AC33" i="32"/>
  <c r="AE33" i="32"/>
  <c r="AG33" i="32"/>
  <c r="AK33" i="32"/>
  <c r="AL33" i="32"/>
  <c r="AM33" i="32"/>
  <c r="AO33" i="32"/>
  <c r="AQ33" i="32"/>
  <c r="AA34" i="32"/>
  <c r="AB34" i="32"/>
  <c r="AC34" i="32"/>
  <c r="AE34" i="32"/>
  <c r="AG34" i="32"/>
  <c r="AK34" i="32"/>
  <c r="AL34" i="32"/>
  <c r="AM34" i="32"/>
  <c r="AO34" i="32"/>
  <c r="AQ34" i="32"/>
  <c r="AA35" i="32"/>
  <c r="AB35" i="32"/>
  <c r="AC35" i="32"/>
  <c r="AE35" i="32"/>
  <c r="AG35" i="32"/>
  <c r="AK35" i="32"/>
  <c r="AL35" i="32"/>
  <c r="AM35" i="32"/>
  <c r="AO35" i="32"/>
  <c r="AQ35" i="32"/>
  <c r="AA36" i="32"/>
  <c r="AB36" i="32"/>
  <c r="AC36" i="32"/>
  <c r="AE36" i="32"/>
  <c r="AG36" i="32"/>
  <c r="AK36" i="32"/>
  <c r="AL36" i="32"/>
  <c r="AM36" i="32"/>
  <c r="AO36" i="32"/>
  <c r="AQ36" i="32"/>
  <c r="AA37" i="32"/>
  <c r="AB37" i="32"/>
  <c r="AC37" i="32"/>
  <c r="AE37" i="32"/>
  <c r="AG37" i="32"/>
  <c r="AK37" i="32"/>
  <c r="AL37" i="32"/>
  <c r="AM37" i="32"/>
  <c r="AO37" i="32"/>
  <c r="AQ37" i="32"/>
  <c r="AA38" i="32"/>
  <c r="AB38" i="32"/>
  <c r="AC38" i="32"/>
  <c r="AE38" i="32"/>
  <c r="AG38" i="32"/>
  <c r="AK38" i="32"/>
  <c r="AL38" i="32"/>
  <c r="AM38" i="32"/>
  <c r="AO38" i="32"/>
  <c r="AQ38" i="32"/>
  <c r="AA39" i="32"/>
  <c r="AB39" i="32"/>
  <c r="AC39" i="32"/>
  <c r="AE39" i="32"/>
  <c r="AG39" i="32"/>
  <c r="AK39" i="32"/>
  <c r="AL39" i="32"/>
  <c r="AM39" i="32"/>
  <c r="AO39" i="32"/>
  <c r="AQ39" i="32"/>
  <c r="AA40" i="32"/>
  <c r="AB40" i="32"/>
  <c r="AC40" i="32"/>
  <c r="AE40" i="32"/>
  <c r="AG40" i="32"/>
  <c r="AK40" i="32"/>
  <c r="AL40" i="32"/>
  <c r="AM40" i="32"/>
  <c r="AO40" i="32"/>
  <c r="AQ40" i="32"/>
  <c r="E21" i="35"/>
  <c r="H21" i="35"/>
  <c r="I21" i="35"/>
  <c r="J21" i="35"/>
  <c r="P21" i="35"/>
  <c r="S21" i="35"/>
  <c r="V21" i="35"/>
  <c r="W21" i="35"/>
  <c r="X21" i="35"/>
  <c r="Y21" i="35"/>
  <c r="Z21" i="35"/>
  <c r="AC21" i="35"/>
  <c r="AD21" i="35"/>
  <c r="AE21" i="35"/>
  <c r="AF21" i="35"/>
  <c r="AG21" i="35"/>
  <c r="AH21" i="35"/>
  <c r="AI21" i="35"/>
  <c r="AJ21" i="35"/>
  <c r="AK21" i="35"/>
  <c r="AL21" i="35"/>
  <c r="AM21" i="35"/>
  <c r="AN21" i="35"/>
  <c r="AQ21" i="35"/>
  <c r="AR21" i="35"/>
  <c r="AS21" i="35"/>
  <c r="AT21" i="35"/>
  <c r="AU21" i="35"/>
  <c r="AX21" i="35"/>
  <c r="AY21" i="35"/>
  <c r="AZ21" i="35"/>
  <c r="BA21" i="35"/>
  <c r="BB21" i="35"/>
  <c r="BC21" i="35"/>
  <c r="BD21" i="35"/>
  <c r="BE21" i="35"/>
  <c r="BF21" i="35"/>
  <c r="BG21" i="35"/>
  <c r="BH21" i="35"/>
  <c r="BI21" i="35"/>
  <c r="BJ21" i="35"/>
  <c r="BK21" i="35"/>
  <c r="BL21" i="35"/>
  <c r="BO21" i="35"/>
  <c r="BP21" i="35"/>
  <c r="E22" i="35"/>
  <c r="H22" i="35"/>
  <c r="I22" i="35"/>
  <c r="J22" i="35"/>
  <c r="P22" i="35"/>
  <c r="S22" i="35"/>
  <c r="V22" i="35"/>
  <c r="W22" i="35"/>
  <c r="X22" i="35"/>
  <c r="Y22" i="35"/>
  <c r="Z22" i="35"/>
  <c r="AC22" i="35"/>
  <c r="AD22" i="35"/>
  <c r="AE22" i="35"/>
  <c r="AF22" i="35"/>
  <c r="AG22" i="35"/>
  <c r="AH22" i="35"/>
  <c r="AI22" i="35"/>
  <c r="AJ22" i="35"/>
  <c r="AK22" i="35"/>
  <c r="AL22" i="35"/>
  <c r="AM22" i="35"/>
  <c r="AN22" i="35"/>
  <c r="AQ22" i="35"/>
  <c r="AR22" i="35"/>
  <c r="AS22" i="35"/>
  <c r="AT22" i="35"/>
  <c r="AU22" i="35"/>
  <c r="AX22" i="35"/>
  <c r="AY22" i="35"/>
  <c r="AZ22" i="35"/>
  <c r="BA22" i="35"/>
  <c r="BB22" i="35"/>
  <c r="BC22" i="35"/>
  <c r="BD22" i="35"/>
  <c r="BE22" i="35"/>
  <c r="BF22" i="35"/>
  <c r="BG22" i="35"/>
  <c r="BH22" i="35"/>
  <c r="BI22" i="35"/>
  <c r="BJ22" i="35"/>
  <c r="BK22" i="35"/>
  <c r="BL22" i="35"/>
  <c r="BO22" i="35"/>
  <c r="BP22" i="35"/>
  <c r="E23" i="35"/>
  <c r="H23" i="35"/>
  <c r="I23" i="35"/>
  <c r="J23" i="35"/>
  <c r="P23" i="35"/>
  <c r="S23" i="35"/>
  <c r="V23" i="35"/>
  <c r="W23" i="35"/>
  <c r="X23" i="35"/>
  <c r="Y23" i="35"/>
  <c r="Z23" i="35"/>
  <c r="AC23" i="35"/>
  <c r="AD23" i="35"/>
  <c r="AE23" i="35"/>
  <c r="AF23" i="35"/>
  <c r="AG23" i="35"/>
  <c r="AH23" i="35"/>
  <c r="AI23" i="35"/>
  <c r="AJ23" i="35"/>
  <c r="AK23" i="35"/>
  <c r="AL23" i="35"/>
  <c r="AM23" i="35"/>
  <c r="AN23" i="35"/>
  <c r="AQ23" i="35"/>
  <c r="AR23" i="35"/>
  <c r="AS23" i="35"/>
  <c r="AT23" i="35"/>
  <c r="AU23" i="35"/>
  <c r="AX23" i="35"/>
  <c r="AY23" i="35"/>
  <c r="AZ23" i="35"/>
  <c r="BA23" i="35"/>
  <c r="BB23" i="35"/>
  <c r="BC23" i="35"/>
  <c r="BD23" i="35"/>
  <c r="BE23" i="35"/>
  <c r="BF23" i="35"/>
  <c r="BG23" i="35"/>
  <c r="BH23" i="35"/>
  <c r="BI23" i="35"/>
  <c r="BJ23" i="35"/>
  <c r="BK23" i="35"/>
  <c r="BL23" i="35"/>
  <c r="BO23" i="35"/>
  <c r="BP23" i="35"/>
  <c r="E24" i="35"/>
  <c r="H24" i="35"/>
  <c r="I24" i="35"/>
  <c r="J24" i="35"/>
  <c r="P24" i="35"/>
  <c r="S24" i="35"/>
  <c r="V24" i="35"/>
  <c r="W24" i="35"/>
  <c r="X24" i="35"/>
  <c r="Y24" i="35"/>
  <c r="Z24" i="35"/>
  <c r="AC24" i="35"/>
  <c r="AD24" i="35"/>
  <c r="AE24" i="35"/>
  <c r="AF24" i="35"/>
  <c r="AG24" i="35"/>
  <c r="AH24" i="35"/>
  <c r="AI24" i="35"/>
  <c r="AJ24" i="35"/>
  <c r="AK24" i="35"/>
  <c r="AL24" i="35"/>
  <c r="AM24" i="35"/>
  <c r="AN24" i="35"/>
  <c r="AQ24" i="35"/>
  <c r="AR24" i="35"/>
  <c r="AS24" i="35"/>
  <c r="AT24" i="35"/>
  <c r="AU24" i="35"/>
  <c r="AX24" i="35"/>
  <c r="AY24" i="35"/>
  <c r="AZ24" i="35"/>
  <c r="BA24" i="35"/>
  <c r="BB24" i="35"/>
  <c r="BC24" i="35"/>
  <c r="BD24" i="35"/>
  <c r="BE24" i="35"/>
  <c r="BF24" i="35"/>
  <c r="BG24" i="35"/>
  <c r="BH24" i="35"/>
  <c r="BI24" i="35"/>
  <c r="BJ24" i="35"/>
  <c r="BK24" i="35"/>
  <c r="BL24" i="35"/>
  <c r="BO24" i="35"/>
  <c r="BP24" i="35"/>
  <c r="E25" i="35"/>
  <c r="H25" i="35"/>
  <c r="I25" i="35"/>
  <c r="J25" i="35"/>
  <c r="P25" i="35"/>
  <c r="S25" i="35"/>
  <c r="V25" i="35"/>
  <c r="W25" i="35"/>
  <c r="X25" i="35"/>
  <c r="Y25" i="35"/>
  <c r="Z25" i="35"/>
  <c r="AC25" i="35"/>
  <c r="AD25" i="35"/>
  <c r="AE25" i="35"/>
  <c r="AF25" i="35"/>
  <c r="AG25" i="35"/>
  <c r="AH25" i="35"/>
  <c r="AI25" i="35"/>
  <c r="AJ25" i="35"/>
  <c r="AK25" i="35"/>
  <c r="AL25" i="35"/>
  <c r="AM25" i="35"/>
  <c r="AN25" i="35"/>
  <c r="AQ25" i="35"/>
  <c r="AR25" i="35"/>
  <c r="AS25" i="35"/>
  <c r="AT25" i="35"/>
  <c r="AU25" i="35"/>
  <c r="AX25" i="35"/>
  <c r="AY25" i="35"/>
  <c r="AZ25" i="35"/>
  <c r="BA25" i="35"/>
  <c r="BB25" i="35"/>
  <c r="BC25" i="35"/>
  <c r="BD25" i="35"/>
  <c r="BE25" i="35"/>
  <c r="BF25" i="35"/>
  <c r="BG25" i="35"/>
  <c r="BH25" i="35"/>
  <c r="BI25" i="35"/>
  <c r="BJ25" i="35"/>
  <c r="BK25" i="35"/>
  <c r="BL25" i="35"/>
  <c r="BO25" i="35"/>
  <c r="BP25" i="35"/>
  <c r="E26" i="35"/>
  <c r="H26" i="35"/>
  <c r="I26" i="35"/>
  <c r="J26" i="35"/>
  <c r="P26" i="35"/>
  <c r="S26" i="35"/>
  <c r="V26" i="35"/>
  <c r="W26" i="35"/>
  <c r="X26" i="35"/>
  <c r="Y26" i="35"/>
  <c r="Z26" i="35"/>
  <c r="AC26" i="35"/>
  <c r="AD26" i="35"/>
  <c r="AE26" i="35"/>
  <c r="AF26" i="35"/>
  <c r="AG26" i="35"/>
  <c r="AH26" i="35"/>
  <c r="AI26" i="35"/>
  <c r="AJ26" i="35"/>
  <c r="AK26" i="35"/>
  <c r="AL26" i="35"/>
  <c r="AM26" i="35"/>
  <c r="AN26" i="35"/>
  <c r="AQ26" i="35"/>
  <c r="AR26" i="35"/>
  <c r="AS26" i="35"/>
  <c r="AT26" i="35"/>
  <c r="AU26" i="35"/>
  <c r="AX26" i="35"/>
  <c r="AY26" i="35"/>
  <c r="AZ26" i="35"/>
  <c r="BA26" i="35"/>
  <c r="BB26" i="35"/>
  <c r="BC26" i="35"/>
  <c r="BD26" i="35"/>
  <c r="BE26" i="35"/>
  <c r="BF26" i="35"/>
  <c r="BG26" i="35"/>
  <c r="BH26" i="35"/>
  <c r="BI26" i="35"/>
  <c r="BJ26" i="35"/>
  <c r="BK26" i="35"/>
  <c r="BL26" i="35"/>
  <c r="BO26" i="35"/>
  <c r="BP26" i="35"/>
  <c r="E27" i="35"/>
  <c r="H27" i="35"/>
  <c r="I27" i="35"/>
  <c r="J27" i="35"/>
  <c r="P27" i="35"/>
  <c r="S27" i="35"/>
  <c r="V27" i="35"/>
  <c r="W27" i="35"/>
  <c r="X27" i="35"/>
  <c r="Y27" i="35"/>
  <c r="Z27" i="35"/>
  <c r="AC27" i="35"/>
  <c r="AD27" i="35"/>
  <c r="AE27" i="35"/>
  <c r="AF27" i="35"/>
  <c r="AG27" i="35"/>
  <c r="AH27" i="35"/>
  <c r="AI27" i="35"/>
  <c r="AJ27" i="35"/>
  <c r="AK27" i="35"/>
  <c r="AL27" i="35"/>
  <c r="AM27" i="35"/>
  <c r="AN27" i="35"/>
  <c r="AQ27" i="35"/>
  <c r="AR27" i="35"/>
  <c r="AS27" i="35"/>
  <c r="AT27" i="35"/>
  <c r="AU27" i="35"/>
  <c r="AX27" i="35"/>
  <c r="AY27" i="35"/>
  <c r="AZ27" i="35"/>
  <c r="BA27" i="35"/>
  <c r="BB27" i="35"/>
  <c r="BC27" i="35"/>
  <c r="BD27" i="35"/>
  <c r="BE27" i="35"/>
  <c r="BF27" i="35"/>
  <c r="BG27" i="35"/>
  <c r="BH27" i="35"/>
  <c r="BI27" i="35"/>
  <c r="BJ27" i="35"/>
  <c r="BK27" i="35"/>
  <c r="BL27" i="35"/>
  <c r="BO27" i="35"/>
  <c r="BP27" i="35"/>
  <c r="E28" i="35"/>
  <c r="H28" i="35"/>
  <c r="I28" i="35"/>
  <c r="J28" i="35"/>
  <c r="P28" i="35"/>
  <c r="S28" i="35"/>
  <c r="V28" i="35"/>
  <c r="W28" i="35"/>
  <c r="X28" i="35"/>
  <c r="Y28" i="35"/>
  <c r="Z28" i="35"/>
  <c r="AC28" i="35"/>
  <c r="AD28" i="35"/>
  <c r="AE28" i="35"/>
  <c r="AF28" i="35"/>
  <c r="AG28" i="35"/>
  <c r="AH28" i="35"/>
  <c r="AI28" i="35"/>
  <c r="AJ28" i="35"/>
  <c r="AK28" i="35"/>
  <c r="AL28" i="35"/>
  <c r="AM28" i="35"/>
  <c r="AN28" i="35"/>
  <c r="AQ28" i="35"/>
  <c r="AR28" i="35"/>
  <c r="AS28" i="35"/>
  <c r="AT28" i="35"/>
  <c r="AU28" i="35"/>
  <c r="AX28" i="35"/>
  <c r="AY28" i="35"/>
  <c r="AZ28" i="35"/>
  <c r="BA28" i="35"/>
  <c r="BB28" i="35"/>
  <c r="BC28" i="35"/>
  <c r="BD28" i="35"/>
  <c r="BE28" i="35"/>
  <c r="BF28" i="35"/>
  <c r="BG28" i="35"/>
  <c r="BH28" i="35"/>
  <c r="BI28" i="35"/>
  <c r="BJ28" i="35"/>
  <c r="BK28" i="35"/>
  <c r="BL28" i="35"/>
  <c r="BO28" i="35"/>
  <c r="BP28" i="35"/>
  <c r="E29" i="35"/>
  <c r="H29" i="35"/>
  <c r="I29" i="35"/>
  <c r="J29" i="35"/>
  <c r="P29" i="35"/>
  <c r="S29" i="35"/>
  <c r="V29" i="35"/>
  <c r="W29" i="35"/>
  <c r="X29" i="35"/>
  <c r="Y29" i="35"/>
  <c r="Z29" i="35"/>
  <c r="AC29" i="35"/>
  <c r="AD29" i="35"/>
  <c r="AE29" i="35"/>
  <c r="AF29" i="35"/>
  <c r="AG29" i="35"/>
  <c r="AH29" i="35"/>
  <c r="AI29" i="35"/>
  <c r="AJ29" i="35"/>
  <c r="AK29" i="35"/>
  <c r="AL29" i="35"/>
  <c r="AM29" i="35"/>
  <c r="AN29" i="35"/>
  <c r="AQ29" i="35"/>
  <c r="AR29" i="35"/>
  <c r="AS29" i="35"/>
  <c r="AT29" i="35"/>
  <c r="AU29" i="35"/>
  <c r="AX29" i="35"/>
  <c r="AY29" i="35"/>
  <c r="AZ29" i="35"/>
  <c r="BA29" i="35"/>
  <c r="BB29" i="35"/>
  <c r="BC29" i="35"/>
  <c r="BD29" i="35"/>
  <c r="BE29" i="35"/>
  <c r="BF29" i="35"/>
  <c r="BG29" i="35"/>
  <c r="BH29" i="35"/>
  <c r="BI29" i="35"/>
  <c r="BJ29" i="35"/>
  <c r="BK29" i="35"/>
  <c r="BL29" i="35"/>
  <c r="BO29" i="35"/>
  <c r="BP29" i="35"/>
  <c r="E30" i="35"/>
  <c r="H30" i="35"/>
  <c r="I30" i="35"/>
  <c r="J30" i="35"/>
  <c r="P30" i="35"/>
  <c r="S30" i="35"/>
  <c r="V30" i="35"/>
  <c r="W30" i="35"/>
  <c r="X30" i="35"/>
  <c r="Y30" i="35"/>
  <c r="Z30" i="35"/>
  <c r="AC30" i="35"/>
  <c r="AD30" i="35"/>
  <c r="AE30" i="35"/>
  <c r="AF30" i="35"/>
  <c r="AG30" i="35"/>
  <c r="AH30" i="35"/>
  <c r="AI30" i="35"/>
  <c r="AJ30" i="35"/>
  <c r="AK30" i="35"/>
  <c r="AL30" i="35"/>
  <c r="AM30" i="35"/>
  <c r="AN30" i="35"/>
  <c r="AQ30" i="35"/>
  <c r="AR30" i="35"/>
  <c r="AS30" i="35"/>
  <c r="AT30" i="35"/>
  <c r="AU30" i="35"/>
  <c r="AX30" i="35"/>
  <c r="AY30" i="35"/>
  <c r="AZ30" i="35"/>
  <c r="BA30" i="35"/>
  <c r="BB30" i="35"/>
  <c r="BC30" i="35"/>
  <c r="BD30" i="35"/>
  <c r="BE30" i="35"/>
  <c r="BF30" i="35"/>
  <c r="BG30" i="35"/>
  <c r="BH30" i="35"/>
  <c r="BI30" i="35"/>
  <c r="BJ30" i="35"/>
  <c r="BK30" i="35"/>
  <c r="BL30" i="35"/>
  <c r="BO30" i="35"/>
  <c r="BP30" i="35"/>
  <c r="E31" i="35"/>
  <c r="H31" i="35"/>
  <c r="I31" i="35"/>
  <c r="J31" i="35"/>
  <c r="P31" i="35"/>
  <c r="S31" i="35"/>
  <c r="V31" i="35"/>
  <c r="W31" i="35"/>
  <c r="X31" i="35"/>
  <c r="Y31" i="35"/>
  <c r="Z31" i="35"/>
  <c r="AC31" i="35"/>
  <c r="AD31" i="35"/>
  <c r="AE31" i="35"/>
  <c r="AF31" i="35"/>
  <c r="AG31" i="35"/>
  <c r="AH31" i="35"/>
  <c r="AI31" i="35"/>
  <c r="AJ31" i="35"/>
  <c r="AK31" i="35"/>
  <c r="AL31" i="35"/>
  <c r="AM31" i="35"/>
  <c r="AN31" i="35"/>
  <c r="AQ31" i="35"/>
  <c r="AR31" i="35"/>
  <c r="AS31" i="35"/>
  <c r="AT31" i="35"/>
  <c r="AU31" i="35"/>
  <c r="AX31" i="35"/>
  <c r="AY31" i="35"/>
  <c r="AZ31" i="35"/>
  <c r="BA31" i="35"/>
  <c r="BB31" i="35"/>
  <c r="BC31" i="35"/>
  <c r="BD31" i="35"/>
  <c r="BE31" i="35"/>
  <c r="BF31" i="35"/>
  <c r="BG31" i="35"/>
  <c r="BH31" i="35"/>
  <c r="BI31" i="35"/>
  <c r="BJ31" i="35"/>
  <c r="BK31" i="35"/>
  <c r="BL31" i="35"/>
  <c r="BO31" i="35"/>
  <c r="BP31" i="35"/>
  <c r="E32" i="35"/>
  <c r="H32" i="35"/>
  <c r="I32" i="35"/>
  <c r="J32" i="35"/>
  <c r="P32" i="35"/>
  <c r="S32" i="35"/>
  <c r="V32" i="35"/>
  <c r="W32" i="35"/>
  <c r="X32" i="35"/>
  <c r="Y32" i="35"/>
  <c r="Z32" i="35"/>
  <c r="AC32" i="35"/>
  <c r="AD32" i="35"/>
  <c r="AE32" i="35"/>
  <c r="AF32" i="35"/>
  <c r="AG32" i="35"/>
  <c r="AH32" i="35"/>
  <c r="AI32" i="35"/>
  <c r="AJ32" i="35"/>
  <c r="AK32" i="35"/>
  <c r="AL32" i="35"/>
  <c r="AM32" i="35"/>
  <c r="AN32" i="35"/>
  <c r="AQ32" i="35"/>
  <c r="AR32" i="35"/>
  <c r="AS32" i="35"/>
  <c r="AT32" i="35"/>
  <c r="AU32" i="35"/>
  <c r="AX32" i="35"/>
  <c r="AY32" i="35"/>
  <c r="AZ32" i="35"/>
  <c r="BA32" i="35"/>
  <c r="BB32" i="35"/>
  <c r="BC32" i="35"/>
  <c r="BD32" i="35"/>
  <c r="BE32" i="35"/>
  <c r="BF32" i="35"/>
  <c r="BG32" i="35"/>
  <c r="BH32" i="35"/>
  <c r="BI32" i="35"/>
  <c r="BJ32" i="35"/>
  <c r="BK32" i="35"/>
  <c r="BL32" i="35"/>
  <c r="BO32" i="35"/>
  <c r="BP32" i="35"/>
  <c r="E33" i="35"/>
  <c r="H33" i="35"/>
  <c r="I33" i="35"/>
  <c r="J33" i="35"/>
  <c r="P33" i="35"/>
  <c r="S33" i="35"/>
  <c r="V33" i="35"/>
  <c r="W33" i="35"/>
  <c r="X33" i="35"/>
  <c r="Y33" i="35"/>
  <c r="Z33" i="35"/>
  <c r="AC33" i="35"/>
  <c r="AD33" i="35"/>
  <c r="AE33" i="35"/>
  <c r="AF33" i="35"/>
  <c r="AG33" i="35"/>
  <c r="AH33" i="35"/>
  <c r="AI33" i="35"/>
  <c r="AJ33" i="35"/>
  <c r="AK33" i="35"/>
  <c r="AL33" i="35"/>
  <c r="AM33" i="35"/>
  <c r="AN33" i="35"/>
  <c r="AQ33" i="35"/>
  <c r="AR33" i="35"/>
  <c r="AS33" i="35"/>
  <c r="AT33" i="35"/>
  <c r="AU33" i="35"/>
  <c r="AX33" i="35"/>
  <c r="AY33" i="35"/>
  <c r="AZ33" i="35"/>
  <c r="BA33" i="35"/>
  <c r="BB33" i="35"/>
  <c r="BC33" i="35"/>
  <c r="BD33" i="35"/>
  <c r="BE33" i="35"/>
  <c r="BF33" i="35"/>
  <c r="BG33" i="35"/>
  <c r="BH33" i="35"/>
  <c r="BI33" i="35"/>
  <c r="BJ33" i="35"/>
  <c r="BK33" i="35"/>
  <c r="BL33" i="35"/>
  <c r="BO33" i="35"/>
  <c r="BP33" i="35"/>
  <c r="E34" i="35"/>
  <c r="H34" i="35"/>
  <c r="I34" i="35"/>
  <c r="J34" i="35"/>
  <c r="P34" i="35"/>
  <c r="S34" i="35"/>
  <c r="V34" i="35"/>
  <c r="W34" i="35"/>
  <c r="X34" i="35"/>
  <c r="Y34" i="35"/>
  <c r="Z34" i="35"/>
  <c r="AC34" i="35"/>
  <c r="AD34" i="35"/>
  <c r="AE34" i="35"/>
  <c r="AF34" i="35"/>
  <c r="AG34" i="35"/>
  <c r="AH34" i="35"/>
  <c r="AI34" i="35"/>
  <c r="AJ34" i="35"/>
  <c r="AK34" i="35"/>
  <c r="AL34" i="35"/>
  <c r="AM34" i="35"/>
  <c r="AN34" i="35"/>
  <c r="AQ34" i="35"/>
  <c r="AR34" i="35"/>
  <c r="AS34" i="35"/>
  <c r="AT34" i="35"/>
  <c r="AU34" i="35"/>
  <c r="AX34" i="35"/>
  <c r="AY34" i="35"/>
  <c r="AZ34" i="35"/>
  <c r="BA34" i="35"/>
  <c r="BB34" i="35"/>
  <c r="BC34" i="35"/>
  <c r="BD34" i="35"/>
  <c r="BE34" i="35"/>
  <c r="BF34" i="35"/>
  <c r="BG34" i="35"/>
  <c r="BH34" i="35"/>
  <c r="BI34" i="35"/>
  <c r="BJ34" i="35"/>
  <c r="BK34" i="35"/>
  <c r="BL34" i="35"/>
  <c r="BO34" i="35"/>
  <c r="BP34" i="35"/>
  <c r="E35" i="35"/>
  <c r="H35" i="35"/>
  <c r="I35" i="35"/>
  <c r="J35" i="35"/>
  <c r="P35" i="35"/>
  <c r="S35" i="35"/>
  <c r="V35" i="35"/>
  <c r="W35" i="35"/>
  <c r="X35" i="35"/>
  <c r="Y35" i="35"/>
  <c r="Z35" i="35"/>
  <c r="AC35" i="35"/>
  <c r="AD35" i="35"/>
  <c r="AE35" i="35"/>
  <c r="AF35" i="35"/>
  <c r="AG35" i="35"/>
  <c r="AH35" i="35"/>
  <c r="AI35" i="35"/>
  <c r="AJ35" i="35"/>
  <c r="AK35" i="35"/>
  <c r="AL35" i="35"/>
  <c r="AM35" i="35"/>
  <c r="AN35" i="35"/>
  <c r="AQ35" i="35"/>
  <c r="AR35" i="35"/>
  <c r="AS35" i="35"/>
  <c r="AT35" i="35"/>
  <c r="AU35" i="35"/>
  <c r="AX35" i="35"/>
  <c r="AY35" i="35"/>
  <c r="AZ35" i="35"/>
  <c r="BA35" i="35"/>
  <c r="BB35" i="35"/>
  <c r="BC35" i="35"/>
  <c r="BD35" i="35"/>
  <c r="BE35" i="35"/>
  <c r="BF35" i="35"/>
  <c r="BG35" i="35"/>
  <c r="BH35" i="35"/>
  <c r="BI35" i="35"/>
  <c r="BJ35" i="35"/>
  <c r="BK35" i="35"/>
  <c r="BL35" i="35"/>
  <c r="BO35" i="35"/>
  <c r="BP35" i="35"/>
  <c r="E36" i="35"/>
  <c r="H36" i="35"/>
  <c r="I36" i="35"/>
  <c r="J36" i="35"/>
  <c r="P36" i="35"/>
  <c r="S36" i="35"/>
  <c r="V36" i="35"/>
  <c r="W36" i="35"/>
  <c r="X36" i="35"/>
  <c r="Y36" i="35"/>
  <c r="Z36" i="35"/>
  <c r="AC36" i="35"/>
  <c r="AD36" i="35"/>
  <c r="AE36" i="35"/>
  <c r="AF36" i="35"/>
  <c r="AG36" i="35"/>
  <c r="AH36" i="35"/>
  <c r="AI36" i="35"/>
  <c r="AJ36" i="35"/>
  <c r="AK36" i="35"/>
  <c r="AL36" i="35"/>
  <c r="AM36" i="35"/>
  <c r="AN36" i="35"/>
  <c r="AQ36" i="35"/>
  <c r="AR36" i="35"/>
  <c r="AS36" i="35"/>
  <c r="AT36" i="35"/>
  <c r="AU36" i="35"/>
  <c r="AX36" i="35"/>
  <c r="AY36" i="35"/>
  <c r="AZ36" i="35"/>
  <c r="BA36" i="35"/>
  <c r="BB36" i="35"/>
  <c r="BC36" i="35"/>
  <c r="BD36" i="35"/>
  <c r="BE36" i="35"/>
  <c r="BF36" i="35"/>
  <c r="BG36" i="35"/>
  <c r="BH36" i="35"/>
  <c r="BI36" i="35"/>
  <c r="BJ36" i="35"/>
  <c r="BK36" i="35"/>
  <c r="BL36" i="35"/>
  <c r="BO36" i="35"/>
  <c r="BP36" i="35"/>
  <c r="E37" i="35"/>
  <c r="H37" i="35"/>
  <c r="I37" i="35"/>
  <c r="J37" i="35"/>
  <c r="P37" i="35"/>
  <c r="S37" i="35"/>
  <c r="V37" i="35"/>
  <c r="W37" i="35"/>
  <c r="X37" i="35"/>
  <c r="Y37" i="35"/>
  <c r="Z37" i="35"/>
  <c r="AC37" i="35"/>
  <c r="AD37" i="35"/>
  <c r="AE37" i="35"/>
  <c r="AF37" i="35"/>
  <c r="AG37" i="35"/>
  <c r="AH37" i="35"/>
  <c r="AI37" i="35"/>
  <c r="AJ37" i="35"/>
  <c r="AK37" i="35"/>
  <c r="AL37" i="35"/>
  <c r="AM37" i="35"/>
  <c r="AN37" i="35"/>
  <c r="AQ37" i="35"/>
  <c r="AR37" i="35"/>
  <c r="AS37" i="35"/>
  <c r="AT37" i="35"/>
  <c r="AU37" i="35"/>
  <c r="AX37" i="35"/>
  <c r="AY37" i="35"/>
  <c r="AZ37" i="35"/>
  <c r="BA37" i="35"/>
  <c r="BB37" i="35"/>
  <c r="BC37" i="35"/>
  <c r="BD37" i="35"/>
  <c r="BE37" i="35"/>
  <c r="BF37" i="35"/>
  <c r="BG37" i="35"/>
  <c r="BH37" i="35"/>
  <c r="BI37" i="35"/>
  <c r="BJ37" i="35"/>
  <c r="BK37" i="35"/>
  <c r="BL37" i="35"/>
  <c r="BO37" i="35"/>
  <c r="BP37" i="35"/>
  <c r="E38" i="35"/>
  <c r="H38" i="35"/>
  <c r="I38" i="35"/>
  <c r="J38" i="35"/>
  <c r="P38" i="35"/>
  <c r="S38" i="35"/>
  <c r="V38" i="35"/>
  <c r="W38" i="35"/>
  <c r="X38" i="35"/>
  <c r="Y38" i="35"/>
  <c r="Z38" i="35"/>
  <c r="AC38" i="35"/>
  <c r="AD38" i="35"/>
  <c r="AE38" i="35"/>
  <c r="AF38" i="35"/>
  <c r="AG38" i="35"/>
  <c r="AH38" i="35"/>
  <c r="AI38" i="35"/>
  <c r="AJ38" i="35"/>
  <c r="AK38" i="35"/>
  <c r="AL38" i="35"/>
  <c r="AM38" i="35"/>
  <c r="AN38" i="35"/>
  <c r="AQ38" i="35"/>
  <c r="AR38" i="35"/>
  <c r="AS38" i="35"/>
  <c r="AT38" i="35"/>
  <c r="AU38" i="35"/>
  <c r="AX38" i="35"/>
  <c r="AY38" i="35"/>
  <c r="AZ38" i="35"/>
  <c r="BA38" i="35"/>
  <c r="BB38" i="35"/>
  <c r="BC38" i="35"/>
  <c r="BD38" i="35"/>
  <c r="BE38" i="35"/>
  <c r="BF38" i="35"/>
  <c r="BG38" i="35"/>
  <c r="BH38" i="35"/>
  <c r="BI38" i="35"/>
  <c r="BJ38" i="35"/>
  <c r="BK38" i="35"/>
  <c r="BL38" i="35"/>
  <c r="BO38" i="35"/>
  <c r="BP38" i="35"/>
  <c r="E39" i="35"/>
  <c r="H39" i="35"/>
  <c r="I39" i="35"/>
  <c r="J39" i="35"/>
  <c r="P39" i="35"/>
  <c r="S39" i="35"/>
  <c r="V39" i="35"/>
  <c r="W39" i="35"/>
  <c r="X39" i="35"/>
  <c r="Y39" i="35"/>
  <c r="Z39" i="35"/>
  <c r="AC39" i="35"/>
  <c r="AD39" i="35"/>
  <c r="AE39" i="35"/>
  <c r="AF39" i="35"/>
  <c r="AG39" i="35"/>
  <c r="AH39" i="35"/>
  <c r="AI39" i="35"/>
  <c r="AJ39" i="35"/>
  <c r="AK39" i="35"/>
  <c r="AL39" i="35"/>
  <c r="AM39" i="35"/>
  <c r="AN39" i="35"/>
  <c r="AQ39" i="35"/>
  <c r="AR39" i="35"/>
  <c r="AS39" i="35"/>
  <c r="AT39" i="35"/>
  <c r="AU39" i="35"/>
  <c r="AX39" i="35"/>
  <c r="AY39" i="35"/>
  <c r="AZ39" i="35"/>
  <c r="BA39" i="35"/>
  <c r="BB39" i="35"/>
  <c r="BC39" i="35"/>
  <c r="BD39" i="35"/>
  <c r="BE39" i="35"/>
  <c r="BF39" i="35"/>
  <c r="BG39" i="35"/>
  <c r="BH39" i="35"/>
  <c r="BI39" i="35"/>
  <c r="BJ39" i="35"/>
  <c r="BK39" i="35"/>
  <c r="BL39" i="35"/>
  <c r="BO39" i="35"/>
  <c r="BP39" i="35"/>
  <c r="E40" i="35"/>
  <c r="H40" i="35"/>
  <c r="I40" i="35"/>
  <c r="J40" i="35"/>
  <c r="P40" i="35"/>
  <c r="S40" i="35"/>
  <c r="V40" i="35"/>
  <c r="W40" i="35"/>
  <c r="X40" i="35"/>
  <c r="Y40" i="35"/>
  <c r="Z40" i="35"/>
  <c r="AC40" i="35"/>
  <c r="AD40" i="35"/>
  <c r="AE40" i="35"/>
  <c r="AF40" i="35"/>
  <c r="AG40" i="35"/>
  <c r="AH40" i="35"/>
  <c r="AI40" i="35"/>
  <c r="AJ40" i="35"/>
  <c r="AK40" i="35"/>
  <c r="AL40" i="35"/>
  <c r="AM40" i="35"/>
  <c r="AN40" i="35"/>
  <c r="AQ40" i="35"/>
  <c r="AR40" i="35"/>
  <c r="AS40" i="35"/>
  <c r="AT40" i="35"/>
  <c r="AU40" i="35"/>
  <c r="AX40" i="35"/>
  <c r="AY40" i="35"/>
  <c r="AZ40" i="35"/>
  <c r="BA40" i="35"/>
  <c r="BB40" i="35"/>
  <c r="BC40" i="35"/>
  <c r="BD40" i="35"/>
  <c r="BE40" i="35"/>
  <c r="BF40" i="35"/>
  <c r="BG40" i="35"/>
  <c r="BH40" i="35"/>
  <c r="BI40" i="35"/>
  <c r="BJ40" i="35"/>
  <c r="BK40" i="35"/>
  <c r="BL40" i="35"/>
  <c r="BO40" i="35"/>
  <c r="BP40" i="35"/>
  <c r="E21" i="40"/>
  <c r="H21" i="40"/>
  <c r="I21" i="40"/>
  <c r="J21" i="40"/>
  <c r="P21" i="40"/>
  <c r="S21" i="40"/>
  <c r="V21" i="40"/>
  <c r="W21" i="40"/>
  <c r="X21" i="40"/>
  <c r="Y21" i="40"/>
  <c r="Z21" i="40"/>
  <c r="AC21" i="40"/>
  <c r="AD21" i="40"/>
  <c r="AE21" i="40"/>
  <c r="AF21" i="40"/>
  <c r="AG21" i="40"/>
  <c r="AH21" i="40"/>
  <c r="AI21" i="40"/>
  <c r="AJ21" i="40"/>
  <c r="AK21" i="40"/>
  <c r="AL21" i="40"/>
  <c r="AM21" i="40"/>
  <c r="AN21" i="40"/>
  <c r="AQ21" i="40"/>
  <c r="AR21" i="40"/>
  <c r="AS21" i="40"/>
  <c r="AT21" i="40"/>
  <c r="AU21" i="40"/>
  <c r="AX21" i="40"/>
  <c r="AY21" i="40"/>
  <c r="AZ21" i="40"/>
  <c r="BA21" i="40"/>
  <c r="BB21" i="40"/>
  <c r="BC21" i="40"/>
  <c r="BD21" i="40"/>
  <c r="BE21" i="40"/>
  <c r="BF21" i="40"/>
  <c r="BG21" i="40"/>
  <c r="BH21" i="40"/>
  <c r="BI21" i="40"/>
  <c r="BJ21" i="40"/>
  <c r="BK21" i="40"/>
  <c r="BL21" i="40"/>
  <c r="BO21" i="40"/>
  <c r="BP21" i="40"/>
  <c r="E22" i="40"/>
  <c r="H22" i="40"/>
  <c r="I22" i="40"/>
  <c r="J22" i="40"/>
  <c r="P22" i="40"/>
  <c r="S22" i="40"/>
  <c r="V22" i="40"/>
  <c r="W22" i="40"/>
  <c r="X22" i="40"/>
  <c r="Y22" i="40"/>
  <c r="Z22" i="40"/>
  <c r="AC22" i="40"/>
  <c r="AD22" i="40"/>
  <c r="AE22" i="40"/>
  <c r="AF22" i="40"/>
  <c r="AG22" i="40"/>
  <c r="AH22" i="40"/>
  <c r="AI22" i="40"/>
  <c r="AJ22" i="40"/>
  <c r="AK22" i="40"/>
  <c r="AL22" i="40"/>
  <c r="AM22" i="40"/>
  <c r="AN22" i="40"/>
  <c r="AQ22" i="40"/>
  <c r="AR22" i="40"/>
  <c r="AS22" i="40"/>
  <c r="AT22" i="40"/>
  <c r="AU22" i="40"/>
  <c r="AX22" i="40"/>
  <c r="AY22" i="40"/>
  <c r="AZ22" i="40"/>
  <c r="BA22" i="40"/>
  <c r="BB22" i="40"/>
  <c r="BC22" i="40"/>
  <c r="BD22" i="40"/>
  <c r="BE22" i="40"/>
  <c r="BF22" i="40"/>
  <c r="BG22" i="40"/>
  <c r="BH22" i="40"/>
  <c r="BI22" i="40"/>
  <c r="BJ22" i="40"/>
  <c r="BK22" i="40"/>
  <c r="BL22" i="40"/>
  <c r="BO22" i="40"/>
  <c r="BP22" i="40"/>
  <c r="E23" i="40"/>
  <c r="H23" i="40"/>
  <c r="I23" i="40"/>
  <c r="J23" i="40"/>
  <c r="P23" i="40"/>
  <c r="S23" i="40"/>
  <c r="V23" i="40"/>
  <c r="W23" i="40"/>
  <c r="X23" i="40"/>
  <c r="Y23" i="40"/>
  <c r="Z23" i="40"/>
  <c r="AC23" i="40"/>
  <c r="AD23" i="40"/>
  <c r="AE23" i="40"/>
  <c r="AF23" i="40"/>
  <c r="AG23" i="40"/>
  <c r="AH23" i="40"/>
  <c r="AI23" i="40"/>
  <c r="AJ23" i="40"/>
  <c r="AK23" i="40"/>
  <c r="AL23" i="40"/>
  <c r="AM23" i="40"/>
  <c r="AN23" i="40"/>
  <c r="AQ23" i="40"/>
  <c r="AR23" i="40"/>
  <c r="AS23" i="40"/>
  <c r="AT23" i="40"/>
  <c r="AU23" i="40"/>
  <c r="AX23" i="40"/>
  <c r="AY23" i="40"/>
  <c r="AZ23" i="40"/>
  <c r="BA23" i="40"/>
  <c r="BB23" i="40"/>
  <c r="BC23" i="40"/>
  <c r="BD23" i="40"/>
  <c r="BE23" i="40"/>
  <c r="BF23" i="40"/>
  <c r="BG23" i="40"/>
  <c r="BH23" i="40"/>
  <c r="BI23" i="40"/>
  <c r="BJ23" i="40"/>
  <c r="BK23" i="40"/>
  <c r="BL23" i="40"/>
  <c r="BO23" i="40"/>
  <c r="BP23" i="40"/>
  <c r="E24" i="40"/>
  <c r="H24" i="40"/>
  <c r="I24" i="40"/>
  <c r="J24" i="40"/>
  <c r="P24" i="40"/>
  <c r="S24" i="40"/>
  <c r="V24" i="40"/>
  <c r="W24" i="40"/>
  <c r="X24" i="40"/>
  <c r="Y24" i="40"/>
  <c r="Z24" i="40"/>
  <c r="AC24" i="40"/>
  <c r="AD24" i="40"/>
  <c r="AE24" i="40"/>
  <c r="AF24" i="40"/>
  <c r="AG24" i="40"/>
  <c r="AH24" i="40"/>
  <c r="AI24" i="40"/>
  <c r="AJ24" i="40"/>
  <c r="AK24" i="40"/>
  <c r="AL24" i="40"/>
  <c r="AM24" i="40"/>
  <c r="AN24" i="40"/>
  <c r="AQ24" i="40"/>
  <c r="AR24" i="40"/>
  <c r="AS24" i="40"/>
  <c r="AT24" i="40"/>
  <c r="AU24" i="40"/>
  <c r="AX24" i="40"/>
  <c r="AY24" i="40"/>
  <c r="AZ24" i="40"/>
  <c r="BA24" i="40"/>
  <c r="BB24" i="40"/>
  <c r="BC24" i="40"/>
  <c r="BD24" i="40"/>
  <c r="BE24" i="40"/>
  <c r="BF24" i="40"/>
  <c r="BG24" i="40"/>
  <c r="BH24" i="40"/>
  <c r="BI24" i="40"/>
  <c r="BJ24" i="40"/>
  <c r="BK24" i="40"/>
  <c r="BL24" i="40"/>
  <c r="BO24" i="40"/>
  <c r="BP24" i="40"/>
  <c r="E25" i="40"/>
  <c r="H25" i="40"/>
  <c r="I25" i="40"/>
  <c r="J25" i="40"/>
  <c r="P25" i="40"/>
  <c r="S25" i="40"/>
  <c r="V25" i="40"/>
  <c r="W25" i="40"/>
  <c r="X25" i="40"/>
  <c r="Y25" i="40"/>
  <c r="Z25" i="40"/>
  <c r="AC25" i="40"/>
  <c r="AD25" i="40"/>
  <c r="AE25" i="40"/>
  <c r="AF25" i="40"/>
  <c r="AG25" i="40"/>
  <c r="AH25" i="40"/>
  <c r="AI25" i="40"/>
  <c r="AJ25" i="40"/>
  <c r="AK25" i="40"/>
  <c r="AL25" i="40"/>
  <c r="AM25" i="40"/>
  <c r="AN25" i="40"/>
  <c r="AQ25" i="40"/>
  <c r="AR25" i="40"/>
  <c r="AS25" i="40"/>
  <c r="AT25" i="40"/>
  <c r="AU25" i="40"/>
  <c r="AX25" i="40"/>
  <c r="AY25" i="40"/>
  <c r="AZ25" i="40"/>
  <c r="BA25" i="40"/>
  <c r="BB25" i="40"/>
  <c r="BC25" i="40"/>
  <c r="BD25" i="40"/>
  <c r="BE25" i="40"/>
  <c r="BF25" i="40"/>
  <c r="BG25" i="40"/>
  <c r="BH25" i="40"/>
  <c r="BI25" i="40"/>
  <c r="BJ25" i="40"/>
  <c r="BK25" i="40"/>
  <c r="BL25" i="40"/>
  <c r="BO25" i="40"/>
  <c r="BP25" i="40"/>
  <c r="E26" i="40"/>
  <c r="H26" i="40"/>
  <c r="I26" i="40"/>
  <c r="J26" i="40"/>
  <c r="P26" i="40"/>
  <c r="S26" i="40"/>
  <c r="V26" i="40"/>
  <c r="W26" i="40"/>
  <c r="X26" i="40"/>
  <c r="Y26" i="40"/>
  <c r="Z26" i="40"/>
  <c r="AC26" i="40"/>
  <c r="AD26" i="40"/>
  <c r="AE26" i="40"/>
  <c r="AF26" i="40"/>
  <c r="AG26" i="40"/>
  <c r="AH26" i="40"/>
  <c r="AI26" i="40"/>
  <c r="AJ26" i="40"/>
  <c r="AK26" i="40"/>
  <c r="AL26" i="40"/>
  <c r="AM26" i="40"/>
  <c r="AN26" i="40"/>
  <c r="AQ26" i="40"/>
  <c r="AR26" i="40"/>
  <c r="AS26" i="40"/>
  <c r="AT26" i="40"/>
  <c r="AU26" i="40"/>
  <c r="AX26" i="40"/>
  <c r="AY26" i="40"/>
  <c r="AZ26" i="40"/>
  <c r="BA26" i="40"/>
  <c r="BB26" i="40"/>
  <c r="BC26" i="40"/>
  <c r="BD26" i="40"/>
  <c r="BE26" i="40"/>
  <c r="BF26" i="40"/>
  <c r="BG26" i="40"/>
  <c r="BH26" i="40"/>
  <c r="BI26" i="40"/>
  <c r="BJ26" i="40"/>
  <c r="BK26" i="40"/>
  <c r="BL26" i="40"/>
  <c r="BO26" i="40"/>
  <c r="BP26" i="40"/>
  <c r="E27" i="40"/>
  <c r="H27" i="40"/>
  <c r="I27" i="40"/>
  <c r="J27" i="40"/>
  <c r="P27" i="40"/>
  <c r="S27" i="40"/>
  <c r="V27" i="40"/>
  <c r="W27" i="40"/>
  <c r="X27" i="40"/>
  <c r="Y27" i="40"/>
  <c r="Z27" i="40"/>
  <c r="AC27" i="40"/>
  <c r="AD27" i="40"/>
  <c r="AE27" i="40"/>
  <c r="AF27" i="40"/>
  <c r="AG27" i="40"/>
  <c r="AH27" i="40"/>
  <c r="AI27" i="40"/>
  <c r="AJ27" i="40"/>
  <c r="AK27" i="40"/>
  <c r="AL27" i="40"/>
  <c r="AM27" i="40"/>
  <c r="AN27" i="40"/>
  <c r="AQ27" i="40"/>
  <c r="AR27" i="40"/>
  <c r="AS27" i="40"/>
  <c r="AT27" i="40"/>
  <c r="AU27" i="40"/>
  <c r="AX27" i="40"/>
  <c r="AY27" i="40"/>
  <c r="AZ27" i="40"/>
  <c r="BA27" i="40"/>
  <c r="BB27" i="40"/>
  <c r="BC27" i="40"/>
  <c r="BD27" i="40"/>
  <c r="BE27" i="40"/>
  <c r="BF27" i="40"/>
  <c r="BG27" i="40"/>
  <c r="BH27" i="40"/>
  <c r="BI27" i="40"/>
  <c r="BJ27" i="40"/>
  <c r="BK27" i="40"/>
  <c r="BL27" i="40"/>
  <c r="BO27" i="40"/>
  <c r="BP27" i="40"/>
  <c r="E28" i="40"/>
  <c r="H28" i="40"/>
  <c r="I28" i="40"/>
  <c r="J28" i="40"/>
  <c r="P28" i="40"/>
  <c r="S28" i="40"/>
  <c r="V28" i="40"/>
  <c r="W28" i="40"/>
  <c r="X28" i="40"/>
  <c r="Y28" i="40"/>
  <c r="Z28" i="40"/>
  <c r="AC28" i="40"/>
  <c r="AD28" i="40"/>
  <c r="AE28" i="40"/>
  <c r="AF28" i="40"/>
  <c r="AG28" i="40"/>
  <c r="AH28" i="40"/>
  <c r="AI28" i="40"/>
  <c r="AJ28" i="40"/>
  <c r="AK28" i="40"/>
  <c r="AL28" i="40"/>
  <c r="AM28" i="40"/>
  <c r="AN28" i="40"/>
  <c r="AQ28" i="40"/>
  <c r="AR28" i="40"/>
  <c r="AS28" i="40"/>
  <c r="AT28" i="40"/>
  <c r="AU28" i="40"/>
  <c r="AX28" i="40"/>
  <c r="AY28" i="40"/>
  <c r="AZ28" i="40"/>
  <c r="BA28" i="40"/>
  <c r="BB28" i="40"/>
  <c r="BC28" i="40"/>
  <c r="BD28" i="40"/>
  <c r="BE28" i="40"/>
  <c r="BF28" i="40"/>
  <c r="BG28" i="40"/>
  <c r="BH28" i="40"/>
  <c r="BI28" i="40"/>
  <c r="BJ28" i="40"/>
  <c r="BK28" i="40"/>
  <c r="BL28" i="40"/>
  <c r="BO28" i="40"/>
  <c r="BP28" i="40"/>
  <c r="E29" i="40"/>
  <c r="H29" i="40"/>
  <c r="I29" i="40"/>
  <c r="J29" i="40"/>
  <c r="P29" i="40"/>
  <c r="S29" i="40"/>
  <c r="V29" i="40"/>
  <c r="W29" i="40"/>
  <c r="X29" i="40"/>
  <c r="Y29" i="40"/>
  <c r="Z29" i="40"/>
  <c r="AC29" i="40"/>
  <c r="AD29" i="40"/>
  <c r="AE29" i="40"/>
  <c r="AF29" i="40"/>
  <c r="AG29" i="40"/>
  <c r="AH29" i="40"/>
  <c r="AI29" i="40"/>
  <c r="AJ29" i="40"/>
  <c r="AK29" i="40"/>
  <c r="AL29" i="40"/>
  <c r="AM29" i="40"/>
  <c r="AN29" i="40"/>
  <c r="AQ29" i="40"/>
  <c r="AR29" i="40"/>
  <c r="AS29" i="40"/>
  <c r="AT29" i="40"/>
  <c r="AU29" i="40"/>
  <c r="AX29" i="40"/>
  <c r="AY29" i="40"/>
  <c r="AZ29" i="40"/>
  <c r="BA29" i="40"/>
  <c r="BB29" i="40"/>
  <c r="BC29" i="40"/>
  <c r="BD29" i="40"/>
  <c r="BE29" i="40"/>
  <c r="BF29" i="40"/>
  <c r="BG29" i="40"/>
  <c r="BH29" i="40"/>
  <c r="BI29" i="40"/>
  <c r="BJ29" i="40"/>
  <c r="BK29" i="40"/>
  <c r="BL29" i="40"/>
  <c r="BO29" i="40"/>
  <c r="BP29" i="40"/>
  <c r="E30" i="40"/>
  <c r="H30" i="40"/>
  <c r="I30" i="40"/>
  <c r="J30" i="40"/>
  <c r="P30" i="40"/>
  <c r="S30" i="40"/>
  <c r="V30" i="40"/>
  <c r="W30" i="40"/>
  <c r="X30" i="40"/>
  <c r="Y30" i="40"/>
  <c r="Z30" i="40"/>
  <c r="AC30" i="40"/>
  <c r="AD30" i="40"/>
  <c r="AE30" i="40"/>
  <c r="AF30" i="40"/>
  <c r="AG30" i="40"/>
  <c r="AH30" i="40"/>
  <c r="AI30" i="40"/>
  <c r="AJ30" i="40"/>
  <c r="AK30" i="40"/>
  <c r="AL30" i="40"/>
  <c r="AM30" i="40"/>
  <c r="AN30" i="40"/>
  <c r="AQ30" i="40"/>
  <c r="AR30" i="40"/>
  <c r="AS30" i="40"/>
  <c r="AT30" i="40"/>
  <c r="AU30" i="40"/>
  <c r="AX30" i="40"/>
  <c r="AY30" i="40"/>
  <c r="AZ30" i="40"/>
  <c r="BA30" i="40"/>
  <c r="BB30" i="40"/>
  <c r="BC30" i="40"/>
  <c r="BD30" i="40"/>
  <c r="BE30" i="40"/>
  <c r="BF30" i="40"/>
  <c r="BG30" i="40"/>
  <c r="BH30" i="40"/>
  <c r="BI30" i="40"/>
  <c r="BJ30" i="40"/>
  <c r="BK30" i="40"/>
  <c r="BL30" i="40"/>
  <c r="BO30" i="40"/>
  <c r="BP30" i="40"/>
  <c r="E31" i="40"/>
  <c r="H31" i="40"/>
  <c r="I31" i="40"/>
  <c r="J31" i="40"/>
  <c r="P31" i="40"/>
  <c r="S31" i="40"/>
  <c r="V31" i="40"/>
  <c r="W31" i="40"/>
  <c r="X31" i="40"/>
  <c r="Y31" i="40"/>
  <c r="Z31" i="40"/>
  <c r="AC31" i="40"/>
  <c r="AD31" i="40"/>
  <c r="AE31" i="40"/>
  <c r="AF31" i="40"/>
  <c r="AG31" i="40"/>
  <c r="AH31" i="40"/>
  <c r="AI31" i="40"/>
  <c r="AJ31" i="40"/>
  <c r="AK31" i="40"/>
  <c r="AL31" i="40"/>
  <c r="AM31" i="40"/>
  <c r="AN31" i="40"/>
  <c r="AQ31" i="40"/>
  <c r="AR31" i="40"/>
  <c r="AS31" i="40"/>
  <c r="AT31" i="40"/>
  <c r="AU31" i="40"/>
  <c r="AX31" i="40"/>
  <c r="AY31" i="40"/>
  <c r="AZ31" i="40"/>
  <c r="BA31" i="40"/>
  <c r="BB31" i="40"/>
  <c r="BC31" i="40"/>
  <c r="BD31" i="40"/>
  <c r="BE31" i="40"/>
  <c r="BF31" i="40"/>
  <c r="BG31" i="40"/>
  <c r="BH31" i="40"/>
  <c r="BI31" i="40"/>
  <c r="BJ31" i="40"/>
  <c r="BK31" i="40"/>
  <c r="BL31" i="40"/>
  <c r="BO31" i="40"/>
  <c r="BP31" i="40"/>
  <c r="E32" i="40"/>
  <c r="H32" i="40"/>
  <c r="I32" i="40"/>
  <c r="J32" i="40"/>
  <c r="P32" i="40"/>
  <c r="S32" i="40"/>
  <c r="V32" i="40"/>
  <c r="W32" i="40"/>
  <c r="X32" i="40"/>
  <c r="Y32" i="40"/>
  <c r="Z32" i="40"/>
  <c r="AC32" i="40"/>
  <c r="AD32" i="40"/>
  <c r="AE32" i="40"/>
  <c r="AF32" i="40"/>
  <c r="AG32" i="40"/>
  <c r="AH32" i="40"/>
  <c r="AI32" i="40"/>
  <c r="AJ32" i="40"/>
  <c r="AK32" i="40"/>
  <c r="AL32" i="40"/>
  <c r="AM32" i="40"/>
  <c r="AN32" i="40"/>
  <c r="AQ32" i="40"/>
  <c r="AR32" i="40"/>
  <c r="AS32" i="40"/>
  <c r="AT32" i="40"/>
  <c r="AU32" i="40"/>
  <c r="AX32" i="40"/>
  <c r="AY32" i="40"/>
  <c r="AZ32" i="40"/>
  <c r="BA32" i="40"/>
  <c r="BB32" i="40"/>
  <c r="BC32" i="40"/>
  <c r="BD32" i="40"/>
  <c r="BE32" i="40"/>
  <c r="BF32" i="40"/>
  <c r="BG32" i="40"/>
  <c r="BH32" i="40"/>
  <c r="BI32" i="40"/>
  <c r="BJ32" i="40"/>
  <c r="BK32" i="40"/>
  <c r="BL32" i="40"/>
  <c r="BO32" i="40"/>
  <c r="BP32" i="40"/>
  <c r="E33" i="40"/>
  <c r="H33" i="40"/>
  <c r="I33" i="40"/>
  <c r="J33" i="40"/>
  <c r="P33" i="40"/>
  <c r="S33" i="40"/>
  <c r="V33" i="40"/>
  <c r="W33" i="40"/>
  <c r="X33" i="40"/>
  <c r="Y33" i="40"/>
  <c r="Z33" i="40"/>
  <c r="AC33" i="40"/>
  <c r="AD33" i="40"/>
  <c r="AE33" i="40"/>
  <c r="AF33" i="40"/>
  <c r="AG33" i="40"/>
  <c r="AH33" i="40"/>
  <c r="AI33" i="40"/>
  <c r="AJ33" i="40"/>
  <c r="AK33" i="40"/>
  <c r="AL33" i="40"/>
  <c r="AM33" i="40"/>
  <c r="AN33" i="40"/>
  <c r="AQ33" i="40"/>
  <c r="AR33" i="40"/>
  <c r="AS33" i="40"/>
  <c r="AT33" i="40"/>
  <c r="AU33" i="40"/>
  <c r="AX33" i="40"/>
  <c r="AY33" i="40"/>
  <c r="AZ33" i="40"/>
  <c r="BA33" i="40"/>
  <c r="BB33" i="40"/>
  <c r="BC33" i="40"/>
  <c r="BD33" i="40"/>
  <c r="BE33" i="40"/>
  <c r="BF33" i="40"/>
  <c r="BG33" i="40"/>
  <c r="BH33" i="40"/>
  <c r="BI33" i="40"/>
  <c r="BJ33" i="40"/>
  <c r="BK33" i="40"/>
  <c r="BL33" i="40"/>
  <c r="BO33" i="40"/>
  <c r="BP33" i="40"/>
  <c r="E34" i="40"/>
  <c r="H34" i="40"/>
  <c r="I34" i="40"/>
  <c r="J34" i="40"/>
  <c r="P34" i="40"/>
  <c r="S34" i="40"/>
  <c r="V34" i="40"/>
  <c r="W34" i="40"/>
  <c r="X34" i="40"/>
  <c r="Y34" i="40"/>
  <c r="Z34" i="40"/>
  <c r="AC34" i="40"/>
  <c r="AD34" i="40"/>
  <c r="AE34" i="40"/>
  <c r="AF34" i="40"/>
  <c r="AG34" i="40"/>
  <c r="AH34" i="40"/>
  <c r="AI34" i="40"/>
  <c r="AJ34" i="40"/>
  <c r="AK34" i="40"/>
  <c r="AL34" i="40"/>
  <c r="AM34" i="40"/>
  <c r="AN34" i="40"/>
  <c r="AQ34" i="40"/>
  <c r="AR34" i="40"/>
  <c r="AS34" i="40"/>
  <c r="AT34" i="40"/>
  <c r="AU34" i="40"/>
  <c r="AX34" i="40"/>
  <c r="AY34" i="40"/>
  <c r="AZ34" i="40"/>
  <c r="BA34" i="40"/>
  <c r="BB34" i="40"/>
  <c r="BC34" i="40"/>
  <c r="BD34" i="40"/>
  <c r="BE34" i="40"/>
  <c r="BF34" i="40"/>
  <c r="BG34" i="40"/>
  <c r="BH34" i="40"/>
  <c r="BI34" i="40"/>
  <c r="BJ34" i="40"/>
  <c r="BK34" i="40"/>
  <c r="BL34" i="40"/>
  <c r="BO34" i="40"/>
  <c r="BP34" i="40"/>
  <c r="E35" i="40"/>
  <c r="H35" i="40"/>
  <c r="I35" i="40"/>
  <c r="J35" i="40"/>
  <c r="P35" i="40"/>
  <c r="S35" i="40"/>
  <c r="V35" i="40"/>
  <c r="W35" i="40"/>
  <c r="X35" i="40"/>
  <c r="Y35" i="40"/>
  <c r="Z35" i="40"/>
  <c r="AC35" i="40"/>
  <c r="AD35" i="40"/>
  <c r="AE35" i="40"/>
  <c r="AF35" i="40"/>
  <c r="AG35" i="40"/>
  <c r="AH35" i="40"/>
  <c r="AI35" i="40"/>
  <c r="AJ35" i="40"/>
  <c r="AK35" i="40"/>
  <c r="AL35" i="40"/>
  <c r="AM35" i="40"/>
  <c r="AN35" i="40"/>
  <c r="AQ35" i="40"/>
  <c r="AR35" i="40"/>
  <c r="AS35" i="40"/>
  <c r="AT35" i="40"/>
  <c r="AU35" i="40"/>
  <c r="AX35" i="40"/>
  <c r="AY35" i="40"/>
  <c r="AZ35" i="40"/>
  <c r="BA35" i="40"/>
  <c r="BB35" i="40"/>
  <c r="BC35" i="40"/>
  <c r="BD35" i="40"/>
  <c r="BE35" i="40"/>
  <c r="BF35" i="40"/>
  <c r="BG35" i="40"/>
  <c r="BH35" i="40"/>
  <c r="BI35" i="40"/>
  <c r="BJ35" i="40"/>
  <c r="BK35" i="40"/>
  <c r="BL35" i="40"/>
  <c r="BO35" i="40"/>
  <c r="BP35" i="40"/>
  <c r="E36" i="40"/>
  <c r="H36" i="40"/>
  <c r="I36" i="40"/>
  <c r="J36" i="40"/>
  <c r="P36" i="40"/>
  <c r="S36" i="40"/>
  <c r="V36" i="40"/>
  <c r="W36" i="40"/>
  <c r="X36" i="40"/>
  <c r="Y36" i="40"/>
  <c r="Z36" i="40"/>
  <c r="AC36" i="40"/>
  <c r="AD36" i="40"/>
  <c r="AE36" i="40"/>
  <c r="AF36" i="40"/>
  <c r="AG36" i="40"/>
  <c r="AH36" i="40"/>
  <c r="AI36" i="40"/>
  <c r="AJ36" i="40"/>
  <c r="AK36" i="40"/>
  <c r="AL36" i="40"/>
  <c r="AM36" i="40"/>
  <c r="AN36" i="40"/>
  <c r="AQ36" i="40"/>
  <c r="AR36" i="40"/>
  <c r="AS36" i="40"/>
  <c r="AT36" i="40"/>
  <c r="AU36" i="40"/>
  <c r="AX36" i="40"/>
  <c r="AY36" i="40"/>
  <c r="AZ36" i="40"/>
  <c r="BA36" i="40"/>
  <c r="BB36" i="40"/>
  <c r="BC36" i="40"/>
  <c r="BD36" i="40"/>
  <c r="BE36" i="40"/>
  <c r="BF36" i="40"/>
  <c r="BG36" i="40"/>
  <c r="BH36" i="40"/>
  <c r="BI36" i="40"/>
  <c r="BJ36" i="40"/>
  <c r="BK36" i="40"/>
  <c r="BL36" i="40"/>
  <c r="BO36" i="40"/>
  <c r="BP36" i="40"/>
  <c r="E37" i="40"/>
  <c r="H37" i="40"/>
  <c r="I37" i="40"/>
  <c r="J37" i="40"/>
  <c r="P37" i="40"/>
  <c r="S37" i="40"/>
  <c r="V37" i="40"/>
  <c r="W37" i="40"/>
  <c r="X37" i="40"/>
  <c r="Y37" i="40"/>
  <c r="Z37" i="40"/>
  <c r="AC37" i="40"/>
  <c r="AD37" i="40"/>
  <c r="AE37" i="40"/>
  <c r="AF37" i="40"/>
  <c r="AG37" i="40"/>
  <c r="AH37" i="40"/>
  <c r="AI37" i="40"/>
  <c r="AJ37" i="40"/>
  <c r="AK37" i="40"/>
  <c r="AL37" i="40"/>
  <c r="AM37" i="40"/>
  <c r="AN37" i="40"/>
  <c r="AQ37" i="40"/>
  <c r="AR37" i="40"/>
  <c r="AS37" i="40"/>
  <c r="AT37" i="40"/>
  <c r="AU37" i="40"/>
  <c r="AX37" i="40"/>
  <c r="AY37" i="40"/>
  <c r="AZ37" i="40"/>
  <c r="BA37" i="40"/>
  <c r="BB37" i="40"/>
  <c r="BC37" i="40"/>
  <c r="BD37" i="40"/>
  <c r="BE37" i="40"/>
  <c r="BF37" i="40"/>
  <c r="BG37" i="40"/>
  <c r="BH37" i="40"/>
  <c r="BI37" i="40"/>
  <c r="BJ37" i="40"/>
  <c r="BK37" i="40"/>
  <c r="BL37" i="40"/>
  <c r="BO37" i="40"/>
  <c r="BP37" i="40"/>
  <c r="E38" i="40"/>
  <c r="H38" i="40"/>
  <c r="I38" i="40"/>
  <c r="J38" i="40"/>
  <c r="P38" i="40"/>
  <c r="S38" i="40"/>
  <c r="V38" i="40"/>
  <c r="W38" i="40"/>
  <c r="X38" i="40"/>
  <c r="Y38" i="40"/>
  <c r="Z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Q38" i="40"/>
  <c r="AR38" i="40"/>
  <c r="AS38" i="40"/>
  <c r="AT38" i="40"/>
  <c r="AU38" i="40"/>
  <c r="AX38" i="40"/>
  <c r="AY38" i="40"/>
  <c r="AZ38" i="40"/>
  <c r="BA38" i="40"/>
  <c r="BB38" i="40"/>
  <c r="BC38" i="40"/>
  <c r="BD38" i="40"/>
  <c r="BE38" i="40"/>
  <c r="BF38" i="40"/>
  <c r="BG38" i="40"/>
  <c r="BH38" i="40"/>
  <c r="BI38" i="40"/>
  <c r="BJ38" i="40"/>
  <c r="BK38" i="40"/>
  <c r="BL38" i="40"/>
  <c r="BO38" i="40"/>
  <c r="BP38" i="40"/>
  <c r="E39" i="40"/>
  <c r="H39" i="40"/>
  <c r="I39" i="40"/>
  <c r="J39" i="40"/>
  <c r="P39" i="40"/>
  <c r="S39" i="40"/>
  <c r="V39" i="40"/>
  <c r="W39" i="40"/>
  <c r="X39" i="40"/>
  <c r="Y39" i="40"/>
  <c r="Z39" i="40"/>
  <c r="AC39" i="40"/>
  <c r="AD39" i="40"/>
  <c r="AE39" i="40"/>
  <c r="AF39" i="40"/>
  <c r="AG39" i="40"/>
  <c r="AH39" i="40"/>
  <c r="AI39" i="40"/>
  <c r="AJ39" i="40"/>
  <c r="AK39" i="40"/>
  <c r="AL39" i="40"/>
  <c r="AM39" i="40"/>
  <c r="AN39" i="40"/>
  <c r="AQ39" i="40"/>
  <c r="AR39" i="40"/>
  <c r="AS39" i="40"/>
  <c r="AT39" i="40"/>
  <c r="AU39" i="40"/>
  <c r="AX39" i="40"/>
  <c r="AY39" i="40"/>
  <c r="AZ39" i="40"/>
  <c r="BA39" i="40"/>
  <c r="BB39" i="40"/>
  <c r="BC39" i="40"/>
  <c r="BD39" i="40"/>
  <c r="BE39" i="40"/>
  <c r="BF39" i="40"/>
  <c r="BG39" i="40"/>
  <c r="BH39" i="40"/>
  <c r="BI39" i="40"/>
  <c r="BJ39" i="40"/>
  <c r="BK39" i="40"/>
  <c r="BL39" i="40"/>
  <c r="BO39" i="40"/>
  <c r="BP39" i="40"/>
  <c r="E40" i="40"/>
  <c r="H40" i="40"/>
  <c r="I40" i="40"/>
  <c r="J40" i="40"/>
  <c r="P40" i="40"/>
  <c r="S40" i="40"/>
  <c r="V40" i="40"/>
  <c r="W40" i="40"/>
  <c r="X40" i="40"/>
  <c r="Y40" i="40"/>
  <c r="Z40" i="40"/>
  <c r="AC40" i="40"/>
  <c r="AD40" i="40"/>
  <c r="AE40" i="40"/>
  <c r="AF40" i="40"/>
  <c r="AG40" i="40"/>
  <c r="AH40" i="40"/>
  <c r="AI40" i="40"/>
  <c r="AJ40" i="40"/>
  <c r="AK40" i="40"/>
  <c r="AL40" i="40"/>
  <c r="AM40" i="40"/>
  <c r="AN40" i="40"/>
  <c r="AQ40" i="40"/>
  <c r="AR40" i="40"/>
  <c r="AS40" i="40"/>
  <c r="AT40" i="40"/>
  <c r="AU40" i="40"/>
  <c r="AX40" i="40"/>
  <c r="AY40" i="40"/>
  <c r="AZ40" i="40"/>
  <c r="BA40" i="40"/>
  <c r="BB40" i="40"/>
  <c r="BC40" i="40"/>
  <c r="BD40" i="40"/>
  <c r="BE40" i="40"/>
  <c r="BF40" i="40"/>
  <c r="BG40" i="40"/>
  <c r="BH40" i="40"/>
  <c r="BI40" i="40"/>
  <c r="BJ40" i="40"/>
  <c r="BK40" i="40"/>
  <c r="BL40" i="40"/>
  <c r="BO40" i="40"/>
  <c r="BP40" i="40"/>
  <c r="E21" i="54"/>
  <c r="H21" i="54"/>
  <c r="I21" i="54"/>
  <c r="J21" i="54"/>
  <c r="P21" i="54"/>
  <c r="S21" i="54"/>
  <c r="V21" i="54"/>
  <c r="W21" i="54"/>
  <c r="X21" i="54"/>
  <c r="Y21" i="54"/>
  <c r="Z21" i="54"/>
  <c r="AC21" i="54"/>
  <c r="AD21" i="54"/>
  <c r="AE21" i="54"/>
  <c r="AF21" i="54"/>
  <c r="AG21" i="54"/>
  <c r="AH21" i="54"/>
  <c r="AI21" i="54"/>
  <c r="AJ21" i="54"/>
  <c r="AK21" i="54"/>
  <c r="AL21" i="54"/>
  <c r="AM21" i="54"/>
  <c r="AN21" i="54"/>
  <c r="AQ21" i="54"/>
  <c r="AR21" i="54"/>
  <c r="AS21" i="54"/>
  <c r="AT21" i="54"/>
  <c r="AU21" i="54"/>
  <c r="AX21" i="54"/>
  <c r="AY21" i="54"/>
  <c r="AZ21" i="54"/>
  <c r="BA21" i="54"/>
  <c r="BB21" i="54"/>
  <c r="BC21" i="54"/>
  <c r="BD21" i="54"/>
  <c r="BE21" i="54"/>
  <c r="BF21" i="54"/>
  <c r="BG21" i="54"/>
  <c r="BH21" i="54"/>
  <c r="BI21" i="54"/>
  <c r="BJ21" i="54"/>
  <c r="BK21" i="54"/>
  <c r="BL21" i="54"/>
  <c r="BO21" i="54"/>
  <c r="BP21" i="54"/>
  <c r="E22" i="54"/>
  <c r="H22" i="54"/>
  <c r="I22" i="54"/>
  <c r="J22" i="54"/>
  <c r="P22" i="54"/>
  <c r="S22" i="54"/>
  <c r="V22" i="54"/>
  <c r="W22" i="54"/>
  <c r="X22" i="54"/>
  <c r="Y22" i="54"/>
  <c r="Z22" i="54"/>
  <c r="AC22" i="54"/>
  <c r="AD22" i="54"/>
  <c r="AE22" i="54"/>
  <c r="AF22" i="54"/>
  <c r="AG22" i="54"/>
  <c r="AH22" i="54"/>
  <c r="AI22" i="54"/>
  <c r="AJ22" i="54"/>
  <c r="AK22" i="54"/>
  <c r="AL22" i="54"/>
  <c r="AM22" i="54"/>
  <c r="AN22" i="54"/>
  <c r="AQ22" i="54"/>
  <c r="AR22" i="54"/>
  <c r="AS22" i="54"/>
  <c r="AT22" i="54"/>
  <c r="AU22" i="54"/>
  <c r="AX22" i="54"/>
  <c r="AY22" i="54"/>
  <c r="AZ22" i="54"/>
  <c r="BA22" i="54"/>
  <c r="BB22" i="54"/>
  <c r="BC22" i="54"/>
  <c r="BD22" i="54"/>
  <c r="BE22" i="54"/>
  <c r="BF22" i="54"/>
  <c r="BG22" i="54"/>
  <c r="BH22" i="54"/>
  <c r="BI22" i="54"/>
  <c r="BJ22" i="54"/>
  <c r="BK22" i="54"/>
  <c r="BL22" i="54"/>
  <c r="BO22" i="54"/>
  <c r="BP22" i="54"/>
  <c r="E23" i="54"/>
  <c r="H23" i="54"/>
  <c r="I23" i="54"/>
  <c r="J23" i="54"/>
  <c r="P23" i="54"/>
  <c r="S23" i="54"/>
  <c r="V23" i="54"/>
  <c r="W23" i="54"/>
  <c r="X23" i="54"/>
  <c r="Y23" i="54"/>
  <c r="Z23" i="54"/>
  <c r="AC23" i="54"/>
  <c r="AD23" i="54"/>
  <c r="AE23" i="54"/>
  <c r="AF23" i="54"/>
  <c r="AG23" i="54"/>
  <c r="AH23" i="54"/>
  <c r="AI23" i="54"/>
  <c r="AJ23" i="54"/>
  <c r="AK23" i="54"/>
  <c r="AL23" i="54"/>
  <c r="AM23" i="54"/>
  <c r="AN23" i="54"/>
  <c r="AQ23" i="54"/>
  <c r="AR23" i="54"/>
  <c r="AS23" i="54"/>
  <c r="AT23" i="54"/>
  <c r="AU23" i="54"/>
  <c r="AX23" i="54"/>
  <c r="AY23" i="54"/>
  <c r="AZ23" i="54"/>
  <c r="BA23" i="54"/>
  <c r="BB23" i="54"/>
  <c r="BC23" i="54"/>
  <c r="BD23" i="54"/>
  <c r="BE23" i="54"/>
  <c r="BF23" i="54"/>
  <c r="BG23" i="54"/>
  <c r="BH23" i="54"/>
  <c r="BI23" i="54"/>
  <c r="BJ23" i="54"/>
  <c r="BK23" i="54"/>
  <c r="BL23" i="54"/>
  <c r="BO23" i="54"/>
  <c r="BP23" i="54"/>
  <c r="E24" i="54"/>
  <c r="H24" i="54"/>
  <c r="I24" i="54"/>
  <c r="J24" i="54"/>
  <c r="P24" i="54"/>
  <c r="S24" i="54"/>
  <c r="V24" i="54"/>
  <c r="W24" i="54"/>
  <c r="X24" i="54"/>
  <c r="Y24" i="54"/>
  <c r="Z24" i="54"/>
  <c r="AC24" i="54"/>
  <c r="AD24" i="54"/>
  <c r="AE24" i="54"/>
  <c r="AF24" i="54"/>
  <c r="AG24" i="54"/>
  <c r="AH24" i="54"/>
  <c r="AI24" i="54"/>
  <c r="AJ24" i="54"/>
  <c r="AK24" i="54"/>
  <c r="AL24" i="54"/>
  <c r="AM24" i="54"/>
  <c r="AN24" i="54"/>
  <c r="AQ24" i="54"/>
  <c r="AR24" i="54"/>
  <c r="AS24" i="54"/>
  <c r="AT24" i="54"/>
  <c r="AU24" i="54"/>
  <c r="AX24" i="54"/>
  <c r="AY24" i="54"/>
  <c r="AZ24" i="54"/>
  <c r="BA24" i="54"/>
  <c r="BB24" i="54"/>
  <c r="BC24" i="54"/>
  <c r="BD24" i="54"/>
  <c r="BE24" i="54"/>
  <c r="BF24" i="54"/>
  <c r="BG24" i="54"/>
  <c r="BH24" i="54"/>
  <c r="BI24" i="54"/>
  <c r="BJ24" i="54"/>
  <c r="BK24" i="54"/>
  <c r="BL24" i="54"/>
  <c r="BO24" i="54"/>
  <c r="BP24" i="54"/>
  <c r="E25" i="54"/>
  <c r="H25" i="54"/>
  <c r="I25" i="54"/>
  <c r="J25" i="54"/>
  <c r="P25" i="54"/>
  <c r="S25" i="54"/>
  <c r="V25" i="54"/>
  <c r="W25" i="54"/>
  <c r="X25" i="54"/>
  <c r="Y25" i="54"/>
  <c r="Z25" i="54"/>
  <c r="AC25" i="54"/>
  <c r="AD25" i="54"/>
  <c r="AE25" i="54"/>
  <c r="AF25" i="54"/>
  <c r="AG25" i="54"/>
  <c r="AH25" i="54"/>
  <c r="AI25" i="54"/>
  <c r="AJ25" i="54"/>
  <c r="AK25" i="54"/>
  <c r="AL25" i="54"/>
  <c r="AM25" i="54"/>
  <c r="AN25" i="54"/>
  <c r="AQ25" i="54"/>
  <c r="AR25" i="54"/>
  <c r="AS25" i="54"/>
  <c r="AT25" i="54"/>
  <c r="AU25" i="54"/>
  <c r="AX25" i="54"/>
  <c r="AY25" i="54"/>
  <c r="AZ25" i="54"/>
  <c r="BA25" i="54"/>
  <c r="BB25" i="54"/>
  <c r="BC25" i="54"/>
  <c r="BD25" i="54"/>
  <c r="BE25" i="54"/>
  <c r="BF25" i="54"/>
  <c r="BG25" i="54"/>
  <c r="BH25" i="54"/>
  <c r="BI25" i="54"/>
  <c r="BJ25" i="54"/>
  <c r="BK25" i="54"/>
  <c r="BL25" i="54"/>
  <c r="BO25" i="54"/>
  <c r="BP25" i="54"/>
  <c r="E26" i="54"/>
  <c r="H26" i="54"/>
  <c r="I26" i="54"/>
  <c r="J26" i="54"/>
  <c r="P26" i="54"/>
  <c r="S26" i="54"/>
  <c r="V26" i="54"/>
  <c r="W26" i="54"/>
  <c r="X26" i="54"/>
  <c r="Y26" i="54"/>
  <c r="Z26" i="54"/>
  <c r="AC26" i="54"/>
  <c r="AD26" i="54"/>
  <c r="AE26" i="54"/>
  <c r="AF26" i="54"/>
  <c r="AG26" i="54"/>
  <c r="AH26" i="54"/>
  <c r="AI26" i="54"/>
  <c r="AJ26" i="54"/>
  <c r="AK26" i="54"/>
  <c r="AL26" i="54"/>
  <c r="AM26" i="54"/>
  <c r="AN26" i="54"/>
  <c r="AQ26" i="54"/>
  <c r="AR26" i="54"/>
  <c r="AS26" i="54"/>
  <c r="AT26" i="54"/>
  <c r="AU26" i="54"/>
  <c r="AX26" i="54"/>
  <c r="AY26" i="54"/>
  <c r="AZ26" i="54"/>
  <c r="BA26" i="54"/>
  <c r="BB26" i="54"/>
  <c r="BC26" i="54"/>
  <c r="BD26" i="54"/>
  <c r="BE26" i="54"/>
  <c r="BF26" i="54"/>
  <c r="BG26" i="54"/>
  <c r="BH26" i="54"/>
  <c r="BI26" i="54"/>
  <c r="BJ26" i="54"/>
  <c r="BK26" i="54"/>
  <c r="BL26" i="54"/>
  <c r="BO26" i="54"/>
  <c r="BP26" i="54"/>
  <c r="E27" i="54"/>
  <c r="H27" i="54"/>
  <c r="I27" i="54"/>
  <c r="J27" i="54"/>
  <c r="P27" i="54"/>
  <c r="S27" i="54"/>
  <c r="V27" i="54"/>
  <c r="W27" i="54"/>
  <c r="X27" i="54"/>
  <c r="Y27" i="54"/>
  <c r="Z27" i="54"/>
  <c r="AC27" i="54"/>
  <c r="AD27" i="54"/>
  <c r="AE27" i="54"/>
  <c r="AF27" i="54"/>
  <c r="AG27" i="54"/>
  <c r="AH27" i="54"/>
  <c r="AI27" i="54"/>
  <c r="AJ27" i="54"/>
  <c r="AK27" i="54"/>
  <c r="AL27" i="54"/>
  <c r="AM27" i="54"/>
  <c r="AN27" i="54"/>
  <c r="AQ27" i="54"/>
  <c r="AR27" i="54"/>
  <c r="AS27" i="54"/>
  <c r="AT27" i="54"/>
  <c r="AU27" i="54"/>
  <c r="AX27" i="54"/>
  <c r="AY27" i="54"/>
  <c r="AZ27" i="54"/>
  <c r="BA27" i="54"/>
  <c r="BB27" i="54"/>
  <c r="BC27" i="54"/>
  <c r="BD27" i="54"/>
  <c r="BE27" i="54"/>
  <c r="BF27" i="54"/>
  <c r="BG27" i="54"/>
  <c r="BH27" i="54"/>
  <c r="BI27" i="54"/>
  <c r="BJ27" i="54"/>
  <c r="BK27" i="54"/>
  <c r="BL27" i="54"/>
  <c r="BO27" i="54"/>
  <c r="BP27" i="54"/>
  <c r="E28" i="54"/>
  <c r="H28" i="54"/>
  <c r="I28" i="54"/>
  <c r="J28" i="54"/>
  <c r="P28" i="54"/>
  <c r="S28" i="54"/>
  <c r="V28" i="54"/>
  <c r="W28" i="54"/>
  <c r="X28" i="54"/>
  <c r="Y28" i="54"/>
  <c r="Z28" i="54"/>
  <c r="AC28" i="54"/>
  <c r="AD28" i="54"/>
  <c r="AE28" i="54"/>
  <c r="AF28" i="54"/>
  <c r="AG28" i="54"/>
  <c r="AH28" i="54"/>
  <c r="AI28" i="54"/>
  <c r="AJ28" i="54"/>
  <c r="AK28" i="54"/>
  <c r="AL28" i="54"/>
  <c r="AM28" i="54"/>
  <c r="AN28" i="54"/>
  <c r="AQ28" i="54"/>
  <c r="AR28" i="54"/>
  <c r="AS28" i="54"/>
  <c r="AT28" i="54"/>
  <c r="AU28" i="54"/>
  <c r="AX28" i="54"/>
  <c r="AY28" i="54"/>
  <c r="AZ28" i="54"/>
  <c r="BA28" i="54"/>
  <c r="BB28" i="54"/>
  <c r="BC28" i="54"/>
  <c r="BD28" i="54"/>
  <c r="BE28" i="54"/>
  <c r="BF28" i="54"/>
  <c r="BG28" i="54"/>
  <c r="BH28" i="54"/>
  <c r="BI28" i="54"/>
  <c r="BJ28" i="54"/>
  <c r="BK28" i="54"/>
  <c r="BL28" i="54"/>
  <c r="BO28" i="54"/>
  <c r="BP28" i="54"/>
  <c r="E29" i="54"/>
  <c r="H29" i="54"/>
  <c r="I29" i="54"/>
  <c r="J29" i="54"/>
  <c r="P29" i="54"/>
  <c r="S29" i="54"/>
  <c r="V29" i="54"/>
  <c r="W29" i="54"/>
  <c r="X29" i="54"/>
  <c r="Y29" i="54"/>
  <c r="Z29" i="54"/>
  <c r="AC29" i="54"/>
  <c r="AD29" i="54"/>
  <c r="AE29" i="54"/>
  <c r="AF29" i="54"/>
  <c r="AG29" i="54"/>
  <c r="AH29" i="54"/>
  <c r="AI29" i="54"/>
  <c r="AJ29" i="54"/>
  <c r="AK29" i="54"/>
  <c r="AL29" i="54"/>
  <c r="AM29" i="54"/>
  <c r="AN29" i="54"/>
  <c r="AQ29" i="54"/>
  <c r="AR29" i="54"/>
  <c r="AS29" i="54"/>
  <c r="AT29" i="54"/>
  <c r="AU29" i="54"/>
  <c r="AX29" i="54"/>
  <c r="AY29" i="54"/>
  <c r="AZ29" i="54"/>
  <c r="BA29" i="54"/>
  <c r="BB29" i="54"/>
  <c r="BC29" i="54"/>
  <c r="BD29" i="54"/>
  <c r="BE29" i="54"/>
  <c r="BF29" i="54"/>
  <c r="BG29" i="54"/>
  <c r="BH29" i="54"/>
  <c r="BI29" i="54"/>
  <c r="BJ29" i="54"/>
  <c r="BK29" i="54"/>
  <c r="BL29" i="54"/>
  <c r="BO29" i="54"/>
  <c r="BP29" i="54"/>
  <c r="E30" i="54"/>
  <c r="H30" i="54"/>
  <c r="I30" i="54"/>
  <c r="J30" i="54"/>
  <c r="P30" i="54"/>
  <c r="S30" i="54"/>
  <c r="V30" i="54"/>
  <c r="W30" i="54"/>
  <c r="X30" i="54"/>
  <c r="Y30" i="54"/>
  <c r="Z30" i="54"/>
  <c r="AC30" i="54"/>
  <c r="AD30" i="54"/>
  <c r="AE30" i="54"/>
  <c r="AF30" i="54"/>
  <c r="AG30" i="54"/>
  <c r="AH30" i="54"/>
  <c r="AI30" i="54"/>
  <c r="AJ30" i="54"/>
  <c r="AK30" i="54"/>
  <c r="AL30" i="54"/>
  <c r="AM30" i="54"/>
  <c r="AN30" i="54"/>
  <c r="AQ30" i="54"/>
  <c r="AR30" i="54"/>
  <c r="AS30" i="54"/>
  <c r="AT30" i="54"/>
  <c r="AU30" i="54"/>
  <c r="AX30" i="54"/>
  <c r="AY30" i="54"/>
  <c r="AZ30" i="54"/>
  <c r="BA30" i="54"/>
  <c r="BB30" i="54"/>
  <c r="BC30" i="54"/>
  <c r="BD30" i="54"/>
  <c r="BE30" i="54"/>
  <c r="BF30" i="54"/>
  <c r="BG30" i="54"/>
  <c r="BH30" i="54"/>
  <c r="BI30" i="54"/>
  <c r="BJ30" i="54"/>
  <c r="BK30" i="54"/>
  <c r="BL30" i="54"/>
  <c r="BO30" i="54"/>
  <c r="BP30" i="54"/>
  <c r="E31" i="54"/>
  <c r="H31" i="54"/>
  <c r="I31" i="54"/>
  <c r="J31" i="54"/>
  <c r="P31" i="54"/>
  <c r="S31" i="54"/>
  <c r="V31" i="54"/>
  <c r="W31" i="54"/>
  <c r="X31" i="54"/>
  <c r="Y31" i="54"/>
  <c r="Z31" i="54"/>
  <c r="AC31" i="54"/>
  <c r="AD31" i="54"/>
  <c r="AE31" i="54"/>
  <c r="AF31" i="54"/>
  <c r="AG31" i="54"/>
  <c r="AH31" i="54"/>
  <c r="AI31" i="54"/>
  <c r="AJ31" i="54"/>
  <c r="AK31" i="54"/>
  <c r="AL31" i="54"/>
  <c r="AM31" i="54"/>
  <c r="AN31" i="54"/>
  <c r="AQ31" i="54"/>
  <c r="AR31" i="54"/>
  <c r="AS31" i="54"/>
  <c r="AT31" i="54"/>
  <c r="AU31" i="54"/>
  <c r="AX31" i="54"/>
  <c r="AY31" i="54"/>
  <c r="AZ31" i="54"/>
  <c r="BA31" i="54"/>
  <c r="BB31" i="54"/>
  <c r="BC31" i="54"/>
  <c r="BD31" i="54"/>
  <c r="BE31" i="54"/>
  <c r="BF31" i="54"/>
  <c r="BG31" i="54"/>
  <c r="BH31" i="54"/>
  <c r="BI31" i="54"/>
  <c r="BJ31" i="54"/>
  <c r="BK31" i="54"/>
  <c r="BL31" i="54"/>
  <c r="BO31" i="54"/>
  <c r="BP31" i="54"/>
  <c r="E32" i="54"/>
  <c r="H32" i="54"/>
  <c r="I32" i="54"/>
  <c r="J32" i="54"/>
  <c r="P32" i="54"/>
  <c r="S32" i="54"/>
  <c r="V32" i="54"/>
  <c r="W32" i="54"/>
  <c r="X32" i="54"/>
  <c r="Y32" i="54"/>
  <c r="Z32" i="54"/>
  <c r="AC32" i="54"/>
  <c r="AD32" i="54"/>
  <c r="AE32" i="54"/>
  <c r="AF32" i="54"/>
  <c r="AG32" i="54"/>
  <c r="AH32" i="54"/>
  <c r="AI32" i="54"/>
  <c r="AJ32" i="54"/>
  <c r="AK32" i="54"/>
  <c r="AL32" i="54"/>
  <c r="AM32" i="54"/>
  <c r="AN32" i="54"/>
  <c r="AQ32" i="54"/>
  <c r="AR32" i="54"/>
  <c r="AS32" i="54"/>
  <c r="AT32" i="54"/>
  <c r="AU32" i="54"/>
  <c r="AX32" i="54"/>
  <c r="AY32" i="54"/>
  <c r="AZ32" i="54"/>
  <c r="BA32" i="54"/>
  <c r="BB32" i="54"/>
  <c r="BC32" i="54"/>
  <c r="BD32" i="54"/>
  <c r="BE32" i="54"/>
  <c r="BF32" i="54"/>
  <c r="BG32" i="54"/>
  <c r="BH32" i="54"/>
  <c r="BI32" i="54"/>
  <c r="BJ32" i="54"/>
  <c r="BK32" i="54"/>
  <c r="BL32" i="54"/>
  <c r="BO32" i="54"/>
  <c r="BP32" i="54"/>
  <c r="E33" i="54"/>
  <c r="H33" i="54"/>
  <c r="I33" i="54"/>
  <c r="J33" i="54"/>
  <c r="P33" i="54"/>
  <c r="S33" i="54"/>
  <c r="V33" i="54"/>
  <c r="W33" i="54"/>
  <c r="X33" i="54"/>
  <c r="Y33" i="54"/>
  <c r="Z33" i="54"/>
  <c r="AC33" i="54"/>
  <c r="AD33" i="54"/>
  <c r="AE33" i="54"/>
  <c r="AF33" i="54"/>
  <c r="AG33" i="54"/>
  <c r="AH33" i="54"/>
  <c r="AI33" i="54"/>
  <c r="AJ33" i="54"/>
  <c r="AK33" i="54"/>
  <c r="AL33" i="54"/>
  <c r="AM33" i="54"/>
  <c r="AN33" i="54"/>
  <c r="AQ33" i="54"/>
  <c r="AR33" i="54"/>
  <c r="AS33" i="54"/>
  <c r="AT33" i="54"/>
  <c r="AU33" i="54"/>
  <c r="AX33" i="54"/>
  <c r="AY33" i="54"/>
  <c r="AZ33" i="54"/>
  <c r="BA33" i="54"/>
  <c r="BB33" i="54"/>
  <c r="BC33" i="54"/>
  <c r="BD33" i="54"/>
  <c r="BE33" i="54"/>
  <c r="BF33" i="54"/>
  <c r="BG33" i="54"/>
  <c r="BH33" i="54"/>
  <c r="BI33" i="54"/>
  <c r="BJ33" i="54"/>
  <c r="BK33" i="54"/>
  <c r="BL33" i="54"/>
  <c r="BO33" i="54"/>
  <c r="BP33" i="54"/>
  <c r="E34" i="54"/>
  <c r="H34" i="54"/>
  <c r="I34" i="54"/>
  <c r="J34" i="54"/>
  <c r="P34" i="54"/>
  <c r="S34" i="54"/>
  <c r="V34" i="54"/>
  <c r="W34" i="54"/>
  <c r="X34" i="54"/>
  <c r="Y34" i="54"/>
  <c r="Z34" i="54"/>
  <c r="AC34" i="54"/>
  <c r="AD34" i="54"/>
  <c r="AE34" i="54"/>
  <c r="AF34" i="54"/>
  <c r="AG34" i="54"/>
  <c r="AH34" i="54"/>
  <c r="AI34" i="54"/>
  <c r="AJ34" i="54"/>
  <c r="AK34" i="54"/>
  <c r="AL34" i="54"/>
  <c r="AM34" i="54"/>
  <c r="AN34" i="54"/>
  <c r="AQ34" i="54"/>
  <c r="AR34" i="54"/>
  <c r="AS34" i="54"/>
  <c r="AT34" i="54"/>
  <c r="AU34" i="54"/>
  <c r="AX34" i="54"/>
  <c r="AY34" i="54"/>
  <c r="AZ34" i="54"/>
  <c r="BA34" i="54"/>
  <c r="BB34" i="54"/>
  <c r="BC34" i="54"/>
  <c r="BD34" i="54"/>
  <c r="BE34" i="54"/>
  <c r="BF34" i="54"/>
  <c r="BG34" i="54"/>
  <c r="BH34" i="54"/>
  <c r="BI34" i="54"/>
  <c r="BJ34" i="54"/>
  <c r="BK34" i="54"/>
  <c r="BL34" i="54"/>
  <c r="BO34" i="54"/>
  <c r="BP34" i="54"/>
  <c r="E35" i="54"/>
  <c r="H35" i="54"/>
  <c r="I35" i="54"/>
  <c r="J35" i="54"/>
  <c r="P35" i="54"/>
  <c r="S35" i="54"/>
  <c r="V35" i="54"/>
  <c r="W35" i="54"/>
  <c r="X35" i="54"/>
  <c r="Y35" i="54"/>
  <c r="Z35" i="54"/>
  <c r="AC35" i="54"/>
  <c r="AD35" i="54"/>
  <c r="AE35" i="54"/>
  <c r="AF35" i="54"/>
  <c r="AG35" i="54"/>
  <c r="AH35" i="54"/>
  <c r="AI35" i="54"/>
  <c r="AJ35" i="54"/>
  <c r="AK35" i="54"/>
  <c r="AL35" i="54"/>
  <c r="AM35" i="54"/>
  <c r="AN35" i="54"/>
  <c r="AQ35" i="54"/>
  <c r="AR35" i="54"/>
  <c r="AS35" i="54"/>
  <c r="AT35" i="54"/>
  <c r="AU35" i="54"/>
  <c r="AX35" i="54"/>
  <c r="AY35" i="54"/>
  <c r="AZ35" i="54"/>
  <c r="BA35" i="54"/>
  <c r="BB35" i="54"/>
  <c r="BC35" i="54"/>
  <c r="BD35" i="54"/>
  <c r="BE35" i="54"/>
  <c r="BF35" i="54"/>
  <c r="BG35" i="54"/>
  <c r="BH35" i="54"/>
  <c r="BI35" i="54"/>
  <c r="BJ35" i="54"/>
  <c r="BK35" i="54"/>
  <c r="BL35" i="54"/>
  <c r="BO35" i="54"/>
  <c r="BP35" i="54"/>
  <c r="E36" i="54"/>
  <c r="H36" i="54"/>
  <c r="I36" i="54"/>
  <c r="J36" i="54"/>
  <c r="P36" i="54"/>
  <c r="S36" i="54"/>
  <c r="V36" i="54"/>
  <c r="W36" i="54"/>
  <c r="X36" i="54"/>
  <c r="Y36" i="54"/>
  <c r="Z36" i="54"/>
  <c r="AC36" i="54"/>
  <c r="AD36" i="54"/>
  <c r="AE36" i="54"/>
  <c r="AF36" i="54"/>
  <c r="AG36" i="54"/>
  <c r="AH36" i="54"/>
  <c r="AI36" i="54"/>
  <c r="AJ36" i="54"/>
  <c r="AK36" i="54"/>
  <c r="AL36" i="54"/>
  <c r="AM36" i="54"/>
  <c r="AN36" i="54"/>
  <c r="AQ36" i="54"/>
  <c r="AR36" i="54"/>
  <c r="AS36" i="54"/>
  <c r="AT36" i="54"/>
  <c r="AU36" i="54"/>
  <c r="AX36" i="54"/>
  <c r="AY36" i="54"/>
  <c r="AZ36" i="54"/>
  <c r="BA36" i="54"/>
  <c r="BB36" i="54"/>
  <c r="BC36" i="54"/>
  <c r="BD36" i="54"/>
  <c r="BE36" i="54"/>
  <c r="BF36" i="54"/>
  <c r="BG36" i="54"/>
  <c r="BH36" i="54"/>
  <c r="BI36" i="54"/>
  <c r="BJ36" i="54"/>
  <c r="BK36" i="54"/>
  <c r="BL36" i="54"/>
  <c r="BO36" i="54"/>
  <c r="BP36" i="54"/>
  <c r="E37" i="54"/>
  <c r="H37" i="54"/>
  <c r="I37" i="54"/>
  <c r="J37" i="54"/>
  <c r="P37" i="54"/>
  <c r="S37" i="54"/>
  <c r="V37" i="54"/>
  <c r="W37" i="54"/>
  <c r="X37" i="54"/>
  <c r="Y37" i="54"/>
  <c r="Z37" i="54"/>
  <c r="AC37" i="54"/>
  <c r="AD37" i="54"/>
  <c r="AE37" i="54"/>
  <c r="AF37" i="54"/>
  <c r="AG37" i="54"/>
  <c r="AH37" i="54"/>
  <c r="AI37" i="54"/>
  <c r="AJ37" i="54"/>
  <c r="AK37" i="54"/>
  <c r="AL37" i="54"/>
  <c r="AM37" i="54"/>
  <c r="AN37" i="54"/>
  <c r="AQ37" i="54"/>
  <c r="AR37" i="54"/>
  <c r="AS37" i="54"/>
  <c r="AT37" i="54"/>
  <c r="AU37" i="54"/>
  <c r="AX37" i="54"/>
  <c r="AY37" i="54"/>
  <c r="AZ37" i="54"/>
  <c r="BA37" i="54"/>
  <c r="BB37" i="54"/>
  <c r="BC37" i="54"/>
  <c r="BD37" i="54"/>
  <c r="BE37" i="54"/>
  <c r="BF37" i="54"/>
  <c r="BG37" i="54"/>
  <c r="BH37" i="54"/>
  <c r="BI37" i="54"/>
  <c r="BJ37" i="54"/>
  <c r="BK37" i="54"/>
  <c r="BL37" i="54"/>
  <c r="BO37" i="54"/>
  <c r="BP37" i="54"/>
  <c r="E38" i="54"/>
  <c r="H38" i="54"/>
  <c r="I38" i="54"/>
  <c r="J38" i="54"/>
  <c r="P38" i="54"/>
  <c r="S38" i="54"/>
  <c r="V38" i="54"/>
  <c r="W38" i="54"/>
  <c r="X38" i="54"/>
  <c r="Y38" i="54"/>
  <c r="Z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Q38" i="54"/>
  <c r="AR38" i="54"/>
  <c r="AS38" i="54"/>
  <c r="AT38" i="54"/>
  <c r="AU38" i="54"/>
  <c r="AX38" i="54"/>
  <c r="AY38" i="54"/>
  <c r="AZ38" i="54"/>
  <c r="BA38" i="54"/>
  <c r="BB38" i="54"/>
  <c r="BC38" i="54"/>
  <c r="BD38" i="54"/>
  <c r="BE38" i="54"/>
  <c r="BF38" i="54"/>
  <c r="BG38" i="54"/>
  <c r="BH38" i="54"/>
  <c r="BI38" i="54"/>
  <c r="BJ38" i="54"/>
  <c r="BK38" i="54"/>
  <c r="BL38" i="54"/>
  <c r="BO38" i="54"/>
  <c r="BP38" i="54"/>
  <c r="E39" i="54"/>
  <c r="H39" i="54"/>
  <c r="I39" i="54"/>
  <c r="J39" i="54"/>
  <c r="P39" i="54"/>
  <c r="S39" i="54"/>
  <c r="V39" i="54"/>
  <c r="W39" i="54"/>
  <c r="X39" i="54"/>
  <c r="Y39" i="54"/>
  <c r="Z39" i="54"/>
  <c r="AC39" i="54"/>
  <c r="AD39" i="54"/>
  <c r="AE39" i="54"/>
  <c r="AF39" i="54"/>
  <c r="AG39" i="54"/>
  <c r="AH39" i="54"/>
  <c r="AI39" i="54"/>
  <c r="AJ39" i="54"/>
  <c r="AK39" i="54"/>
  <c r="AL39" i="54"/>
  <c r="AM39" i="54"/>
  <c r="AN39" i="54"/>
  <c r="AQ39" i="54"/>
  <c r="AR39" i="54"/>
  <c r="AS39" i="54"/>
  <c r="AT39" i="54"/>
  <c r="AU39" i="54"/>
  <c r="AX39" i="54"/>
  <c r="AY39" i="54"/>
  <c r="AZ39" i="54"/>
  <c r="BA39" i="54"/>
  <c r="BB39" i="54"/>
  <c r="BC39" i="54"/>
  <c r="BD39" i="54"/>
  <c r="BE39" i="54"/>
  <c r="BF39" i="54"/>
  <c r="BG39" i="54"/>
  <c r="BH39" i="54"/>
  <c r="BI39" i="54"/>
  <c r="BJ39" i="54"/>
  <c r="BK39" i="54"/>
  <c r="BL39" i="54"/>
  <c r="BO39" i="54"/>
  <c r="BP39" i="54"/>
  <c r="E40" i="54"/>
  <c r="H40" i="54"/>
  <c r="I40" i="54"/>
  <c r="J40" i="54"/>
  <c r="P40" i="54"/>
  <c r="S40" i="54"/>
  <c r="V40" i="54"/>
  <c r="W40" i="54"/>
  <c r="X40" i="54"/>
  <c r="Y40" i="54"/>
  <c r="Z40" i="54"/>
  <c r="AC40" i="54"/>
  <c r="AD40" i="54"/>
  <c r="AE40" i="54"/>
  <c r="AF40" i="54"/>
  <c r="AG40" i="54"/>
  <c r="AH40" i="54"/>
  <c r="AI40" i="54"/>
  <c r="AJ40" i="54"/>
  <c r="AK40" i="54"/>
  <c r="AL40" i="54"/>
  <c r="AM40" i="54"/>
  <c r="AN40" i="54"/>
  <c r="AQ40" i="54"/>
  <c r="AR40" i="54"/>
  <c r="AS40" i="54"/>
  <c r="AT40" i="54"/>
  <c r="AU40" i="54"/>
  <c r="AX40" i="54"/>
  <c r="AY40" i="54"/>
  <c r="AZ40" i="54"/>
  <c r="BA40" i="54"/>
  <c r="BB40" i="54"/>
  <c r="BC40" i="54"/>
  <c r="BD40" i="54"/>
  <c r="BE40" i="54"/>
  <c r="BF40" i="54"/>
  <c r="BG40" i="54"/>
  <c r="BH40" i="54"/>
  <c r="BI40" i="54"/>
  <c r="BJ40" i="54"/>
  <c r="BK40" i="54"/>
  <c r="BL40" i="54"/>
  <c r="BO40" i="54"/>
  <c r="BP40" i="54"/>
  <c r="E21" i="33"/>
  <c r="H21" i="33"/>
  <c r="I21" i="33"/>
  <c r="J21" i="33"/>
  <c r="P21" i="33"/>
  <c r="S21" i="33"/>
  <c r="V21" i="33"/>
  <c r="W21" i="33"/>
  <c r="X21" i="33"/>
  <c r="Y21" i="33"/>
  <c r="Z21" i="33"/>
  <c r="AC21" i="33"/>
  <c r="AD21" i="33"/>
  <c r="AE21" i="33"/>
  <c r="AF21" i="33"/>
  <c r="AG21" i="33"/>
  <c r="AH21" i="33"/>
  <c r="AI21" i="33"/>
  <c r="AJ21" i="33"/>
  <c r="AK21" i="33"/>
  <c r="AL21" i="33"/>
  <c r="AM21" i="33"/>
  <c r="AN21" i="33"/>
  <c r="AQ21" i="33"/>
  <c r="AR21" i="33"/>
  <c r="AS21" i="33"/>
  <c r="AT21" i="33"/>
  <c r="AU21" i="33"/>
  <c r="AX21" i="33"/>
  <c r="AY21" i="33"/>
  <c r="AZ21" i="33"/>
  <c r="BA21" i="33"/>
  <c r="BB21" i="33"/>
  <c r="BC21" i="33"/>
  <c r="BD21" i="33"/>
  <c r="BE21" i="33"/>
  <c r="BF21" i="33"/>
  <c r="BG21" i="33"/>
  <c r="BH21" i="33"/>
  <c r="BI21" i="33"/>
  <c r="BJ21" i="33"/>
  <c r="BK21" i="33"/>
  <c r="BL21" i="33"/>
  <c r="BO21" i="33"/>
  <c r="BP21" i="33"/>
  <c r="E22" i="33"/>
  <c r="H22" i="33"/>
  <c r="I22" i="33"/>
  <c r="J22" i="33"/>
  <c r="P22" i="33"/>
  <c r="S22" i="33"/>
  <c r="V22" i="33"/>
  <c r="W22" i="33"/>
  <c r="X22" i="33"/>
  <c r="Y22" i="33"/>
  <c r="Z22" i="33"/>
  <c r="AC22" i="33"/>
  <c r="AD22" i="33"/>
  <c r="AE22" i="33"/>
  <c r="AF22" i="33"/>
  <c r="AG22" i="33"/>
  <c r="AH22" i="33"/>
  <c r="AI22" i="33"/>
  <c r="AJ22" i="33"/>
  <c r="AK22" i="33"/>
  <c r="AL22" i="33"/>
  <c r="AM22" i="33"/>
  <c r="AN22" i="33"/>
  <c r="AQ22" i="33"/>
  <c r="AR22" i="33"/>
  <c r="AS22" i="33"/>
  <c r="AT22" i="33"/>
  <c r="AU22" i="33"/>
  <c r="AX22" i="33"/>
  <c r="AY22" i="33"/>
  <c r="AZ22" i="33"/>
  <c r="BA22" i="33"/>
  <c r="BB22" i="33"/>
  <c r="BC22" i="33"/>
  <c r="BD22" i="33"/>
  <c r="BE22" i="33"/>
  <c r="BF22" i="33"/>
  <c r="BG22" i="33"/>
  <c r="BH22" i="33"/>
  <c r="BI22" i="33"/>
  <c r="BJ22" i="33"/>
  <c r="BK22" i="33"/>
  <c r="BL22" i="33"/>
  <c r="BO22" i="33"/>
  <c r="BP22" i="33"/>
  <c r="E23" i="33"/>
  <c r="H23" i="33"/>
  <c r="I23" i="33"/>
  <c r="J23" i="33"/>
  <c r="P23" i="33"/>
  <c r="S23" i="33"/>
  <c r="V23" i="33"/>
  <c r="W23" i="33"/>
  <c r="X23" i="33"/>
  <c r="Y23" i="33"/>
  <c r="Z23" i="33"/>
  <c r="AC23" i="33"/>
  <c r="AD23" i="33"/>
  <c r="AE23" i="33"/>
  <c r="AF23" i="33"/>
  <c r="AG23" i="33"/>
  <c r="AH23" i="33"/>
  <c r="AI23" i="33"/>
  <c r="AJ23" i="33"/>
  <c r="AK23" i="33"/>
  <c r="AL23" i="33"/>
  <c r="AM23" i="33"/>
  <c r="AN23" i="33"/>
  <c r="AQ23" i="33"/>
  <c r="AR23" i="33"/>
  <c r="AS23" i="33"/>
  <c r="AT23" i="33"/>
  <c r="AU23" i="33"/>
  <c r="AX23" i="33"/>
  <c r="AY23" i="33"/>
  <c r="AZ23" i="33"/>
  <c r="BA23" i="33"/>
  <c r="BB23" i="33"/>
  <c r="BC23" i="33"/>
  <c r="BD23" i="33"/>
  <c r="BE23" i="33"/>
  <c r="BF23" i="33"/>
  <c r="BG23" i="33"/>
  <c r="BH23" i="33"/>
  <c r="BI23" i="33"/>
  <c r="BJ23" i="33"/>
  <c r="BK23" i="33"/>
  <c r="BL23" i="33"/>
  <c r="BO23" i="33"/>
  <c r="BP23" i="33"/>
  <c r="E24" i="33"/>
  <c r="H24" i="33"/>
  <c r="I24" i="33"/>
  <c r="J24" i="33"/>
  <c r="P24" i="33"/>
  <c r="S24" i="33"/>
  <c r="V24" i="33"/>
  <c r="W24" i="33"/>
  <c r="X24" i="33"/>
  <c r="Y24" i="33"/>
  <c r="Z24" i="33"/>
  <c r="AC24" i="33"/>
  <c r="AD24" i="33"/>
  <c r="AE24" i="33"/>
  <c r="AF24" i="33"/>
  <c r="AG24" i="33"/>
  <c r="AH24" i="33"/>
  <c r="AI24" i="33"/>
  <c r="AJ24" i="33"/>
  <c r="AK24" i="33"/>
  <c r="AL24" i="33"/>
  <c r="AM24" i="33"/>
  <c r="AN24" i="33"/>
  <c r="AQ24" i="33"/>
  <c r="AR24" i="33"/>
  <c r="AS24" i="33"/>
  <c r="AT24" i="33"/>
  <c r="AU24" i="33"/>
  <c r="AX24" i="33"/>
  <c r="AY24" i="33"/>
  <c r="AZ24" i="33"/>
  <c r="BA24" i="33"/>
  <c r="BB24" i="33"/>
  <c r="BC24" i="33"/>
  <c r="BD24" i="33"/>
  <c r="BE24" i="33"/>
  <c r="BF24" i="33"/>
  <c r="BG24" i="33"/>
  <c r="BH24" i="33"/>
  <c r="BI24" i="33"/>
  <c r="BJ24" i="33"/>
  <c r="BK24" i="33"/>
  <c r="BL24" i="33"/>
  <c r="BO24" i="33"/>
  <c r="BP24" i="33"/>
  <c r="E25" i="33"/>
  <c r="H25" i="33"/>
  <c r="I25" i="33"/>
  <c r="J25" i="33"/>
  <c r="P25" i="33"/>
  <c r="S25" i="33"/>
  <c r="V25" i="33"/>
  <c r="W25" i="33"/>
  <c r="X25" i="33"/>
  <c r="Y25" i="33"/>
  <c r="Z25" i="33"/>
  <c r="AC25" i="33"/>
  <c r="AD25" i="33"/>
  <c r="AE25" i="33"/>
  <c r="AF25" i="33"/>
  <c r="AG25" i="33"/>
  <c r="AH25" i="33"/>
  <c r="AI25" i="33"/>
  <c r="AJ25" i="33"/>
  <c r="AK25" i="33"/>
  <c r="AL25" i="33"/>
  <c r="AM25" i="33"/>
  <c r="AN25" i="33"/>
  <c r="AQ25" i="33"/>
  <c r="AR25" i="33"/>
  <c r="AS25" i="33"/>
  <c r="AT25" i="33"/>
  <c r="AU25" i="33"/>
  <c r="AX25" i="33"/>
  <c r="AY25" i="33"/>
  <c r="AZ25" i="33"/>
  <c r="BA25" i="33"/>
  <c r="BB25" i="33"/>
  <c r="BC25" i="33"/>
  <c r="BD25" i="33"/>
  <c r="BE25" i="33"/>
  <c r="BF25" i="33"/>
  <c r="BG25" i="33"/>
  <c r="BH25" i="33"/>
  <c r="BI25" i="33"/>
  <c r="BJ25" i="33"/>
  <c r="BK25" i="33"/>
  <c r="BL25" i="33"/>
  <c r="BO25" i="33"/>
  <c r="BP25" i="33"/>
  <c r="E26" i="33"/>
  <c r="H26" i="33"/>
  <c r="I26" i="33"/>
  <c r="J26" i="33"/>
  <c r="P26" i="33"/>
  <c r="S26" i="33"/>
  <c r="V26" i="33"/>
  <c r="W26" i="33"/>
  <c r="X26" i="33"/>
  <c r="Y26" i="33"/>
  <c r="Z26" i="33"/>
  <c r="AC26" i="33"/>
  <c r="AD26" i="33"/>
  <c r="AE26" i="33"/>
  <c r="AF26" i="33"/>
  <c r="AG26" i="33"/>
  <c r="AH26" i="33"/>
  <c r="AI26" i="33"/>
  <c r="AJ26" i="33"/>
  <c r="AK26" i="33"/>
  <c r="AL26" i="33"/>
  <c r="AM26" i="33"/>
  <c r="AN26" i="33"/>
  <c r="AQ26" i="33"/>
  <c r="AR26" i="33"/>
  <c r="AS26" i="33"/>
  <c r="AT26" i="33"/>
  <c r="AU26" i="33"/>
  <c r="AX26" i="33"/>
  <c r="AY26" i="33"/>
  <c r="AZ26" i="33"/>
  <c r="BA26" i="33"/>
  <c r="BB26" i="33"/>
  <c r="BC26" i="33"/>
  <c r="BD26" i="33"/>
  <c r="BE26" i="33"/>
  <c r="BF26" i="33"/>
  <c r="BG26" i="33"/>
  <c r="BH26" i="33"/>
  <c r="BI26" i="33"/>
  <c r="BJ26" i="33"/>
  <c r="BK26" i="33"/>
  <c r="BL26" i="33"/>
  <c r="BO26" i="33"/>
  <c r="BP26" i="33"/>
  <c r="E27" i="33"/>
  <c r="H27" i="33"/>
  <c r="I27" i="33"/>
  <c r="J27" i="33"/>
  <c r="P27" i="33"/>
  <c r="S27" i="33"/>
  <c r="V27" i="33"/>
  <c r="W27" i="33"/>
  <c r="X27" i="33"/>
  <c r="Y27" i="33"/>
  <c r="Z27" i="33"/>
  <c r="AC27" i="33"/>
  <c r="AD27" i="33"/>
  <c r="AE27" i="33"/>
  <c r="AF27" i="33"/>
  <c r="AG27" i="33"/>
  <c r="AH27" i="33"/>
  <c r="AI27" i="33"/>
  <c r="AJ27" i="33"/>
  <c r="AK27" i="33"/>
  <c r="AL27" i="33"/>
  <c r="AM27" i="33"/>
  <c r="AN27" i="33"/>
  <c r="AQ27" i="33"/>
  <c r="AR27" i="33"/>
  <c r="AS27" i="33"/>
  <c r="AT27" i="33"/>
  <c r="AU27" i="33"/>
  <c r="AX27" i="33"/>
  <c r="AY27" i="33"/>
  <c r="AZ27" i="33"/>
  <c r="BA27" i="33"/>
  <c r="BB27" i="33"/>
  <c r="BC27" i="33"/>
  <c r="BD27" i="33"/>
  <c r="BE27" i="33"/>
  <c r="BF27" i="33"/>
  <c r="BG27" i="33"/>
  <c r="BH27" i="33"/>
  <c r="BI27" i="33"/>
  <c r="BJ27" i="33"/>
  <c r="BK27" i="33"/>
  <c r="BL27" i="33"/>
  <c r="BO27" i="33"/>
  <c r="BP27" i="33"/>
  <c r="E28" i="33"/>
  <c r="H28" i="33"/>
  <c r="I28" i="33"/>
  <c r="J28" i="33"/>
  <c r="P28" i="33"/>
  <c r="S28" i="33"/>
  <c r="V28" i="33"/>
  <c r="W28" i="33"/>
  <c r="X28" i="33"/>
  <c r="Y28" i="33"/>
  <c r="Z28" i="33"/>
  <c r="AC28" i="33"/>
  <c r="AD28" i="33"/>
  <c r="AE28" i="33"/>
  <c r="AF28" i="33"/>
  <c r="AG28" i="33"/>
  <c r="AH28" i="33"/>
  <c r="AI28" i="33"/>
  <c r="AJ28" i="33"/>
  <c r="AK28" i="33"/>
  <c r="AL28" i="33"/>
  <c r="AM28" i="33"/>
  <c r="AN28" i="33"/>
  <c r="AQ28" i="33"/>
  <c r="AR28" i="33"/>
  <c r="AS28" i="33"/>
  <c r="AT28" i="33"/>
  <c r="AU28" i="33"/>
  <c r="AX28" i="33"/>
  <c r="AY28" i="33"/>
  <c r="AZ28" i="33"/>
  <c r="BA28" i="33"/>
  <c r="BB28" i="33"/>
  <c r="BC28" i="33"/>
  <c r="BD28" i="33"/>
  <c r="BE28" i="33"/>
  <c r="BF28" i="33"/>
  <c r="BG28" i="33"/>
  <c r="BH28" i="33"/>
  <c r="BI28" i="33"/>
  <c r="BJ28" i="33"/>
  <c r="BK28" i="33"/>
  <c r="BL28" i="33"/>
  <c r="BO28" i="33"/>
  <c r="BP28" i="33"/>
  <c r="E29" i="33"/>
  <c r="H29" i="33"/>
  <c r="I29" i="33"/>
  <c r="J29" i="33"/>
  <c r="P29" i="33"/>
  <c r="S29" i="33"/>
  <c r="V29" i="33"/>
  <c r="W29" i="33"/>
  <c r="X29" i="33"/>
  <c r="Y29" i="33"/>
  <c r="Z29" i="33"/>
  <c r="AC29" i="33"/>
  <c r="AD29" i="33"/>
  <c r="AE29" i="33"/>
  <c r="AF29" i="33"/>
  <c r="AG29" i="33"/>
  <c r="AH29" i="33"/>
  <c r="AI29" i="33"/>
  <c r="AJ29" i="33"/>
  <c r="AK29" i="33"/>
  <c r="AL29" i="33"/>
  <c r="AM29" i="33"/>
  <c r="AN29" i="33"/>
  <c r="AQ29" i="33"/>
  <c r="AR29" i="33"/>
  <c r="AS29" i="33"/>
  <c r="AT29" i="33"/>
  <c r="AU29" i="33"/>
  <c r="AX29" i="33"/>
  <c r="AY29" i="33"/>
  <c r="AZ29" i="33"/>
  <c r="BA29" i="33"/>
  <c r="BB29" i="33"/>
  <c r="BC29" i="33"/>
  <c r="BD29" i="33"/>
  <c r="BE29" i="33"/>
  <c r="BF29" i="33"/>
  <c r="BG29" i="33"/>
  <c r="BH29" i="33"/>
  <c r="BI29" i="33"/>
  <c r="BJ29" i="33"/>
  <c r="BK29" i="33"/>
  <c r="BL29" i="33"/>
  <c r="BO29" i="33"/>
  <c r="BP29" i="33"/>
  <c r="E30" i="33"/>
  <c r="H30" i="33"/>
  <c r="I30" i="33"/>
  <c r="J30" i="33"/>
  <c r="P30" i="33"/>
  <c r="S30" i="33"/>
  <c r="V30" i="33"/>
  <c r="W30" i="33"/>
  <c r="X30" i="33"/>
  <c r="Y30" i="33"/>
  <c r="Z30" i="33"/>
  <c r="AC30" i="33"/>
  <c r="AD30" i="33"/>
  <c r="AE30" i="33"/>
  <c r="AF30" i="33"/>
  <c r="AG30" i="33"/>
  <c r="AH30" i="33"/>
  <c r="AI30" i="33"/>
  <c r="AJ30" i="33"/>
  <c r="AK30" i="33"/>
  <c r="AL30" i="33"/>
  <c r="AM30" i="33"/>
  <c r="AN30" i="33"/>
  <c r="AQ30" i="33"/>
  <c r="AR30" i="33"/>
  <c r="AS30" i="33"/>
  <c r="AT30" i="33"/>
  <c r="AU30" i="33"/>
  <c r="AX30" i="33"/>
  <c r="AY30" i="33"/>
  <c r="AZ30" i="33"/>
  <c r="BA30" i="33"/>
  <c r="BB30" i="33"/>
  <c r="BC30" i="33"/>
  <c r="BD30" i="33"/>
  <c r="BE30" i="33"/>
  <c r="BF30" i="33"/>
  <c r="BG30" i="33"/>
  <c r="BH30" i="33"/>
  <c r="BI30" i="33"/>
  <c r="BJ30" i="33"/>
  <c r="BK30" i="33"/>
  <c r="BL30" i="33"/>
  <c r="BO30" i="33"/>
  <c r="BP30" i="33"/>
  <c r="E31" i="33"/>
  <c r="H31" i="33"/>
  <c r="I31" i="33"/>
  <c r="J31" i="33"/>
  <c r="P31" i="33"/>
  <c r="S31" i="33"/>
  <c r="V31" i="33"/>
  <c r="W31" i="33"/>
  <c r="X31" i="33"/>
  <c r="Y31" i="33"/>
  <c r="Z31" i="33"/>
  <c r="AC31" i="33"/>
  <c r="AD31" i="33"/>
  <c r="AE31" i="33"/>
  <c r="AF31" i="33"/>
  <c r="AG31" i="33"/>
  <c r="AH31" i="33"/>
  <c r="AI31" i="33"/>
  <c r="AJ31" i="33"/>
  <c r="AK31" i="33"/>
  <c r="AL31" i="33"/>
  <c r="AM31" i="33"/>
  <c r="AN31" i="33"/>
  <c r="AQ31" i="33"/>
  <c r="AR31" i="33"/>
  <c r="AS31" i="33"/>
  <c r="AT31" i="33"/>
  <c r="AU31" i="33"/>
  <c r="AX31" i="33"/>
  <c r="AY31" i="33"/>
  <c r="AZ31" i="33"/>
  <c r="BA31" i="33"/>
  <c r="BB31" i="33"/>
  <c r="BC31" i="33"/>
  <c r="BD31" i="33"/>
  <c r="BE31" i="33"/>
  <c r="BF31" i="33"/>
  <c r="BG31" i="33"/>
  <c r="BH31" i="33"/>
  <c r="BI31" i="33"/>
  <c r="BJ31" i="33"/>
  <c r="BK31" i="33"/>
  <c r="BL31" i="33"/>
  <c r="BO31" i="33"/>
  <c r="BP31" i="33"/>
  <c r="E32" i="33"/>
  <c r="H32" i="33"/>
  <c r="I32" i="33"/>
  <c r="J32" i="33"/>
  <c r="P32" i="33"/>
  <c r="S32" i="33"/>
  <c r="V32" i="33"/>
  <c r="W32" i="33"/>
  <c r="X32" i="33"/>
  <c r="Y32" i="33"/>
  <c r="Z32" i="33"/>
  <c r="AC32" i="33"/>
  <c r="AD32" i="33"/>
  <c r="AE32" i="33"/>
  <c r="AF32" i="33"/>
  <c r="AG32" i="33"/>
  <c r="AH32" i="33"/>
  <c r="AI32" i="33"/>
  <c r="AJ32" i="33"/>
  <c r="AK32" i="33"/>
  <c r="AL32" i="33"/>
  <c r="AM32" i="33"/>
  <c r="AN32" i="33"/>
  <c r="AQ32" i="33"/>
  <c r="AR32" i="33"/>
  <c r="AS32" i="33"/>
  <c r="AT32" i="33"/>
  <c r="AU32" i="33"/>
  <c r="AX32" i="33"/>
  <c r="AY32" i="33"/>
  <c r="AZ32" i="33"/>
  <c r="BA32" i="33"/>
  <c r="BB32" i="33"/>
  <c r="BC32" i="33"/>
  <c r="BD32" i="33"/>
  <c r="BE32" i="33"/>
  <c r="BF32" i="33"/>
  <c r="BG32" i="33"/>
  <c r="BH32" i="33"/>
  <c r="BI32" i="33"/>
  <c r="BJ32" i="33"/>
  <c r="BK32" i="33"/>
  <c r="BL32" i="33"/>
  <c r="BO32" i="33"/>
  <c r="BP32" i="33"/>
  <c r="E33" i="33"/>
  <c r="H33" i="33"/>
  <c r="I33" i="33"/>
  <c r="J33" i="33"/>
  <c r="P33" i="33"/>
  <c r="S33" i="33"/>
  <c r="V33" i="33"/>
  <c r="W33" i="33"/>
  <c r="X33" i="33"/>
  <c r="Y33" i="33"/>
  <c r="Z33" i="33"/>
  <c r="AC33" i="33"/>
  <c r="AD33" i="33"/>
  <c r="AE33" i="33"/>
  <c r="AF33" i="33"/>
  <c r="AG33" i="33"/>
  <c r="AH33" i="33"/>
  <c r="AI33" i="33"/>
  <c r="AJ33" i="33"/>
  <c r="AK33" i="33"/>
  <c r="AL33" i="33"/>
  <c r="AM33" i="33"/>
  <c r="AN33" i="33"/>
  <c r="AQ33" i="33"/>
  <c r="AR33" i="33"/>
  <c r="AS33" i="33"/>
  <c r="AT33" i="33"/>
  <c r="AU33" i="33"/>
  <c r="AX33" i="33"/>
  <c r="AY33" i="33"/>
  <c r="AZ33" i="33"/>
  <c r="BA33" i="33"/>
  <c r="BB33" i="33"/>
  <c r="BC33" i="33"/>
  <c r="BD33" i="33"/>
  <c r="BE33" i="33"/>
  <c r="BF33" i="33"/>
  <c r="BG33" i="33"/>
  <c r="BH33" i="33"/>
  <c r="BI33" i="33"/>
  <c r="BJ33" i="33"/>
  <c r="BK33" i="33"/>
  <c r="BL33" i="33"/>
  <c r="BO33" i="33"/>
  <c r="BP33" i="33"/>
  <c r="E34" i="33"/>
  <c r="H34" i="33"/>
  <c r="I34" i="33"/>
  <c r="J34" i="33"/>
  <c r="P34" i="33"/>
  <c r="S34" i="33"/>
  <c r="V34" i="33"/>
  <c r="W34" i="33"/>
  <c r="X34" i="33"/>
  <c r="Y34" i="33"/>
  <c r="Z34" i="33"/>
  <c r="AC34" i="33"/>
  <c r="AD34" i="33"/>
  <c r="AE34" i="33"/>
  <c r="AF34" i="33"/>
  <c r="AG34" i="33"/>
  <c r="AH34" i="33"/>
  <c r="AI34" i="33"/>
  <c r="AJ34" i="33"/>
  <c r="AK34" i="33"/>
  <c r="AL34" i="33"/>
  <c r="AM34" i="33"/>
  <c r="AN34" i="33"/>
  <c r="AQ34" i="33"/>
  <c r="AR34" i="33"/>
  <c r="AS34" i="33"/>
  <c r="AT34" i="33"/>
  <c r="AU34" i="33"/>
  <c r="AX34" i="33"/>
  <c r="AY34" i="33"/>
  <c r="AZ34" i="33"/>
  <c r="BA34" i="33"/>
  <c r="BB34" i="33"/>
  <c r="BC34" i="33"/>
  <c r="BD34" i="33"/>
  <c r="BE34" i="33"/>
  <c r="BF34" i="33"/>
  <c r="BG34" i="33"/>
  <c r="BH34" i="33"/>
  <c r="BI34" i="33"/>
  <c r="BJ34" i="33"/>
  <c r="BK34" i="33"/>
  <c r="BL34" i="33"/>
  <c r="BO34" i="33"/>
  <c r="BP34" i="33"/>
  <c r="E35" i="33"/>
  <c r="H35" i="33"/>
  <c r="I35" i="33"/>
  <c r="J35" i="33"/>
  <c r="P35" i="33"/>
  <c r="S35" i="33"/>
  <c r="V35" i="33"/>
  <c r="W35" i="33"/>
  <c r="X35" i="33"/>
  <c r="Y35" i="33"/>
  <c r="Z35" i="33"/>
  <c r="AC35" i="33"/>
  <c r="AD35" i="33"/>
  <c r="AE35" i="33"/>
  <c r="AF35" i="33"/>
  <c r="AG35" i="33"/>
  <c r="AH35" i="33"/>
  <c r="AI35" i="33"/>
  <c r="AJ35" i="33"/>
  <c r="AK35" i="33"/>
  <c r="AL35" i="33"/>
  <c r="AM35" i="33"/>
  <c r="AN35" i="33"/>
  <c r="AQ35" i="33"/>
  <c r="AR35" i="33"/>
  <c r="AS35" i="33"/>
  <c r="AT35" i="33"/>
  <c r="AU35" i="33"/>
  <c r="AX35" i="33"/>
  <c r="AY35" i="33"/>
  <c r="AZ35" i="33"/>
  <c r="BA35" i="33"/>
  <c r="BB35" i="33"/>
  <c r="BC35" i="33"/>
  <c r="BD35" i="33"/>
  <c r="BE35" i="33"/>
  <c r="BF35" i="33"/>
  <c r="BG35" i="33"/>
  <c r="BH35" i="33"/>
  <c r="BI35" i="33"/>
  <c r="BJ35" i="33"/>
  <c r="BK35" i="33"/>
  <c r="BL35" i="33"/>
  <c r="BO35" i="33"/>
  <c r="BP35" i="33"/>
  <c r="E36" i="33"/>
  <c r="H36" i="33"/>
  <c r="I36" i="33"/>
  <c r="J36" i="33"/>
  <c r="P36" i="33"/>
  <c r="S36" i="33"/>
  <c r="V36" i="33"/>
  <c r="W36" i="33"/>
  <c r="X36" i="33"/>
  <c r="Y36" i="33"/>
  <c r="Z36" i="33"/>
  <c r="AC36" i="33"/>
  <c r="AD36" i="33"/>
  <c r="AE36" i="33"/>
  <c r="AF36" i="33"/>
  <c r="AG36" i="33"/>
  <c r="AH36" i="33"/>
  <c r="AI36" i="33"/>
  <c r="AJ36" i="33"/>
  <c r="AK36" i="33"/>
  <c r="AL36" i="33"/>
  <c r="AM36" i="33"/>
  <c r="AN36" i="33"/>
  <c r="AQ36" i="33"/>
  <c r="AR36" i="33"/>
  <c r="AS36" i="33"/>
  <c r="AT36" i="33"/>
  <c r="AU36" i="33"/>
  <c r="AX36" i="33"/>
  <c r="AY36" i="33"/>
  <c r="AZ36" i="33"/>
  <c r="BA36" i="33"/>
  <c r="BB36" i="33"/>
  <c r="BC36" i="33"/>
  <c r="BD36" i="33"/>
  <c r="BE36" i="33"/>
  <c r="BF36" i="33"/>
  <c r="BG36" i="33"/>
  <c r="BH36" i="33"/>
  <c r="BI36" i="33"/>
  <c r="BJ36" i="33"/>
  <c r="BK36" i="33"/>
  <c r="BL36" i="33"/>
  <c r="BO36" i="33"/>
  <c r="BP36" i="33"/>
  <c r="E37" i="33"/>
  <c r="H37" i="33"/>
  <c r="I37" i="33"/>
  <c r="J37" i="33"/>
  <c r="P37" i="33"/>
  <c r="S37" i="33"/>
  <c r="V37" i="33"/>
  <c r="W37" i="33"/>
  <c r="X37" i="33"/>
  <c r="Y37" i="33"/>
  <c r="Z37" i="33"/>
  <c r="AC37" i="33"/>
  <c r="AD37" i="33"/>
  <c r="AE37" i="33"/>
  <c r="AF37" i="33"/>
  <c r="AG37" i="33"/>
  <c r="AH37" i="33"/>
  <c r="AI37" i="33"/>
  <c r="AJ37" i="33"/>
  <c r="AK37" i="33"/>
  <c r="AL37" i="33"/>
  <c r="AM37" i="33"/>
  <c r="AN37" i="33"/>
  <c r="AQ37" i="33"/>
  <c r="AR37" i="33"/>
  <c r="AS37" i="33"/>
  <c r="AT37" i="33"/>
  <c r="AU37" i="33"/>
  <c r="AX37" i="33"/>
  <c r="AY37" i="33"/>
  <c r="AZ37" i="33"/>
  <c r="BA37" i="33"/>
  <c r="BB37" i="33"/>
  <c r="BC37" i="33"/>
  <c r="BD37" i="33"/>
  <c r="BE37" i="33"/>
  <c r="BF37" i="33"/>
  <c r="BG37" i="33"/>
  <c r="BH37" i="33"/>
  <c r="BI37" i="33"/>
  <c r="BJ37" i="33"/>
  <c r="BK37" i="33"/>
  <c r="BL37" i="33"/>
  <c r="BO37" i="33"/>
  <c r="BP37" i="33"/>
  <c r="E38" i="33"/>
  <c r="H38" i="33"/>
  <c r="I38" i="33"/>
  <c r="J38" i="33"/>
  <c r="P38" i="33"/>
  <c r="S38" i="33"/>
  <c r="V38" i="33"/>
  <c r="W38" i="33"/>
  <c r="X38" i="33"/>
  <c r="Y38" i="33"/>
  <c r="Z38" i="33"/>
  <c r="AC38" i="33"/>
  <c r="AD38" i="33"/>
  <c r="AE38" i="33"/>
  <c r="AF38" i="33"/>
  <c r="AG38" i="33"/>
  <c r="AH38" i="33"/>
  <c r="AI38" i="33"/>
  <c r="AJ38" i="33"/>
  <c r="AK38" i="33"/>
  <c r="AL38" i="33"/>
  <c r="AM38" i="33"/>
  <c r="AN38" i="33"/>
  <c r="AQ38" i="33"/>
  <c r="AR38" i="33"/>
  <c r="AS38" i="33"/>
  <c r="AT38" i="33"/>
  <c r="AU38" i="33"/>
  <c r="AX38" i="33"/>
  <c r="AY38" i="33"/>
  <c r="AZ38" i="33"/>
  <c r="BA38" i="33"/>
  <c r="BB38" i="33"/>
  <c r="BC38" i="33"/>
  <c r="BD38" i="33"/>
  <c r="BE38" i="33"/>
  <c r="BF38" i="33"/>
  <c r="BG38" i="33"/>
  <c r="BH38" i="33"/>
  <c r="BI38" i="33"/>
  <c r="BJ38" i="33"/>
  <c r="BK38" i="33"/>
  <c r="BL38" i="33"/>
  <c r="BO38" i="33"/>
  <c r="BP38" i="33"/>
  <c r="E39" i="33"/>
  <c r="H39" i="33"/>
  <c r="I39" i="33"/>
  <c r="J39" i="33"/>
  <c r="P39" i="33"/>
  <c r="S39" i="33"/>
  <c r="V39" i="33"/>
  <c r="W39" i="33"/>
  <c r="X39" i="33"/>
  <c r="Y39" i="33"/>
  <c r="Z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Q39" i="33"/>
  <c r="AR39" i="33"/>
  <c r="AS39" i="33"/>
  <c r="AT39" i="33"/>
  <c r="AU39" i="33"/>
  <c r="AX39" i="33"/>
  <c r="AY39" i="33"/>
  <c r="AZ39" i="33"/>
  <c r="BA39" i="33"/>
  <c r="BB39" i="33"/>
  <c r="BC39" i="33"/>
  <c r="BD39" i="33"/>
  <c r="BE39" i="33"/>
  <c r="BF39" i="33"/>
  <c r="BG39" i="33"/>
  <c r="BH39" i="33"/>
  <c r="BI39" i="33"/>
  <c r="BJ39" i="33"/>
  <c r="BK39" i="33"/>
  <c r="BL39" i="33"/>
  <c r="BO39" i="33"/>
  <c r="BP39" i="33"/>
  <c r="E40" i="33"/>
  <c r="H40" i="33"/>
  <c r="I40" i="33"/>
  <c r="J40" i="33"/>
  <c r="P40" i="33"/>
  <c r="S40" i="33"/>
  <c r="V40" i="33"/>
  <c r="W40" i="33"/>
  <c r="X40" i="33"/>
  <c r="Y40" i="33"/>
  <c r="Z40" i="33"/>
  <c r="AC40" i="33"/>
  <c r="AD40" i="33"/>
  <c r="AE40" i="33"/>
  <c r="AF40" i="33"/>
  <c r="AG40" i="33"/>
  <c r="AH40" i="33"/>
  <c r="AI40" i="33"/>
  <c r="AJ40" i="33"/>
  <c r="AK40" i="33"/>
  <c r="AL40" i="33"/>
  <c r="AM40" i="33"/>
  <c r="AN40" i="33"/>
  <c r="AQ40" i="33"/>
  <c r="AR40" i="33"/>
  <c r="AS40" i="33"/>
  <c r="AT40" i="33"/>
  <c r="AU40" i="33"/>
  <c r="AX40" i="33"/>
  <c r="AY40" i="33"/>
  <c r="AZ40" i="33"/>
  <c r="BA40" i="33"/>
  <c r="BB40" i="33"/>
  <c r="BC40" i="33"/>
  <c r="BD40" i="33"/>
  <c r="BE40" i="33"/>
  <c r="BF40" i="33"/>
  <c r="BG40" i="33"/>
  <c r="BH40" i="33"/>
  <c r="BI40" i="33"/>
  <c r="BJ40" i="33"/>
  <c r="BK40" i="33"/>
  <c r="BL40" i="33"/>
  <c r="BO40" i="33"/>
  <c r="BP40" i="33"/>
  <c r="E21" i="59"/>
  <c r="H21" i="59"/>
  <c r="I21" i="59"/>
  <c r="J21" i="59"/>
  <c r="P21" i="59"/>
  <c r="S21" i="59"/>
  <c r="V21" i="59"/>
  <c r="W21" i="59"/>
  <c r="X21" i="59"/>
  <c r="Y21" i="59"/>
  <c r="Z21" i="59"/>
  <c r="AC21" i="59"/>
  <c r="AD21" i="59"/>
  <c r="AE21" i="59"/>
  <c r="AF21" i="59"/>
  <c r="AG21" i="59"/>
  <c r="AH21" i="59"/>
  <c r="AI21" i="59"/>
  <c r="AJ21" i="59"/>
  <c r="AK21" i="59"/>
  <c r="AL21" i="59"/>
  <c r="AM21" i="59"/>
  <c r="AN21" i="59"/>
  <c r="AQ21" i="59"/>
  <c r="AR21" i="59"/>
  <c r="AS21" i="59"/>
  <c r="AT21" i="59"/>
  <c r="AU21" i="59"/>
  <c r="AX21" i="59"/>
  <c r="AY21" i="59"/>
  <c r="AZ21" i="59"/>
  <c r="BA21" i="59"/>
  <c r="BB21" i="59"/>
  <c r="BC21" i="59"/>
  <c r="BD21" i="59"/>
  <c r="BE21" i="59"/>
  <c r="BF21" i="59"/>
  <c r="BG21" i="59"/>
  <c r="BH21" i="59"/>
  <c r="BI21" i="59"/>
  <c r="BJ21" i="59"/>
  <c r="BK21" i="59"/>
  <c r="BL21" i="59"/>
  <c r="BM21" i="59"/>
  <c r="BO21" i="59"/>
  <c r="BP21" i="59"/>
  <c r="E22" i="59"/>
  <c r="H22" i="59"/>
  <c r="I22" i="59"/>
  <c r="J22" i="59"/>
  <c r="P22" i="59"/>
  <c r="S22" i="59"/>
  <c r="V22" i="59"/>
  <c r="W22" i="59"/>
  <c r="X22" i="59"/>
  <c r="Y22" i="59"/>
  <c r="Z22" i="59"/>
  <c r="AC22" i="59"/>
  <c r="AD22" i="59"/>
  <c r="AE22" i="59"/>
  <c r="AF22" i="59"/>
  <c r="AG22" i="59"/>
  <c r="AH22" i="59"/>
  <c r="AI22" i="59"/>
  <c r="AJ22" i="59"/>
  <c r="AK22" i="59"/>
  <c r="AL22" i="59"/>
  <c r="AM22" i="59"/>
  <c r="AN22" i="59"/>
  <c r="AQ22" i="59"/>
  <c r="AR22" i="59"/>
  <c r="AS22" i="59"/>
  <c r="AT22" i="59"/>
  <c r="AU22" i="59"/>
  <c r="AX22" i="59"/>
  <c r="AY22" i="59"/>
  <c r="AZ22" i="59"/>
  <c r="BA22" i="59"/>
  <c r="BB22" i="59"/>
  <c r="BC22" i="59"/>
  <c r="BD22" i="59"/>
  <c r="BE22" i="59"/>
  <c r="BF22" i="59"/>
  <c r="BG22" i="59"/>
  <c r="BH22" i="59"/>
  <c r="BI22" i="59"/>
  <c r="BJ22" i="59"/>
  <c r="BK22" i="59"/>
  <c r="BL22" i="59"/>
  <c r="BM22" i="59"/>
  <c r="BO22" i="59"/>
  <c r="BP22" i="59"/>
  <c r="E23" i="59"/>
  <c r="H23" i="59"/>
  <c r="I23" i="59"/>
  <c r="J23" i="59"/>
  <c r="P23" i="59"/>
  <c r="S23" i="59"/>
  <c r="V23" i="59"/>
  <c r="W23" i="59"/>
  <c r="X23" i="59"/>
  <c r="Y23" i="59"/>
  <c r="Z23" i="59"/>
  <c r="AC23" i="59"/>
  <c r="AD23" i="59"/>
  <c r="AE23" i="59"/>
  <c r="AF23" i="59"/>
  <c r="AG23" i="59"/>
  <c r="AH23" i="59"/>
  <c r="AI23" i="59"/>
  <c r="AJ23" i="59"/>
  <c r="AK23" i="59"/>
  <c r="AL23" i="59"/>
  <c r="AM23" i="59"/>
  <c r="AN23" i="59"/>
  <c r="AQ23" i="59"/>
  <c r="AR23" i="59"/>
  <c r="AS23" i="59"/>
  <c r="AT23" i="59"/>
  <c r="AU23" i="59"/>
  <c r="AX23" i="59"/>
  <c r="AY23" i="59"/>
  <c r="AZ23" i="59"/>
  <c r="BA23" i="59"/>
  <c r="BB23" i="59"/>
  <c r="BC23" i="59"/>
  <c r="BD23" i="59"/>
  <c r="BE23" i="59"/>
  <c r="BF23" i="59"/>
  <c r="BG23" i="59"/>
  <c r="BH23" i="59"/>
  <c r="BI23" i="59"/>
  <c r="BJ23" i="59"/>
  <c r="BK23" i="59"/>
  <c r="BL23" i="59"/>
  <c r="BM23" i="59"/>
  <c r="BO23" i="59"/>
  <c r="BP23" i="59"/>
  <c r="E24" i="59"/>
  <c r="H24" i="59"/>
  <c r="I24" i="59"/>
  <c r="J24" i="59"/>
  <c r="P24" i="59"/>
  <c r="S24" i="59"/>
  <c r="V24" i="59"/>
  <c r="W24" i="59"/>
  <c r="X24" i="59"/>
  <c r="Y24" i="59"/>
  <c r="Z24" i="59"/>
  <c r="AC24" i="59"/>
  <c r="AD24" i="59"/>
  <c r="AE24" i="59"/>
  <c r="AF24" i="59"/>
  <c r="AG24" i="59"/>
  <c r="AH24" i="59"/>
  <c r="AI24" i="59"/>
  <c r="AJ24" i="59"/>
  <c r="AK24" i="59"/>
  <c r="AL24" i="59"/>
  <c r="AM24" i="59"/>
  <c r="AN24" i="59"/>
  <c r="AQ24" i="59"/>
  <c r="AR24" i="59"/>
  <c r="AS24" i="59"/>
  <c r="AT24" i="59"/>
  <c r="AU24" i="59"/>
  <c r="AX24" i="59"/>
  <c r="AY24" i="59"/>
  <c r="AZ24" i="59"/>
  <c r="BA24" i="59"/>
  <c r="BB24" i="59"/>
  <c r="BC24" i="59"/>
  <c r="BD24" i="59"/>
  <c r="BE24" i="59"/>
  <c r="BF24" i="59"/>
  <c r="BG24" i="59"/>
  <c r="BH24" i="59"/>
  <c r="BI24" i="59"/>
  <c r="BJ24" i="59"/>
  <c r="BK24" i="59"/>
  <c r="BL24" i="59"/>
  <c r="BM24" i="59"/>
  <c r="BO24" i="59"/>
  <c r="BP24" i="59"/>
  <c r="E25" i="59"/>
  <c r="H25" i="59"/>
  <c r="I25" i="59"/>
  <c r="J25" i="59"/>
  <c r="P25" i="59"/>
  <c r="S25" i="59"/>
  <c r="V25" i="59"/>
  <c r="W25" i="59"/>
  <c r="X25" i="59"/>
  <c r="Y25" i="59"/>
  <c r="Z25" i="59"/>
  <c r="AC25" i="59"/>
  <c r="AD25" i="59"/>
  <c r="AE25" i="59"/>
  <c r="AF25" i="59"/>
  <c r="AG25" i="59"/>
  <c r="AH25" i="59"/>
  <c r="AI25" i="59"/>
  <c r="AJ25" i="59"/>
  <c r="AK25" i="59"/>
  <c r="AL25" i="59"/>
  <c r="AM25" i="59"/>
  <c r="AN25" i="59"/>
  <c r="AQ25" i="59"/>
  <c r="AR25" i="59"/>
  <c r="AS25" i="59"/>
  <c r="AT25" i="59"/>
  <c r="AU25" i="59"/>
  <c r="AX25" i="59"/>
  <c r="AY25" i="59"/>
  <c r="AZ25" i="59"/>
  <c r="BA25" i="59"/>
  <c r="BB25" i="59"/>
  <c r="BC25" i="59"/>
  <c r="BD25" i="59"/>
  <c r="BE25" i="59"/>
  <c r="BF25" i="59"/>
  <c r="BG25" i="59"/>
  <c r="BH25" i="59"/>
  <c r="BI25" i="59"/>
  <c r="BJ25" i="59"/>
  <c r="BK25" i="59"/>
  <c r="BL25" i="59"/>
  <c r="BM25" i="59"/>
  <c r="BO25" i="59"/>
  <c r="BP25" i="59"/>
  <c r="E26" i="59"/>
  <c r="H26" i="59"/>
  <c r="I26" i="59"/>
  <c r="J26" i="59"/>
  <c r="P26" i="59"/>
  <c r="S26" i="59"/>
  <c r="V26" i="59"/>
  <c r="W26" i="59"/>
  <c r="X26" i="59"/>
  <c r="Y26" i="59"/>
  <c r="Z26" i="59"/>
  <c r="AC26" i="59"/>
  <c r="AD26" i="59"/>
  <c r="AE26" i="59"/>
  <c r="AF26" i="59"/>
  <c r="AG26" i="59"/>
  <c r="AH26" i="59"/>
  <c r="AI26" i="59"/>
  <c r="AJ26" i="59"/>
  <c r="AK26" i="59"/>
  <c r="AL26" i="59"/>
  <c r="AM26" i="59"/>
  <c r="AN26" i="59"/>
  <c r="AQ26" i="59"/>
  <c r="AR26" i="59"/>
  <c r="AS26" i="59"/>
  <c r="AT26" i="59"/>
  <c r="AU26" i="59"/>
  <c r="AX26" i="59"/>
  <c r="AY26" i="59"/>
  <c r="AZ26" i="59"/>
  <c r="BA26" i="59"/>
  <c r="BB26" i="59"/>
  <c r="BC26" i="59"/>
  <c r="BD26" i="59"/>
  <c r="BE26" i="59"/>
  <c r="BF26" i="59"/>
  <c r="BG26" i="59"/>
  <c r="BH26" i="59"/>
  <c r="BI26" i="59"/>
  <c r="BJ26" i="59"/>
  <c r="BK26" i="59"/>
  <c r="BL26" i="59"/>
  <c r="BM26" i="59"/>
  <c r="BO26" i="59"/>
  <c r="BP26" i="59"/>
  <c r="E27" i="59"/>
  <c r="H27" i="59"/>
  <c r="I27" i="59"/>
  <c r="J27" i="59"/>
  <c r="P27" i="59"/>
  <c r="S27" i="59"/>
  <c r="V27" i="59"/>
  <c r="W27" i="59"/>
  <c r="X27" i="59"/>
  <c r="Y27" i="59"/>
  <c r="Z27" i="59"/>
  <c r="AC27" i="59"/>
  <c r="AD27" i="59"/>
  <c r="AE27" i="59"/>
  <c r="AF27" i="59"/>
  <c r="AG27" i="59"/>
  <c r="AH27" i="59"/>
  <c r="AI27" i="59"/>
  <c r="AJ27" i="59"/>
  <c r="AK27" i="59"/>
  <c r="AL27" i="59"/>
  <c r="AM27" i="59"/>
  <c r="AN27" i="59"/>
  <c r="AQ27" i="59"/>
  <c r="AR27" i="59"/>
  <c r="AS27" i="59"/>
  <c r="AT27" i="59"/>
  <c r="AU27" i="59"/>
  <c r="AX27" i="59"/>
  <c r="AY27" i="59"/>
  <c r="AZ27" i="59"/>
  <c r="BA27" i="59"/>
  <c r="BB27" i="59"/>
  <c r="BC27" i="59"/>
  <c r="BD27" i="59"/>
  <c r="BE27" i="59"/>
  <c r="BF27" i="59"/>
  <c r="BG27" i="59"/>
  <c r="BH27" i="59"/>
  <c r="BI27" i="59"/>
  <c r="BJ27" i="59"/>
  <c r="BK27" i="59"/>
  <c r="BL27" i="59"/>
  <c r="BM27" i="59"/>
  <c r="BO27" i="59"/>
  <c r="BP27" i="59"/>
  <c r="E28" i="59"/>
  <c r="H28" i="59"/>
  <c r="I28" i="59"/>
  <c r="J28" i="59"/>
  <c r="P28" i="59"/>
  <c r="S28" i="59"/>
  <c r="V28" i="59"/>
  <c r="W28" i="59"/>
  <c r="X28" i="59"/>
  <c r="Y28" i="59"/>
  <c r="Z28" i="59"/>
  <c r="AC28" i="59"/>
  <c r="AD28" i="59"/>
  <c r="AE28" i="59"/>
  <c r="AF28" i="59"/>
  <c r="AG28" i="59"/>
  <c r="AH28" i="59"/>
  <c r="AI28" i="59"/>
  <c r="AJ28" i="59"/>
  <c r="AK28" i="59"/>
  <c r="AL28" i="59"/>
  <c r="AM28" i="59"/>
  <c r="AN28" i="59"/>
  <c r="AQ28" i="59"/>
  <c r="AR28" i="59"/>
  <c r="AS28" i="59"/>
  <c r="AT28" i="59"/>
  <c r="AU28" i="59"/>
  <c r="AX28" i="59"/>
  <c r="AY28" i="59"/>
  <c r="AZ28" i="59"/>
  <c r="BA28" i="59"/>
  <c r="BB28" i="59"/>
  <c r="BC28" i="59"/>
  <c r="BD28" i="59"/>
  <c r="BE28" i="59"/>
  <c r="BF28" i="59"/>
  <c r="BG28" i="59"/>
  <c r="BH28" i="59"/>
  <c r="BI28" i="59"/>
  <c r="BJ28" i="59"/>
  <c r="BK28" i="59"/>
  <c r="BL28" i="59"/>
  <c r="BM28" i="59"/>
  <c r="BO28" i="59"/>
  <c r="BP28" i="59"/>
  <c r="E29" i="59"/>
  <c r="H29" i="59"/>
  <c r="I29" i="59"/>
  <c r="J29" i="59"/>
  <c r="P29" i="59"/>
  <c r="S29" i="59"/>
  <c r="V29" i="59"/>
  <c r="W29" i="59"/>
  <c r="X29" i="59"/>
  <c r="Y29" i="59"/>
  <c r="Z29" i="59"/>
  <c r="AC29" i="59"/>
  <c r="AD29" i="59"/>
  <c r="AE29" i="59"/>
  <c r="AF29" i="59"/>
  <c r="AG29" i="59"/>
  <c r="AH29" i="59"/>
  <c r="AI29" i="59"/>
  <c r="AJ29" i="59"/>
  <c r="AK29" i="59"/>
  <c r="AL29" i="59"/>
  <c r="AM29" i="59"/>
  <c r="AN29" i="59"/>
  <c r="AQ29" i="59"/>
  <c r="AR29" i="59"/>
  <c r="AS29" i="59"/>
  <c r="AT29" i="59"/>
  <c r="AU29" i="59"/>
  <c r="AX29" i="59"/>
  <c r="AY29" i="59"/>
  <c r="AZ29" i="59"/>
  <c r="BA29" i="59"/>
  <c r="BB29" i="59"/>
  <c r="BC29" i="59"/>
  <c r="BD29" i="59"/>
  <c r="BE29" i="59"/>
  <c r="BF29" i="59"/>
  <c r="BG29" i="59"/>
  <c r="BH29" i="59"/>
  <c r="BI29" i="59"/>
  <c r="BJ29" i="59"/>
  <c r="BK29" i="59"/>
  <c r="BL29" i="59"/>
  <c r="BM29" i="59"/>
  <c r="BO29" i="59"/>
  <c r="BP29" i="59"/>
  <c r="E30" i="59"/>
  <c r="H30" i="59"/>
  <c r="I30" i="59"/>
  <c r="J30" i="59"/>
  <c r="P30" i="59"/>
  <c r="S30" i="59"/>
  <c r="V30" i="59"/>
  <c r="W30" i="59"/>
  <c r="X30" i="59"/>
  <c r="Y30" i="59"/>
  <c r="Z30" i="59"/>
  <c r="AC30" i="59"/>
  <c r="AD30" i="59"/>
  <c r="AE30" i="59"/>
  <c r="AF30" i="59"/>
  <c r="AG30" i="59"/>
  <c r="AH30" i="59"/>
  <c r="AI30" i="59"/>
  <c r="AJ30" i="59"/>
  <c r="AK30" i="59"/>
  <c r="AL30" i="59"/>
  <c r="AM30" i="59"/>
  <c r="AN30" i="59"/>
  <c r="AQ30" i="59"/>
  <c r="AR30" i="59"/>
  <c r="AS30" i="59"/>
  <c r="AT30" i="59"/>
  <c r="AU30" i="59"/>
  <c r="AX30" i="59"/>
  <c r="AY30" i="59"/>
  <c r="AZ30" i="59"/>
  <c r="BA30" i="59"/>
  <c r="BB30" i="59"/>
  <c r="BC30" i="59"/>
  <c r="BD30" i="59"/>
  <c r="BE30" i="59"/>
  <c r="BF30" i="59"/>
  <c r="BG30" i="59"/>
  <c r="BH30" i="59"/>
  <c r="BI30" i="59"/>
  <c r="BJ30" i="59"/>
  <c r="BK30" i="59"/>
  <c r="BL30" i="59"/>
  <c r="BM30" i="59"/>
  <c r="BO30" i="59"/>
  <c r="BP30" i="59"/>
  <c r="E31" i="59"/>
  <c r="H31" i="59"/>
  <c r="I31" i="59"/>
  <c r="J31" i="59"/>
  <c r="P31" i="59"/>
  <c r="S31" i="59"/>
  <c r="V31" i="59"/>
  <c r="W31" i="59"/>
  <c r="X31" i="59"/>
  <c r="Y31" i="59"/>
  <c r="Z31" i="59"/>
  <c r="AC31" i="59"/>
  <c r="AD31" i="59"/>
  <c r="AE31" i="59"/>
  <c r="AF31" i="59"/>
  <c r="AG31" i="59"/>
  <c r="AH31" i="59"/>
  <c r="AI31" i="59"/>
  <c r="AJ31" i="59"/>
  <c r="AK31" i="59"/>
  <c r="AL31" i="59"/>
  <c r="AM31" i="59"/>
  <c r="AN31" i="59"/>
  <c r="AQ31" i="59"/>
  <c r="AR31" i="59"/>
  <c r="AS31" i="59"/>
  <c r="AT31" i="59"/>
  <c r="AU31" i="59"/>
  <c r="AX31" i="59"/>
  <c r="AY31" i="59"/>
  <c r="AZ31" i="59"/>
  <c r="BA31" i="59"/>
  <c r="BB31" i="59"/>
  <c r="BC31" i="59"/>
  <c r="BD31" i="59"/>
  <c r="BE31" i="59"/>
  <c r="BF31" i="59"/>
  <c r="BG31" i="59"/>
  <c r="BH31" i="59"/>
  <c r="BI31" i="59"/>
  <c r="BJ31" i="59"/>
  <c r="BK31" i="59"/>
  <c r="BL31" i="59"/>
  <c r="BM31" i="59"/>
  <c r="BO31" i="59"/>
  <c r="BP31" i="59"/>
  <c r="E32" i="59"/>
  <c r="H32" i="59"/>
  <c r="I32" i="59"/>
  <c r="J32" i="59"/>
  <c r="P32" i="59"/>
  <c r="S32" i="59"/>
  <c r="V32" i="59"/>
  <c r="W32" i="59"/>
  <c r="X32" i="59"/>
  <c r="Y32" i="59"/>
  <c r="Z32" i="59"/>
  <c r="AC32" i="59"/>
  <c r="AD32" i="59"/>
  <c r="AE32" i="59"/>
  <c r="AF32" i="59"/>
  <c r="AG32" i="59"/>
  <c r="AH32" i="59"/>
  <c r="AI32" i="59"/>
  <c r="AJ32" i="59"/>
  <c r="AK32" i="59"/>
  <c r="AL32" i="59"/>
  <c r="AM32" i="59"/>
  <c r="AN32" i="59"/>
  <c r="AQ32" i="59"/>
  <c r="AR32" i="59"/>
  <c r="AS32" i="59"/>
  <c r="AT32" i="59"/>
  <c r="AU32" i="59"/>
  <c r="AX32" i="59"/>
  <c r="AY32" i="59"/>
  <c r="AZ32" i="59"/>
  <c r="BA32" i="59"/>
  <c r="BB32" i="59"/>
  <c r="BC32" i="59"/>
  <c r="BD32" i="59"/>
  <c r="BE32" i="59"/>
  <c r="BF32" i="59"/>
  <c r="BG32" i="59"/>
  <c r="BH32" i="59"/>
  <c r="BI32" i="59"/>
  <c r="BJ32" i="59"/>
  <c r="BK32" i="59"/>
  <c r="BL32" i="59"/>
  <c r="BM32" i="59"/>
  <c r="BO32" i="59"/>
  <c r="BP32" i="59"/>
  <c r="E33" i="59"/>
  <c r="H33" i="59"/>
  <c r="I33" i="59"/>
  <c r="J33" i="59"/>
  <c r="P33" i="59"/>
  <c r="S33" i="59"/>
  <c r="V33" i="59"/>
  <c r="W33" i="59"/>
  <c r="X33" i="59"/>
  <c r="Y33" i="59"/>
  <c r="Z33" i="59"/>
  <c r="AC33" i="59"/>
  <c r="AD33" i="59"/>
  <c r="AE33" i="59"/>
  <c r="AF33" i="59"/>
  <c r="AG33" i="59"/>
  <c r="AH33" i="59"/>
  <c r="AI33" i="59"/>
  <c r="AJ33" i="59"/>
  <c r="AK33" i="59"/>
  <c r="AL33" i="59"/>
  <c r="AM33" i="59"/>
  <c r="AN33" i="59"/>
  <c r="AQ33" i="59"/>
  <c r="AR33" i="59"/>
  <c r="AS33" i="59"/>
  <c r="AT33" i="59"/>
  <c r="AU33" i="59"/>
  <c r="AX33" i="59"/>
  <c r="AY33" i="59"/>
  <c r="AZ33" i="59"/>
  <c r="BA33" i="59"/>
  <c r="BB33" i="59"/>
  <c r="BC33" i="59"/>
  <c r="BD33" i="59"/>
  <c r="BE33" i="59"/>
  <c r="BF33" i="59"/>
  <c r="BG33" i="59"/>
  <c r="BH33" i="59"/>
  <c r="BI33" i="59"/>
  <c r="BJ33" i="59"/>
  <c r="BK33" i="59"/>
  <c r="BL33" i="59"/>
  <c r="BM33" i="59"/>
  <c r="BO33" i="59"/>
  <c r="BP33" i="59"/>
  <c r="E34" i="59"/>
  <c r="H34" i="59"/>
  <c r="I34" i="59"/>
  <c r="J34" i="59"/>
  <c r="P34" i="59"/>
  <c r="S34" i="59"/>
  <c r="V34" i="59"/>
  <c r="W34" i="59"/>
  <c r="X34" i="59"/>
  <c r="Y34" i="59"/>
  <c r="Z34" i="59"/>
  <c r="AC34" i="59"/>
  <c r="AD34" i="59"/>
  <c r="AE34" i="59"/>
  <c r="AF34" i="59"/>
  <c r="AG34" i="59"/>
  <c r="AH34" i="59"/>
  <c r="AI34" i="59"/>
  <c r="AJ34" i="59"/>
  <c r="AK34" i="59"/>
  <c r="AL34" i="59"/>
  <c r="AM34" i="59"/>
  <c r="AN34" i="59"/>
  <c r="AQ34" i="59"/>
  <c r="AR34" i="59"/>
  <c r="AS34" i="59"/>
  <c r="AT34" i="59"/>
  <c r="AU34" i="59"/>
  <c r="AX34" i="59"/>
  <c r="AY34" i="59"/>
  <c r="AZ34" i="59"/>
  <c r="BA34" i="59"/>
  <c r="BB34" i="59"/>
  <c r="BC34" i="59"/>
  <c r="BD34" i="59"/>
  <c r="BE34" i="59"/>
  <c r="BF34" i="59"/>
  <c r="BG34" i="59"/>
  <c r="BH34" i="59"/>
  <c r="BI34" i="59"/>
  <c r="BJ34" i="59"/>
  <c r="BK34" i="59"/>
  <c r="BL34" i="59"/>
  <c r="BM34" i="59"/>
  <c r="BO34" i="59"/>
  <c r="BP34" i="59"/>
  <c r="E35" i="59"/>
  <c r="H35" i="59"/>
  <c r="I35" i="59"/>
  <c r="J35" i="59"/>
  <c r="P35" i="59"/>
  <c r="S35" i="59"/>
  <c r="V35" i="59"/>
  <c r="W35" i="59"/>
  <c r="X35" i="59"/>
  <c r="Y35" i="59"/>
  <c r="Z35" i="59"/>
  <c r="AC35" i="59"/>
  <c r="AD35" i="59"/>
  <c r="AE35" i="59"/>
  <c r="AF35" i="59"/>
  <c r="AG35" i="59"/>
  <c r="AH35" i="59"/>
  <c r="AI35" i="59"/>
  <c r="AJ35" i="59"/>
  <c r="AK35" i="59"/>
  <c r="AL35" i="59"/>
  <c r="AM35" i="59"/>
  <c r="AN35" i="59"/>
  <c r="AQ35" i="59"/>
  <c r="AR35" i="59"/>
  <c r="AS35" i="59"/>
  <c r="AT35" i="59"/>
  <c r="AU35" i="59"/>
  <c r="AX35" i="59"/>
  <c r="AY35" i="59"/>
  <c r="AZ35" i="59"/>
  <c r="BA35" i="59"/>
  <c r="BB35" i="59"/>
  <c r="BC35" i="59"/>
  <c r="BD35" i="59"/>
  <c r="BE35" i="59"/>
  <c r="BF35" i="59"/>
  <c r="BG35" i="59"/>
  <c r="BH35" i="59"/>
  <c r="BI35" i="59"/>
  <c r="BJ35" i="59"/>
  <c r="BK35" i="59"/>
  <c r="BL35" i="59"/>
  <c r="BM35" i="59"/>
  <c r="BO35" i="59"/>
  <c r="BP35" i="59"/>
  <c r="E36" i="59"/>
  <c r="H36" i="59"/>
  <c r="I36" i="59"/>
  <c r="J36" i="59"/>
  <c r="P36" i="59"/>
  <c r="S36" i="59"/>
  <c r="V36" i="59"/>
  <c r="W36" i="59"/>
  <c r="X36" i="59"/>
  <c r="Y36" i="59"/>
  <c r="Z36" i="59"/>
  <c r="AC36" i="59"/>
  <c r="AD36" i="59"/>
  <c r="AE36" i="59"/>
  <c r="AF36" i="59"/>
  <c r="AG36" i="59"/>
  <c r="AH36" i="59"/>
  <c r="AI36" i="59"/>
  <c r="AJ36" i="59"/>
  <c r="AK36" i="59"/>
  <c r="AL36" i="59"/>
  <c r="AM36" i="59"/>
  <c r="AN36" i="59"/>
  <c r="AQ36" i="59"/>
  <c r="AR36" i="59"/>
  <c r="AS36" i="59"/>
  <c r="AT36" i="59"/>
  <c r="AU36" i="59"/>
  <c r="AX36" i="59"/>
  <c r="AY36" i="59"/>
  <c r="AZ36" i="59"/>
  <c r="BA36" i="59"/>
  <c r="BB36" i="59"/>
  <c r="BC36" i="59"/>
  <c r="BD36" i="59"/>
  <c r="BE36" i="59"/>
  <c r="BF36" i="59"/>
  <c r="BG36" i="59"/>
  <c r="BH36" i="59"/>
  <c r="BI36" i="59"/>
  <c r="BJ36" i="59"/>
  <c r="BK36" i="59"/>
  <c r="BL36" i="59"/>
  <c r="BM36" i="59"/>
  <c r="BO36" i="59"/>
  <c r="BP36" i="59"/>
  <c r="E37" i="59"/>
  <c r="H37" i="59"/>
  <c r="I37" i="59"/>
  <c r="J37" i="59"/>
  <c r="P37" i="59"/>
  <c r="S37" i="59"/>
  <c r="V37" i="59"/>
  <c r="W37" i="59"/>
  <c r="X37" i="59"/>
  <c r="Y37" i="59"/>
  <c r="Z37" i="59"/>
  <c r="AC37" i="59"/>
  <c r="AD37" i="59"/>
  <c r="AE37" i="59"/>
  <c r="AF37" i="59"/>
  <c r="AG37" i="59"/>
  <c r="AH37" i="59"/>
  <c r="AI37" i="59"/>
  <c r="AJ37" i="59"/>
  <c r="AK37" i="59"/>
  <c r="AL37" i="59"/>
  <c r="AM37" i="59"/>
  <c r="AN37" i="59"/>
  <c r="AQ37" i="59"/>
  <c r="AR37" i="59"/>
  <c r="AS37" i="59"/>
  <c r="AT37" i="59"/>
  <c r="AU37" i="59"/>
  <c r="AX37" i="59"/>
  <c r="AY37" i="59"/>
  <c r="AZ37" i="59"/>
  <c r="BA37" i="59"/>
  <c r="BB37" i="59"/>
  <c r="BC37" i="59"/>
  <c r="BD37" i="59"/>
  <c r="BE37" i="59"/>
  <c r="BF37" i="59"/>
  <c r="BG37" i="59"/>
  <c r="BH37" i="59"/>
  <c r="BI37" i="59"/>
  <c r="BJ37" i="59"/>
  <c r="BK37" i="59"/>
  <c r="BL37" i="59"/>
  <c r="BM37" i="59"/>
  <c r="BO37" i="59"/>
  <c r="BP37" i="59"/>
  <c r="E38" i="59"/>
  <c r="H38" i="59"/>
  <c r="I38" i="59"/>
  <c r="J38" i="59"/>
  <c r="P38" i="59"/>
  <c r="S38" i="59"/>
  <c r="V38" i="59"/>
  <c r="W38" i="59"/>
  <c r="X38" i="59"/>
  <c r="Y38" i="59"/>
  <c r="Z38" i="59"/>
  <c r="AC38" i="59"/>
  <c r="AD38" i="59"/>
  <c r="AE38" i="59"/>
  <c r="AF38" i="59"/>
  <c r="AG38" i="59"/>
  <c r="AH38" i="59"/>
  <c r="AI38" i="59"/>
  <c r="AJ38" i="59"/>
  <c r="AK38" i="59"/>
  <c r="AL38" i="59"/>
  <c r="AM38" i="59"/>
  <c r="AN38" i="59"/>
  <c r="AQ38" i="59"/>
  <c r="AR38" i="59"/>
  <c r="AS38" i="59"/>
  <c r="AT38" i="59"/>
  <c r="AU38" i="59"/>
  <c r="AX38" i="59"/>
  <c r="AY38" i="59"/>
  <c r="AZ38" i="59"/>
  <c r="BA38" i="59"/>
  <c r="BB38" i="59"/>
  <c r="BC38" i="59"/>
  <c r="BD38" i="59"/>
  <c r="BE38" i="59"/>
  <c r="BF38" i="59"/>
  <c r="BG38" i="59"/>
  <c r="BH38" i="59"/>
  <c r="BI38" i="59"/>
  <c r="BJ38" i="59"/>
  <c r="BK38" i="59"/>
  <c r="BL38" i="59"/>
  <c r="BM38" i="59"/>
  <c r="BO38" i="59"/>
  <c r="BP38" i="59"/>
  <c r="E39" i="59"/>
  <c r="H39" i="59"/>
  <c r="I39" i="59"/>
  <c r="J39" i="59"/>
  <c r="P39" i="59"/>
  <c r="S39" i="59"/>
  <c r="V39" i="59"/>
  <c r="W39" i="59"/>
  <c r="X39" i="59"/>
  <c r="Y39" i="59"/>
  <c r="Z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Q39" i="59"/>
  <c r="AR39" i="59"/>
  <c r="AS39" i="59"/>
  <c r="AT39" i="59"/>
  <c r="AU39" i="59"/>
  <c r="AX39" i="59"/>
  <c r="AY39" i="59"/>
  <c r="AZ39" i="59"/>
  <c r="BA39" i="59"/>
  <c r="BB39" i="59"/>
  <c r="BC39" i="59"/>
  <c r="BD39" i="59"/>
  <c r="BE39" i="59"/>
  <c r="BF39" i="59"/>
  <c r="BG39" i="59"/>
  <c r="BH39" i="59"/>
  <c r="BI39" i="59"/>
  <c r="BJ39" i="59"/>
  <c r="BK39" i="59"/>
  <c r="BL39" i="59"/>
  <c r="BM39" i="59"/>
  <c r="BO39" i="59"/>
  <c r="BP39" i="59"/>
  <c r="E40" i="59"/>
  <c r="H40" i="59"/>
  <c r="I40" i="59"/>
  <c r="J40" i="59"/>
  <c r="P40" i="59"/>
  <c r="S40" i="59"/>
  <c r="V40" i="59"/>
  <c r="W40" i="59"/>
  <c r="X40" i="59"/>
  <c r="Y40" i="59"/>
  <c r="Z40" i="59"/>
  <c r="AC40" i="59"/>
  <c r="AD40" i="59"/>
  <c r="AE40" i="59"/>
  <c r="AF40" i="59"/>
  <c r="AG40" i="59"/>
  <c r="AH40" i="59"/>
  <c r="AI40" i="59"/>
  <c r="AJ40" i="59"/>
  <c r="AK40" i="59"/>
  <c r="AL40" i="59"/>
  <c r="AM40" i="59"/>
  <c r="AN40" i="59"/>
  <c r="AQ40" i="59"/>
  <c r="AR40" i="59"/>
  <c r="AS40" i="59"/>
  <c r="AT40" i="59"/>
  <c r="AU40" i="59"/>
  <c r="AX40" i="59"/>
  <c r="AY40" i="59"/>
  <c r="AZ40" i="59"/>
  <c r="BA40" i="59"/>
  <c r="BB40" i="59"/>
  <c r="BC40" i="59"/>
  <c r="BD40" i="59"/>
  <c r="BE40" i="59"/>
  <c r="BF40" i="59"/>
  <c r="BG40" i="59"/>
  <c r="BH40" i="59"/>
  <c r="BI40" i="59"/>
  <c r="BJ40" i="59"/>
  <c r="BK40" i="59"/>
  <c r="BL40" i="59"/>
  <c r="BM40" i="59"/>
  <c r="BO40" i="59"/>
  <c r="BP40" i="59"/>
  <c r="E21" i="1"/>
  <c r="H21" i="1"/>
  <c r="I21" i="1"/>
  <c r="J21" i="1"/>
  <c r="P21" i="1"/>
  <c r="S21" i="1"/>
  <c r="V21" i="1"/>
  <c r="W21" i="1"/>
  <c r="X21" i="1"/>
  <c r="Y21" i="1"/>
  <c r="Z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Q21" i="1"/>
  <c r="AR21" i="1"/>
  <c r="AS21" i="1"/>
  <c r="AT21" i="1"/>
  <c r="AU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O21" i="1"/>
  <c r="BP21" i="1"/>
  <c r="E22" i="1"/>
  <c r="H22" i="1"/>
  <c r="I22" i="1"/>
  <c r="J22" i="1"/>
  <c r="P22" i="1"/>
  <c r="S22" i="1"/>
  <c r="V22" i="1"/>
  <c r="W22" i="1"/>
  <c r="X22" i="1"/>
  <c r="Y22" i="1"/>
  <c r="Z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Q22" i="1"/>
  <c r="AR22" i="1"/>
  <c r="AS22" i="1"/>
  <c r="AT22" i="1"/>
  <c r="AU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O22" i="1"/>
  <c r="BP22" i="1"/>
  <c r="E23" i="1"/>
  <c r="H23" i="1"/>
  <c r="I23" i="1"/>
  <c r="J23" i="1"/>
  <c r="P23" i="1"/>
  <c r="S23" i="1"/>
  <c r="V23" i="1"/>
  <c r="W23" i="1"/>
  <c r="X23" i="1"/>
  <c r="Y23" i="1"/>
  <c r="Z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Q23" i="1"/>
  <c r="AR23" i="1"/>
  <c r="AS23" i="1"/>
  <c r="AT23" i="1"/>
  <c r="AU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O23" i="1"/>
  <c r="BP23" i="1"/>
  <c r="E24" i="1"/>
  <c r="H24" i="1"/>
  <c r="I24" i="1"/>
  <c r="J24" i="1"/>
  <c r="P24" i="1"/>
  <c r="S24" i="1"/>
  <c r="V24" i="1"/>
  <c r="W24" i="1"/>
  <c r="X24" i="1"/>
  <c r="Y24" i="1"/>
  <c r="Z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Q24" i="1"/>
  <c r="AR24" i="1"/>
  <c r="AS24" i="1"/>
  <c r="AT24" i="1"/>
  <c r="AU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O24" i="1"/>
  <c r="BP24" i="1"/>
  <c r="E25" i="1"/>
  <c r="H25" i="1"/>
  <c r="I25" i="1"/>
  <c r="J25" i="1"/>
  <c r="P25" i="1"/>
  <c r="S25" i="1"/>
  <c r="V25" i="1"/>
  <c r="W25" i="1"/>
  <c r="X25" i="1"/>
  <c r="Y25" i="1"/>
  <c r="Z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Q25" i="1"/>
  <c r="AR25" i="1"/>
  <c r="AS25" i="1"/>
  <c r="AT25" i="1"/>
  <c r="AU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O25" i="1"/>
  <c r="BP25" i="1"/>
  <c r="E26" i="1"/>
  <c r="H26" i="1"/>
  <c r="I26" i="1"/>
  <c r="J26" i="1"/>
  <c r="P26" i="1"/>
  <c r="S26" i="1"/>
  <c r="V26" i="1"/>
  <c r="W26" i="1"/>
  <c r="X26" i="1"/>
  <c r="Y26" i="1"/>
  <c r="Z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Q26" i="1"/>
  <c r="AR26" i="1"/>
  <c r="AS26" i="1"/>
  <c r="AT26" i="1"/>
  <c r="AU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O26" i="1"/>
  <c r="BP26" i="1"/>
  <c r="E27" i="1"/>
  <c r="H27" i="1"/>
  <c r="I27" i="1"/>
  <c r="J27" i="1"/>
  <c r="P27" i="1"/>
  <c r="S27" i="1"/>
  <c r="V27" i="1"/>
  <c r="W27" i="1"/>
  <c r="X27" i="1"/>
  <c r="Y27" i="1"/>
  <c r="Z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Q27" i="1"/>
  <c r="AR27" i="1"/>
  <c r="AS27" i="1"/>
  <c r="AT27" i="1"/>
  <c r="AU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O27" i="1"/>
  <c r="BP27" i="1"/>
  <c r="E28" i="1"/>
  <c r="H28" i="1"/>
  <c r="I28" i="1"/>
  <c r="J28" i="1"/>
  <c r="P28" i="1"/>
  <c r="S28" i="1"/>
  <c r="V28" i="1"/>
  <c r="W28" i="1"/>
  <c r="X28" i="1"/>
  <c r="Y28" i="1"/>
  <c r="Z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Q28" i="1"/>
  <c r="AR28" i="1"/>
  <c r="AS28" i="1"/>
  <c r="AT28" i="1"/>
  <c r="AU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O28" i="1"/>
  <c r="BP28" i="1"/>
  <c r="E29" i="1"/>
  <c r="H29" i="1"/>
  <c r="I29" i="1"/>
  <c r="J29" i="1"/>
  <c r="P29" i="1"/>
  <c r="S29" i="1"/>
  <c r="V29" i="1"/>
  <c r="W29" i="1"/>
  <c r="X29" i="1"/>
  <c r="Y29" i="1"/>
  <c r="Z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Q29" i="1"/>
  <c r="AR29" i="1"/>
  <c r="AS29" i="1"/>
  <c r="AT29" i="1"/>
  <c r="AU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O29" i="1"/>
  <c r="BP29" i="1"/>
  <c r="E30" i="1"/>
  <c r="H30" i="1"/>
  <c r="I30" i="1"/>
  <c r="J30" i="1"/>
  <c r="P30" i="1"/>
  <c r="S30" i="1"/>
  <c r="V30" i="1"/>
  <c r="W30" i="1"/>
  <c r="X30" i="1"/>
  <c r="Y30" i="1"/>
  <c r="Z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Q30" i="1"/>
  <c r="AR30" i="1"/>
  <c r="AS30" i="1"/>
  <c r="AT30" i="1"/>
  <c r="AU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O30" i="1"/>
  <c r="BP30" i="1"/>
  <c r="E31" i="1"/>
  <c r="H31" i="1"/>
  <c r="I31" i="1"/>
  <c r="J31" i="1"/>
  <c r="P31" i="1"/>
  <c r="S31" i="1"/>
  <c r="V31" i="1"/>
  <c r="W31" i="1"/>
  <c r="X31" i="1"/>
  <c r="Y31" i="1"/>
  <c r="Z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Q31" i="1"/>
  <c r="AR31" i="1"/>
  <c r="AS31" i="1"/>
  <c r="AT31" i="1"/>
  <c r="AU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O31" i="1"/>
  <c r="BP31" i="1"/>
  <c r="E32" i="1"/>
  <c r="H32" i="1"/>
  <c r="I32" i="1"/>
  <c r="J32" i="1"/>
  <c r="P32" i="1"/>
  <c r="S32" i="1"/>
  <c r="V32" i="1"/>
  <c r="W32" i="1"/>
  <c r="X32" i="1"/>
  <c r="Y32" i="1"/>
  <c r="Z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Q32" i="1"/>
  <c r="AR32" i="1"/>
  <c r="AS32" i="1"/>
  <c r="AT32" i="1"/>
  <c r="AU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O32" i="1"/>
  <c r="BP32" i="1"/>
  <c r="E33" i="1"/>
  <c r="H33" i="1"/>
  <c r="I33" i="1"/>
  <c r="J33" i="1"/>
  <c r="P33" i="1"/>
  <c r="S33" i="1"/>
  <c r="V33" i="1"/>
  <c r="W33" i="1"/>
  <c r="X33" i="1"/>
  <c r="Y33" i="1"/>
  <c r="Z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Q33" i="1"/>
  <c r="AR33" i="1"/>
  <c r="AS33" i="1"/>
  <c r="AT33" i="1"/>
  <c r="AU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O33" i="1"/>
  <c r="BP33" i="1"/>
  <c r="E34" i="1"/>
  <c r="H34" i="1"/>
  <c r="I34" i="1"/>
  <c r="J34" i="1"/>
  <c r="P34" i="1"/>
  <c r="S34" i="1"/>
  <c r="V34" i="1"/>
  <c r="W34" i="1"/>
  <c r="X34" i="1"/>
  <c r="Y34" i="1"/>
  <c r="Z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Q34" i="1"/>
  <c r="AR34" i="1"/>
  <c r="AS34" i="1"/>
  <c r="AT34" i="1"/>
  <c r="AU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O34" i="1"/>
  <c r="BP34" i="1"/>
  <c r="E35" i="1"/>
  <c r="H35" i="1"/>
  <c r="I35" i="1"/>
  <c r="J35" i="1"/>
  <c r="P35" i="1"/>
  <c r="S35" i="1"/>
  <c r="V35" i="1"/>
  <c r="W35" i="1"/>
  <c r="X35" i="1"/>
  <c r="Y35" i="1"/>
  <c r="Z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Q35" i="1"/>
  <c r="AR35" i="1"/>
  <c r="AS35" i="1"/>
  <c r="AT35" i="1"/>
  <c r="AU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O35" i="1"/>
  <c r="BP35" i="1"/>
  <c r="E36" i="1"/>
  <c r="H36" i="1"/>
  <c r="I36" i="1"/>
  <c r="J36" i="1"/>
  <c r="P36" i="1"/>
  <c r="S36" i="1"/>
  <c r="V36" i="1"/>
  <c r="W36" i="1"/>
  <c r="X36" i="1"/>
  <c r="Y36" i="1"/>
  <c r="Z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Q36" i="1"/>
  <c r="AR36" i="1"/>
  <c r="AS36" i="1"/>
  <c r="AT36" i="1"/>
  <c r="AU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O36" i="1"/>
  <c r="BP36" i="1"/>
  <c r="E37" i="1"/>
  <c r="H37" i="1"/>
  <c r="I37" i="1"/>
  <c r="J37" i="1"/>
  <c r="P37" i="1"/>
  <c r="S37" i="1"/>
  <c r="V37" i="1"/>
  <c r="W37" i="1"/>
  <c r="X37" i="1"/>
  <c r="Y37" i="1"/>
  <c r="Z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Q37" i="1"/>
  <c r="AR37" i="1"/>
  <c r="AS37" i="1"/>
  <c r="AT37" i="1"/>
  <c r="AU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O37" i="1"/>
  <c r="BP37" i="1"/>
  <c r="E38" i="1"/>
  <c r="H38" i="1"/>
  <c r="I38" i="1"/>
  <c r="J38" i="1"/>
  <c r="P38" i="1"/>
  <c r="S38" i="1"/>
  <c r="V38" i="1"/>
  <c r="W38" i="1"/>
  <c r="X38" i="1"/>
  <c r="Y38" i="1"/>
  <c r="Z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Q38" i="1"/>
  <c r="AR38" i="1"/>
  <c r="AS38" i="1"/>
  <c r="AT38" i="1"/>
  <c r="AU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O38" i="1"/>
  <c r="BP38" i="1"/>
  <c r="E39" i="1"/>
  <c r="H39" i="1"/>
  <c r="I39" i="1"/>
  <c r="J39" i="1"/>
  <c r="P39" i="1"/>
  <c r="S39" i="1"/>
  <c r="V39" i="1"/>
  <c r="W39" i="1"/>
  <c r="X39" i="1"/>
  <c r="Y39" i="1"/>
  <c r="Z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Q39" i="1"/>
  <c r="AR39" i="1"/>
  <c r="AS39" i="1"/>
  <c r="AT39" i="1"/>
  <c r="AU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O39" i="1"/>
  <c r="BP39" i="1"/>
  <c r="E40" i="1"/>
  <c r="H40" i="1"/>
  <c r="I40" i="1"/>
  <c r="J40" i="1"/>
  <c r="P40" i="1"/>
  <c r="S40" i="1"/>
  <c r="V40" i="1"/>
  <c r="W40" i="1"/>
  <c r="X40" i="1"/>
  <c r="Y40" i="1"/>
  <c r="Z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Q40" i="1"/>
  <c r="AR40" i="1"/>
  <c r="AS40" i="1"/>
  <c r="AT40" i="1"/>
  <c r="AU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O40" i="1"/>
  <c r="BP40" i="1"/>
  <c r="E21" i="38"/>
  <c r="H21" i="38"/>
  <c r="I21" i="38"/>
  <c r="J21" i="38"/>
  <c r="P21" i="38"/>
  <c r="S21" i="38"/>
  <c r="V21" i="38"/>
  <c r="W21" i="38"/>
  <c r="X21" i="38"/>
  <c r="Y21" i="38"/>
  <c r="Z21" i="38"/>
  <c r="AC21" i="38"/>
  <c r="AD21" i="38"/>
  <c r="AE21" i="38"/>
  <c r="AF21" i="38"/>
  <c r="AG21" i="38"/>
  <c r="AH21" i="38"/>
  <c r="AI21" i="38"/>
  <c r="AJ21" i="38"/>
  <c r="AK21" i="38"/>
  <c r="AL21" i="38"/>
  <c r="AM21" i="38"/>
  <c r="AN21" i="38"/>
  <c r="AQ21" i="38"/>
  <c r="AR21" i="38"/>
  <c r="AS21" i="38"/>
  <c r="AT21" i="38"/>
  <c r="AU21" i="38"/>
  <c r="AX21" i="38"/>
  <c r="AY21" i="38"/>
  <c r="AZ21" i="38"/>
  <c r="BA21" i="38"/>
  <c r="BB21" i="38"/>
  <c r="BC21" i="38"/>
  <c r="BD21" i="38"/>
  <c r="BE21" i="38"/>
  <c r="BF21" i="38"/>
  <c r="BG21" i="38"/>
  <c r="BH21" i="38"/>
  <c r="BI21" i="38"/>
  <c r="BJ21" i="38"/>
  <c r="BK21" i="38"/>
  <c r="BL21" i="38"/>
  <c r="BM21" i="38"/>
  <c r="BO21" i="38"/>
  <c r="BP21" i="38"/>
  <c r="E22" i="38"/>
  <c r="H22" i="38"/>
  <c r="I22" i="38"/>
  <c r="J22" i="38"/>
  <c r="P22" i="38"/>
  <c r="S22" i="38"/>
  <c r="V22" i="38"/>
  <c r="W22" i="38"/>
  <c r="X22" i="38"/>
  <c r="Y22" i="38"/>
  <c r="Z22" i="38"/>
  <c r="AC22" i="38"/>
  <c r="AD22" i="38"/>
  <c r="AE22" i="38"/>
  <c r="AF22" i="38"/>
  <c r="AG22" i="38"/>
  <c r="AH22" i="38"/>
  <c r="AI22" i="38"/>
  <c r="AJ22" i="38"/>
  <c r="AK22" i="38"/>
  <c r="AL22" i="38"/>
  <c r="AM22" i="38"/>
  <c r="AN22" i="38"/>
  <c r="AQ22" i="38"/>
  <c r="AR22" i="38"/>
  <c r="AS22" i="38"/>
  <c r="AT22" i="38"/>
  <c r="AU22" i="38"/>
  <c r="AX22" i="38"/>
  <c r="AY22" i="38"/>
  <c r="AZ22" i="38"/>
  <c r="BA22" i="38"/>
  <c r="BB22" i="38"/>
  <c r="BC22" i="38"/>
  <c r="BD22" i="38"/>
  <c r="BE22" i="38"/>
  <c r="BF22" i="38"/>
  <c r="BG22" i="38"/>
  <c r="BH22" i="38"/>
  <c r="BI22" i="38"/>
  <c r="BJ22" i="38"/>
  <c r="BK22" i="38"/>
  <c r="BL22" i="38"/>
  <c r="BM22" i="38"/>
  <c r="BO22" i="38"/>
  <c r="BP22" i="38"/>
  <c r="E23" i="38"/>
  <c r="H23" i="38"/>
  <c r="I23" i="38"/>
  <c r="J23" i="38"/>
  <c r="P23" i="38"/>
  <c r="S23" i="38"/>
  <c r="V23" i="38"/>
  <c r="W23" i="38"/>
  <c r="X23" i="38"/>
  <c r="Y23" i="38"/>
  <c r="Z23" i="38"/>
  <c r="AC23" i="38"/>
  <c r="AD23" i="38"/>
  <c r="AE23" i="38"/>
  <c r="AF23" i="38"/>
  <c r="AG23" i="38"/>
  <c r="AH23" i="38"/>
  <c r="AI23" i="38"/>
  <c r="AJ23" i="38"/>
  <c r="AK23" i="38"/>
  <c r="AL23" i="38"/>
  <c r="AM23" i="38"/>
  <c r="AN23" i="38"/>
  <c r="AQ23" i="38"/>
  <c r="AR23" i="38"/>
  <c r="AS23" i="38"/>
  <c r="AT23" i="38"/>
  <c r="AU23" i="38"/>
  <c r="AX23" i="38"/>
  <c r="AY23" i="38"/>
  <c r="AZ23" i="38"/>
  <c r="BA23" i="38"/>
  <c r="BB23" i="38"/>
  <c r="BC23" i="38"/>
  <c r="BD23" i="38"/>
  <c r="BE23" i="38"/>
  <c r="BF23" i="38"/>
  <c r="BG23" i="38"/>
  <c r="BH23" i="38"/>
  <c r="BI23" i="38"/>
  <c r="BJ23" i="38"/>
  <c r="BK23" i="38"/>
  <c r="BL23" i="38"/>
  <c r="BM23" i="38"/>
  <c r="BO23" i="38"/>
  <c r="BP23" i="38"/>
  <c r="E24" i="38"/>
  <c r="H24" i="38"/>
  <c r="I24" i="38"/>
  <c r="J24" i="38"/>
  <c r="P24" i="38"/>
  <c r="S24" i="38"/>
  <c r="V24" i="38"/>
  <c r="W24" i="38"/>
  <c r="X24" i="38"/>
  <c r="Y24" i="38"/>
  <c r="Z24" i="38"/>
  <c r="AC24" i="38"/>
  <c r="AD24" i="38"/>
  <c r="AE24" i="38"/>
  <c r="AF24" i="38"/>
  <c r="AG24" i="38"/>
  <c r="AH24" i="38"/>
  <c r="AI24" i="38"/>
  <c r="AJ24" i="38"/>
  <c r="AK24" i="38"/>
  <c r="AL24" i="38"/>
  <c r="AM24" i="38"/>
  <c r="AN24" i="38"/>
  <c r="AQ24" i="38"/>
  <c r="AR24" i="38"/>
  <c r="AS24" i="38"/>
  <c r="AT24" i="38"/>
  <c r="AU24" i="38"/>
  <c r="AX24" i="38"/>
  <c r="AY24" i="38"/>
  <c r="AZ24" i="38"/>
  <c r="BA24" i="38"/>
  <c r="BB24" i="38"/>
  <c r="BC24" i="38"/>
  <c r="BD24" i="38"/>
  <c r="BE24" i="38"/>
  <c r="BF24" i="38"/>
  <c r="BG24" i="38"/>
  <c r="BH24" i="38"/>
  <c r="BI24" i="38"/>
  <c r="BJ24" i="38"/>
  <c r="BK24" i="38"/>
  <c r="BL24" i="38"/>
  <c r="BM24" i="38"/>
  <c r="BO24" i="38"/>
  <c r="BP24" i="38"/>
  <c r="E25" i="38"/>
  <c r="H25" i="38"/>
  <c r="I25" i="38"/>
  <c r="J25" i="38"/>
  <c r="P25" i="38"/>
  <c r="S25" i="38"/>
  <c r="V25" i="38"/>
  <c r="W25" i="38"/>
  <c r="X25" i="38"/>
  <c r="Y25" i="38"/>
  <c r="Z25" i="38"/>
  <c r="AC25" i="38"/>
  <c r="AD25" i="38"/>
  <c r="AE25" i="38"/>
  <c r="AF25" i="38"/>
  <c r="AG25" i="38"/>
  <c r="AH25" i="38"/>
  <c r="AI25" i="38"/>
  <c r="AJ25" i="38"/>
  <c r="AK25" i="38"/>
  <c r="AL25" i="38"/>
  <c r="AM25" i="38"/>
  <c r="AN25" i="38"/>
  <c r="AQ25" i="38"/>
  <c r="AR25" i="38"/>
  <c r="AS25" i="38"/>
  <c r="AT25" i="38"/>
  <c r="AU25" i="38"/>
  <c r="AX25" i="38"/>
  <c r="AY25" i="38"/>
  <c r="AZ25" i="38"/>
  <c r="BA25" i="38"/>
  <c r="BB25" i="38"/>
  <c r="BC25" i="38"/>
  <c r="BD25" i="38"/>
  <c r="BE25" i="38"/>
  <c r="BF25" i="38"/>
  <c r="BG25" i="38"/>
  <c r="BH25" i="38"/>
  <c r="BI25" i="38"/>
  <c r="BJ25" i="38"/>
  <c r="BK25" i="38"/>
  <c r="BL25" i="38"/>
  <c r="BM25" i="38"/>
  <c r="BO25" i="38"/>
  <c r="BP25" i="38"/>
  <c r="E26" i="38"/>
  <c r="H26" i="38"/>
  <c r="I26" i="38"/>
  <c r="J26" i="38"/>
  <c r="P26" i="38"/>
  <c r="S26" i="38"/>
  <c r="V26" i="38"/>
  <c r="W26" i="38"/>
  <c r="X26" i="38"/>
  <c r="Y26" i="38"/>
  <c r="Z26" i="38"/>
  <c r="AC26" i="38"/>
  <c r="AD26" i="38"/>
  <c r="AE26" i="38"/>
  <c r="AF26" i="38"/>
  <c r="AG26" i="38"/>
  <c r="AH26" i="38"/>
  <c r="AI26" i="38"/>
  <c r="AJ26" i="38"/>
  <c r="AK26" i="38"/>
  <c r="AL26" i="38"/>
  <c r="AM26" i="38"/>
  <c r="AN26" i="38"/>
  <c r="AQ26" i="38"/>
  <c r="AR26" i="38"/>
  <c r="AS26" i="38"/>
  <c r="AT26" i="38"/>
  <c r="AU26" i="38"/>
  <c r="AX26" i="38"/>
  <c r="AY26" i="38"/>
  <c r="AZ26" i="38"/>
  <c r="BA26" i="38"/>
  <c r="BB26" i="38"/>
  <c r="BC26" i="38"/>
  <c r="BD26" i="38"/>
  <c r="BE26" i="38"/>
  <c r="BF26" i="38"/>
  <c r="BG26" i="38"/>
  <c r="BH26" i="38"/>
  <c r="BI26" i="38"/>
  <c r="BJ26" i="38"/>
  <c r="BK26" i="38"/>
  <c r="BL26" i="38"/>
  <c r="BM26" i="38"/>
  <c r="BO26" i="38"/>
  <c r="BP26" i="38"/>
  <c r="E27" i="38"/>
  <c r="H27" i="38"/>
  <c r="I27" i="38"/>
  <c r="J27" i="38"/>
  <c r="P27" i="38"/>
  <c r="S27" i="38"/>
  <c r="V27" i="38"/>
  <c r="W27" i="38"/>
  <c r="X27" i="38"/>
  <c r="Y27" i="38"/>
  <c r="Z27" i="38"/>
  <c r="AC27" i="38"/>
  <c r="AD27" i="38"/>
  <c r="AE27" i="38"/>
  <c r="AF27" i="38"/>
  <c r="AG27" i="38"/>
  <c r="AH27" i="38"/>
  <c r="AI27" i="38"/>
  <c r="AJ27" i="38"/>
  <c r="AK27" i="38"/>
  <c r="AL27" i="38"/>
  <c r="AM27" i="38"/>
  <c r="AN27" i="38"/>
  <c r="AQ27" i="38"/>
  <c r="AR27" i="38"/>
  <c r="AS27" i="38"/>
  <c r="AT27" i="38"/>
  <c r="AU27" i="38"/>
  <c r="AX27" i="38"/>
  <c r="AY27" i="38"/>
  <c r="AZ27" i="38"/>
  <c r="BA27" i="38"/>
  <c r="BB27" i="38"/>
  <c r="BC27" i="38"/>
  <c r="BD27" i="38"/>
  <c r="BE27" i="38"/>
  <c r="BF27" i="38"/>
  <c r="BG27" i="38"/>
  <c r="BH27" i="38"/>
  <c r="BI27" i="38"/>
  <c r="BJ27" i="38"/>
  <c r="BK27" i="38"/>
  <c r="BL27" i="38"/>
  <c r="BM27" i="38"/>
  <c r="BO27" i="38"/>
  <c r="BP27" i="38"/>
  <c r="E28" i="38"/>
  <c r="H28" i="38"/>
  <c r="I28" i="38"/>
  <c r="J28" i="38"/>
  <c r="P28" i="38"/>
  <c r="S28" i="38"/>
  <c r="V28" i="38"/>
  <c r="W28" i="38"/>
  <c r="X28" i="38"/>
  <c r="Y28" i="38"/>
  <c r="Z28" i="38"/>
  <c r="AC28" i="38"/>
  <c r="AD28" i="38"/>
  <c r="AE28" i="38"/>
  <c r="AF28" i="38"/>
  <c r="AG28" i="38"/>
  <c r="AH28" i="38"/>
  <c r="AI28" i="38"/>
  <c r="AJ28" i="38"/>
  <c r="AK28" i="38"/>
  <c r="AL28" i="38"/>
  <c r="AM28" i="38"/>
  <c r="AN28" i="38"/>
  <c r="AQ28" i="38"/>
  <c r="AR28" i="38"/>
  <c r="AS28" i="38"/>
  <c r="AT28" i="38"/>
  <c r="AU28" i="38"/>
  <c r="AX28" i="38"/>
  <c r="AY28" i="38"/>
  <c r="AZ28" i="38"/>
  <c r="BA28" i="38"/>
  <c r="BB28" i="38"/>
  <c r="BC28" i="38"/>
  <c r="BD28" i="38"/>
  <c r="BE28" i="38"/>
  <c r="BF28" i="38"/>
  <c r="BG28" i="38"/>
  <c r="BH28" i="38"/>
  <c r="BI28" i="38"/>
  <c r="BJ28" i="38"/>
  <c r="BK28" i="38"/>
  <c r="BL28" i="38"/>
  <c r="BM28" i="38"/>
  <c r="BO28" i="38"/>
  <c r="BP28" i="38"/>
  <c r="E29" i="38"/>
  <c r="H29" i="38"/>
  <c r="I29" i="38"/>
  <c r="J29" i="38"/>
  <c r="P29" i="38"/>
  <c r="S29" i="38"/>
  <c r="V29" i="38"/>
  <c r="W29" i="38"/>
  <c r="X29" i="38"/>
  <c r="Y29" i="38"/>
  <c r="Z29" i="38"/>
  <c r="AC29" i="38"/>
  <c r="AD29" i="38"/>
  <c r="AE29" i="38"/>
  <c r="AF29" i="38"/>
  <c r="AG29" i="38"/>
  <c r="AH29" i="38"/>
  <c r="AI29" i="38"/>
  <c r="AJ29" i="38"/>
  <c r="AK29" i="38"/>
  <c r="AL29" i="38"/>
  <c r="AM29" i="38"/>
  <c r="AN29" i="38"/>
  <c r="AQ29" i="38"/>
  <c r="AR29" i="38"/>
  <c r="AS29" i="38"/>
  <c r="AT29" i="38"/>
  <c r="AU29" i="38"/>
  <c r="AX29" i="38"/>
  <c r="AY29" i="38"/>
  <c r="AZ29" i="38"/>
  <c r="BA29" i="38"/>
  <c r="BB29" i="38"/>
  <c r="BC29" i="38"/>
  <c r="BD29" i="38"/>
  <c r="BE29" i="38"/>
  <c r="BF29" i="38"/>
  <c r="BG29" i="38"/>
  <c r="BH29" i="38"/>
  <c r="BI29" i="38"/>
  <c r="BJ29" i="38"/>
  <c r="BK29" i="38"/>
  <c r="BL29" i="38"/>
  <c r="BM29" i="38"/>
  <c r="BO29" i="38"/>
  <c r="BP29" i="38"/>
  <c r="E30" i="38"/>
  <c r="H30" i="38"/>
  <c r="I30" i="38"/>
  <c r="J30" i="38"/>
  <c r="P30" i="38"/>
  <c r="S30" i="38"/>
  <c r="V30" i="38"/>
  <c r="W30" i="38"/>
  <c r="X30" i="38"/>
  <c r="Y30" i="38"/>
  <c r="Z30" i="38"/>
  <c r="AC30" i="38"/>
  <c r="AD30" i="38"/>
  <c r="AE30" i="38"/>
  <c r="AF30" i="38"/>
  <c r="AG30" i="38"/>
  <c r="AH30" i="38"/>
  <c r="AI30" i="38"/>
  <c r="AJ30" i="38"/>
  <c r="AK30" i="38"/>
  <c r="AL30" i="38"/>
  <c r="AM30" i="38"/>
  <c r="AN30" i="38"/>
  <c r="AQ30" i="38"/>
  <c r="AR30" i="38"/>
  <c r="AS30" i="38"/>
  <c r="AT30" i="38"/>
  <c r="AU30" i="38"/>
  <c r="AX30" i="38"/>
  <c r="AY30" i="38"/>
  <c r="AZ30" i="38"/>
  <c r="BA30" i="38"/>
  <c r="BB30" i="38"/>
  <c r="BC30" i="38"/>
  <c r="BD30" i="38"/>
  <c r="BE30" i="38"/>
  <c r="BF30" i="38"/>
  <c r="BG30" i="38"/>
  <c r="BH30" i="38"/>
  <c r="BI30" i="38"/>
  <c r="BJ30" i="38"/>
  <c r="BK30" i="38"/>
  <c r="BL30" i="38"/>
  <c r="BM30" i="38"/>
  <c r="BO30" i="38"/>
  <c r="BP30" i="38"/>
  <c r="E31" i="38"/>
  <c r="H31" i="38"/>
  <c r="I31" i="38"/>
  <c r="J31" i="38"/>
  <c r="P31" i="38"/>
  <c r="S31" i="38"/>
  <c r="V31" i="38"/>
  <c r="W31" i="38"/>
  <c r="X31" i="38"/>
  <c r="Y31" i="38"/>
  <c r="Z31" i="38"/>
  <c r="AC31" i="38"/>
  <c r="AD31" i="38"/>
  <c r="AE31" i="38"/>
  <c r="AF31" i="38"/>
  <c r="AG31" i="38"/>
  <c r="AH31" i="38"/>
  <c r="AI31" i="38"/>
  <c r="AJ31" i="38"/>
  <c r="AK31" i="38"/>
  <c r="AL31" i="38"/>
  <c r="AM31" i="38"/>
  <c r="AN31" i="38"/>
  <c r="AQ31" i="38"/>
  <c r="AR31" i="38"/>
  <c r="AS31" i="38"/>
  <c r="AT31" i="38"/>
  <c r="AU31" i="38"/>
  <c r="AX31" i="38"/>
  <c r="AY31" i="38"/>
  <c r="AZ31" i="38"/>
  <c r="BA31" i="38"/>
  <c r="BB31" i="38"/>
  <c r="BC31" i="38"/>
  <c r="BD31" i="38"/>
  <c r="BE31" i="38"/>
  <c r="BF31" i="38"/>
  <c r="BG31" i="38"/>
  <c r="BH31" i="38"/>
  <c r="BI31" i="38"/>
  <c r="BJ31" i="38"/>
  <c r="BK31" i="38"/>
  <c r="BL31" i="38"/>
  <c r="BM31" i="38"/>
  <c r="BO31" i="38"/>
  <c r="BP31" i="38"/>
  <c r="E32" i="38"/>
  <c r="H32" i="38"/>
  <c r="I32" i="38"/>
  <c r="J32" i="38"/>
  <c r="P32" i="38"/>
  <c r="S32" i="38"/>
  <c r="V32" i="38"/>
  <c r="W32" i="38"/>
  <c r="X32" i="38"/>
  <c r="Y32" i="38"/>
  <c r="Z32" i="38"/>
  <c r="AC32" i="38"/>
  <c r="AD32" i="38"/>
  <c r="AE32" i="38"/>
  <c r="AF32" i="38"/>
  <c r="AG32" i="38"/>
  <c r="AH32" i="38"/>
  <c r="AI32" i="38"/>
  <c r="AJ32" i="38"/>
  <c r="AK32" i="38"/>
  <c r="AL32" i="38"/>
  <c r="AM32" i="38"/>
  <c r="AN32" i="38"/>
  <c r="AQ32" i="38"/>
  <c r="AR32" i="38"/>
  <c r="AS32" i="38"/>
  <c r="AT32" i="38"/>
  <c r="AU32" i="38"/>
  <c r="AX32" i="38"/>
  <c r="AY32" i="38"/>
  <c r="AZ32" i="38"/>
  <c r="BA32" i="38"/>
  <c r="BB32" i="38"/>
  <c r="BC32" i="38"/>
  <c r="BD32" i="38"/>
  <c r="BE32" i="38"/>
  <c r="BF32" i="38"/>
  <c r="BG32" i="38"/>
  <c r="BH32" i="38"/>
  <c r="BI32" i="38"/>
  <c r="BJ32" i="38"/>
  <c r="BK32" i="38"/>
  <c r="BL32" i="38"/>
  <c r="BM32" i="38"/>
  <c r="BO32" i="38"/>
  <c r="BP32" i="38"/>
  <c r="E33" i="38"/>
  <c r="H33" i="38"/>
  <c r="I33" i="38"/>
  <c r="J33" i="38"/>
  <c r="P33" i="38"/>
  <c r="S33" i="38"/>
  <c r="V33" i="38"/>
  <c r="W33" i="38"/>
  <c r="X33" i="38"/>
  <c r="Y33" i="38"/>
  <c r="Z33" i="38"/>
  <c r="AC33" i="38"/>
  <c r="AD33" i="38"/>
  <c r="AE33" i="38"/>
  <c r="AF33" i="38"/>
  <c r="AG33" i="38"/>
  <c r="AH33" i="38"/>
  <c r="AI33" i="38"/>
  <c r="AJ33" i="38"/>
  <c r="AK33" i="38"/>
  <c r="AL33" i="38"/>
  <c r="AM33" i="38"/>
  <c r="AN33" i="38"/>
  <c r="AQ33" i="38"/>
  <c r="AR33" i="38"/>
  <c r="AS33" i="38"/>
  <c r="AT33" i="38"/>
  <c r="AU33" i="38"/>
  <c r="AX33" i="38"/>
  <c r="AY33" i="38"/>
  <c r="AZ33" i="38"/>
  <c r="BA33" i="38"/>
  <c r="BB33" i="38"/>
  <c r="BC33" i="38"/>
  <c r="BD33" i="38"/>
  <c r="BE33" i="38"/>
  <c r="BF33" i="38"/>
  <c r="BG33" i="38"/>
  <c r="BH33" i="38"/>
  <c r="BI33" i="38"/>
  <c r="BJ33" i="38"/>
  <c r="BK33" i="38"/>
  <c r="BL33" i="38"/>
  <c r="BM33" i="38"/>
  <c r="BO33" i="38"/>
  <c r="BP33" i="38"/>
  <c r="E34" i="38"/>
  <c r="H34" i="38"/>
  <c r="I34" i="38"/>
  <c r="J34" i="38"/>
  <c r="P34" i="38"/>
  <c r="S34" i="38"/>
  <c r="V34" i="38"/>
  <c r="W34" i="38"/>
  <c r="X34" i="38"/>
  <c r="Y34" i="38"/>
  <c r="Z34" i="38"/>
  <c r="AC34" i="38"/>
  <c r="AD34" i="38"/>
  <c r="AE34" i="38"/>
  <c r="AF34" i="38"/>
  <c r="AG34" i="38"/>
  <c r="AH34" i="38"/>
  <c r="AI34" i="38"/>
  <c r="AJ34" i="38"/>
  <c r="AK34" i="38"/>
  <c r="AL34" i="38"/>
  <c r="AM34" i="38"/>
  <c r="AN34" i="38"/>
  <c r="AQ34" i="38"/>
  <c r="AR34" i="38"/>
  <c r="AS34" i="38"/>
  <c r="AT34" i="38"/>
  <c r="AU34" i="38"/>
  <c r="AX34" i="38"/>
  <c r="AY34" i="38"/>
  <c r="AZ34" i="38"/>
  <c r="BA34" i="38"/>
  <c r="BB34" i="38"/>
  <c r="BC34" i="38"/>
  <c r="BD34" i="38"/>
  <c r="BE34" i="38"/>
  <c r="BF34" i="38"/>
  <c r="BG34" i="38"/>
  <c r="BH34" i="38"/>
  <c r="BI34" i="38"/>
  <c r="BJ34" i="38"/>
  <c r="BK34" i="38"/>
  <c r="BL34" i="38"/>
  <c r="BM34" i="38"/>
  <c r="BO34" i="38"/>
  <c r="BP34" i="38"/>
  <c r="E35" i="38"/>
  <c r="H35" i="38"/>
  <c r="I35" i="38"/>
  <c r="J35" i="38"/>
  <c r="P35" i="38"/>
  <c r="S35" i="38"/>
  <c r="V35" i="38"/>
  <c r="W35" i="38"/>
  <c r="X35" i="38"/>
  <c r="Y35" i="38"/>
  <c r="Z35" i="38"/>
  <c r="AC35" i="38"/>
  <c r="AD35" i="38"/>
  <c r="AE35" i="38"/>
  <c r="AF35" i="38"/>
  <c r="AG35" i="38"/>
  <c r="AH35" i="38"/>
  <c r="AI35" i="38"/>
  <c r="AJ35" i="38"/>
  <c r="AK35" i="38"/>
  <c r="AL35" i="38"/>
  <c r="AM35" i="38"/>
  <c r="AN35" i="38"/>
  <c r="AQ35" i="38"/>
  <c r="AR35" i="38"/>
  <c r="AS35" i="38"/>
  <c r="AT35" i="38"/>
  <c r="AU35" i="38"/>
  <c r="AX35" i="38"/>
  <c r="AY35" i="38"/>
  <c r="AZ35" i="38"/>
  <c r="BA35" i="38"/>
  <c r="BB35" i="38"/>
  <c r="BC35" i="38"/>
  <c r="BD35" i="38"/>
  <c r="BE35" i="38"/>
  <c r="BF35" i="38"/>
  <c r="BG35" i="38"/>
  <c r="BH35" i="38"/>
  <c r="BI35" i="38"/>
  <c r="BJ35" i="38"/>
  <c r="BK35" i="38"/>
  <c r="BL35" i="38"/>
  <c r="BM35" i="38"/>
  <c r="BO35" i="38"/>
  <c r="BP35" i="38"/>
  <c r="E36" i="38"/>
  <c r="H36" i="38"/>
  <c r="I36" i="38"/>
  <c r="J36" i="38"/>
  <c r="P36" i="38"/>
  <c r="S36" i="38"/>
  <c r="V36" i="38"/>
  <c r="W36" i="38"/>
  <c r="X36" i="38"/>
  <c r="Y36" i="38"/>
  <c r="Z36" i="38"/>
  <c r="AC36" i="38"/>
  <c r="AD36" i="38"/>
  <c r="AE36" i="38"/>
  <c r="AF36" i="38"/>
  <c r="AG36" i="38"/>
  <c r="AH36" i="38"/>
  <c r="AI36" i="38"/>
  <c r="AJ36" i="38"/>
  <c r="AK36" i="38"/>
  <c r="AL36" i="38"/>
  <c r="AM36" i="38"/>
  <c r="AN36" i="38"/>
  <c r="AQ36" i="38"/>
  <c r="AR36" i="38"/>
  <c r="AS36" i="38"/>
  <c r="AT36" i="38"/>
  <c r="AU36" i="38"/>
  <c r="AX36" i="38"/>
  <c r="AY36" i="38"/>
  <c r="AZ36" i="38"/>
  <c r="BA36" i="38"/>
  <c r="BB36" i="38"/>
  <c r="BC36" i="38"/>
  <c r="BD36" i="38"/>
  <c r="BE36" i="38"/>
  <c r="BF36" i="38"/>
  <c r="BG36" i="38"/>
  <c r="BH36" i="38"/>
  <c r="BI36" i="38"/>
  <c r="BJ36" i="38"/>
  <c r="BK36" i="38"/>
  <c r="BL36" i="38"/>
  <c r="BM36" i="38"/>
  <c r="BO36" i="38"/>
  <c r="BP36" i="38"/>
  <c r="E37" i="38"/>
  <c r="H37" i="38"/>
  <c r="I37" i="38"/>
  <c r="J37" i="38"/>
  <c r="P37" i="38"/>
  <c r="S37" i="38"/>
  <c r="V37" i="38"/>
  <c r="W37" i="38"/>
  <c r="X37" i="38"/>
  <c r="Y37" i="38"/>
  <c r="Z37" i="38"/>
  <c r="AC37" i="38"/>
  <c r="AD37" i="38"/>
  <c r="AE37" i="38"/>
  <c r="AF37" i="38"/>
  <c r="AG37" i="38"/>
  <c r="AH37" i="38"/>
  <c r="AI37" i="38"/>
  <c r="AJ37" i="38"/>
  <c r="AK37" i="38"/>
  <c r="AL37" i="38"/>
  <c r="AM37" i="38"/>
  <c r="AN37" i="38"/>
  <c r="AQ37" i="38"/>
  <c r="AR37" i="38"/>
  <c r="AS37" i="38"/>
  <c r="AT37" i="38"/>
  <c r="AU37" i="38"/>
  <c r="AX37" i="38"/>
  <c r="AY37" i="38"/>
  <c r="AZ37" i="38"/>
  <c r="BA37" i="38"/>
  <c r="BB37" i="38"/>
  <c r="BC37" i="38"/>
  <c r="BD37" i="38"/>
  <c r="BE37" i="38"/>
  <c r="BF37" i="38"/>
  <c r="BG37" i="38"/>
  <c r="BH37" i="38"/>
  <c r="BI37" i="38"/>
  <c r="BJ37" i="38"/>
  <c r="BK37" i="38"/>
  <c r="BL37" i="38"/>
  <c r="BM37" i="38"/>
  <c r="BO37" i="38"/>
  <c r="BP37" i="38"/>
  <c r="E38" i="38"/>
  <c r="H38" i="38"/>
  <c r="I38" i="38"/>
  <c r="J38" i="38"/>
  <c r="P38" i="38"/>
  <c r="S38" i="38"/>
  <c r="V38" i="38"/>
  <c r="W38" i="38"/>
  <c r="X38" i="38"/>
  <c r="Y38" i="38"/>
  <c r="Z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Q38" i="38"/>
  <c r="AR38" i="38"/>
  <c r="AS38" i="38"/>
  <c r="AT38" i="38"/>
  <c r="AU38" i="38"/>
  <c r="AX38" i="38"/>
  <c r="AY38" i="38"/>
  <c r="AZ38" i="38"/>
  <c r="BA38" i="38"/>
  <c r="BB38" i="38"/>
  <c r="BC38" i="38"/>
  <c r="BD38" i="38"/>
  <c r="BE38" i="38"/>
  <c r="BF38" i="38"/>
  <c r="BG38" i="38"/>
  <c r="BH38" i="38"/>
  <c r="BI38" i="38"/>
  <c r="BJ38" i="38"/>
  <c r="BK38" i="38"/>
  <c r="BL38" i="38"/>
  <c r="BM38" i="38"/>
  <c r="BO38" i="38"/>
  <c r="BP38" i="38"/>
  <c r="E39" i="38"/>
  <c r="H39" i="38"/>
  <c r="I39" i="38"/>
  <c r="J39" i="38"/>
  <c r="P39" i="38"/>
  <c r="S39" i="38"/>
  <c r="V39" i="38"/>
  <c r="W39" i="38"/>
  <c r="X39" i="38"/>
  <c r="Y39" i="38"/>
  <c r="Z39" i="38"/>
  <c r="AC39" i="38"/>
  <c r="AD39" i="38"/>
  <c r="AE39" i="38"/>
  <c r="AF39" i="38"/>
  <c r="AG39" i="38"/>
  <c r="AH39" i="38"/>
  <c r="AI39" i="38"/>
  <c r="AJ39" i="38"/>
  <c r="AK39" i="38"/>
  <c r="AL39" i="38"/>
  <c r="AM39" i="38"/>
  <c r="AN39" i="38"/>
  <c r="AQ39" i="38"/>
  <c r="AR39" i="38"/>
  <c r="AS39" i="38"/>
  <c r="AT39" i="38"/>
  <c r="AU39" i="38"/>
  <c r="AX39" i="38"/>
  <c r="AY39" i="38"/>
  <c r="AZ39" i="38"/>
  <c r="BA39" i="38"/>
  <c r="BB39" i="38"/>
  <c r="BC39" i="38"/>
  <c r="BD39" i="38"/>
  <c r="BE39" i="38"/>
  <c r="BF39" i="38"/>
  <c r="BG39" i="38"/>
  <c r="BH39" i="38"/>
  <c r="BI39" i="38"/>
  <c r="BJ39" i="38"/>
  <c r="BK39" i="38"/>
  <c r="BL39" i="38"/>
  <c r="BM39" i="38"/>
  <c r="BO39" i="38"/>
  <c r="BP39" i="38"/>
  <c r="E40" i="38"/>
  <c r="H40" i="38"/>
  <c r="I40" i="38"/>
  <c r="J40" i="38"/>
  <c r="P40" i="38"/>
  <c r="S40" i="38"/>
  <c r="V40" i="38"/>
  <c r="W40" i="38"/>
  <c r="X40" i="38"/>
  <c r="Y40" i="38"/>
  <c r="Z40" i="38"/>
  <c r="AC40" i="38"/>
  <c r="AD40" i="38"/>
  <c r="AE40" i="38"/>
  <c r="AF40" i="38"/>
  <c r="AG40" i="38"/>
  <c r="AH40" i="38"/>
  <c r="AI40" i="38"/>
  <c r="AJ40" i="38"/>
  <c r="AK40" i="38"/>
  <c r="AL40" i="38"/>
  <c r="AM40" i="38"/>
  <c r="AN40" i="38"/>
  <c r="AQ40" i="38"/>
  <c r="AR40" i="38"/>
  <c r="AS40" i="38"/>
  <c r="AT40" i="38"/>
  <c r="AU40" i="38"/>
  <c r="AX40" i="38"/>
  <c r="AY40" i="38"/>
  <c r="AZ40" i="38"/>
  <c r="BA40" i="38"/>
  <c r="BB40" i="38"/>
  <c r="BC40" i="38"/>
  <c r="BD40" i="38"/>
  <c r="BE40" i="38"/>
  <c r="BF40" i="38"/>
  <c r="BG40" i="38"/>
  <c r="BH40" i="38"/>
  <c r="BI40" i="38"/>
  <c r="BJ40" i="38"/>
  <c r="BK40" i="38"/>
  <c r="BL40" i="38"/>
  <c r="BM40" i="38"/>
  <c r="BO40" i="38"/>
  <c r="BP40" i="38"/>
  <c r="G21" i="36"/>
  <c r="H21" i="36"/>
  <c r="I21" i="36"/>
  <c r="J21" i="36"/>
  <c r="K21" i="36"/>
  <c r="L21" i="36"/>
  <c r="M21" i="36"/>
  <c r="N21" i="36"/>
  <c r="O21" i="36"/>
  <c r="Q21" i="36"/>
  <c r="S21" i="36"/>
  <c r="T21" i="36"/>
  <c r="U21" i="36"/>
  <c r="V21" i="36"/>
  <c r="W21" i="36"/>
  <c r="X21" i="36"/>
  <c r="Y21" i="36"/>
  <c r="AA21" i="36"/>
  <c r="AC21" i="36"/>
  <c r="AD21" i="36"/>
  <c r="AE21" i="36"/>
  <c r="AF21" i="36"/>
  <c r="AI21" i="36"/>
  <c r="AJ21" i="36"/>
  <c r="AK21" i="36"/>
  <c r="AL21" i="36"/>
  <c r="AM21" i="36"/>
  <c r="AN21" i="36"/>
  <c r="AO21" i="36"/>
  <c r="AP21" i="36"/>
  <c r="AQ21" i="36"/>
  <c r="AR21" i="36"/>
  <c r="AS21" i="36"/>
  <c r="AT21" i="36"/>
  <c r="AU21" i="36"/>
  <c r="AV21" i="36"/>
  <c r="AW21" i="36"/>
  <c r="AX21" i="36"/>
  <c r="AY21" i="36"/>
  <c r="AZ21" i="36"/>
  <c r="BA21" i="36"/>
  <c r="BB21" i="36"/>
  <c r="BC21" i="36"/>
  <c r="BD21" i="36"/>
  <c r="BF21" i="36"/>
  <c r="BG21" i="36"/>
  <c r="BH21" i="36"/>
  <c r="BI21" i="36"/>
  <c r="BJ21" i="36"/>
  <c r="BK21" i="36"/>
  <c r="BL21" i="36"/>
  <c r="BM21" i="36"/>
  <c r="BN21" i="36"/>
  <c r="BO21" i="36"/>
  <c r="BP21" i="36"/>
  <c r="BQ21" i="36"/>
  <c r="BR21" i="36"/>
  <c r="BS21" i="36"/>
  <c r="BT21" i="36"/>
  <c r="BU21" i="36"/>
  <c r="BV21" i="36"/>
  <c r="BW21" i="36"/>
  <c r="BX21" i="36"/>
  <c r="BY21" i="36"/>
  <c r="BZ21" i="36"/>
  <c r="CA21" i="36"/>
  <c r="CC21" i="36"/>
  <c r="CD21" i="36"/>
  <c r="CE21" i="36"/>
  <c r="CF21" i="36"/>
  <c r="CG21" i="36"/>
  <c r="CH21" i="36"/>
  <c r="CI21" i="36"/>
  <c r="CJ21" i="36"/>
  <c r="CK21" i="36"/>
  <c r="CL21" i="36"/>
  <c r="CM21" i="36"/>
  <c r="CN21" i="36"/>
  <c r="CO21" i="36"/>
  <c r="CP21" i="36"/>
  <c r="CQ21" i="36"/>
  <c r="CR21" i="36"/>
  <c r="CS21" i="36"/>
  <c r="CT21" i="36"/>
  <c r="CU21" i="36"/>
  <c r="CV21" i="36"/>
  <c r="CW21" i="36"/>
  <c r="CX21" i="36"/>
  <c r="G22" i="36"/>
  <c r="H22" i="36"/>
  <c r="I22" i="36"/>
  <c r="J22" i="36"/>
  <c r="K22" i="36"/>
  <c r="L22" i="36"/>
  <c r="M22" i="36"/>
  <c r="N22" i="36"/>
  <c r="O22" i="36"/>
  <c r="Q22" i="36"/>
  <c r="S22" i="36"/>
  <c r="T22" i="36"/>
  <c r="U22" i="36"/>
  <c r="V22" i="36"/>
  <c r="W22" i="36"/>
  <c r="X22" i="36"/>
  <c r="Y22" i="36"/>
  <c r="AA22" i="36"/>
  <c r="AC22" i="36"/>
  <c r="AD22" i="36"/>
  <c r="AE22" i="36"/>
  <c r="AF22" i="36"/>
  <c r="AI22" i="36"/>
  <c r="AJ22" i="36"/>
  <c r="AK22" i="36"/>
  <c r="AL22" i="36"/>
  <c r="AM22" i="36"/>
  <c r="AN22" i="36"/>
  <c r="AO22" i="36"/>
  <c r="AP22" i="36"/>
  <c r="AQ22" i="36"/>
  <c r="AR22" i="36"/>
  <c r="AS22" i="36"/>
  <c r="AT22" i="36"/>
  <c r="AU22" i="36"/>
  <c r="AV22" i="36"/>
  <c r="AW22" i="36"/>
  <c r="AX22" i="36"/>
  <c r="AY22" i="36"/>
  <c r="AZ22" i="36"/>
  <c r="BA22" i="36"/>
  <c r="BB22" i="36"/>
  <c r="BC22" i="36"/>
  <c r="BD22" i="36"/>
  <c r="BF22" i="36"/>
  <c r="BG22" i="36"/>
  <c r="BH22" i="36"/>
  <c r="BI22" i="36"/>
  <c r="BJ22" i="36"/>
  <c r="BK22" i="36"/>
  <c r="BL22" i="36"/>
  <c r="BM22" i="36"/>
  <c r="BN22" i="36"/>
  <c r="BO22" i="36"/>
  <c r="BP22" i="36"/>
  <c r="BQ22" i="36"/>
  <c r="BR22" i="36"/>
  <c r="BS22" i="36"/>
  <c r="BT22" i="36"/>
  <c r="BU22" i="36"/>
  <c r="BV22" i="36"/>
  <c r="BW22" i="36"/>
  <c r="BX22" i="36"/>
  <c r="BY22" i="36"/>
  <c r="BZ22" i="36"/>
  <c r="CA22" i="36"/>
  <c r="CC22" i="36"/>
  <c r="CD22" i="36"/>
  <c r="CE22" i="36"/>
  <c r="CF22" i="36"/>
  <c r="CG22" i="36"/>
  <c r="CH22" i="36"/>
  <c r="CI22" i="36"/>
  <c r="CJ22" i="36"/>
  <c r="CK22" i="36"/>
  <c r="CL22" i="36"/>
  <c r="CM22" i="36"/>
  <c r="CN22" i="36"/>
  <c r="CO22" i="36"/>
  <c r="CP22" i="36"/>
  <c r="CQ22" i="36"/>
  <c r="CR22" i="36"/>
  <c r="CS22" i="36"/>
  <c r="CT22" i="36"/>
  <c r="CU22" i="36"/>
  <c r="CV22" i="36"/>
  <c r="CW22" i="36"/>
  <c r="CX22" i="36"/>
  <c r="G23" i="36"/>
  <c r="H23" i="36"/>
  <c r="I23" i="36"/>
  <c r="J23" i="36"/>
  <c r="K23" i="36"/>
  <c r="L23" i="36"/>
  <c r="M23" i="36"/>
  <c r="N23" i="36"/>
  <c r="O23" i="36"/>
  <c r="Q23" i="36"/>
  <c r="S23" i="36"/>
  <c r="T23" i="36"/>
  <c r="U23" i="36"/>
  <c r="V23" i="36"/>
  <c r="W23" i="36"/>
  <c r="X23" i="36"/>
  <c r="Y23" i="36"/>
  <c r="AA23" i="36"/>
  <c r="AC23" i="36"/>
  <c r="AD23" i="36"/>
  <c r="AE23" i="36"/>
  <c r="AF23" i="36"/>
  <c r="AI23" i="36"/>
  <c r="AJ23" i="36"/>
  <c r="AK23" i="36"/>
  <c r="AL23" i="36"/>
  <c r="AM23" i="36"/>
  <c r="AN23" i="36"/>
  <c r="AO23" i="36"/>
  <c r="AP23" i="36"/>
  <c r="AQ23" i="36"/>
  <c r="AR23" i="36"/>
  <c r="AS23" i="36"/>
  <c r="AT23" i="36"/>
  <c r="AU23" i="36"/>
  <c r="AV23" i="36"/>
  <c r="AW23" i="36"/>
  <c r="AX23" i="36"/>
  <c r="AY23" i="36"/>
  <c r="AZ23" i="36"/>
  <c r="BA23" i="36"/>
  <c r="BB23" i="36"/>
  <c r="BC23" i="36"/>
  <c r="BD23" i="36"/>
  <c r="BF23" i="36"/>
  <c r="BG23" i="36"/>
  <c r="BH23" i="36"/>
  <c r="BI23" i="36"/>
  <c r="BJ23" i="36"/>
  <c r="BK23" i="36"/>
  <c r="BL23" i="36"/>
  <c r="BM23" i="36"/>
  <c r="BN23" i="36"/>
  <c r="BO23" i="36"/>
  <c r="BP23" i="36"/>
  <c r="BQ23" i="36"/>
  <c r="BR23" i="36"/>
  <c r="BS23" i="36"/>
  <c r="BT23" i="36"/>
  <c r="BU23" i="36"/>
  <c r="BV23" i="36"/>
  <c r="BW23" i="36"/>
  <c r="BX23" i="36"/>
  <c r="BY23" i="36"/>
  <c r="BZ23" i="36"/>
  <c r="CA23" i="36"/>
  <c r="CC23" i="36"/>
  <c r="CD23" i="36"/>
  <c r="CE23" i="36"/>
  <c r="CF23" i="36"/>
  <c r="CG23" i="36"/>
  <c r="CH23" i="36"/>
  <c r="CI23" i="36"/>
  <c r="CJ23" i="36"/>
  <c r="CK23" i="36"/>
  <c r="CL23" i="36"/>
  <c r="CM23" i="36"/>
  <c r="CN23" i="36"/>
  <c r="CO23" i="36"/>
  <c r="CP23" i="36"/>
  <c r="CQ23" i="36"/>
  <c r="CR23" i="36"/>
  <c r="CS23" i="36"/>
  <c r="CT23" i="36"/>
  <c r="CU23" i="36"/>
  <c r="CV23" i="36"/>
  <c r="CW23" i="36"/>
  <c r="CX23" i="36"/>
  <c r="G24" i="36"/>
  <c r="H24" i="36"/>
  <c r="I24" i="36"/>
  <c r="J24" i="36"/>
  <c r="K24" i="36"/>
  <c r="L24" i="36"/>
  <c r="M24" i="36"/>
  <c r="N24" i="36"/>
  <c r="O24" i="36"/>
  <c r="Q24" i="36"/>
  <c r="S24" i="36"/>
  <c r="T24" i="36"/>
  <c r="U24" i="36"/>
  <c r="V24" i="36"/>
  <c r="W24" i="36"/>
  <c r="X24" i="36"/>
  <c r="Y24" i="36"/>
  <c r="AA24" i="36"/>
  <c r="AC24" i="36"/>
  <c r="AD24" i="36"/>
  <c r="AE24" i="36"/>
  <c r="AF24" i="36"/>
  <c r="AI24" i="36"/>
  <c r="AJ24" i="36"/>
  <c r="AK24" i="36"/>
  <c r="AL24" i="36"/>
  <c r="AM24" i="36"/>
  <c r="AN24" i="36"/>
  <c r="AO24" i="36"/>
  <c r="AP24" i="36"/>
  <c r="AQ24" i="36"/>
  <c r="AR24" i="36"/>
  <c r="AS24" i="36"/>
  <c r="AT24" i="36"/>
  <c r="AU24" i="36"/>
  <c r="AV24" i="36"/>
  <c r="AW24" i="36"/>
  <c r="AX24" i="36"/>
  <c r="AY24" i="36"/>
  <c r="AZ24" i="36"/>
  <c r="BA24" i="36"/>
  <c r="BB24" i="36"/>
  <c r="BC24" i="36"/>
  <c r="BD24" i="36"/>
  <c r="BF24" i="36"/>
  <c r="BG24" i="36"/>
  <c r="BH24" i="36"/>
  <c r="BI24" i="36"/>
  <c r="BJ24" i="36"/>
  <c r="BK24" i="36"/>
  <c r="BL24" i="36"/>
  <c r="BM24" i="36"/>
  <c r="BN24" i="36"/>
  <c r="BO24" i="36"/>
  <c r="BP24" i="36"/>
  <c r="BQ24" i="36"/>
  <c r="BR24" i="36"/>
  <c r="BS24" i="36"/>
  <c r="BT24" i="36"/>
  <c r="BU24" i="36"/>
  <c r="BV24" i="36"/>
  <c r="BW24" i="36"/>
  <c r="BX24" i="36"/>
  <c r="BY24" i="36"/>
  <c r="BZ24" i="36"/>
  <c r="CA24" i="36"/>
  <c r="CC24" i="36"/>
  <c r="CD24" i="36"/>
  <c r="CE24" i="36"/>
  <c r="CF24" i="36"/>
  <c r="CG24" i="36"/>
  <c r="CH24" i="36"/>
  <c r="CI24" i="36"/>
  <c r="CJ24" i="36"/>
  <c r="CK24" i="36"/>
  <c r="CL24" i="36"/>
  <c r="CM24" i="36"/>
  <c r="CN24" i="36"/>
  <c r="CO24" i="36"/>
  <c r="CP24" i="36"/>
  <c r="CQ24" i="36"/>
  <c r="CR24" i="36"/>
  <c r="CS24" i="36"/>
  <c r="CT24" i="36"/>
  <c r="CU24" i="36"/>
  <c r="CV24" i="36"/>
  <c r="CW24" i="36"/>
  <c r="CX24" i="36"/>
  <c r="G25" i="36"/>
  <c r="H25" i="36"/>
  <c r="I25" i="36"/>
  <c r="J25" i="36"/>
  <c r="K25" i="36"/>
  <c r="L25" i="36"/>
  <c r="M25" i="36"/>
  <c r="N25" i="36"/>
  <c r="O25" i="36"/>
  <c r="Q25" i="36"/>
  <c r="S25" i="36"/>
  <c r="T25" i="36"/>
  <c r="U25" i="36"/>
  <c r="V25" i="36"/>
  <c r="W25" i="36"/>
  <c r="X25" i="36"/>
  <c r="Y25" i="36"/>
  <c r="AA25" i="36"/>
  <c r="AC25" i="36"/>
  <c r="AD25" i="36"/>
  <c r="AE25" i="36"/>
  <c r="AF25" i="36"/>
  <c r="AI25" i="36"/>
  <c r="AJ25" i="36"/>
  <c r="AK25" i="36"/>
  <c r="AL25" i="36"/>
  <c r="AM25" i="36"/>
  <c r="AN25" i="36"/>
  <c r="AO25" i="36"/>
  <c r="AP25" i="36"/>
  <c r="AQ25" i="36"/>
  <c r="AR25" i="36"/>
  <c r="AS25" i="36"/>
  <c r="AT25" i="36"/>
  <c r="AU25" i="36"/>
  <c r="AV25" i="36"/>
  <c r="AW25" i="36"/>
  <c r="AX25" i="36"/>
  <c r="AY25" i="36"/>
  <c r="AZ25" i="36"/>
  <c r="BA25" i="36"/>
  <c r="BB25" i="36"/>
  <c r="BC25" i="36"/>
  <c r="BD25" i="36"/>
  <c r="BF25" i="36"/>
  <c r="BG25" i="36"/>
  <c r="BH25" i="36"/>
  <c r="BI25" i="36"/>
  <c r="BJ25" i="36"/>
  <c r="BK25" i="36"/>
  <c r="BL25" i="36"/>
  <c r="BM25" i="36"/>
  <c r="BN25" i="36"/>
  <c r="BO25" i="36"/>
  <c r="BP25" i="36"/>
  <c r="BQ25" i="36"/>
  <c r="BR25" i="36"/>
  <c r="BS25" i="36"/>
  <c r="BT25" i="36"/>
  <c r="BU25" i="36"/>
  <c r="BV25" i="36"/>
  <c r="BW25" i="36"/>
  <c r="BX25" i="36"/>
  <c r="BY25" i="36"/>
  <c r="BZ25" i="36"/>
  <c r="CA25" i="36"/>
  <c r="CC25" i="36"/>
  <c r="CD25" i="36"/>
  <c r="CE25" i="36"/>
  <c r="CF25" i="36"/>
  <c r="CG25" i="36"/>
  <c r="CH25" i="36"/>
  <c r="CI25" i="36"/>
  <c r="CJ25" i="36"/>
  <c r="CK25" i="36"/>
  <c r="CL25" i="36"/>
  <c r="CM25" i="36"/>
  <c r="CN25" i="36"/>
  <c r="CO25" i="36"/>
  <c r="CP25" i="36"/>
  <c r="CQ25" i="36"/>
  <c r="CR25" i="36"/>
  <c r="CS25" i="36"/>
  <c r="CT25" i="36"/>
  <c r="CU25" i="36"/>
  <c r="CV25" i="36"/>
  <c r="CW25" i="36"/>
  <c r="CX25" i="36"/>
  <c r="G26" i="36"/>
  <c r="H26" i="36"/>
  <c r="I26" i="36"/>
  <c r="J26" i="36"/>
  <c r="K26" i="36"/>
  <c r="L26" i="36"/>
  <c r="M26" i="36"/>
  <c r="N26" i="36"/>
  <c r="O26" i="36"/>
  <c r="Q26" i="36"/>
  <c r="S26" i="36"/>
  <c r="T26" i="36"/>
  <c r="U26" i="36"/>
  <c r="V26" i="36"/>
  <c r="W26" i="36"/>
  <c r="X26" i="36"/>
  <c r="Y26" i="36"/>
  <c r="AA26" i="36"/>
  <c r="AC26" i="36"/>
  <c r="AD26" i="36"/>
  <c r="AE26" i="36"/>
  <c r="AF26" i="36"/>
  <c r="AI26" i="36"/>
  <c r="AJ26" i="36"/>
  <c r="AK26" i="36"/>
  <c r="AL26" i="36"/>
  <c r="AM26" i="36"/>
  <c r="AN26" i="36"/>
  <c r="AO26" i="36"/>
  <c r="AP26" i="36"/>
  <c r="AQ26" i="36"/>
  <c r="AR26" i="36"/>
  <c r="AS26" i="36"/>
  <c r="AT26" i="36"/>
  <c r="AU26" i="36"/>
  <c r="AV26" i="36"/>
  <c r="AW26" i="36"/>
  <c r="AX26" i="36"/>
  <c r="AY26" i="36"/>
  <c r="AZ26" i="36"/>
  <c r="BA26" i="36"/>
  <c r="BB26" i="36"/>
  <c r="BC26" i="36"/>
  <c r="BD26" i="36"/>
  <c r="BF26" i="36"/>
  <c r="BG26" i="36"/>
  <c r="BH26" i="36"/>
  <c r="BI26" i="36"/>
  <c r="BJ26" i="36"/>
  <c r="BK26" i="36"/>
  <c r="BL26" i="36"/>
  <c r="BM26" i="36"/>
  <c r="BN26" i="36"/>
  <c r="BO26" i="36"/>
  <c r="BP26" i="36"/>
  <c r="BQ26" i="36"/>
  <c r="BR26" i="36"/>
  <c r="BS26" i="36"/>
  <c r="BT26" i="36"/>
  <c r="BU26" i="36"/>
  <c r="BV26" i="36"/>
  <c r="BW26" i="36"/>
  <c r="BX26" i="36"/>
  <c r="BY26" i="36"/>
  <c r="BZ26" i="36"/>
  <c r="CA26" i="36"/>
  <c r="CC26" i="36"/>
  <c r="CD26" i="36"/>
  <c r="CE26" i="36"/>
  <c r="CF26" i="36"/>
  <c r="CG26" i="36"/>
  <c r="CH26" i="36"/>
  <c r="CI26" i="36"/>
  <c r="CJ26" i="36"/>
  <c r="CK26" i="36"/>
  <c r="CL26" i="36"/>
  <c r="CM26" i="36"/>
  <c r="CN26" i="36"/>
  <c r="CO26" i="36"/>
  <c r="CP26" i="36"/>
  <c r="CQ26" i="36"/>
  <c r="CR26" i="36"/>
  <c r="CS26" i="36"/>
  <c r="CT26" i="36"/>
  <c r="CU26" i="36"/>
  <c r="CV26" i="36"/>
  <c r="CW26" i="36"/>
  <c r="CX26" i="36"/>
  <c r="G27" i="36"/>
  <c r="H27" i="36"/>
  <c r="I27" i="36"/>
  <c r="J27" i="36"/>
  <c r="K27" i="36"/>
  <c r="L27" i="36"/>
  <c r="M27" i="36"/>
  <c r="N27" i="36"/>
  <c r="O27" i="36"/>
  <c r="Q27" i="36"/>
  <c r="S27" i="36"/>
  <c r="T27" i="36"/>
  <c r="U27" i="36"/>
  <c r="V27" i="36"/>
  <c r="W27" i="36"/>
  <c r="X27" i="36"/>
  <c r="Y27" i="36"/>
  <c r="AA27" i="36"/>
  <c r="AC27" i="36"/>
  <c r="AD27" i="36"/>
  <c r="AE27" i="36"/>
  <c r="AF27" i="36"/>
  <c r="AI27" i="36"/>
  <c r="AJ27" i="36"/>
  <c r="AK27" i="36"/>
  <c r="AL27" i="36"/>
  <c r="AM27" i="36"/>
  <c r="AN27" i="36"/>
  <c r="AO27" i="36"/>
  <c r="AP27" i="36"/>
  <c r="AQ27" i="36"/>
  <c r="AR27" i="36"/>
  <c r="AS27" i="36"/>
  <c r="AT27" i="36"/>
  <c r="AU27" i="36"/>
  <c r="AV27" i="36"/>
  <c r="AW27" i="36"/>
  <c r="AX27" i="36"/>
  <c r="AY27" i="36"/>
  <c r="AZ27" i="36"/>
  <c r="BA27" i="36"/>
  <c r="BB27" i="36"/>
  <c r="BC27" i="36"/>
  <c r="BD27" i="36"/>
  <c r="BF27" i="36"/>
  <c r="BG27" i="36"/>
  <c r="BH27" i="36"/>
  <c r="BI27" i="36"/>
  <c r="BJ27" i="36"/>
  <c r="BK27" i="36"/>
  <c r="BL27" i="36"/>
  <c r="BM27" i="36"/>
  <c r="BN27" i="36"/>
  <c r="BO27" i="36"/>
  <c r="BP27" i="36"/>
  <c r="BQ27" i="36"/>
  <c r="BR27" i="36"/>
  <c r="BS27" i="36"/>
  <c r="BT27" i="36"/>
  <c r="BU27" i="36"/>
  <c r="BV27" i="36"/>
  <c r="BW27" i="36"/>
  <c r="BX27" i="36"/>
  <c r="BY27" i="36"/>
  <c r="BZ27" i="36"/>
  <c r="CA27" i="36"/>
  <c r="CC27" i="36"/>
  <c r="CD27" i="36"/>
  <c r="CE27" i="36"/>
  <c r="CF27" i="36"/>
  <c r="CG27" i="36"/>
  <c r="CH27" i="36"/>
  <c r="CI27" i="36"/>
  <c r="CJ27" i="36"/>
  <c r="CK27" i="36"/>
  <c r="CL27" i="36"/>
  <c r="CM27" i="36"/>
  <c r="CN27" i="36"/>
  <c r="CO27" i="36"/>
  <c r="CP27" i="36"/>
  <c r="CQ27" i="36"/>
  <c r="CR27" i="36"/>
  <c r="CS27" i="36"/>
  <c r="CT27" i="36"/>
  <c r="CU27" i="36"/>
  <c r="CV27" i="36"/>
  <c r="CW27" i="36"/>
  <c r="CX27" i="36"/>
  <c r="G28" i="36"/>
  <c r="H28" i="36"/>
  <c r="I28" i="36"/>
  <c r="J28" i="36"/>
  <c r="K28" i="36"/>
  <c r="L28" i="36"/>
  <c r="M28" i="36"/>
  <c r="N28" i="36"/>
  <c r="O28" i="36"/>
  <c r="Q28" i="36"/>
  <c r="S28" i="36"/>
  <c r="T28" i="36"/>
  <c r="U28" i="36"/>
  <c r="V28" i="36"/>
  <c r="W28" i="36"/>
  <c r="X28" i="36"/>
  <c r="Y28" i="36"/>
  <c r="AA28" i="36"/>
  <c r="AC28" i="36"/>
  <c r="AD28" i="36"/>
  <c r="AE28" i="36"/>
  <c r="AF28" i="36"/>
  <c r="AI28" i="36"/>
  <c r="AJ28" i="36"/>
  <c r="AK28" i="36"/>
  <c r="AL28" i="36"/>
  <c r="AM28" i="36"/>
  <c r="AN28" i="36"/>
  <c r="AO28" i="36"/>
  <c r="AP28" i="36"/>
  <c r="AQ28" i="36"/>
  <c r="AR28" i="36"/>
  <c r="AS28" i="36"/>
  <c r="AT28" i="36"/>
  <c r="AU28" i="36"/>
  <c r="AV28" i="36"/>
  <c r="AW28" i="36"/>
  <c r="AX28" i="36"/>
  <c r="AY28" i="36"/>
  <c r="AZ28" i="36"/>
  <c r="BA28" i="36"/>
  <c r="BB28" i="36"/>
  <c r="BC28" i="36"/>
  <c r="BD28" i="36"/>
  <c r="BF28" i="36"/>
  <c r="BG28" i="36"/>
  <c r="BH28" i="36"/>
  <c r="BI28" i="36"/>
  <c r="BJ28" i="36"/>
  <c r="BK28" i="36"/>
  <c r="BL28" i="36"/>
  <c r="BM28" i="36"/>
  <c r="BN28" i="36"/>
  <c r="BO28" i="36"/>
  <c r="BP28" i="36"/>
  <c r="BQ28" i="36"/>
  <c r="BR28" i="36"/>
  <c r="BS28" i="36"/>
  <c r="BT28" i="36"/>
  <c r="BU28" i="36"/>
  <c r="BV28" i="36"/>
  <c r="BW28" i="36"/>
  <c r="BX28" i="36"/>
  <c r="BY28" i="36"/>
  <c r="BZ28" i="36"/>
  <c r="CA28" i="36"/>
  <c r="CC28" i="36"/>
  <c r="CD28" i="36"/>
  <c r="CE28" i="36"/>
  <c r="CF28" i="36"/>
  <c r="CG28" i="36"/>
  <c r="CH28" i="36"/>
  <c r="CI28" i="36"/>
  <c r="CJ28" i="36"/>
  <c r="CK28" i="36"/>
  <c r="CL28" i="36"/>
  <c r="CM28" i="36"/>
  <c r="CN28" i="36"/>
  <c r="CO28" i="36"/>
  <c r="CP28" i="36"/>
  <c r="CQ28" i="36"/>
  <c r="CR28" i="36"/>
  <c r="CS28" i="36"/>
  <c r="CT28" i="36"/>
  <c r="CU28" i="36"/>
  <c r="CV28" i="36"/>
  <c r="CW28" i="36"/>
  <c r="CX28" i="36"/>
  <c r="G29" i="36"/>
  <c r="H29" i="36"/>
  <c r="I29" i="36"/>
  <c r="J29" i="36"/>
  <c r="K29" i="36"/>
  <c r="L29" i="36"/>
  <c r="M29" i="36"/>
  <c r="N29" i="36"/>
  <c r="O29" i="36"/>
  <c r="Q29" i="36"/>
  <c r="S29" i="36"/>
  <c r="T29" i="36"/>
  <c r="U29" i="36"/>
  <c r="V29" i="36"/>
  <c r="W29" i="36"/>
  <c r="X29" i="36"/>
  <c r="Y29" i="36"/>
  <c r="AA29" i="36"/>
  <c r="AC29" i="36"/>
  <c r="AD29" i="36"/>
  <c r="AE29" i="36"/>
  <c r="AF29" i="36"/>
  <c r="AI29" i="36"/>
  <c r="AJ29" i="36"/>
  <c r="AK29" i="36"/>
  <c r="AL29" i="36"/>
  <c r="AM29" i="36"/>
  <c r="AN29" i="36"/>
  <c r="AO29" i="36"/>
  <c r="AP29" i="36"/>
  <c r="AQ29" i="36"/>
  <c r="AR29" i="36"/>
  <c r="AS29" i="36"/>
  <c r="AT29" i="36"/>
  <c r="AU29" i="36"/>
  <c r="AV29" i="36"/>
  <c r="AW29" i="36"/>
  <c r="AX29" i="36"/>
  <c r="AY29" i="36"/>
  <c r="AZ29" i="36"/>
  <c r="BA29" i="36"/>
  <c r="BB29" i="36"/>
  <c r="BC29" i="36"/>
  <c r="BD29" i="36"/>
  <c r="BF29" i="36"/>
  <c r="BG29" i="36"/>
  <c r="BH29" i="36"/>
  <c r="BI29" i="36"/>
  <c r="BJ29" i="36"/>
  <c r="BK29" i="36"/>
  <c r="BL29" i="36"/>
  <c r="BM29" i="36"/>
  <c r="BN29" i="36"/>
  <c r="BO29" i="36"/>
  <c r="BP29" i="36"/>
  <c r="BQ29" i="36"/>
  <c r="BR29" i="36"/>
  <c r="BS29" i="36"/>
  <c r="BT29" i="36"/>
  <c r="BU29" i="36"/>
  <c r="BV29" i="36"/>
  <c r="BW29" i="36"/>
  <c r="BX29" i="36"/>
  <c r="BY29" i="36"/>
  <c r="BZ29" i="36"/>
  <c r="CA29" i="36"/>
  <c r="CC29" i="36"/>
  <c r="CD29" i="36"/>
  <c r="CE29" i="36"/>
  <c r="CF29" i="36"/>
  <c r="CG29" i="36"/>
  <c r="CH29" i="36"/>
  <c r="CI29" i="36"/>
  <c r="CJ29" i="36"/>
  <c r="CK29" i="36"/>
  <c r="CL29" i="36"/>
  <c r="CM29" i="36"/>
  <c r="CN29" i="36"/>
  <c r="CO29" i="36"/>
  <c r="CP29" i="36"/>
  <c r="CQ29" i="36"/>
  <c r="CR29" i="36"/>
  <c r="CS29" i="36"/>
  <c r="CT29" i="36"/>
  <c r="CU29" i="36"/>
  <c r="CV29" i="36"/>
  <c r="CW29" i="36"/>
  <c r="CX29" i="36"/>
  <c r="G30" i="36"/>
  <c r="H30" i="36"/>
  <c r="I30" i="36"/>
  <c r="J30" i="36"/>
  <c r="K30" i="36"/>
  <c r="L30" i="36"/>
  <c r="M30" i="36"/>
  <c r="N30" i="36"/>
  <c r="O30" i="36"/>
  <c r="Q30" i="36"/>
  <c r="S30" i="36"/>
  <c r="T30" i="36"/>
  <c r="U30" i="36"/>
  <c r="V30" i="36"/>
  <c r="W30" i="36"/>
  <c r="X30" i="36"/>
  <c r="Y30" i="36"/>
  <c r="AA30" i="36"/>
  <c r="AC30" i="36"/>
  <c r="AD30" i="36"/>
  <c r="AE30" i="36"/>
  <c r="AF30" i="36"/>
  <c r="AI30" i="36"/>
  <c r="AJ30" i="36"/>
  <c r="AK30" i="36"/>
  <c r="AL30" i="36"/>
  <c r="AM30" i="36"/>
  <c r="AN30" i="36"/>
  <c r="AO30" i="36"/>
  <c r="AP30" i="36"/>
  <c r="AQ30" i="36"/>
  <c r="AR30" i="36"/>
  <c r="AS30" i="36"/>
  <c r="AT30" i="36"/>
  <c r="AU30" i="36"/>
  <c r="AV30" i="36"/>
  <c r="AW30" i="36"/>
  <c r="AX30" i="36"/>
  <c r="AY30" i="36"/>
  <c r="AZ30" i="36"/>
  <c r="BA30" i="36"/>
  <c r="BB30" i="36"/>
  <c r="BC30" i="36"/>
  <c r="BD30" i="36"/>
  <c r="BF30" i="36"/>
  <c r="BG30" i="36"/>
  <c r="BH30" i="36"/>
  <c r="BI30" i="36"/>
  <c r="BJ30" i="36"/>
  <c r="BK30" i="36"/>
  <c r="BL30" i="36"/>
  <c r="BM30" i="36"/>
  <c r="BN30" i="36"/>
  <c r="BO30" i="36"/>
  <c r="BP30" i="36"/>
  <c r="BQ30" i="36"/>
  <c r="BR30" i="36"/>
  <c r="BS30" i="36"/>
  <c r="BT30" i="36"/>
  <c r="BU30" i="36"/>
  <c r="BV30" i="36"/>
  <c r="BW30" i="36"/>
  <c r="BX30" i="36"/>
  <c r="BY30" i="36"/>
  <c r="BZ30" i="36"/>
  <c r="CA30" i="36"/>
  <c r="CC30" i="36"/>
  <c r="CD30" i="36"/>
  <c r="CE30" i="36"/>
  <c r="CF30" i="36"/>
  <c r="CG30" i="36"/>
  <c r="CH30" i="36"/>
  <c r="CI30" i="36"/>
  <c r="CJ30" i="36"/>
  <c r="CK30" i="36"/>
  <c r="CL30" i="36"/>
  <c r="CM30" i="36"/>
  <c r="CN30" i="36"/>
  <c r="CO30" i="36"/>
  <c r="CP30" i="36"/>
  <c r="CQ30" i="36"/>
  <c r="CR30" i="36"/>
  <c r="CS30" i="36"/>
  <c r="CT30" i="36"/>
  <c r="CU30" i="36"/>
  <c r="CV30" i="36"/>
  <c r="CW30" i="36"/>
  <c r="CX30" i="36"/>
  <c r="G31" i="36"/>
  <c r="H31" i="36"/>
  <c r="I31" i="36"/>
  <c r="J31" i="36"/>
  <c r="K31" i="36"/>
  <c r="L31" i="36"/>
  <c r="M31" i="36"/>
  <c r="N31" i="36"/>
  <c r="O31" i="36"/>
  <c r="Q31" i="36"/>
  <c r="S31" i="36"/>
  <c r="T31" i="36"/>
  <c r="U31" i="36"/>
  <c r="V31" i="36"/>
  <c r="W31" i="36"/>
  <c r="X31" i="36"/>
  <c r="Y31" i="36"/>
  <c r="AA31" i="36"/>
  <c r="AC31" i="36"/>
  <c r="AD31" i="36"/>
  <c r="AE31" i="36"/>
  <c r="AF31" i="36"/>
  <c r="AI31" i="36"/>
  <c r="AJ31" i="36"/>
  <c r="AK31" i="36"/>
  <c r="AL31" i="36"/>
  <c r="AM31" i="36"/>
  <c r="AN31" i="36"/>
  <c r="AO31" i="36"/>
  <c r="AP31" i="36"/>
  <c r="AQ31" i="36"/>
  <c r="AR31" i="36"/>
  <c r="AS31" i="36"/>
  <c r="AT31" i="36"/>
  <c r="AU31" i="36"/>
  <c r="AV31" i="36"/>
  <c r="AW31" i="36"/>
  <c r="AX31" i="36"/>
  <c r="AY31" i="36"/>
  <c r="AZ31" i="36"/>
  <c r="BA31" i="36"/>
  <c r="BB31" i="36"/>
  <c r="BC31" i="36"/>
  <c r="BD31" i="36"/>
  <c r="BF31" i="36"/>
  <c r="BG31" i="36"/>
  <c r="BH31" i="36"/>
  <c r="BI31" i="36"/>
  <c r="BJ31" i="36"/>
  <c r="BK31" i="36"/>
  <c r="BL31" i="36"/>
  <c r="BM31" i="36"/>
  <c r="BN31" i="36"/>
  <c r="BO31" i="36"/>
  <c r="BP31" i="36"/>
  <c r="BQ31" i="36"/>
  <c r="BR31" i="36"/>
  <c r="BS31" i="36"/>
  <c r="BT31" i="36"/>
  <c r="BU31" i="36"/>
  <c r="BV31" i="36"/>
  <c r="BW31" i="36"/>
  <c r="BX31" i="36"/>
  <c r="BY31" i="36"/>
  <c r="BZ31" i="36"/>
  <c r="CA31" i="36"/>
  <c r="CC31" i="36"/>
  <c r="CD31" i="36"/>
  <c r="CE31" i="36"/>
  <c r="CF31" i="36"/>
  <c r="CG31" i="36"/>
  <c r="CH31" i="36"/>
  <c r="CI31" i="36"/>
  <c r="CJ31" i="36"/>
  <c r="CK31" i="36"/>
  <c r="CL31" i="36"/>
  <c r="CM31" i="36"/>
  <c r="CN31" i="36"/>
  <c r="CO31" i="36"/>
  <c r="CP31" i="36"/>
  <c r="CQ31" i="36"/>
  <c r="CR31" i="36"/>
  <c r="CS31" i="36"/>
  <c r="CT31" i="36"/>
  <c r="CU31" i="36"/>
  <c r="CV31" i="36"/>
  <c r="CW31" i="36"/>
  <c r="CX31" i="36"/>
  <c r="G32" i="36"/>
  <c r="H32" i="36"/>
  <c r="I32" i="36"/>
  <c r="J32" i="36"/>
  <c r="K32" i="36"/>
  <c r="L32" i="36"/>
  <c r="M32" i="36"/>
  <c r="N32" i="36"/>
  <c r="O32" i="36"/>
  <c r="Q32" i="36"/>
  <c r="S32" i="36"/>
  <c r="T32" i="36"/>
  <c r="U32" i="36"/>
  <c r="V32" i="36"/>
  <c r="W32" i="36"/>
  <c r="X32" i="36"/>
  <c r="Y32" i="36"/>
  <c r="AA32" i="36"/>
  <c r="AC32" i="36"/>
  <c r="AD32" i="36"/>
  <c r="AE32" i="36"/>
  <c r="AF32" i="36"/>
  <c r="AI32" i="36"/>
  <c r="AJ32" i="36"/>
  <c r="AK32" i="36"/>
  <c r="AL32" i="36"/>
  <c r="AM32" i="36"/>
  <c r="AN32" i="36"/>
  <c r="AO32" i="36"/>
  <c r="AP32" i="36"/>
  <c r="AQ32" i="36"/>
  <c r="AR32" i="36"/>
  <c r="AS32" i="36"/>
  <c r="AT32" i="36"/>
  <c r="AU32" i="36"/>
  <c r="AV32" i="36"/>
  <c r="AW32" i="36"/>
  <c r="AX32" i="36"/>
  <c r="AY32" i="36"/>
  <c r="AZ32" i="36"/>
  <c r="BA32" i="36"/>
  <c r="BB32" i="36"/>
  <c r="BC32" i="36"/>
  <c r="BD32" i="36"/>
  <c r="BF32" i="36"/>
  <c r="BG32" i="36"/>
  <c r="BH32" i="36"/>
  <c r="BI32" i="36"/>
  <c r="BJ32" i="36"/>
  <c r="BK32" i="36"/>
  <c r="BL32" i="36"/>
  <c r="BM32" i="36"/>
  <c r="BN32" i="36"/>
  <c r="BO32" i="36"/>
  <c r="BP32" i="36"/>
  <c r="BQ32" i="36"/>
  <c r="BR32" i="36"/>
  <c r="BS32" i="36"/>
  <c r="BT32" i="36"/>
  <c r="BU32" i="36"/>
  <c r="BV32" i="36"/>
  <c r="BW32" i="36"/>
  <c r="BX32" i="36"/>
  <c r="BY32" i="36"/>
  <c r="BZ32" i="36"/>
  <c r="CA32" i="36"/>
  <c r="CC32" i="36"/>
  <c r="CD32" i="36"/>
  <c r="CE32" i="36"/>
  <c r="CF32" i="36"/>
  <c r="CG32" i="36"/>
  <c r="CH32" i="36"/>
  <c r="CI32" i="36"/>
  <c r="CJ32" i="36"/>
  <c r="CK32" i="36"/>
  <c r="CL32" i="36"/>
  <c r="CM32" i="36"/>
  <c r="CN32" i="36"/>
  <c r="CO32" i="36"/>
  <c r="CP32" i="36"/>
  <c r="CQ32" i="36"/>
  <c r="CR32" i="36"/>
  <c r="CS32" i="36"/>
  <c r="CT32" i="36"/>
  <c r="CU32" i="36"/>
  <c r="CV32" i="36"/>
  <c r="CW32" i="36"/>
  <c r="CX32" i="36"/>
  <c r="G33" i="36"/>
  <c r="H33" i="36"/>
  <c r="I33" i="36"/>
  <c r="J33" i="36"/>
  <c r="K33" i="36"/>
  <c r="L33" i="36"/>
  <c r="M33" i="36"/>
  <c r="N33" i="36"/>
  <c r="O33" i="36"/>
  <c r="Q33" i="36"/>
  <c r="S33" i="36"/>
  <c r="T33" i="36"/>
  <c r="U33" i="36"/>
  <c r="V33" i="36"/>
  <c r="W33" i="36"/>
  <c r="X33" i="36"/>
  <c r="Y33" i="36"/>
  <c r="AA33" i="36"/>
  <c r="AC33" i="36"/>
  <c r="AD33" i="36"/>
  <c r="AE33" i="36"/>
  <c r="AF33" i="36"/>
  <c r="AI33" i="36"/>
  <c r="AJ33" i="36"/>
  <c r="AK33" i="36"/>
  <c r="AL33" i="36"/>
  <c r="AM33" i="36"/>
  <c r="AN33" i="36"/>
  <c r="AO33" i="36"/>
  <c r="AP33" i="36"/>
  <c r="AQ33" i="36"/>
  <c r="AR33" i="36"/>
  <c r="AS33" i="36"/>
  <c r="AT33" i="36"/>
  <c r="AU33" i="36"/>
  <c r="AV33" i="36"/>
  <c r="AW33" i="36"/>
  <c r="AX33" i="36"/>
  <c r="AY33" i="36"/>
  <c r="AZ33" i="36"/>
  <c r="BA33" i="36"/>
  <c r="BB33" i="36"/>
  <c r="BC33" i="36"/>
  <c r="BD33" i="36"/>
  <c r="BF33" i="36"/>
  <c r="BG33" i="36"/>
  <c r="BH33" i="36"/>
  <c r="BI33" i="36"/>
  <c r="BJ33" i="36"/>
  <c r="BK33" i="36"/>
  <c r="BL33" i="36"/>
  <c r="BM33" i="36"/>
  <c r="BN33" i="36"/>
  <c r="BO33" i="36"/>
  <c r="BP33" i="36"/>
  <c r="BQ33" i="36"/>
  <c r="BR33" i="36"/>
  <c r="BS33" i="36"/>
  <c r="BT33" i="36"/>
  <c r="BU33" i="36"/>
  <c r="BV33" i="36"/>
  <c r="BW33" i="36"/>
  <c r="BX33" i="36"/>
  <c r="BY33" i="36"/>
  <c r="BZ33" i="36"/>
  <c r="CA33" i="36"/>
  <c r="CC33" i="36"/>
  <c r="CD33" i="36"/>
  <c r="CE33" i="36"/>
  <c r="CF33" i="36"/>
  <c r="CG33" i="36"/>
  <c r="CH33" i="36"/>
  <c r="CI33" i="36"/>
  <c r="CJ33" i="36"/>
  <c r="CK33" i="36"/>
  <c r="CL33" i="36"/>
  <c r="CM33" i="36"/>
  <c r="CN33" i="36"/>
  <c r="CO33" i="36"/>
  <c r="CP33" i="36"/>
  <c r="CQ33" i="36"/>
  <c r="CR33" i="36"/>
  <c r="CS33" i="36"/>
  <c r="CT33" i="36"/>
  <c r="CU33" i="36"/>
  <c r="CV33" i="36"/>
  <c r="CW33" i="36"/>
  <c r="CX33" i="36"/>
  <c r="G34" i="36"/>
  <c r="H34" i="36"/>
  <c r="I34" i="36"/>
  <c r="J34" i="36"/>
  <c r="K34" i="36"/>
  <c r="L34" i="36"/>
  <c r="M34" i="36"/>
  <c r="N34" i="36"/>
  <c r="O34" i="36"/>
  <c r="Q34" i="36"/>
  <c r="S34" i="36"/>
  <c r="T34" i="36"/>
  <c r="U34" i="36"/>
  <c r="V34" i="36"/>
  <c r="W34" i="36"/>
  <c r="X34" i="36"/>
  <c r="Y34" i="36"/>
  <c r="AA34" i="36"/>
  <c r="AC34" i="36"/>
  <c r="AD34" i="36"/>
  <c r="AE34" i="36"/>
  <c r="AF34" i="36"/>
  <c r="AI34" i="36"/>
  <c r="AJ34" i="36"/>
  <c r="AK34" i="36"/>
  <c r="AL34" i="36"/>
  <c r="AM34" i="36"/>
  <c r="AN34" i="36"/>
  <c r="AO34" i="36"/>
  <c r="AP34" i="36"/>
  <c r="AQ34" i="36"/>
  <c r="AR34" i="36"/>
  <c r="AS34" i="36"/>
  <c r="AT34" i="36"/>
  <c r="AU34" i="36"/>
  <c r="AV34" i="36"/>
  <c r="AW34" i="36"/>
  <c r="AX34" i="36"/>
  <c r="AY34" i="36"/>
  <c r="AZ34" i="36"/>
  <c r="BA34" i="36"/>
  <c r="BB34" i="36"/>
  <c r="BC34" i="36"/>
  <c r="BD34" i="36"/>
  <c r="BF34" i="36"/>
  <c r="BG34" i="36"/>
  <c r="BH34" i="36"/>
  <c r="BI34" i="36"/>
  <c r="BJ34" i="36"/>
  <c r="BK34" i="36"/>
  <c r="BL34" i="36"/>
  <c r="BM34" i="36"/>
  <c r="BN34" i="36"/>
  <c r="BO34" i="36"/>
  <c r="BP34" i="36"/>
  <c r="BQ34" i="36"/>
  <c r="BR34" i="36"/>
  <c r="BS34" i="36"/>
  <c r="BT34" i="36"/>
  <c r="BU34" i="36"/>
  <c r="BV34" i="36"/>
  <c r="BW34" i="36"/>
  <c r="BX34" i="36"/>
  <c r="BY34" i="36"/>
  <c r="BZ34" i="36"/>
  <c r="CA34" i="36"/>
  <c r="CC34" i="36"/>
  <c r="CD34" i="36"/>
  <c r="CE34" i="36"/>
  <c r="CF34" i="36"/>
  <c r="CG34" i="36"/>
  <c r="CH34" i="36"/>
  <c r="CI34" i="36"/>
  <c r="CJ34" i="36"/>
  <c r="CK34" i="36"/>
  <c r="CL34" i="36"/>
  <c r="CM34" i="36"/>
  <c r="CN34" i="36"/>
  <c r="CO34" i="36"/>
  <c r="CP34" i="36"/>
  <c r="CQ34" i="36"/>
  <c r="CR34" i="36"/>
  <c r="CS34" i="36"/>
  <c r="CT34" i="36"/>
  <c r="CU34" i="36"/>
  <c r="CV34" i="36"/>
  <c r="CW34" i="36"/>
  <c r="CX34" i="36"/>
  <c r="G35" i="36"/>
  <c r="H35" i="36"/>
  <c r="I35" i="36"/>
  <c r="J35" i="36"/>
  <c r="K35" i="36"/>
  <c r="L35" i="36"/>
  <c r="M35" i="36"/>
  <c r="N35" i="36"/>
  <c r="O35" i="36"/>
  <c r="Q35" i="36"/>
  <c r="S35" i="36"/>
  <c r="T35" i="36"/>
  <c r="U35" i="36"/>
  <c r="V35" i="36"/>
  <c r="W35" i="36"/>
  <c r="X35" i="36"/>
  <c r="Y35" i="36"/>
  <c r="AA35" i="36"/>
  <c r="AC35" i="36"/>
  <c r="AD35" i="36"/>
  <c r="AE35" i="36"/>
  <c r="AF35" i="36"/>
  <c r="AI35" i="36"/>
  <c r="AJ35" i="36"/>
  <c r="AK35" i="36"/>
  <c r="AL35" i="36"/>
  <c r="AM35" i="36"/>
  <c r="AN35" i="36"/>
  <c r="AO35" i="36"/>
  <c r="AP35" i="36"/>
  <c r="AQ35" i="36"/>
  <c r="AR35" i="36"/>
  <c r="AS35" i="36"/>
  <c r="AT35" i="36"/>
  <c r="AU35" i="36"/>
  <c r="AV35" i="36"/>
  <c r="AW35" i="36"/>
  <c r="AX35" i="36"/>
  <c r="AY35" i="36"/>
  <c r="AZ35" i="36"/>
  <c r="BA35" i="36"/>
  <c r="BB35" i="36"/>
  <c r="BC35" i="36"/>
  <c r="BD35" i="36"/>
  <c r="BF35" i="36"/>
  <c r="BG35" i="36"/>
  <c r="BH35" i="36"/>
  <c r="BI35" i="36"/>
  <c r="BJ35" i="36"/>
  <c r="BK35" i="36"/>
  <c r="BL35" i="36"/>
  <c r="BM35" i="36"/>
  <c r="BN35" i="36"/>
  <c r="BO35" i="36"/>
  <c r="BP35" i="36"/>
  <c r="BQ35" i="36"/>
  <c r="BR35" i="36"/>
  <c r="BS35" i="36"/>
  <c r="BT35" i="36"/>
  <c r="BU35" i="36"/>
  <c r="BV35" i="36"/>
  <c r="BW35" i="36"/>
  <c r="BX35" i="36"/>
  <c r="BY35" i="36"/>
  <c r="BZ35" i="36"/>
  <c r="CA35" i="36"/>
  <c r="CC35" i="36"/>
  <c r="CD35" i="36"/>
  <c r="CE35" i="36"/>
  <c r="CF35" i="36"/>
  <c r="CG35" i="36"/>
  <c r="CH35" i="36"/>
  <c r="CI35" i="36"/>
  <c r="CJ35" i="36"/>
  <c r="CK35" i="36"/>
  <c r="CL35" i="36"/>
  <c r="CM35" i="36"/>
  <c r="CN35" i="36"/>
  <c r="CO35" i="36"/>
  <c r="CP35" i="36"/>
  <c r="CQ35" i="36"/>
  <c r="CR35" i="36"/>
  <c r="CS35" i="36"/>
  <c r="CT35" i="36"/>
  <c r="CU35" i="36"/>
  <c r="CV35" i="36"/>
  <c r="CW35" i="36"/>
  <c r="CX35" i="36"/>
  <c r="G36" i="36"/>
  <c r="H36" i="36"/>
  <c r="I36" i="36"/>
  <c r="J36" i="36"/>
  <c r="K36" i="36"/>
  <c r="L36" i="36"/>
  <c r="M36" i="36"/>
  <c r="N36" i="36"/>
  <c r="O36" i="36"/>
  <c r="Q36" i="36"/>
  <c r="S36" i="36"/>
  <c r="T36" i="36"/>
  <c r="U36" i="36"/>
  <c r="V36" i="36"/>
  <c r="W36" i="36"/>
  <c r="X36" i="36"/>
  <c r="Y36" i="36"/>
  <c r="AA36" i="36"/>
  <c r="AC36" i="36"/>
  <c r="AD36" i="36"/>
  <c r="AE36" i="36"/>
  <c r="AF36" i="36"/>
  <c r="AI36" i="36"/>
  <c r="AJ36" i="36"/>
  <c r="AK36" i="36"/>
  <c r="AL36" i="36"/>
  <c r="AM36" i="36"/>
  <c r="AN36" i="36"/>
  <c r="AO36" i="36"/>
  <c r="AP36" i="36"/>
  <c r="AQ36" i="36"/>
  <c r="AR36" i="36"/>
  <c r="AS36" i="36"/>
  <c r="AT36" i="36"/>
  <c r="AU36" i="36"/>
  <c r="AV36" i="36"/>
  <c r="AW36" i="36"/>
  <c r="AX36" i="36"/>
  <c r="AY36" i="36"/>
  <c r="AZ36" i="36"/>
  <c r="BA36" i="36"/>
  <c r="BB36" i="36"/>
  <c r="BC36" i="36"/>
  <c r="BD36" i="36"/>
  <c r="BF36" i="36"/>
  <c r="BG36" i="36"/>
  <c r="BH36" i="36"/>
  <c r="BI36" i="36"/>
  <c r="BJ36" i="36"/>
  <c r="BK36" i="36"/>
  <c r="BL36" i="36"/>
  <c r="BM36" i="36"/>
  <c r="BN36" i="36"/>
  <c r="BO36" i="36"/>
  <c r="BP36" i="36"/>
  <c r="BQ36" i="36"/>
  <c r="BR36" i="36"/>
  <c r="BS36" i="36"/>
  <c r="BT36" i="36"/>
  <c r="BU36" i="36"/>
  <c r="BV36" i="36"/>
  <c r="BW36" i="36"/>
  <c r="BX36" i="36"/>
  <c r="BY36" i="36"/>
  <c r="BZ36" i="36"/>
  <c r="CA36" i="36"/>
  <c r="CC36" i="36"/>
  <c r="CD36" i="36"/>
  <c r="CE36" i="36"/>
  <c r="CF36" i="36"/>
  <c r="CG36" i="36"/>
  <c r="CH36" i="36"/>
  <c r="CI36" i="36"/>
  <c r="CJ36" i="36"/>
  <c r="CK36" i="36"/>
  <c r="CL36" i="36"/>
  <c r="CM36" i="36"/>
  <c r="CN36" i="36"/>
  <c r="CO36" i="36"/>
  <c r="CP36" i="36"/>
  <c r="CQ36" i="36"/>
  <c r="CR36" i="36"/>
  <c r="CS36" i="36"/>
  <c r="CT36" i="36"/>
  <c r="CU36" i="36"/>
  <c r="CV36" i="36"/>
  <c r="CW36" i="36"/>
  <c r="CX36" i="36"/>
  <c r="G37" i="36"/>
  <c r="H37" i="36"/>
  <c r="I37" i="36"/>
  <c r="J37" i="36"/>
  <c r="K37" i="36"/>
  <c r="L37" i="36"/>
  <c r="M37" i="36"/>
  <c r="N37" i="36"/>
  <c r="O37" i="36"/>
  <c r="Q37" i="36"/>
  <c r="S37" i="36"/>
  <c r="T37" i="36"/>
  <c r="U37" i="36"/>
  <c r="V37" i="36"/>
  <c r="W37" i="36"/>
  <c r="X37" i="36"/>
  <c r="Y37" i="36"/>
  <c r="AA37" i="36"/>
  <c r="AC37" i="36"/>
  <c r="AD37" i="36"/>
  <c r="AE37" i="36"/>
  <c r="AF37" i="36"/>
  <c r="AI37" i="36"/>
  <c r="AJ37" i="36"/>
  <c r="AK37" i="36"/>
  <c r="AL37" i="36"/>
  <c r="AM37" i="36"/>
  <c r="AN37" i="36"/>
  <c r="AO37" i="36"/>
  <c r="AP37" i="36"/>
  <c r="AQ37" i="36"/>
  <c r="AR37" i="36"/>
  <c r="AS37" i="36"/>
  <c r="AT37" i="36"/>
  <c r="AU37" i="36"/>
  <c r="AV37" i="36"/>
  <c r="AW37" i="36"/>
  <c r="AX37" i="36"/>
  <c r="AY37" i="36"/>
  <c r="AZ37" i="36"/>
  <c r="BA37" i="36"/>
  <c r="BB37" i="36"/>
  <c r="BC37" i="36"/>
  <c r="BD37" i="36"/>
  <c r="BF37" i="36"/>
  <c r="BG37" i="36"/>
  <c r="BH37" i="36"/>
  <c r="BI37" i="36"/>
  <c r="BJ37" i="36"/>
  <c r="BK37" i="36"/>
  <c r="BL37" i="36"/>
  <c r="BM37" i="36"/>
  <c r="BN37" i="36"/>
  <c r="BO37" i="36"/>
  <c r="BP37" i="36"/>
  <c r="BQ37" i="36"/>
  <c r="BR37" i="36"/>
  <c r="BS37" i="36"/>
  <c r="BT37" i="36"/>
  <c r="BU37" i="36"/>
  <c r="BV37" i="36"/>
  <c r="BW37" i="36"/>
  <c r="BX37" i="36"/>
  <c r="BY37" i="36"/>
  <c r="BZ37" i="36"/>
  <c r="CA37" i="36"/>
  <c r="CC37" i="36"/>
  <c r="CD37" i="36"/>
  <c r="CE37" i="36"/>
  <c r="CF37" i="36"/>
  <c r="CG37" i="36"/>
  <c r="CH37" i="36"/>
  <c r="CI37" i="36"/>
  <c r="CJ37" i="36"/>
  <c r="CK37" i="36"/>
  <c r="CL37" i="36"/>
  <c r="CM37" i="36"/>
  <c r="CN37" i="36"/>
  <c r="CO37" i="36"/>
  <c r="CP37" i="36"/>
  <c r="CQ37" i="36"/>
  <c r="CR37" i="36"/>
  <c r="CS37" i="36"/>
  <c r="CT37" i="36"/>
  <c r="CU37" i="36"/>
  <c r="CV37" i="36"/>
  <c r="CW37" i="36"/>
  <c r="CX37" i="36"/>
  <c r="G38" i="36"/>
  <c r="H38" i="36"/>
  <c r="I38" i="36"/>
  <c r="J38" i="36"/>
  <c r="K38" i="36"/>
  <c r="L38" i="36"/>
  <c r="M38" i="36"/>
  <c r="N38" i="36"/>
  <c r="O38" i="36"/>
  <c r="Q38" i="36"/>
  <c r="S38" i="36"/>
  <c r="T38" i="36"/>
  <c r="U38" i="36"/>
  <c r="V38" i="36"/>
  <c r="W38" i="36"/>
  <c r="X38" i="36"/>
  <c r="Y38" i="36"/>
  <c r="AA38" i="36"/>
  <c r="AC38" i="36"/>
  <c r="AD38" i="36"/>
  <c r="AE38" i="36"/>
  <c r="AF38" i="36"/>
  <c r="AI38" i="36"/>
  <c r="AJ38" i="36"/>
  <c r="AK38" i="36"/>
  <c r="AL38" i="36"/>
  <c r="AM38" i="36"/>
  <c r="AN38" i="36"/>
  <c r="AO38" i="36"/>
  <c r="AP38" i="36"/>
  <c r="AQ38" i="36"/>
  <c r="AR38" i="36"/>
  <c r="AS38" i="36"/>
  <c r="AT38" i="36"/>
  <c r="AU38" i="36"/>
  <c r="AV38" i="36"/>
  <c r="AW38" i="36"/>
  <c r="AX38" i="36"/>
  <c r="AY38" i="36"/>
  <c r="AZ38" i="36"/>
  <c r="BA38" i="36"/>
  <c r="BB38" i="36"/>
  <c r="BC38" i="36"/>
  <c r="BD38" i="36"/>
  <c r="BF38" i="36"/>
  <c r="BG38" i="36"/>
  <c r="BH38" i="36"/>
  <c r="BI38" i="36"/>
  <c r="BJ38" i="36"/>
  <c r="BK38" i="36"/>
  <c r="BL38" i="36"/>
  <c r="BM38" i="36"/>
  <c r="BN38" i="36"/>
  <c r="BO38" i="36"/>
  <c r="BP38" i="36"/>
  <c r="BQ38" i="36"/>
  <c r="BR38" i="36"/>
  <c r="BS38" i="36"/>
  <c r="BT38" i="36"/>
  <c r="BU38" i="36"/>
  <c r="BV38" i="36"/>
  <c r="BW38" i="36"/>
  <c r="BX38" i="36"/>
  <c r="BY38" i="36"/>
  <c r="BZ38" i="36"/>
  <c r="CA38" i="36"/>
  <c r="CC38" i="36"/>
  <c r="CD38" i="36"/>
  <c r="CE38" i="36"/>
  <c r="CF38" i="36"/>
  <c r="CG38" i="36"/>
  <c r="CH38" i="36"/>
  <c r="CI38" i="36"/>
  <c r="CJ38" i="36"/>
  <c r="CK38" i="36"/>
  <c r="CL38" i="36"/>
  <c r="CM38" i="36"/>
  <c r="CN38" i="36"/>
  <c r="CO38" i="36"/>
  <c r="CP38" i="36"/>
  <c r="CQ38" i="36"/>
  <c r="CR38" i="36"/>
  <c r="CS38" i="36"/>
  <c r="CT38" i="36"/>
  <c r="CU38" i="36"/>
  <c r="CV38" i="36"/>
  <c r="CW38" i="36"/>
  <c r="CX38" i="36"/>
  <c r="G39" i="36"/>
  <c r="H39" i="36"/>
  <c r="I39" i="36"/>
  <c r="J39" i="36"/>
  <c r="K39" i="36"/>
  <c r="L39" i="36"/>
  <c r="M39" i="36"/>
  <c r="N39" i="36"/>
  <c r="O39" i="36"/>
  <c r="Q39" i="36"/>
  <c r="S39" i="36"/>
  <c r="T39" i="36"/>
  <c r="U39" i="36"/>
  <c r="V39" i="36"/>
  <c r="W39" i="36"/>
  <c r="X39" i="36"/>
  <c r="Y39" i="36"/>
  <c r="AA39" i="36"/>
  <c r="AC39" i="36"/>
  <c r="AD39" i="36"/>
  <c r="AE39" i="36"/>
  <c r="AF39" i="36"/>
  <c r="AI39" i="36"/>
  <c r="AJ39" i="36"/>
  <c r="AK39" i="36"/>
  <c r="AL39" i="36"/>
  <c r="AM39" i="36"/>
  <c r="AN39" i="36"/>
  <c r="AO39" i="36"/>
  <c r="AP39" i="36"/>
  <c r="AQ39" i="36"/>
  <c r="AR39" i="36"/>
  <c r="AS39" i="36"/>
  <c r="AT39" i="36"/>
  <c r="AU39" i="36"/>
  <c r="AV39" i="36"/>
  <c r="AW39" i="36"/>
  <c r="AX39" i="36"/>
  <c r="AY39" i="36"/>
  <c r="AZ39" i="36"/>
  <c r="BA39" i="36"/>
  <c r="BB39" i="36"/>
  <c r="BC39" i="36"/>
  <c r="BD39" i="36"/>
  <c r="BF39" i="36"/>
  <c r="BG39" i="36"/>
  <c r="BH39" i="36"/>
  <c r="BI39" i="36"/>
  <c r="BJ39" i="36"/>
  <c r="BK39" i="36"/>
  <c r="BL39" i="36"/>
  <c r="BM39" i="36"/>
  <c r="BN39" i="36"/>
  <c r="BO39" i="36"/>
  <c r="BP39" i="36"/>
  <c r="BQ39" i="36"/>
  <c r="BR39" i="36"/>
  <c r="BS39" i="36"/>
  <c r="BT39" i="36"/>
  <c r="BU39" i="36"/>
  <c r="BV39" i="36"/>
  <c r="BW39" i="36"/>
  <c r="BX39" i="36"/>
  <c r="BY39" i="36"/>
  <c r="BZ39" i="36"/>
  <c r="CA39" i="36"/>
  <c r="CC39" i="36"/>
  <c r="CD39" i="36"/>
  <c r="CE39" i="36"/>
  <c r="CF39" i="36"/>
  <c r="CG39" i="36"/>
  <c r="CH39" i="36"/>
  <c r="CI39" i="36"/>
  <c r="CJ39" i="36"/>
  <c r="CK39" i="36"/>
  <c r="CL39" i="36"/>
  <c r="CM39" i="36"/>
  <c r="CN39" i="36"/>
  <c r="CO39" i="36"/>
  <c r="CP39" i="36"/>
  <c r="CQ39" i="36"/>
  <c r="CR39" i="36"/>
  <c r="CS39" i="36"/>
  <c r="CT39" i="36"/>
  <c r="CU39" i="36"/>
  <c r="CV39" i="36"/>
  <c r="CW39" i="36"/>
  <c r="CX39" i="36"/>
  <c r="G40" i="36"/>
  <c r="H40" i="36"/>
  <c r="I40" i="36"/>
  <c r="J40" i="36"/>
  <c r="K40" i="36"/>
  <c r="L40" i="36"/>
  <c r="M40" i="36"/>
  <c r="N40" i="36"/>
  <c r="O40" i="36"/>
  <c r="Q40" i="36"/>
  <c r="S40" i="36"/>
  <c r="T40" i="36"/>
  <c r="U40" i="36"/>
  <c r="V40" i="36"/>
  <c r="W40" i="36"/>
  <c r="X40" i="36"/>
  <c r="Y40" i="36"/>
  <c r="AA40" i="36"/>
  <c r="AC40" i="36"/>
  <c r="AD40" i="36"/>
  <c r="AE40" i="36"/>
  <c r="AF40" i="36"/>
  <c r="AI40" i="36"/>
  <c r="AJ40" i="36"/>
  <c r="AK40" i="36"/>
  <c r="AL40" i="36"/>
  <c r="AM40" i="36"/>
  <c r="AN40" i="36"/>
  <c r="AO40" i="36"/>
  <c r="AP40" i="36"/>
  <c r="AQ40" i="36"/>
  <c r="AR40" i="36"/>
  <c r="AS40" i="36"/>
  <c r="AT40" i="36"/>
  <c r="AU40" i="36"/>
  <c r="AV40" i="36"/>
  <c r="AW40" i="36"/>
  <c r="AX40" i="36"/>
  <c r="AY40" i="36"/>
  <c r="AZ40" i="36"/>
  <c r="BA40" i="36"/>
  <c r="BB40" i="36"/>
  <c r="BC40" i="36"/>
  <c r="BD40" i="36"/>
  <c r="BF40" i="36"/>
  <c r="BG40" i="36"/>
  <c r="BH40" i="36"/>
  <c r="BI40" i="36"/>
  <c r="BJ40" i="36"/>
  <c r="BK40" i="36"/>
  <c r="BL40" i="36"/>
  <c r="BM40" i="36"/>
  <c r="BN40" i="36"/>
  <c r="BO40" i="36"/>
  <c r="BP40" i="36"/>
  <c r="BQ40" i="36"/>
  <c r="BR40" i="36"/>
  <c r="BS40" i="36"/>
  <c r="BT40" i="36"/>
  <c r="BU40" i="36"/>
  <c r="BV40" i="36"/>
  <c r="BW40" i="36"/>
  <c r="BX40" i="36"/>
  <c r="BY40" i="36"/>
  <c r="BZ40" i="36"/>
  <c r="CA40" i="36"/>
  <c r="CC40" i="36"/>
  <c r="CD40" i="36"/>
  <c r="CE40" i="36"/>
  <c r="CF40" i="36"/>
  <c r="CG40" i="36"/>
  <c r="CH40" i="36"/>
  <c r="CI40" i="36"/>
  <c r="CJ40" i="36"/>
  <c r="CK40" i="36"/>
  <c r="CL40" i="36"/>
  <c r="CM40" i="36"/>
  <c r="CN40" i="36"/>
  <c r="CO40" i="36"/>
  <c r="CP40" i="36"/>
  <c r="CQ40" i="36"/>
  <c r="CR40" i="36"/>
  <c r="CS40" i="36"/>
  <c r="CT40" i="36"/>
  <c r="CU40" i="36"/>
  <c r="CV40" i="36"/>
  <c r="CW40" i="36"/>
  <c r="CX40" i="36"/>
  <c r="G21" i="41"/>
  <c r="H21" i="41"/>
  <c r="I21" i="41"/>
  <c r="J21" i="41"/>
  <c r="K21" i="41"/>
  <c r="L21" i="41"/>
  <c r="M21" i="41"/>
  <c r="N21" i="41"/>
  <c r="O21" i="41"/>
  <c r="Q21" i="41"/>
  <c r="S21" i="41"/>
  <c r="T21" i="41"/>
  <c r="U21" i="41"/>
  <c r="V21" i="41"/>
  <c r="W21" i="41"/>
  <c r="X21" i="41"/>
  <c r="Y21" i="41"/>
  <c r="AA21" i="41"/>
  <c r="AC21" i="41"/>
  <c r="AD21" i="41"/>
  <c r="AE21" i="41"/>
  <c r="AF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AZ21" i="41"/>
  <c r="BA21" i="41"/>
  <c r="BB21" i="41"/>
  <c r="BC21" i="41"/>
  <c r="BD21" i="41"/>
  <c r="BF21" i="41"/>
  <c r="BG21" i="41"/>
  <c r="BH21" i="41"/>
  <c r="BI21" i="41"/>
  <c r="BJ21" i="41"/>
  <c r="BK21" i="41"/>
  <c r="BL21" i="41"/>
  <c r="BM21" i="41"/>
  <c r="BN21" i="41"/>
  <c r="BO21" i="41"/>
  <c r="BP21" i="41"/>
  <c r="BQ21" i="41"/>
  <c r="BR21" i="41"/>
  <c r="BS21" i="41"/>
  <c r="BT21" i="41"/>
  <c r="BU21" i="41"/>
  <c r="BV21" i="41"/>
  <c r="BW21" i="41"/>
  <c r="BX21" i="41"/>
  <c r="BY21" i="41"/>
  <c r="BZ21" i="41"/>
  <c r="CA21" i="41"/>
  <c r="CC21" i="41"/>
  <c r="CD21" i="41"/>
  <c r="CE21" i="41"/>
  <c r="CF21" i="41"/>
  <c r="CG21" i="41"/>
  <c r="CH21" i="41"/>
  <c r="CI21" i="41"/>
  <c r="CJ21" i="41"/>
  <c r="CK21" i="41"/>
  <c r="CL21" i="41"/>
  <c r="CM21" i="41"/>
  <c r="CN21" i="41"/>
  <c r="CO21" i="41"/>
  <c r="CP21" i="41"/>
  <c r="CQ21" i="41"/>
  <c r="CR21" i="41"/>
  <c r="CS21" i="41"/>
  <c r="CT21" i="41"/>
  <c r="CU21" i="41"/>
  <c r="CV21" i="41"/>
  <c r="CW21" i="41"/>
  <c r="CX21" i="41"/>
  <c r="G22" i="41"/>
  <c r="H22" i="41"/>
  <c r="I22" i="41"/>
  <c r="J22" i="41"/>
  <c r="K22" i="41"/>
  <c r="L22" i="41"/>
  <c r="M22" i="41"/>
  <c r="N22" i="41"/>
  <c r="O22" i="41"/>
  <c r="Q22" i="41"/>
  <c r="S22" i="41"/>
  <c r="T22" i="41"/>
  <c r="U22" i="41"/>
  <c r="V22" i="41"/>
  <c r="W22" i="41"/>
  <c r="X22" i="41"/>
  <c r="Y22" i="41"/>
  <c r="AA22" i="41"/>
  <c r="AC22" i="41"/>
  <c r="AD22" i="41"/>
  <c r="AE22" i="41"/>
  <c r="AF22" i="41"/>
  <c r="AI22" i="41"/>
  <c r="AJ22" i="41"/>
  <c r="AK22" i="41"/>
  <c r="AL22" i="41"/>
  <c r="AM22" i="41"/>
  <c r="AN22" i="41"/>
  <c r="AO22" i="41"/>
  <c r="AP22" i="41"/>
  <c r="AQ22" i="41"/>
  <c r="AR22" i="41"/>
  <c r="AS22" i="41"/>
  <c r="AT22" i="41"/>
  <c r="AU22" i="41"/>
  <c r="AV22" i="41"/>
  <c r="AW22" i="41"/>
  <c r="AX22" i="41"/>
  <c r="AY22" i="41"/>
  <c r="AZ22" i="41"/>
  <c r="BA22" i="41"/>
  <c r="BB22" i="41"/>
  <c r="BC22" i="41"/>
  <c r="BD22" i="41"/>
  <c r="BF22" i="41"/>
  <c r="BG22" i="41"/>
  <c r="BH22" i="41"/>
  <c r="BI22" i="41"/>
  <c r="BJ22" i="41"/>
  <c r="BK22" i="41"/>
  <c r="BL22" i="41"/>
  <c r="BM22" i="41"/>
  <c r="BN22" i="41"/>
  <c r="BO22" i="41"/>
  <c r="BP22" i="41"/>
  <c r="BQ22" i="41"/>
  <c r="BR22" i="41"/>
  <c r="BS22" i="41"/>
  <c r="BT22" i="41"/>
  <c r="BU22" i="41"/>
  <c r="BV22" i="41"/>
  <c r="BW22" i="41"/>
  <c r="BX22" i="41"/>
  <c r="BY22" i="41"/>
  <c r="BZ22" i="41"/>
  <c r="CA22" i="41"/>
  <c r="CC22" i="41"/>
  <c r="CD22" i="41"/>
  <c r="CE22" i="41"/>
  <c r="CF22" i="41"/>
  <c r="CG22" i="41"/>
  <c r="CH22" i="41"/>
  <c r="CI22" i="41"/>
  <c r="CJ22" i="41"/>
  <c r="CK22" i="41"/>
  <c r="CL22" i="41"/>
  <c r="CM22" i="41"/>
  <c r="CN22" i="41"/>
  <c r="CO22" i="41"/>
  <c r="CP22" i="41"/>
  <c r="CQ22" i="41"/>
  <c r="CR22" i="41"/>
  <c r="CS22" i="41"/>
  <c r="CT22" i="41"/>
  <c r="CU22" i="41"/>
  <c r="CV22" i="41"/>
  <c r="CW22" i="41"/>
  <c r="CX22" i="41"/>
  <c r="G23" i="41"/>
  <c r="H23" i="41"/>
  <c r="I23" i="41"/>
  <c r="J23" i="41"/>
  <c r="K23" i="41"/>
  <c r="L23" i="41"/>
  <c r="M23" i="41"/>
  <c r="N23" i="41"/>
  <c r="O23" i="41"/>
  <c r="Q23" i="41"/>
  <c r="S23" i="41"/>
  <c r="T23" i="41"/>
  <c r="U23" i="41"/>
  <c r="V23" i="41"/>
  <c r="W23" i="41"/>
  <c r="X23" i="41"/>
  <c r="Y23" i="41"/>
  <c r="AA23" i="41"/>
  <c r="AC23" i="41"/>
  <c r="AD23" i="41"/>
  <c r="AE23" i="41"/>
  <c r="AF23" i="41"/>
  <c r="AI23" i="41"/>
  <c r="AJ23" i="41"/>
  <c r="AK23" i="41"/>
  <c r="AL23" i="41"/>
  <c r="AM23" i="41"/>
  <c r="AN23" i="41"/>
  <c r="AO23" i="41"/>
  <c r="AP23" i="41"/>
  <c r="AQ23" i="41"/>
  <c r="AR23" i="41"/>
  <c r="AS23" i="41"/>
  <c r="AT23" i="41"/>
  <c r="AU23" i="41"/>
  <c r="AV23" i="41"/>
  <c r="AW23" i="41"/>
  <c r="AX23" i="41"/>
  <c r="AY23" i="41"/>
  <c r="AZ23" i="41"/>
  <c r="BA23" i="41"/>
  <c r="BB23" i="41"/>
  <c r="BC23" i="41"/>
  <c r="BD23" i="41"/>
  <c r="BF23" i="41"/>
  <c r="BG23" i="41"/>
  <c r="BH23" i="41"/>
  <c r="BI23" i="41"/>
  <c r="BJ23" i="41"/>
  <c r="BK23" i="41"/>
  <c r="BL23" i="41"/>
  <c r="BM23" i="41"/>
  <c r="BN23" i="41"/>
  <c r="BO23" i="41"/>
  <c r="BP23" i="41"/>
  <c r="BQ23" i="41"/>
  <c r="BR23" i="41"/>
  <c r="BS23" i="41"/>
  <c r="BT23" i="41"/>
  <c r="BU23" i="41"/>
  <c r="BV23" i="41"/>
  <c r="BW23" i="41"/>
  <c r="BX23" i="41"/>
  <c r="BY23" i="41"/>
  <c r="BZ23" i="41"/>
  <c r="CA23" i="41"/>
  <c r="CC23" i="41"/>
  <c r="CD23" i="41"/>
  <c r="CE23" i="41"/>
  <c r="CF23" i="41"/>
  <c r="CG23" i="41"/>
  <c r="CH23" i="41"/>
  <c r="CI23" i="41"/>
  <c r="CJ23" i="41"/>
  <c r="CK23" i="41"/>
  <c r="CL23" i="41"/>
  <c r="CM23" i="41"/>
  <c r="CN23" i="41"/>
  <c r="CO23" i="41"/>
  <c r="CP23" i="41"/>
  <c r="CQ23" i="41"/>
  <c r="CR23" i="41"/>
  <c r="CS23" i="41"/>
  <c r="CT23" i="41"/>
  <c r="CU23" i="41"/>
  <c r="CV23" i="41"/>
  <c r="CW23" i="41"/>
  <c r="CX23" i="41"/>
  <c r="G24" i="41"/>
  <c r="H24" i="41"/>
  <c r="I24" i="41"/>
  <c r="J24" i="41"/>
  <c r="K24" i="41"/>
  <c r="L24" i="41"/>
  <c r="M24" i="41"/>
  <c r="N24" i="41"/>
  <c r="O24" i="41"/>
  <c r="Q24" i="41"/>
  <c r="S24" i="41"/>
  <c r="T24" i="41"/>
  <c r="U24" i="41"/>
  <c r="V24" i="41"/>
  <c r="W24" i="41"/>
  <c r="X24" i="41"/>
  <c r="Y24" i="41"/>
  <c r="AA24" i="41"/>
  <c r="AC24" i="41"/>
  <c r="AD24" i="41"/>
  <c r="AE24" i="41"/>
  <c r="AF24" i="41"/>
  <c r="AI24" i="41"/>
  <c r="AJ24" i="41"/>
  <c r="AK24" i="41"/>
  <c r="AL24" i="41"/>
  <c r="AM24" i="41"/>
  <c r="AN24" i="41"/>
  <c r="AO24" i="41"/>
  <c r="AP24" i="41"/>
  <c r="AQ24" i="41"/>
  <c r="AR24" i="41"/>
  <c r="AS24" i="41"/>
  <c r="AT24" i="41"/>
  <c r="AU24" i="41"/>
  <c r="AV24" i="41"/>
  <c r="AW24" i="41"/>
  <c r="AX24" i="41"/>
  <c r="AY24" i="41"/>
  <c r="AZ24" i="41"/>
  <c r="BA24" i="41"/>
  <c r="BB24" i="41"/>
  <c r="BC24" i="41"/>
  <c r="BD24" i="41"/>
  <c r="BF24" i="41"/>
  <c r="BG24" i="41"/>
  <c r="BH24" i="41"/>
  <c r="BI24" i="41"/>
  <c r="BJ24" i="41"/>
  <c r="BK24" i="41"/>
  <c r="BL24" i="41"/>
  <c r="BM24" i="41"/>
  <c r="BN24" i="41"/>
  <c r="BO24" i="41"/>
  <c r="BP24" i="41"/>
  <c r="BQ24" i="41"/>
  <c r="BR24" i="41"/>
  <c r="BS24" i="41"/>
  <c r="BT24" i="41"/>
  <c r="BU24" i="41"/>
  <c r="BV24" i="41"/>
  <c r="BW24" i="41"/>
  <c r="BX24" i="41"/>
  <c r="BY24" i="41"/>
  <c r="BZ24" i="41"/>
  <c r="CA24" i="41"/>
  <c r="CC24" i="41"/>
  <c r="CD24" i="41"/>
  <c r="CE24" i="41"/>
  <c r="CF24" i="41"/>
  <c r="CG24" i="41"/>
  <c r="CH24" i="41"/>
  <c r="CI24" i="41"/>
  <c r="CJ24" i="41"/>
  <c r="CK24" i="41"/>
  <c r="CL24" i="41"/>
  <c r="CM24" i="41"/>
  <c r="CN24" i="41"/>
  <c r="CO24" i="41"/>
  <c r="CP24" i="41"/>
  <c r="CQ24" i="41"/>
  <c r="CR24" i="41"/>
  <c r="CS24" i="41"/>
  <c r="CT24" i="41"/>
  <c r="CU24" i="41"/>
  <c r="CV24" i="41"/>
  <c r="CW24" i="41"/>
  <c r="CX24" i="41"/>
  <c r="G25" i="41"/>
  <c r="H25" i="41"/>
  <c r="I25" i="41"/>
  <c r="J25" i="41"/>
  <c r="K25" i="41"/>
  <c r="L25" i="41"/>
  <c r="M25" i="41"/>
  <c r="N25" i="41"/>
  <c r="O25" i="41"/>
  <c r="Q25" i="41"/>
  <c r="S25" i="41"/>
  <c r="T25" i="41"/>
  <c r="U25" i="41"/>
  <c r="V25" i="41"/>
  <c r="W25" i="41"/>
  <c r="X25" i="41"/>
  <c r="Y25" i="41"/>
  <c r="AA25" i="41"/>
  <c r="AC25" i="41"/>
  <c r="AD25" i="41"/>
  <c r="AE25" i="41"/>
  <c r="AF25" i="41"/>
  <c r="AI25" i="41"/>
  <c r="AJ25" i="41"/>
  <c r="AK25" i="41"/>
  <c r="AL25" i="41"/>
  <c r="AM25" i="41"/>
  <c r="AN25" i="41"/>
  <c r="AO25" i="41"/>
  <c r="AP25" i="41"/>
  <c r="AQ25" i="41"/>
  <c r="AR25" i="41"/>
  <c r="AS25" i="41"/>
  <c r="AT25" i="41"/>
  <c r="AU25" i="41"/>
  <c r="AV25" i="41"/>
  <c r="AW25" i="41"/>
  <c r="AX25" i="41"/>
  <c r="AY25" i="41"/>
  <c r="AZ25" i="41"/>
  <c r="BA25" i="41"/>
  <c r="BB25" i="41"/>
  <c r="BC25" i="41"/>
  <c r="BD25" i="41"/>
  <c r="BF25" i="41"/>
  <c r="BG25" i="41"/>
  <c r="BH25" i="41"/>
  <c r="BI25" i="41"/>
  <c r="BJ25" i="41"/>
  <c r="BK25" i="41"/>
  <c r="BL25" i="41"/>
  <c r="BM25" i="41"/>
  <c r="BN25" i="41"/>
  <c r="BO25" i="41"/>
  <c r="BP25" i="41"/>
  <c r="BQ25" i="41"/>
  <c r="BR25" i="41"/>
  <c r="BS25" i="41"/>
  <c r="BT25" i="41"/>
  <c r="BU25" i="41"/>
  <c r="BV25" i="41"/>
  <c r="BW25" i="41"/>
  <c r="BX25" i="41"/>
  <c r="BY25" i="41"/>
  <c r="BZ25" i="41"/>
  <c r="CA25" i="41"/>
  <c r="CC25" i="41"/>
  <c r="CD25" i="41"/>
  <c r="CE25" i="41"/>
  <c r="CF25" i="41"/>
  <c r="CG25" i="41"/>
  <c r="CH25" i="41"/>
  <c r="CI25" i="41"/>
  <c r="CJ25" i="41"/>
  <c r="CK25" i="41"/>
  <c r="CL25" i="41"/>
  <c r="CM25" i="41"/>
  <c r="CN25" i="41"/>
  <c r="CO25" i="41"/>
  <c r="CP25" i="41"/>
  <c r="CQ25" i="41"/>
  <c r="CR25" i="41"/>
  <c r="CS25" i="41"/>
  <c r="CT25" i="41"/>
  <c r="CU25" i="41"/>
  <c r="CV25" i="41"/>
  <c r="CW25" i="41"/>
  <c r="CX25" i="41"/>
  <c r="G26" i="41"/>
  <c r="H26" i="41"/>
  <c r="I26" i="41"/>
  <c r="J26" i="41"/>
  <c r="K26" i="41"/>
  <c r="L26" i="41"/>
  <c r="M26" i="41"/>
  <c r="N26" i="41"/>
  <c r="O26" i="41"/>
  <c r="Q26" i="41"/>
  <c r="S26" i="41"/>
  <c r="T26" i="41"/>
  <c r="U26" i="41"/>
  <c r="V26" i="41"/>
  <c r="W26" i="41"/>
  <c r="X26" i="41"/>
  <c r="Y26" i="41"/>
  <c r="AA26" i="41"/>
  <c r="AC26" i="41"/>
  <c r="AD26" i="41"/>
  <c r="AE26" i="41"/>
  <c r="AF26" i="41"/>
  <c r="AI26" i="41"/>
  <c r="AJ26" i="41"/>
  <c r="AK26" i="41"/>
  <c r="AL26" i="41"/>
  <c r="AM26" i="41"/>
  <c r="AN26" i="41"/>
  <c r="AO26" i="41"/>
  <c r="AP26" i="41"/>
  <c r="AQ26" i="41"/>
  <c r="AR26" i="41"/>
  <c r="AS26" i="41"/>
  <c r="AT26" i="41"/>
  <c r="AU26" i="41"/>
  <c r="AV26" i="41"/>
  <c r="AW26" i="41"/>
  <c r="AX26" i="41"/>
  <c r="AY26" i="41"/>
  <c r="AZ26" i="41"/>
  <c r="BA26" i="41"/>
  <c r="BB26" i="41"/>
  <c r="BC26" i="41"/>
  <c r="BD26" i="41"/>
  <c r="BF26" i="41"/>
  <c r="BG26" i="41"/>
  <c r="BH26" i="41"/>
  <c r="BI26" i="41"/>
  <c r="BJ26" i="41"/>
  <c r="BK26" i="41"/>
  <c r="BL26" i="41"/>
  <c r="BM26" i="41"/>
  <c r="BN26" i="41"/>
  <c r="BO26" i="41"/>
  <c r="BP26" i="41"/>
  <c r="BQ26" i="41"/>
  <c r="BR26" i="41"/>
  <c r="BS26" i="41"/>
  <c r="BT26" i="41"/>
  <c r="BU26" i="41"/>
  <c r="BV26" i="41"/>
  <c r="BW26" i="41"/>
  <c r="BX26" i="41"/>
  <c r="BY26" i="41"/>
  <c r="BZ26" i="41"/>
  <c r="CA26" i="41"/>
  <c r="CC26" i="41"/>
  <c r="CD26" i="41"/>
  <c r="CE26" i="41"/>
  <c r="CF26" i="41"/>
  <c r="CG26" i="41"/>
  <c r="CH26" i="41"/>
  <c r="CI26" i="41"/>
  <c r="CJ26" i="41"/>
  <c r="CK26" i="41"/>
  <c r="CL26" i="41"/>
  <c r="CM26" i="41"/>
  <c r="CN26" i="41"/>
  <c r="CO26" i="41"/>
  <c r="CP26" i="41"/>
  <c r="CQ26" i="41"/>
  <c r="CR26" i="41"/>
  <c r="CS26" i="41"/>
  <c r="CT26" i="41"/>
  <c r="CU26" i="41"/>
  <c r="CV26" i="41"/>
  <c r="CW26" i="41"/>
  <c r="CX26" i="41"/>
  <c r="G27" i="41"/>
  <c r="H27" i="41"/>
  <c r="I27" i="41"/>
  <c r="J27" i="41"/>
  <c r="K27" i="41"/>
  <c r="L27" i="41"/>
  <c r="M27" i="41"/>
  <c r="N27" i="41"/>
  <c r="O27" i="41"/>
  <c r="Q27" i="41"/>
  <c r="S27" i="41"/>
  <c r="T27" i="41"/>
  <c r="U27" i="41"/>
  <c r="V27" i="41"/>
  <c r="W27" i="41"/>
  <c r="X27" i="41"/>
  <c r="Y27" i="41"/>
  <c r="AA27" i="41"/>
  <c r="AC27" i="41"/>
  <c r="AD27" i="41"/>
  <c r="AE27" i="41"/>
  <c r="AF27" i="41"/>
  <c r="AI27" i="41"/>
  <c r="AJ27" i="41"/>
  <c r="AK27" i="41"/>
  <c r="AL27" i="41"/>
  <c r="AM27" i="41"/>
  <c r="AN27" i="41"/>
  <c r="AO27" i="41"/>
  <c r="AP27" i="41"/>
  <c r="AQ27" i="41"/>
  <c r="AR27" i="41"/>
  <c r="AS27" i="41"/>
  <c r="AT27" i="41"/>
  <c r="AU27" i="41"/>
  <c r="AV27" i="41"/>
  <c r="AW27" i="41"/>
  <c r="AX27" i="41"/>
  <c r="AY27" i="41"/>
  <c r="AZ27" i="41"/>
  <c r="BA27" i="41"/>
  <c r="BB27" i="41"/>
  <c r="BC27" i="41"/>
  <c r="BD27" i="41"/>
  <c r="BF27" i="41"/>
  <c r="BG27" i="41"/>
  <c r="BH27" i="41"/>
  <c r="BI27" i="41"/>
  <c r="BJ27" i="41"/>
  <c r="BK27" i="41"/>
  <c r="BL27" i="41"/>
  <c r="BM27" i="41"/>
  <c r="BN27" i="41"/>
  <c r="BO27" i="41"/>
  <c r="BP27" i="41"/>
  <c r="BQ27" i="41"/>
  <c r="BR27" i="41"/>
  <c r="BS27" i="41"/>
  <c r="BT27" i="41"/>
  <c r="BU27" i="41"/>
  <c r="BV27" i="41"/>
  <c r="BW27" i="41"/>
  <c r="BX27" i="41"/>
  <c r="BY27" i="41"/>
  <c r="BZ27" i="41"/>
  <c r="CA27" i="41"/>
  <c r="CC27" i="41"/>
  <c r="CD27" i="41"/>
  <c r="CE27" i="41"/>
  <c r="CF27" i="41"/>
  <c r="CG27" i="41"/>
  <c r="CH27" i="41"/>
  <c r="CI27" i="41"/>
  <c r="CJ27" i="41"/>
  <c r="CK27" i="41"/>
  <c r="CL27" i="41"/>
  <c r="CM27" i="41"/>
  <c r="CN27" i="41"/>
  <c r="CO27" i="41"/>
  <c r="CP27" i="41"/>
  <c r="CQ27" i="41"/>
  <c r="CR27" i="41"/>
  <c r="CS27" i="41"/>
  <c r="CT27" i="41"/>
  <c r="CU27" i="41"/>
  <c r="CV27" i="41"/>
  <c r="CW27" i="41"/>
  <c r="CX27" i="41"/>
  <c r="G28" i="41"/>
  <c r="H28" i="41"/>
  <c r="I28" i="41"/>
  <c r="J28" i="41"/>
  <c r="K28" i="41"/>
  <c r="L28" i="41"/>
  <c r="M28" i="41"/>
  <c r="N28" i="41"/>
  <c r="O28" i="41"/>
  <c r="Q28" i="41"/>
  <c r="S28" i="41"/>
  <c r="T28" i="41"/>
  <c r="U28" i="41"/>
  <c r="V28" i="41"/>
  <c r="W28" i="41"/>
  <c r="X28" i="41"/>
  <c r="Y28" i="41"/>
  <c r="AA28" i="41"/>
  <c r="AC28" i="41"/>
  <c r="AD28" i="41"/>
  <c r="AE28" i="41"/>
  <c r="AF28" i="41"/>
  <c r="AI28" i="41"/>
  <c r="AJ28" i="41"/>
  <c r="AK28" i="41"/>
  <c r="AL28" i="41"/>
  <c r="AM28" i="41"/>
  <c r="AN28" i="41"/>
  <c r="AO28" i="41"/>
  <c r="AP28" i="41"/>
  <c r="AQ28" i="41"/>
  <c r="AR28" i="41"/>
  <c r="AS28" i="41"/>
  <c r="AT28" i="41"/>
  <c r="AU28" i="41"/>
  <c r="AV28" i="41"/>
  <c r="AW28" i="41"/>
  <c r="AX28" i="41"/>
  <c r="AY28" i="41"/>
  <c r="AZ28" i="41"/>
  <c r="BA28" i="41"/>
  <c r="BB28" i="41"/>
  <c r="BC28" i="41"/>
  <c r="BD28" i="41"/>
  <c r="BF28" i="41"/>
  <c r="BG28" i="41"/>
  <c r="BH28" i="41"/>
  <c r="BI28" i="41"/>
  <c r="BJ28" i="41"/>
  <c r="BK28" i="41"/>
  <c r="BL28" i="41"/>
  <c r="BM28" i="41"/>
  <c r="BN28" i="41"/>
  <c r="BO28" i="41"/>
  <c r="BP28" i="41"/>
  <c r="BQ28" i="41"/>
  <c r="BR28" i="41"/>
  <c r="BS28" i="41"/>
  <c r="BT28" i="41"/>
  <c r="BU28" i="41"/>
  <c r="BV28" i="41"/>
  <c r="BW28" i="41"/>
  <c r="BX28" i="41"/>
  <c r="BY28" i="41"/>
  <c r="BZ28" i="41"/>
  <c r="CA28" i="41"/>
  <c r="CC28" i="41"/>
  <c r="CD28" i="41"/>
  <c r="CE28" i="41"/>
  <c r="CF28" i="41"/>
  <c r="CG28" i="41"/>
  <c r="CH28" i="41"/>
  <c r="CI28" i="41"/>
  <c r="CJ28" i="41"/>
  <c r="CK28" i="41"/>
  <c r="CL28" i="41"/>
  <c r="CM28" i="41"/>
  <c r="CN28" i="41"/>
  <c r="CO28" i="41"/>
  <c r="CP28" i="41"/>
  <c r="CQ28" i="41"/>
  <c r="CR28" i="41"/>
  <c r="CS28" i="41"/>
  <c r="CT28" i="41"/>
  <c r="CU28" i="41"/>
  <c r="CV28" i="41"/>
  <c r="CW28" i="41"/>
  <c r="CX28" i="41"/>
  <c r="G29" i="41"/>
  <c r="H29" i="41"/>
  <c r="I29" i="41"/>
  <c r="J29" i="41"/>
  <c r="K29" i="41"/>
  <c r="L29" i="41"/>
  <c r="M29" i="41"/>
  <c r="N29" i="41"/>
  <c r="O29" i="41"/>
  <c r="Q29" i="41"/>
  <c r="S29" i="41"/>
  <c r="T29" i="41"/>
  <c r="U29" i="41"/>
  <c r="V29" i="41"/>
  <c r="W29" i="41"/>
  <c r="X29" i="41"/>
  <c r="Y29" i="41"/>
  <c r="AA29" i="41"/>
  <c r="AC29" i="41"/>
  <c r="AD29" i="41"/>
  <c r="AE29" i="41"/>
  <c r="AF29" i="41"/>
  <c r="AI29" i="41"/>
  <c r="AJ29" i="41"/>
  <c r="AK29" i="41"/>
  <c r="AL29" i="41"/>
  <c r="AM29" i="41"/>
  <c r="AN29" i="41"/>
  <c r="AO29" i="41"/>
  <c r="AP29" i="41"/>
  <c r="AQ29" i="41"/>
  <c r="AR29" i="41"/>
  <c r="AS29" i="41"/>
  <c r="AT29" i="41"/>
  <c r="AU29" i="41"/>
  <c r="AV29" i="41"/>
  <c r="AW29" i="41"/>
  <c r="AX29" i="41"/>
  <c r="AY29" i="41"/>
  <c r="AZ29" i="41"/>
  <c r="BA29" i="41"/>
  <c r="BB29" i="41"/>
  <c r="BC29" i="41"/>
  <c r="BD29" i="41"/>
  <c r="BF29" i="41"/>
  <c r="BG29" i="41"/>
  <c r="BH29" i="41"/>
  <c r="BI29" i="41"/>
  <c r="BJ29" i="41"/>
  <c r="BK29" i="41"/>
  <c r="BL29" i="41"/>
  <c r="BM29" i="41"/>
  <c r="BN29" i="41"/>
  <c r="BO29" i="41"/>
  <c r="BP29" i="41"/>
  <c r="BQ29" i="41"/>
  <c r="BR29" i="41"/>
  <c r="BS29" i="41"/>
  <c r="BT29" i="41"/>
  <c r="BU29" i="41"/>
  <c r="BV29" i="41"/>
  <c r="BW29" i="41"/>
  <c r="BX29" i="41"/>
  <c r="BY29" i="41"/>
  <c r="BZ29" i="41"/>
  <c r="CA29" i="41"/>
  <c r="CC29" i="41"/>
  <c r="CD29" i="41"/>
  <c r="CE29" i="41"/>
  <c r="CF29" i="41"/>
  <c r="CG29" i="41"/>
  <c r="CH29" i="41"/>
  <c r="CI29" i="41"/>
  <c r="CJ29" i="41"/>
  <c r="CK29" i="41"/>
  <c r="CL29" i="41"/>
  <c r="CM29" i="41"/>
  <c r="CN29" i="41"/>
  <c r="CO29" i="41"/>
  <c r="CP29" i="41"/>
  <c r="CQ29" i="41"/>
  <c r="CR29" i="41"/>
  <c r="CS29" i="41"/>
  <c r="CT29" i="41"/>
  <c r="CU29" i="41"/>
  <c r="CV29" i="41"/>
  <c r="CW29" i="41"/>
  <c r="CX29" i="41"/>
  <c r="G30" i="41"/>
  <c r="H30" i="41"/>
  <c r="I30" i="41"/>
  <c r="J30" i="41"/>
  <c r="K30" i="41"/>
  <c r="L30" i="41"/>
  <c r="M30" i="41"/>
  <c r="N30" i="41"/>
  <c r="O30" i="41"/>
  <c r="Q30" i="41"/>
  <c r="S30" i="41"/>
  <c r="T30" i="41"/>
  <c r="U30" i="41"/>
  <c r="V30" i="41"/>
  <c r="W30" i="41"/>
  <c r="X30" i="41"/>
  <c r="Y30" i="41"/>
  <c r="AA30" i="41"/>
  <c r="AC30" i="41"/>
  <c r="AD30" i="41"/>
  <c r="AE30" i="41"/>
  <c r="AF30" i="41"/>
  <c r="AI30" i="41"/>
  <c r="AJ30" i="41"/>
  <c r="AK30" i="41"/>
  <c r="AL30" i="41"/>
  <c r="AM30" i="41"/>
  <c r="AN30" i="41"/>
  <c r="AO30" i="41"/>
  <c r="AP30" i="41"/>
  <c r="AQ30" i="41"/>
  <c r="AR30" i="41"/>
  <c r="AS30" i="41"/>
  <c r="AT30" i="41"/>
  <c r="AU30" i="41"/>
  <c r="AV30" i="41"/>
  <c r="AW30" i="41"/>
  <c r="AX30" i="41"/>
  <c r="AY30" i="41"/>
  <c r="AZ30" i="41"/>
  <c r="BA30" i="41"/>
  <c r="BB30" i="41"/>
  <c r="BC30" i="41"/>
  <c r="BD30" i="41"/>
  <c r="BF30" i="41"/>
  <c r="BG30" i="41"/>
  <c r="BH30" i="41"/>
  <c r="BI30" i="41"/>
  <c r="BJ30" i="41"/>
  <c r="BK30" i="41"/>
  <c r="BL30" i="41"/>
  <c r="BM30" i="41"/>
  <c r="BN30" i="41"/>
  <c r="BO30" i="41"/>
  <c r="BP30" i="41"/>
  <c r="BQ30" i="41"/>
  <c r="BR30" i="41"/>
  <c r="BS30" i="41"/>
  <c r="BT30" i="41"/>
  <c r="BU30" i="41"/>
  <c r="BV30" i="41"/>
  <c r="BW30" i="41"/>
  <c r="BX30" i="41"/>
  <c r="BY30" i="41"/>
  <c r="BZ30" i="41"/>
  <c r="CA30" i="41"/>
  <c r="CC30" i="41"/>
  <c r="CD30" i="41"/>
  <c r="CE30" i="41"/>
  <c r="CF30" i="41"/>
  <c r="CG30" i="41"/>
  <c r="CH30" i="41"/>
  <c r="CI30" i="41"/>
  <c r="CJ30" i="41"/>
  <c r="CK30" i="41"/>
  <c r="CL30" i="41"/>
  <c r="CM30" i="41"/>
  <c r="CN30" i="41"/>
  <c r="CO30" i="41"/>
  <c r="CP30" i="41"/>
  <c r="CQ30" i="41"/>
  <c r="CR30" i="41"/>
  <c r="CS30" i="41"/>
  <c r="CT30" i="41"/>
  <c r="CU30" i="41"/>
  <c r="CV30" i="41"/>
  <c r="CW30" i="41"/>
  <c r="CX30" i="41"/>
  <c r="G31" i="41"/>
  <c r="H31" i="41"/>
  <c r="I31" i="41"/>
  <c r="J31" i="41"/>
  <c r="K31" i="41"/>
  <c r="L31" i="41"/>
  <c r="M31" i="41"/>
  <c r="N31" i="41"/>
  <c r="O31" i="41"/>
  <c r="Q31" i="41"/>
  <c r="S31" i="41"/>
  <c r="T31" i="41"/>
  <c r="U31" i="41"/>
  <c r="V31" i="41"/>
  <c r="W31" i="41"/>
  <c r="X31" i="41"/>
  <c r="Y31" i="41"/>
  <c r="AA31" i="41"/>
  <c r="AC31" i="41"/>
  <c r="AD31" i="41"/>
  <c r="AE31" i="41"/>
  <c r="AF31" i="41"/>
  <c r="AI31" i="41"/>
  <c r="AJ31" i="41"/>
  <c r="AK31" i="41"/>
  <c r="AL31" i="41"/>
  <c r="AM31" i="41"/>
  <c r="AN31" i="41"/>
  <c r="AO31" i="41"/>
  <c r="AP31" i="41"/>
  <c r="AQ31" i="41"/>
  <c r="AR31" i="41"/>
  <c r="AS31" i="41"/>
  <c r="AT31" i="41"/>
  <c r="AU31" i="41"/>
  <c r="AV31" i="41"/>
  <c r="AW31" i="41"/>
  <c r="AX31" i="41"/>
  <c r="AY31" i="41"/>
  <c r="AZ31" i="41"/>
  <c r="BA31" i="41"/>
  <c r="BB31" i="41"/>
  <c r="BC31" i="41"/>
  <c r="BD31" i="41"/>
  <c r="BF31" i="41"/>
  <c r="BG31" i="41"/>
  <c r="BH31" i="41"/>
  <c r="BI31" i="41"/>
  <c r="BJ31" i="41"/>
  <c r="BK31" i="41"/>
  <c r="BL31" i="41"/>
  <c r="BM31" i="41"/>
  <c r="BN31" i="41"/>
  <c r="BO31" i="41"/>
  <c r="BP31" i="41"/>
  <c r="BQ31" i="41"/>
  <c r="BR31" i="41"/>
  <c r="BS31" i="41"/>
  <c r="BT31" i="41"/>
  <c r="BU31" i="41"/>
  <c r="BV31" i="41"/>
  <c r="BW31" i="41"/>
  <c r="BX31" i="41"/>
  <c r="BY31" i="41"/>
  <c r="BZ31" i="41"/>
  <c r="CA31" i="41"/>
  <c r="CC31" i="41"/>
  <c r="CD31" i="41"/>
  <c r="CE31" i="41"/>
  <c r="CF31" i="41"/>
  <c r="CG31" i="41"/>
  <c r="CH31" i="41"/>
  <c r="CI31" i="41"/>
  <c r="CJ31" i="41"/>
  <c r="CK31" i="41"/>
  <c r="CL31" i="41"/>
  <c r="CM31" i="41"/>
  <c r="CN31" i="41"/>
  <c r="CO31" i="41"/>
  <c r="CP31" i="41"/>
  <c r="CQ31" i="41"/>
  <c r="CR31" i="41"/>
  <c r="CS31" i="41"/>
  <c r="CT31" i="41"/>
  <c r="CU31" i="41"/>
  <c r="CV31" i="41"/>
  <c r="CW31" i="41"/>
  <c r="CX31" i="41"/>
  <c r="G32" i="41"/>
  <c r="H32" i="41"/>
  <c r="I32" i="41"/>
  <c r="J32" i="41"/>
  <c r="K32" i="41"/>
  <c r="L32" i="41"/>
  <c r="M32" i="41"/>
  <c r="N32" i="41"/>
  <c r="O32" i="41"/>
  <c r="Q32" i="41"/>
  <c r="S32" i="41"/>
  <c r="T32" i="41"/>
  <c r="U32" i="41"/>
  <c r="V32" i="41"/>
  <c r="W32" i="41"/>
  <c r="X32" i="41"/>
  <c r="Y32" i="41"/>
  <c r="AA32" i="41"/>
  <c r="AC32" i="41"/>
  <c r="AD32" i="41"/>
  <c r="AE32" i="41"/>
  <c r="AF32" i="41"/>
  <c r="AI32" i="41"/>
  <c r="AJ32" i="41"/>
  <c r="AK32" i="41"/>
  <c r="AL32" i="41"/>
  <c r="AM32" i="41"/>
  <c r="AN32" i="41"/>
  <c r="AO32" i="41"/>
  <c r="AP32" i="41"/>
  <c r="AQ32" i="41"/>
  <c r="AR32" i="41"/>
  <c r="AS32" i="41"/>
  <c r="AT32" i="41"/>
  <c r="AU32" i="41"/>
  <c r="AV32" i="41"/>
  <c r="AW32" i="41"/>
  <c r="AX32" i="41"/>
  <c r="AY32" i="41"/>
  <c r="AZ32" i="41"/>
  <c r="BA32" i="41"/>
  <c r="BB32" i="41"/>
  <c r="BC32" i="41"/>
  <c r="BD32" i="41"/>
  <c r="BF32" i="41"/>
  <c r="BG32" i="41"/>
  <c r="BH32" i="41"/>
  <c r="BI32" i="41"/>
  <c r="BJ32" i="41"/>
  <c r="BK32" i="41"/>
  <c r="BL32" i="41"/>
  <c r="BM32" i="41"/>
  <c r="BN32" i="41"/>
  <c r="BO32" i="41"/>
  <c r="BP32" i="41"/>
  <c r="BQ32" i="41"/>
  <c r="BR32" i="41"/>
  <c r="BS32" i="41"/>
  <c r="BT32" i="41"/>
  <c r="BU32" i="41"/>
  <c r="BV32" i="41"/>
  <c r="BW32" i="41"/>
  <c r="BX32" i="41"/>
  <c r="BY32" i="41"/>
  <c r="BZ32" i="41"/>
  <c r="CA32" i="41"/>
  <c r="CC32" i="41"/>
  <c r="CD32" i="41"/>
  <c r="CE32" i="41"/>
  <c r="CF32" i="41"/>
  <c r="CG32" i="41"/>
  <c r="CH32" i="41"/>
  <c r="CI32" i="41"/>
  <c r="CJ32" i="41"/>
  <c r="CK32" i="41"/>
  <c r="CL32" i="41"/>
  <c r="CM32" i="41"/>
  <c r="CN32" i="41"/>
  <c r="CO32" i="41"/>
  <c r="CP32" i="41"/>
  <c r="CQ32" i="41"/>
  <c r="CR32" i="41"/>
  <c r="CS32" i="41"/>
  <c r="CT32" i="41"/>
  <c r="CU32" i="41"/>
  <c r="CV32" i="41"/>
  <c r="CW32" i="41"/>
  <c r="CX32" i="41"/>
  <c r="G33" i="41"/>
  <c r="H33" i="41"/>
  <c r="I33" i="41"/>
  <c r="J33" i="41"/>
  <c r="K33" i="41"/>
  <c r="L33" i="41"/>
  <c r="M33" i="41"/>
  <c r="N33" i="41"/>
  <c r="O33" i="41"/>
  <c r="Q33" i="41"/>
  <c r="S33" i="41"/>
  <c r="T33" i="41"/>
  <c r="U33" i="41"/>
  <c r="V33" i="41"/>
  <c r="W33" i="41"/>
  <c r="X33" i="41"/>
  <c r="Y33" i="41"/>
  <c r="AA33" i="41"/>
  <c r="AC33" i="41"/>
  <c r="AD33" i="41"/>
  <c r="AE33" i="41"/>
  <c r="AF33" i="41"/>
  <c r="AI33" i="41"/>
  <c r="AJ33" i="41"/>
  <c r="AK33" i="41"/>
  <c r="AL33" i="41"/>
  <c r="AM33" i="41"/>
  <c r="AN33" i="41"/>
  <c r="AO33" i="41"/>
  <c r="AP33" i="41"/>
  <c r="AQ33" i="41"/>
  <c r="AR33" i="41"/>
  <c r="AS33" i="41"/>
  <c r="AT33" i="41"/>
  <c r="AU33" i="41"/>
  <c r="AV33" i="41"/>
  <c r="AW33" i="41"/>
  <c r="AX33" i="41"/>
  <c r="AY33" i="41"/>
  <c r="AZ33" i="41"/>
  <c r="BA33" i="41"/>
  <c r="BB33" i="41"/>
  <c r="BC33" i="41"/>
  <c r="BD33" i="41"/>
  <c r="BF33" i="41"/>
  <c r="BG33" i="41"/>
  <c r="BH33" i="41"/>
  <c r="BI33" i="41"/>
  <c r="BJ33" i="41"/>
  <c r="BK33" i="41"/>
  <c r="BL33" i="41"/>
  <c r="BM33" i="41"/>
  <c r="BN33" i="41"/>
  <c r="BO33" i="41"/>
  <c r="BP33" i="41"/>
  <c r="BQ33" i="41"/>
  <c r="BR33" i="41"/>
  <c r="BS33" i="41"/>
  <c r="BT33" i="41"/>
  <c r="BU33" i="41"/>
  <c r="BV33" i="41"/>
  <c r="BW33" i="41"/>
  <c r="BX33" i="41"/>
  <c r="BY33" i="41"/>
  <c r="BZ33" i="41"/>
  <c r="CA33" i="41"/>
  <c r="CC33" i="41"/>
  <c r="CD33" i="41"/>
  <c r="CE33" i="41"/>
  <c r="CF33" i="41"/>
  <c r="CG33" i="41"/>
  <c r="CH33" i="41"/>
  <c r="CI33" i="41"/>
  <c r="CJ33" i="41"/>
  <c r="CK33" i="41"/>
  <c r="CL33" i="41"/>
  <c r="CM33" i="41"/>
  <c r="CN33" i="41"/>
  <c r="CO33" i="41"/>
  <c r="CP33" i="41"/>
  <c r="CQ33" i="41"/>
  <c r="CR33" i="41"/>
  <c r="CS33" i="41"/>
  <c r="CT33" i="41"/>
  <c r="CU33" i="41"/>
  <c r="CV33" i="41"/>
  <c r="CW33" i="41"/>
  <c r="CX33" i="41"/>
  <c r="G34" i="41"/>
  <c r="H34" i="41"/>
  <c r="I34" i="41"/>
  <c r="J34" i="41"/>
  <c r="K34" i="41"/>
  <c r="L34" i="41"/>
  <c r="M34" i="41"/>
  <c r="N34" i="41"/>
  <c r="O34" i="41"/>
  <c r="Q34" i="41"/>
  <c r="S34" i="41"/>
  <c r="T34" i="41"/>
  <c r="U34" i="41"/>
  <c r="V34" i="41"/>
  <c r="W34" i="41"/>
  <c r="X34" i="41"/>
  <c r="Y34" i="41"/>
  <c r="AA34" i="41"/>
  <c r="AC34" i="41"/>
  <c r="AD34" i="41"/>
  <c r="AE34" i="41"/>
  <c r="AF34" i="41"/>
  <c r="AI34" i="41"/>
  <c r="AJ34" i="41"/>
  <c r="AK34" i="41"/>
  <c r="AL34" i="41"/>
  <c r="AM34" i="41"/>
  <c r="AN34" i="41"/>
  <c r="AO34" i="41"/>
  <c r="AP34" i="41"/>
  <c r="AQ34" i="41"/>
  <c r="AR34" i="41"/>
  <c r="AS34" i="41"/>
  <c r="AT34" i="41"/>
  <c r="AU34" i="41"/>
  <c r="AV34" i="41"/>
  <c r="AW34" i="41"/>
  <c r="AX34" i="41"/>
  <c r="AY34" i="41"/>
  <c r="AZ34" i="41"/>
  <c r="BA34" i="41"/>
  <c r="BB34" i="41"/>
  <c r="BC34" i="41"/>
  <c r="BD34" i="41"/>
  <c r="BF34" i="41"/>
  <c r="BG34" i="41"/>
  <c r="BH34" i="41"/>
  <c r="BI34" i="41"/>
  <c r="BJ34" i="41"/>
  <c r="BK34" i="41"/>
  <c r="BL34" i="41"/>
  <c r="BM34" i="41"/>
  <c r="BN34" i="41"/>
  <c r="BO34" i="41"/>
  <c r="BP34" i="41"/>
  <c r="BQ34" i="41"/>
  <c r="BR34" i="41"/>
  <c r="BS34" i="41"/>
  <c r="BT34" i="41"/>
  <c r="BU34" i="41"/>
  <c r="BV34" i="41"/>
  <c r="BW34" i="41"/>
  <c r="BX34" i="41"/>
  <c r="BY34" i="41"/>
  <c r="BZ34" i="41"/>
  <c r="CA34" i="41"/>
  <c r="CC34" i="41"/>
  <c r="CD34" i="41"/>
  <c r="CE34" i="41"/>
  <c r="CF34" i="41"/>
  <c r="CG34" i="41"/>
  <c r="CH34" i="41"/>
  <c r="CI34" i="41"/>
  <c r="CJ34" i="41"/>
  <c r="CK34" i="41"/>
  <c r="CL34" i="41"/>
  <c r="CM34" i="41"/>
  <c r="CN34" i="41"/>
  <c r="CO34" i="41"/>
  <c r="CP34" i="41"/>
  <c r="CQ34" i="41"/>
  <c r="CR34" i="41"/>
  <c r="CS34" i="41"/>
  <c r="CT34" i="41"/>
  <c r="CU34" i="41"/>
  <c r="CV34" i="41"/>
  <c r="CW34" i="41"/>
  <c r="CX34" i="41"/>
  <c r="G35" i="41"/>
  <c r="H35" i="41"/>
  <c r="I35" i="41"/>
  <c r="J35" i="41"/>
  <c r="K35" i="41"/>
  <c r="L35" i="41"/>
  <c r="M35" i="41"/>
  <c r="N35" i="41"/>
  <c r="O35" i="41"/>
  <c r="Q35" i="41"/>
  <c r="S35" i="41"/>
  <c r="T35" i="41"/>
  <c r="U35" i="41"/>
  <c r="V35" i="41"/>
  <c r="W35" i="41"/>
  <c r="X35" i="41"/>
  <c r="Y35" i="41"/>
  <c r="AA35" i="41"/>
  <c r="AC35" i="41"/>
  <c r="AD35" i="41"/>
  <c r="AE35" i="41"/>
  <c r="AF35" i="41"/>
  <c r="AI35" i="41"/>
  <c r="AJ35" i="41"/>
  <c r="AK35" i="41"/>
  <c r="AL35" i="41"/>
  <c r="AM35" i="41"/>
  <c r="AN35" i="41"/>
  <c r="AO35" i="41"/>
  <c r="AP35" i="41"/>
  <c r="AQ35" i="41"/>
  <c r="AR35" i="41"/>
  <c r="AS35" i="41"/>
  <c r="AT35" i="41"/>
  <c r="AU35" i="41"/>
  <c r="AV35" i="41"/>
  <c r="AW35" i="41"/>
  <c r="AX35" i="41"/>
  <c r="AY35" i="41"/>
  <c r="AZ35" i="41"/>
  <c r="BA35" i="41"/>
  <c r="BB35" i="41"/>
  <c r="BC35" i="41"/>
  <c r="BD35" i="41"/>
  <c r="BF35" i="41"/>
  <c r="BG35" i="41"/>
  <c r="BH35" i="41"/>
  <c r="BI35" i="41"/>
  <c r="BJ35" i="41"/>
  <c r="BK35" i="41"/>
  <c r="BL35" i="41"/>
  <c r="BM35" i="41"/>
  <c r="BN35" i="41"/>
  <c r="BO35" i="41"/>
  <c r="BP35" i="41"/>
  <c r="BQ35" i="41"/>
  <c r="BR35" i="41"/>
  <c r="BS35" i="41"/>
  <c r="BT35" i="41"/>
  <c r="BU35" i="41"/>
  <c r="BV35" i="41"/>
  <c r="BW35" i="41"/>
  <c r="BX35" i="41"/>
  <c r="BY35" i="41"/>
  <c r="BZ35" i="41"/>
  <c r="CA35" i="41"/>
  <c r="CC35" i="41"/>
  <c r="CD35" i="41"/>
  <c r="CE35" i="41"/>
  <c r="CF35" i="41"/>
  <c r="CG35" i="41"/>
  <c r="CH35" i="41"/>
  <c r="CI35" i="41"/>
  <c r="CJ35" i="41"/>
  <c r="CK35" i="41"/>
  <c r="CL35" i="41"/>
  <c r="CM35" i="41"/>
  <c r="CN35" i="41"/>
  <c r="CO35" i="41"/>
  <c r="CP35" i="41"/>
  <c r="CQ35" i="41"/>
  <c r="CR35" i="41"/>
  <c r="CS35" i="41"/>
  <c r="CT35" i="41"/>
  <c r="CU35" i="41"/>
  <c r="CV35" i="41"/>
  <c r="CW35" i="41"/>
  <c r="CX35" i="41"/>
  <c r="G36" i="41"/>
  <c r="H36" i="41"/>
  <c r="I36" i="41"/>
  <c r="J36" i="41"/>
  <c r="K36" i="41"/>
  <c r="L36" i="41"/>
  <c r="M36" i="41"/>
  <c r="N36" i="41"/>
  <c r="O36" i="41"/>
  <c r="Q36" i="41"/>
  <c r="S36" i="41"/>
  <c r="T36" i="41"/>
  <c r="U36" i="41"/>
  <c r="V36" i="41"/>
  <c r="W36" i="41"/>
  <c r="X36" i="41"/>
  <c r="Y36" i="41"/>
  <c r="AA36" i="41"/>
  <c r="AC36" i="41"/>
  <c r="AD36" i="41"/>
  <c r="AE36" i="41"/>
  <c r="AF36" i="41"/>
  <c r="AI36" i="41"/>
  <c r="AJ36" i="41"/>
  <c r="AK36" i="41"/>
  <c r="AL36" i="41"/>
  <c r="AM36" i="41"/>
  <c r="AN36" i="41"/>
  <c r="AO36" i="41"/>
  <c r="AP36" i="41"/>
  <c r="AQ36" i="41"/>
  <c r="AR36" i="41"/>
  <c r="AS36" i="41"/>
  <c r="AT36" i="41"/>
  <c r="AU36" i="41"/>
  <c r="AV36" i="41"/>
  <c r="AW36" i="41"/>
  <c r="AX36" i="41"/>
  <c r="AY36" i="41"/>
  <c r="AZ36" i="41"/>
  <c r="BA36" i="41"/>
  <c r="BB36" i="41"/>
  <c r="BC36" i="41"/>
  <c r="BD36" i="41"/>
  <c r="BF36" i="41"/>
  <c r="BG36" i="41"/>
  <c r="BH36" i="41"/>
  <c r="BI36" i="41"/>
  <c r="BJ36" i="41"/>
  <c r="BK36" i="41"/>
  <c r="BL36" i="41"/>
  <c r="BM36" i="41"/>
  <c r="BN36" i="41"/>
  <c r="BO36" i="41"/>
  <c r="BP36" i="41"/>
  <c r="BQ36" i="41"/>
  <c r="BR36" i="41"/>
  <c r="BS36" i="41"/>
  <c r="BT36" i="41"/>
  <c r="BU36" i="41"/>
  <c r="BV36" i="41"/>
  <c r="BW36" i="41"/>
  <c r="BX36" i="41"/>
  <c r="BY36" i="41"/>
  <c r="BZ36" i="41"/>
  <c r="CA36" i="41"/>
  <c r="CC36" i="41"/>
  <c r="CD36" i="41"/>
  <c r="CE36" i="41"/>
  <c r="CF36" i="41"/>
  <c r="CG36" i="41"/>
  <c r="CH36" i="41"/>
  <c r="CI36" i="41"/>
  <c r="CJ36" i="41"/>
  <c r="CK36" i="41"/>
  <c r="CL36" i="41"/>
  <c r="CM36" i="41"/>
  <c r="CN36" i="41"/>
  <c r="CO36" i="41"/>
  <c r="CP36" i="41"/>
  <c r="CQ36" i="41"/>
  <c r="CR36" i="41"/>
  <c r="CS36" i="41"/>
  <c r="CT36" i="41"/>
  <c r="CU36" i="41"/>
  <c r="CV36" i="41"/>
  <c r="CW36" i="41"/>
  <c r="CX36" i="41"/>
  <c r="G37" i="41"/>
  <c r="H37" i="41"/>
  <c r="I37" i="41"/>
  <c r="J37" i="41"/>
  <c r="K37" i="41"/>
  <c r="L37" i="41"/>
  <c r="M37" i="41"/>
  <c r="N37" i="41"/>
  <c r="O37" i="41"/>
  <c r="Q37" i="41"/>
  <c r="S37" i="41"/>
  <c r="T37" i="41"/>
  <c r="U37" i="41"/>
  <c r="V37" i="41"/>
  <c r="W37" i="41"/>
  <c r="X37" i="41"/>
  <c r="Y37" i="41"/>
  <c r="AA37" i="41"/>
  <c r="AC37" i="41"/>
  <c r="AD37" i="41"/>
  <c r="AE37" i="41"/>
  <c r="AF37" i="41"/>
  <c r="AI37" i="41"/>
  <c r="AJ37" i="41"/>
  <c r="AK37" i="41"/>
  <c r="AL37" i="41"/>
  <c r="AM37" i="41"/>
  <c r="AN37" i="41"/>
  <c r="AO37" i="41"/>
  <c r="AP37" i="41"/>
  <c r="AQ37" i="41"/>
  <c r="AR37" i="41"/>
  <c r="AS37" i="41"/>
  <c r="AT37" i="41"/>
  <c r="AU37" i="41"/>
  <c r="AV37" i="41"/>
  <c r="AW37" i="41"/>
  <c r="AX37" i="41"/>
  <c r="AY37" i="41"/>
  <c r="AZ37" i="41"/>
  <c r="BA37" i="41"/>
  <c r="BB37" i="41"/>
  <c r="BC37" i="41"/>
  <c r="BD37" i="41"/>
  <c r="BF37" i="41"/>
  <c r="BG37" i="41"/>
  <c r="BH37" i="41"/>
  <c r="BI37" i="41"/>
  <c r="BJ37" i="41"/>
  <c r="BK37" i="41"/>
  <c r="BL37" i="41"/>
  <c r="BM37" i="41"/>
  <c r="BN37" i="41"/>
  <c r="BO37" i="41"/>
  <c r="BP37" i="41"/>
  <c r="BQ37" i="41"/>
  <c r="BR37" i="41"/>
  <c r="BS37" i="41"/>
  <c r="BT37" i="41"/>
  <c r="BU37" i="41"/>
  <c r="BV37" i="41"/>
  <c r="BW37" i="41"/>
  <c r="BX37" i="41"/>
  <c r="BY37" i="41"/>
  <c r="BZ37" i="41"/>
  <c r="CA37" i="41"/>
  <c r="CC37" i="41"/>
  <c r="CD37" i="41"/>
  <c r="CE37" i="41"/>
  <c r="CF37" i="41"/>
  <c r="CG37" i="41"/>
  <c r="CH37" i="41"/>
  <c r="CI37" i="41"/>
  <c r="CJ37" i="41"/>
  <c r="CK37" i="41"/>
  <c r="CL37" i="41"/>
  <c r="CM37" i="41"/>
  <c r="CN37" i="41"/>
  <c r="CO37" i="41"/>
  <c r="CP37" i="41"/>
  <c r="CQ37" i="41"/>
  <c r="CR37" i="41"/>
  <c r="CS37" i="41"/>
  <c r="CT37" i="41"/>
  <c r="CU37" i="41"/>
  <c r="CV37" i="41"/>
  <c r="CW37" i="41"/>
  <c r="CX37" i="41"/>
  <c r="G38" i="41"/>
  <c r="H38" i="41"/>
  <c r="I38" i="41"/>
  <c r="J38" i="41"/>
  <c r="K38" i="41"/>
  <c r="L38" i="41"/>
  <c r="M38" i="41"/>
  <c r="N38" i="41"/>
  <c r="O38" i="41"/>
  <c r="Q38" i="41"/>
  <c r="S38" i="41"/>
  <c r="T38" i="41"/>
  <c r="U38" i="41"/>
  <c r="V38" i="41"/>
  <c r="W38" i="41"/>
  <c r="X38" i="41"/>
  <c r="Y38" i="41"/>
  <c r="AA38" i="41"/>
  <c r="AC38" i="41"/>
  <c r="AD38" i="41"/>
  <c r="AE38" i="41"/>
  <c r="AF38" i="41"/>
  <c r="AI38" i="41"/>
  <c r="AJ38" i="41"/>
  <c r="AK38" i="41"/>
  <c r="AL38" i="41"/>
  <c r="AM38" i="41"/>
  <c r="AN38" i="41"/>
  <c r="AO38" i="41"/>
  <c r="AP38" i="41"/>
  <c r="AQ38" i="41"/>
  <c r="AR38" i="41"/>
  <c r="AS38" i="41"/>
  <c r="AT38" i="41"/>
  <c r="AU38" i="41"/>
  <c r="AV38" i="41"/>
  <c r="AW38" i="41"/>
  <c r="AX38" i="41"/>
  <c r="AY38" i="41"/>
  <c r="AZ38" i="41"/>
  <c r="BA38" i="41"/>
  <c r="BB38" i="41"/>
  <c r="BC38" i="41"/>
  <c r="BD38" i="41"/>
  <c r="BF38" i="41"/>
  <c r="BG38" i="41"/>
  <c r="BH38" i="41"/>
  <c r="BI38" i="41"/>
  <c r="BJ38" i="41"/>
  <c r="BK38" i="41"/>
  <c r="BL38" i="41"/>
  <c r="BM38" i="41"/>
  <c r="BN38" i="41"/>
  <c r="BO38" i="41"/>
  <c r="BP38" i="41"/>
  <c r="BQ38" i="41"/>
  <c r="BR38" i="41"/>
  <c r="BS38" i="41"/>
  <c r="BT38" i="41"/>
  <c r="BU38" i="41"/>
  <c r="BV38" i="41"/>
  <c r="BW38" i="41"/>
  <c r="BX38" i="41"/>
  <c r="BY38" i="41"/>
  <c r="BZ38" i="41"/>
  <c r="CA38" i="41"/>
  <c r="CC38" i="41"/>
  <c r="CD38" i="41"/>
  <c r="CE38" i="41"/>
  <c r="CF38" i="41"/>
  <c r="CG38" i="41"/>
  <c r="CH38" i="41"/>
  <c r="CI38" i="41"/>
  <c r="CJ38" i="41"/>
  <c r="CK38" i="41"/>
  <c r="CL38" i="41"/>
  <c r="CM38" i="41"/>
  <c r="CN38" i="41"/>
  <c r="CO38" i="41"/>
  <c r="CP38" i="41"/>
  <c r="CQ38" i="41"/>
  <c r="CR38" i="41"/>
  <c r="CS38" i="41"/>
  <c r="CT38" i="41"/>
  <c r="CU38" i="41"/>
  <c r="CV38" i="41"/>
  <c r="CW38" i="41"/>
  <c r="CX38" i="41"/>
  <c r="G39" i="41"/>
  <c r="H39" i="41"/>
  <c r="I39" i="41"/>
  <c r="J39" i="41"/>
  <c r="K39" i="41"/>
  <c r="L39" i="41"/>
  <c r="M39" i="41"/>
  <c r="N39" i="41"/>
  <c r="O39" i="41"/>
  <c r="Q39" i="41"/>
  <c r="S39" i="41"/>
  <c r="T39" i="41"/>
  <c r="U39" i="41"/>
  <c r="V39" i="41"/>
  <c r="W39" i="41"/>
  <c r="X39" i="41"/>
  <c r="Y39" i="41"/>
  <c r="AA39" i="41"/>
  <c r="AC39" i="41"/>
  <c r="AD39" i="41"/>
  <c r="AE39" i="41"/>
  <c r="AF39" i="41"/>
  <c r="AI39" i="41"/>
  <c r="AJ39" i="41"/>
  <c r="AK39" i="41"/>
  <c r="AL39" i="41"/>
  <c r="AM39" i="41"/>
  <c r="AN39" i="41"/>
  <c r="AO39" i="41"/>
  <c r="AP39" i="41"/>
  <c r="AQ39" i="41"/>
  <c r="AR39" i="41"/>
  <c r="AS39" i="41"/>
  <c r="AT39" i="41"/>
  <c r="AU39" i="41"/>
  <c r="AV39" i="41"/>
  <c r="AW39" i="41"/>
  <c r="AX39" i="41"/>
  <c r="AY39" i="41"/>
  <c r="AZ39" i="41"/>
  <c r="BA39" i="41"/>
  <c r="BB39" i="41"/>
  <c r="BC39" i="41"/>
  <c r="BD39" i="41"/>
  <c r="BF39" i="41"/>
  <c r="BG39" i="41"/>
  <c r="BH39" i="41"/>
  <c r="BI39" i="41"/>
  <c r="BJ39" i="41"/>
  <c r="BK39" i="41"/>
  <c r="BL39" i="41"/>
  <c r="BM39" i="41"/>
  <c r="BN39" i="41"/>
  <c r="BO39" i="41"/>
  <c r="BP39" i="41"/>
  <c r="BQ39" i="41"/>
  <c r="BR39" i="41"/>
  <c r="BS39" i="41"/>
  <c r="BT39" i="41"/>
  <c r="BU39" i="41"/>
  <c r="BV39" i="41"/>
  <c r="BW39" i="41"/>
  <c r="BX39" i="41"/>
  <c r="BY39" i="41"/>
  <c r="BZ39" i="41"/>
  <c r="CA39" i="41"/>
  <c r="CC39" i="41"/>
  <c r="CD39" i="41"/>
  <c r="CE39" i="41"/>
  <c r="CF39" i="41"/>
  <c r="CG39" i="41"/>
  <c r="CH39" i="41"/>
  <c r="CI39" i="41"/>
  <c r="CJ39" i="41"/>
  <c r="CK39" i="41"/>
  <c r="CL39" i="41"/>
  <c r="CM39" i="41"/>
  <c r="CN39" i="41"/>
  <c r="CO39" i="41"/>
  <c r="CP39" i="41"/>
  <c r="CQ39" i="41"/>
  <c r="CR39" i="41"/>
  <c r="CS39" i="41"/>
  <c r="CT39" i="41"/>
  <c r="CU39" i="41"/>
  <c r="CV39" i="41"/>
  <c r="CW39" i="41"/>
  <c r="CX39" i="41"/>
  <c r="G40" i="41"/>
  <c r="H40" i="41"/>
  <c r="I40" i="41"/>
  <c r="J40" i="41"/>
  <c r="K40" i="41"/>
  <c r="L40" i="41"/>
  <c r="M40" i="41"/>
  <c r="N40" i="41"/>
  <c r="O40" i="41"/>
  <c r="Q40" i="41"/>
  <c r="S40" i="41"/>
  <c r="T40" i="41"/>
  <c r="U40" i="41"/>
  <c r="V40" i="41"/>
  <c r="W40" i="41"/>
  <c r="X40" i="41"/>
  <c r="Y40" i="41"/>
  <c r="AA40" i="41"/>
  <c r="AC40" i="41"/>
  <c r="AD40" i="41"/>
  <c r="AE40" i="41"/>
  <c r="AF40" i="41"/>
  <c r="AI40" i="41"/>
  <c r="AJ40" i="41"/>
  <c r="AK40" i="41"/>
  <c r="AL40" i="41"/>
  <c r="AM40" i="41"/>
  <c r="AN40" i="41"/>
  <c r="AO40" i="41"/>
  <c r="AP40" i="41"/>
  <c r="AQ40" i="41"/>
  <c r="AR40" i="41"/>
  <c r="AS40" i="41"/>
  <c r="AT40" i="41"/>
  <c r="AU40" i="41"/>
  <c r="AV40" i="41"/>
  <c r="AW40" i="41"/>
  <c r="AX40" i="41"/>
  <c r="AY40" i="41"/>
  <c r="AZ40" i="41"/>
  <c r="BA40" i="41"/>
  <c r="BB40" i="41"/>
  <c r="BC40" i="41"/>
  <c r="BD40" i="41"/>
  <c r="BF40" i="41"/>
  <c r="BG40" i="41"/>
  <c r="BH40" i="41"/>
  <c r="BI40" i="41"/>
  <c r="BJ40" i="41"/>
  <c r="BK40" i="41"/>
  <c r="BL40" i="41"/>
  <c r="BM40" i="41"/>
  <c r="BN40" i="41"/>
  <c r="BO40" i="41"/>
  <c r="BP40" i="41"/>
  <c r="BQ40" i="41"/>
  <c r="BR40" i="41"/>
  <c r="BS40" i="41"/>
  <c r="BT40" i="41"/>
  <c r="BU40" i="41"/>
  <c r="BV40" i="41"/>
  <c r="BW40" i="41"/>
  <c r="BX40" i="41"/>
  <c r="BY40" i="41"/>
  <c r="BZ40" i="41"/>
  <c r="CA40" i="41"/>
  <c r="CC40" i="41"/>
  <c r="CD40" i="41"/>
  <c r="CE40" i="41"/>
  <c r="CF40" i="41"/>
  <c r="CG40" i="41"/>
  <c r="CH40" i="41"/>
  <c r="CI40" i="41"/>
  <c r="CJ40" i="41"/>
  <c r="CK40" i="41"/>
  <c r="CL40" i="41"/>
  <c r="CM40" i="41"/>
  <c r="CN40" i="41"/>
  <c r="CO40" i="41"/>
  <c r="CP40" i="41"/>
  <c r="CQ40" i="41"/>
  <c r="CR40" i="41"/>
  <c r="CS40" i="41"/>
  <c r="CT40" i="41"/>
  <c r="CU40" i="41"/>
  <c r="CV40" i="41"/>
  <c r="CW40" i="41"/>
  <c r="CX40" i="41"/>
  <c r="G21" i="53"/>
  <c r="H21" i="53"/>
  <c r="I21" i="53"/>
  <c r="J21" i="53"/>
  <c r="K21" i="53"/>
  <c r="L21" i="53"/>
  <c r="M21" i="53"/>
  <c r="N21" i="53"/>
  <c r="O21" i="53"/>
  <c r="Q21" i="53"/>
  <c r="S21" i="53"/>
  <c r="T21" i="53"/>
  <c r="U21" i="53"/>
  <c r="V21" i="53"/>
  <c r="W21" i="53"/>
  <c r="X21" i="53"/>
  <c r="Y21" i="53"/>
  <c r="AA21" i="53"/>
  <c r="AC21" i="53"/>
  <c r="AD21" i="53"/>
  <c r="AE21" i="53"/>
  <c r="AF21" i="53"/>
  <c r="AI21" i="53"/>
  <c r="AJ21" i="53"/>
  <c r="AK21" i="53"/>
  <c r="AL21" i="53"/>
  <c r="AM21" i="53"/>
  <c r="AN21" i="53"/>
  <c r="AO21" i="53"/>
  <c r="AP21" i="53"/>
  <c r="AQ21" i="53"/>
  <c r="AR21" i="53"/>
  <c r="AS21" i="53"/>
  <c r="AT21" i="53"/>
  <c r="AU21" i="53"/>
  <c r="AV21" i="53"/>
  <c r="AW21" i="53"/>
  <c r="AX21" i="53"/>
  <c r="AY21" i="53"/>
  <c r="AZ21" i="53"/>
  <c r="BA21" i="53"/>
  <c r="BB21" i="53"/>
  <c r="BC21" i="53"/>
  <c r="BD21" i="53"/>
  <c r="BF21" i="53"/>
  <c r="BG21" i="53"/>
  <c r="BH21" i="53"/>
  <c r="BI21" i="53"/>
  <c r="BJ21" i="53"/>
  <c r="BK21" i="53"/>
  <c r="BL21" i="53"/>
  <c r="BM21" i="53"/>
  <c r="BN21" i="53"/>
  <c r="BO21" i="53"/>
  <c r="BP21" i="53"/>
  <c r="BQ21" i="53"/>
  <c r="BR21" i="53"/>
  <c r="BS21" i="53"/>
  <c r="BT21" i="53"/>
  <c r="BU21" i="53"/>
  <c r="BV21" i="53"/>
  <c r="BW21" i="53"/>
  <c r="BX21" i="53"/>
  <c r="BY21" i="53"/>
  <c r="BZ21" i="53"/>
  <c r="CA21" i="53"/>
  <c r="CC21" i="53"/>
  <c r="CD21" i="53"/>
  <c r="CE21" i="53"/>
  <c r="CF21" i="53"/>
  <c r="CG21" i="53"/>
  <c r="CH21" i="53"/>
  <c r="CI21" i="53"/>
  <c r="CJ21" i="53"/>
  <c r="CK21" i="53"/>
  <c r="CL21" i="53"/>
  <c r="CM21" i="53"/>
  <c r="CN21" i="53"/>
  <c r="CO21" i="53"/>
  <c r="CP21" i="53"/>
  <c r="CQ21" i="53"/>
  <c r="CR21" i="53"/>
  <c r="CS21" i="53"/>
  <c r="CT21" i="53"/>
  <c r="CU21" i="53"/>
  <c r="CV21" i="53"/>
  <c r="CW21" i="53"/>
  <c r="CX21" i="53"/>
  <c r="G22" i="53"/>
  <c r="H22" i="53"/>
  <c r="I22" i="53"/>
  <c r="J22" i="53"/>
  <c r="K22" i="53"/>
  <c r="L22" i="53"/>
  <c r="M22" i="53"/>
  <c r="N22" i="53"/>
  <c r="O22" i="53"/>
  <c r="Q22" i="53"/>
  <c r="S22" i="53"/>
  <c r="T22" i="53"/>
  <c r="U22" i="53"/>
  <c r="V22" i="53"/>
  <c r="W22" i="53"/>
  <c r="X22" i="53"/>
  <c r="Y22" i="53"/>
  <c r="AA22" i="53"/>
  <c r="AC22" i="53"/>
  <c r="AD22" i="53"/>
  <c r="AE22" i="53"/>
  <c r="AF22" i="53"/>
  <c r="AI22" i="53"/>
  <c r="AJ22" i="53"/>
  <c r="AK22" i="53"/>
  <c r="AL22" i="53"/>
  <c r="AM22" i="53"/>
  <c r="AN22" i="53"/>
  <c r="AO22" i="53"/>
  <c r="AP22" i="53"/>
  <c r="AQ22" i="53"/>
  <c r="AR22" i="53"/>
  <c r="AS22" i="53"/>
  <c r="AT22" i="53"/>
  <c r="AU22" i="53"/>
  <c r="AV22" i="53"/>
  <c r="AW22" i="53"/>
  <c r="AX22" i="53"/>
  <c r="AY22" i="53"/>
  <c r="AZ22" i="53"/>
  <c r="BA22" i="53"/>
  <c r="BB22" i="53"/>
  <c r="BC22" i="53"/>
  <c r="BD22" i="53"/>
  <c r="BF22" i="53"/>
  <c r="BG22" i="53"/>
  <c r="BH22" i="53"/>
  <c r="BI22" i="53"/>
  <c r="BJ22" i="53"/>
  <c r="BK22" i="53"/>
  <c r="BL22" i="53"/>
  <c r="BM22" i="53"/>
  <c r="BN22" i="53"/>
  <c r="BO22" i="53"/>
  <c r="BP22" i="53"/>
  <c r="BQ22" i="53"/>
  <c r="BR22" i="53"/>
  <c r="BS22" i="53"/>
  <c r="BT22" i="53"/>
  <c r="BU22" i="53"/>
  <c r="BV22" i="53"/>
  <c r="BW22" i="53"/>
  <c r="BX22" i="53"/>
  <c r="BY22" i="53"/>
  <c r="BZ22" i="53"/>
  <c r="CA22" i="53"/>
  <c r="CC22" i="53"/>
  <c r="CD22" i="53"/>
  <c r="CE22" i="53"/>
  <c r="CF22" i="53"/>
  <c r="CG22" i="53"/>
  <c r="CH22" i="53"/>
  <c r="CI22" i="53"/>
  <c r="CJ22" i="53"/>
  <c r="CK22" i="53"/>
  <c r="CL22" i="53"/>
  <c r="CM22" i="53"/>
  <c r="CN22" i="53"/>
  <c r="CO22" i="53"/>
  <c r="CP22" i="53"/>
  <c r="CQ22" i="53"/>
  <c r="CR22" i="53"/>
  <c r="CS22" i="53"/>
  <c r="CT22" i="53"/>
  <c r="CU22" i="53"/>
  <c r="CV22" i="53"/>
  <c r="CW22" i="53"/>
  <c r="CX22" i="53"/>
  <c r="G23" i="53"/>
  <c r="H23" i="53"/>
  <c r="I23" i="53"/>
  <c r="J23" i="53"/>
  <c r="K23" i="53"/>
  <c r="L23" i="53"/>
  <c r="M23" i="53"/>
  <c r="N23" i="53"/>
  <c r="O23" i="53"/>
  <c r="Q23" i="53"/>
  <c r="S23" i="53"/>
  <c r="T23" i="53"/>
  <c r="U23" i="53"/>
  <c r="V23" i="53"/>
  <c r="W23" i="53"/>
  <c r="X23" i="53"/>
  <c r="Y23" i="53"/>
  <c r="AA23" i="53"/>
  <c r="AC23" i="53"/>
  <c r="AD23" i="53"/>
  <c r="AE23" i="53"/>
  <c r="AF23" i="53"/>
  <c r="AI23" i="53"/>
  <c r="AJ23" i="53"/>
  <c r="AK23" i="53"/>
  <c r="AL23" i="53"/>
  <c r="AM23" i="53"/>
  <c r="AN23" i="53"/>
  <c r="AO23" i="53"/>
  <c r="AP23" i="53"/>
  <c r="AQ23" i="53"/>
  <c r="AR23" i="53"/>
  <c r="AS23" i="53"/>
  <c r="AT23" i="53"/>
  <c r="AU23" i="53"/>
  <c r="AV23" i="53"/>
  <c r="AW23" i="53"/>
  <c r="AX23" i="53"/>
  <c r="AY23" i="53"/>
  <c r="AZ23" i="53"/>
  <c r="BA23" i="53"/>
  <c r="BB23" i="53"/>
  <c r="BC23" i="53"/>
  <c r="BD23" i="53"/>
  <c r="BF23" i="53"/>
  <c r="BG23" i="53"/>
  <c r="BH23" i="53"/>
  <c r="BI23" i="53"/>
  <c r="BJ23" i="53"/>
  <c r="BK23" i="53"/>
  <c r="BL23" i="53"/>
  <c r="BM23" i="53"/>
  <c r="BN23" i="53"/>
  <c r="BO23" i="53"/>
  <c r="BP23" i="53"/>
  <c r="BQ23" i="53"/>
  <c r="BR23" i="53"/>
  <c r="BS23" i="53"/>
  <c r="BT23" i="53"/>
  <c r="BU23" i="53"/>
  <c r="BV23" i="53"/>
  <c r="BW23" i="53"/>
  <c r="BX23" i="53"/>
  <c r="BY23" i="53"/>
  <c r="BZ23" i="53"/>
  <c r="CA23" i="53"/>
  <c r="CC23" i="53"/>
  <c r="CD23" i="53"/>
  <c r="CE23" i="53"/>
  <c r="CF23" i="53"/>
  <c r="CG23" i="53"/>
  <c r="CH23" i="53"/>
  <c r="CI23" i="53"/>
  <c r="CJ23" i="53"/>
  <c r="CK23" i="53"/>
  <c r="CL23" i="53"/>
  <c r="CM23" i="53"/>
  <c r="CN23" i="53"/>
  <c r="CO23" i="53"/>
  <c r="CP23" i="53"/>
  <c r="CQ23" i="53"/>
  <c r="CR23" i="53"/>
  <c r="CS23" i="53"/>
  <c r="CT23" i="53"/>
  <c r="CU23" i="53"/>
  <c r="CV23" i="53"/>
  <c r="CW23" i="53"/>
  <c r="CX23" i="53"/>
  <c r="G24" i="53"/>
  <c r="H24" i="53"/>
  <c r="I24" i="53"/>
  <c r="J24" i="53"/>
  <c r="K24" i="53"/>
  <c r="L24" i="53"/>
  <c r="M24" i="53"/>
  <c r="N24" i="53"/>
  <c r="O24" i="53"/>
  <c r="Q24" i="53"/>
  <c r="S24" i="53"/>
  <c r="T24" i="53"/>
  <c r="U24" i="53"/>
  <c r="V24" i="53"/>
  <c r="W24" i="53"/>
  <c r="X24" i="53"/>
  <c r="Y24" i="53"/>
  <c r="AA24" i="53"/>
  <c r="AC24" i="53"/>
  <c r="AD24" i="53"/>
  <c r="AE24" i="53"/>
  <c r="AF24" i="53"/>
  <c r="AI24" i="53"/>
  <c r="AJ24" i="53"/>
  <c r="AK24" i="53"/>
  <c r="AL24" i="53"/>
  <c r="AM24" i="53"/>
  <c r="AN24" i="53"/>
  <c r="AO24" i="53"/>
  <c r="AP24" i="53"/>
  <c r="AQ24" i="53"/>
  <c r="AR24" i="53"/>
  <c r="AS24" i="53"/>
  <c r="AT24" i="53"/>
  <c r="AU24" i="53"/>
  <c r="AV24" i="53"/>
  <c r="AW24" i="53"/>
  <c r="AX24" i="53"/>
  <c r="AY24" i="53"/>
  <c r="AZ24" i="53"/>
  <c r="BA24" i="53"/>
  <c r="BB24" i="53"/>
  <c r="BC24" i="53"/>
  <c r="BD24" i="53"/>
  <c r="BF24" i="53"/>
  <c r="BG24" i="53"/>
  <c r="BH24" i="53"/>
  <c r="BI24" i="53"/>
  <c r="BJ24" i="53"/>
  <c r="BK24" i="53"/>
  <c r="BL24" i="53"/>
  <c r="BM24" i="53"/>
  <c r="BN24" i="53"/>
  <c r="BO24" i="53"/>
  <c r="BP24" i="53"/>
  <c r="BQ24" i="53"/>
  <c r="BR24" i="53"/>
  <c r="BS24" i="53"/>
  <c r="BT24" i="53"/>
  <c r="BU24" i="53"/>
  <c r="BV24" i="53"/>
  <c r="BW24" i="53"/>
  <c r="BX24" i="53"/>
  <c r="BY24" i="53"/>
  <c r="BZ24" i="53"/>
  <c r="CA24" i="53"/>
  <c r="CC24" i="53"/>
  <c r="CD24" i="53"/>
  <c r="CE24" i="53"/>
  <c r="CF24" i="53"/>
  <c r="CG24" i="53"/>
  <c r="CH24" i="53"/>
  <c r="CI24" i="53"/>
  <c r="CJ24" i="53"/>
  <c r="CK24" i="53"/>
  <c r="CL24" i="53"/>
  <c r="CM24" i="53"/>
  <c r="CN24" i="53"/>
  <c r="CO24" i="53"/>
  <c r="CP24" i="53"/>
  <c r="CQ24" i="53"/>
  <c r="CR24" i="53"/>
  <c r="CS24" i="53"/>
  <c r="CT24" i="53"/>
  <c r="CU24" i="53"/>
  <c r="CV24" i="53"/>
  <c r="CW24" i="53"/>
  <c r="CX24" i="53"/>
  <c r="G25" i="53"/>
  <c r="H25" i="53"/>
  <c r="I25" i="53"/>
  <c r="J25" i="53"/>
  <c r="K25" i="53"/>
  <c r="L25" i="53"/>
  <c r="M25" i="53"/>
  <c r="N25" i="53"/>
  <c r="O25" i="53"/>
  <c r="Q25" i="53"/>
  <c r="S25" i="53"/>
  <c r="T25" i="53"/>
  <c r="U25" i="53"/>
  <c r="V25" i="53"/>
  <c r="W25" i="53"/>
  <c r="X25" i="53"/>
  <c r="Y25" i="53"/>
  <c r="AA25" i="53"/>
  <c r="AC25" i="53"/>
  <c r="AD25" i="53"/>
  <c r="AE25" i="53"/>
  <c r="AF25" i="53"/>
  <c r="AI25" i="53"/>
  <c r="AJ25" i="53"/>
  <c r="AK25" i="53"/>
  <c r="AL25" i="53"/>
  <c r="AM25" i="53"/>
  <c r="AN25" i="53"/>
  <c r="AO25" i="53"/>
  <c r="AP25" i="53"/>
  <c r="AQ25" i="53"/>
  <c r="AR25" i="53"/>
  <c r="AS25" i="53"/>
  <c r="AT25" i="53"/>
  <c r="AU25" i="53"/>
  <c r="AV25" i="53"/>
  <c r="AW25" i="53"/>
  <c r="AX25" i="53"/>
  <c r="AY25" i="53"/>
  <c r="AZ25" i="53"/>
  <c r="BA25" i="53"/>
  <c r="BB25" i="53"/>
  <c r="BC25" i="53"/>
  <c r="BD25" i="53"/>
  <c r="BF25" i="53"/>
  <c r="BG25" i="53"/>
  <c r="BH25" i="53"/>
  <c r="BI25" i="53"/>
  <c r="BJ25" i="53"/>
  <c r="BK25" i="53"/>
  <c r="BL25" i="53"/>
  <c r="BM25" i="53"/>
  <c r="BN25" i="53"/>
  <c r="BO25" i="53"/>
  <c r="BP25" i="53"/>
  <c r="BQ25" i="53"/>
  <c r="BR25" i="53"/>
  <c r="BS25" i="53"/>
  <c r="BT25" i="53"/>
  <c r="BU25" i="53"/>
  <c r="BV25" i="53"/>
  <c r="BW25" i="53"/>
  <c r="BX25" i="53"/>
  <c r="BY25" i="53"/>
  <c r="BZ25" i="53"/>
  <c r="CA25" i="53"/>
  <c r="CC25" i="53"/>
  <c r="CD25" i="53"/>
  <c r="CE25" i="53"/>
  <c r="CF25" i="53"/>
  <c r="CG25" i="53"/>
  <c r="CH25" i="53"/>
  <c r="CI25" i="53"/>
  <c r="CJ25" i="53"/>
  <c r="CK25" i="53"/>
  <c r="CL25" i="53"/>
  <c r="CM25" i="53"/>
  <c r="CN25" i="53"/>
  <c r="CO25" i="53"/>
  <c r="CP25" i="53"/>
  <c r="CQ25" i="53"/>
  <c r="CR25" i="53"/>
  <c r="CS25" i="53"/>
  <c r="CT25" i="53"/>
  <c r="CU25" i="53"/>
  <c r="CV25" i="53"/>
  <c r="CW25" i="53"/>
  <c r="CX25" i="53"/>
  <c r="G26" i="53"/>
  <c r="H26" i="53"/>
  <c r="I26" i="53"/>
  <c r="J26" i="53"/>
  <c r="K26" i="53"/>
  <c r="L26" i="53"/>
  <c r="M26" i="53"/>
  <c r="N26" i="53"/>
  <c r="O26" i="53"/>
  <c r="Q26" i="53"/>
  <c r="S26" i="53"/>
  <c r="T26" i="53"/>
  <c r="U26" i="53"/>
  <c r="V26" i="53"/>
  <c r="W26" i="53"/>
  <c r="X26" i="53"/>
  <c r="Y26" i="53"/>
  <c r="AA26" i="53"/>
  <c r="AC26" i="53"/>
  <c r="AD26" i="53"/>
  <c r="AE26" i="53"/>
  <c r="AF26" i="53"/>
  <c r="AI26" i="53"/>
  <c r="AJ26" i="53"/>
  <c r="AK26" i="53"/>
  <c r="AL26" i="53"/>
  <c r="AM26" i="53"/>
  <c r="AN26" i="53"/>
  <c r="AO26" i="53"/>
  <c r="AP26" i="53"/>
  <c r="AQ26" i="53"/>
  <c r="AR26" i="53"/>
  <c r="AS26" i="53"/>
  <c r="AT26" i="53"/>
  <c r="AU26" i="53"/>
  <c r="AV26" i="53"/>
  <c r="AW26" i="53"/>
  <c r="AX26" i="53"/>
  <c r="AY26" i="53"/>
  <c r="AZ26" i="53"/>
  <c r="BA26" i="53"/>
  <c r="BB26" i="53"/>
  <c r="BC26" i="53"/>
  <c r="BD26" i="53"/>
  <c r="BF26" i="53"/>
  <c r="BG26" i="53"/>
  <c r="BH26" i="53"/>
  <c r="BI26" i="53"/>
  <c r="BJ26" i="53"/>
  <c r="BK26" i="53"/>
  <c r="BL26" i="53"/>
  <c r="BM26" i="53"/>
  <c r="BN26" i="53"/>
  <c r="BO26" i="53"/>
  <c r="BP26" i="53"/>
  <c r="BQ26" i="53"/>
  <c r="BR26" i="53"/>
  <c r="BS26" i="53"/>
  <c r="BT26" i="53"/>
  <c r="BU26" i="53"/>
  <c r="BV26" i="53"/>
  <c r="BW26" i="53"/>
  <c r="BX26" i="53"/>
  <c r="BY26" i="53"/>
  <c r="BZ26" i="53"/>
  <c r="CA26" i="53"/>
  <c r="CC26" i="53"/>
  <c r="CD26" i="53"/>
  <c r="CE26" i="53"/>
  <c r="CF26" i="53"/>
  <c r="CG26" i="53"/>
  <c r="CH26" i="53"/>
  <c r="CI26" i="53"/>
  <c r="CJ26" i="53"/>
  <c r="CK26" i="53"/>
  <c r="CL26" i="53"/>
  <c r="CM26" i="53"/>
  <c r="CN26" i="53"/>
  <c r="CO26" i="53"/>
  <c r="CP26" i="53"/>
  <c r="CQ26" i="53"/>
  <c r="CR26" i="53"/>
  <c r="CS26" i="53"/>
  <c r="CT26" i="53"/>
  <c r="CU26" i="53"/>
  <c r="CV26" i="53"/>
  <c r="CW26" i="53"/>
  <c r="CX26" i="53"/>
  <c r="G27" i="53"/>
  <c r="H27" i="53"/>
  <c r="I27" i="53"/>
  <c r="J27" i="53"/>
  <c r="K27" i="53"/>
  <c r="L27" i="53"/>
  <c r="M27" i="53"/>
  <c r="N27" i="53"/>
  <c r="O27" i="53"/>
  <c r="Q27" i="53"/>
  <c r="S27" i="53"/>
  <c r="T27" i="53"/>
  <c r="U27" i="53"/>
  <c r="V27" i="53"/>
  <c r="W27" i="53"/>
  <c r="X27" i="53"/>
  <c r="Y27" i="53"/>
  <c r="AA27" i="53"/>
  <c r="AC27" i="53"/>
  <c r="AD27" i="53"/>
  <c r="AE27" i="53"/>
  <c r="AF27" i="53"/>
  <c r="AI27" i="53"/>
  <c r="AJ27" i="53"/>
  <c r="AK27" i="53"/>
  <c r="AL27" i="53"/>
  <c r="AM27" i="53"/>
  <c r="AN27" i="53"/>
  <c r="AO27" i="53"/>
  <c r="AP27" i="53"/>
  <c r="AQ27" i="53"/>
  <c r="AR27" i="53"/>
  <c r="AS27" i="53"/>
  <c r="AT27" i="53"/>
  <c r="AU27" i="53"/>
  <c r="AV27" i="53"/>
  <c r="AW27" i="53"/>
  <c r="AX27" i="53"/>
  <c r="AY27" i="53"/>
  <c r="AZ27" i="53"/>
  <c r="BA27" i="53"/>
  <c r="BB27" i="53"/>
  <c r="BC27" i="53"/>
  <c r="BD27" i="53"/>
  <c r="BF27" i="53"/>
  <c r="BG27" i="53"/>
  <c r="BH27" i="53"/>
  <c r="BI27" i="53"/>
  <c r="BJ27" i="53"/>
  <c r="BK27" i="53"/>
  <c r="BL27" i="53"/>
  <c r="BM27" i="53"/>
  <c r="BN27" i="53"/>
  <c r="BO27" i="53"/>
  <c r="BP27" i="53"/>
  <c r="BQ27" i="53"/>
  <c r="BR27" i="53"/>
  <c r="BS27" i="53"/>
  <c r="BT27" i="53"/>
  <c r="BU27" i="53"/>
  <c r="BV27" i="53"/>
  <c r="BW27" i="53"/>
  <c r="BX27" i="53"/>
  <c r="BY27" i="53"/>
  <c r="BZ27" i="53"/>
  <c r="CA27" i="53"/>
  <c r="CC27" i="53"/>
  <c r="CD27" i="53"/>
  <c r="CE27" i="53"/>
  <c r="CF27" i="53"/>
  <c r="CG27" i="53"/>
  <c r="CH27" i="53"/>
  <c r="CI27" i="53"/>
  <c r="CJ27" i="53"/>
  <c r="CK27" i="53"/>
  <c r="CL27" i="53"/>
  <c r="CM27" i="53"/>
  <c r="CN27" i="53"/>
  <c r="CO27" i="53"/>
  <c r="CP27" i="53"/>
  <c r="CQ27" i="53"/>
  <c r="CR27" i="53"/>
  <c r="CS27" i="53"/>
  <c r="CT27" i="53"/>
  <c r="CU27" i="53"/>
  <c r="CV27" i="53"/>
  <c r="CW27" i="53"/>
  <c r="CX27" i="53"/>
  <c r="G28" i="53"/>
  <c r="H28" i="53"/>
  <c r="I28" i="53"/>
  <c r="J28" i="53"/>
  <c r="K28" i="53"/>
  <c r="L28" i="53"/>
  <c r="M28" i="53"/>
  <c r="N28" i="53"/>
  <c r="O28" i="53"/>
  <c r="Q28" i="53"/>
  <c r="S28" i="53"/>
  <c r="T28" i="53"/>
  <c r="U28" i="53"/>
  <c r="V28" i="53"/>
  <c r="W28" i="53"/>
  <c r="X28" i="53"/>
  <c r="Y28" i="53"/>
  <c r="AA28" i="53"/>
  <c r="AC28" i="53"/>
  <c r="AD28" i="53"/>
  <c r="AE28" i="53"/>
  <c r="AF28" i="53"/>
  <c r="AI28" i="53"/>
  <c r="AJ28" i="53"/>
  <c r="AK28" i="53"/>
  <c r="AL28" i="53"/>
  <c r="AM28" i="53"/>
  <c r="AN28" i="53"/>
  <c r="AO28" i="53"/>
  <c r="AP28" i="53"/>
  <c r="AQ28" i="53"/>
  <c r="AR28" i="53"/>
  <c r="AS28" i="53"/>
  <c r="AT28" i="53"/>
  <c r="AU28" i="53"/>
  <c r="AV28" i="53"/>
  <c r="AW28" i="53"/>
  <c r="AX28" i="53"/>
  <c r="AY28" i="53"/>
  <c r="AZ28" i="53"/>
  <c r="BA28" i="53"/>
  <c r="BB28" i="53"/>
  <c r="BC28" i="53"/>
  <c r="BD28" i="53"/>
  <c r="BF28" i="53"/>
  <c r="BG28" i="53"/>
  <c r="BH28" i="53"/>
  <c r="BI28" i="53"/>
  <c r="BJ28" i="53"/>
  <c r="BK28" i="53"/>
  <c r="BL28" i="53"/>
  <c r="BM28" i="53"/>
  <c r="BN28" i="53"/>
  <c r="BO28" i="53"/>
  <c r="BP28" i="53"/>
  <c r="BQ28" i="53"/>
  <c r="BR28" i="53"/>
  <c r="BS28" i="53"/>
  <c r="BT28" i="53"/>
  <c r="BU28" i="53"/>
  <c r="BV28" i="53"/>
  <c r="BW28" i="53"/>
  <c r="BX28" i="53"/>
  <c r="BY28" i="53"/>
  <c r="BZ28" i="53"/>
  <c r="CA28" i="53"/>
  <c r="CC28" i="53"/>
  <c r="CD28" i="53"/>
  <c r="CE28" i="53"/>
  <c r="CF28" i="53"/>
  <c r="CG28" i="53"/>
  <c r="CH28" i="53"/>
  <c r="CI28" i="53"/>
  <c r="CJ28" i="53"/>
  <c r="CK28" i="53"/>
  <c r="CL28" i="53"/>
  <c r="CM28" i="53"/>
  <c r="CN28" i="53"/>
  <c r="CO28" i="53"/>
  <c r="CP28" i="53"/>
  <c r="CQ28" i="53"/>
  <c r="CR28" i="53"/>
  <c r="CS28" i="53"/>
  <c r="CT28" i="53"/>
  <c r="CU28" i="53"/>
  <c r="CV28" i="53"/>
  <c r="CW28" i="53"/>
  <c r="CX28" i="53"/>
  <c r="G29" i="53"/>
  <c r="H29" i="53"/>
  <c r="I29" i="53"/>
  <c r="J29" i="53"/>
  <c r="K29" i="53"/>
  <c r="L29" i="53"/>
  <c r="M29" i="53"/>
  <c r="N29" i="53"/>
  <c r="O29" i="53"/>
  <c r="Q29" i="53"/>
  <c r="S29" i="53"/>
  <c r="T29" i="53"/>
  <c r="U29" i="53"/>
  <c r="V29" i="53"/>
  <c r="W29" i="53"/>
  <c r="X29" i="53"/>
  <c r="Y29" i="53"/>
  <c r="AA29" i="53"/>
  <c r="AC29" i="53"/>
  <c r="AD29" i="53"/>
  <c r="AE29" i="53"/>
  <c r="AF29" i="53"/>
  <c r="AI29" i="53"/>
  <c r="AJ29" i="53"/>
  <c r="AK29" i="53"/>
  <c r="AL29" i="53"/>
  <c r="AM29" i="53"/>
  <c r="AN29" i="53"/>
  <c r="AO29" i="53"/>
  <c r="AP29" i="53"/>
  <c r="AQ29" i="53"/>
  <c r="AR29" i="53"/>
  <c r="AS29" i="53"/>
  <c r="AT29" i="53"/>
  <c r="AU29" i="53"/>
  <c r="AV29" i="53"/>
  <c r="AW29" i="53"/>
  <c r="AX29" i="53"/>
  <c r="AY29" i="53"/>
  <c r="AZ29" i="53"/>
  <c r="BA29" i="53"/>
  <c r="BB29" i="53"/>
  <c r="BC29" i="53"/>
  <c r="BD29" i="53"/>
  <c r="BF29" i="53"/>
  <c r="BG29" i="53"/>
  <c r="BH29" i="53"/>
  <c r="BI29" i="53"/>
  <c r="BJ29" i="53"/>
  <c r="BK29" i="53"/>
  <c r="BL29" i="53"/>
  <c r="BM29" i="53"/>
  <c r="BN29" i="53"/>
  <c r="BO29" i="53"/>
  <c r="BP29" i="53"/>
  <c r="BQ29" i="53"/>
  <c r="BR29" i="53"/>
  <c r="BS29" i="53"/>
  <c r="BT29" i="53"/>
  <c r="BU29" i="53"/>
  <c r="BV29" i="53"/>
  <c r="BW29" i="53"/>
  <c r="BX29" i="53"/>
  <c r="BY29" i="53"/>
  <c r="BZ29" i="53"/>
  <c r="CA29" i="53"/>
  <c r="CC29" i="53"/>
  <c r="CD29" i="53"/>
  <c r="CE29" i="53"/>
  <c r="CF29" i="53"/>
  <c r="CG29" i="53"/>
  <c r="CH29" i="53"/>
  <c r="CI29" i="53"/>
  <c r="CJ29" i="53"/>
  <c r="CK29" i="53"/>
  <c r="CL29" i="53"/>
  <c r="CM29" i="53"/>
  <c r="CN29" i="53"/>
  <c r="CO29" i="53"/>
  <c r="CP29" i="53"/>
  <c r="CQ29" i="53"/>
  <c r="CR29" i="53"/>
  <c r="CS29" i="53"/>
  <c r="CT29" i="53"/>
  <c r="CU29" i="53"/>
  <c r="CV29" i="53"/>
  <c r="CW29" i="53"/>
  <c r="CX29" i="53"/>
  <c r="G30" i="53"/>
  <c r="H30" i="53"/>
  <c r="I30" i="53"/>
  <c r="J30" i="53"/>
  <c r="K30" i="53"/>
  <c r="L30" i="53"/>
  <c r="M30" i="53"/>
  <c r="N30" i="53"/>
  <c r="O30" i="53"/>
  <c r="Q30" i="53"/>
  <c r="S30" i="53"/>
  <c r="T30" i="53"/>
  <c r="U30" i="53"/>
  <c r="V30" i="53"/>
  <c r="W30" i="53"/>
  <c r="X30" i="53"/>
  <c r="Y30" i="53"/>
  <c r="AA30" i="53"/>
  <c r="AC30" i="53"/>
  <c r="AD30" i="53"/>
  <c r="AE30" i="53"/>
  <c r="AF30" i="53"/>
  <c r="AI30" i="53"/>
  <c r="AJ30" i="53"/>
  <c r="AK30" i="53"/>
  <c r="AL30" i="53"/>
  <c r="AM30" i="53"/>
  <c r="AN30" i="53"/>
  <c r="AO30" i="53"/>
  <c r="AP30" i="53"/>
  <c r="AQ30" i="53"/>
  <c r="AR30" i="53"/>
  <c r="AS30" i="53"/>
  <c r="AT30" i="53"/>
  <c r="AU30" i="53"/>
  <c r="AV30" i="53"/>
  <c r="AW30" i="53"/>
  <c r="AX30" i="53"/>
  <c r="AY30" i="53"/>
  <c r="AZ30" i="53"/>
  <c r="BA30" i="53"/>
  <c r="BB30" i="53"/>
  <c r="BC30" i="53"/>
  <c r="BD30" i="53"/>
  <c r="BF30" i="53"/>
  <c r="BG30" i="53"/>
  <c r="BH30" i="53"/>
  <c r="BI30" i="53"/>
  <c r="BJ30" i="53"/>
  <c r="BK30" i="53"/>
  <c r="BL30" i="53"/>
  <c r="BM30" i="53"/>
  <c r="BN30" i="53"/>
  <c r="BO30" i="53"/>
  <c r="BP30" i="53"/>
  <c r="BQ30" i="53"/>
  <c r="BR30" i="53"/>
  <c r="BS30" i="53"/>
  <c r="BT30" i="53"/>
  <c r="BU30" i="53"/>
  <c r="BV30" i="53"/>
  <c r="BW30" i="53"/>
  <c r="BX30" i="53"/>
  <c r="BY30" i="53"/>
  <c r="BZ30" i="53"/>
  <c r="CA30" i="53"/>
  <c r="CC30" i="53"/>
  <c r="CD30" i="53"/>
  <c r="CE30" i="53"/>
  <c r="CF30" i="53"/>
  <c r="CG30" i="53"/>
  <c r="CH30" i="53"/>
  <c r="CI30" i="53"/>
  <c r="CJ30" i="53"/>
  <c r="CK30" i="53"/>
  <c r="CL30" i="53"/>
  <c r="CM30" i="53"/>
  <c r="CN30" i="53"/>
  <c r="CO30" i="53"/>
  <c r="CP30" i="53"/>
  <c r="CQ30" i="53"/>
  <c r="CR30" i="53"/>
  <c r="CS30" i="53"/>
  <c r="CT30" i="53"/>
  <c r="CU30" i="53"/>
  <c r="CV30" i="53"/>
  <c r="CW30" i="53"/>
  <c r="CX30" i="53"/>
  <c r="G31" i="53"/>
  <c r="H31" i="53"/>
  <c r="I31" i="53"/>
  <c r="J31" i="53"/>
  <c r="K31" i="53"/>
  <c r="L31" i="53"/>
  <c r="M31" i="53"/>
  <c r="N31" i="53"/>
  <c r="O31" i="53"/>
  <c r="Q31" i="53"/>
  <c r="S31" i="53"/>
  <c r="T31" i="53"/>
  <c r="U31" i="53"/>
  <c r="V31" i="53"/>
  <c r="W31" i="53"/>
  <c r="X31" i="53"/>
  <c r="Y31" i="53"/>
  <c r="AA31" i="53"/>
  <c r="AC31" i="53"/>
  <c r="AD31" i="53"/>
  <c r="AE31" i="53"/>
  <c r="AF31" i="53"/>
  <c r="AI31" i="53"/>
  <c r="AJ31" i="53"/>
  <c r="AK31" i="53"/>
  <c r="AL31" i="53"/>
  <c r="AM31" i="53"/>
  <c r="AN31" i="53"/>
  <c r="AO31" i="53"/>
  <c r="AP31" i="53"/>
  <c r="AQ31" i="53"/>
  <c r="AR31" i="53"/>
  <c r="AS31" i="53"/>
  <c r="AT31" i="53"/>
  <c r="AU31" i="53"/>
  <c r="AV31" i="53"/>
  <c r="AW31" i="53"/>
  <c r="AX31" i="53"/>
  <c r="AY31" i="53"/>
  <c r="AZ31" i="53"/>
  <c r="BA31" i="53"/>
  <c r="BB31" i="53"/>
  <c r="BC31" i="53"/>
  <c r="BD31" i="53"/>
  <c r="BF31" i="53"/>
  <c r="BG31" i="53"/>
  <c r="BH31" i="53"/>
  <c r="BI31" i="53"/>
  <c r="BJ31" i="53"/>
  <c r="BK31" i="53"/>
  <c r="BL31" i="53"/>
  <c r="BM31" i="53"/>
  <c r="BN31" i="53"/>
  <c r="BO31" i="53"/>
  <c r="BP31" i="53"/>
  <c r="BQ31" i="53"/>
  <c r="BR31" i="53"/>
  <c r="BS31" i="53"/>
  <c r="BT31" i="53"/>
  <c r="BU31" i="53"/>
  <c r="BV31" i="53"/>
  <c r="BW31" i="53"/>
  <c r="BX31" i="53"/>
  <c r="BY31" i="53"/>
  <c r="BZ31" i="53"/>
  <c r="CA31" i="53"/>
  <c r="CC31" i="53"/>
  <c r="CD31" i="53"/>
  <c r="CE31" i="53"/>
  <c r="CF31" i="53"/>
  <c r="CG31" i="53"/>
  <c r="CH31" i="53"/>
  <c r="CI31" i="53"/>
  <c r="CJ31" i="53"/>
  <c r="CK31" i="53"/>
  <c r="CL31" i="53"/>
  <c r="CM31" i="53"/>
  <c r="CN31" i="53"/>
  <c r="CO31" i="53"/>
  <c r="CP31" i="53"/>
  <c r="CQ31" i="53"/>
  <c r="CR31" i="53"/>
  <c r="CS31" i="53"/>
  <c r="CT31" i="53"/>
  <c r="CU31" i="53"/>
  <c r="CV31" i="53"/>
  <c r="CW31" i="53"/>
  <c r="CX31" i="53"/>
  <c r="G32" i="53"/>
  <c r="H32" i="53"/>
  <c r="I32" i="53"/>
  <c r="J32" i="53"/>
  <c r="K32" i="53"/>
  <c r="L32" i="53"/>
  <c r="M32" i="53"/>
  <c r="N32" i="53"/>
  <c r="O32" i="53"/>
  <c r="Q32" i="53"/>
  <c r="S32" i="53"/>
  <c r="T32" i="53"/>
  <c r="U32" i="53"/>
  <c r="V32" i="53"/>
  <c r="W32" i="53"/>
  <c r="X32" i="53"/>
  <c r="Y32" i="53"/>
  <c r="AA32" i="53"/>
  <c r="AC32" i="53"/>
  <c r="AD32" i="53"/>
  <c r="AE32" i="53"/>
  <c r="AF32" i="53"/>
  <c r="AI32" i="53"/>
  <c r="AJ32" i="53"/>
  <c r="AK32" i="53"/>
  <c r="AL32" i="53"/>
  <c r="AM32" i="53"/>
  <c r="AN32" i="53"/>
  <c r="AO32" i="53"/>
  <c r="AP32" i="53"/>
  <c r="AQ32" i="53"/>
  <c r="AR32" i="53"/>
  <c r="AS32" i="53"/>
  <c r="AT32" i="53"/>
  <c r="AU32" i="53"/>
  <c r="AV32" i="53"/>
  <c r="AW32" i="53"/>
  <c r="AX32" i="53"/>
  <c r="AY32" i="53"/>
  <c r="AZ32" i="53"/>
  <c r="BA32" i="53"/>
  <c r="BB32" i="53"/>
  <c r="BC32" i="53"/>
  <c r="BD32" i="53"/>
  <c r="BF32" i="53"/>
  <c r="BG32" i="53"/>
  <c r="BH32" i="53"/>
  <c r="BI32" i="53"/>
  <c r="BJ32" i="53"/>
  <c r="BK32" i="53"/>
  <c r="BL32" i="53"/>
  <c r="BM32" i="53"/>
  <c r="BN32" i="53"/>
  <c r="BO32" i="53"/>
  <c r="BP32" i="53"/>
  <c r="BQ32" i="53"/>
  <c r="BR32" i="53"/>
  <c r="BS32" i="53"/>
  <c r="BT32" i="53"/>
  <c r="BU32" i="53"/>
  <c r="BV32" i="53"/>
  <c r="BW32" i="53"/>
  <c r="BX32" i="53"/>
  <c r="BY32" i="53"/>
  <c r="BZ32" i="53"/>
  <c r="CA32" i="53"/>
  <c r="CC32" i="53"/>
  <c r="CD32" i="53"/>
  <c r="CE32" i="53"/>
  <c r="CF32" i="53"/>
  <c r="CG32" i="53"/>
  <c r="CH32" i="53"/>
  <c r="CI32" i="53"/>
  <c r="CJ32" i="53"/>
  <c r="CK32" i="53"/>
  <c r="CL32" i="53"/>
  <c r="CM32" i="53"/>
  <c r="CN32" i="53"/>
  <c r="CO32" i="53"/>
  <c r="CP32" i="53"/>
  <c r="CQ32" i="53"/>
  <c r="CR32" i="53"/>
  <c r="CS32" i="53"/>
  <c r="CT32" i="53"/>
  <c r="CU32" i="53"/>
  <c r="CV32" i="53"/>
  <c r="CW32" i="53"/>
  <c r="CX32" i="53"/>
  <c r="G33" i="53"/>
  <c r="H33" i="53"/>
  <c r="I33" i="53"/>
  <c r="J33" i="53"/>
  <c r="K33" i="53"/>
  <c r="L33" i="53"/>
  <c r="M33" i="53"/>
  <c r="N33" i="53"/>
  <c r="O33" i="53"/>
  <c r="Q33" i="53"/>
  <c r="S33" i="53"/>
  <c r="T33" i="53"/>
  <c r="U33" i="53"/>
  <c r="V33" i="53"/>
  <c r="W33" i="53"/>
  <c r="X33" i="53"/>
  <c r="Y33" i="53"/>
  <c r="AA33" i="53"/>
  <c r="AC33" i="53"/>
  <c r="AD33" i="53"/>
  <c r="AE33" i="53"/>
  <c r="AF33" i="53"/>
  <c r="AI33" i="53"/>
  <c r="AJ33" i="53"/>
  <c r="AK33" i="53"/>
  <c r="AL33" i="53"/>
  <c r="AM33" i="53"/>
  <c r="AN33" i="53"/>
  <c r="AO33" i="53"/>
  <c r="AP33" i="53"/>
  <c r="AQ33" i="53"/>
  <c r="AR33" i="53"/>
  <c r="AS33" i="53"/>
  <c r="AT33" i="53"/>
  <c r="AU33" i="53"/>
  <c r="AV33" i="53"/>
  <c r="AW33" i="53"/>
  <c r="AX33" i="53"/>
  <c r="AY33" i="53"/>
  <c r="AZ33" i="53"/>
  <c r="BA33" i="53"/>
  <c r="BB33" i="53"/>
  <c r="BC33" i="53"/>
  <c r="BD33" i="53"/>
  <c r="BF33" i="53"/>
  <c r="BG33" i="53"/>
  <c r="BH33" i="53"/>
  <c r="BI33" i="53"/>
  <c r="BJ33" i="53"/>
  <c r="BK33" i="53"/>
  <c r="BL33" i="53"/>
  <c r="BM33" i="53"/>
  <c r="BN33" i="53"/>
  <c r="BO33" i="53"/>
  <c r="BP33" i="53"/>
  <c r="BQ33" i="53"/>
  <c r="BR33" i="53"/>
  <c r="BS33" i="53"/>
  <c r="BT33" i="53"/>
  <c r="BU33" i="53"/>
  <c r="BV33" i="53"/>
  <c r="BW33" i="53"/>
  <c r="BX33" i="53"/>
  <c r="BY33" i="53"/>
  <c r="BZ33" i="53"/>
  <c r="CA33" i="53"/>
  <c r="CC33" i="53"/>
  <c r="CD33" i="53"/>
  <c r="CE33" i="53"/>
  <c r="CF33" i="53"/>
  <c r="CG33" i="53"/>
  <c r="CH33" i="53"/>
  <c r="CI33" i="53"/>
  <c r="CJ33" i="53"/>
  <c r="CK33" i="53"/>
  <c r="CL33" i="53"/>
  <c r="CM33" i="53"/>
  <c r="CN33" i="53"/>
  <c r="CO33" i="53"/>
  <c r="CP33" i="53"/>
  <c r="CQ33" i="53"/>
  <c r="CR33" i="53"/>
  <c r="CS33" i="53"/>
  <c r="CT33" i="53"/>
  <c r="CU33" i="53"/>
  <c r="CV33" i="53"/>
  <c r="CW33" i="53"/>
  <c r="CX33" i="53"/>
  <c r="G34" i="53"/>
  <c r="H34" i="53"/>
  <c r="I34" i="53"/>
  <c r="J34" i="53"/>
  <c r="K34" i="53"/>
  <c r="L34" i="53"/>
  <c r="M34" i="53"/>
  <c r="N34" i="53"/>
  <c r="O34" i="53"/>
  <c r="Q34" i="53"/>
  <c r="S34" i="53"/>
  <c r="T34" i="53"/>
  <c r="U34" i="53"/>
  <c r="V34" i="53"/>
  <c r="W34" i="53"/>
  <c r="X34" i="53"/>
  <c r="Y34" i="53"/>
  <c r="AA34" i="53"/>
  <c r="AC34" i="53"/>
  <c r="AD34" i="53"/>
  <c r="AE34" i="53"/>
  <c r="AF34" i="53"/>
  <c r="AI34" i="53"/>
  <c r="AJ34" i="53"/>
  <c r="AK34" i="53"/>
  <c r="AL34" i="53"/>
  <c r="AM34" i="53"/>
  <c r="AN34" i="53"/>
  <c r="AO34" i="53"/>
  <c r="AP34" i="53"/>
  <c r="AQ34" i="53"/>
  <c r="AR34" i="53"/>
  <c r="AS34" i="53"/>
  <c r="AT34" i="53"/>
  <c r="AU34" i="53"/>
  <c r="AV34" i="53"/>
  <c r="AW34" i="53"/>
  <c r="AX34" i="53"/>
  <c r="AY34" i="53"/>
  <c r="AZ34" i="53"/>
  <c r="BA34" i="53"/>
  <c r="BB34" i="53"/>
  <c r="BC34" i="53"/>
  <c r="BD34" i="53"/>
  <c r="BF34" i="53"/>
  <c r="BG34" i="53"/>
  <c r="BH34" i="53"/>
  <c r="BI34" i="53"/>
  <c r="BJ34" i="53"/>
  <c r="BK34" i="53"/>
  <c r="BL34" i="53"/>
  <c r="BM34" i="53"/>
  <c r="BN34" i="53"/>
  <c r="BO34" i="53"/>
  <c r="BP34" i="53"/>
  <c r="BQ34" i="53"/>
  <c r="BR34" i="53"/>
  <c r="BS34" i="53"/>
  <c r="BT34" i="53"/>
  <c r="BU34" i="53"/>
  <c r="BV34" i="53"/>
  <c r="BW34" i="53"/>
  <c r="BX34" i="53"/>
  <c r="BY34" i="53"/>
  <c r="BZ34" i="53"/>
  <c r="CA34" i="53"/>
  <c r="CC34" i="53"/>
  <c r="CD34" i="53"/>
  <c r="CE34" i="53"/>
  <c r="CF34" i="53"/>
  <c r="CG34" i="53"/>
  <c r="CH34" i="53"/>
  <c r="CI34" i="53"/>
  <c r="CJ34" i="53"/>
  <c r="CK34" i="53"/>
  <c r="CL34" i="53"/>
  <c r="CM34" i="53"/>
  <c r="CN34" i="53"/>
  <c r="CO34" i="53"/>
  <c r="CP34" i="53"/>
  <c r="CQ34" i="53"/>
  <c r="CR34" i="53"/>
  <c r="CS34" i="53"/>
  <c r="CT34" i="53"/>
  <c r="CU34" i="53"/>
  <c r="CV34" i="53"/>
  <c r="CW34" i="53"/>
  <c r="CX34" i="53"/>
  <c r="G35" i="53"/>
  <c r="H35" i="53"/>
  <c r="I35" i="53"/>
  <c r="J35" i="53"/>
  <c r="K35" i="53"/>
  <c r="L35" i="53"/>
  <c r="M35" i="53"/>
  <c r="N35" i="53"/>
  <c r="O35" i="53"/>
  <c r="Q35" i="53"/>
  <c r="S35" i="53"/>
  <c r="T35" i="53"/>
  <c r="U35" i="53"/>
  <c r="V35" i="53"/>
  <c r="W35" i="53"/>
  <c r="X35" i="53"/>
  <c r="Y35" i="53"/>
  <c r="AA35" i="53"/>
  <c r="AC35" i="53"/>
  <c r="AD35" i="53"/>
  <c r="AE35" i="53"/>
  <c r="AF35" i="53"/>
  <c r="AI35" i="53"/>
  <c r="AJ35" i="53"/>
  <c r="AK35" i="53"/>
  <c r="AL35" i="53"/>
  <c r="AM35" i="53"/>
  <c r="AN35" i="53"/>
  <c r="AO35" i="53"/>
  <c r="AP35" i="53"/>
  <c r="AQ35" i="53"/>
  <c r="AR35" i="53"/>
  <c r="AS35" i="53"/>
  <c r="AT35" i="53"/>
  <c r="AU35" i="53"/>
  <c r="AV35" i="53"/>
  <c r="AW35" i="53"/>
  <c r="AX35" i="53"/>
  <c r="AY35" i="53"/>
  <c r="AZ35" i="53"/>
  <c r="BA35" i="53"/>
  <c r="BB35" i="53"/>
  <c r="BC35" i="53"/>
  <c r="BD35" i="53"/>
  <c r="BF35" i="53"/>
  <c r="BG35" i="53"/>
  <c r="BH35" i="53"/>
  <c r="BI35" i="53"/>
  <c r="BJ35" i="53"/>
  <c r="BK35" i="53"/>
  <c r="BL35" i="53"/>
  <c r="BM35" i="53"/>
  <c r="BN35" i="53"/>
  <c r="BO35" i="53"/>
  <c r="BP35" i="53"/>
  <c r="BQ35" i="53"/>
  <c r="BR35" i="53"/>
  <c r="BS35" i="53"/>
  <c r="BT35" i="53"/>
  <c r="BU35" i="53"/>
  <c r="BV35" i="53"/>
  <c r="BW35" i="53"/>
  <c r="BX35" i="53"/>
  <c r="BY35" i="53"/>
  <c r="BZ35" i="53"/>
  <c r="CA35" i="53"/>
  <c r="CC35" i="53"/>
  <c r="CD35" i="53"/>
  <c r="CE35" i="53"/>
  <c r="CF35" i="53"/>
  <c r="CG35" i="53"/>
  <c r="CH35" i="53"/>
  <c r="CI35" i="53"/>
  <c r="CJ35" i="53"/>
  <c r="CK35" i="53"/>
  <c r="CL35" i="53"/>
  <c r="CM35" i="53"/>
  <c r="CN35" i="53"/>
  <c r="CO35" i="53"/>
  <c r="CP35" i="53"/>
  <c r="CQ35" i="53"/>
  <c r="CR35" i="53"/>
  <c r="CS35" i="53"/>
  <c r="CT35" i="53"/>
  <c r="CU35" i="53"/>
  <c r="CV35" i="53"/>
  <c r="CW35" i="53"/>
  <c r="CX35" i="53"/>
  <c r="G36" i="53"/>
  <c r="H36" i="53"/>
  <c r="I36" i="53"/>
  <c r="J36" i="53"/>
  <c r="K36" i="53"/>
  <c r="L36" i="53"/>
  <c r="M36" i="53"/>
  <c r="N36" i="53"/>
  <c r="O36" i="53"/>
  <c r="Q36" i="53"/>
  <c r="S36" i="53"/>
  <c r="T36" i="53"/>
  <c r="U36" i="53"/>
  <c r="V36" i="53"/>
  <c r="W36" i="53"/>
  <c r="X36" i="53"/>
  <c r="Y36" i="53"/>
  <c r="AA36" i="53"/>
  <c r="AC36" i="53"/>
  <c r="AD36" i="53"/>
  <c r="AE36" i="53"/>
  <c r="AF36" i="53"/>
  <c r="AI36" i="53"/>
  <c r="AJ36" i="53"/>
  <c r="AK36" i="53"/>
  <c r="AL36" i="53"/>
  <c r="AM36" i="53"/>
  <c r="AN36" i="53"/>
  <c r="AO36" i="53"/>
  <c r="AP36" i="53"/>
  <c r="AQ36" i="53"/>
  <c r="AR36" i="53"/>
  <c r="AS36" i="53"/>
  <c r="AT36" i="53"/>
  <c r="AU36" i="53"/>
  <c r="AV36" i="53"/>
  <c r="AW36" i="53"/>
  <c r="AX36" i="53"/>
  <c r="AY36" i="53"/>
  <c r="AZ36" i="53"/>
  <c r="BA36" i="53"/>
  <c r="BB36" i="53"/>
  <c r="BC36" i="53"/>
  <c r="BD36" i="53"/>
  <c r="BF36" i="53"/>
  <c r="BG36" i="53"/>
  <c r="BH36" i="53"/>
  <c r="BI36" i="53"/>
  <c r="BJ36" i="53"/>
  <c r="BK36" i="53"/>
  <c r="BL36" i="53"/>
  <c r="BM36" i="53"/>
  <c r="BN36" i="53"/>
  <c r="BO36" i="53"/>
  <c r="BP36" i="53"/>
  <c r="BQ36" i="53"/>
  <c r="BR36" i="53"/>
  <c r="BS36" i="53"/>
  <c r="BT36" i="53"/>
  <c r="BU36" i="53"/>
  <c r="BV36" i="53"/>
  <c r="BW36" i="53"/>
  <c r="BX36" i="53"/>
  <c r="BY36" i="53"/>
  <c r="BZ36" i="53"/>
  <c r="CA36" i="53"/>
  <c r="CC36" i="53"/>
  <c r="CD36" i="53"/>
  <c r="CE36" i="53"/>
  <c r="CF36" i="53"/>
  <c r="CG36" i="53"/>
  <c r="CH36" i="53"/>
  <c r="CI36" i="53"/>
  <c r="CJ36" i="53"/>
  <c r="CK36" i="53"/>
  <c r="CL36" i="53"/>
  <c r="CM36" i="53"/>
  <c r="CN36" i="53"/>
  <c r="CO36" i="53"/>
  <c r="CP36" i="53"/>
  <c r="CQ36" i="53"/>
  <c r="CR36" i="53"/>
  <c r="CS36" i="53"/>
  <c r="CT36" i="53"/>
  <c r="CU36" i="53"/>
  <c r="CV36" i="53"/>
  <c r="CW36" i="53"/>
  <c r="CX36" i="53"/>
  <c r="G37" i="53"/>
  <c r="H37" i="53"/>
  <c r="I37" i="53"/>
  <c r="J37" i="53"/>
  <c r="K37" i="53"/>
  <c r="L37" i="53"/>
  <c r="M37" i="53"/>
  <c r="N37" i="53"/>
  <c r="O37" i="53"/>
  <c r="Q37" i="53"/>
  <c r="S37" i="53"/>
  <c r="T37" i="53"/>
  <c r="U37" i="53"/>
  <c r="V37" i="53"/>
  <c r="W37" i="53"/>
  <c r="X37" i="53"/>
  <c r="Y37" i="53"/>
  <c r="AA37" i="53"/>
  <c r="AC37" i="53"/>
  <c r="AD37" i="53"/>
  <c r="AE37" i="53"/>
  <c r="AF37" i="53"/>
  <c r="AI37" i="53"/>
  <c r="AJ37" i="53"/>
  <c r="AK37" i="53"/>
  <c r="AL37" i="53"/>
  <c r="AM37" i="53"/>
  <c r="AN37" i="53"/>
  <c r="AO37" i="53"/>
  <c r="AP37" i="53"/>
  <c r="AQ37" i="53"/>
  <c r="AR37" i="53"/>
  <c r="AS37" i="53"/>
  <c r="AT37" i="53"/>
  <c r="AU37" i="53"/>
  <c r="AV37" i="53"/>
  <c r="AW37" i="53"/>
  <c r="AX37" i="53"/>
  <c r="AY37" i="53"/>
  <c r="AZ37" i="53"/>
  <c r="BA37" i="53"/>
  <c r="BB37" i="53"/>
  <c r="BC37" i="53"/>
  <c r="BD37" i="53"/>
  <c r="BF37" i="53"/>
  <c r="BG37" i="53"/>
  <c r="BH37" i="53"/>
  <c r="BI37" i="53"/>
  <c r="BJ37" i="53"/>
  <c r="BK37" i="53"/>
  <c r="BL37" i="53"/>
  <c r="BM37" i="53"/>
  <c r="BN37" i="53"/>
  <c r="BO37" i="53"/>
  <c r="BP37" i="53"/>
  <c r="BQ37" i="53"/>
  <c r="BR37" i="53"/>
  <c r="BS37" i="53"/>
  <c r="BT37" i="53"/>
  <c r="BU37" i="53"/>
  <c r="BV37" i="53"/>
  <c r="BW37" i="53"/>
  <c r="BX37" i="53"/>
  <c r="BY37" i="53"/>
  <c r="BZ37" i="53"/>
  <c r="CA37" i="53"/>
  <c r="CC37" i="53"/>
  <c r="CD37" i="53"/>
  <c r="CE37" i="53"/>
  <c r="CF37" i="53"/>
  <c r="CG37" i="53"/>
  <c r="CH37" i="53"/>
  <c r="CI37" i="53"/>
  <c r="CJ37" i="53"/>
  <c r="CK37" i="53"/>
  <c r="CL37" i="53"/>
  <c r="CM37" i="53"/>
  <c r="CN37" i="53"/>
  <c r="CO37" i="53"/>
  <c r="CP37" i="53"/>
  <c r="CQ37" i="53"/>
  <c r="CR37" i="53"/>
  <c r="CS37" i="53"/>
  <c r="CT37" i="53"/>
  <c r="CU37" i="53"/>
  <c r="CV37" i="53"/>
  <c r="CW37" i="53"/>
  <c r="CX37" i="53"/>
  <c r="G38" i="53"/>
  <c r="H38" i="53"/>
  <c r="I38" i="53"/>
  <c r="J38" i="53"/>
  <c r="K38" i="53"/>
  <c r="L38" i="53"/>
  <c r="M38" i="53"/>
  <c r="N38" i="53"/>
  <c r="O38" i="53"/>
  <c r="Q38" i="53"/>
  <c r="S38" i="53"/>
  <c r="T38" i="53"/>
  <c r="U38" i="53"/>
  <c r="V38" i="53"/>
  <c r="W38" i="53"/>
  <c r="X38" i="53"/>
  <c r="Y38" i="53"/>
  <c r="AA38" i="53"/>
  <c r="AC38" i="53"/>
  <c r="AD38" i="53"/>
  <c r="AE38" i="53"/>
  <c r="AF38" i="53"/>
  <c r="AI38" i="53"/>
  <c r="AJ38" i="53"/>
  <c r="AK38" i="53"/>
  <c r="AL38" i="53"/>
  <c r="AM38" i="53"/>
  <c r="AN38" i="53"/>
  <c r="AO38" i="53"/>
  <c r="AP38" i="53"/>
  <c r="AQ38" i="53"/>
  <c r="AR38" i="53"/>
  <c r="AS38" i="53"/>
  <c r="AT38" i="53"/>
  <c r="AU38" i="53"/>
  <c r="AV38" i="53"/>
  <c r="AW38" i="53"/>
  <c r="AX38" i="53"/>
  <c r="AY38" i="53"/>
  <c r="AZ38" i="53"/>
  <c r="BA38" i="53"/>
  <c r="BB38" i="53"/>
  <c r="BC38" i="53"/>
  <c r="BD38" i="53"/>
  <c r="BF38" i="53"/>
  <c r="BG38" i="53"/>
  <c r="BH38" i="53"/>
  <c r="BI38" i="53"/>
  <c r="BJ38" i="53"/>
  <c r="BK38" i="53"/>
  <c r="BL38" i="53"/>
  <c r="BM38" i="53"/>
  <c r="BN38" i="53"/>
  <c r="BO38" i="53"/>
  <c r="BP38" i="53"/>
  <c r="BQ38" i="53"/>
  <c r="BR38" i="53"/>
  <c r="BS38" i="53"/>
  <c r="BT38" i="53"/>
  <c r="BU38" i="53"/>
  <c r="BV38" i="53"/>
  <c r="BW38" i="53"/>
  <c r="BX38" i="53"/>
  <c r="BY38" i="53"/>
  <c r="BZ38" i="53"/>
  <c r="CA38" i="53"/>
  <c r="CC38" i="53"/>
  <c r="CD38" i="53"/>
  <c r="CE38" i="53"/>
  <c r="CF38" i="53"/>
  <c r="CG38" i="53"/>
  <c r="CH38" i="53"/>
  <c r="CI38" i="53"/>
  <c r="CJ38" i="53"/>
  <c r="CK38" i="53"/>
  <c r="CL38" i="53"/>
  <c r="CM38" i="53"/>
  <c r="CN38" i="53"/>
  <c r="CO38" i="53"/>
  <c r="CP38" i="53"/>
  <c r="CQ38" i="53"/>
  <c r="CR38" i="53"/>
  <c r="CS38" i="53"/>
  <c r="CT38" i="53"/>
  <c r="CU38" i="53"/>
  <c r="CV38" i="53"/>
  <c r="CW38" i="53"/>
  <c r="CX38" i="53"/>
  <c r="G39" i="53"/>
  <c r="H39" i="53"/>
  <c r="I39" i="53"/>
  <c r="J39" i="53"/>
  <c r="K39" i="53"/>
  <c r="L39" i="53"/>
  <c r="M39" i="53"/>
  <c r="N39" i="53"/>
  <c r="O39" i="53"/>
  <c r="Q39" i="53"/>
  <c r="S39" i="53"/>
  <c r="T39" i="53"/>
  <c r="U39" i="53"/>
  <c r="V39" i="53"/>
  <c r="W39" i="53"/>
  <c r="X39" i="53"/>
  <c r="Y39" i="53"/>
  <c r="AA39" i="53"/>
  <c r="AC39" i="53"/>
  <c r="AD39" i="53"/>
  <c r="AE39" i="53"/>
  <c r="AF39" i="53"/>
  <c r="AI39" i="53"/>
  <c r="AJ39" i="53"/>
  <c r="AK39" i="53"/>
  <c r="AL39" i="53"/>
  <c r="AM39" i="53"/>
  <c r="AN39" i="53"/>
  <c r="AO39" i="53"/>
  <c r="AP39" i="53"/>
  <c r="AQ39" i="53"/>
  <c r="AR39" i="53"/>
  <c r="AS39" i="53"/>
  <c r="AT39" i="53"/>
  <c r="AU39" i="53"/>
  <c r="AV39" i="53"/>
  <c r="AW39" i="53"/>
  <c r="AX39" i="53"/>
  <c r="AY39" i="53"/>
  <c r="AZ39" i="53"/>
  <c r="BA39" i="53"/>
  <c r="BB39" i="53"/>
  <c r="BC39" i="53"/>
  <c r="BD39" i="53"/>
  <c r="BF39" i="53"/>
  <c r="BG39" i="53"/>
  <c r="BH39" i="53"/>
  <c r="BI39" i="53"/>
  <c r="BJ39" i="53"/>
  <c r="BK39" i="53"/>
  <c r="BL39" i="53"/>
  <c r="BM39" i="53"/>
  <c r="BN39" i="53"/>
  <c r="BO39" i="53"/>
  <c r="BP39" i="53"/>
  <c r="BQ39" i="53"/>
  <c r="BR39" i="53"/>
  <c r="BS39" i="53"/>
  <c r="BT39" i="53"/>
  <c r="BU39" i="53"/>
  <c r="BV39" i="53"/>
  <c r="BW39" i="53"/>
  <c r="BX39" i="53"/>
  <c r="BY39" i="53"/>
  <c r="BZ39" i="53"/>
  <c r="CA39" i="53"/>
  <c r="CC39" i="53"/>
  <c r="CD39" i="53"/>
  <c r="CE39" i="53"/>
  <c r="CF39" i="53"/>
  <c r="CG39" i="53"/>
  <c r="CH39" i="53"/>
  <c r="CI39" i="53"/>
  <c r="CJ39" i="53"/>
  <c r="CK39" i="53"/>
  <c r="CL39" i="53"/>
  <c r="CM39" i="53"/>
  <c r="CN39" i="53"/>
  <c r="CO39" i="53"/>
  <c r="CP39" i="53"/>
  <c r="CQ39" i="53"/>
  <c r="CR39" i="53"/>
  <c r="CS39" i="53"/>
  <c r="CT39" i="53"/>
  <c r="CU39" i="53"/>
  <c r="CV39" i="53"/>
  <c r="CW39" i="53"/>
  <c r="CX39" i="53"/>
  <c r="G40" i="53"/>
  <c r="H40" i="53"/>
  <c r="I40" i="53"/>
  <c r="J40" i="53"/>
  <c r="K40" i="53"/>
  <c r="L40" i="53"/>
  <c r="M40" i="53"/>
  <c r="N40" i="53"/>
  <c r="O40" i="53"/>
  <c r="Q40" i="53"/>
  <c r="S40" i="53"/>
  <c r="T40" i="53"/>
  <c r="U40" i="53"/>
  <c r="V40" i="53"/>
  <c r="W40" i="53"/>
  <c r="X40" i="53"/>
  <c r="Y40" i="53"/>
  <c r="AA40" i="53"/>
  <c r="AC40" i="53"/>
  <c r="AD40" i="53"/>
  <c r="AE40" i="53"/>
  <c r="AF40" i="53"/>
  <c r="AI40" i="53"/>
  <c r="AJ40" i="53"/>
  <c r="AK40" i="53"/>
  <c r="AL40" i="53"/>
  <c r="AM40" i="53"/>
  <c r="AN40" i="53"/>
  <c r="AO40" i="53"/>
  <c r="AP40" i="53"/>
  <c r="AQ40" i="53"/>
  <c r="AR40" i="53"/>
  <c r="AS40" i="53"/>
  <c r="AT40" i="53"/>
  <c r="AU40" i="53"/>
  <c r="AV40" i="53"/>
  <c r="AW40" i="53"/>
  <c r="AX40" i="53"/>
  <c r="AY40" i="53"/>
  <c r="AZ40" i="53"/>
  <c r="BA40" i="53"/>
  <c r="BB40" i="53"/>
  <c r="BC40" i="53"/>
  <c r="BD40" i="53"/>
  <c r="BF40" i="53"/>
  <c r="BG40" i="53"/>
  <c r="BH40" i="53"/>
  <c r="BI40" i="53"/>
  <c r="BJ40" i="53"/>
  <c r="BK40" i="53"/>
  <c r="BL40" i="53"/>
  <c r="BM40" i="53"/>
  <c r="BN40" i="53"/>
  <c r="BO40" i="53"/>
  <c r="BP40" i="53"/>
  <c r="BQ40" i="53"/>
  <c r="BR40" i="53"/>
  <c r="BS40" i="53"/>
  <c r="BT40" i="53"/>
  <c r="BU40" i="53"/>
  <c r="BV40" i="53"/>
  <c r="BW40" i="53"/>
  <c r="BX40" i="53"/>
  <c r="BY40" i="53"/>
  <c r="BZ40" i="53"/>
  <c r="CA40" i="53"/>
  <c r="CC40" i="53"/>
  <c r="CD40" i="53"/>
  <c r="CE40" i="53"/>
  <c r="CF40" i="53"/>
  <c r="CG40" i="53"/>
  <c r="CH40" i="53"/>
  <c r="CI40" i="53"/>
  <c r="CJ40" i="53"/>
  <c r="CK40" i="53"/>
  <c r="CL40" i="53"/>
  <c r="CM40" i="53"/>
  <c r="CN40" i="53"/>
  <c r="CO40" i="53"/>
  <c r="CP40" i="53"/>
  <c r="CQ40" i="53"/>
  <c r="CR40" i="53"/>
  <c r="CS40" i="53"/>
  <c r="CT40" i="53"/>
  <c r="CU40" i="53"/>
  <c r="CV40" i="53"/>
  <c r="CW40" i="53"/>
  <c r="CX40" i="53"/>
  <c r="G21" i="34"/>
  <c r="H21" i="34"/>
  <c r="I21" i="34"/>
  <c r="J21" i="34"/>
  <c r="K21" i="34"/>
  <c r="L21" i="34"/>
  <c r="M21" i="34"/>
  <c r="N21" i="34"/>
  <c r="O21" i="34"/>
  <c r="Q21" i="34"/>
  <c r="S21" i="34"/>
  <c r="T21" i="34"/>
  <c r="U21" i="34"/>
  <c r="V21" i="34"/>
  <c r="W21" i="34"/>
  <c r="X21" i="34"/>
  <c r="Y21" i="34"/>
  <c r="AA21" i="34"/>
  <c r="AC21" i="34"/>
  <c r="AD21" i="34"/>
  <c r="AE21" i="34"/>
  <c r="AF21" i="34"/>
  <c r="AI21" i="34"/>
  <c r="AJ21" i="34"/>
  <c r="AK21" i="34"/>
  <c r="AL21" i="34"/>
  <c r="AM21" i="34"/>
  <c r="AN21" i="34"/>
  <c r="AO21" i="34"/>
  <c r="AP21" i="34"/>
  <c r="AQ21" i="34"/>
  <c r="AR21" i="34"/>
  <c r="AS21" i="34"/>
  <c r="AT21" i="34"/>
  <c r="AU21" i="34"/>
  <c r="AV21" i="34"/>
  <c r="AW21" i="34"/>
  <c r="AX21" i="34"/>
  <c r="AY21" i="34"/>
  <c r="AZ21" i="34"/>
  <c r="BA21" i="34"/>
  <c r="BB21" i="34"/>
  <c r="BC21" i="34"/>
  <c r="BD21" i="34"/>
  <c r="BF21" i="34"/>
  <c r="BG21" i="34"/>
  <c r="BH21" i="34"/>
  <c r="BI21" i="34"/>
  <c r="BJ21" i="34"/>
  <c r="BK21" i="34"/>
  <c r="BL21" i="34"/>
  <c r="BM21" i="34"/>
  <c r="BN21" i="34"/>
  <c r="BO21" i="34"/>
  <c r="BP21" i="34"/>
  <c r="BQ21" i="34"/>
  <c r="BR21" i="34"/>
  <c r="BS21" i="34"/>
  <c r="BT21" i="34"/>
  <c r="BU21" i="34"/>
  <c r="BV21" i="34"/>
  <c r="BW21" i="34"/>
  <c r="BX21" i="34"/>
  <c r="BY21" i="34"/>
  <c r="BZ21" i="34"/>
  <c r="CA21" i="34"/>
  <c r="CC21" i="34"/>
  <c r="CD21" i="34"/>
  <c r="CE21" i="34"/>
  <c r="CF21" i="34"/>
  <c r="CG21" i="34"/>
  <c r="CH21" i="34"/>
  <c r="CI21" i="34"/>
  <c r="CJ21" i="34"/>
  <c r="CK21" i="34"/>
  <c r="CL21" i="34"/>
  <c r="CM21" i="34"/>
  <c r="CN21" i="34"/>
  <c r="CO21" i="34"/>
  <c r="CP21" i="34"/>
  <c r="CQ21" i="34"/>
  <c r="CR21" i="34"/>
  <c r="CS21" i="34"/>
  <c r="CT21" i="34"/>
  <c r="CU21" i="34"/>
  <c r="CV21" i="34"/>
  <c r="CW21" i="34"/>
  <c r="CX21" i="34"/>
  <c r="G22" i="34"/>
  <c r="H22" i="34"/>
  <c r="I22" i="34"/>
  <c r="J22" i="34"/>
  <c r="K22" i="34"/>
  <c r="L22" i="34"/>
  <c r="M22" i="34"/>
  <c r="N22" i="34"/>
  <c r="O22" i="34"/>
  <c r="Q22" i="34"/>
  <c r="S22" i="34"/>
  <c r="T22" i="34"/>
  <c r="U22" i="34"/>
  <c r="V22" i="34"/>
  <c r="W22" i="34"/>
  <c r="X22" i="34"/>
  <c r="Y22" i="34"/>
  <c r="AA22" i="34"/>
  <c r="AC22" i="34"/>
  <c r="AD22" i="34"/>
  <c r="AE22" i="34"/>
  <c r="AF22" i="34"/>
  <c r="AI22" i="34"/>
  <c r="AJ22" i="34"/>
  <c r="AK22" i="34"/>
  <c r="AL22" i="34"/>
  <c r="AM22" i="34"/>
  <c r="AN22" i="34"/>
  <c r="AO22" i="34"/>
  <c r="AP22" i="34"/>
  <c r="AQ22" i="34"/>
  <c r="AR22" i="34"/>
  <c r="AS22" i="34"/>
  <c r="AT22" i="34"/>
  <c r="AU22" i="34"/>
  <c r="AV22" i="34"/>
  <c r="AW22" i="34"/>
  <c r="AX22" i="34"/>
  <c r="AY22" i="34"/>
  <c r="AZ22" i="34"/>
  <c r="BA22" i="34"/>
  <c r="BB22" i="34"/>
  <c r="BC22" i="34"/>
  <c r="BD22" i="34"/>
  <c r="BF22" i="34"/>
  <c r="BG22" i="34"/>
  <c r="BH22" i="34"/>
  <c r="BI22" i="34"/>
  <c r="BJ22" i="34"/>
  <c r="BK22" i="34"/>
  <c r="BL22" i="34"/>
  <c r="BM22" i="34"/>
  <c r="BN22" i="34"/>
  <c r="BO22" i="34"/>
  <c r="BP22" i="34"/>
  <c r="BQ22" i="34"/>
  <c r="BR22" i="34"/>
  <c r="BS22" i="34"/>
  <c r="BT22" i="34"/>
  <c r="BU22" i="34"/>
  <c r="BV22" i="34"/>
  <c r="BW22" i="34"/>
  <c r="BX22" i="34"/>
  <c r="BY22" i="34"/>
  <c r="BZ22" i="34"/>
  <c r="CA22" i="34"/>
  <c r="CC22" i="34"/>
  <c r="CD22" i="34"/>
  <c r="CE22" i="34"/>
  <c r="CF22" i="34"/>
  <c r="CG22" i="34"/>
  <c r="CH22" i="34"/>
  <c r="CI22" i="34"/>
  <c r="CJ22" i="34"/>
  <c r="CK22" i="34"/>
  <c r="CL22" i="34"/>
  <c r="CM22" i="34"/>
  <c r="CN22" i="34"/>
  <c r="CO22" i="34"/>
  <c r="CP22" i="34"/>
  <c r="CQ22" i="34"/>
  <c r="CR22" i="34"/>
  <c r="CS22" i="34"/>
  <c r="CT22" i="34"/>
  <c r="CU22" i="34"/>
  <c r="CV22" i="34"/>
  <c r="CW22" i="34"/>
  <c r="CX22" i="34"/>
  <c r="G23" i="34"/>
  <c r="H23" i="34"/>
  <c r="I23" i="34"/>
  <c r="J23" i="34"/>
  <c r="K23" i="34"/>
  <c r="L23" i="34"/>
  <c r="M23" i="34"/>
  <c r="N23" i="34"/>
  <c r="O23" i="34"/>
  <c r="Q23" i="34"/>
  <c r="S23" i="34"/>
  <c r="T23" i="34"/>
  <c r="U23" i="34"/>
  <c r="V23" i="34"/>
  <c r="W23" i="34"/>
  <c r="X23" i="34"/>
  <c r="Y23" i="34"/>
  <c r="AA23" i="34"/>
  <c r="AC23" i="34"/>
  <c r="AD23" i="34"/>
  <c r="AE23" i="34"/>
  <c r="AF23" i="34"/>
  <c r="AI23" i="34"/>
  <c r="AJ23" i="34"/>
  <c r="AK23" i="34"/>
  <c r="AL23" i="34"/>
  <c r="AM23" i="34"/>
  <c r="AN23" i="34"/>
  <c r="AO23" i="34"/>
  <c r="AP23" i="34"/>
  <c r="AQ23" i="34"/>
  <c r="AR23" i="34"/>
  <c r="AS23" i="34"/>
  <c r="AT23" i="34"/>
  <c r="AU23" i="34"/>
  <c r="AV23" i="34"/>
  <c r="AW23" i="34"/>
  <c r="AX23" i="34"/>
  <c r="AY23" i="34"/>
  <c r="AZ23" i="34"/>
  <c r="BA23" i="34"/>
  <c r="BB23" i="34"/>
  <c r="BC23" i="34"/>
  <c r="BD23" i="34"/>
  <c r="BF23" i="34"/>
  <c r="BG23" i="34"/>
  <c r="BH23" i="34"/>
  <c r="BI23" i="34"/>
  <c r="BJ23" i="34"/>
  <c r="BK23" i="34"/>
  <c r="BL23" i="34"/>
  <c r="BM23" i="34"/>
  <c r="BN23" i="34"/>
  <c r="BO23" i="34"/>
  <c r="BP23" i="34"/>
  <c r="BQ23" i="34"/>
  <c r="BR23" i="34"/>
  <c r="BS23" i="34"/>
  <c r="BT23" i="34"/>
  <c r="BU23" i="34"/>
  <c r="BV23" i="34"/>
  <c r="BW23" i="34"/>
  <c r="BX23" i="34"/>
  <c r="BY23" i="34"/>
  <c r="BZ23" i="34"/>
  <c r="CA23" i="34"/>
  <c r="CC23" i="34"/>
  <c r="CD23" i="34"/>
  <c r="CE23" i="34"/>
  <c r="CF23" i="34"/>
  <c r="CG23" i="34"/>
  <c r="CH23" i="34"/>
  <c r="CI23" i="34"/>
  <c r="CJ23" i="34"/>
  <c r="CK23" i="34"/>
  <c r="CL23" i="34"/>
  <c r="CM23" i="34"/>
  <c r="CN23" i="34"/>
  <c r="CO23" i="34"/>
  <c r="CP23" i="34"/>
  <c r="CQ23" i="34"/>
  <c r="CR23" i="34"/>
  <c r="CS23" i="34"/>
  <c r="CT23" i="34"/>
  <c r="CU23" i="34"/>
  <c r="CV23" i="34"/>
  <c r="CW23" i="34"/>
  <c r="CX23" i="34"/>
  <c r="G24" i="34"/>
  <c r="H24" i="34"/>
  <c r="I24" i="34"/>
  <c r="J24" i="34"/>
  <c r="K24" i="34"/>
  <c r="L24" i="34"/>
  <c r="M24" i="34"/>
  <c r="N24" i="34"/>
  <c r="O24" i="34"/>
  <c r="Q24" i="34"/>
  <c r="S24" i="34"/>
  <c r="T24" i="34"/>
  <c r="U24" i="34"/>
  <c r="V24" i="34"/>
  <c r="W24" i="34"/>
  <c r="X24" i="34"/>
  <c r="Y24" i="34"/>
  <c r="AA24" i="34"/>
  <c r="AC24" i="34"/>
  <c r="AD24" i="34"/>
  <c r="AE24" i="34"/>
  <c r="AF24" i="34"/>
  <c r="AI24" i="34"/>
  <c r="AJ24" i="34"/>
  <c r="AK24" i="34"/>
  <c r="AL24" i="34"/>
  <c r="AM24" i="34"/>
  <c r="AN24" i="34"/>
  <c r="AO24" i="34"/>
  <c r="AP24" i="34"/>
  <c r="AQ24" i="34"/>
  <c r="AR24" i="34"/>
  <c r="AS24" i="34"/>
  <c r="AT24" i="34"/>
  <c r="AU24" i="34"/>
  <c r="AV24" i="34"/>
  <c r="AW24" i="34"/>
  <c r="AX24" i="34"/>
  <c r="AY24" i="34"/>
  <c r="AZ24" i="34"/>
  <c r="BA24" i="34"/>
  <c r="BB24" i="34"/>
  <c r="BC24" i="34"/>
  <c r="BD24" i="34"/>
  <c r="BF24" i="34"/>
  <c r="BG24" i="34"/>
  <c r="BH24" i="34"/>
  <c r="BI24" i="34"/>
  <c r="BJ24" i="34"/>
  <c r="BK24" i="34"/>
  <c r="BL24" i="34"/>
  <c r="BM24" i="34"/>
  <c r="BN24" i="34"/>
  <c r="BO24" i="34"/>
  <c r="BP24" i="34"/>
  <c r="BQ24" i="34"/>
  <c r="BR24" i="34"/>
  <c r="BS24" i="34"/>
  <c r="BT24" i="34"/>
  <c r="BU24" i="34"/>
  <c r="BV24" i="34"/>
  <c r="BW24" i="34"/>
  <c r="BX24" i="34"/>
  <c r="BY24" i="34"/>
  <c r="BZ24" i="34"/>
  <c r="CA24" i="34"/>
  <c r="CC24" i="34"/>
  <c r="CD24" i="34"/>
  <c r="CE24" i="34"/>
  <c r="CF24" i="34"/>
  <c r="CG24" i="34"/>
  <c r="CH24" i="34"/>
  <c r="CI24" i="34"/>
  <c r="CJ24" i="34"/>
  <c r="CK24" i="34"/>
  <c r="CL24" i="34"/>
  <c r="CM24" i="34"/>
  <c r="CN24" i="34"/>
  <c r="CO24" i="34"/>
  <c r="CP24" i="34"/>
  <c r="CQ24" i="34"/>
  <c r="CR24" i="34"/>
  <c r="CS24" i="34"/>
  <c r="CT24" i="34"/>
  <c r="CU24" i="34"/>
  <c r="CV24" i="34"/>
  <c r="CW24" i="34"/>
  <c r="CX24" i="34"/>
  <c r="G25" i="34"/>
  <c r="H25" i="34"/>
  <c r="I25" i="34"/>
  <c r="J25" i="34"/>
  <c r="K25" i="34"/>
  <c r="L25" i="34"/>
  <c r="M25" i="34"/>
  <c r="N25" i="34"/>
  <c r="O25" i="34"/>
  <c r="Q25" i="34"/>
  <c r="S25" i="34"/>
  <c r="T25" i="34"/>
  <c r="U25" i="34"/>
  <c r="V25" i="34"/>
  <c r="W25" i="34"/>
  <c r="X25" i="34"/>
  <c r="Y25" i="34"/>
  <c r="AA25" i="34"/>
  <c r="AC25" i="34"/>
  <c r="AD25" i="34"/>
  <c r="AE25" i="34"/>
  <c r="AF25" i="34"/>
  <c r="AI25" i="34"/>
  <c r="AJ25" i="34"/>
  <c r="AK25" i="34"/>
  <c r="AL25" i="34"/>
  <c r="AM25" i="34"/>
  <c r="AN25" i="34"/>
  <c r="AO25" i="34"/>
  <c r="AP25" i="34"/>
  <c r="AQ25" i="34"/>
  <c r="AR25" i="34"/>
  <c r="AS25" i="34"/>
  <c r="AT25" i="34"/>
  <c r="AU25" i="34"/>
  <c r="AV25" i="34"/>
  <c r="AW25" i="34"/>
  <c r="AX25" i="34"/>
  <c r="AY25" i="34"/>
  <c r="AZ25" i="34"/>
  <c r="BA25" i="34"/>
  <c r="BB25" i="34"/>
  <c r="BC25" i="34"/>
  <c r="BD25" i="34"/>
  <c r="BF25" i="34"/>
  <c r="BG25" i="34"/>
  <c r="BH25" i="34"/>
  <c r="BI25" i="34"/>
  <c r="BJ25" i="34"/>
  <c r="BK25" i="34"/>
  <c r="BL25" i="34"/>
  <c r="BM25" i="34"/>
  <c r="BN25" i="34"/>
  <c r="BO25" i="34"/>
  <c r="BP25" i="34"/>
  <c r="BQ25" i="34"/>
  <c r="BR25" i="34"/>
  <c r="BS25" i="34"/>
  <c r="BT25" i="34"/>
  <c r="BU25" i="34"/>
  <c r="BV25" i="34"/>
  <c r="BW25" i="34"/>
  <c r="BX25" i="34"/>
  <c r="BY25" i="34"/>
  <c r="BZ25" i="34"/>
  <c r="CA25" i="34"/>
  <c r="CC25" i="34"/>
  <c r="CD25" i="34"/>
  <c r="CE25" i="34"/>
  <c r="CF25" i="34"/>
  <c r="CG25" i="34"/>
  <c r="CH25" i="34"/>
  <c r="CI25" i="34"/>
  <c r="CJ25" i="34"/>
  <c r="CK25" i="34"/>
  <c r="CL25" i="34"/>
  <c r="CM25" i="34"/>
  <c r="CN25" i="34"/>
  <c r="CO25" i="34"/>
  <c r="CP25" i="34"/>
  <c r="CQ25" i="34"/>
  <c r="CR25" i="34"/>
  <c r="CS25" i="34"/>
  <c r="CT25" i="34"/>
  <c r="CU25" i="34"/>
  <c r="CV25" i="34"/>
  <c r="CW25" i="34"/>
  <c r="CX25" i="34"/>
  <c r="G26" i="34"/>
  <c r="H26" i="34"/>
  <c r="I26" i="34"/>
  <c r="J26" i="34"/>
  <c r="K26" i="34"/>
  <c r="L26" i="34"/>
  <c r="M26" i="34"/>
  <c r="N26" i="34"/>
  <c r="O26" i="34"/>
  <c r="Q26" i="34"/>
  <c r="S26" i="34"/>
  <c r="T26" i="34"/>
  <c r="U26" i="34"/>
  <c r="V26" i="34"/>
  <c r="W26" i="34"/>
  <c r="X26" i="34"/>
  <c r="Y26" i="34"/>
  <c r="AA26" i="34"/>
  <c r="AC26" i="34"/>
  <c r="AD26" i="34"/>
  <c r="AE26" i="34"/>
  <c r="AF26" i="34"/>
  <c r="AI26" i="34"/>
  <c r="AJ26" i="34"/>
  <c r="AK26" i="34"/>
  <c r="AL26" i="34"/>
  <c r="AM26" i="34"/>
  <c r="AN26" i="34"/>
  <c r="AO26" i="34"/>
  <c r="AP26" i="34"/>
  <c r="AQ26" i="34"/>
  <c r="AR26" i="34"/>
  <c r="AS26" i="34"/>
  <c r="AT26" i="34"/>
  <c r="AU26" i="34"/>
  <c r="AV26" i="34"/>
  <c r="AW26" i="34"/>
  <c r="AX26" i="34"/>
  <c r="AY26" i="34"/>
  <c r="AZ26" i="34"/>
  <c r="BA26" i="34"/>
  <c r="BB26" i="34"/>
  <c r="BC26" i="34"/>
  <c r="BD26" i="34"/>
  <c r="BF26" i="34"/>
  <c r="BG26" i="34"/>
  <c r="BH26" i="34"/>
  <c r="BI26" i="34"/>
  <c r="BJ26" i="34"/>
  <c r="BK26" i="34"/>
  <c r="BL26" i="34"/>
  <c r="BM26" i="34"/>
  <c r="BN26" i="34"/>
  <c r="BO26" i="34"/>
  <c r="BP26" i="34"/>
  <c r="BQ26" i="34"/>
  <c r="BR26" i="34"/>
  <c r="BS26" i="34"/>
  <c r="BT26" i="34"/>
  <c r="BU26" i="34"/>
  <c r="BV26" i="34"/>
  <c r="BW26" i="34"/>
  <c r="BX26" i="34"/>
  <c r="BY26" i="34"/>
  <c r="BZ26" i="34"/>
  <c r="CA26" i="34"/>
  <c r="CC26" i="34"/>
  <c r="CD26" i="34"/>
  <c r="CE26" i="34"/>
  <c r="CF26" i="34"/>
  <c r="CG26" i="34"/>
  <c r="CH26" i="34"/>
  <c r="CI26" i="34"/>
  <c r="CJ26" i="34"/>
  <c r="CK26" i="34"/>
  <c r="CL26" i="34"/>
  <c r="CM26" i="34"/>
  <c r="CN26" i="34"/>
  <c r="CO26" i="34"/>
  <c r="CP26" i="34"/>
  <c r="CQ26" i="34"/>
  <c r="CR26" i="34"/>
  <c r="CS26" i="34"/>
  <c r="CT26" i="34"/>
  <c r="CU26" i="34"/>
  <c r="CV26" i="34"/>
  <c r="CW26" i="34"/>
  <c r="CX26" i="34"/>
  <c r="G27" i="34"/>
  <c r="H27" i="34"/>
  <c r="I27" i="34"/>
  <c r="J27" i="34"/>
  <c r="K27" i="34"/>
  <c r="L27" i="34"/>
  <c r="M27" i="34"/>
  <c r="N27" i="34"/>
  <c r="O27" i="34"/>
  <c r="Q27" i="34"/>
  <c r="S27" i="34"/>
  <c r="T27" i="34"/>
  <c r="U27" i="34"/>
  <c r="V27" i="34"/>
  <c r="W27" i="34"/>
  <c r="X27" i="34"/>
  <c r="Y27" i="34"/>
  <c r="AA27" i="34"/>
  <c r="AC27" i="34"/>
  <c r="AD27" i="34"/>
  <c r="AE27" i="34"/>
  <c r="AF27" i="34"/>
  <c r="AI27" i="34"/>
  <c r="AJ27" i="34"/>
  <c r="AK27" i="34"/>
  <c r="AL27" i="34"/>
  <c r="AM27" i="34"/>
  <c r="AN27" i="34"/>
  <c r="AO27" i="34"/>
  <c r="AP27" i="34"/>
  <c r="AQ27" i="34"/>
  <c r="AR27" i="34"/>
  <c r="AS27" i="34"/>
  <c r="AT27" i="34"/>
  <c r="AU27" i="34"/>
  <c r="AV27" i="34"/>
  <c r="AW27" i="34"/>
  <c r="AX27" i="34"/>
  <c r="AY27" i="34"/>
  <c r="AZ27" i="34"/>
  <c r="BA27" i="34"/>
  <c r="BB27" i="34"/>
  <c r="BC27" i="34"/>
  <c r="BD27" i="34"/>
  <c r="BF27" i="34"/>
  <c r="BG27" i="34"/>
  <c r="BH27" i="34"/>
  <c r="BI27" i="34"/>
  <c r="BJ27" i="34"/>
  <c r="BK27" i="34"/>
  <c r="BL27" i="34"/>
  <c r="BM27" i="34"/>
  <c r="BN27" i="34"/>
  <c r="BO27" i="34"/>
  <c r="BP27" i="34"/>
  <c r="BQ27" i="34"/>
  <c r="BR27" i="34"/>
  <c r="BS27" i="34"/>
  <c r="BT27" i="34"/>
  <c r="BU27" i="34"/>
  <c r="BV27" i="34"/>
  <c r="BW27" i="34"/>
  <c r="BX27" i="34"/>
  <c r="BY27" i="34"/>
  <c r="BZ27" i="34"/>
  <c r="CA27" i="34"/>
  <c r="CC27" i="34"/>
  <c r="CD27" i="34"/>
  <c r="CE27" i="34"/>
  <c r="CF27" i="34"/>
  <c r="CG27" i="34"/>
  <c r="CH27" i="34"/>
  <c r="CI27" i="34"/>
  <c r="CJ27" i="34"/>
  <c r="CK27" i="34"/>
  <c r="CL27" i="34"/>
  <c r="CM27" i="34"/>
  <c r="CN27" i="34"/>
  <c r="CO27" i="34"/>
  <c r="CP27" i="34"/>
  <c r="CQ27" i="34"/>
  <c r="CR27" i="34"/>
  <c r="CS27" i="34"/>
  <c r="CT27" i="34"/>
  <c r="CU27" i="34"/>
  <c r="CV27" i="34"/>
  <c r="CW27" i="34"/>
  <c r="CX27" i="34"/>
  <c r="G28" i="34"/>
  <c r="H28" i="34"/>
  <c r="I28" i="34"/>
  <c r="J28" i="34"/>
  <c r="K28" i="34"/>
  <c r="L28" i="34"/>
  <c r="M28" i="34"/>
  <c r="N28" i="34"/>
  <c r="O28" i="34"/>
  <c r="Q28" i="34"/>
  <c r="S28" i="34"/>
  <c r="T28" i="34"/>
  <c r="U28" i="34"/>
  <c r="V28" i="34"/>
  <c r="W28" i="34"/>
  <c r="X28" i="34"/>
  <c r="Y28" i="34"/>
  <c r="AA28" i="34"/>
  <c r="AC28" i="34"/>
  <c r="AD28" i="34"/>
  <c r="AE28" i="34"/>
  <c r="AF28" i="34"/>
  <c r="AI28" i="34"/>
  <c r="AJ28" i="34"/>
  <c r="AK28" i="34"/>
  <c r="AL28" i="34"/>
  <c r="AM28" i="34"/>
  <c r="AN28" i="34"/>
  <c r="AO28" i="34"/>
  <c r="AP28" i="34"/>
  <c r="AQ28" i="34"/>
  <c r="AR28" i="34"/>
  <c r="AS28" i="34"/>
  <c r="AT28" i="34"/>
  <c r="AU28" i="34"/>
  <c r="AV28" i="34"/>
  <c r="AW28" i="34"/>
  <c r="AX28" i="34"/>
  <c r="AY28" i="34"/>
  <c r="AZ28" i="34"/>
  <c r="BA28" i="34"/>
  <c r="BB28" i="34"/>
  <c r="BC28" i="34"/>
  <c r="BD28" i="34"/>
  <c r="BF28" i="34"/>
  <c r="BG28" i="34"/>
  <c r="BH28" i="34"/>
  <c r="BI28" i="34"/>
  <c r="BJ28" i="34"/>
  <c r="BK28" i="34"/>
  <c r="BL28" i="34"/>
  <c r="BM28" i="34"/>
  <c r="BN28" i="34"/>
  <c r="BO28" i="34"/>
  <c r="BP28" i="34"/>
  <c r="BQ28" i="34"/>
  <c r="BR28" i="34"/>
  <c r="BS28" i="34"/>
  <c r="BT28" i="34"/>
  <c r="BU28" i="34"/>
  <c r="BV28" i="34"/>
  <c r="BW28" i="34"/>
  <c r="BX28" i="34"/>
  <c r="BY28" i="34"/>
  <c r="BZ28" i="34"/>
  <c r="CA28" i="34"/>
  <c r="CC28" i="34"/>
  <c r="CD28" i="34"/>
  <c r="CE28" i="34"/>
  <c r="CF28" i="34"/>
  <c r="CG28" i="34"/>
  <c r="CH28" i="34"/>
  <c r="CI28" i="34"/>
  <c r="CJ28" i="34"/>
  <c r="CK28" i="34"/>
  <c r="CL28" i="34"/>
  <c r="CM28" i="34"/>
  <c r="CN28" i="34"/>
  <c r="CO28" i="34"/>
  <c r="CP28" i="34"/>
  <c r="CQ28" i="34"/>
  <c r="CR28" i="34"/>
  <c r="CS28" i="34"/>
  <c r="CT28" i="34"/>
  <c r="CU28" i="34"/>
  <c r="CV28" i="34"/>
  <c r="CW28" i="34"/>
  <c r="CX28" i="34"/>
  <c r="G29" i="34"/>
  <c r="H29" i="34"/>
  <c r="I29" i="34"/>
  <c r="J29" i="34"/>
  <c r="K29" i="34"/>
  <c r="L29" i="34"/>
  <c r="M29" i="34"/>
  <c r="N29" i="34"/>
  <c r="O29" i="34"/>
  <c r="Q29" i="34"/>
  <c r="S29" i="34"/>
  <c r="T29" i="34"/>
  <c r="U29" i="34"/>
  <c r="V29" i="34"/>
  <c r="W29" i="34"/>
  <c r="X29" i="34"/>
  <c r="Y29" i="34"/>
  <c r="AA29" i="34"/>
  <c r="AC29" i="34"/>
  <c r="AD29" i="34"/>
  <c r="AE29" i="34"/>
  <c r="AF29" i="34"/>
  <c r="AI29" i="34"/>
  <c r="AJ29" i="34"/>
  <c r="AK29" i="34"/>
  <c r="AL29" i="34"/>
  <c r="AM29" i="34"/>
  <c r="AN29" i="34"/>
  <c r="AO29" i="34"/>
  <c r="AP29" i="34"/>
  <c r="AQ29" i="34"/>
  <c r="AR29" i="34"/>
  <c r="AS29" i="34"/>
  <c r="AT29" i="34"/>
  <c r="AU29" i="34"/>
  <c r="AV29" i="34"/>
  <c r="AW29" i="34"/>
  <c r="AX29" i="34"/>
  <c r="AY29" i="34"/>
  <c r="AZ29" i="34"/>
  <c r="BA29" i="34"/>
  <c r="BB29" i="34"/>
  <c r="BC29" i="34"/>
  <c r="BD29" i="34"/>
  <c r="BF29" i="34"/>
  <c r="BG29" i="34"/>
  <c r="BH29" i="34"/>
  <c r="BI29" i="34"/>
  <c r="BJ29" i="34"/>
  <c r="BK29" i="34"/>
  <c r="BL29" i="34"/>
  <c r="BM29" i="34"/>
  <c r="BN29" i="34"/>
  <c r="BO29" i="34"/>
  <c r="BP29" i="34"/>
  <c r="BQ29" i="34"/>
  <c r="BR29" i="34"/>
  <c r="BS29" i="34"/>
  <c r="BT29" i="34"/>
  <c r="BU29" i="34"/>
  <c r="BV29" i="34"/>
  <c r="BW29" i="34"/>
  <c r="BX29" i="34"/>
  <c r="BY29" i="34"/>
  <c r="BZ29" i="34"/>
  <c r="CA29" i="34"/>
  <c r="CC29" i="34"/>
  <c r="CD29" i="34"/>
  <c r="CE29" i="34"/>
  <c r="CF29" i="34"/>
  <c r="CG29" i="34"/>
  <c r="CH29" i="34"/>
  <c r="CI29" i="34"/>
  <c r="CJ29" i="34"/>
  <c r="CK29" i="34"/>
  <c r="CL29" i="34"/>
  <c r="CM29" i="34"/>
  <c r="CN29" i="34"/>
  <c r="CO29" i="34"/>
  <c r="CP29" i="34"/>
  <c r="CQ29" i="34"/>
  <c r="CR29" i="34"/>
  <c r="CS29" i="34"/>
  <c r="CT29" i="34"/>
  <c r="CU29" i="34"/>
  <c r="CV29" i="34"/>
  <c r="CW29" i="34"/>
  <c r="CX29" i="34"/>
  <c r="G30" i="34"/>
  <c r="H30" i="34"/>
  <c r="I30" i="34"/>
  <c r="J30" i="34"/>
  <c r="K30" i="34"/>
  <c r="L30" i="34"/>
  <c r="M30" i="34"/>
  <c r="N30" i="34"/>
  <c r="O30" i="34"/>
  <c r="Q30" i="34"/>
  <c r="S30" i="34"/>
  <c r="T30" i="34"/>
  <c r="U30" i="34"/>
  <c r="V30" i="34"/>
  <c r="W30" i="34"/>
  <c r="X30" i="34"/>
  <c r="Y30" i="34"/>
  <c r="AA30" i="34"/>
  <c r="AC30" i="34"/>
  <c r="AD30" i="34"/>
  <c r="AE30" i="34"/>
  <c r="AF30" i="34"/>
  <c r="AI30" i="34"/>
  <c r="AJ30" i="34"/>
  <c r="AK30" i="34"/>
  <c r="AL30" i="34"/>
  <c r="AM30" i="34"/>
  <c r="AN30" i="34"/>
  <c r="AO30" i="34"/>
  <c r="AP30" i="34"/>
  <c r="AQ30" i="34"/>
  <c r="AR30" i="34"/>
  <c r="AS30" i="34"/>
  <c r="AT30" i="34"/>
  <c r="AU30" i="34"/>
  <c r="AV30" i="34"/>
  <c r="AW30" i="34"/>
  <c r="AX30" i="34"/>
  <c r="AY30" i="34"/>
  <c r="AZ30" i="34"/>
  <c r="BA30" i="34"/>
  <c r="BB30" i="34"/>
  <c r="BC30" i="34"/>
  <c r="BD30" i="34"/>
  <c r="BF30" i="34"/>
  <c r="BG30" i="34"/>
  <c r="BH30" i="34"/>
  <c r="BI30" i="34"/>
  <c r="BJ30" i="34"/>
  <c r="BK30" i="34"/>
  <c r="BL30" i="34"/>
  <c r="BM30" i="34"/>
  <c r="BN30" i="34"/>
  <c r="BO30" i="34"/>
  <c r="BP30" i="34"/>
  <c r="BQ30" i="34"/>
  <c r="BR30" i="34"/>
  <c r="BS30" i="34"/>
  <c r="BT30" i="34"/>
  <c r="BU30" i="34"/>
  <c r="BV30" i="34"/>
  <c r="BW30" i="34"/>
  <c r="BX30" i="34"/>
  <c r="BY30" i="34"/>
  <c r="BZ30" i="34"/>
  <c r="CA30" i="34"/>
  <c r="CC30" i="34"/>
  <c r="CD30" i="34"/>
  <c r="CE30" i="34"/>
  <c r="CF30" i="34"/>
  <c r="CG30" i="34"/>
  <c r="CH30" i="34"/>
  <c r="CI30" i="34"/>
  <c r="CJ30" i="34"/>
  <c r="CK30" i="34"/>
  <c r="CL30" i="34"/>
  <c r="CM30" i="34"/>
  <c r="CN30" i="34"/>
  <c r="CO30" i="34"/>
  <c r="CP30" i="34"/>
  <c r="CQ30" i="34"/>
  <c r="CR30" i="34"/>
  <c r="CS30" i="34"/>
  <c r="CT30" i="34"/>
  <c r="CU30" i="34"/>
  <c r="CV30" i="34"/>
  <c r="CW30" i="34"/>
  <c r="CX30" i="34"/>
  <c r="G31" i="34"/>
  <c r="H31" i="34"/>
  <c r="I31" i="34"/>
  <c r="J31" i="34"/>
  <c r="K31" i="34"/>
  <c r="L31" i="34"/>
  <c r="M31" i="34"/>
  <c r="N31" i="34"/>
  <c r="O31" i="34"/>
  <c r="Q31" i="34"/>
  <c r="S31" i="34"/>
  <c r="T31" i="34"/>
  <c r="U31" i="34"/>
  <c r="V31" i="34"/>
  <c r="W31" i="34"/>
  <c r="X31" i="34"/>
  <c r="Y31" i="34"/>
  <c r="AA31" i="34"/>
  <c r="AC31" i="34"/>
  <c r="AD31" i="34"/>
  <c r="AE31" i="34"/>
  <c r="AF31" i="34"/>
  <c r="AI31" i="34"/>
  <c r="AJ31" i="34"/>
  <c r="AK31" i="34"/>
  <c r="AL31" i="34"/>
  <c r="AM31" i="34"/>
  <c r="AN31" i="34"/>
  <c r="AO31" i="34"/>
  <c r="AP31" i="34"/>
  <c r="AQ31" i="34"/>
  <c r="AR31" i="34"/>
  <c r="AS31" i="34"/>
  <c r="AT31" i="34"/>
  <c r="AU31" i="34"/>
  <c r="AV31" i="34"/>
  <c r="AW31" i="34"/>
  <c r="AX31" i="34"/>
  <c r="AY31" i="34"/>
  <c r="AZ31" i="34"/>
  <c r="BA31" i="34"/>
  <c r="BB31" i="34"/>
  <c r="BC31" i="34"/>
  <c r="BD31" i="34"/>
  <c r="BF31" i="34"/>
  <c r="BG31" i="34"/>
  <c r="BH31" i="34"/>
  <c r="BI31" i="34"/>
  <c r="BJ31" i="34"/>
  <c r="BK31" i="34"/>
  <c r="BL31" i="34"/>
  <c r="BM31" i="34"/>
  <c r="BN31" i="34"/>
  <c r="BO31" i="34"/>
  <c r="BP31" i="34"/>
  <c r="BQ31" i="34"/>
  <c r="BR31" i="34"/>
  <c r="BS31" i="34"/>
  <c r="BT31" i="34"/>
  <c r="BU31" i="34"/>
  <c r="BV31" i="34"/>
  <c r="BW31" i="34"/>
  <c r="BX31" i="34"/>
  <c r="BY31" i="34"/>
  <c r="BZ31" i="34"/>
  <c r="CA31" i="34"/>
  <c r="CC31" i="34"/>
  <c r="CD31" i="34"/>
  <c r="CE31" i="34"/>
  <c r="CF31" i="34"/>
  <c r="CG31" i="34"/>
  <c r="CH31" i="34"/>
  <c r="CI31" i="34"/>
  <c r="CJ31" i="34"/>
  <c r="CK31" i="34"/>
  <c r="CL31" i="34"/>
  <c r="CM31" i="34"/>
  <c r="CN31" i="34"/>
  <c r="CO31" i="34"/>
  <c r="CP31" i="34"/>
  <c r="CQ31" i="34"/>
  <c r="CR31" i="34"/>
  <c r="CS31" i="34"/>
  <c r="CT31" i="34"/>
  <c r="CU31" i="34"/>
  <c r="CV31" i="34"/>
  <c r="CW31" i="34"/>
  <c r="CX31" i="34"/>
  <c r="G32" i="34"/>
  <c r="H32" i="34"/>
  <c r="I32" i="34"/>
  <c r="J32" i="34"/>
  <c r="K32" i="34"/>
  <c r="L32" i="34"/>
  <c r="M32" i="34"/>
  <c r="N32" i="34"/>
  <c r="O32" i="34"/>
  <c r="Q32" i="34"/>
  <c r="S32" i="34"/>
  <c r="T32" i="34"/>
  <c r="U32" i="34"/>
  <c r="V32" i="34"/>
  <c r="W32" i="34"/>
  <c r="X32" i="34"/>
  <c r="Y32" i="34"/>
  <c r="AA32" i="34"/>
  <c r="AC32" i="34"/>
  <c r="AD32" i="34"/>
  <c r="AE32" i="34"/>
  <c r="AF32" i="34"/>
  <c r="AI32" i="34"/>
  <c r="AJ32" i="34"/>
  <c r="AK32" i="34"/>
  <c r="AL32" i="34"/>
  <c r="AM32" i="34"/>
  <c r="AN32" i="34"/>
  <c r="AO32" i="34"/>
  <c r="AP32" i="34"/>
  <c r="AQ32" i="34"/>
  <c r="AR32" i="34"/>
  <c r="AS32" i="34"/>
  <c r="AT32" i="34"/>
  <c r="AU32" i="34"/>
  <c r="AV32" i="34"/>
  <c r="AW32" i="34"/>
  <c r="AX32" i="34"/>
  <c r="AY32" i="34"/>
  <c r="AZ32" i="34"/>
  <c r="BA32" i="34"/>
  <c r="BB32" i="34"/>
  <c r="BC32" i="34"/>
  <c r="BD32" i="34"/>
  <c r="BF32" i="34"/>
  <c r="BG32" i="34"/>
  <c r="BH32" i="34"/>
  <c r="BI32" i="34"/>
  <c r="BJ32" i="34"/>
  <c r="BK32" i="34"/>
  <c r="BL32" i="34"/>
  <c r="BM32" i="34"/>
  <c r="BN32" i="34"/>
  <c r="BO32" i="34"/>
  <c r="BP32" i="34"/>
  <c r="BQ32" i="34"/>
  <c r="BR32" i="34"/>
  <c r="BS32" i="34"/>
  <c r="BT32" i="34"/>
  <c r="BU32" i="34"/>
  <c r="BV32" i="34"/>
  <c r="BW32" i="34"/>
  <c r="BX32" i="34"/>
  <c r="BY32" i="34"/>
  <c r="BZ32" i="34"/>
  <c r="CA32" i="34"/>
  <c r="CC32" i="34"/>
  <c r="CD32" i="34"/>
  <c r="CE32" i="34"/>
  <c r="CF32" i="34"/>
  <c r="CG32" i="34"/>
  <c r="CH32" i="34"/>
  <c r="CI32" i="34"/>
  <c r="CJ32" i="34"/>
  <c r="CK32" i="34"/>
  <c r="CL32" i="34"/>
  <c r="CM32" i="34"/>
  <c r="CN32" i="34"/>
  <c r="CO32" i="34"/>
  <c r="CP32" i="34"/>
  <c r="CQ32" i="34"/>
  <c r="CR32" i="34"/>
  <c r="CS32" i="34"/>
  <c r="CT32" i="34"/>
  <c r="CU32" i="34"/>
  <c r="CV32" i="34"/>
  <c r="CW32" i="34"/>
  <c r="CX32" i="34"/>
  <c r="G33" i="34"/>
  <c r="H33" i="34"/>
  <c r="I33" i="34"/>
  <c r="J33" i="34"/>
  <c r="K33" i="34"/>
  <c r="L33" i="34"/>
  <c r="M33" i="34"/>
  <c r="N33" i="34"/>
  <c r="O33" i="34"/>
  <c r="Q33" i="34"/>
  <c r="S33" i="34"/>
  <c r="T33" i="34"/>
  <c r="U33" i="34"/>
  <c r="V33" i="34"/>
  <c r="W33" i="34"/>
  <c r="X33" i="34"/>
  <c r="Y33" i="34"/>
  <c r="AA33" i="34"/>
  <c r="AC33" i="34"/>
  <c r="AD33" i="34"/>
  <c r="AE33" i="34"/>
  <c r="AF33" i="34"/>
  <c r="AI33" i="34"/>
  <c r="AJ33" i="34"/>
  <c r="AK33" i="34"/>
  <c r="AL33" i="34"/>
  <c r="AM33" i="34"/>
  <c r="AN33" i="34"/>
  <c r="AO33" i="34"/>
  <c r="AP33" i="34"/>
  <c r="AQ33" i="34"/>
  <c r="AR33" i="34"/>
  <c r="AS33" i="34"/>
  <c r="AT33" i="34"/>
  <c r="AU33" i="34"/>
  <c r="AV33" i="34"/>
  <c r="AW33" i="34"/>
  <c r="AX33" i="34"/>
  <c r="AY33" i="34"/>
  <c r="AZ33" i="34"/>
  <c r="BA33" i="34"/>
  <c r="BB33" i="34"/>
  <c r="BC33" i="34"/>
  <c r="BD33" i="34"/>
  <c r="BF33" i="34"/>
  <c r="BG33" i="34"/>
  <c r="BH33" i="34"/>
  <c r="BI33" i="34"/>
  <c r="BJ33" i="34"/>
  <c r="BK33" i="34"/>
  <c r="BL33" i="34"/>
  <c r="BM33" i="34"/>
  <c r="BN33" i="34"/>
  <c r="BO33" i="34"/>
  <c r="BP33" i="34"/>
  <c r="BQ33" i="34"/>
  <c r="BR33" i="34"/>
  <c r="BS33" i="34"/>
  <c r="BT33" i="34"/>
  <c r="BU33" i="34"/>
  <c r="BV33" i="34"/>
  <c r="BW33" i="34"/>
  <c r="BX33" i="34"/>
  <c r="BY33" i="34"/>
  <c r="BZ33" i="34"/>
  <c r="CA33" i="34"/>
  <c r="CC33" i="34"/>
  <c r="CD33" i="34"/>
  <c r="CE33" i="34"/>
  <c r="CF33" i="34"/>
  <c r="CG33" i="34"/>
  <c r="CH33" i="34"/>
  <c r="CI33" i="34"/>
  <c r="CJ33" i="34"/>
  <c r="CK33" i="34"/>
  <c r="CL33" i="34"/>
  <c r="CM33" i="34"/>
  <c r="CN33" i="34"/>
  <c r="CO33" i="34"/>
  <c r="CP33" i="34"/>
  <c r="CQ33" i="34"/>
  <c r="CR33" i="34"/>
  <c r="CS33" i="34"/>
  <c r="CT33" i="34"/>
  <c r="CU33" i="34"/>
  <c r="CV33" i="34"/>
  <c r="CW33" i="34"/>
  <c r="CX33" i="34"/>
  <c r="G34" i="34"/>
  <c r="H34" i="34"/>
  <c r="I34" i="34"/>
  <c r="J34" i="34"/>
  <c r="K34" i="34"/>
  <c r="L34" i="34"/>
  <c r="M34" i="34"/>
  <c r="N34" i="34"/>
  <c r="O34" i="34"/>
  <c r="Q34" i="34"/>
  <c r="S34" i="34"/>
  <c r="T34" i="34"/>
  <c r="U34" i="34"/>
  <c r="V34" i="34"/>
  <c r="W34" i="34"/>
  <c r="X34" i="34"/>
  <c r="Y34" i="34"/>
  <c r="AA34" i="34"/>
  <c r="AC34" i="34"/>
  <c r="AD34" i="34"/>
  <c r="AE34" i="34"/>
  <c r="AF34" i="34"/>
  <c r="AI34" i="34"/>
  <c r="AJ34" i="34"/>
  <c r="AK34" i="34"/>
  <c r="AL34" i="34"/>
  <c r="AM34" i="34"/>
  <c r="AN34" i="34"/>
  <c r="AO34" i="34"/>
  <c r="AP34" i="34"/>
  <c r="AQ34" i="34"/>
  <c r="AR34" i="34"/>
  <c r="AS34" i="34"/>
  <c r="AT34" i="34"/>
  <c r="AU34" i="34"/>
  <c r="AV34" i="34"/>
  <c r="AW34" i="34"/>
  <c r="AX34" i="34"/>
  <c r="AY34" i="34"/>
  <c r="AZ34" i="34"/>
  <c r="BA34" i="34"/>
  <c r="BB34" i="34"/>
  <c r="BC34" i="34"/>
  <c r="BD34" i="34"/>
  <c r="BF34" i="34"/>
  <c r="BG34" i="34"/>
  <c r="BH34" i="34"/>
  <c r="BI34" i="34"/>
  <c r="BJ34" i="34"/>
  <c r="BK34" i="34"/>
  <c r="BL34" i="34"/>
  <c r="BM34" i="34"/>
  <c r="BN34" i="34"/>
  <c r="BO34" i="34"/>
  <c r="BP34" i="34"/>
  <c r="BQ34" i="34"/>
  <c r="BR34" i="34"/>
  <c r="BS34" i="34"/>
  <c r="BT34" i="34"/>
  <c r="BU34" i="34"/>
  <c r="BV34" i="34"/>
  <c r="BW34" i="34"/>
  <c r="BX34" i="34"/>
  <c r="BY34" i="34"/>
  <c r="BZ34" i="34"/>
  <c r="CA34" i="34"/>
  <c r="CC34" i="34"/>
  <c r="CD34" i="34"/>
  <c r="CE34" i="34"/>
  <c r="CF34" i="34"/>
  <c r="CG34" i="34"/>
  <c r="CH34" i="34"/>
  <c r="CI34" i="34"/>
  <c r="CJ34" i="34"/>
  <c r="CK34" i="34"/>
  <c r="CL34" i="34"/>
  <c r="CM34" i="34"/>
  <c r="CN34" i="34"/>
  <c r="CO34" i="34"/>
  <c r="CP34" i="34"/>
  <c r="CQ34" i="34"/>
  <c r="CR34" i="34"/>
  <c r="CS34" i="34"/>
  <c r="CT34" i="34"/>
  <c r="CU34" i="34"/>
  <c r="CV34" i="34"/>
  <c r="CW34" i="34"/>
  <c r="CX34" i="34"/>
  <c r="G35" i="34"/>
  <c r="H35" i="34"/>
  <c r="I35" i="34"/>
  <c r="J35" i="34"/>
  <c r="K35" i="34"/>
  <c r="L35" i="34"/>
  <c r="M35" i="34"/>
  <c r="N35" i="34"/>
  <c r="O35" i="34"/>
  <c r="Q35" i="34"/>
  <c r="S35" i="34"/>
  <c r="T35" i="34"/>
  <c r="U35" i="34"/>
  <c r="V35" i="34"/>
  <c r="W35" i="34"/>
  <c r="X35" i="34"/>
  <c r="Y35" i="34"/>
  <c r="AA35" i="34"/>
  <c r="AC35" i="34"/>
  <c r="AD35" i="34"/>
  <c r="AE35" i="34"/>
  <c r="AF35" i="34"/>
  <c r="AI35" i="34"/>
  <c r="AJ35" i="34"/>
  <c r="AK35" i="34"/>
  <c r="AL35" i="34"/>
  <c r="AM35" i="34"/>
  <c r="AN35" i="34"/>
  <c r="AO35" i="34"/>
  <c r="AP35" i="34"/>
  <c r="AQ35" i="34"/>
  <c r="AR35" i="34"/>
  <c r="AS35" i="34"/>
  <c r="AT35" i="34"/>
  <c r="AU35" i="34"/>
  <c r="AV35" i="34"/>
  <c r="AW35" i="34"/>
  <c r="AX35" i="34"/>
  <c r="AY35" i="34"/>
  <c r="AZ35" i="34"/>
  <c r="BA35" i="34"/>
  <c r="BB35" i="34"/>
  <c r="BC35" i="34"/>
  <c r="BD35" i="34"/>
  <c r="BF35" i="34"/>
  <c r="BG35" i="34"/>
  <c r="BH35" i="34"/>
  <c r="BI35" i="34"/>
  <c r="BJ35" i="34"/>
  <c r="BK35" i="34"/>
  <c r="BL35" i="34"/>
  <c r="BM35" i="34"/>
  <c r="BN35" i="34"/>
  <c r="BO35" i="34"/>
  <c r="BP35" i="34"/>
  <c r="BQ35" i="34"/>
  <c r="BR35" i="34"/>
  <c r="BS35" i="34"/>
  <c r="BT35" i="34"/>
  <c r="BU35" i="34"/>
  <c r="BV35" i="34"/>
  <c r="BW35" i="34"/>
  <c r="BX35" i="34"/>
  <c r="BY35" i="34"/>
  <c r="BZ35" i="34"/>
  <c r="CA35" i="34"/>
  <c r="CC35" i="34"/>
  <c r="CD35" i="34"/>
  <c r="CE35" i="34"/>
  <c r="CF35" i="34"/>
  <c r="CG35" i="34"/>
  <c r="CH35" i="34"/>
  <c r="CI35" i="34"/>
  <c r="CJ35" i="34"/>
  <c r="CK35" i="34"/>
  <c r="CL35" i="34"/>
  <c r="CM35" i="34"/>
  <c r="CN35" i="34"/>
  <c r="CO35" i="34"/>
  <c r="CP35" i="34"/>
  <c r="CQ35" i="34"/>
  <c r="CR35" i="34"/>
  <c r="CS35" i="34"/>
  <c r="CT35" i="34"/>
  <c r="CU35" i="34"/>
  <c r="CV35" i="34"/>
  <c r="CW35" i="34"/>
  <c r="CX35" i="34"/>
  <c r="G36" i="34"/>
  <c r="H36" i="34"/>
  <c r="I36" i="34"/>
  <c r="J36" i="34"/>
  <c r="K36" i="34"/>
  <c r="L36" i="34"/>
  <c r="M36" i="34"/>
  <c r="N36" i="34"/>
  <c r="O36" i="34"/>
  <c r="Q36" i="34"/>
  <c r="S36" i="34"/>
  <c r="T36" i="34"/>
  <c r="U36" i="34"/>
  <c r="V36" i="34"/>
  <c r="W36" i="34"/>
  <c r="X36" i="34"/>
  <c r="Y36" i="34"/>
  <c r="AA36" i="34"/>
  <c r="AC36" i="34"/>
  <c r="AD36" i="34"/>
  <c r="AE36" i="34"/>
  <c r="AF36" i="34"/>
  <c r="AI36" i="34"/>
  <c r="AJ36" i="34"/>
  <c r="AK36" i="34"/>
  <c r="AL36" i="34"/>
  <c r="AM36" i="34"/>
  <c r="AN36" i="34"/>
  <c r="AO36" i="34"/>
  <c r="AP36" i="34"/>
  <c r="AQ36" i="34"/>
  <c r="AR36" i="34"/>
  <c r="AS36" i="34"/>
  <c r="AT36" i="34"/>
  <c r="AU36" i="34"/>
  <c r="AV36" i="34"/>
  <c r="AW36" i="34"/>
  <c r="AX36" i="34"/>
  <c r="AY36" i="34"/>
  <c r="AZ36" i="34"/>
  <c r="BA36" i="34"/>
  <c r="BB36" i="34"/>
  <c r="BC36" i="34"/>
  <c r="BD36" i="34"/>
  <c r="BF36" i="34"/>
  <c r="BG36" i="34"/>
  <c r="BH36" i="34"/>
  <c r="BI36" i="34"/>
  <c r="BJ36" i="34"/>
  <c r="BK36" i="34"/>
  <c r="BL36" i="34"/>
  <c r="BM36" i="34"/>
  <c r="BN36" i="34"/>
  <c r="BO36" i="34"/>
  <c r="BP36" i="34"/>
  <c r="BQ36" i="34"/>
  <c r="BR36" i="34"/>
  <c r="BS36" i="34"/>
  <c r="BT36" i="34"/>
  <c r="BU36" i="34"/>
  <c r="BV36" i="34"/>
  <c r="BW36" i="34"/>
  <c r="BX36" i="34"/>
  <c r="BY36" i="34"/>
  <c r="BZ36" i="34"/>
  <c r="CA36" i="34"/>
  <c r="CC36" i="34"/>
  <c r="CD36" i="34"/>
  <c r="CE36" i="34"/>
  <c r="CF36" i="34"/>
  <c r="CG36" i="34"/>
  <c r="CH36" i="34"/>
  <c r="CI36" i="34"/>
  <c r="CJ36" i="34"/>
  <c r="CK36" i="34"/>
  <c r="CL36" i="34"/>
  <c r="CM36" i="34"/>
  <c r="CN36" i="34"/>
  <c r="CO36" i="34"/>
  <c r="CP36" i="34"/>
  <c r="CQ36" i="34"/>
  <c r="CR36" i="34"/>
  <c r="CS36" i="34"/>
  <c r="CT36" i="34"/>
  <c r="CU36" i="34"/>
  <c r="CV36" i="34"/>
  <c r="CW36" i="34"/>
  <c r="CX36" i="34"/>
  <c r="G37" i="34"/>
  <c r="H37" i="34"/>
  <c r="I37" i="34"/>
  <c r="J37" i="34"/>
  <c r="K37" i="34"/>
  <c r="L37" i="34"/>
  <c r="M37" i="34"/>
  <c r="N37" i="34"/>
  <c r="O37" i="34"/>
  <c r="Q37" i="34"/>
  <c r="S37" i="34"/>
  <c r="T37" i="34"/>
  <c r="U37" i="34"/>
  <c r="V37" i="34"/>
  <c r="W37" i="34"/>
  <c r="X37" i="34"/>
  <c r="Y37" i="34"/>
  <c r="AA37" i="34"/>
  <c r="AC37" i="34"/>
  <c r="AD37" i="34"/>
  <c r="AE37" i="34"/>
  <c r="AF37" i="34"/>
  <c r="AI37" i="34"/>
  <c r="AJ37" i="34"/>
  <c r="AK37" i="34"/>
  <c r="AL37" i="34"/>
  <c r="AM37" i="34"/>
  <c r="AN37" i="34"/>
  <c r="AO37" i="34"/>
  <c r="AP37" i="34"/>
  <c r="AQ37" i="34"/>
  <c r="AR37" i="34"/>
  <c r="AS37" i="34"/>
  <c r="AT37" i="34"/>
  <c r="AU37" i="34"/>
  <c r="AV37" i="34"/>
  <c r="AW37" i="34"/>
  <c r="AX37" i="34"/>
  <c r="AY37" i="34"/>
  <c r="AZ37" i="34"/>
  <c r="BA37" i="34"/>
  <c r="BB37" i="34"/>
  <c r="BC37" i="34"/>
  <c r="BD37" i="34"/>
  <c r="BF37" i="34"/>
  <c r="BG37" i="34"/>
  <c r="BH37" i="34"/>
  <c r="BI37" i="34"/>
  <c r="BJ37" i="34"/>
  <c r="BK37" i="34"/>
  <c r="BL37" i="34"/>
  <c r="BM37" i="34"/>
  <c r="BN37" i="34"/>
  <c r="BO37" i="34"/>
  <c r="BP37" i="34"/>
  <c r="BQ37" i="34"/>
  <c r="BR37" i="34"/>
  <c r="BS37" i="34"/>
  <c r="BT37" i="34"/>
  <c r="BU37" i="34"/>
  <c r="BV37" i="34"/>
  <c r="BW37" i="34"/>
  <c r="BX37" i="34"/>
  <c r="BY37" i="34"/>
  <c r="BZ37" i="34"/>
  <c r="CA37" i="34"/>
  <c r="CC37" i="34"/>
  <c r="CD37" i="34"/>
  <c r="CE37" i="34"/>
  <c r="CF37" i="34"/>
  <c r="CG37" i="34"/>
  <c r="CH37" i="34"/>
  <c r="CI37" i="34"/>
  <c r="CJ37" i="34"/>
  <c r="CK37" i="34"/>
  <c r="CL37" i="34"/>
  <c r="CM37" i="34"/>
  <c r="CN37" i="34"/>
  <c r="CO37" i="34"/>
  <c r="CP37" i="34"/>
  <c r="CQ37" i="34"/>
  <c r="CR37" i="34"/>
  <c r="CS37" i="34"/>
  <c r="CT37" i="34"/>
  <c r="CU37" i="34"/>
  <c r="CV37" i="34"/>
  <c r="CW37" i="34"/>
  <c r="CX37" i="34"/>
  <c r="G38" i="34"/>
  <c r="H38" i="34"/>
  <c r="I38" i="34"/>
  <c r="J38" i="34"/>
  <c r="K38" i="34"/>
  <c r="L38" i="34"/>
  <c r="M38" i="34"/>
  <c r="N38" i="34"/>
  <c r="O38" i="34"/>
  <c r="Q38" i="34"/>
  <c r="S38" i="34"/>
  <c r="T38" i="34"/>
  <c r="U38" i="34"/>
  <c r="V38" i="34"/>
  <c r="W38" i="34"/>
  <c r="X38" i="34"/>
  <c r="Y38" i="34"/>
  <c r="AA38" i="34"/>
  <c r="AC38" i="34"/>
  <c r="AD38" i="34"/>
  <c r="AE38" i="34"/>
  <c r="AF38" i="34"/>
  <c r="AI38" i="34"/>
  <c r="AJ38" i="34"/>
  <c r="AK38" i="34"/>
  <c r="AL38" i="34"/>
  <c r="AM38" i="34"/>
  <c r="AN38" i="34"/>
  <c r="AO38" i="34"/>
  <c r="AP38" i="34"/>
  <c r="AQ38" i="34"/>
  <c r="AR38" i="34"/>
  <c r="AS38" i="34"/>
  <c r="AT38" i="34"/>
  <c r="AU38" i="34"/>
  <c r="AV38" i="34"/>
  <c r="AW38" i="34"/>
  <c r="AX38" i="34"/>
  <c r="AY38" i="34"/>
  <c r="AZ38" i="34"/>
  <c r="BA38" i="34"/>
  <c r="BB38" i="34"/>
  <c r="BC38" i="34"/>
  <c r="BD38" i="34"/>
  <c r="BF38" i="34"/>
  <c r="BG38" i="34"/>
  <c r="BH38" i="34"/>
  <c r="BI38" i="34"/>
  <c r="BJ38" i="34"/>
  <c r="BK38" i="34"/>
  <c r="BL38" i="34"/>
  <c r="BM38" i="34"/>
  <c r="BN38" i="34"/>
  <c r="BO38" i="34"/>
  <c r="BP38" i="34"/>
  <c r="BQ38" i="34"/>
  <c r="BR38" i="34"/>
  <c r="BS38" i="34"/>
  <c r="BT38" i="34"/>
  <c r="BU38" i="34"/>
  <c r="BV38" i="34"/>
  <c r="BW38" i="34"/>
  <c r="BX38" i="34"/>
  <c r="BY38" i="34"/>
  <c r="BZ38" i="34"/>
  <c r="CA38" i="34"/>
  <c r="CC38" i="34"/>
  <c r="CD38" i="34"/>
  <c r="CE38" i="34"/>
  <c r="CF38" i="34"/>
  <c r="CG38" i="34"/>
  <c r="CH38" i="34"/>
  <c r="CI38" i="34"/>
  <c r="CJ38" i="34"/>
  <c r="CK38" i="34"/>
  <c r="CL38" i="34"/>
  <c r="CM38" i="34"/>
  <c r="CN38" i="34"/>
  <c r="CO38" i="34"/>
  <c r="CP38" i="34"/>
  <c r="CQ38" i="34"/>
  <c r="CR38" i="34"/>
  <c r="CS38" i="34"/>
  <c r="CT38" i="34"/>
  <c r="CU38" i="34"/>
  <c r="CV38" i="34"/>
  <c r="CW38" i="34"/>
  <c r="CX38" i="34"/>
  <c r="G39" i="34"/>
  <c r="H39" i="34"/>
  <c r="I39" i="34"/>
  <c r="J39" i="34"/>
  <c r="K39" i="34"/>
  <c r="L39" i="34"/>
  <c r="M39" i="34"/>
  <c r="N39" i="34"/>
  <c r="O39" i="34"/>
  <c r="Q39" i="34"/>
  <c r="S39" i="34"/>
  <c r="T39" i="34"/>
  <c r="U39" i="34"/>
  <c r="V39" i="34"/>
  <c r="W39" i="34"/>
  <c r="X39" i="34"/>
  <c r="Y39" i="34"/>
  <c r="AA39" i="34"/>
  <c r="AC39" i="34"/>
  <c r="AD39" i="34"/>
  <c r="AE39" i="34"/>
  <c r="AF39" i="34"/>
  <c r="AI39" i="34"/>
  <c r="AJ39" i="34"/>
  <c r="AK39" i="34"/>
  <c r="AL39" i="34"/>
  <c r="AM39" i="34"/>
  <c r="AN39" i="34"/>
  <c r="AO39" i="34"/>
  <c r="AP39" i="34"/>
  <c r="AQ39" i="34"/>
  <c r="AR39" i="34"/>
  <c r="AS39" i="34"/>
  <c r="AT39" i="34"/>
  <c r="AU39" i="34"/>
  <c r="AV39" i="34"/>
  <c r="AW39" i="34"/>
  <c r="AX39" i="34"/>
  <c r="AY39" i="34"/>
  <c r="AZ39" i="34"/>
  <c r="BA39" i="34"/>
  <c r="BB39" i="34"/>
  <c r="BC39" i="34"/>
  <c r="BD39" i="34"/>
  <c r="BF39" i="34"/>
  <c r="BG39" i="34"/>
  <c r="BH39" i="34"/>
  <c r="BI39" i="34"/>
  <c r="BJ39" i="34"/>
  <c r="BK39" i="34"/>
  <c r="BL39" i="34"/>
  <c r="BM39" i="34"/>
  <c r="BN39" i="34"/>
  <c r="BO39" i="34"/>
  <c r="BP39" i="34"/>
  <c r="BQ39" i="34"/>
  <c r="BR39" i="34"/>
  <c r="BS39" i="34"/>
  <c r="BT39" i="34"/>
  <c r="BU39" i="34"/>
  <c r="BV39" i="34"/>
  <c r="BW39" i="34"/>
  <c r="BX39" i="34"/>
  <c r="BY39" i="34"/>
  <c r="BZ39" i="34"/>
  <c r="CA39" i="34"/>
  <c r="CC39" i="34"/>
  <c r="CD39" i="34"/>
  <c r="CE39" i="34"/>
  <c r="CF39" i="34"/>
  <c r="CG39" i="34"/>
  <c r="CH39" i="34"/>
  <c r="CI39" i="34"/>
  <c r="CJ39" i="34"/>
  <c r="CK39" i="34"/>
  <c r="CL39" i="34"/>
  <c r="CM39" i="34"/>
  <c r="CN39" i="34"/>
  <c r="CO39" i="34"/>
  <c r="CP39" i="34"/>
  <c r="CQ39" i="34"/>
  <c r="CR39" i="34"/>
  <c r="CS39" i="34"/>
  <c r="CT39" i="34"/>
  <c r="CU39" i="34"/>
  <c r="CV39" i="34"/>
  <c r="CW39" i="34"/>
  <c r="CX39" i="34"/>
  <c r="G40" i="34"/>
  <c r="H40" i="34"/>
  <c r="I40" i="34"/>
  <c r="J40" i="34"/>
  <c r="K40" i="34"/>
  <c r="L40" i="34"/>
  <c r="M40" i="34"/>
  <c r="N40" i="34"/>
  <c r="O40" i="34"/>
  <c r="Q40" i="34"/>
  <c r="S40" i="34"/>
  <c r="T40" i="34"/>
  <c r="U40" i="34"/>
  <c r="V40" i="34"/>
  <c r="W40" i="34"/>
  <c r="X40" i="34"/>
  <c r="Y40" i="34"/>
  <c r="AA40" i="34"/>
  <c r="AC40" i="34"/>
  <c r="AD40" i="34"/>
  <c r="AE40" i="34"/>
  <c r="AF40" i="34"/>
  <c r="AI40" i="34"/>
  <c r="AJ40" i="34"/>
  <c r="AK40" i="34"/>
  <c r="AL40" i="34"/>
  <c r="AM40" i="34"/>
  <c r="AN40" i="34"/>
  <c r="AO40" i="34"/>
  <c r="AP40" i="34"/>
  <c r="AQ40" i="34"/>
  <c r="AR40" i="34"/>
  <c r="AS40" i="34"/>
  <c r="AT40" i="34"/>
  <c r="AU40" i="34"/>
  <c r="AV40" i="34"/>
  <c r="AW40" i="34"/>
  <c r="AX40" i="34"/>
  <c r="AY40" i="34"/>
  <c r="AZ40" i="34"/>
  <c r="BA40" i="34"/>
  <c r="BB40" i="34"/>
  <c r="BC40" i="34"/>
  <c r="BD40" i="34"/>
  <c r="BF40" i="34"/>
  <c r="BG40" i="34"/>
  <c r="BH40" i="34"/>
  <c r="BI40" i="34"/>
  <c r="BJ40" i="34"/>
  <c r="BK40" i="34"/>
  <c r="BL40" i="34"/>
  <c r="BM40" i="34"/>
  <c r="BN40" i="34"/>
  <c r="BO40" i="34"/>
  <c r="BP40" i="34"/>
  <c r="BQ40" i="34"/>
  <c r="BR40" i="34"/>
  <c r="BS40" i="34"/>
  <c r="BT40" i="34"/>
  <c r="BU40" i="34"/>
  <c r="BV40" i="34"/>
  <c r="BW40" i="34"/>
  <c r="BX40" i="34"/>
  <c r="BY40" i="34"/>
  <c r="BZ40" i="34"/>
  <c r="CA40" i="34"/>
  <c r="CC40" i="34"/>
  <c r="CD40" i="34"/>
  <c r="CE40" i="34"/>
  <c r="CF40" i="34"/>
  <c r="CG40" i="34"/>
  <c r="CH40" i="34"/>
  <c r="CI40" i="34"/>
  <c r="CJ40" i="34"/>
  <c r="CK40" i="34"/>
  <c r="CL40" i="34"/>
  <c r="CM40" i="34"/>
  <c r="CN40" i="34"/>
  <c r="CO40" i="34"/>
  <c r="CP40" i="34"/>
  <c r="CQ40" i="34"/>
  <c r="CR40" i="34"/>
  <c r="CS40" i="34"/>
  <c r="CT40" i="34"/>
  <c r="CU40" i="34"/>
  <c r="CV40" i="34"/>
  <c r="CW40" i="34"/>
  <c r="CX40" i="34"/>
  <c r="G21" i="58"/>
  <c r="H21" i="58"/>
  <c r="I21" i="58"/>
  <c r="J21" i="58"/>
  <c r="K21" i="58"/>
  <c r="L21" i="58"/>
  <c r="M21" i="58"/>
  <c r="N21" i="58"/>
  <c r="O21" i="58"/>
  <c r="Q21" i="58"/>
  <c r="S21" i="58"/>
  <c r="T21" i="58"/>
  <c r="U21" i="58"/>
  <c r="V21" i="58"/>
  <c r="W21" i="58"/>
  <c r="X21" i="58"/>
  <c r="Y21" i="58"/>
  <c r="AA21" i="58"/>
  <c r="AC21" i="58"/>
  <c r="AD21" i="58"/>
  <c r="AE21" i="58"/>
  <c r="AF21" i="58"/>
  <c r="AI21" i="58"/>
  <c r="AJ21" i="58"/>
  <c r="AK21" i="58"/>
  <c r="AL21" i="58"/>
  <c r="AM21" i="58"/>
  <c r="AN21" i="58"/>
  <c r="AO21" i="58"/>
  <c r="AP21" i="58"/>
  <c r="AQ21" i="58"/>
  <c r="AR21" i="58"/>
  <c r="AS21" i="58"/>
  <c r="AT21" i="58"/>
  <c r="AU21" i="58"/>
  <c r="AV21" i="58"/>
  <c r="AW21" i="58"/>
  <c r="AX21" i="58"/>
  <c r="AY21" i="58"/>
  <c r="AZ21" i="58"/>
  <c r="BA21" i="58"/>
  <c r="BB21" i="58"/>
  <c r="BC21" i="58"/>
  <c r="BD21" i="58"/>
  <c r="BF21" i="58"/>
  <c r="BG21" i="58"/>
  <c r="BH21" i="58"/>
  <c r="BI21" i="58"/>
  <c r="BJ21" i="58"/>
  <c r="BK21" i="58"/>
  <c r="BL21" i="58"/>
  <c r="BM21" i="58"/>
  <c r="BN21" i="58"/>
  <c r="BO21" i="58"/>
  <c r="BP21" i="58"/>
  <c r="BQ21" i="58"/>
  <c r="BR21" i="58"/>
  <c r="BS21" i="58"/>
  <c r="BT21" i="58"/>
  <c r="BU21" i="58"/>
  <c r="BV21" i="58"/>
  <c r="BW21" i="58"/>
  <c r="BX21" i="58"/>
  <c r="BY21" i="58"/>
  <c r="BZ21" i="58"/>
  <c r="CA21" i="58"/>
  <c r="CC21" i="58"/>
  <c r="CD21" i="58"/>
  <c r="CE21" i="58"/>
  <c r="CF21" i="58"/>
  <c r="CG21" i="58"/>
  <c r="CH21" i="58"/>
  <c r="CI21" i="58"/>
  <c r="CJ21" i="58"/>
  <c r="CK21" i="58"/>
  <c r="CL21" i="58"/>
  <c r="CM21" i="58"/>
  <c r="CN21" i="58"/>
  <c r="CO21" i="58"/>
  <c r="CP21" i="58"/>
  <c r="CQ21" i="58"/>
  <c r="CR21" i="58"/>
  <c r="CS21" i="58"/>
  <c r="CT21" i="58"/>
  <c r="CU21" i="58"/>
  <c r="CV21" i="58"/>
  <c r="CW21" i="58"/>
  <c r="CX21" i="58"/>
  <c r="G22" i="58"/>
  <c r="H22" i="58"/>
  <c r="I22" i="58"/>
  <c r="J22" i="58"/>
  <c r="K22" i="58"/>
  <c r="L22" i="58"/>
  <c r="M22" i="58"/>
  <c r="N22" i="58"/>
  <c r="O22" i="58"/>
  <c r="Q22" i="58"/>
  <c r="S22" i="58"/>
  <c r="T22" i="58"/>
  <c r="U22" i="58"/>
  <c r="V22" i="58"/>
  <c r="W22" i="58"/>
  <c r="X22" i="58"/>
  <c r="Y22" i="58"/>
  <c r="AA22" i="58"/>
  <c r="AC22" i="58"/>
  <c r="AD22" i="58"/>
  <c r="AE22" i="58"/>
  <c r="AF22" i="58"/>
  <c r="AI22" i="58"/>
  <c r="AJ22" i="58"/>
  <c r="AK22" i="58"/>
  <c r="AL22" i="58"/>
  <c r="AM22" i="58"/>
  <c r="AN22" i="58"/>
  <c r="AO22" i="58"/>
  <c r="AP22" i="58"/>
  <c r="AQ22" i="58"/>
  <c r="AR22" i="58"/>
  <c r="AS22" i="58"/>
  <c r="AT22" i="58"/>
  <c r="AU22" i="58"/>
  <c r="AV22" i="58"/>
  <c r="AW22" i="58"/>
  <c r="AX22" i="58"/>
  <c r="AY22" i="58"/>
  <c r="AZ22" i="58"/>
  <c r="BA22" i="58"/>
  <c r="BB22" i="58"/>
  <c r="BC22" i="58"/>
  <c r="BD22" i="58"/>
  <c r="BF22" i="58"/>
  <c r="BG22" i="58"/>
  <c r="BH22" i="58"/>
  <c r="BI22" i="58"/>
  <c r="BJ22" i="58"/>
  <c r="BK22" i="58"/>
  <c r="BL22" i="58"/>
  <c r="BM22" i="58"/>
  <c r="BN22" i="58"/>
  <c r="BO22" i="58"/>
  <c r="BP22" i="58"/>
  <c r="BQ22" i="58"/>
  <c r="BR22" i="58"/>
  <c r="BS22" i="58"/>
  <c r="BT22" i="58"/>
  <c r="BU22" i="58"/>
  <c r="BV22" i="58"/>
  <c r="BW22" i="58"/>
  <c r="BX22" i="58"/>
  <c r="BY22" i="58"/>
  <c r="BZ22" i="58"/>
  <c r="CA22" i="58"/>
  <c r="CC22" i="58"/>
  <c r="CD22" i="58"/>
  <c r="CE22" i="58"/>
  <c r="CF22" i="58"/>
  <c r="CG22" i="58"/>
  <c r="CH22" i="58"/>
  <c r="CI22" i="58"/>
  <c r="CJ22" i="58"/>
  <c r="CK22" i="58"/>
  <c r="CL22" i="58"/>
  <c r="CM22" i="58"/>
  <c r="CN22" i="58"/>
  <c r="CO22" i="58"/>
  <c r="CP22" i="58"/>
  <c r="CQ22" i="58"/>
  <c r="CR22" i="58"/>
  <c r="CS22" i="58"/>
  <c r="CT22" i="58"/>
  <c r="CU22" i="58"/>
  <c r="CV22" i="58"/>
  <c r="CW22" i="58"/>
  <c r="CX22" i="58"/>
  <c r="G23" i="58"/>
  <c r="H23" i="58"/>
  <c r="I23" i="58"/>
  <c r="J23" i="58"/>
  <c r="K23" i="58"/>
  <c r="L23" i="58"/>
  <c r="M23" i="58"/>
  <c r="N23" i="58"/>
  <c r="O23" i="58"/>
  <c r="Q23" i="58"/>
  <c r="S23" i="58"/>
  <c r="T23" i="58"/>
  <c r="U23" i="58"/>
  <c r="V23" i="58"/>
  <c r="W23" i="58"/>
  <c r="X23" i="58"/>
  <c r="Y23" i="58"/>
  <c r="AA23" i="58"/>
  <c r="AC23" i="58"/>
  <c r="AD23" i="58"/>
  <c r="AE23" i="58"/>
  <c r="AF23" i="58"/>
  <c r="AI23" i="58"/>
  <c r="AJ23" i="58"/>
  <c r="AK23" i="58"/>
  <c r="AL23" i="58"/>
  <c r="AM23" i="58"/>
  <c r="AN23" i="58"/>
  <c r="AO23" i="58"/>
  <c r="AP23" i="58"/>
  <c r="AQ23" i="58"/>
  <c r="AR23" i="58"/>
  <c r="AS23" i="58"/>
  <c r="AT23" i="58"/>
  <c r="AU23" i="58"/>
  <c r="AV23" i="58"/>
  <c r="AW23" i="58"/>
  <c r="AX23" i="58"/>
  <c r="AY23" i="58"/>
  <c r="AZ23" i="58"/>
  <c r="BA23" i="58"/>
  <c r="BB23" i="58"/>
  <c r="BC23" i="58"/>
  <c r="BD23" i="58"/>
  <c r="BF23" i="58"/>
  <c r="BG23" i="58"/>
  <c r="BH23" i="58"/>
  <c r="BI23" i="58"/>
  <c r="BJ23" i="58"/>
  <c r="BK23" i="58"/>
  <c r="BL23" i="58"/>
  <c r="BM23" i="58"/>
  <c r="BN23" i="58"/>
  <c r="BO23" i="58"/>
  <c r="BP23" i="58"/>
  <c r="BQ23" i="58"/>
  <c r="BR23" i="58"/>
  <c r="BS23" i="58"/>
  <c r="BT23" i="58"/>
  <c r="BU23" i="58"/>
  <c r="BV23" i="58"/>
  <c r="BW23" i="58"/>
  <c r="BX23" i="58"/>
  <c r="BY23" i="58"/>
  <c r="BZ23" i="58"/>
  <c r="CA23" i="58"/>
  <c r="CC23" i="58"/>
  <c r="CD23" i="58"/>
  <c r="CE23" i="58"/>
  <c r="CF23" i="58"/>
  <c r="CG23" i="58"/>
  <c r="CH23" i="58"/>
  <c r="CI23" i="58"/>
  <c r="CJ23" i="58"/>
  <c r="CK23" i="58"/>
  <c r="CL23" i="58"/>
  <c r="CM23" i="58"/>
  <c r="CN23" i="58"/>
  <c r="CO23" i="58"/>
  <c r="CP23" i="58"/>
  <c r="CQ23" i="58"/>
  <c r="CR23" i="58"/>
  <c r="CS23" i="58"/>
  <c r="CT23" i="58"/>
  <c r="CU23" i="58"/>
  <c r="CV23" i="58"/>
  <c r="CW23" i="58"/>
  <c r="CX23" i="58"/>
  <c r="G24" i="58"/>
  <c r="H24" i="58"/>
  <c r="I24" i="58"/>
  <c r="J24" i="58"/>
  <c r="K24" i="58"/>
  <c r="L24" i="58"/>
  <c r="M24" i="58"/>
  <c r="N24" i="58"/>
  <c r="O24" i="58"/>
  <c r="Q24" i="58"/>
  <c r="S24" i="58"/>
  <c r="T24" i="58"/>
  <c r="U24" i="58"/>
  <c r="V24" i="58"/>
  <c r="W24" i="58"/>
  <c r="X24" i="58"/>
  <c r="Y24" i="58"/>
  <c r="AA24" i="58"/>
  <c r="AC24" i="58"/>
  <c r="AD24" i="58"/>
  <c r="AE24" i="58"/>
  <c r="AF24" i="58"/>
  <c r="AI24" i="58"/>
  <c r="AJ24" i="58"/>
  <c r="AK24" i="58"/>
  <c r="AL24" i="58"/>
  <c r="AM24" i="58"/>
  <c r="AN24" i="58"/>
  <c r="AO24" i="58"/>
  <c r="AP24" i="58"/>
  <c r="AQ24" i="58"/>
  <c r="AR24" i="58"/>
  <c r="AS24" i="58"/>
  <c r="AT24" i="58"/>
  <c r="AU24" i="58"/>
  <c r="AV24" i="58"/>
  <c r="AW24" i="58"/>
  <c r="AX24" i="58"/>
  <c r="AY24" i="58"/>
  <c r="AZ24" i="58"/>
  <c r="BA24" i="58"/>
  <c r="BB24" i="58"/>
  <c r="BC24" i="58"/>
  <c r="BD24" i="58"/>
  <c r="BF24" i="58"/>
  <c r="BG24" i="58"/>
  <c r="BH24" i="58"/>
  <c r="BI24" i="58"/>
  <c r="BJ24" i="58"/>
  <c r="BK24" i="58"/>
  <c r="BL24" i="58"/>
  <c r="BM24" i="58"/>
  <c r="BN24" i="58"/>
  <c r="BO24" i="58"/>
  <c r="BP24" i="58"/>
  <c r="BQ24" i="58"/>
  <c r="BR24" i="58"/>
  <c r="BS24" i="58"/>
  <c r="BT24" i="58"/>
  <c r="BU24" i="58"/>
  <c r="BV24" i="58"/>
  <c r="BW24" i="58"/>
  <c r="BX24" i="58"/>
  <c r="BY24" i="58"/>
  <c r="BZ24" i="58"/>
  <c r="CA24" i="58"/>
  <c r="CC24" i="58"/>
  <c r="CD24" i="58"/>
  <c r="CE24" i="58"/>
  <c r="CF24" i="58"/>
  <c r="CG24" i="58"/>
  <c r="CH24" i="58"/>
  <c r="CI24" i="58"/>
  <c r="CJ24" i="58"/>
  <c r="CK24" i="58"/>
  <c r="CL24" i="58"/>
  <c r="CM24" i="58"/>
  <c r="CN24" i="58"/>
  <c r="CO24" i="58"/>
  <c r="CP24" i="58"/>
  <c r="CQ24" i="58"/>
  <c r="CR24" i="58"/>
  <c r="CS24" i="58"/>
  <c r="CT24" i="58"/>
  <c r="CU24" i="58"/>
  <c r="CV24" i="58"/>
  <c r="CW24" i="58"/>
  <c r="CX24" i="58"/>
  <c r="G25" i="58"/>
  <c r="H25" i="58"/>
  <c r="I25" i="58"/>
  <c r="J25" i="58"/>
  <c r="K25" i="58"/>
  <c r="L25" i="58"/>
  <c r="M25" i="58"/>
  <c r="N25" i="58"/>
  <c r="O25" i="58"/>
  <c r="Q25" i="58"/>
  <c r="S25" i="58"/>
  <c r="T25" i="58"/>
  <c r="U25" i="58"/>
  <c r="V25" i="58"/>
  <c r="W25" i="58"/>
  <c r="X25" i="58"/>
  <c r="Y25" i="58"/>
  <c r="AA25" i="58"/>
  <c r="AC25" i="58"/>
  <c r="AD25" i="58"/>
  <c r="AE25" i="58"/>
  <c r="AF25" i="58"/>
  <c r="AI25" i="58"/>
  <c r="AJ25" i="58"/>
  <c r="AK25" i="58"/>
  <c r="AL25" i="58"/>
  <c r="AM25" i="58"/>
  <c r="AN25" i="58"/>
  <c r="AO25" i="58"/>
  <c r="AP25" i="58"/>
  <c r="AQ25" i="58"/>
  <c r="AR25" i="58"/>
  <c r="AS25" i="58"/>
  <c r="AT25" i="58"/>
  <c r="AU25" i="58"/>
  <c r="AV25" i="58"/>
  <c r="AW25" i="58"/>
  <c r="AX25" i="58"/>
  <c r="AY25" i="58"/>
  <c r="AZ25" i="58"/>
  <c r="BA25" i="58"/>
  <c r="BB25" i="58"/>
  <c r="BC25" i="58"/>
  <c r="BD25" i="58"/>
  <c r="BF25" i="58"/>
  <c r="BG25" i="58"/>
  <c r="BH25" i="58"/>
  <c r="BI25" i="58"/>
  <c r="BJ25" i="58"/>
  <c r="BK25" i="58"/>
  <c r="BL25" i="58"/>
  <c r="BM25" i="58"/>
  <c r="BN25" i="58"/>
  <c r="BO25" i="58"/>
  <c r="BP25" i="58"/>
  <c r="BQ25" i="58"/>
  <c r="BR25" i="58"/>
  <c r="BS25" i="58"/>
  <c r="BT25" i="58"/>
  <c r="BU25" i="58"/>
  <c r="BV25" i="58"/>
  <c r="BW25" i="58"/>
  <c r="BX25" i="58"/>
  <c r="BY25" i="58"/>
  <c r="BZ25" i="58"/>
  <c r="CA25" i="58"/>
  <c r="CC25" i="58"/>
  <c r="CD25" i="58"/>
  <c r="CE25" i="58"/>
  <c r="CF25" i="58"/>
  <c r="CG25" i="58"/>
  <c r="CH25" i="58"/>
  <c r="CI25" i="58"/>
  <c r="CJ25" i="58"/>
  <c r="CK25" i="58"/>
  <c r="CL25" i="58"/>
  <c r="CM25" i="58"/>
  <c r="CN25" i="58"/>
  <c r="CO25" i="58"/>
  <c r="CP25" i="58"/>
  <c r="CQ25" i="58"/>
  <c r="CR25" i="58"/>
  <c r="CS25" i="58"/>
  <c r="CT25" i="58"/>
  <c r="CU25" i="58"/>
  <c r="CV25" i="58"/>
  <c r="CW25" i="58"/>
  <c r="CX25" i="58"/>
  <c r="G26" i="58"/>
  <c r="H26" i="58"/>
  <c r="I26" i="58"/>
  <c r="J26" i="58"/>
  <c r="K26" i="58"/>
  <c r="L26" i="58"/>
  <c r="M26" i="58"/>
  <c r="N26" i="58"/>
  <c r="O26" i="58"/>
  <c r="Q26" i="58"/>
  <c r="S26" i="58"/>
  <c r="T26" i="58"/>
  <c r="U26" i="58"/>
  <c r="V26" i="58"/>
  <c r="W26" i="58"/>
  <c r="X26" i="58"/>
  <c r="Y26" i="58"/>
  <c r="AA26" i="58"/>
  <c r="AC26" i="58"/>
  <c r="AD26" i="58"/>
  <c r="AE26" i="58"/>
  <c r="AF26" i="58"/>
  <c r="AI26" i="58"/>
  <c r="AJ26" i="58"/>
  <c r="AK26" i="58"/>
  <c r="AL26" i="58"/>
  <c r="AM26" i="58"/>
  <c r="AN26" i="58"/>
  <c r="AO26" i="58"/>
  <c r="AP26" i="58"/>
  <c r="AQ26" i="58"/>
  <c r="AR26" i="58"/>
  <c r="AS26" i="58"/>
  <c r="AT26" i="58"/>
  <c r="AU26" i="58"/>
  <c r="AV26" i="58"/>
  <c r="AW26" i="58"/>
  <c r="AX26" i="58"/>
  <c r="AY26" i="58"/>
  <c r="AZ26" i="58"/>
  <c r="BA26" i="58"/>
  <c r="BB26" i="58"/>
  <c r="BC26" i="58"/>
  <c r="BD26" i="58"/>
  <c r="BF26" i="58"/>
  <c r="BG26" i="58"/>
  <c r="BH26" i="58"/>
  <c r="BI26" i="58"/>
  <c r="BJ26" i="58"/>
  <c r="BK26" i="58"/>
  <c r="BL26" i="58"/>
  <c r="BM26" i="58"/>
  <c r="BN26" i="58"/>
  <c r="BO26" i="58"/>
  <c r="BP26" i="58"/>
  <c r="BQ26" i="58"/>
  <c r="BR26" i="58"/>
  <c r="BS26" i="58"/>
  <c r="BT26" i="58"/>
  <c r="BU26" i="58"/>
  <c r="BV26" i="58"/>
  <c r="BW26" i="58"/>
  <c r="BX26" i="58"/>
  <c r="BY26" i="58"/>
  <c r="BZ26" i="58"/>
  <c r="CA26" i="58"/>
  <c r="CC26" i="58"/>
  <c r="CD26" i="58"/>
  <c r="CE26" i="58"/>
  <c r="CF26" i="58"/>
  <c r="CG26" i="58"/>
  <c r="CH26" i="58"/>
  <c r="CI26" i="58"/>
  <c r="CJ26" i="58"/>
  <c r="CK26" i="58"/>
  <c r="CL26" i="58"/>
  <c r="CM26" i="58"/>
  <c r="CN26" i="58"/>
  <c r="CO26" i="58"/>
  <c r="CP26" i="58"/>
  <c r="CQ26" i="58"/>
  <c r="CR26" i="58"/>
  <c r="CS26" i="58"/>
  <c r="CT26" i="58"/>
  <c r="CU26" i="58"/>
  <c r="CV26" i="58"/>
  <c r="CW26" i="58"/>
  <c r="CX26" i="58"/>
  <c r="G27" i="58"/>
  <c r="H27" i="58"/>
  <c r="I27" i="58"/>
  <c r="J27" i="58"/>
  <c r="K27" i="58"/>
  <c r="L27" i="58"/>
  <c r="M27" i="58"/>
  <c r="N27" i="58"/>
  <c r="O27" i="58"/>
  <c r="Q27" i="58"/>
  <c r="S27" i="58"/>
  <c r="T27" i="58"/>
  <c r="U27" i="58"/>
  <c r="V27" i="58"/>
  <c r="W27" i="58"/>
  <c r="X27" i="58"/>
  <c r="Y27" i="58"/>
  <c r="AA27" i="58"/>
  <c r="AC27" i="58"/>
  <c r="AD27" i="58"/>
  <c r="AE27" i="58"/>
  <c r="AF27" i="58"/>
  <c r="AI27" i="58"/>
  <c r="AJ27" i="58"/>
  <c r="AK27" i="58"/>
  <c r="AL27" i="58"/>
  <c r="AM27" i="58"/>
  <c r="AN27" i="58"/>
  <c r="AO27" i="58"/>
  <c r="AP27" i="58"/>
  <c r="AQ27" i="58"/>
  <c r="AR27" i="58"/>
  <c r="AS27" i="58"/>
  <c r="AT27" i="58"/>
  <c r="AU27" i="58"/>
  <c r="AV27" i="58"/>
  <c r="AW27" i="58"/>
  <c r="AX27" i="58"/>
  <c r="AY27" i="58"/>
  <c r="AZ27" i="58"/>
  <c r="BA27" i="58"/>
  <c r="BB27" i="58"/>
  <c r="BC27" i="58"/>
  <c r="BD27" i="58"/>
  <c r="BF27" i="58"/>
  <c r="BG27" i="58"/>
  <c r="BH27" i="58"/>
  <c r="BI27" i="58"/>
  <c r="BJ27" i="58"/>
  <c r="BK27" i="58"/>
  <c r="BL27" i="58"/>
  <c r="BM27" i="58"/>
  <c r="BN27" i="58"/>
  <c r="BO27" i="58"/>
  <c r="BP27" i="58"/>
  <c r="BQ27" i="58"/>
  <c r="BR27" i="58"/>
  <c r="BS27" i="58"/>
  <c r="BT27" i="58"/>
  <c r="BU27" i="58"/>
  <c r="BV27" i="58"/>
  <c r="BW27" i="58"/>
  <c r="BX27" i="58"/>
  <c r="BY27" i="58"/>
  <c r="BZ27" i="58"/>
  <c r="CA27" i="58"/>
  <c r="CC27" i="58"/>
  <c r="CD27" i="58"/>
  <c r="CE27" i="58"/>
  <c r="CF27" i="58"/>
  <c r="CG27" i="58"/>
  <c r="CH27" i="58"/>
  <c r="CI27" i="58"/>
  <c r="CJ27" i="58"/>
  <c r="CK27" i="58"/>
  <c r="CL27" i="58"/>
  <c r="CM27" i="58"/>
  <c r="CN27" i="58"/>
  <c r="CO27" i="58"/>
  <c r="CP27" i="58"/>
  <c r="CQ27" i="58"/>
  <c r="CR27" i="58"/>
  <c r="CS27" i="58"/>
  <c r="CT27" i="58"/>
  <c r="CU27" i="58"/>
  <c r="CV27" i="58"/>
  <c r="CW27" i="58"/>
  <c r="CX27" i="58"/>
  <c r="G28" i="58"/>
  <c r="H28" i="58"/>
  <c r="I28" i="58"/>
  <c r="J28" i="58"/>
  <c r="K28" i="58"/>
  <c r="L28" i="58"/>
  <c r="M28" i="58"/>
  <c r="N28" i="58"/>
  <c r="O28" i="58"/>
  <c r="Q28" i="58"/>
  <c r="S28" i="58"/>
  <c r="T28" i="58"/>
  <c r="U28" i="58"/>
  <c r="V28" i="58"/>
  <c r="W28" i="58"/>
  <c r="X28" i="58"/>
  <c r="Y28" i="58"/>
  <c r="AA28" i="58"/>
  <c r="AC28" i="58"/>
  <c r="AD28" i="58"/>
  <c r="AE28" i="58"/>
  <c r="AF28" i="58"/>
  <c r="AI28" i="58"/>
  <c r="AJ28" i="58"/>
  <c r="AK28" i="58"/>
  <c r="AL28" i="58"/>
  <c r="AM28" i="58"/>
  <c r="AN28" i="58"/>
  <c r="AO28" i="58"/>
  <c r="AP28" i="58"/>
  <c r="AQ28" i="58"/>
  <c r="AR28" i="58"/>
  <c r="AS28" i="58"/>
  <c r="AT28" i="58"/>
  <c r="AU28" i="58"/>
  <c r="AV28" i="58"/>
  <c r="AW28" i="58"/>
  <c r="AX28" i="58"/>
  <c r="AY28" i="58"/>
  <c r="AZ28" i="58"/>
  <c r="BA28" i="58"/>
  <c r="BB28" i="58"/>
  <c r="BC28" i="58"/>
  <c r="BD28" i="58"/>
  <c r="BF28" i="58"/>
  <c r="BG28" i="58"/>
  <c r="BH28" i="58"/>
  <c r="BI28" i="58"/>
  <c r="BJ28" i="58"/>
  <c r="BK28" i="58"/>
  <c r="BL28" i="58"/>
  <c r="BM28" i="58"/>
  <c r="BN28" i="58"/>
  <c r="BO28" i="58"/>
  <c r="BP28" i="58"/>
  <c r="BQ28" i="58"/>
  <c r="BR28" i="58"/>
  <c r="BS28" i="58"/>
  <c r="BT28" i="58"/>
  <c r="BU28" i="58"/>
  <c r="BV28" i="58"/>
  <c r="BW28" i="58"/>
  <c r="BX28" i="58"/>
  <c r="BY28" i="58"/>
  <c r="BZ28" i="58"/>
  <c r="CA28" i="58"/>
  <c r="CC28" i="58"/>
  <c r="CD28" i="58"/>
  <c r="CE28" i="58"/>
  <c r="CF28" i="58"/>
  <c r="CG28" i="58"/>
  <c r="CH28" i="58"/>
  <c r="CI28" i="58"/>
  <c r="CJ28" i="58"/>
  <c r="CK28" i="58"/>
  <c r="CL28" i="58"/>
  <c r="CM28" i="58"/>
  <c r="CN28" i="58"/>
  <c r="CO28" i="58"/>
  <c r="CP28" i="58"/>
  <c r="CQ28" i="58"/>
  <c r="CR28" i="58"/>
  <c r="CS28" i="58"/>
  <c r="CT28" i="58"/>
  <c r="CU28" i="58"/>
  <c r="CV28" i="58"/>
  <c r="CW28" i="58"/>
  <c r="CX28" i="58"/>
  <c r="G29" i="58"/>
  <c r="H29" i="58"/>
  <c r="I29" i="58"/>
  <c r="J29" i="58"/>
  <c r="K29" i="58"/>
  <c r="L29" i="58"/>
  <c r="M29" i="58"/>
  <c r="N29" i="58"/>
  <c r="O29" i="58"/>
  <c r="Q29" i="58"/>
  <c r="S29" i="58"/>
  <c r="T29" i="58"/>
  <c r="U29" i="58"/>
  <c r="V29" i="58"/>
  <c r="W29" i="58"/>
  <c r="X29" i="58"/>
  <c r="Y29" i="58"/>
  <c r="AA29" i="58"/>
  <c r="AC29" i="58"/>
  <c r="AD29" i="58"/>
  <c r="AE29" i="58"/>
  <c r="AF29" i="58"/>
  <c r="AI29" i="58"/>
  <c r="AJ29" i="58"/>
  <c r="AK29" i="58"/>
  <c r="AL29" i="58"/>
  <c r="AM29" i="58"/>
  <c r="AN29" i="58"/>
  <c r="AO29" i="58"/>
  <c r="AP29" i="58"/>
  <c r="AQ29" i="58"/>
  <c r="AR29" i="58"/>
  <c r="AS29" i="58"/>
  <c r="AT29" i="58"/>
  <c r="AU29" i="58"/>
  <c r="AV29" i="58"/>
  <c r="AW29" i="58"/>
  <c r="AX29" i="58"/>
  <c r="AY29" i="58"/>
  <c r="AZ29" i="58"/>
  <c r="BA29" i="58"/>
  <c r="BB29" i="58"/>
  <c r="BC29" i="58"/>
  <c r="BD29" i="58"/>
  <c r="BF29" i="58"/>
  <c r="BG29" i="58"/>
  <c r="BH29" i="58"/>
  <c r="BI29" i="58"/>
  <c r="BJ29" i="58"/>
  <c r="BK29" i="58"/>
  <c r="BL29" i="58"/>
  <c r="BM29" i="58"/>
  <c r="BN29" i="58"/>
  <c r="BO29" i="58"/>
  <c r="BP29" i="58"/>
  <c r="BQ29" i="58"/>
  <c r="BR29" i="58"/>
  <c r="BS29" i="58"/>
  <c r="BT29" i="58"/>
  <c r="BU29" i="58"/>
  <c r="BV29" i="58"/>
  <c r="BW29" i="58"/>
  <c r="BX29" i="58"/>
  <c r="BY29" i="58"/>
  <c r="BZ29" i="58"/>
  <c r="CA29" i="58"/>
  <c r="CC29" i="58"/>
  <c r="CD29" i="58"/>
  <c r="CE29" i="58"/>
  <c r="CF29" i="58"/>
  <c r="CG29" i="58"/>
  <c r="CH29" i="58"/>
  <c r="CI29" i="58"/>
  <c r="CJ29" i="58"/>
  <c r="CK29" i="58"/>
  <c r="CL29" i="58"/>
  <c r="CM29" i="58"/>
  <c r="CN29" i="58"/>
  <c r="CO29" i="58"/>
  <c r="CP29" i="58"/>
  <c r="CQ29" i="58"/>
  <c r="CR29" i="58"/>
  <c r="CS29" i="58"/>
  <c r="CT29" i="58"/>
  <c r="CU29" i="58"/>
  <c r="CV29" i="58"/>
  <c r="CW29" i="58"/>
  <c r="CX29" i="58"/>
  <c r="G30" i="58"/>
  <c r="H30" i="58"/>
  <c r="I30" i="58"/>
  <c r="J30" i="58"/>
  <c r="K30" i="58"/>
  <c r="L30" i="58"/>
  <c r="M30" i="58"/>
  <c r="N30" i="58"/>
  <c r="O30" i="58"/>
  <c r="Q30" i="58"/>
  <c r="S30" i="58"/>
  <c r="T30" i="58"/>
  <c r="U30" i="58"/>
  <c r="V30" i="58"/>
  <c r="W30" i="58"/>
  <c r="X30" i="58"/>
  <c r="Y30" i="58"/>
  <c r="AA30" i="58"/>
  <c r="AC30" i="58"/>
  <c r="AD30" i="58"/>
  <c r="AE30" i="58"/>
  <c r="AF30" i="58"/>
  <c r="AI30" i="58"/>
  <c r="AJ30" i="58"/>
  <c r="AK30" i="58"/>
  <c r="AL30" i="58"/>
  <c r="AM30" i="58"/>
  <c r="AN30" i="58"/>
  <c r="AO30" i="58"/>
  <c r="AP30" i="58"/>
  <c r="AQ30" i="58"/>
  <c r="AR30" i="58"/>
  <c r="AS30" i="58"/>
  <c r="AT30" i="58"/>
  <c r="AU30" i="58"/>
  <c r="AV30" i="58"/>
  <c r="AW30" i="58"/>
  <c r="AX30" i="58"/>
  <c r="AY30" i="58"/>
  <c r="AZ30" i="58"/>
  <c r="BA30" i="58"/>
  <c r="BB30" i="58"/>
  <c r="BC30" i="58"/>
  <c r="BD30" i="58"/>
  <c r="BF30" i="58"/>
  <c r="BG30" i="58"/>
  <c r="BH30" i="58"/>
  <c r="BI30" i="58"/>
  <c r="BJ30" i="58"/>
  <c r="BK30" i="58"/>
  <c r="BL30" i="58"/>
  <c r="BM30" i="58"/>
  <c r="BN30" i="58"/>
  <c r="BO30" i="58"/>
  <c r="BP30" i="58"/>
  <c r="BQ30" i="58"/>
  <c r="BR30" i="58"/>
  <c r="BS30" i="58"/>
  <c r="BT30" i="58"/>
  <c r="BU30" i="58"/>
  <c r="BV30" i="58"/>
  <c r="BW30" i="58"/>
  <c r="BX30" i="58"/>
  <c r="BY30" i="58"/>
  <c r="BZ30" i="58"/>
  <c r="CA30" i="58"/>
  <c r="CC30" i="58"/>
  <c r="CD30" i="58"/>
  <c r="CE30" i="58"/>
  <c r="CF30" i="58"/>
  <c r="CG30" i="58"/>
  <c r="CH30" i="58"/>
  <c r="CI30" i="58"/>
  <c r="CJ30" i="58"/>
  <c r="CK30" i="58"/>
  <c r="CL30" i="58"/>
  <c r="CM30" i="58"/>
  <c r="CN30" i="58"/>
  <c r="CO30" i="58"/>
  <c r="CP30" i="58"/>
  <c r="CQ30" i="58"/>
  <c r="CR30" i="58"/>
  <c r="CS30" i="58"/>
  <c r="CT30" i="58"/>
  <c r="CU30" i="58"/>
  <c r="CV30" i="58"/>
  <c r="CW30" i="58"/>
  <c r="CX30" i="58"/>
  <c r="G31" i="58"/>
  <c r="H31" i="58"/>
  <c r="I31" i="58"/>
  <c r="J31" i="58"/>
  <c r="K31" i="58"/>
  <c r="L31" i="58"/>
  <c r="M31" i="58"/>
  <c r="N31" i="58"/>
  <c r="O31" i="58"/>
  <c r="Q31" i="58"/>
  <c r="S31" i="58"/>
  <c r="T31" i="58"/>
  <c r="U31" i="58"/>
  <c r="V31" i="58"/>
  <c r="W31" i="58"/>
  <c r="X31" i="58"/>
  <c r="Y31" i="58"/>
  <c r="AA31" i="58"/>
  <c r="AC31" i="58"/>
  <c r="AD31" i="58"/>
  <c r="AE31" i="58"/>
  <c r="AF31" i="58"/>
  <c r="AI31" i="58"/>
  <c r="AJ31" i="58"/>
  <c r="AK31" i="58"/>
  <c r="AL31" i="58"/>
  <c r="AM31" i="58"/>
  <c r="AN31" i="58"/>
  <c r="AO31" i="58"/>
  <c r="AP31" i="58"/>
  <c r="AQ31" i="58"/>
  <c r="AR31" i="58"/>
  <c r="AS31" i="58"/>
  <c r="AT31" i="58"/>
  <c r="AU31" i="58"/>
  <c r="AV31" i="58"/>
  <c r="AW31" i="58"/>
  <c r="AX31" i="58"/>
  <c r="AY31" i="58"/>
  <c r="AZ31" i="58"/>
  <c r="BA31" i="58"/>
  <c r="BB31" i="58"/>
  <c r="BC31" i="58"/>
  <c r="BD31" i="58"/>
  <c r="BF31" i="58"/>
  <c r="BG31" i="58"/>
  <c r="BH31" i="58"/>
  <c r="BI31" i="58"/>
  <c r="BJ31" i="58"/>
  <c r="BK31" i="58"/>
  <c r="BL31" i="58"/>
  <c r="BM31" i="58"/>
  <c r="BN31" i="58"/>
  <c r="BO31" i="58"/>
  <c r="BP31" i="58"/>
  <c r="BQ31" i="58"/>
  <c r="BR31" i="58"/>
  <c r="BS31" i="58"/>
  <c r="BT31" i="58"/>
  <c r="BU31" i="58"/>
  <c r="BV31" i="58"/>
  <c r="BW31" i="58"/>
  <c r="BX31" i="58"/>
  <c r="BY31" i="58"/>
  <c r="BZ31" i="58"/>
  <c r="CA31" i="58"/>
  <c r="CC31" i="58"/>
  <c r="CD31" i="58"/>
  <c r="CE31" i="58"/>
  <c r="CF31" i="58"/>
  <c r="CG31" i="58"/>
  <c r="CH31" i="58"/>
  <c r="CI31" i="58"/>
  <c r="CJ31" i="58"/>
  <c r="CK31" i="58"/>
  <c r="CL31" i="58"/>
  <c r="CM31" i="58"/>
  <c r="CN31" i="58"/>
  <c r="CO31" i="58"/>
  <c r="CP31" i="58"/>
  <c r="CQ31" i="58"/>
  <c r="CR31" i="58"/>
  <c r="CS31" i="58"/>
  <c r="CT31" i="58"/>
  <c r="CU31" i="58"/>
  <c r="CV31" i="58"/>
  <c r="CW31" i="58"/>
  <c r="CX31" i="58"/>
  <c r="G32" i="58"/>
  <c r="H32" i="58"/>
  <c r="I32" i="58"/>
  <c r="J32" i="58"/>
  <c r="K32" i="58"/>
  <c r="L32" i="58"/>
  <c r="M32" i="58"/>
  <c r="N32" i="58"/>
  <c r="O32" i="58"/>
  <c r="Q32" i="58"/>
  <c r="S32" i="58"/>
  <c r="T32" i="58"/>
  <c r="U32" i="58"/>
  <c r="V32" i="58"/>
  <c r="W32" i="58"/>
  <c r="X32" i="58"/>
  <c r="Y32" i="58"/>
  <c r="AA32" i="58"/>
  <c r="AC32" i="58"/>
  <c r="AD32" i="58"/>
  <c r="AE32" i="58"/>
  <c r="AF32" i="58"/>
  <c r="AI32" i="58"/>
  <c r="AJ32" i="58"/>
  <c r="AK32" i="58"/>
  <c r="AL32" i="58"/>
  <c r="AM32" i="58"/>
  <c r="AN32" i="58"/>
  <c r="AO32" i="58"/>
  <c r="AP32" i="58"/>
  <c r="AQ32" i="58"/>
  <c r="AR32" i="58"/>
  <c r="AS32" i="58"/>
  <c r="AT32" i="58"/>
  <c r="AU32" i="58"/>
  <c r="AV32" i="58"/>
  <c r="AW32" i="58"/>
  <c r="AX32" i="58"/>
  <c r="AY32" i="58"/>
  <c r="AZ32" i="58"/>
  <c r="BA32" i="58"/>
  <c r="BB32" i="58"/>
  <c r="BC32" i="58"/>
  <c r="BD32" i="58"/>
  <c r="BF32" i="58"/>
  <c r="BG32" i="58"/>
  <c r="BH32" i="58"/>
  <c r="BI32" i="58"/>
  <c r="BJ32" i="58"/>
  <c r="BK32" i="58"/>
  <c r="BL32" i="58"/>
  <c r="BM32" i="58"/>
  <c r="BN32" i="58"/>
  <c r="BO32" i="58"/>
  <c r="BP32" i="58"/>
  <c r="BQ32" i="58"/>
  <c r="BR32" i="58"/>
  <c r="BS32" i="58"/>
  <c r="BT32" i="58"/>
  <c r="BU32" i="58"/>
  <c r="BV32" i="58"/>
  <c r="BW32" i="58"/>
  <c r="BX32" i="58"/>
  <c r="BY32" i="58"/>
  <c r="BZ32" i="58"/>
  <c r="CA32" i="58"/>
  <c r="CC32" i="58"/>
  <c r="CD32" i="58"/>
  <c r="CE32" i="58"/>
  <c r="CF32" i="58"/>
  <c r="CG32" i="58"/>
  <c r="CH32" i="58"/>
  <c r="CI32" i="58"/>
  <c r="CJ32" i="58"/>
  <c r="CK32" i="58"/>
  <c r="CL32" i="58"/>
  <c r="CM32" i="58"/>
  <c r="CN32" i="58"/>
  <c r="CO32" i="58"/>
  <c r="CP32" i="58"/>
  <c r="CQ32" i="58"/>
  <c r="CR32" i="58"/>
  <c r="CS32" i="58"/>
  <c r="CT32" i="58"/>
  <c r="CU32" i="58"/>
  <c r="CV32" i="58"/>
  <c r="CW32" i="58"/>
  <c r="CX32" i="58"/>
  <c r="G33" i="58"/>
  <c r="H33" i="58"/>
  <c r="I33" i="58"/>
  <c r="J33" i="58"/>
  <c r="K33" i="58"/>
  <c r="L33" i="58"/>
  <c r="M33" i="58"/>
  <c r="N33" i="58"/>
  <c r="O33" i="58"/>
  <c r="Q33" i="58"/>
  <c r="S33" i="58"/>
  <c r="T33" i="58"/>
  <c r="U33" i="58"/>
  <c r="V33" i="58"/>
  <c r="W33" i="58"/>
  <c r="X33" i="58"/>
  <c r="Y33" i="58"/>
  <c r="AA33" i="58"/>
  <c r="AC33" i="58"/>
  <c r="AD33" i="58"/>
  <c r="AE33" i="58"/>
  <c r="AF33" i="58"/>
  <c r="AI33" i="58"/>
  <c r="AJ33" i="58"/>
  <c r="AK33" i="58"/>
  <c r="AL33" i="58"/>
  <c r="AM33" i="58"/>
  <c r="AN33" i="58"/>
  <c r="AO33" i="58"/>
  <c r="AP33" i="58"/>
  <c r="AQ33" i="58"/>
  <c r="AR33" i="58"/>
  <c r="AS33" i="58"/>
  <c r="AT33" i="58"/>
  <c r="AU33" i="58"/>
  <c r="AV33" i="58"/>
  <c r="AW33" i="58"/>
  <c r="AX33" i="58"/>
  <c r="AY33" i="58"/>
  <c r="AZ33" i="58"/>
  <c r="BA33" i="58"/>
  <c r="BB33" i="58"/>
  <c r="BC33" i="58"/>
  <c r="BD33" i="58"/>
  <c r="BF33" i="58"/>
  <c r="BG33" i="58"/>
  <c r="BH33" i="58"/>
  <c r="BI33" i="58"/>
  <c r="BJ33" i="58"/>
  <c r="BK33" i="58"/>
  <c r="BL33" i="58"/>
  <c r="BM33" i="58"/>
  <c r="BN33" i="58"/>
  <c r="BO33" i="58"/>
  <c r="BP33" i="58"/>
  <c r="BQ33" i="58"/>
  <c r="BR33" i="58"/>
  <c r="BS33" i="58"/>
  <c r="BT33" i="58"/>
  <c r="BU33" i="58"/>
  <c r="BV33" i="58"/>
  <c r="BW33" i="58"/>
  <c r="BX33" i="58"/>
  <c r="BY33" i="58"/>
  <c r="BZ33" i="58"/>
  <c r="CA33" i="58"/>
  <c r="CC33" i="58"/>
  <c r="CD33" i="58"/>
  <c r="CE33" i="58"/>
  <c r="CF33" i="58"/>
  <c r="CG33" i="58"/>
  <c r="CH33" i="58"/>
  <c r="CI33" i="58"/>
  <c r="CJ33" i="58"/>
  <c r="CK33" i="58"/>
  <c r="CL33" i="58"/>
  <c r="CM33" i="58"/>
  <c r="CN33" i="58"/>
  <c r="CO33" i="58"/>
  <c r="CP33" i="58"/>
  <c r="CQ33" i="58"/>
  <c r="CR33" i="58"/>
  <c r="CS33" i="58"/>
  <c r="CT33" i="58"/>
  <c r="CU33" i="58"/>
  <c r="CV33" i="58"/>
  <c r="CW33" i="58"/>
  <c r="CX33" i="58"/>
  <c r="G34" i="58"/>
  <c r="H34" i="58"/>
  <c r="I34" i="58"/>
  <c r="J34" i="58"/>
  <c r="K34" i="58"/>
  <c r="L34" i="58"/>
  <c r="M34" i="58"/>
  <c r="N34" i="58"/>
  <c r="O34" i="58"/>
  <c r="Q34" i="58"/>
  <c r="S34" i="58"/>
  <c r="T34" i="58"/>
  <c r="U34" i="58"/>
  <c r="V34" i="58"/>
  <c r="W34" i="58"/>
  <c r="X34" i="58"/>
  <c r="Y34" i="58"/>
  <c r="AA34" i="58"/>
  <c r="AC34" i="58"/>
  <c r="AD34" i="58"/>
  <c r="AE34" i="58"/>
  <c r="AF34" i="58"/>
  <c r="AI34" i="58"/>
  <c r="AJ34" i="58"/>
  <c r="AK34" i="58"/>
  <c r="AL34" i="58"/>
  <c r="AM34" i="58"/>
  <c r="AN34" i="58"/>
  <c r="AO34" i="58"/>
  <c r="AP34" i="58"/>
  <c r="AQ34" i="58"/>
  <c r="AR34" i="58"/>
  <c r="AS34" i="58"/>
  <c r="AT34" i="58"/>
  <c r="AU34" i="58"/>
  <c r="AV34" i="58"/>
  <c r="AW34" i="58"/>
  <c r="AX34" i="58"/>
  <c r="AY34" i="58"/>
  <c r="AZ34" i="58"/>
  <c r="BA34" i="58"/>
  <c r="BB34" i="58"/>
  <c r="BC34" i="58"/>
  <c r="BD34" i="58"/>
  <c r="BF34" i="58"/>
  <c r="BG34" i="58"/>
  <c r="BH34" i="58"/>
  <c r="BI34" i="58"/>
  <c r="BJ34" i="58"/>
  <c r="BK34" i="58"/>
  <c r="BL34" i="58"/>
  <c r="BM34" i="58"/>
  <c r="BN34" i="58"/>
  <c r="BO34" i="58"/>
  <c r="BP34" i="58"/>
  <c r="BQ34" i="58"/>
  <c r="BR34" i="58"/>
  <c r="BS34" i="58"/>
  <c r="BT34" i="58"/>
  <c r="BU34" i="58"/>
  <c r="BV34" i="58"/>
  <c r="BW34" i="58"/>
  <c r="BX34" i="58"/>
  <c r="BY34" i="58"/>
  <c r="BZ34" i="58"/>
  <c r="CA34" i="58"/>
  <c r="CC34" i="58"/>
  <c r="CD34" i="58"/>
  <c r="CE34" i="58"/>
  <c r="CF34" i="58"/>
  <c r="CG34" i="58"/>
  <c r="CH34" i="58"/>
  <c r="CI34" i="58"/>
  <c r="CJ34" i="58"/>
  <c r="CK34" i="58"/>
  <c r="CL34" i="58"/>
  <c r="CM34" i="58"/>
  <c r="CN34" i="58"/>
  <c r="CO34" i="58"/>
  <c r="CP34" i="58"/>
  <c r="CQ34" i="58"/>
  <c r="CR34" i="58"/>
  <c r="CS34" i="58"/>
  <c r="CT34" i="58"/>
  <c r="CU34" i="58"/>
  <c r="CV34" i="58"/>
  <c r="CW34" i="58"/>
  <c r="CX34" i="58"/>
  <c r="G35" i="58"/>
  <c r="H35" i="58"/>
  <c r="I35" i="58"/>
  <c r="J35" i="58"/>
  <c r="K35" i="58"/>
  <c r="L35" i="58"/>
  <c r="M35" i="58"/>
  <c r="N35" i="58"/>
  <c r="O35" i="58"/>
  <c r="Q35" i="58"/>
  <c r="S35" i="58"/>
  <c r="T35" i="58"/>
  <c r="U35" i="58"/>
  <c r="V35" i="58"/>
  <c r="W35" i="58"/>
  <c r="X35" i="58"/>
  <c r="Y35" i="58"/>
  <c r="AA35" i="58"/>
  <c r="AC35" i="58"/>
  <c r="AD35" i="58"/>
  <c r="AE35" i="58"/>
  <c r="AF35" i="58"/>
  <c r="AI35" i="58"/>
  <c r="AJ35" i="58"/>
  <c r="AK35" i="58"/>
  <c r="AL35" i="58"/>
  <c r="AM35" i="58"/>
  <c r="AN35" i="58"/>
  <c r="AO35" i="58"/>
  <c r="AP35" i="58"/>
  <c r="AQ35" i="58"/>
  <c r="AR35" i="58"/>
  <c r="AS35" i="58"/>
  <c r="AT35" i="58"/>
  <c r="AU35" i="58"/>
  <c r="AV35" i="58"/>
  <c r="AW35" i="58"/>
  <c r="AX35" i="58"/>
  <c r="AY35" i="58"/>
  <c r="AZ35" i="58"/>
  <c r="BA35" i="58"/>
  <c r="BB35" i="58"/>
  <c r="BC35" i="58"/>
  <c r="BD35" i="58"/>
  <c r="BF35" i="58"/>
  <c r="BG35" i="58"/>
  <c r="BH35" i="58"/>
  <c r="BI35" i="58"/>
  <c r="BJ35" i="58"/>
  <c r="BK35" i="58"/>
  <c r="BL35" i="58"/>
  <c r="BM35" i="58"/>
  <c r="BN35" i="58"/>
  <c r="BO35" i="58"/>
  <c r="BP35" i="58"/>
  <c r="BQ35" i="58"/>
  <c r="BR35" i="58"/>
  <c r="BS35" i="58"/>
  <c r="BT35" i="58"/>
  <c r="BU35" i="58"/>
  <c r="BV35" i="58"/>
  <c r="BW35" i="58"/>
  <c r="BX35" i="58"/>
  <c r="BY35" i="58"/>
  <c r="BZ35" i="58"/>
  <c r="CA35" i="58"/>
  <c r="CC35" i="58"/>
  <c r="CD35" i="58"/>
  <c r="CE35" i="58"/>
  <c r="CF35" i="58"/>
  <c r="CG35" i="58"/>
  <c r="CH35" i="58"/>
  <c r="CI35" i="58"/>
  <c r="CJ35" i="58"/>
  <c r="CK35" i="58"/>
  <c r="CL35" i="58"/>
  <c r="CM35" i="58"/>
  <c r="CN35" i="58"/>
  <c r="CO35" i="58"/>
  <c r="CP35" i="58"/>
  <c r="CQ35" i="58"/>
  <c r="CR35" i="58"/>
  <c r="CS35" i="58"/>
  <c r="CT35" i="58"/>
  <c r="CU35" i="58"/>
  <c r="CV35" i="58"/>
  <c r="CW35" i="58"/>
  <c r="CX35" i="58"/>
  <c r="G36" i="58"/>
  <c r="H36" i="58"/>
  <c r="I36" i="58"/>
  <c r="J36" i="58"/>
  <c r="K36" i="58"/>
  <c r="L36" i="58"/>
  <c r="M36" i="58"/>
  <c r="N36" i="58"/>
  <c r="O36" i="58"/>
  <c r="Q36" i="58"/>
  <c r="S36" i="58"/>
  <c r="T36" i="58"/>
  <c r="U36" i="58"/>
  <c r="V36" i="58"/>
  <c r="W36" i="58"/>
  <c r="X36" i="58"/>
  <c r="Y36" i="58"/>
  <c r="AA36" i="58"/>
  <c r="AC36" i="58"/>
  <c r="AD36" i="58"/>
  <c r="AE36" i="58"/>
  <c r="AF36" i="58"/>
  <c r="AI36" i="58"/>
  <c r="AJ36" i="58"/>
  <c r="AK36" i="58"/>
  <c r="AL36" i="58"/>
  <c r="AM36" i="58"/>
  <c r="AN36" i="58"/>
  <c r="AO36" i="58"/>
  <c r="AP36" i="58"/>
  <c r="AQ36" i="58"/>
  <c r="AR36" i="58"/>
  <c r="AS36" i="58"/>
  <c r="AT36" i="58"/>
  <c r="AU36" i="58"/>
  <c r="AV36" i="58"/>
  <c r="AW36" i="58"/>
  <c r="AX36" i="58"/>
  <c r="AY36" i="58"/>
  <c r="AZ36" i="58"/>
  <c r="BA36" i="58"/>
  <c r="BB36" i="58"/>
  <c r="BC36" i="58"/>
  <c r="BD36" i="58"/>
  <c r="BF36" i="58"/>
  <c r="BG36" i="58"/>
  <c r="BH36" i="58"/>
  <c r="BI36" i="58"/>
  <c r="BJ36" i="58"/>
  <c r="BK36" i="58"/>
  <c r="BL36" i="58"/>
  <c r="BM36" i="58"/>
  <c r="BN36" i="58"/>
  <c r="BO36" i="58"/>
  <c r="BP36" i="58"/>
  <c r="BQ36" i="58"/>
  <c r="BR36" i="58"/>
  <c r="BS36" i="58"/>
  <c r="BT36" i="58"/>
  <c r="BU36" i="58"/>
  <c r="BV36" i="58"/>
  <c r="BW36" i="58"/>
  <c r="BX36" i="58"/>
  <c r="BY36" i="58"/>
  <c r="BZ36" i="58"/>
  <c r="CA36" i="58"/>
  <c r="CC36" i="58"/>
  <c r="CD36" i="58"/>
  <c r="CE36" i="58"/>
  <c r="CF36" i="58"/>
  <c r="CG36" i="58"/>
  <c r="CH36" i="58"/>
  <c r="CI36" i="58"/>
  <c r="CJ36" i="58"/>
  <c r="CK36" i="58"/>
  <c r="CL36" i="58"/>
  <c r="CM36" i="58"/>
  <c r="CN36" i="58"/>
  <c r="CO36" i="58"/>
  <c r="CP36" i="58"/>
  <c r="CQ36" i="58"/>
  <c r="CR36" i="58"/>
  <c r="CS36" i="58"/>
  <c r="CT36" i="58"/>
  <c r="CU36" i="58"/>
  <c r="CV36" i="58"/>
  <c r="CW36" i="58"/>
  <c r="CX36" i="58"/>
  <c r="G37" i="58"/>
  <c r="H37" i="58"/>
  <c r="I37" i="58"/>
  <c r="J37" i="58"/>
  <c r="K37" i="58"/>
  <c r="L37" i="58"/>
  <c r="M37" i="58"/>
  <c r="N37" i="58"/>
  <c r="O37" i="58"/>
  <c r="Q37" i="58"/>
  <c r="S37" i="58"/>
  <c r="T37" i="58"/>
  <c r="U37" i="58"/>
  <c r="V37" i="58"/>
  <c r="W37" i="58"/>
  <c r="X37" i="58"/>
  <c r="Y37" i="58"/>
  <c r="AA37" i="58"/>
  <c r="AC37" i="58"/>
  <c r="AD37" i="58"/>
  <c r="AE37" i="58"/>
  <c r="AF37" i="58"/>
  <c r="AI37" i="58"/>
  <c r="AJ37" i="58"/>
  <c r="AK37" i="58"/>
  <c r="AL37" i="58"/>
  <c r="AM37" i="58"/>
  <c r="AN37" i="58"/>
  <c r="AO37" i="58"/>
  <c r="AP37" i="58"/>
  <c r="AQ37" i="58"/>
  <c r="AR37" i="58"/>
  <c r="AS37" i="58"/>
  <c r="AT37" i="58"/>
  <c r="AU37" i="58"/>
  <c r="AV37" i="58"/>
  <c r="AW37" i="58"/>
  <c r="AX37" i="58"/>
  <c r="AY37" i="58"/>
  <c r="AZ37" i="58"/>
  <c r="BA37" i="58"/>
  <c r="BB37" i="58"/>
  <c r="BC37" i="58"/>
  <c r="BD37" i="58"/>
  <c r="BF37" i="58"/>
  <c r="BG37" i="58"/>
  <c r="BH37" i="58"/>
  <c r="BI37" i="58"/>
  <c r="BJ37" i="58"/>
  <c r="BK37" i="58"/>
  <c r="BL37" i="58"/>
  <c r="BM37" i="58"/>
  <c r="BN37" i="58"/>
  <c r="BO37" i="58"/>
  <c r="BP37" i="58"/>
  <c r="BQ37" i="58"/>
  <c r="BR37" i="58"/>
  <c r="BS37" i="58"/>
  <c r="BT37" i="58"/>
  <c r="BU37" i="58"/>
  <c r="BV37" i="58"/>
  <c r="BW37" i="58"/>
  <c r="BX37" i="58"/>
  <c r="BY37" i="58"/>
  <c r="BZ37" i="58"/>
  <c r="CA37" i="58"/>
  <c r="CC37" i="58"/>
  <c r="CD37" i="58"/>
  <c r="CE37" i="58"/>
  <c r="CF37" i="58"/>
  <c r="CG37" i="58"/>
  <c r="CH37" i="58"/>
  <c r="CI37" i="58"/>
  <c r="CJ37" i="58"/>
  <c r="CK37" i="58"/>
  <c r="CL37" i="58"/>
  <c r="CM37" i="58"/>
  <c r="CN37" i="58"/>
  <c r="CO37" i="58"/>
  <c r="CP37" i="58"/>
  <c r="CQ37" i="58"/>
  <c r="CR37" i="58"/>
  <c r="CS37" i="58"/>
  <c r="CT37" i="58"/>
  <c r="CU37" i="58"/>
  <c r="CV37" i="58"/>
  <c r="CW37" i="58"/>
  <c r="CX37" i="58"/>
  <c r="G38" i="58"/>
  <c r="H38" i="58"/>
  <c r="I38" i="58"/>
  <c r="J38" i="58"/>
  <c r="K38" i="58"/>
  <c r="L38" i="58"/>
  <c r="M38" i="58"/>
  <c r="N38" i="58"/>
  <c r="O38" i="58"/>
  <c r="Q38" i="58"/>
  <c r="S38" i="58"/>
  <c r="T38" i="58"/>
  <c r="U38" i="58"/>
  <c r="V38" i="58"/>
  <c r="W38" i="58"/>
  <c r="X38" i="58"/>
  <c r="Y38" i="58"/>
  <c r="AA38" i="58"/>
  <c r="AC38" i="58"/>
  <c r="AD38" i="58"/>
  <c r="AE38" i="58"/>
  <c r="AF38" i="58"/>
  <c r="AI38" i="58"/>
  <c r="AJ38" i="58"/>
  <c r="AK38" i="58"/>
  <c r="AL38" i="58"/>
  <c r="AM38" i="58"/>
  <c r="AN38" i="58"/>
  <c r="AO38" i="58"/>
  <c r="AP38" i="58"/>
  <c r="AQ38" i="58"/>
  <c r="AR38" i="58"/>
  <c r="AS38" i="58"/>
  <c r="AT38" i="58"/>
  <c r="AU38" i="58"/>
  <c r="AV38" i="58"/>
  <c r="AW38" i="58"/>
  <c r="AX38" i="58"/>
  <c r="AY38" i="58"/>
  <c r="AZ38" i="58"/>
  <c r="BA38" i="58"/>
  <c r="BB38" i="58"/>
  <c r="BC38" i="58"/>
  <c r="BD38" i="58"/>
  <c r="BF38" i="58"/>
  <c r="BG38" i="58"/>
  <c r="BH38" i="58"/>
  <c r="BI38" i="58"/>
  <c r="BJ38" i="58"/>
  <c r="BK38" i="58"/>
  <c r="BL38" i="58"/>
  <c r="BM38" i="58"/>
  <c r="BN38" i="58"/>
  <c r="BO38" i="58"/>
  <c r="BP38" i="58"/>
  <c r="BQ38" i="58"/>
  <c r="BR38" i="58"/>
  <c r="BS38" i="58"/>
  <c r="BT38" i="58"/>
  <c r="BU38" i="58"/>
  <c r="BV38" i="58"/>
  <c r="BW38" i="58"/>
  <c r="BX38" i="58"/>
  <c r="BY38" i="58"/>
  <c r="BZ38" i="58"/>
  <c r="CA38" i="58"/>
  <c r="CC38" i="58"/>
  <c r="CD38" i="58"/>
  <c r="CE38" i="58"/>
  <c r="CF38" i="58"/>
  <c r="CG38" i="58"/>
  <c r="CH38" i="58"/>
  <c r="CI38" i="58"/>
  <c r="CJ38" i="58"/>
  <c r="CK38" i="58"/>
  <c r="CL38" i="58"/>
  <c r="CM38" i="58"/>
  <c r="CN38" i="58"/>
  <c r="CO38" i="58"/>
  <c r="CP38" i="58"/>
  <c r="CQ38" i="58"/>
  <c r="CR38" i="58"/>
  <c r="CS38" i="58"/>
  <c r="CT38" i="58"/>
  <c r="CU38" i="58"/>
  <c r="CV38" i="58"/>
  <c r="CW38" i="58"/>
  <c r="CX38" i="58"/>
  <c r="G39" i="58"/>
  <c r="H39" i="58"/>
  <c r="I39" i="58"/>
  <c r="J39" i="58"/>
  <c r="K39" i="58"/>
  <c r="L39" i="58"/>
  <c r="M39" i="58"/>
  <c r="N39" i="58"/>
  <c r="O39" i="58"/>
  <c r="Q39" i="58"/>
  <c r="S39" i="58"/>
  <c r="T39" i="58"/>
  <c r="U39" i="58"/>
  <c r="V39" i="58"/>
  <c r="W39" i="58"/>
  <c r="X39" i="58"/>
  <c r="Y39" i="58"/>
  <c r="AA39" i="58"/>
  <c r="AC39" i="58"/>
  <c r="AD39" i="58"/>
  <c r="AE39" i="58"/>
  <c r="AF39" i="58"/>
  <c r="AI39" i="58"/>
  <c r="AJ39" i="58"/>
  <c r="AK39" i="58"/>
  <c r="AL39" i="58"/>
  <c r="AM39" i="58"/>
  <c r="AN39" i="58"/>
  <c r="AO39" i="58"/>
  <c r="AP39" i="58"/>
  <c r="AQ39" i="58"/>
  <c r="AR39" i="58"/>
  <c r="AS39" i="58"/>
  <c r="AT39" i="58"/>
  <c r="AU39" i="58"/>
  <c r="AV39" i="58"/>
  <c r="AW39" i="58"/>
  <c r="AX39" i="58"/>
  <c r="AY39" i="58"/>
  <c r="AZ39" i="58"/>
  <c r="BA39" i="58"/>
  <c r="BB39" i="58"/>
  <c r="BC39" i="58"/>
  <c r="BD39" i="58"/>
  <c r="BF39" i="58"/>
  <c r="BG39" i="58"/>
  <c r="BH39" i="58"/>
  <c r="BI39" i="58"/>
  <c r="BJ39" i="58"/>
  <c r="BK39" i="58"/>
  <c r="BL39" i="58"/>
  <c r="BM39" i="58"/>
  <c r="BN39" i="58"/>
  <c r="BO39" i="58"/>
  <c r="BP39" i="58"/>
  <c r="BQ39" i="58"/>
  <c r="BR39" i="58"/>
  <c r="BS39" i="58"/>
  <c r="BT39" i="58"/>
  <c r="BU39" i="58"/>
  <c r="BV39" i="58"/>
  <c r="BW39" i="58"/>
  <c r="BX39" i="58"/>
  <c r="BY39" i="58"/>
  <c r="BZ39" i="58"/>
  <c r="CA39" i="58"/>
  <c r="CC39" i="58"/>
  <c r="CD39" i="58"/>
  <c r="CE39" i="58"/>
  <c r="CF39" i="58"/>
  <c r="CG39" i="58"/>
  <c r="CH39" i="58"/>
  <c r="CI39" i="58"/>
  <c r="CJ39" i="58"/>
  <c r="CK39" i="58"/>
  <c r="CL39" i="58"/>
  <c r="CM39" i="58"/>
  <c r="CN39" i="58"/>
  <c r="CO39" i="58"/>
  <c r="CP39" i="58"/>
  <c r="CQ39" i="58"/>
  <c r="CR39" i="58"/>
  <c r="CS39" i="58"/>
  <c r="CT39" i="58"/>
  <c r="CU39" i="58"/>
  <c r="CV39" i="58"/>
  <c r="CW39" i="58"/>
  <c r="CX39" i="58"/>
  <c r="G40" i="58"/>
  <c r="H40" i="58"/>
  <c r="I40" i="58"/>
  <c r="J40" i="58"/>
  <c r="K40" i="58"/>
  <c r="L40" i="58"/>
  <c r="M40" i="58"/>
  <c r="N40" i="58"/>
  <c r="O40" i="58"/>
  <c r="Q40" i="58"/>
  <c r="S40" i="58"/>
  <c r="T40" i="58"/>
  <c r="U40" i="58"/>
  <c r="V40" i="58"/>
  <c r="W40" i="58"/>
  <c r="X40" i="58"/>
  <c r="Y40" i="58"/>
  <c r="AA40" i="58"/>
  <c r="AC40" i="58"/>
  <c r="AD40" i="58"/>
  <c r="AE40" i="58"/>
  <c r="AF40" i="58"/>
  <c r="AI40" i="58"/>
  <c r="AJ40" i="58"/>
  <c r="AK40" i="58"/>
  <c r="AL40" i="58"/>
  <c r="AM40" i="58"/>
  <c r="AN40" i="58"/>
  <c r="AO40" i="58"/>
  <c r="AP40" i="58"/>
  <c r="AQ40" i="58"/>
  <c r="AR40" i="58"/>
  <c r="AS40" i="58"/>
  <c r="AT40" i="58"/>
  <c r="AU40" i="58"/>
  <c r="AV40" i="58"/>
  <c r="AW40" i="58"/>
  <c r="AX40" i="58"/>
  <c r="AY40" i="58"/>
  <c r="AZ40" i="58"/>
  <c r="BA40" i="58"/>
  <c r="BB40" i="58"/>
  <c r="BC40" i="58"/>
  <c r="BD40" i="58"/>
  <c r="BF40" i="58"/>
  <c r="BG40" i="58"/>
  <c r="BH40" i="58"/>
  <c r="BI40" i="58"/>
  <c r="BJ40" i="58"/>
  <c r="BK40" i="58"/>
  <c r="BL40" i="58"/>
  <c r="BM40" i="58"/>
  <c r="BN40" i="58"/>
  <c r="BO40" i="58"/>
  <c r="BP40" i="58"/>
  <c r="BQ40" i="58"/>
  <c r="BR40" i="58"/>
  <c r="BS40" i="58"/>
  <c r="BT40" i="58"/>
  <c r="BU40" i="58"/>
  <c r="BV40" i="58"/>
  <c r="BW40" i="58"/>
  <c r="BX40" i="58"/>
  <c r="BY40" i="58"/>
  <c r="BZ40" i="58"/>
  <c r="CA40" i="58"/>
  <c r="CC40" i="58"/>
  <c r="CD40" i="58"/>
  <c r="CE40" i="58"/>
  <c r="CF40" i="58"/>
  <c r="CG40" i="58"/>
  <c r="CH40" i="58"/>
  <c r="CI40" i="58"/>
  <c r="CJ40" i="58"/>
  <c r="CK40" i="58"/>
  <c r="CL40" i="58"/>
  <c r="CM40" i="58"/>
  <c r="CN40" i="58"/>
  <c r="CO40" i="58"/>
  <c r="CP40" i="58"/>
  <c r="CQ40" i="58"/>
  <c r="CR40" i="58"/>
  <c r="CS40" i="58"/>
  <c r="CT40" i="58"/>
  <c r="CU40" i="58"/>
  <c r="CV40" i="58"/>
  <c r="CW40" i="58"/>
  <c r="CX40" i="58"/>
  <c r="G21" i="29"/>
  <c r="H21" i="29"/>
  <c r="I21" i="29"/>
  <c r="J21" i="29"/>
  <c r="K21" i="29"/>
  <c r="L21" i="29"/>
  <c r="M21" i="29"/>
  <c r="N21" i="29"/>
  <c r="O21" i="29"/>
  <c r="Q21" i="29"/>
  <c r="S21" i="29"/>
  <c r="T21" i="29"/>
  <c r="U21" i="29"/>
  <c r="V21" i="29"/>
  <c r="W21" i="29"/>
  <c r="X21" i="29"/>
  <c r="Y21" i="29"/>
  <c r="AA21" i="29"/>
  <c r="AC21" i="29"/>
  <c r="AD21" i="29"/>
  <c r="AE21" i="29"/>
  <c r="AF21" i="29"/>
  <c r="AI21" i="29"/>
  <c r="AJ21" i="29"/>
  <c r="AK21" i="29"/>
  <c r="AL21" i="29"/>
  <c r="AM21" i="29"/>
  <c r="AN21" i="29"/>
  <c r="AO21" i="29"/>
  <c r="AP21" i="29"/>
  <c r="AQ21" i="29"/>
  <c r="AR21" i="29"/>
  <c r="AS21" i="29"/>
  <c r="AT21" i="29"/>
  <c r="AU21" i="29"/>
  <c r="AV21" i="29"/>
  <c r="AW21" i="29"/>
  <c r="AX21" i="29"/>
  <c r="AY21" i="29"/>
  <c r="AZ21" i="29"/>
  <c r="BA21" i="29"/>
  <c r="BB21" i="29"/>
  <c r="BC21" i="29"/>
  <c r="BD21" i="29"/>
  <c r="BF21" i="29"/>
  <c r="BG21" i="29"/>
  <c r="BH21" i="29"/>
  <c r="BI21" i="29"/>
  <c r="BJ21" i="29"/>
  <c r="BK21" i="29"/>
  <c r="BL21" i="29"/>
  <c r="BM21" i="29"/>
  <c r="BN21" i="29"/>
  <c r="BO21" i="29"/>
  <c r="BP21" i="29"/>
  <c r="BQ21" i="29"/>
  <c r="BR21" i="29"/>
  <c r="BS21" i="29"/>
  <c r="BT21" i="29"/>
  <c r="BU21" i="29"/>
  <c r="BV21" i="29"/>
  <c r="BW21" i="29"/>
  <c r="BX21" i="29"/>
  <c r="BY21" i="29"/>
  <c r="BZ21" i="29"/>
  <c r="CA21" i="29"/>
  <c r="CC21" i="29"/>
  <c r="CD21" i="29"/>
  <c r="CE21" i="29"/>
  <c r="CF21" i="29"/>
  <c r="CG21" i="29"/>
  <c r="CH21" i="29"/>
  <c r="CI21" i="29"/>
  <c r="CJ21" i="29"/>
  <c r="CK21" i="29"/>
  <c r="CL21" i="29"/>
  <c r="CM21" i="29"/>
  <c r="CN21" i="29"/>
  <c r="CO21" i="29"/>
  <c r="CP21" i="29"/>
  <c r="CQ21" i="29"/>
  <c r="CR21" i="29"/>
  <c r="CS21" i="29"/>
  <c r="CT21" i="29"/>
  <c r="CU21" i="29"/>
  <c r="CV21" i="29"/>
  <c r="CW21" i="29"/>
  <c r="CX21" i="29"/>
  <c r="G22" i="29"/>
  <c r="H22" i="29"/>
  <c r="I22" i="29"/>
  <c r="J22" i="29"/>
  <c r="K22" i="29"/>
  <c r="L22" i="29"/>
  <c r="M22" i="29"/>
  <c r="N22" i="29"/>
  <c r="O22" i="29"/>
  <c r="Q22" i="29"/>
  <c r="S22" i="29"/>
  <c r="T22" i="29"/>
  <c r="U22" i="29"/>
  <c r="V22" i="29"/>
  <c r="W22" i="29"/>
  <c r="X22" i="29"/>
  <c r="Y22" i="29"/>
  <c r="AA22" i="29"/>
  <c r="AC22" i="29"/>
  <c r="AD22" i="29"/>
  <c r="AE22" i="29"/>
  <c r="AF22" i="29"/>
  <c r="AI22" i="29"/>
  <c r="AJ22" i="29"/>
  <c r="AK22" i="29"/>
  <c r="AL22" i="29"/>
  <c r="AM22" i="29"/>
  <c r="AN22" i="29"/>
  <c r="AO22" i="29"/>
  <c r="AP22" i="29"/>
  <c r="AQ22" i="29"/>
  <c r="AR22" i="29"/>
  <c r="AS22" i="29"/>
  <c r="AT22" i="29"/>
  <c r="AU22" i="29"/>
  <c r="AV22" i="29"/>
  <c r="AW22" i="29"/>
  <c r="AX22" i="29"/>
  <c r="AY22" i="29"/>
  <c r="AZ22" i="29"/>
  <c r="BA22" i="29"/>
  <c r="BB22" i="29"/>
  <c r="BC22" i="29"/>
  <c r="BD22" i="29"/>
  <c r="BF22" i="29"/>
  <c r="BG22" i="29"/>
  <c r="BH22" i="29"/>
  <c r="BI22" i="29"/>
  <c r="BJ22" i="29"/>
  <c r="BK22" i="29"/>
  <c r="BL22" i="29"/>
  <c r="BM22" i="29"/>
  <c r="BN22" i="29"/>
  <c r="BO22" i="29"/>
  <c r="BP22" i="29"/>
  <c r="BQ22" i="29"/>
  <c r="BR22" i="29"/>
  <c r="BS22" i="29"/>
  <c r="BT22" i="29"/>
  <c r="BU22" i="29"/>
  <c r="BV22" i="29"/>
  <c r="BW22" i="29"/>
  <c r="BX22" i="29"/>
  <c r="BY22" i="29"/>
  <c r="BZ22" i="29"/>
  <c r="CA22" i="29"/>
  <c r="CC22" i="29"/>
  <c r="CD22" i="29"/>
  <c r="CE22" i="29"/>
  <c r="CF22" i="29"/>
  <c r="CG22" i="29"/>
  <c r="CH22" i="29"/>
  <c r="CI22" i="29"/>
  <c r="CJ22" i="29"/>
  <c r="CK22" i="29"/>
  <c r="CL22" i="29"/>
  <c r="CM22" i="29"/>
  <c r="CN22" i="29"/>
  <c r="CO22" i="29"/>
  <c r="CP22" i="29"/>
  <c r="CQ22" i="29"/>
  <c r="CR22" i="29"/>
  <c r="CS22" i="29"/>
  <c r="CT22" i="29"/>
  <c r="CU22" i="29"/>
  <c r="CV22" i="29"/>
  <c r="CW22" i="29"/>
  <c r="CX22" i="29"/>
  <c r="G23" i="29"/>
  <c r="H23" i="29"/>
  <c r="I23" i="29"/>
  <c r="J23" i="29"/>
  <c r="K23" i="29"/>
  <c r="L23" i="29"/>
  <c r="M23" i="29"/>
  <c r="N23" i="29"/>
  <c r="O23" i="29"/>
  <c r="Q23" i="29"/>
  <c r="S23" i="29"/>
  <c r="T23" i="29"/>
  <c r="U23" i="29"/>
  <c r="V23" i="29"/>
  <c r="W23" i="29"/>
  <c r="X23" i="29"/>
  <c r="Y23" i="29"/>
  <c r="AA23" i="29"/>
  <c r="AC23" i="29"/>
  <c r="AD23" i="29"/>
  <c r="AE23" i="29"/>
  <c r="AF23" i="29"/>
  <c r="AI23" i="29"/>
  <c r="AJ23" i="29"/>
  <c r="AK23" i="29"/>
  <c r="AL23" i="29"/>
  <c r="AM23" i="29"/>
  <c r="AN23" i="29"/>
  <c r="AO23" i="29"/>
  <c r="AP23" i="29"/>
  <c r="AQ23" i="29"/>
  <c r="AR23" i="29"/>
  <c r="AS23" i="29"/>
  <c r="AT23" i="29"/>
  <c r="AU23" i="29"/>
  <c r="AV23" i="29"/>
  <c r="AW23" i="29"/>
  <c r="AX23" i="29"/>
  <c r="AY23" i="29"/>
  <c r="AZ23" i="29"/>
  <c r="BA23" i="29"/>
  <c r="BB23" i="29"/>
  <c r="BC23" i="29"/>
  <c r="BD23" i="29"/>
  <c r="BF23" i="29"/>
  <c r="BG23" i="29"/>
  <c r="BH23" i="29"/>
  <c r="BI23" i="29"/>
  <c r="BJ23" i="29"/>
  <c r="BK23" i="29"/>
  <c r="BL23" i="29"/>
  <c r="BM23" i="29"/>
  <c r="BN23" i="29"/>
  <c r="BO23" i="29"/>
  <c r="BP23" i="29"/>
  <c r="BQ23" i="29"/>
  <c r="BR23" i="29"/>
  <c r="BS23" i="29"/>
  <c r="BT23" i="29"/>
  <c r="BU23" i="29"/>
  <c r="BV23" i="29"/>
  <c r="BW23" i="29"/>
  <c r="BX23" i="29"/>
  <c r="BY23" i="29"/>
  <c r="BZ23" i="29"/>
  <c r="CA23" i="29"/>
  <c r="CC23" i="29"/>
  <c r="CD23" i="29"/>
  <c r="CE23" i="29"/>
  <c r="CF23" i="29"/>
  <c r="CG23" i="29"/>
  <c r="CH23" i="29"/>
  <c r="CI23" i="29"/>
  <c r="CJ23" i="29"/>
  <c r="CK23" i="29"/>
  <c r="CL23" i="29"/>
  <c r="CM23" i="29"/>
  <c r="CN23" i="29"/>
  <c r="CO23" i="29"/>
  <c r="CP23" i="29"/>
  <c r="CQ23" i="29"/>
  <c r="CR23" i="29"/>
  <c r="CS23" i="29"/>
  <c r="CT23" i="29"/>
  <c r="CU23" i="29"/>
  <c r="CV23" i="29"/>
  <c r="CW23" i="29"/>
  <c r="CX23" i="29"/>
  <c r="G24" i="29"/>
  <c r="H24" i="29"/>
  <c r="I24" i="29"/>
  <c r="J24" i="29"/>
  <c r="K24" i="29"/>
  <c r="L24" i="29"/>
  <c r="M24" i="29"/>
  <c r="N24" i="29"/>
  <c r="O24" i="29"/>
  <c r="Q24" i="29"/>
  <c r="S24" i="29"/>
  <c r="T24" i="29"/>
  <c r="U24" i="29"/>
  <c r="V24" i="29"/>
  <c r="W24" i="29"/>
  <c r="X24" i="29"/>
  <c r="Y24" i="29"/>
  <c r="AA24" i="29"/>
  <c r="AC24" i="29"/>
  <c r="AD24" i="29"/>
  <c r="AE24" i="29"/>
  <c r="AF24" i="29"/>
  <c r="AI24" i="29"/>
  <c r="AJ24" i="29"/>
  <c r="AK24" i="29"/>
  <c r="AL24" i="29"/>
  <c r="AM24" i="29"/>
  <c r="AN24" i="29"/>
  <c r="AO24" i="29"/>
  <c r="AP24" i="29"/>
  <c r="AQ24" i="29"/>
  <c r="AR24" i="29"/>
  <c r="AS24" i="29"/>
  <c r="AT24" i="29"/>
  <c r="AU24" i="29"/>
  <c r="AV24" i="29"/>
  <c r="AW24" i="29"/>
  <c r="AX24" i="29"/>
  <c r="AY24" i="29"/>
  <c r="AZ24" i="29"/>
  <c r="BA24" i="29"/>
  <c r="BB24" i="29"/>
  <c r="BC24" i="29"/>
  <c r="BD24" i="29"/>
  <c r="BF24" i="29"/>
  <c r="BG24" i="29"/>
  <c r="BH24" i="29"/>
  <c r="BI24" i="29"/>
  <c r="BJ24" i="29"/>
  <c r="BK24" i="29"/>
  <c r="BL24" i="29"/>
  <c r="BM24" i="29"/>
  <c r="BN24" i="29"/>
  <c r="BO24" i="29"/>
  <c r="BP24" i="29"/>
  <c r="BQ24" i="29"/>
  <c r="BR24" i="29"/>
  <c r="BS24" i="29"/>
  <c r="BT24" i="29"/>
  <c r="BU24" i="29"/>
  <c r="BV24" i="29"/>
  <c r="BW24" i="29"/>
  <c r="BX24" i="29"/>
  <c r="BY24" i="29"/>
  <c r="BZ24" i="29"/>
  <c r="CA24" i="29"/>
  <c r="CC24" i="29"/>
  <c r="CD24" i="29"/>
  <c r="CE24" i="29"/>
  <c r="CF24" i="29"/>
  <c r="CG24" i="29"/>
  <c r="CH24" i="29"/>
  <c r="CI24" i="29"/>
  <c r="CJ24" i="29"/>
  <c r="CK24" i="29"/>
  <c r="CL24" i="29"/>
  <c r="CM24" i="29"/>
  <c r="CN24" i="29"/>
  <c r="CO24" i="29"/>
  <c r="CP24" i="29"/>
  <c r="CQ24" i="29"/>
  <c r="CR24" i="29"/>
  <c r="CS24" i="29"/>
  <c r="CT24" i="29"/>
  <c r="CU24" i="29"/>
  <c r="CV24" i="29"/>
  <c r="CW24" i="29"/>
  <c r="CX24" i="29"/>
  <c r="G25" i="29"/>
  <c r="H25" i="29"/>
  <c r="I25" i="29"/>
  <c r="J25" i="29"/>
  <c r="K25" i="29"/>
  <c r="L25" i="29"/>
  <c r="M25" i="29"/>
  <c r="N25" i="29"/>
  <c r="O25" i="29"/>
  <c r="Q25" i="29"/>
  <c r="S25" i="29"/>
  <c r="T25" i="29"/>
  <c r="U25" i="29"/>
  <c r="V25" i="29"/>
  <c r="W25" i="29"/>
  <c r="X25" i="29"/>
  <c r="Y25" i="29"/>
  <c r="AA25" i="29"/>
  <c r="AC25" i="29"/>
  <c r="AD25" i="29"/>
  <c r="AE25" i="29"/>
  <c r="AF25" i="29"/>
  <c r="AI25" i="29"/>
  <c r="AJ25" i="29"/>
  <c r="AK25" i="29"/>
  <c r="AL25" i="29"/>
  <c r="AM25" i="29"/>
  <c r="AN25" i="29"/>
  <c r="AO25" i="29"/>
  <c r="AP25" i="29"/>
  <c r="AQ25" i="29"/>
  <c r="AR25" i="29"/>
  <c r="AS25" i="29"/>
  <c r="AT25" i="29"/>
  <c r="AU25" i="29"/>
  <c r="AV25" i="29"/>
  <c r="AW25" i="29"/>
  <c r="AX25" i="29"/>
  <c r="AY25" i="29"/>
  <c r="AZ25" i="29"/>
  <c r="BA25" i="29"/>
  <c r="BB25" i="29"/>
  <c r="BC25" i="29"/>
  <c r="BD25" i="29"/>
  <c r="BF25" i="29"/>
  <c r="BG25" i="29"/>
  <c r="BH25" i="29"/>
  <c r="BI25" i="29"/>
  <c r="BJ25" i="29"/>
  <c r="BK25" i="29"/>
  <c r="BL25" i="29"/>
  <c r="BM25" i="29"/>
  <c r="BN25" i="29"/>
  <c r="BO25" i="29"/>
  <c r="BP25" i="29"/>
  <c r="BQ25" i="29"/>
  <c r="BR25" i="29"/>
  <c r="BS25" i="29"/>
  <c r="BT25" i="29"/>
  <c r="BU25" i="29"/>
  <c r="BV25" i="29"/>
  <c r="BW25" i="29"/>
  <c r="BX25" i="29"/>
  <c r="BY25" i="29"/>
  <c r="BZ25" i="29"/>
  <c r="CA25" i="29"/>
  <c r="CC25" i="29"/>
  <c r="CD25" i="29"/>
  <c r="CE25" i="29"/>
  <c r="CF25" i="29"/>
  <c r="CG25" i="29"/>
  <c r="CH25" i="29"/>
  <c r="CI25" i="29"/>
  <c r="CJ25" i="29"/>
  <c r="CK25" i="29"/>
  <c r="CL25" i="29"/>
  <c r="CM25" i="29"/>
  <c r="CN25" i="29"/>
  <c r="CO25" i="29"/>
  <c r="CP25" i="29"/>
  <c r="CQ25" i="29"/>
  <c r="CR25" i="29"/>
  <c r="CS25" i="29"/>
  <c r="CT25" i="29"/>
  <c r="CU25" i="29"/>
  <c r="CV25" i="29"/>
  <c r="CW25" i="29"/>
  <c r="CX25" i="29"/>
  <c r="G26" i="29"/>
  <c r="H26" i="29"/>
  <c r="I26" i="29"/>
  <c r="J26" i="29"/>
  <c r="K26" i="29"/>
  <c r="L26" i="29"/>
  <c r="M26" i="29"/>
  <c r="N26" i="29"/>
  <c r="O26" i="29"/>
  <c r="Q26" i="29"/>
  <c r="S26" i="29"/>
  <c r="T26" i="29"/>
  <c r="U26" i="29"/>
  <c r="V26" i="29"/>
  <c r="W26" i="29"/>
  <c r="X26" i="29"/>
  <c r="Y26" i="29"/>
  <c r="AA26" i="29"/>
  <c r="AC26" i="29"/>
  <c r="AD26" i="29"/>
  <c r="AE26" i="29"/>
  <c r="AF26" i="29"/>
  <c r="AI26" i="29"/>
  <c r="AJ26" i="29"/>
  <c r="AK26" i="29"/>
  <c r="AL26" i="29"/>
  <c r="AM26" i="29"/>
  <c r="AN26" i="29"/>
  <c r="AO26" i="29"/>
  <c r="AP26" i="29"/>
  <c r="AQ26" i="29"/>
  <c r="AR26" i="29"/>
  <c r="AS26" i="29"/>
  <c r="AT26" i="29"/>
  <c r="AU26" i="29"/>
  <c r="AV26" i="29"/>
  <c r="AW26" i="29"/>
  <c r="AX26" i="29"/>
  <c r="AY26" i="29"/>
  <c r="AZ26" i="29"/>
  <c r="BA26" i="29"/>
  <c r="BB26" i="29"/>
  <c r="BC26" i="29"/>
  <c r="BD26" i="29"/>
  <c r="BF26" i="29"/>
  <c r="BG26" i="29"/>
  <c r="BH26" i="29"/>
  <c r="BI26" i="29"/>
  <c r="BJ26" i="29"/>
  <c r="BK26" i="29"/>
  <c r="BL26" i="29"/>
  <c r="BM26" i="29"/>
  <c r="BN26" i="29"/>
  <c r="BO26" i="29"/>
  <c r="BP26" i="29"/>
  <c r="BQ26" i="29"/>
  <c r="BR26" i="29"/>
  <c r="BS26" i="29"/>
  <c r="BT26" i="29"/>
  <c r="BU26" i="29"/>
  <c r="BV26" i="29"/>
  <c r="BW26" i="29"/>
  <c r="BX26" i="29"/>
  <c r="BY26" i="29"/>
  <c r="BZ26" i="29"/>
  <c r="CA26" i="29"/>
  <c r="CC26" i="29"/>
  <c r="CD26" i="29"/>
  <c r="CE26" i="29"/>
  <c r="CF26" i="29"/>
  <c r="CG26" i="29"/>
  <c r="CH26" i="29"/>
  <c r="CI26" i="29"/>
  <c r="CJ26" i="29"/>
  <c r="CK26" i="29"/>
  <c r="CL26" i="29"/>
  <c r="CM26" i="29"/>
  <c r="CN26" i="29"/>
  <c r="CO26" i="29"/>
  <c r="CP26" i="29"/>
  <c r="CQ26" i="29"/>
  <c r="CR26" i="29"/>
  <c r="CS26" i="29"/>
  <c r="CT26" i="29"/>
  <c r="CU26" i="29"/>
  <c r="CV26" i="29"/>
  <c r="CW26" i="29"/>
  <c r="CX26" i="29"/>
  <c r="G27" i="29"/>
  <c r="H27" i="29"/>
  <c r="I27" i="29"/>
  <c r="J27" i="29"/>
  <c r="K27" i="29"/>
  <c r="L27" i="29"/>
  <c r="M27" i="29"/>
  <c r="N27" i="29"/>
  <c r="O27" i="29"/>
  <c r="Q27" i="29"/>
  <c r="S27" i="29"/>
  <c r="T27" i="29"/>
  <c r="U27" i="29"/>
  <c r="V27" i="29"/>
  <c r="W27" i="29"/>
  <c r="X27" i="29"/>
  <c r="Y27" i="29"/>
  <c r="AA27" i="29"/>
  <c r="AC27" i="29"/>
  <c r="AD27" i="29"/>
  <c r="AE27" i="29"/>
  <c r="AF27" i="29"/>
  <c r="AI27" i="29"/>
  <c r="AJ27" i="29"/>
  <c r="AK27" i="29"/>
  <c r="AL27" i="29"/>
  <c r="AM27" i="29"/>
  <c r="AN27" i="29"/>
  <c r="AO27" i="29"/>
  <c r="AP27" i="29"/>
  <c r="AQ27" i="29"/>
  <c r="AR27" i="29"/>
  <c r="AS27" i="29"/>
  <c r="AT27" i="29"/>
  <c r="AU27" i="29"/>
  <c r="AV27" i="29"/>
  <c r="AW27" i="29"/>
  <c r="AX27" i="29"/>
  <c r="AY27" i="29"/>
  <c r="AZ27" i="29"/>
  <c r="BA27" i="29"/>
  <c r="BB27" i="29"/>
  <c r="BC27" i="29"/>
  <c r="BD27" i="29"/>
  <c r="BF27" i="29"/>
  <c r="BG27" i="29"/>
  <c r="BH27" i="29"/>
  <c r="BI27" i="29"/>
  <c r="BJ27" i="29"/>
  <c r="BK27" i="29"/>
  <c r="BL27" i="29"/>
  <c r="BM27" i="29"/>
  <c r="BN27" i="29"/>
  <c r="BO27" i="29"/>
  <c r="BP27" i="29"/>
  <c r="BQ27" i="29"/>
  <c r="BR27" i="29"/>
  <c r="BS27" i="29"/>
  <c r="BT27" i="29"/>
  <c r="BU27" i="29"/>
  <c r="BV27" i="29"/>
  <c r="BW27" i="29"/>
  <c r="BX27" i="29"/>
  <c r="BY27" i="29"/>
  <c r="BZ27" i="29"/>
  <c r="CA27" i="29"/>
  <c r="CC27" i="29"/>
  <c r="CD27" i="29"/>
  <c r="CE27" i="29"/>
  <c r="CF27" i="29"/>
  <c r="CG27" i="29"/>
  <c r="CH27" i="29"/>
  <c r="CI27" i="29"/>
  <c r="CJ27" i="29"/>
  <c r="CK27" i="29"/>
  <c r="CL27" i="29"/>
  <c r="CM27" i="29"/>
  <c r="CN27" i="29"/>
  <c r="CO27" i="29"/>
  <c r="CP27" i="29"/>
  <c r="CQ27" i="29"/>
  <c r="CR27" i="29"/>
  <c r="CS27" i="29"/>
  <c r="CT27" i="29"/>
  <c r="CU27" i="29"/>
  <c r="CV27" i="29"/>
  <c r="CW27" i="29"/>
  <c r="CX27" i="29"/>
  <c r="G28" i="29"/>
  <c r="H28" i="29"/>
  <c r="I28" i="29"/>
  <c r="J28" i="29"/>
  <c r="K28" i="29"/>
  <c r="L28" i="29"/>
  <c r="M28" i="29"/>
  <c r="N28" i="29"/>
  <c r="O28" i="29"/>
  <c r="Q28" i="29"/>
  <c r="S28" i="29"/>
  <c r="T28" i="29"/>
  <c r="U28" i="29"/>
  <c r="V28" i="29"/>
  <c r="W28" i="29"/>
  <c r="X28" i="29"/>
  <c r="Y28" i="29"/>
  <c r="AA28" i="29"/>
  <c r="AC28" i="29"/>
  <c r="AD28" i="29"/>
  <c r="AE28" i="29"/>
  <c r="AF28" i="29"/>
  <c r="AI28" i="29"/>
  <c r="AJ28" i="29"/>
  <c r="AK28" i="29"/>
  <c r="AL28" i="29"/>
  <c r="AM28" i="29"/>
  <c r="AN28" i="29"/>
  <c r="AO28" i="29"/>
  <c r="AP28" i="29"/>
  <c r="AQ28" i="29"/>
  <c r="AR28" i="29"/>
  <c r="AS28" i="29"/>
  <c r="AT28" i="29"/>
  <c r="AU28" i="29"/>
  <c r="AV28" i="29"/>
  <c r="AW28" i="29"/>
  <c r="AX28" i="29"/>
  <c r="AY28" i="29"/>
  <c r="AZ28" i="29"/>
  <c r="BA28" i="29"/>
  <c r="BB28" i="29"/>
  <c r="BC28" i="29"/>
  <c r="BD28" i="29"/>
  <c r="BF28" i="29"/>
  <c r="BG28" i="29"/>
  <c r="BH28" i="29"/>
  <c r="BI28" i="29"/>
  <c r="BJ28" i="29"/>
  <c r="BK28" i="29"/>
  <c r="BL28" i="29"/>
  <c r="BM28" i="29"/>
  <c r="BN28" i="29"/>
  <c r="BO28" i="29"/>
  <c r="BP28" i="29"/>
  <c r="BQ28" i="29"/>
  <c r="BR28" i="29"/>
  <c r="BS28" i="29"/>
  <c r="BT28" i="29"/>
  <c r="BU28" i="29"/>
  <c r="BV28" i="29"/>
  <c r="BW28" i="29"/>
  <c r="BX28" i="29"/>
  <c r="BY28" i="29"/>
  <c r="BZ28" i="29"/>
  <c r="CA28" i="29"/>
  <c r="CC28" i="29"/>
  <c r="CD28" i="29"/>
  <c r="CE28" i="29"/>
  <c r="CF28" i="29"/>
  <c r="CG28" i="29"/>
  <c r="CH28" i="29"/>
  <c r="CI28" i="29"/>
  <c r="CJ28" i="29"/>
  <c r="CK28" i="29"/>
  <c r="CL28" i="29"/>
  <c r="CM28" i="29"/>
  <c r="CN28" i="29"/>
  <c r="CO28" i="29"/>
  <c r="CP28" i="29"/>
  <c r="CQ28" i="29"/>
  <c r="CR28" i="29"/>
  <c r="CS28" i="29"/>
  <c r="CT28" i="29"/>
  <c r="CU28" i="29"/>
  <c r="CV28" i="29"/>
  <c r="CW28" i="29"/>
  <c r="CX28" i="29"/>
  <c r="G29" i="29"/>
  <c r="H29" i="29"/>
  <c r="I29" i="29"/>
  <c r="J29" i="29"/>
  <c r="K29" i="29"/>
  <c r="L29" i="29"/>
  <c r="M29" i="29"/>
  <c r="N29" i="29"/>
  <c r="O29" i="29"/>
  <c r="Q29" i="29"/>
  <c r="S29" i="29"/>
  <c r="T29" i="29"/>
  <c r="U29" i="29"/>
  <c r="V29" i="29"/>
  <c r="W29" i="29"/>
  <c r="X29" i="29"/>
  <c r="Y29" i="29"/>
  <c r="AA29" i="29"/>
  <c r="AC29" i="29"/>
  <c r="AD29" i="29"/>
  <c r="AE29" i="29"/>
  <c r="AF29" i="29"/>
  <c r="AI29" i="29"/>
  <c r="AJ29" i="29"/>
  <c r="AK29" i="29"/>
  <c r="AL29" i="29"/>
  <c r="AM29" i="29"/>
  <c r="AN29" i="29"/>
  <c r="AO29" i="29"/>
  <c r="AP29" i="29"/>
  <c r="AQ29" i="29"/>
  <c r="AR29" i="29"/>
  <c r="AS29" i="29"/>
  <c r="AT29" i="29"/>
  <c r="AU29" i="29"/>
  <c r="AV29" i="29"/>
  <c r="AW29" i="29"/>
  <c r="AX29" i="29"/>
  <c r="AY29" i="29"/>
  <c r="AZ29" i="29"/>
  <c r="BA29" i="29"/>
  <c r="BB29" i="29"/>
  <c r="BC29" i="29"/>
  <c r="BD29" i="29"/>
  <c r="BF29" i="29"/>
  <c r="BG29" i="29"/>
  <c r="BH29" i="29"/>
  <c r="BI29" i="29"/>
  <c r="BJ29" i="29"/>
  <c r="BK29" i="29"/>
  <c r="BL29" i="29"/>
  <c r="BM29" i="29"/>
  <c r="BN29" i="29"/>
  <c r="BO29" i="29"/>
  <c r="BP29" i="29"/>
  <c r="BQ29" i="29"/>
  <c r="BR29" i="29"/>
  <c r="BS29" i="29"/>
  <c r="BT29" i="29"/>
  <c r="BU29" i="29"/>
  <c r="BV29" i="29"/>
  <c r="BW29" i="29"/>
  <c r="BX29" i="29"/>
  <c r="BY29" i="29"/>
  <c r="BZ29" i="29"/>
  <c r="CA29" i="29"/>
  <c r="CC29" i="29"/>
  <c r="CD29" i="29"/>
  <c r="CE29" i="29"/>
  <c r="CF29" i="29"/>
  <c r="CG29" i="29"/>
  <c r="CH29" i="29"/>
  <c r="CI29" i="29"/>
  <c r="CJ29" i="29"/>
  <c r="CK29" i="29"/>
  <c r="CL29" i="29"/>
  <c r="CM29" i="29"/>
  <c r="CN29" i="29"/>
  <c r="CO29" i="29"/>
  <c r="CP29" i="29"/>
  <c r="CQ29" i="29"/>
  <c r="CR29" i="29"/>
  <c r="CS29" i="29"/>
  <c r="CT29" i="29"/>
  <c r="CU29" i="29"/>
  <c r="CV29" i="29"/>
  <c r="CW29" i="29"/>
  <c r="CX29" i="29"/>
  <c r="G30" i="29"/>
  <c r="H30" i="29"/>
  <c r="I30" i="29"/>
  <c r="J30" i="29"/>
  <c r="K30" i="29"/>
  <c r="L30" i="29"/>
  <c r="M30" i="29"/>
  <c r="N30" i="29"/>
  <c r="O30" i="29"/>
  <c r="Q30" i="29"/>
  <c r="S30" i="29"/>
  <c r="T30" i="29"/>
  <c r="U30" i="29"/>
  <c r="V30" i="29"/>
  <c r="W30" i="29"/>
  <c r="X30" i="29"/>
  <c r="Y30" i="29"/>
  <c r="AA30" i="29"/>
  <c r="AC30" i="29"/>
  <c r="AD30" i="29"/>
  <c r="AE30" i="29"/>
  <c r="AF30" i="29"/>
  <c r="AI30" i="29"/>
  <c r="AJ30" i="29"/>
  <c r="AK30" i="29"/>
  <c r="AL30" i="29"/>
  <c r="AM30" i="29"/>
  <c r="AN30" i="29"/>
  <c r="AO30" i="29"/>
  <c r="AP30" i="29"/>
  <c r="AQ30" i="29"/>
  <c r="AR30" i="29"/>
  <c r="AS30" i="29"/>
  <c r="AT30" i="29"/>
  <c r="AU30" i="29"/>
  <c r="AV30" i="29"/>
  <c r="AW30" i="29"/>
  <c r="AX30" i="29"/>
  <c r="AY30" i="29"/>
  <c r="AZ30" i="29"/>
  <c r="BA30" i="29"/>
  <c r="BB30" i="29"/>
  <c r="BC30" i="29"/>
  <c r="BD30" i="29"/>
  <c r="BF30" i="29"/>
  <c r="BG30" i="29"/>
  <c r="BH30" i="29"/>
  <c r="BI30" i="29"/>
  <c r="BJ30" i="29"/>
  <c r="BK30" i="29"/>
  <c r="BL30" i="29"/>
  <c r="BM30" i="29"/>
  <c r="BN30" i="29"/>
  <c r="BO30" i="29"/>
  <c r="BP30" i="29"/>
  <c r="BQ30" i="29"/>
  <c r="BR30" i="29"/>
  <c r="BS30" i="29"/>
  <c r="BT30" i="29"/>
  <c r="BU30" i="29"/>
  <c r="BV30" i="29"/>
  <c r="BW30" i="29"/>
  <c r="BX30" i="29"/>
  <c r="BY30" i="29"/>
  <c r="BZ30" i="29"/>
  <c r="CA30" i="29"/>
  <c r="CC30" i="29"/>
  <c r="CD30" i="29"/>
  <c r="CE30" i="29"/>
  <c r="CF30" i="29"/>
  <c r="CG30" i="29"/>
  <c r="CH30" i="29"/>
  <c r="CI30" i="29"/>
  <c r="CJ30" i="29"/>
  <c r="CK30" i="29"/>
  <c r="CL30" i="29"/>
  <c r="CM30" i="29"/>
  <c r="CN30" i="29"/>
  <c r="CO30" i="29"/>
  <c r="CP30" i="29"/>
  <c r="CQ30" i="29"/>
  <c r="CR30" i="29"/>
  <c r="CS30" i="29"/>
  <c r="CT30" i="29"/>
  <c r="CU30" i="29"/>
  <c r="CV30" i="29"/>
  <c r="CW30" i="29"/>
  <c r="CX30" i="29"/>
  <c r="G31" i="29"/>
  <c r="H31" i="29"/>
  <c r="I31" i="29"/>
  <c r="J31" i="29"/>
  <c r="K31" i="29"/>
  <c r="L31" i="29"/>
  <c r="M31" i="29"/>
  <c r="N31" i="29"/>
  <c r="O31" i="29"/>
  <c r="Q31" i="29"/>
  <c r="S31" i="29"/>
  <c r="T31" i="29"/>
  <c r="U31" i="29"/>
  <c r="V31" i="29"/>
  <c r="W31" i="29"/>
  <c r="X31" i="29"/>
  <c r="Y31" i="29"/>
  <c r="AA31" i="29"/>
  <c r="AC31" i="29"/>
  <c r="AD31" i="29"/>
  <c r="AE31" i="29"/>
  <c r="AF31" i="29"/>
  <c r="AI31" i="29"/>
  <c r="AJ31" i="29"/>
  <c r="AK31" i="29"/>
  <c r="AL31" i="29"/>
  <c r="AM31" i="29"/>
  <c r="AN31" i="29"/>
  <c r="AO31" i="29"/>
  <c r="AP31" i="29"/>
  <c r="AQ31" i="29"/>
  <c r="AR31" i="29"/>
  <c r="AS31" i="29"/>
  <c r="AT31" i="29"/>
  <c r="AU31" i="29"/>
  <c r="AV31" i="29"/>
  <c r="AW31" i="29"/>
  <c r="AX31" i="29"/>
  <c r="AY31" i="29"/>
  <c r="AZ31" i="29"/>
  <c r="BA31" i="29"/>
  <c r="BB31" i="29"/>
  <c r="BC31" i="29"/>
  <c r="BD31" i="29"/>
  <c r="BF31" i="29"/>
  <c r="BG31" i="29"/>
  <c r="BH31" i="29"/>
  <c r="BI31" i="29"/>
  <c r="BJ31" i="29"/>
  <c r="BK31" i="29"/>
  <c r="BL31" i="29"/>
  <c r="BM31" i="29"/>
  <c r="BN31" i="29"/>
  <c r="BO31" i="29"/>
  <c r="BP31" i="29"/>
  <c r="BQ31" i="29"/>
  <c r="BR31" i="29"/>
  <c r="BS31" i="29"/>
  <c r="BT31" i="29"/>
  <c r="BU31" i="29"/>
  <c r="BV31" i="29"/>
  <c r="BW31" i="29"/>
  <c r="BX31" i="29"/>
  <c r="BY31" i="29"/>
  <c r="BZ31" i="29"/>
  <c r="CA31" i="29"/>
  <c r="CC31" i="29"/>
  <c r="CD31" i="29"/>
  <c r="CE31" i="29"/>
  <c r="CF31" i="29"/>
  <c r="CG31" i="29"/>
  <c r="CH31" i="29"/>
  <c r="CI31" i="29"/>
  <c r="CJ31" i="29"/>
  <c r="CK31" i="29"/>
  <c r="CL31" i="29"/>
  <c r="CM31" i="29"/>
  <c r="CN31" i="29"/>
  <c r="CO31" i="29"/>
  <c r="CP31" i="29"/>
  <c r="CQ31" i="29"/>
  <c r="CR31" i="29"/>
  <c r="CS31" i="29"/>
  <c r="CT31" i="29"/>
  <c r="CU31" i="29"/>
  <c r="CV31" i="29"/>
  <c r="CW31" i="29"/>
  <c r="CX31" i="29"/>
  <c r="G32" i="29"/>
  <c r="H32" i="29"/>
  <c r="I32" i="29"/>
  <c r="J32" i="29"/>
  <c r="K32" i="29"/>
  <c r="L32" i="29"/>
  <c r="M32" i="29"/>
  <c r="N32" i="29"/>
  <c r="O32" i="29"/>
  <c r="Q32" i="29"/>
  <c r="S32" i="29"/>
  <c r="T32" i="29"/>
  <c r="U32" i="29"/>
  <c r="V32" i="29"/>
  <c r="W32" i="29"/>
  <c r="X32" i="29"/>
  <c r="Y32" i="29"/>
  <c r="AA32" i="29"/>
  <c r="AC32" i="29"/>
  <c r="AD32" i="29"/>
  <c r="AE32" i="29"/>
  <c r="AF32" i="29"/>
  <c r="AI32" i="29"/>
  <c r="AJ32" i="29"/>
  <c r="AK32" i="29"/>
  <c r="AL32" i="29"/>
  <c r="AM32" i="29"/>
  <c r="AN32" i="29"/>
  <c r="AO32" i="29"/>
  <c r="AP32" i="29"/>
  <c r="AQ32" i="29"/>
  <c r="AR32" i="29"/>
  <c r="AS32" i="29"/>
  <c r="AT32" i="29"/>
  <c r="AU32" i="29"/>
  <c r="AV32" i="29"/>
  <c r="AW32" i="29"/>
  <c r="AX32" i="29"/>
  <c r="AY32" i="29"/>
  <c r="AZ32" i="29"/>
  <c r="BA32" i="29"/>
  <c r="BB32" i="29"/>
  <c r="BC32" i="29"/>
  <c r="BD32" i="29"/>
  <c r="BF32" i="29"/>
  <c r="BG32" i="29"/>
  <c r="BH32" i="29"/>
  <c r="BI32" i="29"/>
  <c r="BJ32" i="29"/>
  <c r="BK32" i="29"/>
  <c r="BL32" i="29"/>
  <c r="BM32" i="29"/>
  <c r="BN32" i="29"/>
  <c r="BO32" i="29"/>
  <c r="BP32" i="29"/>
  <c r="BQ32" i="29"/>
  <c r="BR32" i="29"/>
  <c r="BS32" i="29"/>
  <c r="BT32" i="29"/>
  <c r="BU32" i="29"/>
  <c r="BV32" i="29"/>
  <c r="BW32" i="29"/>
  <c r="BX32" i="29"/>
  <c r="BY32" i="29"/>
  <c r="BZ32" i="29"/>
  <c r="CA32" i="29"/>
  <c r="CC32" i="29"/>
  <c r="CD32" i="29"/>
  <c r="CE32" i="29"/>
  <c r="CF32" i="29"/>
  <c r="CG32" i="29"/>
  <c r="CH32" i="29"/>
  <c r="CI32" i="29"/>
  <c r="CJ32" i="29"/>
  <c r="CK32" i="29"/>
  <c r="CL32" i="29"/>
  <c r="CM32" i="29"/>
  <c r="CN32" i="29"/>
  <c r="CO32" i="29"/>
  <c r="CP32" i="29"/>
  <c r="CQ32" i="29"/>
  <c r="CR32" i="29"/>
  <c r="CS32" i="29"/>
  <c r="CT32" i="29"/>
  <c r="CU32" i="29"/>
  <c r="CV32" i="29"/>
  <c r="CW32" i="29"/>
  <c r="CX32" i="29"/>
  <c r="G33" i="29"/>
  <c r="H33" i="29"/>
  <c r="I33" i="29"/>
  <c r="J33" i="29"/>
  <c r="K33" i="29"/>
  <c r="L33" i="29"/>
  <c r="M33" i="29"/>
  <c r="N33" i="29"/>
  <c r="O33" i="29"/>
  <c r="Q33" i="29"/>
  <c r="S33" i="29"/>
  <c r="T33" i="29"/>
  <c r="U33" i="29"/>
  <c r="V33" i="29"/>
  <c r="W33" i="29"/>
  <c r="X33" i="29"/>
  <c r="Y33" i="29"/>
  <c r="AA33" i="29"/>
  <c r="AC33" i="29"/>
  <c r="AD33" i="29"/>
  <c r="AE33" i="29"/>
  <c r="AF33" i="29"/>
  <c r="AI33" i="29"/>
  <c r="AJ33" i="29"/>
  <c r="AK33" i="29"/>
  <c r="AL33" i="29"/>
  <c r="AM33" i="29"/>
  <c r="AN33" i="29"/>
  <c r="AO33" i="29"/>
  <c r="AP33" i="29"/>
  <c r="AQ33" i="29"/>
  <c r="AR33" i="29"/>
  <c r="AS33" i="29"/>
  <c r="AT33" i="29"/>
  <c r="AU33" i="29"/>
  <c r="AV33" i="29"/>
  <c r="AW33" i="29"/>
  <c r="AX33" i="29"/>
  <c r="AY33" i="29"/>
  <c r="AZ33" i="29"/>
  <c r="BA33" i="29"/>
  <c r="BB33" i="29"/>
  <c r="BC33" i="29"/>
  <c r="BD33" i="29"/>
  <c r="BF33" i="29"/>
  <c r="BG33" i="29"/>
  <c r="BH33" i="29"/>
  <c r="BI33" i="29"/>
  <c r="BJ33" i="29"/>
  <c r="BK33" i="29"/>
  <c r="BL33" i="29"/>
  <c r="BM33" i="29"/>
  <c r="BN33" i="29"/>
  <c r="BO33" i="29"/>
  <c r="BP33" i="29"/>
  <c r="BQ33" i="29"/>
  <c r="BR33" i="29"/>
  <c r="BS33" i="29"/>
  <c r="BT33" i="29"/>
  <c r="BU33" i="29"/>
  <c r="BV33" i="29"/>
  <c r="BW33" i="29"/>
  <c r="BX33" i="29"/>
  <c r="BY33" i="29"/>
  <c r="BZ33" i="29"/>
  <c r="CA33" i="29"/>
  <c r="CC33" i="29"/>
  <c r="CD33" i="29"/>
  <c r="CE33" i="29"/>
  <c r="CF33" i="29"/>
  <c r="CG33" i="29"/>
  <c r="CH33" i="29"/>
  <c r="CI33" i="29"/>
  <c r="CJ33" i="29"/>
  <c r="CK33" i="29"/>
  <c r="CL33" i="29"/>
  <c r="CM33" i="29"/>
  <c r="CN33" i="29"/>
  <c r="CO33" i="29"/>
  <c r="CP33" i="29"/>
  <c r="CQ33" i="29"/>
  <c r="CR33" i="29"/>
  <c r="CS33" i="29"/>
  <c r="CT33" i="29"/>
  <c r="CU33" i="29"/>
  <c r="CV33" i="29"/>
  <c r="CW33" i="29"/>
  <c r="CX33" i="29"/>
  <c r="G34" i="29"/>
  <c r="H34" i="29"/>
  <c r="I34" i="29"/>
  <c r="J34" i="29"/>
  <c r="K34" i="29"/>
  <c r="L34" i="29"/>
  <c r="M34" i="29"/>
  <c r="N34" i="29"/>
  <c r="O34" i="29"/>
  <c r="Q34" i="29"/>
  <c r="S34" i="29"/>
  <c r="T34" i="29"/>
  <c r="U34" i="29"/>
  <c r="V34" i="29"/>
  <c r="W34" i="29"/>
  <c r="X34" i="29"/>
  <c r="Y34" i="29"/>
  <c r="AA34" i="29"/>
  <c r="AC34" i="29"/>
  <c r="AD34" i="29"/>
  <c r="AE34" i="29"/>
  <c r="AF34" i="29"/>
  <c r="AI34" i="29"/>
  <c r="AJ34" i="29"/>
  <c r="AK34" i="29"/>
  <c r="AL34" i="29"/>
  <c r="AM34" i="29"/>
  <c r="AN34" i="29"/>
  <c r="AO34" i="29"/>
  <c r="AP34" i="29"/>
  <c r="AQ34" i="29"/>
  <c r="AR34" i="29"/>
  <c r="AS34" i="29"/>
  <c r="AT34" i="29"/>
  <c r="AU34" i="29"/>
  <c r="AV34" i="29"/>
  <c r="AW34" i="29"/>
  <c r="AX34" i="29"/>
  <c r="AY34" i="29"/>
  <c r="AZ34" i="29"/>
  <c r="BA34" i="29"/>
  <c r="BB34" i="29"/>
  <c r="BC34" i="29"/>
  <c r="BD34" i="29"/>
  <c r="BF34" i="29"/>
  <c r="BG34" i="29"/>
  <c r="BH34" i="29"/>
  <c r="BI34" i="29"/>
  <c r="BJ34" i="29"/>
  <c r="BK34" i="29"/>
  <c r="BL34" i="29"/>
  <c r="BM34" i="29"/>
  <c r="BN34" i="29"/>
  <c r="BO34" i="29"/>
  <c r="BP34" i="29"/>
  <c r="BQ34" i="29"/>
  <c r="BR34" i="29"/>
  <c r="BS34" i="29"/>
  <c r="BT34" i="29"/>
  <c r="BU34" i="29"/>
  <c r="BV34" i="29"/>
  <c r="BW34" i="29"/>
  <c r="BX34" i="29"/>
  <c r="BY34" i="29"/>
  <c r="BZ34" i="29"/>
  <c r="CA34" i="29"/>
  <c r="CC34" i="29"/>
  <c r="CD34" i="29"/>
  <c r="CE34" i="29"/>
  <c r="CF34" i="29"/>
  <c r="CG34" i="29"/>
  <c r="CH34" i="29"/>
  <c r="CI34" i="29"/>
  <c r="CJ34" i="29"/>
  <c r="CK34" i="29"/>
  <c r="CL34" i="29"/>
  <c r="CM34" i="29"/>
  <c r="CN34" i="29"/>
  <c r="CO34" i="29"/>
  <c r="CP34" i="29"/>
  <c r="CQ34" i="29"/>
  <c r="CR34" i="29"/>
  <c r="CS34" i="29"/>
  <c r="CT34" i="29"/>
  <c r="CU34" i="29"/>
  <c r="CV34" i="29"/>
  <c r="CW34" i="29"/>
  <c r="CX34" i="29"/>
  <c r="G35" i="29"/>
  <c r="H35" i="29"/>
  <c r="I35" i="29"/>
  <c r="J35" i="29"/>
  <c r="K35" i="29"/>
  <c r="L35" i="29"/>
  <c r="M35" i="29"/>
  <c r="N35" i="29"/>
  <c r="O35" i="29"/>
  <c r="Q35" i="29"/>
  <c r="S35" i="29"/>
  <c r="T35" i="29"/>
  <c r="U35" i="29"/>
  <c r="V35" i="29"/>
  <c r="W35" i="29"/>
  <c r="X35" i="29"/>
  <c r="Y35" i="29"/>
  <c r="AA35" i="29"/>
  <c r="AC35" i="29"/>
  <c r="AD35" i="29"/>
  <c r="AE35" i="29"/>
  <c r="AF35" i="29"/>
  <c r="AI35" i="29"/>
  <c r="AJ35" i="29"/>
  <c r="AK35" i="29"/>
  <c r="AL35" i="29"/>
  <c r="AM35" i="29"/>
  <c r="AN35" i="29"/>
  <c r="AO35" i="29"/>
  <c r="AP35" i="29"/>
  <c r="AQ35" i="29"/>
  <c r="AR35" i="29"/>
  <c r="AS35" i="29"/>
  <c r="AT35" i="29"/>
  <c r="AU35" i="29"/>
  <c r="AV35" i="29"/>
  <c r="AW35" i="29"/>
  <c r="AX35" i="29"/>
  <c r="AY35" i="29"/>
  <c r="AZ35" i="29"/>
  <c r="BA35" i="29"/>
  <c r="BB35" i="29"/>
  <c r="BC35" i="29"/>
  <c r="BD35" i="29"/>
  <c r="BF35" i="29"/>
  <c r="BG35" i="29"/>
  <c r="BH35" i="29"/>
  <c r="BI35" i="29"/>
  <c r="BJ35" i="29"/>
  <c r="BK35" i="29"/>
  <c r="BL35" i="29"/>
  <c r="BM35" i="29"/>
  <c r="BN35" i="29"/>
  <c r="BO35" i="29"/>
  <c r="BP35" i="29"/>
  <c r="BQ35" i="29"/>
  <c r="BR35" i="29"/>
  <c r="BS35" i="29"/>
  <c r="BT35" i="29"/>
  <c r="BU35" i="29"/>
  <c r="BV35" i="29"/>
  <c r="BW35" i="29"/>
  <c r="BX35" i="29"/>
  <c r="BY35" i="29"/>
  <c r="BZ35" i="29"/>
  <c r="CA35" i="29"/>
  <c r="CC35" i="29"/>
  <c r="CD35" i="29"/>
  <c r="CE35" i="29"/>
  <c r="CF35" i="29"/>
  <c r="CG35" i="29"/>
  <c r="CH35" i="29"/>
  <c r="CI35" i="29"/>
  <c r="CJ35" i="29"/>
  <c r="CK35" i="29"/>
  <c r="CL35" i="29"/>
  <c r="CM35" i="29"/>
  <c r="CN35" i="29"/>
  <c r="CO35" i="29"/>
  <c r="CP35" i="29"/>
  <c r="CQ35" i="29"/>
  <c r="CR35" i="29"/>
  <c r="CS35" i="29"/>
  <c r="CT35" i="29"/>
  <c r="CU35" i="29"/>
  <c r="CV35" i="29"/>
  <c r="CW35" i="29"/>
  <c r="CX35" i="29"/>
  <c r="G36" i="29"/>
  <c r="H36" i="29"/>
  <c r="I36" i="29"/>
  <c r="J36" i="29"/>
  <c r="K36" i="29"/>
  <c r="L36" i="29"/>
  <c r="M36" i="29"/>
  <c r="N36" i="29"/>
  <c r="O36" i="29"/>
  <c r="Q36" i="29"/>
  <c r="S36" i="29"/>
  <c r="T36" i="29"/>
  <c r="U36" i="29"/>
  <c r="V36" i="29"/>
  <c r="W36" i="29"/>
  <c r="X36" i="29"/>
  <c r="Y36" i="29"/>
  <c r="AA36" i="29"/>
  <c r="AC36" i="29"/>
  <c r="AD36" i="29"/>
  <c r="AE36" i="29"/>
  <c r="AF36" i="29"/>
  <c r="AI36" i="29"/>
  <c r="AJ36" i="29"/>
  <c r="AK36" i="29"/>
  <c r="AL36" i="29"/>
  <c r="AM36" i="29"/>
  <c r="AN36" i="29"/>
  <c r="AO36" i="29"/>
  <c r="AP36" i="29"/>
  <c r="AQ36" i="29"/>
  <c r="AR36" i="29"/>
  <c r="AS36" i="29"/>
  <c r="AT36" i="29"/>
  <c r="AU36" i="29"/>
  <c r="AV36" i="29"/>
  <c r="AW36" i="29"/>
  <c r="AX36" i="29"/>
  <c r="AY36" i="29"/>
  <c r="AZ36" i="29"/>
  <c r="BA36" i="29"/>
  <c r="BB36" i="29"/>
  <c r="BC36" i="29"/>
  <c r="BD36" i="29"/>
  <c r="BF36" i="29"/>
  <c r="BG36" i="29"/>
  <c r="BH36" i="29"/>
  <c r="BI36" i="29"/>
  <c r="BJ36" i="29"/>
  <c r="BK36" i="29"/>
  <c r="BL36" i="29"/>
  <c r="BM36" i="29"/>
  <c r="BN36" i="29"/>
  <c r="BO36" i="29"/>
  <c r="BP36" i="29"/>
  <c r="BQ36" i="29"/>
  <c r="BR36" i="29"/>
  <c r="BS36" i="29"/>
  <c r="BT36" i="29"/>
  <c r="BU36" i="29"/>
  <c r="BV36" i="29"/>
  <c r="BW36" i="29"/>
  <c r="BX36" i="29"/>
  <c r="BY36" i="29"/>
  <c r="BZ36" i="29"/>
  <c r="CA36" i="29"/>
  <c r="CC36" i="29"/>
  <c r="CD36" i="29"/>
  <c r="CE36" i="29"/>
  <c r="CF36" i="29"/>
  <c r="CG36" i="29"/>
  <c r="CH36" i="29"/>
  <c r="CI36" i="29"/>
  <c r="CJ36" i="29"/>
  <c r="CK36" i="29"/>
  <c r="CL36" i="29"/>
  <c r="CM36" i="29"/>
  <c r="CN36" i="29"/>
  <c r="CO36" i="29"/>
  <c r="CP36" i="29"/>
  <c r="CQ36" i="29"/>
  <c r="CR36" i="29"/>
  <c r="CS36" i="29"/>
  <c r="CT36" i="29"/>
  <c r="CU36" i="29"/>
  <c r="CV36" i="29"/>
  <c r="CW36" i="29"/>
  <c r="CX36" i="29"/>
  <c r="G37" i="29"/>
  <c r="H37" i="29"/>
  <c r="I37" i="29"/>
  <c r="J37" i="29"/>
  <c r="K37" i="29"/>
  <c r="L37" i="29"/>
  <c r="M37" i="29"/>
  <c r="N37" i="29"/>
  <c r="O37" i="29"/>
  <c r="Q37" i="29"/>
  <c r="S37" i="29"/>
  <c r="T37" i="29"/>
  <c r="U37" i="29"/>
  <c r="V37" i="29"/>
  <c r="W37" i="29"/>
  <c r="X37" i="29"/>
  <c r="Y37" i="29"/>
  <c r="AA37" i="29"/>
  <c r="AC37" i="29"/>
  <c r="AD37" i="29"/>
  <c r="AE37" i="29"/>
  <c r="AF37" i="29"/>
  <c r="AI37" i="29"/>
  <c r="AJ37" i="29"/>
  <c r="AK37" i="29"/>
  <c r="AL37" i="29"/>
  <c r="AM37" i="29"/>
  <c r="AN37" i="29"/>
  <c r="AO37" i="29"/>
  <c r="AP37" i="29"/>
  <c r="AQ37" i="29"/>
  <c r="AR37" i="29"/>
  <c r="AS37" i="29"/>
  <c r="AT37" i="29"/>
  <c r="AU37" i="29"/>
  <c r="AV37" i="29"/>
  <c r="AW37" i="29"/>
  <c r="AX37" i="29"/>
  <c r="AY37" i="29"/>
  <c r="AZ37" i="29"/>
  <c r="BA37" i="29"/>
  <c r="BB37" i="29"/>
  <c r="BC37" i="29"/>
  <c r="BD37" i="29"/>
  <c r="BF37" i="29"/>
  <c r="BG37" i="29"/>
  <c r="BH37" i="29"/>
  <c r="BI37" i="29"/>
  <c r="BJ37" i="29"/>
  <c r="BK37" i="29"/>
  <c r="BL37" i="29"/>
  <c r="BM37" i="29"/>
  <c r="BN37" i="29"/>
  <c r="BO37" i="29"/>
  <c r="BP37" i="29"/>
  <c r="BQ37" i="29"/>
  <c r="BR37" i="29"/>
  <c r="BS37" i="29"/>
  <c r="BT37" i="29"/>
  <c r="BU37" i="29"/>
  <c r="BV37" i="29"/>
  <c r="BW37" i="29"/>
  <c r="BX37" i="29"/>
  <c r="BY37" i="29"/>
  <c r="BZ37" i="29"/>
  <c r="CA37" i="29"/>
  <c r="CC37" i="29"/>
  <c r="CD37" i="29"/>
  <c r="CE37" i="29"/>
  <c r="CF37" i="29"/>
  <c r="CG37" i="29"/>
  <c r="CH37" i="29"/>
  <c r="CI37" i="29"/>
  <c r="CJ37" i="29"/>
  <c r="CK37" i="29"/>
  <c r="CL37" i="29"/>
  <c r="CM37" i="29"/>
  <c r="CN37" i="29"/>
  <c r="CO37" i="29"/>
  <c r="CP37" i="29"/>
  <c r="CQ37" i="29"/>
  <c r="CR37" i="29"/>
  <c r="CS37" i="29"/>
  <c r="CT37" i="29"/>
  <c r="CU37" i="29"/>
  <c r="CV37" i="29"/>
  <c r="CW37" i="29"/>
  <c r="CX37" i="29"/>
  <c r="G38" i="29"/>
  <c r="H38" i="29"/>
  <c r="I38" i="29"/>
  <c r="J38" i="29"/>
  <c r="K38" i="29"/>
  <c r="L38" i="29"/>
  <c r="M38" i="29"/>
  <c r="N38" i="29"/>
  <c r="O38" i="29"/>
  <c r="Q38" i="29"/>
  <c r="S38" i="29"/>
  <c r="T38" i="29"/>
  <c r="U38" i="29"/>
  <c r="V38" i="29"/>
  <c r="W38" i="29"/>
  <c r="X38" i="29"/>
  <c r="Y38" i="29"/>
  <c r="AA38" i="29"/>
  <c r="AC38" i="29"/>
  <c r="AD38" i="29"/>
  <c r="AE38" i="29"/>
  <c r="AF38" i="29"/>
  <c r="AI38" i="29"/>
  <c r="AJ38" i="29"/>
  <c r="AK38" i="29"/>
  <c r="AL38" i="29"/>
  <c r="AM38" i="29"/>
  <c r="AN38" i="29"/>
  <c r="AO38" i="29"/>
  <c r="AP38" i="29"/>
  <c r="AQ38" i="29"/>
  <c r="AR38" i="29"/>
  <c r="AS38" i="29"/>
  <c r="AT38" i="29"/>
  <c r="AU38" i="29"/>
  <c r="AV38" i="29"/>
  <c r="AW38" i="29"/>
  <c r="AX38" i="29"/>
  <c r="AY38" i="29"/>
  <c r="AZ38" i="29"/>
  <c r="BA38" i="29"/>
  <c r="BB38" i="29"/>
  <c r="BC38" i="29"/>
  <c r="BD38" i="29"/>
  <c r="BF38" i="29"/>
  <c r="BG38" i="29"/>
  <c r="BH38" i="29"/>
  <c r="BI38" i="29"/>
  <c r="BJ38" i="29"/>
  <c r="BK38" i="29"/>
  <c r="BL38" i="29"/>
  <c r="BM38" i="29"/>
  <c r="BN38" i="29"/>
  <c r="BO38" i="29"/>
  <c r="BP38" i="29"/>
  <c r="BQ38" i="29"/>
  <c r="BR38" i="29"/>
  <c r="BS38" i="29"/>
  <c r="BT38" i="29"/>
  <c r="BU38" i="29"/>
  <c r="BV38" i="29"/>
  <c r="BW38" i="29"/>
  <c r="BX38" i="29"/>
  <c r="BY38" i="29"/>
  <c r="BZ38" i="29"/>
  <c r="CA38" i="29"/>
  <c r="CC38" i="29"/>
  <c r="CD38" i="29"/>
  <c r="CE38" i="29"/>
  <c r="CF38" i="29"/>
  <c r="CG38" i="29"/>
  <c r="CH38" i="29"/>
  <c r="CI38" i="29"/>
  <c r="CJ38" i="29"/>
  <c r="CK38" i="29"/>
  <c r="CL38" i="29"/>
  <c r="CM38" i="29"/>
  <c r="CN38" i="29"/>
  <c r="CO38" i="29"/>
  <c r="CP38" i="29"/>
  <c r="CQ38" i="29"/>
  <c r="CR38" i="29"/>
  <c r="CS38" i="29"/>
  <c r="CT38" i="29"/>
  <c r="CU38" i="29"/>
  <c r="CV38" i="29"/>
  <c r="CW38" i="29"/>
  <c r="CX38" i="29"/>
  <c r="G39" i="29"/>
  <c r="H39" i="29"/>
  <c r="I39" i="29"/>
  <c r="J39" i="29"/>
  <c r="K39" i="29"/>
  <c r="L39" i="29"/>
  <c r="M39" i="29"/>
  <c r="N39" i="29"/>
  <c r="O39" i="29"/>
  <c r="Q39" i="29"/>
  <c r="S39" i="29"/>
  <c r="T39" i="29"/>
  <c r="U39" i="29"/>
  <c r="V39" i="29"/>
  <c r="W39" i="29"/>
  <c r="X39" i="29"/>
  <c r="Y39" i="29"/>
  <c r="AA39" i="29"/>
  <c r="AC39" i="29"/>
  <c r="AD39" i="29"/>
  <c r="AE39" i="29"/>
  <c r="AF39" i="29"/>
  <c r="AI39" i="29"/>
  <c r="AJ39" i="29"/>
  <c r="AK39" i="29"/>
  <c r="AL39" i="29"/>
  <c r="AM39" i="29"/>
  <c r="AN39" i="29"/>
  <c r="AO39" i="29"/>
  <c r="AP39" i="29"/>
  <c r="AQ39" i="29"/>
  <c r="AR39" i="29"/>
  <c r="AS39" i="29"/>
  <c r="AT39" i="29"/>
  <c r="AU39" i="29"/>
  <c r="AV39" i="29"/>
  <c r="AW39" i="29"/>
  <c r="AX39" i="29"/>
  <c r="AY39" i="29"/>
  <c r="AZ39" i="29"/>
  <c r="BA39" i="29"/>
  <c r="BB39" i="29"/>
  <c r="BC39" i="29"/>
  <c r="BD39" i="29"/>
  <c r="BF39" i="29"/>
  <c r="BG39" i="29"/>
  <c r="BH39" i="29"/>
  <c r="BI39" i="29"/>
  <c r="BJ39" i="29"/>
  <c r="BK39" i="29"/>
  <c r="BL39" i="29"/>
  <c r="BM39" i="29"/>
  <c r="BN39" i="29"/>
  <c r="BO39" i="29"/>
  <c r="BP39" i="29"/>
  <c r="BQ39" i="29"/>
  <c r="BR39" i="29"/>
  <c r="BS39" i="29"/>
  <c r="BT39" i="29"/>
  <c r="BU39" i="29"/>
  <c r="BV39" i="29"/>
  <c r="BW39" i="29"/>
  <c r="BX39" i="29"/>
  <c r="BY39" i="29"/>
  <c r="BZ39" i="29"/>
  <c r="CA39" i="29"/>
  <c r="CC39" i="29"/>
  <c r="CD39" i="29"/>
  <c r="CE39" i="29"/>
  <c r="CF39" i="29"/>
  <c r="CG39" i="29"/>
  <c r="CH39" i="29"/>
  <c r="CI39" i="29"/>
  <c r="CJ39" i="29"/>
  <c r="CK39" i="29"/>
  <c r="CL39" i="29"/>
  <c r="CM39" i="29"/>
  <c r="CN39" i="29"/>
  <c r="CO39" i="29"/>
  <c r="CP39" i="29"/>
  <c r="CQ39" i="29"/>
  <c r="CR39" i="29"/>
  <c r="CS39" i="29"/>
  <c r="CT39" i="29"/>
  <c r="CU39" i="29"/>
  <c r="CV39" i="29"/>
  <c r="CW39" i="29"/>
  <c r="CX39" i="29"/>
  <c r="G40" i="29"/>
  <c r="H40" i="29"/>
  <c r="I40" i="29"/>
  <c r="J40" i="29"/>
  <c r="K40" i="29"/>
  <c r="L40" i="29"/>
  <c r="M40" i="29"/>
  <c r="N40" i="29"/>
  <c r="O40" i="29"/>
  <c r="Q40" i="29"/>
  <c r="S40" i="29"/>
  <c r="T40" i="29"/>
  <c r="U40" i="29"/>
  <c r="V40" i="29"/>
  <c r="W40" i="29"/>
  <c r="X40" i="29"/>
  <c r="Y40" i="29"/>
  <c r="AA40" i="29"/>
  <c r="AC40" i="29"/>
  <c r="AD40" i="29"/>
  <c r="AE40" i="29"/>
  <c r="AF40" i="29"/>
  <c r="AI40" i="29"/>
  <c r="AJ40" i="29"/>
  <c r="AK40" i="29"/>
  <c r="AL40" i="29"/>
  <c r="AM40" i="29"/>
  <c r="AN40" i="29"/>
  <c r="AO40" i="29"/>
  <c r="AP40" i="29"/>
  <c r="AQ40" i="29"/>
  <c r="AR40" i="29"/>
  <c r="AS40" i="29"/>
  <c r="AT40" i="29"/>
  <c r="AU40" i="29"/>
  <c r="AV40" i="29"/>
  <c r="AW40" i="29"/>
  <c r="AX40" i="29"/>
  <c r="AY40" i="29"/>
  <c r="AZ40" i="29"/>
  <c r="BA40" i="29"/>
  <c r="BB40" i="29"/>
  <c r="BC40" i="29"/>
  <c r="BD40" i="29"/>
  <c r="BF40" i="29"/>
  <c r="BG40" i="29"/>
  <c r="BH40" i="29"/>
  <c r="BI40" i="29"/>
  <c r="BJ40" i="29"/>
  <c r="BK40" i="29"/>
  <c r="BL40" i="29"/>
  <c r="BM40" i="29"/>
  <c r="BN40" i="29"/>
  <c r="BO40" i="29"/>
  <c r="BP40" i="29"/>
  <c r="BQ40" i="29"/>
  <c r="BR40" i="29"/>
  <c r="BS40" i="29"/>
  <c r="BT40" i="29"/>
  <c r="BU40" i="29"/>
  <c r="BV40" i="29"/>
  <c r="BW40" i="29"/>
  <c r="BX40" i="29"/>
  <c r="BY40" i="29"/>
  <c r="BZ40" i="29"/>
  <c r="CA40" i="29"/>
  <c r="CC40" i="29"/>
  <c r="CD40" i="29"/>
  <c r="CE40" i="29"/>
  <c r="CF40" i="29"/>
  <c r="CG40" i="29"/>
  <c r="CH40" i="29"/>
  <c r="CI40" i="29"/>
  <c r="CJ40" i="29"/>
  <c r="CK40" i="29"/>
  <c r="CL40" i="29"/>
  <c r="CM40" i="29"/>
  <c r="CN40" i="29"/>
  <c r="CO40" i="29"/>
  <c r="CP40" i="29"/>
  <c r="CQ40" i="29"/>
  <c r="CR40" i="29"/>
  <c r="CS40" i="29"/>
  <c r="CT40" i="29"/>
  <c r="CU40" i="29"/>
  <c r="CV40" i="29"/>
  <c r="CW40" i="29"/>
  <c r="CX40" i="29"/>
  <c r="G21" i="37"/>
  <c r="H21" i="37"/>
  <c r="I21" i="37"/>
  <c r="J21" i="37"/>
  <c r="K21" i="37"/>
  <c r="L21" i="37"/>
  <c r="M21" i="37"/>
  <c r="N21" i="37"/>
  <c r="O21" i="37"/>
  <c r="Q21" i="37"/>
  <c r="S21" i="37"/>
  <c r="T21" i="37"/>
  <c r="U21" i="37"/>
  <c r="V21" i="37"/>
  <c r="W21" i="37"/>
  <c r="X21" i="37"/>
  <c r="Y21" i="37"/>
  <c r="AA21" i="37"/>
  <c r="AC21" i="37"/>
  <c r="AD21" i="37"/>
  <c r="AE21" i="37"/>
  <c r="AF21" i="37"/>
  <c r="AI21" i="37"/>
  <c r="AJ21" i="37"/>
  <c r="AK21" i="37"/>
  <c r="AL21" i="37"/>
  <c r="AM21" i="37"/>
  <c r="AN21" i="37"/>
  <c r="AO21" i="37"/>
  <c r="AP21" i="37"/>
  <c r="AQ21" i="37"/>
  <c r="AR21" i="37"/>
  <c r="AS21" i="37"/>
  <c r="AT21" i="37"/>
  <c r="AU21" i="37"/>
  <c r="AV21" i="37"/>
  <c r="AW21" i="37"/>
  <c r="AX21" i="37"/>
  <c r="AY21" i="37"/>
  <c r="AZ21" i="37"/>
  <c r="BA21" i="37"/>
  <c r="BB21" i="37"/>
  <c r="BC21" i="37"/>
  <c r="BD21" i="37"/>
  <c r="BF21" i="37"/>
  <c r="BG21" i="37"/>
  <c r="BH21" i="37"/>
  <c r="BI21" i="37"/>
  <c r="BJ21" i="37"/>
  <c r="BK21" i="37"/>
  <c r="BL21" i="37"/>
  <c r="BM21" i="37"/>
  <c r="BN21" i="37"/>
  <c r="BO21" i="37"/>
  <c r="BP21" i="37"/>
  <c r="BQ21" i="37"/>
  <c r="BR21" i="37"/>
  <c r="BS21" i="37"/>
  <c r="BT21" i="37"/>
  <c r="BU21" i="37"/>
  <c r="BV21" i="37"/>
  <c r="BW21" i="37"/>
  <c r="BX21" i="37"/>
  <c r="BY21" i="37"/>
  <c r="BZ21" i="37"/>
  <c r="CA21" i="37"/>
  <c r="CC21" i="37"/>
  <c r="CD21" i="37"/>
  <c r="CE21" i="37"/>
  <c r="CF21" i="37"/>
  <c r="CG21" i="37"/>
  <c r="CH21" i="37"/>
  <c r="CI21" i="37"/>
  <c r="CJ21" i="37"/>
  <c r="CK21" i="37"/>
  <c r="CL21" i="37"/>
  <c r="CM21" i="37"/>
  <c r="CN21" i="37"/>
  <c r="CO21" i="37"/>
  <c r="CP21" i="37"/>
  <c r="CQ21" i="37"/>
  <c r="CR21" i="37"/>
  <c r="CS21" i="37"/>
  <c r="CT21" i="37"/>
  <c r="CU21" i="37"/>
  <c r="CV21" i="37"/>
  <c r="CW21" i="37"/>
  <c r="CX21" i="37"/>
  <c r="G22" i="37"/>
  <c r="H22" i="37"/>
  <c r="I22" i="37"/>
  <c r="J22" i="37"/>
  <c r="K22" i="37"/>
  <c r="L22" i="37"/>
  <c r="M22" i="37"/>
  <c r="N22" i="37"/>
  <c r="O22" i="37"/>
  <c r="Q22" i="37"/>
  <c r="S22" i="37"/>
  <c r="T22" i="37"/>
  <c r="U22" i="37"/>
  <c r="V22" i="37"/>
  <c r="W22" i="37"/>
  <c r="X22" i="37"/>
  <c r="Y22" i="37"/>
  <c r="AA22" i="37"/>
  <c r="AC22" i="37"/>
  <c r="AD22" i="37"/>
  <c r="AE22" i="37"/>
  <c r="AF22" i="37"/>
  <c r="AI22" i="37"/>
  <c r="AJ22" i="37"/>
  <c r="AK22" i="37"/>
  <c r="AL22" i="37"/>
  <c r="AM22" i="37"/>
  <c r="AN22" i="37"/>
  <c r="AO22" i="37"/>
  <c r="AP22" i="37"/>
  <c r="AQ22" i="37"/>
  <c r="AR22" i="37"/>
  <c r="AS22" i="37"/>
  <c r="AT22" i="37"/>
  <c r="AU22" i="37"/>
  <c r="AV22" i="37"/>
  <c r="AW22" i="37"/>
  <c r="AX22" i="37"/>
  <c r="AY22" i="37"/>
  <c r="AZ22" i="37"/>
  <c r="BA22" i="37"/>
  <c r="BB22" i="37"/>
  <c r="BC22" i="37"/>
  <c r="BD22" i="37"/>
  <c r="BF22" i="37"/>
  <c r="BG22" i="37"/>
  <c r="BH22" i="37"/>
  <c r="BI22" i="37"/>
  <c r="BJ22" i="37"/>
  <c r="BK22" i="37"/>
  <c r="BL22" i="37"/>
  <c r="BM22" i="37"/>
  <c r="BN22" i="37"/>
  <c r="BO22" i="37"/>
  <c r="BP22" i="37"/>
  <c r="BQ22" i="37"/>
  <c r="BR22" i="37"/>
  <c r="BS22" i="37"/>
  <c r="BT22" i="37"/>
  <c r="BU22" i="37"/>
  <c r="BV22" i="37"/>
  <c r="BW22" i="37"/>
  <c r="BX22" i="37"/>
  <c r="BY22" i="37"/>
  <c r="BZ22" i="37"/>
  <c r="CA22" i="37"/>
  <c r="CC22" i="37"/>
  <c r="CD22" i="37"/>
  <c r="CE22" i="37"/>
  <c r="CF22" i="37"/>
  <c r="CG22" i="37"/>
  <c r="CH22" i="37"/>
  <c r="CI22" i="37"/>
  <c r="CJ22" i="37"/>
  <c r="CK22" i="37"/>
  <c r="CL22" i="37"/>
  <c r="CM22" i="37"/>
  <c r="CN22" i="37"/>
  <c r="CO22" i="37"/>
  <c r="CP22" i="37"/>
  <c r="CQ22" i="37"/>
  <c r="CR22" i="37"/>
  <c r="CS22" i="37"/>
  <c r="CT22" i="37"/>
  <c r="CU22" i="37"/>
  <c r="CV22" i="37"/>
  <c r="CW22" i="37"/>
  <c r="CX22" i="37"/>
  <c r="G23" i="37"/>
  <c r="H23" i="37"/>
  <c r="I23" i="37"/>
  <c r="J23" i="37"/>
  <c r="K23" i="37"/>
  <c r="L23" i="37"/>
  <c r="M23" i="37"/>
  <c r="N23" i="37"/>
  <c r="O23" i="37"/>
  <c r="Q23" i="37"/>
  <c r="S23" i="37"/>
  <c r="T23" i="37"/>
  <c r="U23" i="37"/>
  <c r="V23" i="37"/>
  <c r="W23" i="37"/>
  <c r="X23" i="37"/>
  <c r="Y23" i="37"/>
  <c r="AA23" i="37"/>
  <c r="AC23" i="37"/>
  <c r="AD23" i="37"/>
  <c r="AE23" i="37"/>
  <c r="AF23" i="37"/>
  <c r="AI23" i="37"/>
  <c r="AJ23" i="37"/>
  <c r="AK23" i="37"/>
  <c r="AL23" i="37"/>
  <c r="AM23" i="37"/>
  <c r="AN23" i="37"/>
  <c r="AO23" i="37"/>
  <c r="AP23" i="37"/>
  <c r="AQ23" i="37"/>
  <c r="AR23" i="37"/>
  <c r="AS23" i="37"/>
  <c r="AT23" i="37"/>
  <c r="AU23" i="37"/>
  <c r="AV23" i="37"/>
  <c r="AW23" i="37"/>
  <c r="AX23" i="37"/>
  <c r="AY23" i="37"/>
  <c r="AZ23" i="37"/>
  <c r="BA23" i="37"/>
  <c r="BB23" i="37"/>
  <c r="BC23" i="37"/>
  <c r="BD23" i="37"/>
  <c r="BF23" i="37"/>
  <c r="BG23" i="37"/>
  <c r="BH23" i="37"/>
  <c r="BI23" i="37"/>
  <c r="BJ23" i="37"/>
  <c r="BK23" i="37"/>
  <c r="BL23" i="37"/>
  <c r="BM23" i="37"/>
  <c r="BN23" i="37"/>
  <c r="BO23" i="37"/>
  <c r="BP23" i="37"/>
  <c r="BQ23" i="37"/>
  <c r="BR23" i="37"/>
  <c r="BS23" i="37"/>
  <c r="BT23" i="37"/>
  <c r="BU23" i="37"/>
  <c r="BV23" i="37"/>
  <c r="BW23" i="37"/>
  <c r="BX23" i="37"/>
  <c r="BY23" i="37"/>
  <c r="BZ23" i="37"/>
  <c r="CA23" i="37"/>
  <c r="CC23" i="37"/>
  <c r="CD23" i="37"/>
  <c r="CE23" i="37"/>
  <c r="CF23" i="37"/>
  <c r="CG23" i="37"/>
  <c r="CH23" i="37"/>
  <c r="CI23" i="37"/>
  <c r="CJ23" i="37"/>
  <c r="CK23" i="37"/>
  <c r="CL23" i="37"/>
  <c r="CM23" i="37"/>
  <c r="CN23" i="37"/>
  <c r="CO23" i="37"/>
  <c r="CP23" i="37"/>
  <c r="CQ23" i="37"/>
  <c r="CR23" i="37"/>
  <c r="CS23" i="37"/>
  <c r="CT23" i="37"/>
  <c r="CU23" i="37"/>
  <c r="CV23" i="37"/>
  <c r="CW23" i="37"/>
  <c r="CX23" i="37"/>
  <c r="G24" i="37"/>
  <c r="H24" i="37"/>
  <c r="I24" i="37"/>
  <c r="J24" i="37"/>
  <c r="K24" i="37"/>
  <c r="L24" i="37"/>
  <c r="M24" i="37"/>
  <c r="N24" i="37"/>
  <c r="O24" i="37"/>
  <c r="Q24" i="37"/>
  <c r="S24" i="37"/>
  <c r="T24" i="37"/>
  <c r="U24" i="37"/>
  <c r="V24" i="37"/>
  <c r="W24" i="37"/>
  <c r="X24" i="37"/>
  <c r="Y24" i="37"/>
  <c r="AA24" i="37"/>
  <c r="AC24" i="37"/>
  <c r="AD24" i="37"/>
  <c r="AE24" i="37"/>
  <c r="AF24" i="37"/>
  <c r="AI24" i="37"/>
  <c r="AJ24" i="37"/>
  <c r="AK24" i="37"/>
  <c r="AL24" i="37"/>
  <c r="AM24" i="37"/>
  <c r="AN24" i="37"/>
  <c r="AO24" i="37"/>
  <c r="AP24" i="37"/>
  <c r="AQ24" i="37"/>
  <c r="AR24" i="37"/>
  <c r="AS24" i="37"/>
  <c r="AT24" i="37"/>
  <c r="AU24" i="37"/>
  <c r="AV24" i="37"/>
  <c r="AW24" i="37"/>
  <c r="AX24" i="37"/>
  <c r="AY24" i="37"/>
  <c r="AZ24" i="37"/>
  <c r="BA24" i="37"/>
  <c r="BB24" i="37"/>
  <c r="BC24" i="37"/>
  <c r="BD24" i="37"/>
  <c r="BF24" i="37"/>
  <c r="BG24" i="37"/>
  <c r="BH24" i="37"/>
  <c r="BI24" i="37"/>
  <c r="BJ24" i="37"/>
  <c r="BK24" i="37"/>
  <c r="BL24" i="37"/>
  <c r="BM24" i="37"/>
  <c r="BN24" i="37"/>
  <c r="BO24" i="37"/>
  <c r="BP24" i="37"/>
  <c r="BQ24" i="37"/>
  <c r="BR24" i="37"/>
  <c r="BS24" i="37"/>
  <c r="BT24" i="37"/>
  <c r="BU24" i="37"/>
  <c r="BV24" i="37"/>
  <c r="BW24" i="37"/>
  <c r="BX24" i="37"/>
  <c r="BY24" i="37"/>
  <c r="BZ24" i="37"/>
  <c r="CA24" i="37"/>
  <c r="CC24" i="37"/>
  <c r="CD24" i="37"/>
  <c r="CE24" i="37"/>
  <c r="CF24" i="37"/>
  <c r="CG24" i="37"/>
  <c r="CH24" i="37"/>
  <c r="CI24" i="37"/>
  <c r="CJ24" i="37"/>
  <c r="CK24" i="37"/>
  <c r="CL24" i="37"/>
  <c r="CM24" i="37"/>
  <c r="CN24" i="37"/>
  <c r="CO24" i="37"/>
  <c r="CP24" i="37"/>
  <c r="CQ24" i="37"/>
  <c r="CR24" i="37"/>
  <c r="CS24" i="37"/>
  <c r="CT24" i="37"/>
  <c r="CU24" i="37"/>
  <c r="CV24" i="37"/>
  <c r="CW24" i="37"/>
  <c r="CX24" i="37"/>
  <c r="G25" i="37"/>
  <c r="H25" i="37"/>
  <c r="I25" i="37"/>
  <c r="J25" i="37"/>
  <c r="K25" i="37"/>
  <c r="L25" i="37"/>
  <c r="M25" i="37"/>
  <c r="N25" i="37"/>
  <c r="O25" i="37"/>
  <c r="Q25" i="37"/>
  <c r="S25" i="37"/>
  <c r="T25" i="37"/>
  <c r="U25" i="37"/>
  <c r="V25" i="37"/>
  <c r="W25" i="37"/>
  <c r="X25" i="37"/>
  <c r="Y25" i="37"/>
  <c r="AA25" i="37"/>
  <c r="AC25" i="37"/>
  <c r="AD25" i="37"/>
  <c r="AE25" i="37"/>
  <c r="AF25" i="37"/>
  <c r="AI25" i="37"/>
  <c r="AJ25" i="37"/>
  <c r="AK25" i="37"/>
  <c r="AL25" i="37"/>
  <c r="AM25" i="37"/>
  <c r="AN25" i="37"/>
  <c r="AO25" i="37"/>
  <c r="AP25" i="37"/>
  <c r="AQ25" i="37"/>
  <c r="AR25" i="37"/>
  <c r="AS25" i="37"/>
  <c r="AT25" i="37"/>
  <c r="AU25" i="37"/>
  <c r="AV25" i="37"/>
  <c r="AW25" i="37"/>
  <c r="AX25" i="37"/>
  <c r="AY25" i="37"/>
  <c r="AZ25" i="37"/>
  <c r="BA25" i="37"/>
  <c r="BB25" i="37"/>
  <c r="BC25" i="37"/>
  <c r="BD25" i="37"/>
  <c r="BF25" i="37"/>
  <c r="BG25" i="37"/>
  <c r="BH25" i="37"/>
  <c r="BI25" i="37"/>
  <c r="BJ25" i="37"/>
  <c r="BK25" i="37"/>
  <c r="BL25" i="37"/>
  <c r="BM25" i="37"/>
  <c r="BN25" i="37"/>
  <c r="BO25" i="37"/>
  <c r="BP25" i="37"/>
  <c r="BQ25" i="37"/>
  <c r="BR25" i="37"/>
  <c r="BS25" i="37"/>
  <c r="BT25" i="37"/>
  <c r="BU25" i="37"/>
  <c r="BV25" i="37"/>
  <c r="BW25" i="37"/>
  <c r="BX25" i="37"/>
  <c r="BY25" i="37"/>
  <c r="BZ25" i="37"/>
  <c r="CA25" i="37"/>
  <c r="CC25" i="37"/>
  <c r="CD25" i="37"/>
  <c r="CE25" i="37"/>
  <c r="CF25" i="37"/>
  <c r="CG25" i="37"/>
  <c r="CH25" i="37"/>
  <c r="CI25" i="37"/>
  <c r="CJ25" i="37"/>
  <c r="CK25" i="37"/>
  <c r="CL25" i="37"/>
  <c r="CM25" i="37"/>
  <c r="CN25" i="37"/>
  <c r="CO25" i="37"/>
  <c r="CP25" i="37"/>
  <c r="CQ25" i="37"/>
  <c r="CR25" i="37"/>
  <c r="CS25" i="37"/>
  <c r="CT25" i="37"/>
  <c r="CU25" i="37"/>
  <c r="CV25" i="37"/>
  <c r="CW25" i="37"/>
  <c r="CX25" i="37"/>
  <c r="G26" i="37"/>
  <c r="H26" i="37"/>
  <c r="I26" i="37"/>
  <c r="J26" i="37"/>
  <c r="K26" i="37"/>
  <c r="L26" i="37"/>
  <c r="M26" i="37"/>
  <c r="N26" i="37"/>
  <c r="O26" i="37"/>
  <c r="Q26" i="37"/>
  <c r="S26" i="37"/>
  <c r="T26" i="37"/>
  <c r="U26" i="37"/>
  <c r="V26" i="37"/>
  <c r="W26" i="37"/>
  <c r="X26" i="37"/>
  <c r="Y26" i="37"/>
  <c r="AA26" i="37"/>
  <c r="AC26" i="37"/>
  <c r="AD26" i="37"/>
  <c r="AE26" i="37"/>
  <c r="AF26" i="37"/>
  <c r="AI26" i="37"/>
  <c r="AJ26" i="37"/>
  <c r="AK26" i="37"/>
  <c r="AL26" i="37"/>
  <c r="AM26" i="37"/>
  <c r="AN26" i="37"/>
  <c r="AO26" i="37"/>
  <c r="AP26" i="37"/>
  <c r="AQ26" i="37"/>
  <c r="AR26" i="37"/>
  <c r="AS26" i="37"/>
  <c r="AT26" i="37"/>
  <c r="AU26" i="37"/>
  <c r="AV26" i="37"/>
  <c r="AW26" i="37"/>
  <c r="AX26" i="37"/>
  <c r="AY26" i="37"/>
  <c r="AZ26" i="37"/>
  <c r="BA26" i="37"/>
  <c r="BB26" i="37"/>
  <c r="BC26" i="37"/>
  <c r="BD26" i="37"/>
  <c r="BF26" i="37"/>
  <c r="BG26" i="37"/>
  <c r="BH26" i="37"/>
  <c r="BI26" i="37"/>
  <c r="BJ26" i="37"/>
  <c r="BK26" i="37"/>
  <c r="BL26" i="37"/>
  <c r="BM26" i="37"/>
  <c r="BN26" i="37"/>
  <c r="BO26" i="37"/>
  <c r="BP26" i="37"/>
  <c r="BQ26" i="37"/>
  <c r="BR26" i="37"/>
  <c r="BS26" i="37"/>
  <c r="BT26" i="37"/>
  <c r="BU26" i="37"/>
  <c r="BV26" i="37"/>
  <c r="BW26" i="37"/>
  <c r="BX26" i="37"/>
  <c r="BY26" i="37"/>
  <c r="BZ26" i="37"/>
  <c r="CA26" i="37"/>
  <c r="CC26" i="37"/>
  <c r="CD26" i="37"/>
  <c r="CE26" i="37"/>
  <c r="CF26" i="37"/>
  <c r="CG26" i="37"/>
  <c r="CH26" i="37"/>
  <c r="CI26" i="37"/>
  <c r="CJ26" i="37"/>
  <c r="CK26" i="37"/>
  <c r="CL26" i="37"/>
  <c r="CM26" i="37"/>
  <c r="CN26" i="37"/>
  <c r="CO26" i="37"/>
  <c r="CP26" i="37"/>
  <c r="CQ26" i="37"/>
  <c r="CR26" i="37"/>
  <c r="CS26" i="37"/>
  <c r="CT26" i="37"/>
  <c r="CU26" i="37"/>
  <c r="CV26" i="37"/>
  <c r="CW26" i="37"/>
  <c r="CX26" i="37"/>
  <c r="G27" i="37"/>
  <c r="H27" i="37"/>
  <c r="I27" i="37"/>
  <c r="J27" i="37"/>
  <c r="K27" i="37"/>
  <c r="L27" i="37"/>
  <c r="M27" i="37"/>
  <c r="N27" i="37"/>
  <c r="O27" i="37"/>
  <c r="Q27" i="37"/>
  <c r="S27" i="37"/>
  <c r="T27" i="37"/>
  <c r="U27" i="37"/>
  <c r="V27" i="37"/>
  <c r="W27" i="37"/>
  <c r="X27" i="37"/>
  <c r="Y27" i="37"/>
  <c r="AA27" i="37"/>
  <c r="AC27" i="37"/>
  <c r="AD27" i="37"/>
  <c r="AE27" i="37"/>
  <c r="AF27" i="37"/>
  <c r="AI27" i="37"/>
  <c r="AJ27" i="37"/>
  <c r="AK27" i="37"/>
  <c r="AL27" i="37"/>
  <c r="AM27" i="37"/>
  <c r="AN27" i="37"/>
  <c r="AO27" i="37"/>
  <c r="AP27" i="37"/>
  <c r="AQ27" i="37"/>
  <c r="AR27" i="37"/>
  <c r="AS27" i="37"/>
  <c r="AT27" i="37"/>
  <c r="AU27" i="37"/>
  <c r="AV27" i="37"/>
  <c r="AW27" i="37"/>
  <c r="AX27" i="37"/>
  <c r="AY27" i="37"/>
  <c r="AZ27" i="37"/>
  <c r="BA27" i="37"/>
  <c r="BB27" i="37"/>
  <c r="BC27" i="37"/>
  <c r="BD27" i="37"/>
  <c r="BF27" i="37"/>
  <c r="BG27" i="37"/>
  <c r="BH27" i="37"/>
  <c r="BI27" i="37"/>
  <c r="BJ27" i="37"/>
  <c r="BK27" i="37"/>
  <c r="BL27" i="37"/>
  <c r="BM27" i="37"/>
  <c r="BN27" i="37"/>
  <c r="BO27" i="37"/>
  <c r="BP27" i="37"/>
  <c r="BQ27" i="37"/>
  <c r="BR27" i="37"/>
  <c r="BS27" i="37"/>
  <c r="BT27" i="37"/>
  <c r="BU27" i="37"/>
  <c r="BV27" i="37"/>
  <c r="BW27" i="37"/>
  <c r="BX27" i="37"/>
  <c r="BY27" i="37"/>
  <c r="BZ27" i="37"/>
  <c r="CA27" i="37"/>
  <c r="CC27" i="37"/>
  <c r="CD27" i="37"/>
  <c r="CE27" i="37"/>
  <c r="CF27" i="37"/>
  <c r="CG27" i="37"/>
  <c r="CH27" i="37"/>
  <c r="CI27" i="37"/>
  <c r="CJ27" i="37"/>
  <c r="CK27" i="37"/>
  <c r="CL27" i="37"/>
  <c r="CM27" i="37"/>
  <c r="CN27" i="37"/>
  <c r="CO27" i="37"/>
  <c r="CP27" i="37"/>
  <c r="CQ27" i="37"/>
  <c r="CR27" i="37"/>
  <c r="CS27" i="37"/>
  <c r="CT27" i="37"/>
  <c r="CU27" i="37"/>
  <c r="CV27" i="37"/>
  <c r="CW27" i="37"/>
  <c r="CX27" i="37"/>
  <c r="G28" i="37"/>
  <c r="H28" i="37"/>
  <c r="I28" i="37"/>
  <c r="J28" i="37"/>
  <c r="K28" i="37"/>
  <c r="L28" i="37"/>
  <c r="M28" i="37"/>
  <c r="N28" i="37"/>
  <c r="O28" i="37"/>
  <c r="Q28" i="37"/>
  <c r="S28" i="37"/>
  <c r="T28" i="37"/>
  <c r="U28" i="37"/>
  <c r="V28" i="37"/>
  <c r="W28" i="37"/>
  <c r="X28" i="37"/>
  <c r="Y28" i="37"/>
  <c r="AA28" i="37"/>
  <c r="AC28" i="37"/>
  <c r="AD28" i="37"/>
  <c r="AE28" i="37"/>
  <c r="AF28" i="37"/>
  <c r="AI28" i="37"/>
  <c r="AJ28" i="37"/>
  <c r="AK28" i="37"/>
  <c r="AL28" i="37"/>
  <c r="AM28" i="37"/>
  <c r="AN28" i="37"/>
  <c r="AO28" i="37"/>
  <c r="AP28" i="37"/>
  <c r="AQ28" i="37"/>
  <c r="AR28" i="37"/>
  <c r="AS28" i="37"/>
  <c r="AT28" i="37"/>
  <c r="AU28" i="37"/>
  <c r="AV28" i="37"/>
  <c r="AW28" i="37"/>
  <c r="AX28" i="37"/>
  <c r="AY28" i="37"/>
  <c r="AZ28" i="37"/>
  <c r="BA28" i="37"/>
  <c r="BB28" i="37"/>
  <c r="BC28" i="37"/>
  <c r="BD28" i="37"/>
  <c r="BF28" i="37"/>
  <c r="BG28" i="37"/>
  <c r="BH28" i="37"/>
  <c r="BI28" i="37"/>
  <c r="BJ28" i="37"/>
  <c r="BK28" i="37"/>
  <c r="BL28" i="37"/>
  <c r="BM28" i="37"/>
  <c r="BN28" i="37"/>
  <c r="BO28" i="37"/>
  <c r="BP28" i="37"/>
  <c r="BQ28" i="37"/>
  <c r="BR28" i="37"/>
  <c r="BS28" i="37"/>
  <c r="BT28" i="37"/>
  <c r="BU28" i="37"/>
  <c r="BV28" i="37"/>
  <c r="BW28" i="37"/>
  <c r="BX28" i="37"/>
  <c r="BY28" i="37"/>
  <c r="BZ28" i="37"/>
  <c r="CA28" i="37"/>
  <c r="CC28" i="37"/>
  <c r="CD28" i="37"/>
  <c r="CE28" i="37"/>
  <c r="CF28" i="37"/>
  <c r="CG28" i="37"/>
  <c r="CH28" i="37"/>
  <c r="CI28" i="37"/>
  <c r="CJ28" i="37"/>
  <c r="CK28" i="37"/>
  <c r="CL28" i="37"/>
  <c r="CM28" i="37"/>
  <c r="CN28" i="37"/>
  <c r="CO28" i="37"/>
  <c r="CP28" i="37"/>
  <c r="CQ28" i="37"/>
  <c r="CR28" i="37"/>
  <c r="CS28" i="37"/>
  <c r="CT28" i="37"/>
  <c r="CU28" i="37"/>
  <c r="CV28" i="37"/>
  <c r="CW28" i="37"/>
  <c r="CX28" i="37"/>
  <c r="G29" i="37"/>
  <c r="H29" i="37"/>
  <c r="I29" i="37"/>
  <c r="J29" i="37"/>
  <c r="K29" i="37"/>
  <c r="L29" i="37"/>
  <c r="M29" i="37"/>
  <c r="N29" i="37"/>
  <c r="O29" i="37"/>
  <c r="Q29" i="37"/>
  <c r="S29" i="37"/>
  <c r="T29" i="37"/>
  <c r="U29" i="37"/>
  <c r="V29" i="37"/>
  <c r="W29" i="37"/>
  <c r="X29" i="37"/>
  <c r="Y29" i="37"/>
  <c r="AA29" i="37"/>
  <c r="AC29" i="37"/>
  <c r="AD29" i="37"/>
  <c r="AE29" i="37"/>
  <c r="AF29" i="37"/>
  <c r="AI29" i="37"/>
  <c r="AJ29" i="37"/>
  <c r="AK29" i="37"/>
  <c r="AL29" i="37"/>
  <c r="AM29" i="37"/>
  <c r="AN29" i="37"/>
  <c r="AO29" i="37"/>
  <c r="AP29" i="37"/>
  <c r="AQ29" i="37"/>
  <c r="AR29" i="37"/>
  <c r="AS29" i="37"/>
  <c r="AT29" i="37"/>
  <c r="AU29" i="37"/>
  <c r="AV29" i="37"/>
  <c r="AW29" i="37"/>
  <c r="AX29" i="37"/>
  <c r="AY29" i="37"/>
  <c r="AZ29" i="37"/>
  <c r="BA29" i="37"/>
  <c r="BB29" i="37"/>
  <c r="BC29" i="37"/>
  <c r="BD29" i="37"/>
  <c r="BF29" i="37"/>
  <c r="BG29" i="37"/>
  <c r="BH29" i="37"/>
  <c r="BI29" i="37"/>
  <c r="BJ29" i="37"/>
  <c r="BK29" i="37"/>
  <c r="BL29" i="37"/>
  <c r="BM29" i="37"/>
  <c r="BN29" i="37"/>
  <c r="BO29" i="37"/>
  <c r="BP29" i="37"/>
  <c r="BQ29" i="37"/>
  <c r="BR29" i="37"/>
  <c r="BS29" i="37"/>
  <c r="BT29" i="37"/>
  <c r="BU29" i="37"/>
  <c r="BV29" i="37"/>
  <c r="BW29" i="37"/>
  <c r="BX29" i="37"/>
  <c r="BY29" i="37"/>
  <c r="BZ29" i="37"/>
  <c r="CA29" i="37"/>
  <c r="CC29" i="37"/>
  <c r="CD29" i="37"/>
  <c r="CE29" i="37"/>
  <c r="CF29" i="37"/>
  <c r="CG29" i="37"/>
  <c r="CH29" i="37"/>
  <c r="CI29" i="37"/>
  <c r="CJ29" i="37"/>
  <c r="CK29" i="37"/>
  <c r="CL29" i="37"/>
  <c r="CM29" i="37"/>
  <c r="CN29" i="37"/>
  <c r="CO29" i="37"/>
  <c r="CP29" i="37"/>
  <c r="CQ29" i="37"/>
  <c r="CR29" i="37"/>
  <c r="CS29" i="37"/>
  <c r="CT29" i="37"/>
  <c r="CU29" i="37"/>
  <c r="CV29" i="37"/>
  <c r="CW29" i="37"/>
  <c r="CX29" i="37"/>
  <c r="G30" i="37"/>
  <c r="H30" i="37"/>
  <c r="I30" i="37"/>
  <c r="J30" i="37"/>
  <c r="K30" i="37"/>
  <c r="L30" i="37"/>
  <c r="M30" i="37"/>
  <c r="N30" i="37"/>
  <c r="O30" i="37"/>
  <c r="Q30" i="37"/>
  <c r="S30" i="37"/>
  <c r="T30" i="37"/>
  <c r="U30" i="37"/>
  <c r="V30" i="37"/>
  <c r="W30" i="37"/>
  <c r="X30" i="37"/>
  <c r="Y30" i="37"/>
  <c r="AA30" i="37"/>
  <c r="AC30" i="37"/>
  <c r="AD30" i="37"/>
  <c r="AE30" i="37"/>
  <c r="AF30" i="37"/>
  <c r="AI30" i="37"/>
  <c r="AJ30" i="37"/>
  <c r="AK30" i="37"/>
  <c r="AL30" i="37"/>
  <c r="AM30" i="37"/>
  <c r="AN30" i="37"/>
  <c r="AO30" i="37"/>
  <c r="AP30" i="37"/>
  <c r="AQ30" i="37"/>
  <c r="AR30" i="37"/>
  <c r="AS30" i="37"/>
  <c r="AT30" i="37"/>
  <c r="AU30" i="37"/>
  <c r="AV30" i="37"/>
  <c r="AW30" i="37"/>
  <c r="AX30" i="37"/>
  <c r="AY30" i="37"/>
  <c r="AZ30" i="37"/>
  <c r="BA30" i="37"/>
  <c r="BB30" i="37"/>
  <c r="BC30" i="37"/>
  <c r="BD30" i="37"/>
  <c r="BF30" i="37"/>
  <c r="BG30" i="37"/>
  <c r="BH30" i="37"/>
  <c r="BI30" i="37"/>
  <c r="BJ30" i="37"/>
  <c r="BK30" i="37"/>
  <c r="BL30" i="37"/>
  <c r="BM30" i="37"/>
  <c r="BN30" i="37"/>
  <c r="BO30" i="37"/>
  <c r="BP30" i="37"/>
  <c r="BQ30" i="37"/>
  <c r="BR30" i="37"/>
  <c r="BS30" i="37"/>
  <c r="BT30" i="37"/>
  <c r="BU30" i="37"/>
  <c r="BV30" i="37"/>
  <c r="BW30" i="37"/>
  <c r="BX30" i="37"/>
  <c r="BY30" i="37"/>
  <c r="BZ30" i="37"/>
  <c r="CA30" i="37"/>
  <c r="CC30" i="37"/>
  <c r="CD30" i="37"/>
  <c r="CE30" i="37"/>
  <c r="CF30" i="37"/>
  <c r="CG30" i="37"/>
  <c r="CH30" i="37"/>
  <c r="CI30" i="37"/>
  <c r="CJ30" i="37"/>
  <c r="CK30" i="37"/>
  <c r="CL30" i="37"/>
  <c r="CM30" i="37"/>
  <c r="CN30" i="37"/>
  <c r="CO30" i="37"/>
  <c r="CP30" i="37"/>
  <c r="CQ30" i="37"/>
  <c r="CR30" i="37"/>
  <c r="CS30" i="37"/>
  <c r="CT30" i="37"/>
  <c r="CU30" i="37"/>
  <c r="CV30" i="37"/>
  <c r="CW30" i="37"/>
  <c r="CX30" i="37"/>
  <c r="G31" i="37"/>
  <c r="H31" i="37"/>
  <c r="I31" i="37"/>
  <c r="J31" i="37"/>
  <c r="K31" i="37"/>
  <c r="L31" i="37"/>
  <c r="M31" i="37"/>
  <c r="N31" i="37"/>
  <c r="O31" i="37"/>
  <c r="Q31" i="37"/>
  <c r="S31" i="37"/>
  <c r="T31" i="37"/>
  <c r="U31" i="37"/>
  <c r="V31" i="37"/>
  <c r="W31" i="37"/>
  <c r="X31" i="37"/>
  <c r="Y31" i="37"/>
  <c r="AA31" i="37"/>
  <c r="AC31" i="37"/>
  <c r="AD31" i="37"/>
  <c r="AE31" i="37"/>
  <c r="AF31" i="37"/>
  <c r="AI31" i="37"/>
  <c r="AJ31" i="37"/>
  <c r="AK31" i="37"/>
  <c r="AL31" i="37"/>
  <c r="AM31" i="37"/>
  <c r="AN31" i="37"/>
  <c r="AO31" i="37"/>
  <c r="AP31" i="37"/>
  <c r="AQ31" i="37"/>
  <c r="AR31" i="37"/>
  <c r="AS31" i="37"/>
  <c r="AT31" i="37"/>
  <c r="AU31" i="37"/>
  <c r="AV31" i="37"/>
  <c r="AW31" i="37"/>
  <c r="AX31" i="37"/>
  <c r="AY31" i="37"/>
  <c r="AZ31" i="37"/>
  <c r="BA31" i="37"/>
  <c r="BB31" i="37"/>
  <c r="BC31" i="37"/>
  <c r="BD31" i="37"/>
  <c r="BF31" i="37"/>
  <c r="BG31" i="37"/>
  <c r="BH31" i="37"/>
  <c r="BI31" i="37"/>
  <c r="BJ31" i="37"/>
  <c r="BK31" i="37"/>
  <c r="BL31" i="37"/>
  <c r="BM31" i="37"/>
  <c r="BN31" i="37"/>
  <c r="BO31" i="37"/>
  <c r="BP31" i="37"/>
  <c r="BQ31" i="37"/>
  <c r="BR31" i="37"/>
  <c r="BS31" i="37"/>
  <c r="BT31" i="37"/>
  <c r="BU31" i="37"/>
  <c r="BV31" i="37"/>
  <c r="BW31" i="37"/>
  <c r="BX31" i="37"/>
  <c r="BY31" i="37"/>
  <c r="BZ31" i="37"/>
  <c r="CA31" i="37"/>
  <c r="CC31" i="37"/>
  <c r="CD31" i="37"/>
  <c r="CE31" i="37"/>
  <c r="CF31" i="37"/>
  <c r="CG31" i="37"/>
  <c r="CH31" i="37"/>
  <c r="CI31" i="37"/>
  <c r="CJ31" i="37"/>
  <c r="CK31" i="37"/>
  <c r="CL31" i="37"/>
  <c r="CM31" i="37"/>
  <c r="CN31" i="37"/>
  <c r="CO31" i="37"/>
  <c r="CP31" i="37"/>
  <c r="CQ31" i="37"/>
  <c r="CR31" i="37"/>
  <c r="CS31" i="37"/>
  <c r="CT31" i="37"/>
  <c r="CU31" i="37"/>
  <c r="CV31" i="37"/>
  <c r="CW31" i="37"/>
  <c r="CX31" i="37"/>
  <c r="G32" i="37"/>
  <c r="H32" i="37"/>
  <c r="I32" i="37"/>
  <c r="J32" i="37"/>
  <c r="K32" i="37"/>
  <c r="L32" i="37"/>
  <c r="M32" i="37"/>
  <c r="N32" i="37"/>
  <c r="O32" i="37"/>
  <c r="Q32" i="37"/>
  <c r="S32" i="37"/>
  <c r="T32" i="37"/>
  <c r="U32" i="37"/>
  <c r="V32" i="37"/>
  <c r="W32" i="37"/>
  <c r="X32" i="37"/>
  <c r="Y32" i="37"/>
  <c r="AA32" i="37"/>
  <c r="AC32" i="37"/>
  <c r="AD32" i="37"/>
  <c r="AE32" i="37"/>
  <c r="AF32" i="37"/>
  <c r="AI32" i="37"/>
  <c r="AJ32" i="37"/>
  <c r="AK32" i="37"/>
  <c r="AL32" i="37"/>
  <c r="AM32" i="37"/>
  <c r="AN32" i="37"/>
  <c r="AO32" i="37"/>
  <c r="AP32" i="37"/>
  <c r="AQ32" i="37"/>
  <c r="AR32" i="37"/>
  <c r="AS32" i="37"/>
  <c r="AT32" i="37"/>
  <c r="AU32" i="37"/>
  <c r="AV32" i="37"/>
  <c r="AW32" i="37"/>
  <c r="AX32" i="37"/>
  <c r="AY32" i="37"/>
  <c r="AZ32" i="37"/>
  <c r="BA32" i="37"/>
  <c r="BB32" i="37"/>
  <c r="BC32" i="37"/>
  <c r="BD32" i="37"/>
  <c r="BF32" i="37"/>
  <c r="BG32" i="37"/>
  <c r="BH32" i="37"/>
  <c r="BI32" i="37"/>
  <c r="BJ32" i="37"/>
  <c r="BK32" i="37"/>
  <c r="BL32" i="37"/>
  <c r="BM32" i="37"/>
  <c r="BN32" i="37"/>
  <c r="BO32" i="37"/>
  <c r="BP32" i="37"/>
  <c r="BQ32" i="37"/>
  <c r="BR32" i="37"/>
  <c r="BS32" i="37"/>
  <c r="BT32" i="37"/>
  <c r="BU32" i="37"/>
  <c r="BV32" i="37"/>
  <c r="BW32" i="37"/>
  <c r="BX32" i="37"/>
  <c r="BY32" i="37"/>
  <c r="BZ32" i="37"/>
  <c r="CA32" i="37"/>
  <c r="CC32" i="37"/>
  <c r="CD32" i="37"/>
  <c r="CE32" i="37"/>
  <c r="CF32" i="37"/>
  <c r="CG32" i="37"/>
  <c r="CH32" i="37"/>
  <c r="CI32" i="37"/>
  <c r="CJ32" i="37"/>
  <c r="CK32" i="37"/>
  <c r="CL32" i="37"/>
  <c r="CM32" i="37"/>
  <c r="CN32" i="37"/>
  <c r="CO32" i="37"/>
  <c r="CP32" i="37"/>
  <c r="CQ32" i="37"/>
  <c r="CR32" i="37"/>
  <c r="CS32" i="37"/>
  <c r="CT32" i="37"/>
  <c r="CU32" i="37"/>
  <c r="CV32" i="37"/>
  <c r="CW32" i="37"/>
  <c r="CX32" i="37"/>
  <c r="G33" i="37"/>
  <c r="H33" i="37"/>
  <c r="I33" i="37"/>
  <c r="J33" i="37"/>
  <c r="K33" i="37"/>
  <c r="L33" i="37"/>
  <c r="M33" i="37"/>
  <c r="N33" i="37"/>
  <c r="O33" i="37"/>
  <c r="Q33" i="37"/>
  <c r="S33" i="37"/>
  <c r="T33" i="37"/>
  <c r="U33" i="37"/>
  <c r="V33" i="37"/>
  <c r="W33" i="37"/>
  <c r="X33" i="37"/>
  <c r="Y33" i="37"/>
  <c r="AA33" i="37"/>
  <c r="AC33" i="37"/>
  <c r="AD33" i="37"/>
  <c r="AE33" i="37"/>
  <c r="AF33" i="37"/>
  <c r="AI33" i="37"/>
  <c r="AJ33" i="37"/>
  <c r="AK33" i="37"/>
  <c r="AL33" i="37"/>
  <c r="AM33" i="37"/>
  <c r="AN33" i="37"/>
  <c r="AO33" i="37"/>
  <c r="AP33" i="37"/>
  <c r="AQ33" i="37"/>
  <c r="AR33" i="37"/>
  <c r="AS33" i="37"/>
  <c r="AT33" i="37"/>
  <c r="AU33" i="37"/>
  <c r="AV33" i="37"/>
  <c r="AW33" i="37"/>
  <c r="AX33" i="37"/>
  <c r="AY33" i="37"/>
  <c r="AZ33" i="37"/>
  <c r="BA33" i="37"/>
  <c r="BB33" i="37"/>
  <c r="BC33" i="37"/>
  <c r="BD33" i="37"/>
  <c r="BF33" i="37"/>
  <c r="BG33" i="37"/>
  <c r="BH33" i="37"/>
  <c r="BI33" i="37"/>
  <c r="BJ33" i="37"/>
  <c r="BK33" i="37"/>
  <c r="BL33" i="37"/>
  <c r="BM33" i="37"/>
  <c r="BN33" i="37"/>
  <c r="BO33" i="37"/>
  <c r="BP33" i="37"/>
  <c r="BQ33" i="37"/>
  <c r="BR33" i="37"/>
  <c r="BS33" i="37"/>
  <c r="BT33" i="37"/>
  <c r="BU33" i="37"/>
  <c r="BV33" i="37"/>
  <c r="BW33" i="37"/>
  <c r="BX33" i="37"/>
  <c r="BY33" i="37"/>
  <c r="BZ33" i="37"/>
  <c r="CA33" i="37"/>
  <c r="CC33" i="37"/>
  <c r="CD33" i="37"/>
  <c r="CE33" i="37"/>
  <c r="CF33" i="37"/>
  <c r="CG33" i="37"/>
  <c r="CH33" i="37"/>
  <c r="CI33" i="37"/>
  <c r="CJ33" i="37"/>
  <c r="CK33" i="37"/>
  <c r="CL33" i="37"/>
  <c r="CM33" i="37"/>
  <c r="CN33" i="37"/>
  <c r="CO33" i="37"/>
  <c r="CP33" i="37"/>
  <c r="CQ33" i="37"/>
  <c r="CR33" i="37"/>
  <c r="CS33" i="37"/>
  <c r="CT33" i="37"/>
  <c r="CU33" i="37"/>
  <c r="CV33" i="37"/>
  <c r="CW33" i="37"/>
  <c r="CX33" i="37"/>
  <c r="G34" i="37"/>
  <c r="H34" i="37"/>
  <c r="I34" i="37"/>
  <c r="J34" i="37"/>
  <c r="K34" i="37"/>
  <c r="L34" i="37"/>
  <c r="M34" i="37"/>
  <c r="N34" i="37"/>
  <c r="O34" i="37"/>
  <c r="Q34" i="37"/>
  <c r="S34" i="37"/>
  <c r="T34" i="37"/>
  <c r="U34" i="37"/>
  <c r="V34" i="37"/>
  <c r="W34" i="37"/>
  <c r="X34" i="37"/>
  <c r="Y34" i="37"/>
  <c r="AA34" i="37"/>
  <c r="AC34" i="37"/>
  <c r="AD34" i="37"/>
  <c r="AE34" i="37"/>
  <c r="AF34" i="37"/>
  <c r="AI34" i="37"/>
  <c r="AJ34" i="37"/>
  <c r="AK34" i="37"/>
  <c r="AL34" i="37"/>
  <c r="AM34" i="37"/>
  <c r="AN34" i="37"/>
  <c r="AO34" i="37"/>
  <c r="AP34" i="37"/>
  <c r="AQ34" i="37"/>
  <c r="AR34" i="37"/>
  <c r="AS34" i="37"/>
  <c r="AT34" i="37"/>
  <c r="AU34" i="37"/>
  <c r="AV34" i="37"/>
  <c r="AW34" i="37"/>
  <c r="AX34" i="37"/>
  <c r="AY34" i="37"/>
  <c r="AZ34" i="37"/>
  <c r="BA34" i="37"/>
  <c r="BB34" i="37"/>
  <c r="BC34" i="37"/>
  <c r="BD34" i="37"/>
  <c r="BF34" i="37"/>
  <c r="BG34" i="37"/>
  <c r="BH34" i="37"/>
  <c r="BI34" i="37"/>
  <c r="BJ34" i="37"/>
  <c r="BK34" i="37"/>
  <c r="BL34" i="37"/>
  <c r="BM34" i="37"/>
  <c r="BN34" i="37"/>
  <c r="BO34" i="37"/>
  <c r="BP34" i="37"/>
  <c r="BQ34" i="37"/>
  <c r="BR34" i="37"/>
  <c r="BS34" i="37"/>
  <c r="BT34" i="37"/>
  <c r="BU34" i="37"/>
  <c r="BV34" i="37"/>
  <c r="BW34" i="37"/>
  <c r="BX34" i="37"/>
  <c r="BY34" i="37"/>
  <c r="BZ34" i="37"/>
  <c r="CA34" i="37"/>
  <c r="CC34" i="37"/>
  <c r="CD34" i="37"/>
  <c r="CE34" i="37"/>
  <c r="CF34" i="37"/>
  <c r="CG34" i="37"/>
  <c r="CH34" i="37"/>
  <c r="CI34" i="37"/>
  <c r="CJ34" i="37"/>
  <c r="CK34" i="37"/>
  <c r="CL34" i="37"/>
  <c r="CM34" i="37"/>
  <c r="CN34" i="37"/>
  <c r="CO34" i="37"/>
  <c r="CP34" i="37"/>
  <c r="CQ34" i="37"/>
  <c r="CR34" i="37"/>
  <c r="CS34" i="37"/>
  <c r="CT34" i="37"/>
  <c r="CU34" i="37"/>
  <c r="CV34" i="37"/>
  <c r="CW34" i="37"/>
  <c r="CX34" i="37"/>
  <c r="G35" i="37"/>
  <c r="H35" i="37"/>
  <c r="I35" i="37"/>
  <c r="J35" i="37"/>
  <c r="K35" i="37"/>
  <c r="L35" i="37"/>
  <c r="M35" i="37"/>
  <c r="N35" i="37"/>
  <c r="O35" i="37"/>
  <c r="Q35" i="37"/>
  <c r="S35" i="37"/>
  <c r="T35" i="37"/>
  <c r="U35" i="37"/>
  <c r="V35" i="37"/>
  <c r="W35" i="37"/>
  <c r="X35" i="37"/>
  <c r="Y35" i="37"/>
  <c r="AA35" i="37"/>
  <c r="AC35" i="37"/>
  <c r="AD35" i="37"/>
  <c r="AE35" i="37"/>
  <c r="AF35" i="37"/>
  <c r="AI35" i="37"/>
  <c r="AJ35" i="37"/>
  <c r="AK35" i="37"/>
  <c r="AL35" i="37"/>
  <c r="AM35" i="37"/>
  <c r="AN35" i="37"/>
  <c r="AO35" i="37"/>
  <c r="AP35" i="37"/>
  <c r="AQ35" i="37"/>
  <c r="AR35" i="37"/>
  <c r="AS35" i="37"/>
  <c r="AT35" i="37"/>
  <c r="AU35" i="37"/>
  <c r="AV35" i="37"/>
  <c r="AW35" i="37"/>
  <c r="AX35" i="37"/>
  <c r="AY35" i="37"/>
  <c r="AZ35" i="37"/>
  <c r="BA35" i="37"/>
  <c r="BB35" i="37"/>
  <c r="BC35" i="37"/>
  <c r="BD35" i="37"/>
  <c r="BF35" i="37"/>
  <c r="BG35" i="37"/>
  <c r="BH35" i="37"/>
  <c r="BI35" i="37"/>
  <c r="BJ35" i="37"/>
  <c r="BK35" i="37"/>
  <c r="BL35" i="37"/>
  <c r="BM35" i="37"/>
  <c r="BN35" i="37"/>
  <c r="BO35" i="37"/>
  <c r="BP35" i="37"/>
  <c r="BQ35" i="37"/>
  <c r="BR35" i="37"/>
  <c r="BS35" i="37"/>
  <c r="BT35" i="37"/>
  <c r="BU35" i="37"/>
  <c r="BV35" i="37"/>
  <c r="BW35" i="37"/>
  <c r="BX35" i="37"/>
  <c r="BY35" i="37"/>
  <c r="BZ35" i="37"/>
  <c r="CA35" i="37"/>
  <c r="CC35" i="37"/>
  <c r="CD35" i="37"/>
  <c r="CE35" i="37"/>
  <c r="CF35" i="37"/>
  <c r="CG35" i="37"/>
  <c r="CH35" i="37"/>
  <c r="CI35" i="37"/>
  <c r="CJ35" i="37"/>
  <c r="CK35" i="37"/>
  <c r="CL35" i="37"/>
  <c r="CM35" i="37"/>
  <c r="CN35" i="37"/>
  <c r="CO35" i="37"/>
  <c r="CP35" i="37"/>
  <c r="CQ35" i="37"/>
  <c r="CR35" i="37"/>
  <c r="CS35" i="37"/>
  <c r="CT35" i="37"/>
  <c r="CU35" i="37"/>
  <c r="CV35" i="37"/>
  <c r="CW35" i="37"/>
  <c r="CX35" i="37"/>
  <c r="G36" i="37"/>
  <c r="H36" i="37"/>
  <c r="I36" i="37"/>
  <c r="J36" i="37"/>
  <c r="K36" i="37"/>
  <c r="L36" i="37"/>
  <c r="M36" i="37"/>
  <c r="N36" i="37"/>
  <c r="O36" i="37"/>
  <c r="Q36" i="37"/>
  <c r="S36" i="37"/>
  <c r="T36" i="37"/>
  <c r="U36" i="37"/>
  <c r="V36" i="37"/>
  <c r="W36" i="37"/>
  <c r="X36" i="37"/>
  <c r="Y36" i="37"/>
  <c r="AA36" i="37"/>
  <c r="AC36" i="37"/>
  <c r="AD36" i="37"/>
  <c r="AE36" i="37"/>
  <c r="AF36" i="37"/>
  <c r="AI36" i="37"/>
  <c r="AJ36" i="37"/>
  <c r="AK36" i="37"/>
  <c r="AL36" i="37"/>
  <c r="AM36" i="37"/>
  <c r="AN36" i="37"/>
  <c r="AO36" i="37"/>
  <c r="AP36" i="37"/>
  <c r="AQ36" i="37"/>
  <c r="AR36" i="37"/>
  <c r="AS36" i="37"/>
  <c r="AT36" i="37"/>
  <c r="AU36" i="37"/>
  <c r="AV36" i="37"/>
  <c r="AW36" i="37"/>
  <c r="AX36" i="37"/>
  <c r="AY36" i="37"/>
  <c r="AZ36" i="37"/>
  <c r="BA36" i="37"/>
  <c r="BB36" i="37"/>
  <c r="BC36" i="37"/>
  <c r="BD36" i="37"/>
  <c r="BF36" i="37"/>
  <c r="BG36" i="37"/>
  <c r="BH36" i="37"/>
  <c r="BI36" i="37"/>
  <c r="BJ36" i="37"/>
  <c r="BK36" i="37"/>
  <c r="BL36" i="37"/>
  <c r="BM36" i="37"/>
  <c r="BN36" i="37"/>
  <c r="BO36" i="37"/>
  <c r="BP36" i="37"/>
  <c r="BQ36" i="37"/>
  <c r="BR36" i="37"/>
  <c r="BS36" i="37"/>
  <c r="BT36" i="37"/>
  <c r="BU36" i="37"/>
  <c r="BV36" i="37"/>
  <c r="BW36" i="37"/>
  <c r="BX36" i="37"/>
  <c r="BY36" i="37"/>
  <c r="BZ36" i="37"/>
  <c r="CA36" i="37"/>
  <c r="CC36" i="37"/>
  <c r="CD36" i="37"/>
  <c r="CE36" i="37"/>
  <c r="CF36" i="37"/>
  <c r="CG36" i="37"/>
  <c r="CH36" i="37"/>
  <c r="CI36" i="37"/>
  <c r="CJ36" i="37"/>
  <c r="CK36" i="37"/>
  <c r="CL36" i="37"/>
  <c r="CM36" i="37"/>
  <c r="CN36" i="37"/>
  <c r="CO36" i="37"/>
  <c r="CP36" i="37"/>
  <c r="CQ36" i="37"/>
  <c r="CR36" i="37"/>
  <c r="CS36" i="37"/>
  <c r="CT36" i="37"/>
  <c r="CU36" i="37"/>
  <c r="CV36" i="37"/>
  <c r="CW36" i="37"/>
  <c r="CX36" i="37"/>
  <c r="G37" i="37"/>
  <c r="H37" i="37"/>
  <c r="I37" i="37"/>
  <c r="J37" i="37"/>
  <c r="K37" i="37"/>
  <c r="L37" i="37"/>
  <c r="M37" i="37"/>
  <c r="N37" i="37"/>
  <c r="O37" i="37"/>
  <c r="Q37" i="37"/>
  <c r="S37" i="37"/>
  <c r="T37" i="37"/>
  <c r="U37" i="37"/>
  <c r="V37" i="37"/>
  <c r="W37" i="37"/>
  <c r="X37" i="37"/>
  <c r="Y37" i="37"/>
  <c r="AA37" i="37"/>
  <c r="AC37" i="37"/>
  <c r="AD37" i="37"/>
  <c r="AE37" i="37"/>
  <c r="AF37" i="37"/>
  <c r="AI37" i="37"/>
  <c r="AJ37" i="37"/>
  <c r="AK37" i="37"/>
  <c r="AL37" i="37"/>
  <c r="AM37" i="37"/>
  <c r="AN37" i="37"/>
  <c r="AO37" i="37"/>
  <c r="AP37" i="37"/>
  <c r="AQ37" i="37"/>
  <c r="AR37" i="37"/>
  <c r="AS37" i="37"/>
  <c r="AT37" i="37"/>
  <c r="AU37" i="37"/>
  <c r="AV37" i="37"/>
  <c r="AW37" i="37"/>
  <c r="AX37" i="37"/>
  <c r="AY37" i="37"/>
  <c r="AZ37" i="37"/>
  <c r="BA37" i="37"/>
  <c r="BB37" i="37"/>
  <c r="BC37" i="37"/>
  <c r="BD37" i="37"/>
  <c r="BF37" i="37"/>
  <c r="BG37" i="37"/>
  <c r="BH37" i="37"/>
  <c r="BI37" i="37"/>
  <c r="BJ37" i="37"/>
  <c r="BK37" i="37"/>
  <c r="BL37" i="37"/>
  <c r="BM37" i="37"/>
  <c r="BN37" i="37"/>
  <c r="BO37" i="37"/>
  <c r="BP37" i="37"/>
  <c r="BQ37" i="37"/>
  <c r="BR37" i="37"/>
  <c r="BS37" i="37"/>
  <c r="BT37" i="37"/>
  <c r="BU37" i="37"/>
  <c r="BV37" i="37"/>
  <c r="BW37" i="37"/>
  <c r="BX37" i="37"/>
  <c r="BY37" i="37"/>
  <c r="BZ37" i="37"/>
  <c r="CA37" i="37"/>
  <c r="CC37" i="37"/>
  <c r="CD37" i="37"/>
  <c r="CE37" i="37"/>
  <c r="CF37" i="37"/>
  <c r="CG37" i="37"/>
  <c r="CH37" i="37"/>
  <c r="CI37" i="37"/>
  <c r="CJ37" i="37"/>
  <c r="CK37" i="37"/>
  <c r="CL37" i="37"/>
  <c r="CM37" i="37"/>
  <c r="CN37" i="37"/>
  <c r="CO37" i="37"/>
  <c r="CP37" i="37"/>
  <c r="CQ37" i="37"/>
  <c r="CR37" i="37"/>
  <c r="CS37" i="37"/>
  <c r="CT37" i="37"/>
  <c r="CU37" i="37"/>
  <c r="CV37" i="37"/>
  <c r="CW37" i="37"/>
  <c r="CX37" i="37"/>
  <c r="G38" i="37"/>
  <c r="H38" i="37"/>
  <c r="I38" i="37"/>
  <c r="J38" i="37"/>
  <c r="K38" i="37"/>
  <c r="L38" i="37"/>
  <c r="M38" i="37"/>
  <c r="N38" i="37"/>
  <c r="O38" i="37"/>
  <c r="Q38" i="37"/>
  <c r="S38" i="37"/>
  <c r="T38" i="37"/>
  <c r="U38" i="37"/>
  <c r="V38" i="37"/>
  <c r="W38" i="37"/>
  <c r="X38" i="37"/>
  <c r="Y38" i="37"/>
  <c r="AA38" i="37"/>
  <c r="AC38" i="37"/>
  <c r="AD38" i="37"/>
  <c r="AE38" i="37"/>
  <c r="AF38" i="37"/>
  <c r="AI38" i="37"/>
  <c r="AJ38" i="37"/>
  <c r="AK38" i="37"/>
  <c r="AL38" i="37"/>
  <c r="AM38" i="37"/>
  <c r="AN38" i="37"/>
  <c r="AO38" i="37"/>
  <c r="AP38" i="37"/>
  <c r="AQ38" i="37"/>
  <c r="AR38" i="37"/>
  <c r="AS38" i="37"/>
  <c r="AT38" i="37"/>
  <c r="AU38" i="37"/>
  <c r="AV38" i="37"/>
  <c r="AW38" i="37"/>
  <c r="AX38" i="37"/>
  <c r="AY38" i="37"/>
  <c r="AZ38" i="37"/>
  <c r="BA38" i="37"/>
  <c r="BB38" i="37"/>
  <c r="BC38" i="37"/>
  <c r="BD38" i="37"/>
  <c r="BF38" i="37"/>
  <c r="BG38" i="37"/>
  <c r="BH38" i="37"/>
  <c r="BI38" i="37"/>
  <c r="BJ38" i="37"/>
  <c r="BK38" i="37"/>
  <c r="BL38" i="37"/>
  <c r="BM38" i="37"/>
  <c r="BN38" i="37"/>
  <c r="BO38" i="37"/>
  <c r="BP38" i="37"/>
  <c r="BQ38" i="37"/>
  <c r="BR38" i="37"/>
  <c r="BS38" i="37"/>
  <c r="BT38" i="37"/>
  <c r="BU38" i="37"/>
  <c r="BV38" i="37"/>
  <c r="BW38" i="37"/>
  <c r="BX38" i="37"/>
  <c r="BY38" i="37"/>
  <c r="BZ38" i="37"/>
  <c r="CA38" i="37"/>
  <c r="CC38" i="37"/>
  <c r="CD38" i="37"/>
  <c r="CE38" i="37"/>
  <c r="CF38" i="37"/>
  <c r="CG38" i="37"/>
  <c r="CH38" i="37"/>
  <c r="CI38" i="37"/>
  <c r="CJ38" i="37"/>
  <c r="CK38" i="37"/>
  <c r="CL38" i="37"/>
  <c r="CM38" i="37"/>
  <c r="CN38" i="37"/>
  <c r="CO38" i="37"/>
  <c r="CP38" i="37"/>
  <c r="CQ38" i="37"/>
  <c r="CR38" i="37"/>
  <c r="CS38" i="37"/>
  <c r="CT38" i="37"/>
  <c r="CU38" i="37"/>
  <c r="CV38" i="37"/>
  <c r="CW38" i="37"/>
  <c r="CX38" i="37"/>
  <c r="G39" i="37"/>
  <c r="H39" i="37"/>
  <c r="I39" i="37"/>
  <c r="J39" i="37"/>
  <c r="K39" i="37"/>
  <c r="L39" i="37"/>
  <c r="M39" i="37"/>
  <c r="N39" i="37"/>
  <c r="O39" i="37"/>
  <c r="Q39" i="37"/>
  <c r="S39" i="37"/>
  <c r="T39" i="37"/>
  <c r="U39" i="37"/>
  <c r="V39" i="37"/>
  <c r="W39" i="37"/>
  <c r="X39" i="37"/>
  <c r="Y39" i="37"/>
  <c r="AA39" i="37"/>
  <c r="AC39" i="37"/>
  <c r="AD39" i="37"/>
  <c r="AE39" i="37"/>
  <c r="AF39" i="37"/>
  <c r="AI39" i="37"/>
  <c r="AJ39" i="37"/>
  <c r="AK39" i="37"/>
  <c r="AL39" i="37"/>
  <c r="AM39" i="37"/>
  <c r="AN39" i="37"/>
  <c r="AO39" i="37"/>
  <c r="AP39" i="37"/>
  <c r="AQ39" i="37"/>
  <c r="AR39" i="37"/>
  <c r="AS39" i="37"/>
  <c r="AT39" i="37"/>
  <c r="AU39" i="37"/>
  <c r="AV39" i="37"/>
  <c r="AW39" i="37"/>
  <c r="AX39" i="37"/>
  <c r="AY39" i="37"/>
  <c r="AZ39" i="37"/>
  <c r="BA39" i="37"/>
  <c r="BB39" i="37"/>
  <c r="BC39" i="37"/>
  <c r="BD39" i="37"/>
  <c r="BF39" i="37"/>
  <c r="BG39" i="37"/>
  <c r="BH39" i="37"/>
  <c r="BI39" i="37"/>
  <c r="BJ39" i="37"/>
  <c r="BK39" i="37"/>
  <c r="BL39" i="37"/>
  <c r="BM39" i="37"/>
  <c r="BN39" i="37"/>
  <c r="BO39" i="37"/>
  <c r="BP39" i="37"/>
  <c r="BQ39" i="37"/>
  <c r="BR39" i="37"/>
  <c r="BS39" i="37"/>
  <c r="BT39" i="37"/>
  <c r="BU39" i="37"/>
  <c r="BV39" i="37"/>
  <c r="BW39" i="37"/>
  <c r="BX39" i="37"/>
  <c r="BY39" i="37"/>
  <c r="BZ39" i="37"/>
  <c r="CA39" i="37"/>
  <c r="CC39" i="37"/>
  <c r="CD39" i="37"/>
  <c r="CE39" i="37"/>
  <c r="CF39" i="37"/>
  <c r="CG39" i="37"/>
  <c r="CH39" i="37"/>
  <c r="CI39" i="37"/>
  <c r="CJ39" i="37"/>
  <c r="CK39" i="37"/>
  <c r="CL39" i="37"/>
  <c r="CM39" i="37"/>
  <c r="CN39" i="37"/>
  <c r="CO39" i="37"/>
  <c r="CP39" i="37"/>
  <c r="CQ39" i="37"/>
  <c r="CR39" i="37"/>
  <c r="CS39" i="37"/>
  <c r="CT39" i="37"/>
  <c r="CU39" i="37"/>
  <c r="CV39" i="37"/>
  <c r="CW39" i="37"/>
  <c r="CX39" i="37"/>
  <c r="G40" i="37"/>
  <c r="H40" i="37"/>
  <c r="I40" i="37"/>
  <c r="J40" i="37"/>
  <c r="K40" i="37"/>
  <c r="L40" i="37"/>
  <c r="M40" i="37"/>
  <c r="N40" i="37"/>
  <c r="O40" i="37"/>
  <c r="Q40" i="37"/>
  <c r="S40" i="37"/>
  <c r="T40" i="37"/>
  <c r="U40" i="37"/>
  <c r="V40" i="37"/>
  <c r="W40" i="37"/>
  <c r="X40" i="37"/>
  <c r="Y40" i="37"/>
  <c r="AA40" i="37"/>
  <c r="AC40" i="37"/>
  <c r="AD40" i="37"/>
  <c r="AE40" i="37"/>
  <c r="AF40" i="37"/>
  <c r="AI40" i="37"/>
  <c r="AJ40" i="37"/>
  <c r="AK40" i="37"/>
  <c r="AL40" i="37"/>
  <c r="AM40" i="37"/>
  <c r="AN40" i="37"/>
  <c r="AO40" i="37"/>
  <c r="AP40" i="37"/>
  <c r="AQ40" i="37"/>
  <c r="AR40" i="37"/>
  <c r="AS40" i="37"/>
  <c r="AT40" i="37"/>
  <c r="AU40" i="37"/>
  <c r="AV40" i="37"/>
  <c r="AW40" i="37"/>
  <c r="AX40" i="37"/>
  <c r="AY40" i="37"/>
  <c r="AZ40" i="37"/>
  <c r="BA40" i="37"/>
  <c r="BB40" i="37"/>
  <c r="BC40" i="37"/>
  <c r="BD40" i="37"/>
  <c r="BF40" i="37"/>
  <c r="BG40" i="37"/>
  <c r="BH40" i="37"/>
  <c r="BI40" i="37"/>
  <c r="BJ40" i="37"/>
  <c r="BK40" i="37"/>
  <c r="BL40" i="37"/>
  <c r="BM40" i="37"/>
  <c r="BN40" i="37"/>
  <c r="BO40" i="37"/>
  <c r="BP40" i="37"/>
  <c r="BQ40" i="37"/>
  <c r="BR40" i="37"/>
  <c r="BS40" i="37"/>
  <c r="BT40" i="37"/>
  <c r="BU40" i="37"/>
  <c r="BV40" i="37"/>
  <c r="BW40" i="37"/>
  <c r="BX40" i="37"/>
  <c r="BY40" i="37"/>
  <c r="BZ40" i="37"/>
  <c r="CA40" i="37"/>
  <c r="CC40" i="37"/>
  <c r="CD40" i="37"/>
  <c r="CE40" i="37"/>
  <c r="CF40" i="37"/>
  <c r="CG40" i="37"/>
  <c r="CH40" i="37"/>
  <c r="CI40" i="37"/>
  <c r="CJ40" i="37"/>
  <c r="CK40" i="37"/>
  <c r="CL40" i="37"/>
  <c r="CM40" i="37"/>
  <c r="CN40" i="37"/>
  <c r="CO40" i="37"/>
  <c r="CP40" i="37"/>
  <c r="CQ40" i="37"/>
  <c r="CR40" i="37"/>
  <c r="CS40" i="37"/>
  <c r="CT40" i="37"/>
  <c r="CU40" i="37"/>
  <c r="CV40" i="37"/>
  <c r="CW40" i="37"/>
  <c r="CX40" i="37"/>
  <c r="H21" i="27"/>
  <c r="J21" i="27"/>
  <c r="K21" i="27"/>
  <c r="L21" i="27"/>
  <c r="N21" i="27"/>
  <c r="O21" i="27"/>
  <c r="P21" i="27"/>
  <c r="Q21" i="27"/>
  <c r="R21" i="27"/>
  <c r="S21" i="27"/>
  <c r="U21" i="27"/>
  <c r="V21" i="27"/>
  <c r="W21" i="27"/>
  <c r="X21" i="27"/>
  <c r="Z21" i="27"/>
  <c r="AB21" i="27"/>
  <c r="AC21" i="27"/>
  <c r="AD21" i="27"/>
  <c r="H22" i="27"/>
  <c r="J22" i="27"/>
  <c r="K22" i="27"/>
  <c r="L22" i="27"/>
  <c r="N22" i="27"/>
  <c r="O22" i="27"/>
  <c r="P22" i="27"/>
  <c r="Q22" i="27"/>
  <c r="R22" i="27"/>
  <c r="S22" i="27"/>
  <c r="U22" i="27"/>
  <c r="V22" i="27"/>
  <c r="W22" i="27"/>
  <c r="X22" i="27"/>
  <c r="Z22" i="27"/>
  <c r="AB22" i="27"/>
  <c r="AC22" i="27"/>
  <c r="AD22" i="27"/>
  <c r="H23" i="27"/>
  <c r="J23" i="27"/>
  <c r="K23" i="27"/>
  <c r="L23" i="27"/>
  <c r="N23" i="27"/>
  <c r="O23" i="27"/>
  <c r="P23" i="27"/>
  <c r="Q23" i="27"/>
  <c r="R23" i="27"/>
  <c r="S23" i="27"/>
  <c r="U23" i="27"/>
  <c r="V23" i="27"/>
  <c r="W23" i="27"/>
  <c r="X23" i="27"/>
  <c r="Z23" i="27"/>
  <c r="AB23" i="27"/>
  <c r="AC23" i="27"/>
  <c r="AD23" i="27"/>
  <c r="H24" i="27"/>
  <c r="J24" i="27"/>
  <c r="K24" i="27"/>
  <c r="L24" i="27"/>
  <c r="N24" i="27"/>
  <c r="O24" i="27"/>
  <c r="P24" i="27"/>
  <c r="Q24" i="27"/>
  <c r="R24" i="27"/>
  <c r="S24" i="27"/>
  <c r="U24" i="27"/>
  <c r="V24" i="27"/>
  <c r="W24" i="27"/>
  <c r="X24" i="27"/>
  <c r="Z24" i="27"/>
  <c r="AB24" i="27"/>
  <c r="AC24" i="27"/>
  <c r="AD24" i="27"/>
  <c r="H25" i="27"/>
  <c r="J25" i="27"/>
  <c r="K25" i="27"/>
  <c r="L25" i="27"/>
  <c r="N25" i="27"/>
  <c r="O25" i="27"/>
  <c r="P25" i="27"/>
  <c r="Q25" i="27"/>
  <c r="R25" i="27"/>
  <c r="S25" i="27"/>
  <c r="U25" i="27"/>
  <c r="V25" i="27"/>
  <c r="W25" i="27"/>
  <c r="X25" i="27"/>
  <c r="Z25" i="27"/>
  <c r="AB25" i="27"/>
  <c r="AC25" i="27"/>
  <c r="AD25" i="27"/>
  <c r="H26" i="27"/>
  <c r="J26" i="27"/>
  <c r="K26" i="27"/>
  <c r="L26" i="27"/>
  <c r="N26" i="27"/>
  <c r="O26" i="27"/>
  <c r="P26" i="27"/>
  <c r="Q26" i="27"/>
  <c r="R26" i="27"/>
  <c r="S26" i="27"/>
  <c r="U26" i="27"/>
  <c r="V26" i="27"/>
  <c r="W26" i="27"/>
  <c r="X26" i="27"/>
  <c r="Z26" i="27"/>
  <c r="AB26" i="27"/>
  <c r="AC26" i="27"/>
  <c r="AD26" i="27"/>
  <c r="H27" i="27"/>
  <c r="J27" i="27"/>
  <c r="K27" i="27"/>
  <c r="L27" i="27"/>
  <c r="N27" i="27"/>
  <c r="O27" i="27"/>
  <c r="P27" i="27"/>
  <c r="Q27" i="27"/>
  <c r="R27" i="27"/>
  <c r="S27" i="27"/>
  <c r="U27" i="27"/>
  <c r="V27" i="27"/>
  <c r="W27" i="27"/>
  <c r="X27" i="27"/>
  <c r="Z27" i="27"/>
  <c r="AB27" i="27"/>
  <c r="AC27" i="27"/>
  <c r="AD27" i="27"/>
  <c r="H28" i="27"/>
  <c r="J28" i="27"/>
  <c r="K28" i="27"/>
  <c r="L28" i="27"/>
  <c r="N28" i="27"/>
  <c r="O28" i="27"/>
  <c r="P28" i="27"/>
  <c r="Q28" i="27"/>
  <c r="R28" i="27"/>
  <c r="S28" i="27"/>
  <c r="U28" i="27"/>
  <c r="V28" i="27"/>
  <c r="W28" i="27"/>
  <c r="X28" i="27"/>
  <c r="Z28" i="27"/>
  <c r="AB28" i="27"/>
  <c r="AC28" i="27"/>
  <c r="AD28" i="27"/>
  <c r="H29" i="27"/>
  <c r="J29" i="27"/>
  <c r="K29" i="27"/>
  <c r="L29" i="27"/>
  <c r="N29" i="27"/>
  <c r="O29" i="27"/>
  <c r="P29" i="27"/>
  <c r="Q29" i="27"/>
  <c r="R29" i="27"/>
  <c r="S29" i="27"/>
  <c r="U29" i="27"/>
  <c r="V29" i="27"/>
  <c r="W29" i="27"/>
  <c r="X29" i="27"/>
  <c r="Z29" i="27"/>
  <c r="AB29" i="27"/>
  <c r="AC29" i="27"/>
  <c r="AD29" i="27"/>
  <c r="H30" i="27"/>
  <c r="J30" i="27"/>
  <c r="K30" i="27"/>
  <c r="L30" i="27"/>
  <c r="N30" i="27"/>
  <c r="O30" i="27"/>
  <c r="P30" i="27"/>
  <c r="Q30" i="27"/>
  <c r="R30" i="27"/>
  <c r="S30" i="27"/>
  <c r="U30" i="27"/>
  <c r="V30" i="27"/>
  <c r="W30" i="27"/>
  <c r="X30" i="27"/>
  <c r="Z30" i="27"/>
  <c r="AB30" i="27"/>
  <c r="AC30" i="27"/>
  <c r="AD30" i="27"/>
  <c r="H31" i="27"/>
  <c r="J31" i="27"/>
  <c r="K31" i="27"/>
  <c r="L31" i="27"/>
  <c r="N31" i="27"/>
  <c r="O31" i="27"/>
  <c r="P31" i="27"/>
  <c r="Q31" i="27"/>
  <c r="R31" i="27"/>
  <c r="S31" i="27"/>
  <c r="U31" i="27"/>
  <c r="V31" i="27"/>
  <c r="W31" i="27"/>
  <c r="X31" i="27"/>
  <c r="Z31" i="27"/>
  <c r="AB31" i="27"/>
  <c r="AC31" i="27"/>
  <c r="AD31" i="27"/>
  <c r="H32" i="27"/>
  <c r="J32" i="27"/>
  <c r="K32" i="27"/>
  <c r="L32" i="27"/>
  <c r="N32" i="27"/>
  <c r="O32" i="27"/>
  <c r="P32" i="27"/>
  <c r="Q32" i="27"/>
  <c r="R32" i="27"/>
  <c r="S32" i="27"/>
  <c r="U32" i="27"/>
  <c r="V32" i="27"/>
  <c r="W32" i="27"/>
  <c r="X32" i="27"/>
  <c r="Z32" i="27"/>
  <c r="AB32" i="27"/>
  <c r="AC32" i="27"/>
  <c r="AD32" i="27"/>
  <c r="H33" i="27"/>
  <c r="J33" i="27"/>
  <c r="K33" i="27"/>
  <c r="L33" i="27"/>
  <c r="N33" i="27"/>
  <c r="O33" i="27"/>
  <c r="P33" i="27"/>
  <c r="Q33" i="27"/>
  <c r="R33" i="27"/>
  <c r="S33" i="27"/>
  <c r="U33" i="27"/>
  <c r="V33" i="27"/>
  <c r="W33" i="27"/>
  <c r="X33" i="27"/>
  <c r="Z33" i="27"/>
  <c r="AB33" i="27"/>
  <c r="AC33" i="27"/>
  <c r="AD33" i="27"/>
  <c r="H34" i="27"/>
  <c r="J34" i="27"/>
  <c r="K34" i="27"/>
  <c r="L34" i="27"/>
  <c r="N34" i="27"/>
  <c r="O34" i="27"/>
  <c r="P34" i="27"/>
  <c r="Q34" i="27"/>
  <c r="R34" i="27"/>
  <c r="S34" i="27"/>
  <c r="U34" i="27"/>
  <c r="V34" i="27"/>
  <c r="W34" i="27"/>
  <c r="X34" i="27"/>
  <c r="Z34" i="27"/>
  <c r="AB34" i="27"/>
  <c r="AC34" i="27"/>
  <c r="AD34" i="27"/>
  <c r="H35" i="27"/>
  <c r="J35" i="27"/>
  <c r="K35" i="27"/>
  <c r="L35" i="27"/>
  <c r="N35" i="27"/>
  <c r="O35" i="27"/>
  <c r="P35" i="27"/>
  <c r="Q35" i="27"/>
  <c r="R35" i="27"/>
  <c r="S35" i="27"/>
  <c r="U35" i="27"/>
  <c r="V35" i="27"/>
  <c r="W35" i="27"/>
  <c r="X35" i="27"/>
  <c r="Z35" i="27"/>
  <c r="AB35" i="27"/>
  <c r="AC35" i="27"/>
  <c r="AD35" i="27"/>
  <c r="H36" i="27"/>
  <c r="J36" i="27"/>
  <c r="K36" i="27"/>
  <c r="L36" i="27"/>
  <c r="N36" i="27"/>
  <c r="O36" i="27"/>
  <c r="P36" i="27"/>
  <c r="Q36" i="27"/>
  <c r="R36" i="27"/>
  <c r="S36" i="27"/>
  <c r="U36" i="27"/>
  <c r="V36" i="27"/>
  <c r="W36" i="27"/>
  <c r="X36" i="27"/>
  <c r="Z36" i="27"/>
  <c r="AB36" i="27"/>
  <c r="AC36" i="27"/>
  <c r="AD36" i="27"/>
  <c r="H37" i="27"/>
  <c r="J37" i="27"/>
  <c r="K37" i="27"/>
  <c r="L37" i="27"/>
  <c r="N37" i="27"/>
  <c r="O37" i="27"/>
  <c r="P37" i="27"/>
  <c r="Q37" i="27"/>
  <c r="R37" i="27"/>
  <c r="S37" i="27"/>
  <c r="U37" i="27"/>
  <c r="V37" i="27"/>
  <c r="W37" i="27"/>
  <c r="X37" i="27"/>
  <c r="Z37" i="27"/>
  <c r="AB37" i="27"/>
  <c r="AC37" i="27"/>
  <c r="AD37" i="27"/>
  <c r="H38" i="27"/>
  <c r="J38" i="27"/>
  <c r="K38" i="27"/>
  <c r="L38" i="27"/>
  <c r="N38" i="27"/>
  <c r="O38" i="27"/>
  <c r="P38" i="27"/>
  <c r="Q38" i="27"/>
  <c r="R38" i="27"/>
  <c r="S38" i="27"/>
  <c r="U38" i="27"/>
  <c r="V38" i="27"/>
  <c r="W38" i="27"/>
  <c r="X38" i="27"/>
  <c r="Z38" i="27"/>
  <c r="AB38" i="27"/>
  <c r="AC38" i="27"/>
  <c r="AD38" i="27"/>
  <c r="H39" i="27"/>
  <c r="J39" i="27"/>
  <c r="K39" i="27"/>
  <c r="L39" i="27"/>
  <c r="N39" i="27"/>
  <c r="O39" i="27"/>
  <c r="P39" i="27"/>
  <c r="Q39" i="27"/>
  <c r="R39" i="27"/>
  <c r="S39" i="27"/>
  <c r="U39" i="27"/>
  <c r="V39" i="27"/>
  <c r="W39" i="27"/>
  <c r="X39" i="27"/>
  <c r="Z39" i="27"/>
  <c r="AB39" i="27"/>
  <c r="AC39" i="27"/>
  <c r="AD39" i="27"/>
  <c r="H40" i="27"/>
  <c r="J40" i="27"/>
  <c r="K40" i="27"/>
  <c r="L40" i="27"/>
  <c r="N40" i="27"/>
  <c r="O40" i="27"/>
  <c r="P40" i="27"/>
  <c r="Q40" i="27"/>
  <c r="R40" i="27"/>
  <c r="S40" i="27"/>
  <c r="U40" i="27"/>
  <c r="V40" i="27"/>
  <c r="W40" i="27"/>
  <c r="X40" i="27"/>
  <c r="Z40" i="27"/>
  <c r="AB40" i="27"/>
  <c r="AC40" i="27"/>
  <c r="AD40" i="27"/>
  <c r="H21" i="42"/>
  <c r="J21" i="42"/>
  <c r="K21" i="42"/>
  <c r="L21" i="42"/>
  <c r="N21" i="42"/>
  <c r="O21" i="42"/>
  <c r="P21" i="42"/>
  <c r="Q21" i="42"/>
  <c r="R21" i="42"/>
  <c r="S21" i="42"/>
  <c r="U21" i="42"/>
  <c r="V21" i="42"/>
  <c r="W21" i="42"/>
  <c r="X21" i="42"/>
  <c r="Z21" i="42"/>
  <c r="AB21" i="42"/>
  <c r="AC21" i="42"/>
  <c r="H22" i="42"/>
  <c r="J22" i="42"/>
  <c r="K22" i="42"/>
  <c r="L22" i="42"/>
  <c r="N22" i="42"/>
  <c r="O22" i="42"/>
  <c r="P22" i="42"/>
  <c r="Q22" i="42"/>
  <c r="R22" i="42"/>
  <c r="S22" i="42"/>
  <c r="U22" i="42"/>
  <c r="V22" i="42"/>
  <c r="W22" i="42"/>
  <c r="X22" i="42"/>
  <c r="Z22" i="42"/>
  <c r="AB22" i="42"/>
  <c r="AC22" i="42"/>
  <c r="H23" i="42"/>
  <c r="J23" i="42"/>
  <c r="K23" i="42"/>
  <c r="L23" i="42"/>
  <c r="N23" i="42"/>
  <c r="O23" i="42"/>
  <c r="P23" i="42"/>
  <c r="Q23" i="42"/>
  <c r="R23" i="42"/>
  <c r="S23" i="42"/>
  <c r="U23" i="42"/>
  <c r="V23" i="42"/>
  <c r="W23" i="42"/>
  <c r="X23" i="42"/>
  <c r="Z23" i="42"/>
  <c r="AB23" i="42"/>
  <c r="AC23" i="42"/>
  <c r="H24" i="42"/>
  <c r="J24" i="42"/>
  <c r="K24" i="42"/>
  <c r="L24" i="42"/>
  <c r="N24" i="42"/>
  <c r="O24" i="42"/>
  <c r="P24" i="42"/>
  <c r="Q24" i="42"/>
  <c r="R24" i="42"/>
  <c r="S24" i="42"/>
  <c r="U24" i="42"/>
  <c r="V24" i="42"/>
  <c r="W24" i="42"/>
  <c r="X24" i="42"/>
  <c r="Z24" i="42"/>
  <c r="AB24" i="42"/>
  <c r="AC24" i="42"/>
  <c r="H25" i="42"/>
  <c r="J25" i="42"/>
  <c r="K25" i="42"/>
  <c r="L25" i="42"/>
  <c r="N25" i="42"/>
  <c r="O25" i="42"/>
  <c r="P25" i="42"/>
  <c r="Q25" i="42"/>
  <c r="R25" i="42"/>
  <c r="S25" i="42"/>
  <c r="U25" i="42"/>
  <c r="V25" i="42"/>
  <c r="W25" i="42"/>
  <c r="X25" i="42"/>
  <c r="Z25" i="42"/>
  <c r="AB25" i="42"/>
  <c r="AC25" i="42"/>
  <c r="H26" i="42"/>
  <c r="J26" i="42"/>
  <c r="K26" i="42"/>
  <c r="L26" i="42"/>
  <c r="N26" i="42"/>
  <c r="O26" i="42"/>
  <c r="P26" i="42"/>
  <c r="Q26" i="42"/>
  <c r="R26" i="42"/>
  <c r="S26" i="42"/>
  <c r="U26" i="42"/>
  <c r="V26" i="42"/>
  <c r="W26" i="42"/>
  <c r="X26" i="42"/>
  <c r="Z26" i="42"/>
  <c r="AB26" i="42"/>
  <c r="AC26" i="42"/>
  <c r="H27" i="42"/>
  <c r="J27" i="42"/>
  <c r="K27" i="42"/>
  <c r="L27" i="42"/>
  <c r="N27" i="42"/>
  <c r="O27" i="42"/>
  <c r="P27" i="42"/>
  <c r="Q27" i="42"/>
  <c r="R27" i="42"/>
  <c r="S27" i="42"/>
  <c r="U27" i="42"/>
  <c r="V27" i="42"/>
  <c r="W27" i="42"/>
  <c r="X27" i="42"/>
  <c r="Z27" i="42"/>
  <c r="AB27" i="42"/>
  <c r="AC27" i="42"/>
  <c r="H28" i="42"/>
  <c r="J28" i="42"/>
  <c r="K28" i="42"/>
  <c r="L28" i="42"/>
  <c r="N28" i="42"/>
  <c r="O28" i="42"/>
  <c r="P28" i="42"/>
  <c r="Q28" i="42"/>
  <c r="R28" i="42"/>
  <c r="S28" i="42"/>
  <c r="U28" i="42"/>
  <c r="V28" i="42"/>
  <c r="W28" i="42"/>
  <c r="X28" i="42"/>
  <c r="Z28" i="42"/>
  <c r="AB28" i="42"/>
  <c r="AC28" i="42"/>
  <c r="H29" i="42"/>
  <c r="J29" i="42"/>
  <c r="K29" i="42"/>
  <c r="L29" i="42"/>
  <c r="N29" i="42"/>
  <c r="O29" i="42"/>
  <c r="P29" i="42"/>
  <c r="Q29" i="42"/>
  <c r="R29" i="42"/>
  <c r="S29" i="42"/>
  <c r="U29" i="42"/>
  <c r="V29" i="42"/>
  <c r="W29" i="42"/>
  <c r="X29" i="42"/>
  <c r="Z29" i="42"/>
  <c r="AB29" i="42"/>
  <c r="AC29" i="42"/>
  <c r="H30" i="42"/>
  <c r="J30" i="42"/>
  <c r="K30" i="42"/>
  <c r="L30" i="42"/>
  <c r="N30" i="42"/>
  <c r="O30" i="42"/>
  <c r="P30" i="42"/>
  <c r="Q30" i="42"/>
  <c r="R30" i="42"/>
  <c r="S30" i="42"/>
  <c r="U30" i="42"/>
  <c r="V30" i="42"/>
  <c r="W30" i="42"/>
  <c r="X30" i="42"/>
  <c r="Z30" i="42"/>
  <c r="AB30" i="42"/>
  <c r="AC30" i="42"/>
  <c r="H31" i="42"/>
  <c r="J31" i="42"/>
  <c r="K31" i="42"/>
  <c r="L31" i="42"/>
  <c r="N31" i="42"/>
  <c r="O31" i="42"/>
  <c r="P31" i="42"/>
  <c r="Q31" i="42"/>
  <c r="R31" i="42"/>
  <c r="S31" i="42"/>
  <c r="U31" i="42"/>
  <c r="V31" i="42"/>
  <c r="W31" i="42"/>
  <c r="X31" i="42"/>
  <c r="Z31" i="42"/>
  <c r="AB31" i="42"/>
  <c r="AC31" i="42"/>
  <c r="H32" i="42"/>
  <c r="J32" i="42"/>
  <c r="K32" i="42"/>
  <c r="L32" i="42"/>
  <c r="N32" i="42"/>
  <c r="O32" i="42"/>
  <c r="P32" i="42"/>
  <c r="Q32" i="42"/>
  <c r="R32" i="42"/>
  <c r="S32" i="42"/>
  <c r="U32" i="42"/>
  <c r="V32" i="42"/>
  <c r="W32" i="42"/>
  <c r="X32" i="42"/>
  <c r="Z32" i="42"/>
  <c r="AB32" i="42"/>
  <c r="AC32" i="42"/>
  <c r="H33" i="42"/>
  <c r="J33" i="42"/>
  <c r="K33" i="42"/>
  <c r="L33" i="42"/>
  <c r="N33" i="42"/>
  <c r="O33" i="42"/>
  <c r="P33" i="42"/>
  <c r="Q33" i="42"/>
  <c r="R33" i="42"/>
  <c r="S33" i="42"/>
  <c r="U33" i="42"/>
  <c r="V33" i="42"/>
  <c r="W33" i="42"/>
  <c r="X33" i="42"/>
  <c r="Z33" i="42"/>
  <c r="AB33" i="42"/>
  <c r="AC33" i="42"/>
  <c r="H34" i="42"/>
  <c r="J34" i="42"/>
  <c r="K34" i="42"/>
  <c r="L34" i="42"/>
  <c r="N34" i="42"/>
  <c r="O34" i="42"/>
  <c r="P34" i="42"/>
  <c r="Q34" i="42"/>
  <c r="R34" i="42"/>
  <c r="S34" i="42"/>
  <c r="U34" i="42"/>
  <c r="V34" i="42"/>
  <c r="W34" i="42"/>
  <c r="X34" i="42"/>
  <c r="Z34" i="42"/>
  <c r="AB34" i="42"/>
  <c r="AC34" i="42"/>
  <c r="H35" i="42"/>
  <c r="J35" i="42"/>
  <c r="K35" i="42"/>
  <c r="L35" i="42"/>
  <c r="N35" i="42"/>
  <c r="O35" i="42"/>
  <c r="P35" i="42"/>
  <c r="Q35" i="42"/>
  <c r="R35" i="42"/>
  <c r="S35" i="42"/>
  <c r="U35" i="42"/>
  <c r="V35" i="42"/>
  <c r="W35" i="42"/>
  <c r="X35" i="42"/>
  <c r="Z35" i="42"/>
  <c r="AB35" i="42"/>
  <c r="AC35" i="42"/>
  <c r="H36" i="42"/>
  <c r="J36" i="42"/>
  <c r="K36" i="42"/>
  <c r="L36" i="42"/>
  <c r="N36" i="42"/>
  <c r="O36" i="42"/>
  <c r="P36" i="42"/>
  <c r="Q36" i="42"/>
  <c r="R36" i="42"/>
  <c r="S36" i="42"/>
  <c r="U36" i="42"/>
  <c r="V36" i="42"/>
  <c r="W36" i="42"/>
  <c r="X36" i="42"/>
  <c r="Z36" i="42"/>
  <c r="AB36" i="42"/>
  <c r="AC36" i="42"/>
  <c r="H37" i="42"/>
  <c r="J37" i="42"/>
  <c r="K37" i="42"/>
  <c r="L37" i="42"/>
  <c r="N37" i="42"/>
  <c r="O37" i="42"/>
  <c r="P37" i="42"/>
  <c r="Q37" i="42"/>
  <c r="R37" i="42"/>
  <c r="S37" i="42"/>
  <c r="U37" i="42"/>
  <c r="V37" i="42"/>
  <c r="W37" i="42"/>
  <c r="X37" i="42"/>
  <c r="Z37" i="42"/>
  <c r="AB37" i="42"/>
  <c r="AC37" i="42"/>
  <c r="H38" i="42"/>
  <c r="J38" i="42"/>
  <c r="K38" i="42"/>
  <c r="L38" i="42"/>
  <c r="N38" i="42"/>
  <c r="O38" i="42"/>
  <c r="P38" i="42"/>
  <c r="Q38" i="42"/>
  <c r="R38" i="42"/>
  <c r="S38" i="42"/>
  <c r="U38" i="42"/>
  <c r="V38" i="42"/>
  <c r="W38" i="42"/>
  <c r="X38" i="42"/>
  <c r="Z38" i="42"/>
  <c r="AB38" i="42"/>
  <c r="AC38" i="42"/>
  <c r="H39" i="42"/>
  <c r="J39" i="42"/>
  <c r="K39" i="42"/>
  <c r="L39" i="42"/>
  <c r="N39" i="42"/>
  <c r="O39" i="42"/>
  <c r="P39" i="42"/>
  <c r="Q39" i="42"/>
  <c r="R39" i="42"/>
  <c r="S39" i="42"/>
  <c r="U39" i="42"/>
  <c r="V39" i="42"/>
  <c r="W39" i="42"/>
  <c r="X39" i="42"/>
  <c r="Z39" i="42"/>
  <c r="AB39" i="42"/>
  <c r="AC39" i="42"/>
  <c r="H40" i="42"/>
  <c r="J40" i="42"/>
  <c r="K40" i="42"/>
  <c r="L40" i="42"/>
  <c r="N40" i="42"/>
  <c r="O40" i="42"/>
  <c r="P40" i="42"/>
  <c r="Q40" i="42"/>
  <c r="R40" i="42"/>
  <c r="S40" i="42"/>
  <c r="U40" i="42"/>
  <c r="V40" i="42"/>
  <c r="W40" i="42"/>
  <c r="X40" i="42"/>
  <c r="Z40" i="42"/>
  <c r="AB40" i="42"/>
  <c r="AC40" i="42"/>
  <c r="I21" i="12"/>
  <c r="J21" i="12"/>
  <c r="K21" i="12"/>
  <c r="L21" i="12"/>
  <c r="M21" i="12"/>
  <c r="P21" i="12"/>
  <c r="R21" i="12"/>
  <c r="S21" i="12"/>
  <c r="I22" i="12"/>
  <c r="J22" i="12"/>
  <c r="K22" i="12"/>
  <c r="L22" i="12"/>
  <c r="M22" i="12"/>
  <c r="P22" i="12"/>
  <c r="R22" i="12"/>
  <c r="S22" i="12"/>
  <c r="I23" i="12"/>
  <c r="J23" i="12"/>
  <c r="K23" i="12"/>
  <c r="L23" i="12"/>
  <c r="M23" i="12"/>
  <c r="P23" i="12"/>
  <c r="R23" i="12"/>
  <c r="S23" i="12"/>
  <c r="I24" i="12"/>
  <c r="J24" i="12"/>
  <c r="K24" i="12"/>
  <c r="L24" i="12"/>
  <c r="M24" i="12"/>
  <c r="P24" i="12"/>
  <c r="R24" i="12"/>
  <c r="S24" i="12"/>
  <c r="I25" i="12"/>
  <c r="J25" i="12"/>
  <c r="K25" i="12"/>
  <c r="L25" i="12"/>
  <c r="M25" i="12"/>
  <c r="P25" i="12"/>
  <c r="R25" i="12"/>
  <c r="S25" i="12"/>
  <c r="I26" i="12"/>
  <c r="J26" i="12"/>
  <c r="K26" i="12"/>
  <c r="L26" i="12"/>
  <c r="M26" i="12"/>
  <c r="P26" i="12"/>
  <c r="R26" i="12"/>
  <c r="S26" i="12"/>
  <c r="I27" i="12"/>
  <c r="J27" i="12"/>
  <c r="K27" i="12"/>
  <c r="L27" i="12"/>
  <c r="M27" i="12"/>
  <c r="P27" i="12"/>
  <c r="R27" i="12"/>
  <c r="S27" i="12"/>
  <c r="I28" i="12"/>
  <c r="J28" i="12"/>
  <c r="K28" i="12"/>
  <c r="L28" i="12"/>
  <c r="M28" i="12"/>
  <c r="P28" i="12"/>
  <c r="R28" i="12"/>
  <c r="S28" i="12"/>
  <c r="I29" i="12"/>
  <c r="J29" i="12"/>
  <c r="K29" i="12"/>
  <c r="L29" i="12"/>
  <c r="M29" i="12"/>
  <c r="P29" i="12"/>
  <c r="R29" i="12"/>
  <c r="S29" i="12"/>
  <c r="I30" i="12"/>
  <c r="J30" i="12"/>
  <c r="K30" i="12"/>
  <c r="L30" i="12"/>
  <c r="M30" i="12"/>
  <c r="P30" i="12"/>
  <c r="R30" i="12"/>
  <c r="S30" i="12"/>
  <c r="I31" i="12"/>
  <c r="J31" i="12"/>
  <c r="K31" i="12"/>
  <c r="L31" i="12"/>
  <c r="M31" i="12"/>
  <c r="P31" i="12"/>
  <c r="R31" i="12"/>
  <c r="S31" i="12"/>
  <c r="I32" i="12"/>
  <c r="J32" i="12"/>
  <c r="K32" i="12"/>
  <c r="L32" i="12"/>
  <c r="M32" i="12"/>
  <c r="P32" i="12"/>
  <c r="R32" i="12"/>
  <c r="S32" i="12"/>
  <c r="I33" i="12"/>
  <c r="J33" i="12"/>
  <c r="K33" i="12"/>
  <c r="L33" i="12"/>
  <c r="M33" i="12"/>
  <c r="P33" i="12"/>
  <c r="R33" i="12"/>
  <c r="S33" i="12"/>
  <c r="I34" i="12"/>
  <c r="J34" i="12"/>
  <c r="K34" i="12"/>
  <c r="L34" i="12"/>
  <c r="M34" i="12"/>
  <c r="P34" i="12"/>
  <c r="R34" i="12"/>
  <c r="S34" i="12"/>
  <c r="I35" i="12"/>
  <c r="J35" i="12"/>
  <c r="K35" i="12"/>
  <c r="L35" i="12"/>
  <c r="M35" i="12"/>
  <c r="P35" i="12"/>
  <c r="R35" i="12"/>
  <c r="S35" i="12"/>
  <c r="I36" i="12"/>
  <c r="J36" i="12"/>
  <c r="K36" i="12"/>
  <c r="L36" i="12"/>
  <c r="M36" i="12"/>
  <c r="P36" i="12"/>
  <c r="R36" i="12"/>
  <c r="S36" i="12"/>
  <c r="I37" i="12"/>
  <c r="J37" i="12"/>
  <c r="K37" i="12"/>
  <c r="L37" i="12"/>
  <c r="M37" i="12"/>
  <c r="P37" i="12"/>
  <c r="R37" i="12"/>
  <c r="S37" i="12"/>
  <c r="I38" i="12"/>
  <c r="J38" i="12"/>
  <c r="K38" i="12"/>
  <c r="L38" i="12"/>
  <c r="M38" i="12"/>
  <c r="P38" i="12"/>
  <c r="R38" i="12"/>
  <c r="S38" i="12"/>
  <c r="I39" i="12"/>
  <c r="J39" i="12"/>
  <c r="K39" i="12"/>
  <c r="L39" i="12"/>
  <c r="M39" i="12"/>
  <c r="P39" i="12"/>
  <c r="R39" i="12"/>
  <c r="S39" i="12"/>
  <c r="I40" i="12"/>
  <c r="J40" i="12"/>
  <c r="K40" i="12"/>
  <c r="L40" i="12"/>
  <c r="M40" i="12"/>
  <c r="P40" i="12"/>
  <c r="R40" i="12"/>
  <c r="S40" i="12"/>
  <c r="B21" i="16"/>
  <c r="D21" i="16"/>
  <c r="E21" i="16"/>
  <c r="F21" i="16"/>
  <c r="G21" i="16"/>
  <c r="H21" i="16"/>
  <c r="I21" i="16"/>
  <c r="K21" i="16"/>
  <c r="L21" i="16"/>
  <c r="M21" i="16"/>
  <c r="N21" i="16"/>
  <c r="O21" i="16"/>
  <c r="P21" i="16"/>
  <c r="R21" i="16"/>
  <c r="S21" i="16"/>
  <c r="T21" i="16"/>
  <c r="U21" i="16"/>
  <c r="V21" i="16"/>
  <c r="W21" i="16"/>
  <c r="Y21" i="16"/>
  <c r="Z21" i="16"/>
  <c r="AA21" i="16"/>
  <c r="AC21" i="16"/>
  <c r="AD21" i="16"/>
  <c r="AF21" i="16"/>
  <c r="AG21" i="16"/>
  <c r="AH21" i="16"/>
  <c r="AI21" i="16"/>
  <c r="AJ21" i="16"/>
  <c r="AK21" i="16"/>
  <c r="AM21" i="16"/>
  <c r="AN21" i="16"/>
  <c r="AO21" i="16"/>
  <c r="AP21" i="16"/>
  <c r="B22" i="16"/>
  <c r="D22" i="16"/>
  <c r="E22" i="16"/>
  <c r="F22" i="16"/>
  <c r="G22" i="16"/>
  <c r="H22" i="16"/>
  <c r="I22" i="16"/>
  <c r="K22" i="16"/>
  <c r="L22" i="16"/>
  <c r="M22" i="16"/>
  <c r="N22" i="16"/>
  <c r="O22" i="16"/>
  <c r="P22" i="16"/>
  <c r="R22" i="16"/>
  <c r="S22" i="16"/>
  <c r="T22" i="16"/>
  <c r="U22" i="16"/>
  <c r="V22" i="16"/>
  <c r="W22" i="16"/>
  <c r="Y22" i="16"/>
  <c r="Z22" i="16"/>
  <c r="AA22" i="16"/>
  <c r="AC22" i="16"/>
  <c r="AD22" i="16"/>
  <c r="AF22" i="16"/>
  <c r="AG22" i="16"/>
  <c r="AH22" i="16"/>
  <c r="AI22" i="16"/>
  <c r="AJ22" i="16"/>
  <c r="AK22" i="16"/>
  <c r="AM22" i="16"/>
  <c r="AN22" i="16"/>
  <c r="AO22" i="16"/>
  <c r="AP22" i="16"/>
  <c r="B23" i="16"/>
  <c r="D23" i="16"/>
  <c r="E23" i="16"/>
  <c r="F23" i="16"/>
  <c r="G23" i="16"/>
  <c r="H23" i="16"/>
  <c r="I23" i="16"/>
  <c r="K23" i="16"/>
  <c r="L23" i="16"/>
  <c r="M23" i="16"/>
  <c r="N23" i="16"/>
  <c r="O23" i="16"/>
  <c r="P23" i="16"/>
  <c r="R23" i="16"/>
  <c r="S23" i="16"/>
  <c r="T23" i="16"/>
  <c r="U23" i="16"/>
  <c r="V23" i="16"/>
  <c r="W23" i="16"/>
  <c r="Y23" i="16"/>
  <c r="Z23" i="16"/>
  <c r="AA23" i="16"/>
  <c r="AC23" i="16"/>
  <c r="AD23" i="16"/>
  <c r="AF23" i="16"/>
  <c r="AG23" i="16"/>
  <c r="AH23" i="16"/>
  <c r="AI23" i="16"/>
  <c r="AJ23" i="16"/>
  <c r="AK23" i="16"/>
  <c r="AM23" i="16"/>
  <c r="AN23" i="16"/>
  <c r="AO23" i="16"/>
  <c r="AP23" i="16"/>
  <c r="B24" i="16"/>
  <c r="D24" i="16"/>
  <c r="E24" i="16"/>
  <c r="F24" i="16"/>
  <c r="G24" i="16"/>
  <c r="H24" i="16"/>
  <c r="I24" i="16"/>
  <c r="K24" i="16"/>
  <c r="L24" i="16"/>
  <c r="M24" i="16"/>
  <c r="N24" i="16"/>
  <c r="O24" i="16"/>
  <c r="P24" i="16"/>
  <c r="R24" i="16"/>
  <c r="S24" i="16"/>
  <c r="T24" i="16"/>
  <c r="U24" i="16"/>
  <c r="V24" i="16"/>
  <c r="W24" i="16"/>
  <c r="Y24" i="16"/>
  <c r="Z24" i="16"/>
  <c r="AA24" i="16"/>
  <c r="AC24" i="16"/>
  <c r="AD24" i="16"/>
  <c r="AF24" i="16"/>
  <c r="AG24" i="16"/>
  <c r="AH24" i="16"/>
  <c r="AI24" i="16"/>
  <c r="AJ24" i="16"/>
  <c r="AK24" i="16"/>
  <c r="AM24" i="16"/>
  <c r="AN24" i="16"/>
  <c r="AO24" i="16"/>
  <c r="AP24" i="16"/>
  <c r="B25" i="16"/>
  <c r="D25" i="16"/>
  <c r="E25" i="16"/>
  <c r="F25" i="16"/>
  <c r="G25" i="16"/>
  <c r="H25" i="16"/>
  <c r="I25" i="16"/>
  <c r="K25" i="16"/>
  <c r="L25" i="16"/>
  <c r="M25" i="16"/>
  <c r="N25" i="16"/>
  <c r="O25" i="16"/>
  <c r="P25" i="16"/>
  <c r="R25" i="16"/>
  <c r="S25" i="16"/>
  <c r="T25" i="16"/>
  <c r="U25" i="16"/>
  <c r="V25" i="16"/>
  <c r="W25" i="16"/>
  <c r="Y25" i="16"/>
  <c r="Z25" i="16"/>
  <c r="AA25" i="16"/>
  <c r="AC25" i="16"/>
  <c r="AD25" i="16"/>
  <c r="AF25" i="16"/>
  <c r="AG25" i="16"/>
  <c r="AH25" i="16"/>
  <c r="AI25" i="16"/>
  <c r="AJ25" i="16"/>
  <c r="AK25" i="16"/>
  <c r="AM25" i="16"/>
  <c r="AN25" i="16"/>
  <c r="AO25" i="16"/>
  <c r="AP25" i="16"/>
  <c r="B26" i="16"/>
  <c r="D26" i="16"/>
  <c r="E26" i="16"/>
  <c r="F26" i="16"/>
  <c r="G26" i="16"/>
  <c r="H26" i="16"/>
  <c r="I26" i="16"/>
  <c r="K26" i="16"/>
  <c r="L26" i="16"/>
  <c r="M26" i="16"/>
  <c r="N26" i="16"/>
  <c r="O26" i="16"/>
  <c r="P26" i="16"/>
  <c r="R26" i="16"/>
  <c r="S26" i="16"/>
  <c r="T26" i="16"/>
  <c r="U26" i="16"/>
  <c r="V26" i="16"/>
  <c r="W26" i="16"/>
  <c r="Y26" i="16"/>
  <c r="Z26" i="16"/>
  <c r="AA26" i="16"/>
  <c r="AC26" i="16"/>
  <c r="AD26" i="16"/>
  <c r="AF26" i="16"/>
  <c r="AG26" i="16"/>
  <c r="AH26" i="16"/>
  <c r="AI26" i="16"/>
  <c r="AJ26" i="16"/>
  <c r="AK26" i="16"/>
  <c r="AM26" i="16"/>
  <c r="AN26" i="16"/>
  <c r="AO26" i="16"/>
  <c r="AP26" i="16"/>
  <c r="B27" i="16"/>
  <c r="D27" i="16"/>
  <c r="E27" i="16"/>
  <c r="F27" i="16"/>
  <c r="G27" i="16"/>
  <c r="H27" i="16"/>
  <c r="I27" i="16"/>
  <c r="K27" i="16"/>
  <c r="L27" i="16"/>
  <c r="M27" i="16"/>
  <c r="N27" i="16"/>
  <c r="O27" i="16"/>
  <c r="P27" i="16"/>
  <c r="R27" i="16"/>
  <c r="S27" i="16"/>
  <c r="T27" i="16"/>
  <c r="U27" i="16"/>
  <c r="V27" i="16"/>
  <c r="W27" i="16"/>
  <c r="Y27" i="16"/>
  <c r="Z27" i="16"/>
  <c r="AA27" i="16"/>
  <c r="AC27" i="16"/>
  <c r="AD27" i="16"/>
  <c r="AF27" i="16"/>
  <c r="AG27" i="16"/>
  <c r="AH27" i="16"/>
  <c r="AI27" i="16"/>
  <c r="AJ27" i="16"/>
  <c r="AK27" i="16"/>
  <c r="AM27" i="16"/>
  <c r="AN27" i="16"/>
  <c r="AO27" i="16"/>
  <c r="AP27" i="16"/>
  <c r="B28" i="16"/>
  <c r="D28" i="16"/>
  <c r="E28" i="16"/>
  <c r="F28" i="16"/>
  <c r="G28" i="16"/>
  <c r="H28" i="16"/>
  <c r="I28" i="16"/>
  <c r="K28" i="16"/>
  <c r="L28" i="16"/>
  <c r="M28" i="16"/>
  <c r="N28" i="16"/>
  <c r="O28" i="16"/>
  <c r="P28" i="16"/>
  <c r="R28" i="16"/>
  <c r="S28" i="16"/>
  <c r="T28" i="16"/>
  <c r="U28" i="16"/>
  <c r="V28" i="16"/>
  <c r="W28" i="16"/>
  <c r="Y28" i="16"/>
  <c r="Z28" i="16"/>
  <c r="AA28" i="16"/>
  <c r="AC28" i="16"/>
  <c r="AD28" i="16"/>
  <c r="AF28" i="16"/>
  <c r="AG28" i="16"/>
  <c r="AH28" i="16"/>
  <c r="AI28" i="16"/>
  <c r="AJ28" i="16"/>
  <c r="AK28" i="16"/>
  <c r="AM28" i="16"/>
  <c r="AN28" i="16"/>
  <c r="AO28" i="16"/>
  <c r="AP28" i="16"/>
  <c r="B29" i="16"/>
  <c r="D29" i="16"/>
  <c r="E29" i="16"/>
  <c r="F29" i="16"/>
  <c r="G29" i="16"/>
  <c r="H29" i="16"/>
  <c r="I29" i="16"/>
  <c r="K29" i="16"/>
  <c r="L29" i="16"/>
  <c r="M29" i="16"/>
  <c r="N29" i="16"/>
  <c r="O29" i="16"/>
  <c r="P29" i="16"/>
  <c r="R29" i="16"/>
  <c r="S29" i="16"/>
  <c r="T29" i="16"/>
  <c r="U29" i="16"/>
  <c r="V29" i="16"/>
  <c r="W29" i="16"/>
  <c r="Y29" i="16"/>
  <c r="Z29" i="16"/>
  <c r="AA29" i="16"/>
  <c r="AC29" i="16"/>
  <c r="AD29" i="16"/>
  <c r="AF29" i="16"/>
  <c r="AG29" i="16"/>
  <c r="AH29" i="16"/>
  <c r="AI29" i="16"/>
  <c r="AJ29" i="16"/>
  <c r="AK29" i="16"/>
  <c r="AM29" i="16"/>
  <c r="AN29" i="16"/>
  <c r="AO29" i="16"/>
  <c r="AP29" i="16"/>
  <c r="B30" i="16"/>
  <c r="D30" i="16"/>
  <c r="E30" i="16"/>
  <c r="F30" i="16"/>
  <c r="G30" i="16"/>
  <c r="H30" i="16"/>
  <c r="I30" i="16"/>
  <c r="K30" i="16"/>
  <c r="L30" i="16"/>
  <c r="M30" i="16"/>
  <c r="N30" i="16"/>
  <c r="O30" i="16"/>
  <c r="P30" i="16"/>
  <c r="R30" i="16"/>
  <c r="S30" i="16"/>
  <c r="T30" i="16"/>
  <c r="U30" i="16"/>
  <c r="V30" i="16"/>
  <c r="W30" i="16"/>
  <c r="Y30" i="16"/>
  <c r="Z30" i="16"/>
  <c r="AA30" i="16"/>
  <c r="AC30" i="16"/>
  <c r="AD30" i="16"/>
  <c r="AF30" i="16"/>
  <c r="AG30" i="16"/>
  <c r="AH30" i="16"/>
  <c r="AI30" i="16"/>
  <c r="AJ30" i="16"/>
  <c r="AK30" i="16"/>
  <c r="AM30" i="16"/>
  <c r="AN30" i="16"/>
  <c r="AO30" i="16"/>
  <c r="AP30" i="16"/>
  <c r="B31" i="16"/>
  <c r="D31" i="16"/>
  <c r="E31" i="16"/>
  <c r="F31" i="16"/>
  <c r="G31" i="16"/>
  <c r="H31" i="16"/>
  <c r="I31" i="16"/>
  <c r="K31" i="16"/>
  <c r="L31" i="16"/>
  <c r="M31" i="16"/>
  <c r="N31" i="16"/>
  <c r="O31" i="16"/>
  <c r="P31" i="16"/>
  <c r="R31" i="16"/>
  <c r="S31" i="16"/>
  <c r="T31" i="16"/>
  <c r="U31" i="16"/>
  <c r="V31" i="16"/>
  <c r="W31" i="16"/>
  <c r="Y31" i="16"/>
  <c r="Z31" i="16"/>
  <c r="AA31" i="16"/>
  <c r="AC31" i="16"/>
  <c r="AD31" i="16"/>
  <c r="AF31" i="16"/>
  <c r="AG31" i="16"/>
  <c r="AH31" i="16"/>
  <c r="AI31" i="16"/>
  <c r="AJ31" i="16"/>
  <c r="AK31" i="16"/>
  <c r="AM31" i="16"/>
  <c r="AN31" i="16"/>
  <c r="AO31" i="16"/>
  <c r="AP31" i="16"/>
  <c r="B32" i="16"/>
  <c r="D32" i="16"/>
  <c r="E32" i="16"/>
  <c r="F32" i="16"/>
  <c r="G32" i="16"/>
  <c r="H32" i="16"/>
  <c r="I32" i="16"/>
  <c r="K32" i="16"/>
  <c r="L32" i="16"/>
  <c r="M32" i="16"/>
  <c r="N32" i="16"/>
  <c r="O32" i="16"/>
  <c r="P32" i="16"/>
  <c r="R32" i="16"/>
  <c r="S32" i="16"/>
  <c r="T32" i="16"/>
  <c r="U32" i="16"/>
  <c r="V32" i="16"/>
  <c r="W32" i="16"/>
  <c r="Y32" i="16"/>
  <c r="Z32" i="16"/>
  <c r="AA32" i="16"/>
  <c r="AC32" i="16"/>
  <c r="AD32" i="16"/>
  <c r="AF32" i="16"/>
  <c r="AG32" i="16"/>
  <c r="AH32" i="16"/>
  <c r="AI32" i="16"/>
  <c r="AJ32" i="16"/>
  <c r="AK32" i="16"/>
  <c r="AM32" i="16"/>
  <c r="AN32" i="16"/>
  <c r="AO32" i="16"/>
  <c r="AP32" i="16"/>
  <c r="B33" i="16"/>
  <c r="D33" i="16"/>
  <c r="E33" i="16"/>
  <c r="F33" i="16"/>
  <c r="G33" i="16"/>
  <c r="H33" i="16"/>
  <c r="I33" i="16"/>
  <c r="K33" i="16"/>
  <c r="L33" i="16"/>
  <c r="M33" i="16"/>
  <c r="N33" i="16"/>
  <c r="O33" i="16"/>
  <c r="P33" i="16"/>
  <c r="R33" i="16"/>
  <c r="S33" i="16"/>
  <c r="T33" i="16"/>
  <c r="U33" i="16"/>
  <c r="V33" i="16"/>
  <c r="W33" i="16"/>
  <c r="Y33" i="16"/>
  <c r="Z33" i="16"/>
  <c r="AA33" i="16"/>
  <c r="AC33" i="16"/>
  <c r="AD33" i="16"/>
  <c r="AF33" i="16"/>
  <c r="AG33" i="16"/>
  <c r="AH33" i="16"/>
  <c r="AI33" i="16"/>
  <c r="AJ33" i="16"/>
  <c r="AK33" i="16"/>
  <c r="AM33" i="16"/>
  <c r="AN33" i="16"/>
  <c r="AO33" i="16"/>
  <c r="AP33" i="16"/>
  <c r="B34" i="16"/>
  <c r="D34" i="16"/>
  <c r="E34" i="16"/>
  <c r="F34" i="16"/>
  <c r="G34" i="16"/>
  <c r="H34" i="16"/>
  <c r="I34" i="16"/>
  <c r="K34" i="16"/>
  <c r="L34" i="16"/>
  <c r="M34" i="16"/>
  <c r="N34" i="16"/>
  <c r="O34" i="16"/>
  <c r="P34" i="16"/>
  <c r="R34" i="16"/>
  <c r="S34" i="16"/>
  <c r="T34" i="16"/>
  <c r="U34" i="16"/>
  <c r="V34" i="16"/>
  <c r="W34" i="16"/>
  <c r="Y34" i="16"/>
  <c r="Z34" i="16"/>
  <c r="AA34" i="16"/>
  <c r="AC34" i="16"/>
  <c r="AD34" i="16"/>
  <c r="AF34" i="16"/>
  <c r="AG34" i="16"/>
  <c r="AH34" i="16"/>
  <c r="AI34" i="16"/>
  <c r="AJ34" i="16"/>
  <c r="AK34" i="16"/>
  <c r="AM34" i="16"/>
  <c r="AN34" i="16"/>
  <c r="AO34" i="16"/>
  <c r="AP34" i="16"/>
  <c r="B35" i="16"/>
  <c r="D35" i="16"/>
  <c r="E35" i="16"/>
  <c r="F35" i="16"/>
  <c r="G35" i="16"/>
  <c r="H35" i="16"/>
  <c r="I35" i="16"/>
  <c r="K35" i="16"/>
  <c r="L35" i="16"/>
  <c r="M35" i="16"/>
  <c r="N35" i="16"/>
  <c r="O35" i="16"/>
  <c r="P35" i="16"/>
  <c r="R35" i="16"/>
  <c r="S35" i="16"/>
  <c r="T35" i="16"/>
  <c r="U35" i="16"/>
  <c r="V35" i="16"/>
  <c r="W35" i="16"/>
  <c r="Y35" i="16"/>
  <c r="Z35" i="16"/>
  <c r="AA35" i="16"/>
  <c r="AC35" i="16"/>
  <c r="AD35" i="16"/>
  <c r="AF35" i="16"/>
  <c r="AG35" i="16"/>
  <c r="AH35" i="16"/>
  <c r="AI35" i="16"/>
  <c r="AJ35" i="16"/>
  <c r="AK35" i="16"/>
  <c r="AM35" i="16"/>
  <c r="AN35" i="16"/>
  <c r="AO35" i="16"/>
  <c r="AP35" i="16"/>
  <c r="B36" i="16"/>
  <c r="D36" i="16"/>
  <c r="E36" i="16"/>
  <c r="F36" i="16"/>
  <c r="G36" i="16"/>
  <c r="H36" i="16"/>
  <c r="I36" i="16"/>
  <c r="K36" i="16"/>
  <c r="L36" i="16"/>
  <c r="M36" i="16"/>
  <c r="N36" i="16"/>
  <c r="O36" i="16"/>
  <c r="P36" i="16"/>
  <c r="R36" i="16"/>
  <c r="S36" i="16"/>
  <c r="T36" i="16"/>
  <c r="U36" i="16"/>
  <c r="V36" i="16"/>
  <c r="W36" i="16"/>
  <c r="Y36" i="16"/>
  <c r="Z36" i="16"/>
  <c r="AA36" i="16"/>
  <c r="AC36" i="16"/>
  <c r="AD36" i="16"/>
  <c r="AF36" i="16"/>
  <c r="AG36" i="16"/>
  <c r="AH36" i="16"/>
  <c r="AI36" i="16"/>
  <c r="AJ36" i="16"/>
  <c r="AK36" i="16"/>
  <c r="AM36" i="16"/>
  <c r="AN36" i="16"/>
  <c r="AO36" i="16"/>
  <c r="AP36" i="16"/>
  <c r="B37" i="16"/>
  <c r="D37" i="16"/>
  <c r="E37" i="16"/>
  <c r="F37" i="16"/>
  <c r="G37" i="16"/>
  <c r="H37" i="16"/>
  <c r="I37" i="16"/>
  <c r="K37" i="16"/>
  <c r="L37" i="16"/>
  <c r="M37" i="16"/>
  <c r="N37" i="16"/>
  <c r="O37" i="16"/>
  <c r="P37" i="16"/>
  <c r="R37" i="16"/>
  <c r="S37" i="16"/>
  <c r="T37" i="16"/>
  <c r="U37" i="16"/>
  <c r="V37" i="16"/>
  <c r="W37" i="16"/>
  <c r="Y37" i="16"/>
  <c r="Z37" i="16"/>
  <c r="AA37" i="16"/>
  <c r="AC37" i="16"/>
  <c r="AD37" i="16"/>
  <c r="AF37" i="16"/>
  <c r="AG37" i="16"/>
  <c r="AH37" i="16"/>
  <c r="AI37" i="16"/>
  <c r="AJ37" i="16"/>
  <c r="AK37" i="16"/>
  <c r="AM37" i="16"/>
  <c r="AN37" i="16"/>
  <c r="AO37" i="16"/>
  <c r="AP37" i="16"/>
  <c r="B38" i="16"/>
  <c r="D38" i="16"/>
  <c r="E38" i="16"/>
  <c r="F38" i="16"/>
  <c r="G38" i="16"/>
  <c r="H38" i="16"/>
  <c r="I38" i="16"/>
  <c r="K38" i="16"/>
  <c r="L38" i="16"/>
  <c r="M38" i="16"/>
  <c r="N38" i="16"/>
  <c r="O38" i="16"/>
  <c r="P38" i="16"/>
  <c r="R38" i="16"/>
  <c r="S38" i="16"/>
  <c r="T38" i="16"/>
  <c r="U38" i="16"/>
  <c r="V38" i="16"/>
  <c r="W38" i="16"/>
  <c r="Y38" i="16"/>
  <c r="Z38" i="16"/>
  <c r="AA38" i="16"/>
  <c r="AC38" i="16"/>
  <c r="AD38" i="16"/>
  <c r="AF38" i="16"/>
  <c r="AG38" i="16"/>
  <c r="AH38" i="16"/>
  <c r="AI38" i="16"/>
  <c r="AJ38" i="16"/>
  <c r="AK38" i="16"/>
  <c r="AM38" i="16"/>
  <c r="AN38" i="16"/>
  <c r="AO38" i="16"/>
  <c r="AP38" i="16"/>
  <c r="B39" i="16"/>
  <c r="D39" i="16"/>
  <c r="E39" i="16"/>
  <c r="F39" i="16"/>
  <c r="G39" i="16"/>
  <c r="H39" i="16"/>
  <c r="I39" i="16"/>
  <c r="K39" i="16"/>
  <c r="L39" i="16"/>
  <c r="M39" i="16"/>
  <c r="N39" i="16"/>
  <c r="O39" i="16"/>
  <c r="P39" i="16"/>
  <c r="R39" i="16"/>
  <c r="S39" i="16"/>
  <c r="T39" i="16"/>
  <c r="U39" i="16"/>
  <c r="V39" i="16"/>
  <c r="W39" i="16"/>
  <c r="Y39" i="16"/>
  <c r="Z39" i="16"/>
  <c r="AA39" i="16"/>
  <c r="AC39" i="16"/>
  <c r="AD39" i="16"/>
  <c r="AF39" i="16"/>
  <c r="AG39" i="16"/>
  <c r="AH39" i="16"/>
  <c r="AI39" i="16"/>
  <c r="AJ39" i="16"/>
  <c r="AK39" i="16"/>
  <c r="AM39" i="16"/>
  <c r="AN39" i="16"/>
  <c r="AO39" i="16"/>
  <c r="AP39" i="16"/>
  <c r="B40" i="16"/>
  <c r="D40" i="16"/>
  <c r="E40" i="16"/>
  <c r="F40" i="16"/>
  <c r="G40" i="16"/>
  <c r="H40" i="16"/>
  <c r="I40" i="16"/>
  <c r="K40" i="16"/>
  <c r="L40" i="16"/>
  <c r="M40" i="16"/>
  <c r="N40" i="16"/>
  <c r="O40" i="16"/>
  <c r="P40" i="16"/>
  <c r="R40" i="16"/>
  <c r="S40" i="16"/>
  <c r="T40" i="16"/>
  <c r="U40" i="16"/>
  <c r="V40" i="16"/>
  <c r="W40" i="16"/>
  <c r="Y40" i="16"/>
  <c r="Z40" i="16"/>
  <c r="AA40" i="16"/>
  <c r="AC40" i="16"/>
  <c r="AD40" i="16"/>
  <c r="AF40" i="16"/>
  <c r="AG40" i="16"/>
  <c r="AH40" i="16"/>
  <c r="AI40" i="16"/>
  <c r="AJ40" i="16"/>
  <c r="AK40" i="16"/>
  <c r="AM40" i="16"/>
  <c r="AN40" i="16"/>
  <c r="AO40" i="16"/>
  <c r="AP40" i="16"/>
  <c r="B21" i="20"/>
  <c r="C21" i="20"/>
  <c r="D21" i="20"/>
  <c r="F21" i="20"/>
  <c r="G21" i="20"/>
  <c r="H21" i="20"/>
  <c r="I21" i="20"/>
  <c r="J21" i="20"/>
  <c r="K21" i="20"/>
  <c r="L21" i="20"/>
  <c r="M21" i="20"/>
  <c r="N21" i="20"/>
  <c r="P21" i="20"/>
  <c r="Q21" i="20"/>
  <c r="R21" i="20"/>
  <c r="S21" i="20"/>
  <c r="T21" i="20"/>
  <c r="W21" i="20"/>
  <c r="X21" i="20"/>
  <c r="Z21" i="20"/>
  <c r="AA21" i="20"/>
  <c r="AB21" i="20"/>
  <c r="AC21" i="20"/>
  <c r="AG21" i="20"/>
  <c r="AH21" i="20"/>
  <c r="AI21" i="20"/>
  <c r="AJ21" i="20"/>
  <c r="AK21" i="20"/>
  <c r="AL21" i="20"/>
  <c r="AN21" i="20"/>
  <c r="AO21" i="20"/>
  <c r="AP21" i="20"/>
  <c r="AQ21" i="20"/>
  <c r="AR21" i="20"/>
  <c r="AS21" i="20"/>
  <c r="AT21" i="20"/>
  <c r="AU21" i="20"/>
  <c r="AW21" i="20"/>
  <c r="AX21" i="20"/>
  <c r="AY21" i="20"/>
  <c r="AZ21" i="20"/>
  <c r="BA21" i="20"/>
  <c r="BB21" i="20"/>
  <c r="BC21" i="20"/>
  <c r="BD21" i="20"/>
  <c r="BE21" i="20"/>
  <c r="BF21" i="20"/>
  <c r="BG21" i="20"/>
  <c r="BH21" i="20"/>
  <c r="BI21" i="20"/>
  <c r="BJ21" i="20"/>
  <c r="BL21" i="20"/>
  <c r="BM21" i="20"/>
  <c r="BN21" i="20"/>
  <c r="BO21" i="20"/>
  <c r="BP21" i="20"/>
  <c r="BQ21" i="20"/>
  <c r="BY21" i="20"/>
  <c r="BZ21" i="20"/>
  <c r="CA21" i="20"/>
  <c r="CB21" i="20"/>
  <c r="CC21" i="20"/>
  <c r="CD21" i="20"/>
  <c r="CE21" i="20"/>
  <c r="CF21" i="20"/>
  <c r="CG21" i="20"/>
  <c r="B22" i="20"/>
  <c r="C22" i="20"/>
  <c r="D22" i="20"/>
  <c r="F22" i="20"/>
  <c r="G22" i="20"/>
  <c r="H22" i="20"/>
  <c r="I22" i="20"/>
  <c r="J22" i="20"/>
  <c r="K22" i="20"/>
  <c r="L22" i="20"/>
  <c r="M22" i="20"/>
  <c r="N22" i="20"/>
  <c r="P22" i="20"/>
  <c r="Q22" i="20"/>
  <c r="R22" i="20"/>
  <c r="S22" i="20"/>
  <c r="T22" i="20"/>
  <c r="W22" i="20"/>
  <c r="X22" i="20"/>
  <c r="Z22" i="20"/>
  <c r="AA22" i="20"/>
  <c r="AB22" i="20"/>
  <c r="AC22" i="20"/>
  <c r="AG22" i="20"/>
  <c r="AH22" i="20"/>
  <c r="AI22" i="20"/>
  <c r="AJ22" i="20"/>
  <c r="AK22" i="20"/>
  <c r="AL22" i="20"/>
  <c r="AN22" i="20"/>
  <c r="AO22" i="20"/>
  <c r="AP22" i="20"/>
  <c r="AQ22" i="20"/>
  <c r="AR22" i="20"/>
  <c r="AS22" i="20"/>
  <c r="AT22" i="20"/>
  <c r="AU22" i="20"/>
  <c r="AW22" i="20"/>
  <c r="AX22" i="20"/>
  <c r="AY22" i="20"/>
  <c r="AZ22" i="20"/>
  <c r="BA22" i="20"/>
  <c r="BB22" i="20"/>
  <c r="BC22" i="20"/>
  <c r="BD22" i="20"/>
  <c r="BE22" i="20"/>
  <c r="BF22" i="20"/>
  <c r="BG22" i="20"/>
  <c r="BH22" i="20"/>
  <c r="BI22" i="20"/>
  <c r="BJ22" i="20"/>
  <c r="BL22" i="20"/>
  <c r="BM22" i="20"/>
  <c r="BN22" i="20"/>
  <c r="BO22" i="20"/>
  <c r="BP22" i="20"/>
  <c r="BQ22" i="20"/>
  <c r="BY22" i="20"/>
  <c r="BZ22" i="20"/>
  <c r="CA22" i="20"/>
  <c r="CB22" i="20"/>
  <c r="CC22" i="20"/>
  <c r="CD22" i="20"/>
  <c r="CE22" i="20"/>
  <c r="CF22" i="20"/>
  <c r="CG22" i="20"/>
  <c r="B23" i="20"/>
  <c r="C23" i="20"/>
  <c r="D23" i="20"/>
  <c r="F23" i="20"/>
  <c r="G23" i="20"/>
  <c r="H23" i="20"/>
  <c r="I23" i="20"/>
  <c r="J23" i="20"/>
  <c r="K23" i="20"/>
  <c r="L23" i="20"/>
  <c r="M23" i="20"/>
  <c r="N23" i="20"/>
  <c r="P23" i="20"/>
  <c r="Q23" i="20"/>
  <c r="R23" i="20"/>
  <c r="S23" i="20"/>
  <c r="T23" i="20"/>
  <c r="W23" i="20"/>
  <c r="X23" i="20"/>
  <c r="Z23" i="20"/>
  <c r="AA23" i="20"/>
  <c r="AB23" i="20"/>
  <c r="AC23" i="20"/>
  <c r="AG23" i="20"/>
  <c r="AH23" i="20"/>
  <c r="AI23" i="20"/>
  <c r="AJ23" i="20"/>
  <c r="AK23" i="20"/>
  <c r="AL23" i="20"/>
  <c r="AN23" i="20"/>
  <c r="AO23" i="20"/>
  <c r="AP23" i="20"/>
  <c r="AQ23" i="20"/>
  <c r="AR23" i="20"/>
  <c r="AS23" i="20"/>
  <c r="AT23" i="20"/>
  <c r="AU23" i="20"/>
  <c r="AW23" i="20"/>
  <c r="AX23" i="20"/>
  <c r="AY23" i="20"/>
  <c r="AZ23" i="20"/>
  <c r="BA23" i="20"/>
  <c r="BB23" i="20"/>
  <c r="BC23" i="20"/>
  <c r="BD23" i="20"/>
  <c r="BE23" i="20"/>
  <c r="BF23" i="20"/>
  <c r="BG23" i="20"/>
  <c r="BH23" i="20"/>
  <c r="BI23" i="20"/>
  <c r="BJ23" i="20"/>
  <c r="BL23" i="20"/>
  <c r="BM23" i="20"/>
  <c r="BN23" i="20"/>
  <c r="BO23" i="20"/>
  <c r="BP23" i="20"/>
  <c r="BQ23" i="20"/>
  <c r="BY23" i="20"/>
  <c r="BZ23" i="20"/>
  <c r="CA23" i="20"/>
  <c r="CB23" i="20"/>
  <c r="CC23" i="20"/>
  <c r="CD23" i="20"/>
  <c r="CE23" i="20"/>
  <c r="CF23" i="20"/>
  <c r="CG23" i="20"/>
  <c r="B24" i="20"/>
  <c r="C24" i="20"/>
  <c r="D24" i="20"/>
  <c r="F24" i="20"/>
  <c r="G24" i="20"/>
  <c r="H24" i="20"/>
  <c r="I24" i="20"/>
  <c r="J24" i="20"/>
  <c r="K24" i="20"/>
  <c r="L24" i="20"/>
  <c r="M24" i="20"/>
  <c r="N24" i="20"/>
  <c r="P24" i="20"/>
  <c r="Q24" i="20"/>
  <c r="R24" i="20"/>
  <c r="S24" i="20"/>
  <c r="T24" i="20"/>
  <c r="W24" i="20"/>
  <c r="X24" i="20"/>
  <c r="Z24" i="20"/>
  <c r="AA24" i="20"/>
  <c r="AB24" i="20"/>
  <c r="AC24" i="20"/>
  <c r="AG24" i="20"/>
  <c r="AH24" i="20"/>
  <c r="AI24" i="20"/>
  <c r="AJ24" i="20"/>
  <c r="AK24" i="20"/>
  <c r="AL24" i="20"/>
  <c r="AN24" i="20"/>
  <c r="AO24" i="20"/>
  <c r="AP24" i="20"/>
  <c r="AQ24" i="20"/>
  <c r="AR24" i="20"/>
  <c r="AS24" i="20"/>
  <c r="AT24" i="20"/>
  <c r="AU24" i="20"/>
  <c r="AW24" i="20"/>
  <c r="AX24" i="20"/>
  <c r="AY24" i="20"/>
  <c r="AZ24" i="20"/>
  <c r="BA24" i="20"/>
  <c r="BB24" i="20"/>
  <c r="BC24" i="20"/>
  <c r="BD24" i="20"/>
  <c r="BE24" i="20"/>
  <c r="BF24" i="20"/>
  <c r="BG24" i="20"/>
  <c r="BH24" i="20"/>
  <c r="BI24" i="20"/>
  <c r="BJ24" i="20"/>
  <c r="BL24" i="20"/>
  <c r="BM24" i="20"/>
  <c r="BN24" i="20"/>
  <c r="BO24" i="20"/>
  <c r="BP24" i="20"/>
  <c r="BQ24" i="20"/>
  <c r="BY24" i="20"/>
  <c r="BZ24" i="20"/>
  <c r="CA24" i="20"/>
  <c r="CB24" i="20"/>
  <c r="CC24" i="20"/>
  <c r="CD24" i="20"/>
  <c r="CE24" i="20"/>
  <c r="CF24" i="20"/>
  <c r="CG24" i="20"/>
  <c r="B25" i="20"/>
  <c r="C25" i="20"/>
  <c r="D25" i="20"/>
  <c r="F25" i="20"/>
  <c r="G25" i="20"/>
  <c r="H25" i="20"/>
  <c r="I25" i="20"/>
  <c r="J25" i="20"/>
  <c r="K25" i="20"/>
  <c r="L25" i="20"/>
  <c r="M25" i="20"/>
  <c r="N25" i="20"/>
  <c r="P25" i="20"/>
  <c r="Q25" i="20"/>
  <c r="R25" i="20"/>
  <c r="S25" i="20"/>
  <c r="T25" i="20"/>
  <c r="W25" i="20"/>
  <c r="X25" i="20"/>
  <c r="Z25" i="20"/>
  <c r="AA25" i="20"/>
  <c r="AB25" i="20"/>
  <c r="AC25" i="20"/>
  <c r="AG25" i="20"/>
  <c r="AH25" i="20"/>
  <c r="AI25" i="20"/>
  <c r="AJ25" i="20"/>
  <c r="AK25" i="20"/>
  <c r="AL25" i="20"/>
  <c r="AN25" i="20"/>
  <c r="AO25" i="20"/>
  <c r="AP25" i="20"/>
  <c r="AQ25" i="20"/>
  <c r="AR25" i="20"/>
  <c r="AS25" i="20"/>
  <c r="AT25" i="20"/>
  <c r="AU25" i="20"/>
  <c r="AW25" i="20"/>
  <c r="AX25" i="20"/>
  <c r="AY25" i="20"/>
  <c r="AZ25" i="20"/>
  <c r="BA25" i="20"/>
  <c r="BB25" i="20"/>
  <c r="BC25" i="20"/>
  <c r="BD25" i="20"/>
  <c r="BE25" i="20"/>
  <c r="BF25" i="20"/>
  <c r="BG25" i="20"/>
  <c r="BH25" i="20"/>
  <c r="BI25" i="20"/>
  <c r="BJ25" i="20"/>
  <c r="BL25" i="20"/>
  <c r="BM25" i="20"/>
  <c r="BN25" i="20"/>
  <c r="BO25" i="20"/>
  <c r="BP25" i="20"/>
  <c r="BQ25" i="20"/>
  <c r="BY25" i="20"/>
  <c r="BZ25" i="20"/>
  <c r="CA25" i="20"/>
  <c r="CB25" i="20"/>
  <c r="CC25" i="20"/>
  <c r="CD25" i="20"/>
  <c r="CE25" i="20"/>
  <c r="CF25" i="20"/>
  <c r="CG25" i="20"/>
  <c r="B26" i="20"/>
  <c r="C26" i="20"/>
  <c r="D26" i="20"/>
  <c r="F26" i="20"/>
  <c r="G26" i="20"/>
  <c r="H26" i="20"/>
  <c r="I26" i="20"/>
  <c r="J26" i="20"/>
  <c r="K26" i="20"/>
  <c r="L26" i="20"/>
  <c r="M26" i="20"/>
  <c r="N26" i="20"/>
  <c r="P26" i="20"/>
  <c r="Q26" i="20"/>
  <c r="R26" i="20"/>
  <c r="S26" i="20"/>
  <c r="T26" i="20"/>
  <c r="W26" i="20"/>
  <c r="X26" i="20"/>
  <c r="Z26" i="20"/>
  <c r="AA26" i="20"/>
  <c r="AB26" i="20"/>
  <c r="AC26" i="20"/>
  <c r="AG26" i="20"/>
  <c r="AH26" i="20"/>
  <c r="AI26" i="20"/>
  <c r="AJ26" i="20"/>
  <c r="AK26" i="20"/>
  <c r="AL26" i="20"/>
  <c r="AN26" i="20"/>
  <c r="AO26" i="20"/>
  <c r="AP26" i="20"/>
  <c r="AQ26" i="20"/>
  <c r="AR26" i="20"/>
  <c r="AS26" i="20"/>
  <c r="AT26" i="20"/>
  <c r="AU26" i="20"/>
  <c r="AW26" i="20"/>
  <c r="AX26" i="20"/>
  <c r="AY26" i="20"/>
  <c r="AZ26" i="20"/>
  <c r="BA26" i="20"/>
  <c r="BB26" i="20"/>
  <c r="BC26" i="20"/>
  <c r="BD26" i="20"/>
  <c r="BE26" i="20"/>
  <c r="BF26" i="20"/>
  <c r="BG26" i="20"/>
  <c r="BH26" i="20"/>
  <c r="BI26" i="20"/>
  <c r="BJ26" i="20"/>
  <c r="BL26" i="20"/>
  <c r="BM26" i="20"/>
  <c r="BN26" i="20"/>
  <c r="BO26" i="20"/>
  <c r="BP26" i="20"/>
  <c r="BQ26" i="20"/>
  <c r="BY26" i="20"/>
  <c r="BZ26" i="20"/>
  <c r="CA26" i="20"/>
  <c r="CB26" i="20"/>
  <c r="CC26" i="20"/>
  <c r="CD26" i="20"/>
  <c r="CE26" i="20"/>
  <c r="CF26" i="20"/>
  <c r="CG26" i="20"/>
  <c r="B27" i="20"/>
  <c r="C27" i="20"/>
  <c r="D27" i="20"/>
  <c r="F27" i="20"/>
  <c r="G27" i="20"/>
  <c r="H27" i="20"/>
  <c r="I27" i="20"/>
  <c r="J27" i="20"/>
  <c r="K27" i="20"/>
  <c r="L27" i="20"/>
  <c r="M27" i="20"/>
  <c r="N27" i="20"/>
  <c r="P27" i="20"/>
  <c r="Q27" i="20"/>
  <c r="R27" i="20"/>
  <c r="S27" i="20"/>
  <c r="T27" i="20"/>
  <c r="W27" i="20"/>
  <c r="X27" i="20"/>
  <c r="Z27" i="20"/>
  <c r="AA27" i="20"/>
  <c r="AB27" i="20"/>
  <c r="AC27" i="20"/>
  <c r="AG27" i="20"/>
  <c r="AH27" i="20"/>
  <c r="AI27" i="20"/>
  <c r="AJ27" i="20"/>
  <c r="AK27" i="20"/>
  <c r="AL27" i="20"/>
  <c r="AN27" i="20"/>
  <c r="AO27" i="20"/>
  <c r="AP27" i="20"/>
  <c r="AQ27" i="20"/>
  <c r="AR27" i="20"/>
  <c r="AS27" i="20"/>
  <c r="AT27" i="20"/>
  <c r="AU27" i="20"/>
  <c r="AW27" i="20"/>
  <c r="AX27" i="20"/>
  <c r="AY27" i="20"/>
  <c r="AZ27" i="20"/>
  <c r="BA27" i="20"/>
  <c r="BB27" i="20"/>
  <c r="BC27" i="20"/>
  <c r="BD27" i="20"/>
  <c r="BE27" i="20"/>
  <c r="BF27" i="20"/>
  <c r="BG27" i="20"/>
  <c r="BH27" i="20"/>
  <c r="BI27" i="20"/>
  <c r="BJ27" i="20"/>
  <c r="BL27" i="20"/>
  <c r="BM27" i="20"/>
  <c r="BN27" i="20"/>
  <c r="BO27" i="20"/>
  <c r="BP27" i="20"/>
  <c r="BQ27" i="20"/>
  <c r="BY27" i="20"/>
  <c r="BZ27" i="20"/>
  <c r="CA27" i="20"/>
  <c r="CB27" i="20"/>
  <c r="CC27" i="20"/>
  <c r="CD27" i="20"/>
  <c r="CE27" i="20"/>
  <c r="CF27" i="20"/>
  <c r="CG27" i="20"/>
  <c r="B28" i="20"/>
  <c r="C28" i="20"/>
  <c r="D28" i="20"/>
  <c r="F28" i="20"/>
  <c r="G28" i="20"/>
  <c r="H28" i="20"/>
  <c r="I28" i="20"/>
  <c r="J28" i="20"/>
  <c r="K28" i="20"/>
  <c r="L28" i="20"/>
  <c r="M28" i="20"/>
  <c r="N28" i="20"/>
  <c r="P28" i="20"/>
  <c r="Q28" i="20"/>
  <c r="R28" i="20"/>
  <c r="S28" i="20"/>
  <c r="T28" i="20"/>
  <c r="W28" i="20"/>
  <c r="X28" i="20"/>
  <c r="Z28" i="20"/>
  <c r="AA28" i="20"/>
  <c r="AB28" i="20"/>
  <c r="AC28" i="20"/>
  <c r="AG28" i="20"/>
  <c r="AH28" i="20"/>
  <c r="AI28" i="20"/>
  <c r="AJ28" i="20"/>
  <c r="AK28" i="20"/>
  <c r="AL28" i="20"/>
  <c r="AN28" i="20"/>
  <c r="AO28" i="20"/>
  <c r="AP28" i="20"/>
  <c r="AQ28" i="20"/>
  <c r="AR28" i="20"/>
  <c r="AS28" i="20"/>
  <c r="AT28" i="20"/>
  <c r="AU28" i="20"/>
  <c r="AW28" i="20"/>
  <c r="AX28" i="20"/>
  <c r="AY28" i="20"/>
  <c r="AZ28" i="20"/>
  <c r="BA28" i="20"/>
  <c r="BB28" i="20"/>
  <c r="BC28" i="20"/>
  <c r="BD28" i="20"/>
  <c r="BE28" i="20"/>
  <c r="BF28" i="20"/>
  <c r="BG28" i="20"/>
  <c r="BH28" i="20"/>
  <c r="BI28" i="20"/>
  <c r="BJ28" i="20"/>
  <c r="BL28" i="20"/>
  <c r="BM28" i="20"/>
  <c r="BN28" i="20"/>
  <c r="BO28" i="20"/>
  <c r="BP28" i="20"/>
  <c r="BQ28" i="20"/>
  <c r="BY28" i="20"/>
  <c r="BZ28" i="20"/>
  <c r="CA28" i="20"/>
  <c r="CB28" i="20"/>
  <c r="CC28" i="20"/>
  <c r="CD28" i="20"/>
  <c r="CE28" i="20"/>
  <c r="CF28" i="20"/>
  <c r="CG28" i="20"/>
  <c r="B29" i="20"/>
  <c r="C29" i="20"/>
  <c r="D29" i="20"/>
  <c r="F29" i="20"/>
  <c r="G29" i="20"/>
  <c r="H29" i="20"/>
  <c r="I29" i="20"/>
  <c r="J29" i="20"/>
  <c r="K29" i="20"/>
  <c r="L29" i="20"/>
  <c r="M29" i="20"/>
  <c r="N29" i="20"/>
  <c r="P29" i="20"/>
  <c r="Q29" i="20"/>
  <c r="R29" i="20"/>
  <c r="S29" i="20"/>
  <c r="T29" i="20"/>
  <c r="W29" i="20"/>
  <c r="X29" i="20"/>
  <c r="Z29" i="20"/>
  <c r="AA29" i="20"/>
  <c r="AB29" i="20"/>
  <c r="AC29" i="20"/>
  <c r="AG29" i="20"/>
  <c r="AH29" i="20"/>
  <c r="AI29" i="20"/>
  <c r="AJ29" i="20"/>
  <c r="AK29" i="20"/>
  <c r="AL29" i="20"/>
  <c r="AN29" i="20"/>
  <c r="AO29" i="20"/>
  <c r="AP29" i="20"/>
  <c r="AQ29" i="20"/>
  <c r="AR29" i="20"/>
  <c r="AS29" i="20"/>
  <c r="AT29" i="20"/>
  <c r="AU29" i="20"/>
  <c r="AW29" i="20"/>
  <c r="AX29" i="20"/>
  <c r="AY29" i="20"/>
  <c r="AZ29" i="20"/>
  <c r="BA29" i="20"/>
  <c r="BB29" i="20"/>
  <c r="BC29" i="20"/>
  <c r="BD29" i="20"/>
  <c r="BE29" i="20"/>
  <c r="BF29" i="20"/>
  <c r="BG29" i="20"/>
  <c r="BH29" i="20"/>
  <c r="BI29" i="20"/>
  <c r="BJ29" i="20"/>
  <c r="BL29" i="20"/>
  <c r="BM29" i="20"/>
  <c r="BN29" i="20"/>
  <c r="BO29" i="20"/>
  <c r="BP29" i="20"/>
  <c r="BQ29" i="20"/>
  <c r="BY29" i="20"/>
  <c r="BZ29" i="20"/>
  <c r="CA29" i="20"/>
  <c r="CB29" i="20"/>
  <c r="CC29" i="20"/>
  <c r="CD29" i="20"/>
  <c r="CE29" i="20"/>
  <c r="CF29" i="20"/>
  <c r="CG29" i="20"/>
  <c r="B30" i="20"/>
  <c r="C30" i="20"/>
  <c r="D30" i="20"/>
  <c r="F30" i="20"/>
  <c r="G30" i="20"/>
  <c r="H30" i="20"/>
  <c r="I30" i="20"/>
  <c r="J30" i="20"/>
  <c r="K30" i="20"/>
  <c r="L30" i="20"/>
  <c r="M30" i="20"/>
  <c r="N30" i="20"/>
  <c r="P30" i="20"/>
  <c r="Q30" i="20"/>
  <c r="R30" i="20"/>
  <c r="S30" i="20"/>
  <c r="T30" i="20"/>
  <c r="W30" i="20"/>
  <c r="X30" i="20"/>
  <c r="Z30" i="20"/>
  <c r="AA30" i="20"/>
  <c r="AB30" i="20"/>
  <c r="AC30" i="20"/>
  <c r="AG30" i="20"/>
  <c r="AH30" i="20"/>
  <c r="AI30" i="20"/>
  <c r="AJ30" i="20"/>
  <c r="AK30" i="20"/>
  <c r="AL30" i="20"/>
  <c r="AN30" i="20"/>
  <c r="AO30" i="20"/>
  <c r="AP30" i="20"/>
  <c r="AQ30" i="20"/>
  <c r="AR30" i="20"/>
  <c r="AS30" i="20"/>
  <c r="AT30" i="20"/>
  <c r="AU30" i="20"/>
  <c r="AW30" i="20"/>
  <c r="AX30" i="20"/>
  <c r="AY30" i="20"/>
  <c r="AZ30" i="20"/>
  <c r="BA30" i="20"/>
  <c r="BB30" i="20"/>
  <c r="BC30" i="20"/>
  <c r="BD30" i="20"/>
  <c r="BE30" i="20"/>
  <c r="BF30" i="20"/>
  <c r="BG30" i="20"/>
  <c r="BH30" i="20"/>
  <c r="BI30" i="20"/>
  <c r="BJ30" i="20"/>
  <c r="BL30" i="20"/>
  <c r="BM30" i="20"/>
  <c r="BN30" i="20"/>
  <c r="BO30" i="20"/>
  <c r="BP30" i="20"/>
  <c r="BQ30" i="20"/>
  <c r="BY30" i="20"/>
  <c r="BZ30" i="20"/>
  <c r="CA30" i="20"/>
  <c r="CB30" i="20"/>
  <c r="CC30" i="20"/>
  <c r="CD30" i="20"/>
  <c r="CE30" i="20"/>
  <c r="CF30" i="20"/>
  <c r="CG30" i="20"/>
  <c r="B31" i="20"/>
  <c r="C31" i="20"/>
  <c r="D31" i="20"/>
  <c r="F31" i="20"/>
  <c r="G31" i="20"/>
  <c r="H31" i="20"/>
  <c r="I31" i="20"/>
  <c r="J31" i="20"/>
  <c r="K31" i="20"/>
  <c r="L31" i="20"/>
  <c r="M31" i="20"/>
  <c r="N31" i="20"/>
  <c r="P31" i="20"/>
  <c r="Q31" i="20"/>
  <c r="R31" i="20"/>
  <c r="S31" i="20"/>
  <c r="T31" i="20"/>
  <c r="W31" i="20"/>
  <c r="X31" i="20"/>
  <c r="Z31" i="20"/>
  <c r="AA31" i="20"/>
  <c r="AB31" i="20"/>
  <c r="AC31" i="20"/>
  <c r="AG31" i="20"/>
  <c r="AH31" i="20"/>
  <c r="AI31" i="20"/>
  <c r="AJ31" i="20"/>
  <c r="AK31" i="20"/>
  <c r="AL31" i="20"/>
  <c r="AN31" i="20"/>
  <c r="AO31" i="20"/>
  <c r="AP31" i="20"/>
  <c r="AQ31" i="20"/>
  <c r="AR31" i="20"/>
  <c r="AS31" i="20"/>
  <c r="AT31" i="20"/>
  <c r="AU31" i="20"/>
  <c r="AW31" i="20"/>
  <c r="AX31" i="20"/>
  <c r="AY31" i="20"/>
  <c r="AZ31" i="20"/>
  <c r="BA31" i="20"/>
  <c r="BB31" i="20"/>
  <c r="BC31" i="20"/>
  <c r="BD31" i="20"/>
  <c r="BE31" i="20"/>
  <c r="BF31" i="20"/>
  <c r="BG31" i="20"/>
  <c r="BH31" i="20"/>
  <c r="BI31" i="20"/>
  <c r="BJ31" i="20"/>
  <c r="BL31" i="20"/>
  <c r="BM31" i="20"/>
  <c r="BN31" i="20"/>
  <c r="BO31" i="20"/>
  <c r="BP31" i="20"/>
  <c r="BQ31" i="20"/>
  <c r="BY31" i="20"/>
  <c r="BZ31" i="20"/>
  <c r="CA31" i="20"/>
  <c r="CB31" i="20"/>
  <c r="CC31" i="20"/>
  <c r="CD31" i="20"/>
  <c r="CE31" i="20"/>
  <c r="CF31" i="20"/>
  <c r="CG31" i="20"/>
  <c r="B32" i="20"/>
  <c r="C32" i="20"/>
  <c r="D32" i="20"/>
  <c r="F32" i="20"/>
  <c r="G32" i="20"/>
  <c r="H32" i="20"/>
  <c r="I32" i="20"/>
  <c r="J32" i="20"/>
  <c r="K32" i="20"/>
  <c r="L32" i="20"/>
  <c r="M32" i="20"/>
  <c r="N32" i="20"/>
  <c r="P32" i="20"/>
  <c r="Q32" i="20"/>
  <c r="R32" i="20"/>
  <c r="S32" i="20"/>
  <c r="T32" i="20"/>
  <c r="W32" i="20"/>
  <c r="X32" i="20"/>
  <c r="Z32" i="20"/>
  <c r="AA32" i="20"/>
  <c r="AB32" i="20"/>
  <c r="AC32" i="20"/>
  <c r="AG32" i="20"/>
  <c r="AH32" i="20"/>
  <c r="AI32" i="20"/>
  <c r="AJ32" i="20"/>
  <c r="AK32" i="20"/>
  <c r="AL32" i="20"/>
  <c r="AN32" i="20"/>
  <c r="AO32" i="20"/>
  <c r="AP32" i="20"/>
  <c r="AQ32" i="20"/>
  <c r="AR32" i="20"/>
  <c r="AS32" i="20"/>
  <c r="AT32" i="20"/>
  <c r="AU32" i="20"/>
  <c r="AW32" i="20"/>
  <c r="AX32" i="20"/>
  <c r="AY32" i="20"/>
  <c r="AZ32" i="20"/>
  <c r="BA32" i="20"/>
  <c r="BB32" i="20"/>
  <c r="BC32" i="20"/>
  <c r="BD32" i="20"/>
  <c r="BE32" i="20"/>
  <c r="BF32" i="20"/>
  <c r="BG32" i="20"/>
  <c r="BH32" i="20"/>
  <c r="BI32" i="20"/>
  <c r="BJ32" i="20"/>
  <c r="BL32" i="20"/>
  <c r="BM32" i="20"/>
  <c r="BN32" i="20"/>
  <c r="BO32" i="20"/>
  <c r="BP32" i="20"/>
  <c r="BQ32" i="20"/>
  <c r="BY32" i="20"/>
  <c r="BZ32" i="20"/>
  <c r="CA32" i="20"/>
  <c r="CB32" i="20"/>
  <c r="CC32" i="20"/>
  <c r="CD32" i="20"/>
  <c r="CE32" i="20"/>
  <c r="CF32" i="20"/>
  <c r="CG32" i="20"/>
  <c r="B33" i="20"/>
  <c r="C33" i="20"/>
  <c r="D33" i="20"/>
  <c r="F33" i="20"/>
  <c r="G33" i="20"/>
  <c r="H33" i="20"/>
  <c r="I33" i="20"/>
  <c r="J33" i="20"/>
  <c r="K33" i="20"/>
  <c r="L33" i="20"/>
  <c r="M33" i="20"/>
  <c r="N33" i="20"/>
  <c r="P33" i="20"/>
  <c r="Q33" i="20"/>
  <c r="R33" i="20"/>
  <c r="S33" i="20"/>
  <c r="T33" i="20"/>
  <c r="W33" i="20"/>
  <c r="X33" i="20"/>
  <c r="Z33" i="20"/>
  <c r="AA33" i="20"/>
  <c r="AB33" i="20"/>
  <c r="AC33" i="20"/>
  <c r="AG33" i="20"/>
  <c r="AH33" i="20"/>
  <c r="AI33" i="20"/>
  <c r="AJ33" i="20"/>
  <c r="AK33" i="20"/>
  <c r="AL33" i="20"/>
  <c r="AN33" i="20"/>
  <c r="AO33" i="20"/>
  <c r="AP33" i="20"/>
  <c r="AQ33" i="20"/>
  <c r="AR33" i="20"/>
  <c r="AS33" i="20"/>
  <c r="AT33" i="20"/>
  <c r="AU33" i="20"/>
  <c r="AW33" i="20"/>
  <c r="AX33" i="20"/>
  <c r="AY33" i="20"/>
  <c r="AZ33" i="20"/>
  <c r="BA33" i="20"/>
  <c r="BB33" i="20"/>
  <c r="BC33" i="20"/>
  <c r="BD33" i="20"/>
  <c r="BE33" i="20"/>
  <c r="BF33" i="20"/>
  <c r="BG33" i="20"/>
  <c r="BH33" i="20"/>
  <c r="BI33" i="20"/>
  <c r="BJ33" i="20"/>
  <c r="BL33" i="20"/>
  <c r="BM33" i="20"/>
  <c r="BN33" i="20"/>
  <c r="BO33" i="20"/>
  <c r="BP33" i="20"/>
  <c r="BQ33" i="20"/>
  <c r="BY33" i="20"/>
  <c r="BZ33" i="20"/>
  <c r="CA33" i="20"/>
  <c r="CB33" i="20"/>
  <c r="CC33" i="20"/>
  <c r="CD33" i="20"/>
  <c r="CE33" i="20"/>
  <c r="CF33" i="20"/>
  <c r="CG33" i="20"/>
  <c r="B34" i="20"/>
  <c r="C34" i="20"/>
  <c r="D34" i="20"/>
  <c r="F34" i="20"/>
  <c r="G34" i="20"/>
  <c r="H34" i="20"/>
  <c r="I34" i="20"/>
  <c r="J34" i="20"/>
  <c r="K34" i="20"/>
  <c r="L34" i="20"/>
  <c r="M34" i="20"/>
  <c r="N34" i="20"/>
  <c r="P34" i="20"/>
  <c r="Q34" i="20"/>
  <c r="R34" i="20"/>
  <c r="S34" i="20"/>
  <c r="T34" i="20"/>
  <c r="W34" i="20"/>
  <c r="X34" i="20"/>
  <c r="Z34" i="20"/>
  <c r="AA34" i="20"/>
  <c r="AB34" i="20"/>
  <c r="AC34" i="20"/>
  <c r="AG34" i="20"/>
  <c r="AH34" i="20"/>
  <c r="AI34" i="20"/>
  <c r="AJ34" i="20"/>
  <c r="AK34" i="20"/>
  <c r="AL34" i="20"/>
  <c r="AN34" i="20"/>
  <c r="AO34" i="20"/>
  <c r="AP34" i="20"/>
  <c r="AQ34" i="20"/>
  <c r="AR34" i="20"/>
  <c r="AS34" i="20"/>
  <c r="AT34" i="20"/>
  <c r="AU34" i="20"/>
  <c r="AW34" i="20"/>
  <c r="AX34" i="20"/>
  <c r="AY34" i="20"/>
  <c r="AZ34" i="20"/>
  <c r="BA34" i="20"/>
  <c r="BB34" i="20"/>
  <c r="BC34" i="20"/>
  <c r="BD34" i="20"/>
  <c r="BE34" i="20"/>
  <c r="BF34" i="20"/>
  <c r="BG34" i="20"/>
  <c r="BH34" i="20"/>
  <c r="BI34" i="20"/>
  <c r="BJ34" i="20"/>
  <c r="BL34" i="20"/>
  <c r="BM34" i="20"/>
  <c r="BN34" i="20"/>
  <c r="BO34" i="20"/>
  <c r="BP34" i="20"/>
  <c r="BQ34" i="20"/>
  <c r="BY34" i="20"/>
  <c r="BZ34" i="20"/>
  <c r="CA34" i="20"/>
  <c r="CB34" i="20"/>
  <c r="CC34" i="20"/>
  <c r="CD34" i="20"/>
  <c r="CE34" i="20"/>
  <c r="CF34" i="20"/>
  <c r="CG34" i="20"/>
  <c r="B35" i="20"/>
  <c r="C35" i="20"/>
  <c r="D35" i="20"/>
  <c r="F35" i="20"/>
  <c r="G35" i="20"/>
  <c r="H35" i="20"/>
  <c r="I35" i="20"/>
  <c r="J35" i="20"/>
  <c r="K35" i="20"/>
  <c r="L35" i="20"/>
  <c r="M35" i="20"/>
  <c r="N35" i="20"/>
  <c r="P35" i="20"/>
  <c r="Q35" i="20"/>
  <c r="R35" i="20"/>
  <c r="S35" i="20"/>
  <c r="T35" i="20"/>
  <c r="W35" i="20"/>
  <c r="X35" i="20"/>
  <c r="Z35" i="20"/>
  <c r="AA35" i="20"/>
  <c r="AB35" i="20"/>
  <c r="AC35" i="20"/>
  <c r="AG35" i="20"/>
  <c r="AH35" i="20"/>
  <c r="AI35" i="20"/>
  <c r="AJ35" i="20"/>
  <c r="AK35" i="20"/>
  <c r="AL35" i="20"/>
  <c r="AN35" i="20"/>
  <c r="AO35" i="20"/>
  <c r="AP35" i="20"/>
  <c r="AQ35" i="20"/>
  <c r="AR35" i="20"/>
  <c r="AS35" i="20"/>
  <c r="AT35" i="20"/>
  <c r="AU35" i="20"/>
  <c r="AW35" i="20"/>
  <c r="AX35" i="20"/>
  <c r="AY35" i="20"/>
  <c r="AZ35" i="20"/>
  <c r="BA35" i="20"/>
  <c r="BB35" i="20"/>
  <c r="BC35" i="20"/>
  <c r="BD35" i="20"/>
  <c r="BE35" i="20"/>
  <c r="BF35" i="20"/>
  <c r="BG35" i="20"/>
  <c r="BH35" i="20"/>
  <c r="BI35" i="20"/>
  <c r="BJ35" i="20"/>
  <c r="BL35" i="20"/>
  <c r="BM35" i="20"/>
  <c r="BN35" i="20"/>
  <c r="BO35" i="20"/>
  <c r="BP35" i="20"/>
  <c r="BQ35" i="20"/>
  <c r="BY35" i="20"/>
  <c r="BZ35" i="20"/>
  <c r="CA35" i="20"/>
  <c r="CB35" i="20"/>
  <c r="CC35" i="20"/>
  <c r="CD35" i="20"/>
  <c r="CE35" i="20"/>
  <c r="CF35" i="20"/>
  <c r="CG35" i="20"/>
  <c r="B36" i="20"/>
  <c r="C36" i="20"/>
  <c r="D36" i="20"/>
  <c r="F36" i="20"/>
  <c r="G36" i="20"/>
  <c r="H36" i="20"/>
  <c r="I36" i="20"/>
  <c r="J36" i="20"/>
  <c r="K36" i="20"/>
  <c r="L36" i="20"/>
  <c r="M36" i="20"/>
  <c r="N36" i="20"/>
  <c r="P36" i="20"/>
  <c r="Q36" i="20"/>
  <c r="R36" i="20"/>
  <c r="S36" i="20"/>
  <c r="T36" i="20"/>
  <c r="W36" i="20"/>
  <c r="X36" i="20"/>
  <c r="Z36" i="20"/>
  <c r="AA36" i="20"/>
  <c r="AB36" i="20"/>
  <c r="AC36" i="20"/>
  <c r="AG36" i="20"/>
  <c r="AH36" i="20"/>
  <c r="AI36" i="20"/>
  <c r="AJ36" i="20"/>
  <c r="AK36" i="20"/>
  <c r="AL36" i="20"/>
  <c r="AN36" i="20"/>
  <c r="AO36" i="20"/>
  <c r="AP36" i="20"/>
  <c r="AQ36" i="20"/>
  <c r="AR36" i="20"/>
  <c r="AS36" i="20"/>
  <c r="AT36" i="20"/>
  <c r="AU36" i="20"/>
  <c r="AW36" i="20"/>
  <c r="AX36" i="20"/>
  <c r="AY36" i="20"/>
  <c r="AZ36" i="20"/>
  <c r="BA36" i="20"/>
  <c r="BB36" i="20"/>
  <c r="BC36" i="20"/>
  <c r="BD36" i="20"/>
  <c r="BE36" i="20"/>
  <c r="BF36" i="20"/>
  <c r="BG36" i="20"/>
  <c r="BH36" i="20"/>
  <c r="BI36" i="20"/>
  <c r="BJ36" i="20"/>
  <c r="BL36" i="20"/>
  <c r="BM36" i="20"/>
  <c r="BN36" i="20"/>
  <c r="BO36" i="20"/>
  <c r="BP36" i="20"/>
  <c r="BQ36" i="20"/>
  <c r="BY36" i="20"/>
  <c r="BZ36" i="20"/>
  <c r="CA36" i="20"/>
  <c r="CB36" i="20"/>
  <c r="CC36" i="20"/>
  <c r="CD36" i="20"/>
  <c r="CE36" i="20"/>
  <c r="CF36" i="20"/>
  <c r="CG36" i="20"/>
  <c r="B37" i="20"/>
  <c r="C37" i="20"/>
  <c r="D37" i="20"/>
  <c r="F37" i="20"/>
  <c r="G37" i="20"/>
  <c r="H37" i="20"/>
  <c r="I37" i="20"/>
  <c r="J37" i="20"/>
  <c r="K37" i="20"/>
  <c r="L37" i="20"/>
  <c r="M37" i="20"/>
  <c r="N37" i="20"/>
  <c r="P37" i="20"/>
  <c r="Q37" i="20"/>
  <c r="R37" i="20"/>
  <c r="S37" i="20"/>
  <c r="T37" i="20"/>
  <c r="W37" i="20"/>
  <c r="X37" i="20"/>
  <c r="Z37" i="20"/>
  <c r="AA37" i="20"/>
  <c r="AB37" i="20"/>
  <c r="AC37" i="20"/>
  <c r="AG37" i="20"/>
  <c r="AH37" i="20"/>
  <c r="AI37" i="20"/>
  <c r="AJ37" i="20"/>
  <c r="AK37" i="20"/>
  <c r="AL37" i="20"/>
  <c r="AN37" i="20"/>
  <c r="AO37" i="20"/>
  <c r="AP37" i="20"/>
  <c r="AQ37" i="20"/>
  <c r="AR37" i="20"/>
  <c r="AS37" i="20"/>
  <c r="AT37" i="20"/>
  <c r="AU37" i="20"/>
  <c r="AW37" i="20"/>
  <c r="AX37" i="20"/>
  <c r="AY37" i="20"/>
  <c r="AZ37" i="20"/>
  <c r="BA37" i="20"/>
  <c r="BB37" i="20"/>
  <c r="BC37" i="20"/>
  <c r="BD37" i="20"/>
  <c r="BE37" i="20"/>
  <c r="BF37" i="20"/>
  <c r="BG37" i="20"/>
  <c r="BH37" i="20"/>
  <c r="BI37" i="20"/>
  <c r="BJ37" i="20"/>
  <c r="BL37" i="20"/>
  <c r="BM37" i="20"/>
  <c r="BN37" i="20"/>
  <c r="BO37" i="20"/>
  <c r="BP37" i="20"/>
  <c r="BQ37" i="20"/>
  <c r="BY37" i="20"/>
  <c r="BZ37" i="20"/>
  <c r="CA37" i="20"/>
  <c r="CB37" i="20"/>
  <c r="CC37" i="20"/>
  <c r="CD37" i="20"/>
  <c r="CE37" i="20"/>
  <c r="CF37" i="20"/>
  <c r="CG37" i="20"/>
  <c r="B38" i="20"/>
  <c r="C38" i="20"/>
  <c r="D38" i="20"/>
  <c r="F38" i="20"/>
  <c r="G38" i="20"/>
  <c r="H38" i="20"/>
  <c r="I38" i="20"/>
  <c r="J38" i="20"/>
  <c r="K38" i="20"/>
  <c r="L38" i="20"/>
  <c r="M38" i="20"/>
  <c r="N38" i="20"/>
  <c r="P38" i="20"/>
  <c r="Q38" i="20"/>
  <c r="R38" i="20"/>
  <c r="S38" i="20"/>
  <c r="T38" i="20"/>
  <c r="W38" i="20"/>
  <c r="X38" i="20"/>
  <c r="Z38" i="20"/>
  <c r="AA38" i="20"/>
  <c r="AB38" i="20"/>
  <c r="AC38" i="20"/>
  <c r="AG38" i="20"/>
  <c r="AH38" i="20"/>
  <c r="AI38" i="20"/>
  <c r="AJ38" i="20"/>
  <c r="AK38" i="20"/>
  <c r="AL38" i="20"/>
  <c r="AN38" i="20"/>
  <c r="AO38" i="20"/>
  <c r="AP38" i="20"/>
  <c r="AQ38" i="20"/>
  <c r="AR38" i="20"/>
  <c r="AS38" i="20"/>
  <c r="AT38" i="20"/>
  <c r="AU38" i="20"/>
  <c r="AW38" i="20"/>
  <c r="AX38" i="20"/>
  <c r="AY38" i="20"/>
  <c r="AZ38" i="20"/>
  <c r="BA38" i="20"/>
  <c r="BB38" i="20"/>
  <c r="BC38" i="20"/>
  <c r="BD38" i="20"/>
  <c r="BE38" i="20"/>
  <c r="BF38" i="20"/>
  <c r="BG38" i="20"/>
  <c r="BH38" i="20"/>
  <c r="BI38" i="20"/>
  <c r="BJ38" i="20"/>
  <c r="BL38" i="20"/>
  <c r="BM38" i="20"/>
  <c r="BN38" i="20"/>
  <c r="BO38" i="20"/>
  <c r="BP38" i="20"/>
  <c r="BQ38" i="20"/>
  <c r="BY38" i="20"/>
  <c r="BZ38" i="20"/>
  <c r="CA38" i="20"/>
  <c r="CB38" i="20"/>
  <c r="CC38" i="20"/>
  <c r="CD38" i="20"/>
  <c r="CE38" i="20"/>
  <c r="CF38" i="20"/>
  <c r="CG38" i="20"/>
  <c r="B39" i="20"/>
  <c r="C39" i="20"/>
  <c r="D39" i="20"/>
  <c r="F39" i="20"/>
  <c r="G39" i="20"/>
  <c r="H39" i="20"/>
  <c r="I39" i="20"/>
  <c r="J39" i="20"/>
  <c r="K39" i="20"/>
  <c r="L39" i="20"/>
  <c r="M39" i="20"/>
  <c r="N39" i="20"/>
  <c r="P39" i="20"/>
  <c r="Q39" i="20"/>
  <c r="R39" i="20"/>
  <c r="S39" i="20"/>
  <c r="T39" i="20"/>
  <c r="W39" i="20"/>
  <c r="X39" i="20"/>
  <c r="Z39" i="20"/>
  <c r="AA39" i="20"/>
  <c r="AB39" i="20"/>
  <c r="AC39" i="20"/>
  <c r="AG39" i="20"/>
  <c r="AH39" i="20"/>
  <c r="AI39" i="20"/>
  <c r="AJ39" i="20"/>
  <c r="AK39" i="20"/>
  <c r="AL39" i="20"/>
  <c r="AN39" i="20"/>
  <c r="AO39" i="20"/>
  <c r="AP39" i="20"/>
  <c r="AQ39" i="20"/>
  <c r="AR39" i="20"/>
  <c r="AS39" i="20"/>
  <c r="AT39" i="20"/>
  <c r="AU39" i="20"/>
  <c r="AW39" i="20"/>
  <c r="AX39" i="20"/>
  <c r="AY39" i="20"/>
  <c r="AZ39" i="20"/>
  <c r="BA39" i="20"/>
  <c r="BB39" i="20"/>
  <c r="BC39" i="20"/>
  <c r="BD39" i="20"/>
  <c r="BE39" i="20"/>
  <c r="BF39" i="20"/>
  <c r="BG39" i="20"/>
  <c r="BH39" i="20"/>
  <c r="BI39" i="20"/>
  <c r="BJ39" i="20"/>
  <c r="BL39" i="20"/>
  <c r="BM39" i="20"/>
  <c r="BN39" i="20"/>
  <c r="BO39" i="20"/>
  <c r="BP39" i="20"/>
  <c r="BQ39" i="20"/>
  <c r="BY39" i="20"/>
  <c r="BZ39" i="20"/>
  <c r="CA39" i="20"/>
  <c r="CB39" i="20"/>
  <c r="CC39" i="20"/>
  <c r="CD39" i="20"/>
  <c r="CE39" i="20"/>
  <c r="CF39" i="20"/>
  <c r="CG39" i="20"/>
  <c r="B40" i="20"/>
  <c r="C40" i="20"/>
  <c r="D40" i="20"/>
  <c r="F40" i="20"/>
  <c r="G40" i="20"/>
  <c r="H40" i="20"/>
  <c r="I40" i="20"/>
  <c r="J40" i="20"/>
  <c r="K40" i="20"/>
  <c r="L40" i="20"/>
  <c r="M40" i="20"/>
  <c r="N40" i="20"/>
  <c r="P40" i="20"/>
  <c r="Q40" i="20"/>
  <c r="R40" i="20"/>
  <c r="S40" i="20"/>
  <c r="T40" i="20"/>
  <c r="W40" i="20"/>
  <c r="X40" i="20"/>
  <c r="Z40" i="20"/>
  <c r="AA40" i="20"/>
  <c r="AB40" i="20"/>
  <c r="AC40" i="20"/>
  <c r="AG40" i="20"/>
  <c r="AH40" i="20"/>
  <c r="AI40" i="20"/>
  <c r="AJ40" i="20"/>
  <c r="AK40" i="20"/>
  <c r="AL40" i="20"/>
  <c r="AN40" i="20"/>
  <c r="AO40" i="20"/>
  <c r="AP40" i="20"/>
  <c r="AQ40" i="20"/>
  <c r="AR40" i="20"/>
  <c r="AS40" i="20"/>
  <c r="AT40" i="20"/>
  <c r="AU40" i="20"/>
  <c r="AW40" i="20"/>
  <c r="AX40" i="20"/>
  <c r="AY40" i="20"/>
  <c r="AZ40" i="20"/>
  <c r="BA40" i="20"/>
  <c r="BB40" i="20"/>
  <c r="BC40" i="20"/>
  <c r="BD40" i="20"/>
  <c r="BE40" i="20"/>
  <c r="BF40" i="20"/>
  <c r="BG40" i="20"/>
  <c r="BH40" i="20"/>
  <c r="BI40" i="20"/>
  <c r="BJ40" i="20"/>
  <c r="BL40" i="20"/>
  <c r="BM40" i="20"/>
  <c r="BN40" i="20"/>
  <c r="BO40" i="20"/>
  <c r="BP40" i="20"/>
  <c r="BQ40" i="20"/>
  <c r="BY40" i="20"/>
  <c r="BZ40" i="20"/>
  <c r="CA40" i="20"/>
  <c r="CB40" i="20"/>
  <c r="CC40" i="20"/>
  <c r="CD40" i="20"/>
  <c r="CE40" i="20"/>
  <c r="CF40" i="20"/>
  <c r="CG40" i="20"/>
  <c r="BC46" i="20"/>
  <c r="BF46" i="20"/>
  <c r="BG46" i="20"/>
  <c r="BD47" i="20"/>
  <c r="BF47" i="20"/>
  <c r="BG47" i="20"/>
  <c r="BD48" i="20"/>
  <c r="BE48" i="20"/>
  <c r="BF48" i="20"/>
  <c r="BG48" i="20"/>
  <c r="BD49" i="20"/>
  <c r="BE49" i="20"/>
  <c r="BF49" i="20"/>
  <c r="BG49" i="20"/>
  <c r="BD50" i="20"/>
  <c r="BE50" i="20"/>
  <c r="BF50" i="20"/>
  <c r="BG50" i="20"/>
  <c r="BD51" i="20"/>
  <c r="BE51" i="20"/>
  <c r="BF51" i="20"/>
  <c r="BG51" i="20"/>
  <c r="BD52" i="20"/>
  <c r="BE52" i="20"/>
  <c r="BF52" i="20"/>
  <c r="BG52" i="20"/>
  <c r="BD53" i="20"/>
  <c r="BE53" i="20"/>
  <c r="BF53" i="20"/>
  <c r="BG53" i="20"/>
  <c r="BD54" i="20"/>
  <c r="BE54" i="20"/>
  <c r="BF54" i="20"/>
  <c r="BG54" i="20"/>
  <c r="BD55" i="20"/>
  <c r="BE55" i="20"/>
  <c r="BF55" i="20"/>
  <c r="BG55" i="20"/>
  <c r="BD56" i="20"/>
  <c r="BE56" i="20"/>
  <c r="BF56" i="20"/>
  <c r="BG56" i="20"/>
  <c r="BD57" i="20"/>
  <c r="BE57" i="20"/>
  <c r="BF57" i="20"/>
  <c r="BG57" i="20"/>
  <c r="BD58" i="20"/>
  <c r="BE58" i="20"/>
  <c r="BF58" i="20"/>
  <c r="BG58" i="20"/>
  <c r="N21" i="9"/>
  <c r="O21" i="9"/>
  <c r="P21" i="9"/>
  <c r="AB21" i="9"/>
  <c r="AC21" i="9"/>
  <c r="AE21" i="9"/>
  <c r="AF21" i="9"/>
  <c r="AG21" i="9"/>
  <c r="AH21" i="9"/>
  <c r="AI21" i="9"/>
  <c r="AJ21" i="9"/>
  <c r="AM21" i="9"/>
  <c r="AN21" i="9"/>
  <c r="AQ21" i="9"/>
  <c r="N22" i="9"/>
  <c r="O22" i="9"/>
  <c r="P22" i="9"/>
  <c r="AB22" i="9"/>
  <c r="AC22" i="9"/>
  <c r="AE22" i="9"/>
  <c r="AF22" i="9"/>
  <c r="AG22" i="9"/>
  <c r="AH22" i="9"/>
  <c r="AI22" i="9"/>
  <c r="AJ22" i="9"/>
  <c r="AM22" i="9"/>
  <c r="AN22" i="9"/>
  <c r="AQ22" i="9"/>
  <c r="N23" i="9"/>
  <c r="O23" i="9"/>
  <c r="P23" i="9"/>
  <c r="AB23" i="9"/>
  <c r="AC23" i="9"/>
  <c r="AE23" i="9"/>
  <c r="AF23" i="9"/>
  <c r="AG23" i="9"/>
  <c r="AH23" i="9"/>
  <c r="AI23" i="9"/>
  <c r="AJ23" i="9"/>
  <c r="AM23" i="9"/>
  <c r="AN23" i="9"/>
  <c r="AQ23" i="9"/>
  <c r="N24" i="9"/>
  <c r="O24" i="9"/>
  <c r="P24" i="9"/>
  <c r="AB24" i="9"/>
  <c r="AC24" i="9"/>
  <c r="AE24" i="9"/>
  <c r="AF24" i="9"/>
  <c r="AG24" i="9"/>
  <c r="AH24" i="9"/>
  <c r="AI24" i="9"/>
  <c r="AJ24" i="9"/>
  <c r="AM24" i="9"/>
  <c r="AN24" i="9"/>
  <c r="AQ24" i="9"/>
  <c r="N25" i="9"/>
  <c r="O25" i="9"/>
  <c r="P25" i="9"/>
  <c r="AB25" i="9"/>
  <c r="AC25" i="9"/>
  <c r="AE25" i="9"/>
  <c r="AF25" i="9"/>
  <c r="AG25" i="9"/>
  <c r="AH25" i="9"/>
  <c r="AI25" i="9"/>
  <c r="AJ25" i="9"/>
  <c r="AM25" i="9"/>
  <c r="AN25" i="9"/>
  <c r="AQ25" i="9"/>
  <c r="N26" i="9"/>
  <c r="O26" i="9"/>
  <c r="P26" i="9"/>
  <c r="AB26" i="9"/>
  <c r="AC26" i="9"/>
  <c r="AE26" i="9"/>
  <c r="AF26" i="9"/>
  <c r="AG26" i="9"/>
  <c r="AH26" i="9"/>
  <c r="AI26" i="9"/>
  <c r="AJ26" i="9"/>
  <c r="AM26" i="9"/>
  <c r="AN26" i="9"/>
  <c r="AQ26" i="9"/>
  <c r="N27" i="9"/>
  <c r="O27" i="9"/>
  <c r="P27" i="9"/>
  <c r="AB27" i="9"/>
  <c r="AC27" i="9"/>
  <c r="AE27" i="9"/>
  <c r="AF27" i="9"/>
  <c r="AG27" i="9"/>
  <c r="AH27" i="9"/>
  <c r="AI27" i="9"/>
  <c r="AJ27" i="9"/>
  <c r="AM27" i="9"/>
  <c r="AN27" i="9"/>
  <c r="AQ27" i="9"/>
  <c r="N28" i="9"/>
  <c r="O28" i="9"/>
  <c r="P28" i="9"/>
  <c r="AB28" i="9"/>
  <c r="AC28" i="9"/>
  <c r="AE28" i="9"/>
  <c r="AF28" i="9"/>
  <c r="AG28" i="9"/>
  <c r="AH28" i="9"/>
  <c r="AI28" i="9"/>
  <c r="AJ28" i="9"/>
  <c r="AM28" i="9"/>
  <c r="AN28" i="9"/>
  <c r="AQ28" i="9"/>
  <c r="N29" i="9"/>
  <c r="O29" i="9"/>
  <c r="P29" i="9"/>
  <c r="AB29" i="9"/>
  <c r="AC29" i="9"/>
  <c r="AE29" i="9"/>
  <c r="AF29" i="9"/>
  <c r="AG29" i="9"/>
  <c r="AH29" i="9"/>
  <c r="AI29" i="9"/>
  <c r="AJ29" i="9"/>
  <c r="AM29" i="9"/>
  <c r="AN29" i="9"/>
  <c r="AQ29" i="9"/>
  <c r="N30" i="9"/>
  <c r="O30" i="9"/>
  <c r="P30" i="9"/>
  <c r="AB30" i="9"/>
  <c r="AC30" i="9"/>
  <c r="AE30" i="9"/>
  <c r="AF30" i="9"/>
  <c r="AG30" i="9"/>
  <c r="AH30" i="9"/>
  <c r="AI30" i="9"/>
  <c r="AJ30" i="9"/>
  <c r="AM30" i="9"/>
  <c r="AN30" i="9"/>
  <c r="AQ30" i="9"/>
  <c r="N31" i="9"/>
  <c r="O31" i="9"/>
  <c r="P31" i="9"/>
  <c r="AB31" i="9"/>
  <c r="AC31" i="9"/>
  <c r="AE31" i="9"/>
  <c r="AF31" i="9"/>
  <c r="AG31" i="9"/>
  <c r="AH31" i="9"/>
  <c r="AI31" i="9"/>
  <c r="AJ31" i="9"/>
  <c r="AM31" i="9"/>
  <c r="AN31" i="9"/>
  <c r="AQ31" i="9"/>
  <c r="N32" i="9"/>
  <c r="O32" i="9"/>
  <c r="P32" i="9"/>
  <c r="AB32" i="9"/>
  <c r="AC32" i="9"/>
  <c r="AE32" i="9"/>
  <c r="AF32" i="9"/>
  <c r="AG32" i="9"/>
  <c r="AH32" i="9"/>
  <c r="AI32" i="9"/>
  <c r="AJ32" i="9"/>
  <c r="AM32" i="9"/>
  <c r="AN32" i="9"/>
  <c r="AQ32" i="9"/>
  <c r="N33" i="9"/>
  <c r="O33" i="9"/>
  <c r="P33" i="9"/>
  <c r="AB33" i="9"/>
  <c r="AC33" i="9"/>
  <c r="AE33" i="9"/>
  <c r="AF33" i="9"/>
  <c r="AG33" i="9"/>
  <c r="AH33" i="9"/>
  <c r="AI33" i="9"/>
  <c r="AJ33" i="9"/>
  <c r="AM33" i="9"/>
  <c r="AN33" i="9"/>
  <c r="AQ33" i="9"/>
  <c r="N34" i="9"/>
  <c r="O34" i="9"/>
  <c r="P34" i="9"/>
  <c r="AB34" i="9"/>
  <c r="AC34" i="9"/>
  <c r="AE34" i="9"/>
  <c r="AF34" i="9"/>
  <c r="AG34" i="9"/>
  <c r="AH34" i="9"/>
  <c r="AI34" i="9"/>
  <c r="AJ34" i="9"/>
  <c r="AM34" i="9"/>
  <c r="AN34" i="9"/>
  <c r="AQ34" i="9"/>
  <c r="N35" i="9"/>
  <c r="O35" i="9"/>
  <c r="P35" i="9"/>
  <c r="AB35" i="9"/>
  <c r="AC35" i="9"/>
  <c r="AE35" i="9"/>
  <c r="AF35" i="9"/>
  <c r="AG35" i="9"/>
  <c r="AH35" i="9"/>
  <c r="AI35" i="9"/>
  <c r="AJ35" i="9"/>
  <c r="AM35" i="9"/>
  <c r="AN35" i="9"/>
  <c r="AQ35" i="9"/>
  <c r="N36" i="9"/>
  <c r="O36" i="9"/>
  <c r="P36" i="9"/>
  <c r="AB36" i="9"/>
  <c r="AC36" i="9"/>
  <c r="AE36" i="9"/>
  <c r="AF36" i="9"/>
  <c r="AG36" i="9"/>
  <c r="AH36" i="9"/>
  <c r="AI36" i="9"/>
  <c r="AJ36" i="9"/>
  <c r="AM36" i="9"/>
  <c r="AN36" i="9"/>
  <c r="AQ36" i="9"/>
  <c r="N37" i="9"/>
  <c r="O37" i="9"/>
  <c r="P37" i="9"/>
  <c r="AB37" i="9"/>
  <c r="AC37" i="9"/>
  <c r="AE37" i="9"/>
  <c r="AF37" i="9"/>
  <c r="AG37" i="9"/>
  <c r="AH37" i="9"/>
  <c r="AI37" i="9"/>
  <c r="AJ37" i="9"/>
  <c r="AM37" i="9"/>
  <c r="AN37" i="9"/>
  <c r="AQ37" i="9"/>
  <c r="N38" i="9"/>
  <c r="O38" i="9"/>
  <c r="P38" i="9"/>
  <c r="AB38" i="9"/>
  <c r="AC38" i="9"/>
  <c r="AE38" i="9"/>
  <c r="AF38" i="9"/>
  <c r="AG38" i="9"/>
  <c r="AH38" i="9"/>
  <c r="AI38" i="9"/>
  <c r="AJ38" i="9"/>
  <c r="AM38" i="9"/>
  <c r="AN38" i="9"/>
  <c r="AQ38" i="9"/>
  <c r="N39" i="9"/>
  <c r="O39" i="9"/>
  <c r="P39" i="9"/>
  <c r="AB39" i="9"/>
  <c r="AC39" i="9"/>
  <c r="AE39" i="9"/>
  <c r="AF39" i="9"/>
  <c r="AG39" i="9"/>
  <c r="AH39" i="9"/>
  <c r="AI39" i="9"/>
  <c r="AJ39" i="9"/>
  <c r="AM39" i="9"/>
  <c r="AN39" i="9"/>
  <c r="AQ39" i="9"/>
  <c r="N40" i="9"/>
  <c r="O40" i="9"/>
  <c r="P40" i="9"/>
  <c r="AB40" i="9"/>
  <c r="AC40" i="9"/>
  <c r="AE40" i="9"/>
  <c r="AF40" i="9"/>
  <c r="AG40" i="9"/>
  <c r="AH40" i="9"/>
  <c r="AI40" i="9"/>
  <c r="AJ40" i="9"/>
  <c r="AM40" i="9"/>
  <c r="AN40" i="9"/>
  <c r="AQ40" i="9"/>
  <c r="Z42" i="9"/>
  <c r="AB42" i="9"/>
  <c r="AC42" i="9"/>
  <c r="P43" i="9"/>
  <c r="R43" i="9"/>
  <c r="P44" i="9"/>
  <c r="R44" i="9"/>
  <c r="P45" i="9"/>
  <c r="R45" i="9"/>
  <c r="P46" i="9"/>
  <c r="P47" i="9"/>
  <c r="P48" i="9"/>
  <c r="P50" i="9"/>
  <c r="P51" i="9"/>
  <c r="B64" i="9"/>
  <c r="C64" i="9"/>
  <c r="D64" i="9"/>
  <c r="E64" i="9"/>
  <c r="F64" i="9"/>
  <c r="G64" i="9"/>
  <c r="H64" i="9"/>
  <c r="I64" i="9"/>
  <c r="J64" i="9"/>
  <c r="K64" i="9"/>
  <c r="B65" i="9"/>
  <c r="C65" i="9"/>
  <c r="D65" i="9"/>
  <c r="E65" i="9"/>
  <c r="F65" i="9"/>
  <c r="G65" i="9"/>
  <c r="H65" i="9"/>
  <c r="I65" i="9"/>
  <c r="J65" i="9"/>
  <c r="K65" i="9"/>
  <c r="B66" i="9"/>
  <c r="C66" i="9"/>
  <c r="D66" i="9"/>
  <c r="E66" i="9"/>
  <c r="F66" i="9"/>
  <c r="G66" i="9"/>
  <c r="H66" i="9"/>
  <c r="I66" i="9"/>
  <c r="J66" i="9"/>
  <c r="K66" i="9"/>
  <c r="B67" i="9"/>
  <c r="C67" i="9"/>
  <c r="D67" i="9"/>
  <c r="E67" i="9"/>
  <c r="F67" i="9"/>
  <c r="G67" i="9"/>
  <c r="H67" i="9"/>
  <c r="I67" i="9"/>
  <c r="J67" i="9"/>
  <c r="K67" i="9"/>
  <c r="B68" i="9"/>
  <c r="C68" i="9"/>
  <c r="D68" i="9"/>
  <c r="E68" i="9"/>
  <c r="F68" i="9"/>
  <c r="G68" i="9"/>
  <c r="H68" i="9"/>
  <c r="I68" i="9"/>
  <c r="J68" i="9"/>
  <c r="K68" i="9"/>
  <c r="B69" i="9"/>
  <c r="C69" i="9"/>
  <c r="D69" i="9"/>
  <c r="E69" i="9"/>
  <c r="F69" i="9"/>
  <c r="G69" i="9"/>
  <c r="H69" i="9"/>
  <c r="I69" i="9"/>
  <c r="J69" i="9"/>
  <c r="K69" i="9"/>
  <c r="B70" i="9"/>
  <c r="C70" i="9"/>
  <c r="D70" i="9"/>
  <c r="E70" i="9"/>
  <c r="F70" i="9"/>
  <c r="G70" i="9"/>
  <c r="H70" i="9"/>
  <c r="I70" i="9"/>
  <c r="J70" i="9"/>
  <c r="K70" i="9"/>
  <c r="B71" i="9"/>
  <c r="C71" i="9"/>
  <c r="D71" i="9"/>
  <c r="E71" i="9"/>
  <c r="F71" i="9"/>
  <c r="G71" i="9"/>
  <c r="H71" i="9"/>
  <c r="I71" i="9"/>
  <c r="J71" i="9"/>
  <c r="K71" i="9"/>
  <c r="B72" i="9"/>
  <c r="C72" i="9"/>
  <c r="D72" i="9"/>
  <c r="E72" i="9"/>
  <c r="F72" i="9"/>
  <c r="G72" i="9"/>
  <c r="H72" i="9"/>
  <c r="I72" i="9"/>
  <c r="J72" i="9"/>
  <c r="K72" i="9"/>
  <c r="B73" i="9"/>
  <c r="C73" i="9"/>
  <c r="D73" i="9"/>
  <c r="E73" i="9"/>
  <c r="F73" i="9"/>
  <c r="G73" i="9"/>
  <c r="H73" i="9"/>
  <c r="I73" i="9"/>
  <c r="J73" i="9"/>
  <c r="K73" i="9"/>
  <c r="B74" i="9"/>
  <c r="C74" i="9"/>
  <c r="D74" i="9"/>
  <c r="E74" i="9"/>
  <c r="F74" i="9"/>
  <c r="G74" i="9"/>
  <c r="H74" i="9"/>
  <c r="I74" i="9"/>
  <c r="J74" i="9"/>
  <c r="K74" i="9"/>
  <c r="B75" i="9"/>
  <c r="C75" i="9"/>
  <c r="D75" i="9"/>
  <c r="E75" i="9"/>
  <c r="F75" i="9"/>
  <c r="G75" i="9"/>
  <c r="H75" i="9"/>
  <c r="I75" i="9"/>
  <c r="J75" i="9"/>
  <c r="K75" i="9"/>
  <c r="B76" i="9"/>
  <c r="C76" i="9"/>
  <c r="D76" i="9"/>
  <c r="E76" i="9"/>
  <c r="F76" i="9"/>
  <c r="G76" i="9"/>
  <c r="H76" i="9"/>
  <c r="I76" i="9"/>
  <c r="J76" i="9"/>
  <c r="K76" i="9"/>
  <c r="B77" i="9"/>
  <c r="C77" i="9"/>
  <c r="D77" i="9"/>
  <c r="E77" i="9"/>
  <c r="F77" i="9"/>
  <c r="G77" i="9"/>
  <c r="H77" i="9"/>
  <c r="I77" i="9"/>
  <c r="J77" i="9"/>
  <c r="K77" i="9"/>
  <c r="B78" i="9"/>
  <c r="C78" i="9"/>
  <c r="D78" i="9"/>
  <c r="E78" i="9"/>
  <c r="F78" i="9"/>
  <c r="G78" i="9"/>
  <c r="H78" i="9"/>
  <c r="I78" i="9"/>
  <c r="J78" i="9"/>
  <c r="K78" i="9"/>
  <c r="B79" i="9"/>
  <c r="C79" i="9"/>
  <c r="D79" i="9"/>
  <c r="E79" i="9"/>
  <c r="F79" i="9"/>
  <c r="G79" i="9"/>
  <c r="H79" i="9"/>
  <c r="I79" i="9"/>
  <c r="J79" i="9"/>
  <c r="K79" i="9"/>
  <c r="B80" i="9"/>
  <c r="C80" i="9"/>
  <c r="D80" i="9"/>
  <c r="E80" i="9"/>
  <c r="F80" i="9"/>
  <c r="G80" i="9"/>
  <c r="H80" i="9"/>
  <c r="I80" i="9"/>
  <c r="J80" i="9"/>
  <c r="K80" i="9"/>
  <c r="B81" i="9"/>
  <c r="C81" i="9"/>
  <c r="D81" i="9"/>
  <c r="E81" i="9"/>
  <c r="F81" i="9"/>
  <c r="G81" i="9"/>
  <c r="H81" i="9"/>
  <c r="I81" i="9"/>
  <c r="J81" i="9"/>
  <c r="K81" i="9"/>
  <c r="B82" i="9"/>
  <c r="C82" i="9"/>
  <c r="D82" i="9"/>
  <c r="E82" i="9"/>
  <c r="F82" i="9"/>
  <c r="G82" i="9"/>
  <c r="H82" i="9"/>
  <c r="I82" i="9"/>
  <c r="J82" i="9"/>
  <c r="K82" i="9"/>
  <c r="B83" i="9"/>
  <c r="C83" i="9"/>
  <c r="D83" i="9"/>
  <c r="E83" i="9"/>
  <c r="F83" i="9"/>
  <c r="G83" i="9"/>
  <c r="H83" i="9"/>
  <c r="I83" i="9"/>
  <c r="J83" i="9"/>
  <c r="K83" i="9"/>
  <c r="B86" i="9"/>
  <c r="C86" i="9"/>
  <c r="D86" i="9"/>
  <c r="E86" i="9"/>
  <c r="F86" i="9"/>
  <c r="G86" i="9"/>
  <c r="H86" i="9"/>
  <c r="I86" i="9"/>
  <c r="J86" i="9"/>
  <c r="K86" i="9"/>
  <c r="B88" i="9"/>
  <c r="C88" i="9"/>
  <c r="AC11" i="8"/>
  <c r="AD11" i="8"/>
  <c r="AE11" i="8"/>
  <c r="AF11" i="8"/>
  <c r="AG11" i="8"/>
  <c r="AK11" i="8"/>
  <c r="AL11" i="8"/>
  <c r="AM11" i="8"/>
  <c r="AN11" i="8"/>
  <c r="AO11" i="8"/>
  <c r="AS11" i="8"/>
  <c r="AT11" i="8"/>
  <c r="AU11" i="8"/>
  <c r="AV11" i="8"/>
  <c r="AW11" i="8"/>
  <c r="AA15" i="8"/>
  <c r="AC15" i="8"/>
  <c r="AD15" i="8"/>
  <c r="AE15" i="8"/>
  <c r="AF15" i="8"/>
  <c r="AG15" i="8"/>
  <c r="AI15" i="8"/>
  <c r="AK15" i="8"/>
  <c r="AL15" i="8"/>
  <c r="AM15" i="8"/>
  <c r="AN15" i="8"/>
  <c r="AO15" i="8"/>
  <c r="AQ15" i="8"/>
  <c r="AS15" i="8"/>
  <c r="AT15" i="8"/>
  <c r="AU15" i="8"/>
  <c r="AV15" i="8"/>
  <c r="AW15" i="8"/>
  <c r="E21" i="8"/>
  <c r="K21" i="8"/>
  <c r="L21" i="8"/>
  <c r="M21" i="8"/>
  <c r="O21" i="8"/>
  <c r="P21" i="8"/>
  <c r="Q21" i="8"/>
  <c r="R21" i="8"/>
  <c r="S21" i="8"/>
  <c r="T21" i="8"/>
  <c r="W21" i="8"/>
  <c r="AB21" i="8"/>
  <c r="AC21" i="8"/>
  <c r="AD21" i="8"/>
  <c r="AE21" i="8"/>
  <c r="AF21" i="8"/>
  <c r="AG21" i="8"/>
  <c r="AJ21" i="8"/>
  <c r="AK21" i="8"/>
  <c r="AL21" i="8"/>
  <c r="AM21" i="8"/>
  <c r="AN21" i="8"/>
  <c r="AO21" i="8"/>
  <c r="AR21" i="8"/>
  <c r="AS21" i="8"/>
  <c r="AT21" i="8"/>
  <c r="AU21" i="8"/>
  <c r="AV21" i="8"/>
  <c r="AW21" i="8"/>
  <c r="E22" i="8"/>
  <c r="K22" i="8"/>
  <c r="L22" i="8"/>
  <c r="M22" i="8"/>
  <c r="O22" i="8"/>
  <c r="P22" i="8"/>
  <c r="Q22" i="8"/>
  <c r="R22" i="8"/>
  <c r="S22" i="8"/>
  <c r="T22" i="8"/>
  <c r="W22" i="8"/>
  <c r="AB22" i="8"/>
  <c r="AC22" i="8"/>
  <c r="AD22" i="8"/>
  <c r="AE22" i="8"/>
  <c r="AF22" i="8"/>
  <c r="AG22" i="8"/>
  <c r="AJ22" i="8"/>
  <c r="AK22" i="8"/>
  <c r="AL22" i="8"/>
  <c r="AM22" i="8"/>
  <c r="AN22" i="8"/>
  <c r="AO22" i="8"/>
  <c r="AR22" i="8"/>
  <c r="AS22" i="8"/>
  <c r="AT22" i="8"/>
  <c r="AU22" i="8"/>
  <c r="AV22" i="8"/>
  <c r="AW22" i="8"/>
  <c r="E23" i="8"/>
  <c r="K23" i="8"/>
  <c r="L23" i="8"/>
  <c r="M23" i="8"/>
  <c r="O23" i="8"/>
  <c r="P23" i="8"/>
  <c r="Q23" i="8"/>
  <c r="R23" i="8"/>
  <c r="S23" i="8"/>
  <c r="T23" i="8"/>
  <c r="W23" i="8"/>
  <c r="AB23" i="8"/>
  <c r="AC23" i="8"/>
  <c r="AD23" i="8"/>
  <c r="AE23" i="8"/>
  <c r="AF23" i="8"/>
  <c r="AG23" i="8"/>
  <c r="AJ23" i="8"/>
  <c r="AK23" i="8"/>
  <c r="AL23" i="8"/>
  <c r="AM23" i="8"/>
  <c r="AN23" i="8"/>
  <c r="AO23" i="8"/>
  <c r="AR23" i="8"/>
  <c r="AS23" i="8"/>
  <c r="AT23" i="8"/>
  <c r="AU23" i="8"/>
  <c r="AV23" i="8"/>
  <c r="AW23" i="8"/>
  <c r="E24" i="8"/>
  <c r="K24" i="8"/>
  <c r="L24" i="8"/>
  <c r="M24" i="8"/>
  <c r="O24" i="8"/>
  <c r="P24" i="8"/>
  <c r="Q24" i="8"/>
  <c r="R24" i="8"/>
  <c r="S24" i="8"/>
  <c r="T24" i="8"/>
  <c r="W24" i="8"/>
  <c r="AB24" i="8"/>
  <c r="AC24" i="8"/>
  <c r="AD24" i="8"/>
  <c r="AE24" i="8"/>
  <c r="AF24" i="8"/>
  <c r="AG24" i="8"/>
  <c r="AJ24" i="8"/>
  <c r="AK24" i="8"/>
  <c r="AL24" i="8"/>
  <c r="AM24" i="8"/>
  <c r="AN24" i="8"/>
  <c r="AO24" i="8"/>
  <c r="AR24" i="8"/>
  <c r="AS24" i="8"/>
  <c r="AT24" i="8"/>
  <c r="AU24" i="8"/>
  <c r="AV24" i="8"/>
  <c r="AW24" i="8"/>
  <c r="E25" i="8"/>
  <c r="K25" i="8"/>
  <c r="L25" i="8"/>
  <c r="M25" i="8"/>
  <c r="O25" i="8"/>
  <c r="P25" i="8"/>
  <c r="Q25" i="8"/>
  <c r="R25" i="8"/>
  <c r="S25" i="8"/>
  <c r="T25" i="8"/>
  <c r="W25" i="8"/>
  <c r="AB25" i="8"/>
  <c r="AC25" i="8"/>
  <c r="AD25" i="8"/>
  <c r="AE25" i="8"/>
  <c r="AF25" i="8"/>
  <c r="AG25" i="8"/>
  <c r="AJ25" i="8"/>
  <c r="AK25" i="8"/>
  <c r="AL25" i="8"/>
  <c r="AM25" i="8"/>
  <c r="AN25" i="8"/>
  <c r="AO25" i="8"/>
  <c r="AR25" i="8"/>
  <c r="AS25" i="8"/>
  <c r="AT25" i="8"/>
  <c r="AU25" i="8"/>
  <c r="AV25" i="8"/>
  <c r="AW25" i="8"/>
  <c r="E26" i="8"/>
  <c r="K26" i="8"/>
  <c r="L26" i="8"/>
  <c r="M26" i="8"/>
  <c r="O26" i="8"/>
  <c r="P26" i="8"/>
  <c r="Q26" i="8"/>
  <c r="R26" i="8"/>
  <c r="S26" i="8"/>
  <c r="T26" i="8"/>
  <c r="W26" i="8"/>
  <c r="AB26" i="8"/>
  <c r="AC26" i="8"/>
  <c r="AD26" i="8"/>
  <c r="AE26" i="8"/>
  <c r="AF26" i="8"/>
  <c r="AG26" i="8"/>
  <c r="AJ26" i="8"/>
  <c r="AK26" i="8"/>
  <c r="AL26" i="8"/>
  <c r="AM26" i="8"/>
  <c r="AN26" i="8"/>
  <c r="AO26" i="8"/>
  <c r="AR26" i="8"/>
  <c r="AS26" i="8"/>
  <c r="AT26" i="8"/>
  <c r="AU26" i="8"/>
  <c r="AV26" i="8"/>
  <c r="AW26" i="8"/>
  <c r="E27" i="8"/>
  <c r="K27" i="8"/>
  <c r="L27" i="8"/>
  <c r="M27" i="8"/>
  <c r="O27" i="8"/>
  <c r="P27" i="8"/>
  <c r="Q27" i="8"/>
  <c r="R27" i="8"/>
  <c r="S27" i="8"/>
  <c r="T27" i="8"/>
  <c r="W27" i="8"/>
  <c r="AB27" i="8"/>
  <c r="AC27" i="8"/>
  <c r="AD27" i="8"/>
  <c r="AE27" i="8"/>
  <c r="AF27" i="8"/>
  <c r="AG27" i="8"/>
  <c r="AJ27" i="8"/>
  <c r="AK27" i="8"/>
  <c r="AL27" i="8"/>
  <c r="AM27" i="8"/>
  <c r="AN27" i="8"/>
  <c r="AO27" i="8"/>
  <c r="AR27" i="8"/>
  <c r="AS27" i="8"/>
  <c r="AT27" i="8"/>
  <c r="AU27" i="8"/>
  <c r="AV27" i="8"/>
  <c r="AW27" i="8"/>
  <c r="E28" i="8"/>
  <c r="K28" i="8"/>
  <c r="L28" i="8"/>
  <c r="M28" i="8"/>
  <c r="O28" i="8"/>
  <c r="P28" i="8"/>
  <c r="Q28" i="8"/>
  <c r="R28" i="8"/>
  <c r="S28" i="8"/>
  <c r="T28" i="8"/>
  <c r="W28" i="8"/>
  <c r="AB28" i="8"/>
  <c r="AC28" i="8"/>
  <c r="AD28" i="8"/>
  <c r="AE28" i="8"/>
  <c r="AF28" i="8"/>
  <c r="AG28" i="8"/>
  <c r="AJ28" i="8"/>
  <c r="AK28" i="8"/>
  <c r="AL28" i="8"/>
  <c r="AM28" i="8"/>
  <c r="AN28" i="8"/>
  <c r="AO28" i="8"/>
  <c r="AR28" i="8"/>
  <c r="AS28" i="8"/>
  <c r="AT28" i="8"/>
  <c r="AU28" i="8"/>
  <c r="AV28" i="8"/>
  <c r="AW28" i="8"/>
  <c r="E29" i="8"/>
  <c r="K29" i="8"/>
  <c r="L29" i="8"/>
  <c r="M29" i="8"/>
  <c r="O29" i="8"/>
  <c r="P29" i="8"/>
  <c r="Q29" i="8"/>
  <c r="R29" i="8"/>
  <c r="S29" i="8"/>
  <c r="T29" i="8"/>
  <c r="W29" i="8"/>
  <c r="AB29" i="8"/>
  <c r="AC29" i="8"/>
  <c r="AD29" i="8"/>
  <c r="AE29" i="8"/>
  <c r="AF29" i="8"/>
  <c r="AG29" i="8"/>
  <c r="AJ29" i="8"/>
  <c r="AK29" i="8"/>
  <c r="AL29" i="8"/>
  <c r="AM29" i="8"/>
  <c r="AN29" i="8"/>
  <c r="AO29" i="8"/>
  <c r="AR29" i="8"/>
  <c r="AS29" i="8"/>
  <c r="AT29" i="8"/>
  <c r="AU29" i="8"/>
  <c r="AV29" i="8"/>
  <c r="AW29" i="8"/>
  <c r="E30" i="8"/>
  <c r="K30" i="8"/>
  <c r="L30" i="8"/>
  <c r="M30" i="8"/>
  <c r="O30" i="8"/>
  <c r="P30" i="8"/>
  <c r="Q30" i="8"/>
  <c r="R30" i="8"/>
  <c r="S30" i="8"/>
  <c r="T30" i="8"/>
  <c r="W30" i="8"/>
  <c r="AB30" i="8"/>
  <c r="AC30" i="8"/>
  <c r="AD30" i="8"/>
  <c r="AE30" i="8"/>
  <c r="AF30" i="8"/>
  <c r="AG30" i="8"/>
  <c r="AJ30" i="8"/>
  <c r="AK30" i="8"/>
  <c r="AL30" i="8"/>
  <c r="AM30" i="8"/>
  <c r="AN30" i="8"/>
  <c r="AO30" i="8"/>
  <c r="AR30" i="8"/>
  <c r="AS30" i="8"/>
  <c r="AT30" i="8"/>
  <c r="AU30" i="8"/>
  <c r="AV30" i="8"/>
  <c r="AW30" i="8"/>
  <c r="E31" i="8"/>
  <c r="K31" i="8"/>
  <c r="L31" i="8"/>
  <c r="M31" i="8"/>
  <c r="O31" i="8"/>
  <c r="P31" i="8"/>
  <c r="Q31" i="8"/>
  <c r="R31" i="8"/>
  <c r="S31" i="8"/>
  <c r="T31" i="8"/>
  <c r="W31" i="8"/>
  <c r="AB31" i="8"/>
  <c r="AC31" i="8"/>
  <c r="AD31" i="8"/>
  <c r="AE31" i="8"/>
  <c r="AF31" i="8"/>
  <c r="AG31" i="8"/>
  <c r="AJ31" i="8"/>
  <c r="AK31" i="8"/>
  <c r="AL31" i="8"/>
  <c r="AM31" i="8"/>
  <c r="AN31" i="8"/>
  <c r="AO31" i="8"/>
  <c r="AR31" i="8"/>
  <c r="AS31" i="8"/>
  <c r="AT31" i="8"/>
  <c r="AU31" i="8"/>
  <c r="AV31" i="8"/>
  <c r="AW31" i="8"/>
  <c r="E32" i="8"/>
  <c r="K32" i="8"/>
  <c r="L32" i="8"/>
  <c r="M32" i="8"/>
  <c r="O32" i="8"/>
  <c r="P32" i="8"/>
  <c r="Q32" i="8"/>
  <c r="R32" i="8"/>
  <c r="S32" i="8"/>
  <c r="T32" i="8"/>
  <c r="W32" i="8"/>
  <c r="AB32" i="8"/>
  <c r="AC32" i="8"/>
  <c r="AD32" i="8"/>
  <c r="AE32" i="8"/>
  <c r="AF32" i="8"/>
  <c r="AG32" i="8"/>
  <c r="AJ32" i="8"/>
  <c r="AK32" i="8"/>
  <c r="AL32" i="8"/>
  <c r="AM32" i="8"/>
  <c r="AN32" i="8"/>
  <c r="AO32" i="8"/>
  <c r="AR32" i="8"/>
  <c r="AS32" i="8"/>
  <c r="AT32" i="8"/>
  <c r="AU32" i="8"/>
  <c r="AV32" i="8"/>
  <c r="AW32" i="8"/>
  <c r="E33" i="8"/>
  <c r="K33" i="8"/>
  <c r="L33" i="8"/>
  <c r="M33" i="8"/>
  <c r="O33" i="8"/>
  <c r="P33" i="8"/>
  <c r="Q33" i="8"/>
  <c r="R33" i="8"/>
  <c r="S33" i="8"/>
  <c r="T33" i="8"/>
  <c r="W33" i="8"/>
  <c r="AB33" i="8"/>
  <c r="AC33" i="8"/>
  <c r="AD33" i="8"/>
  <c r="AE33" i="8"/>
  <c r="AF33" i="8"/>
  <c r="AG33" i="8"/>
  <c r="AJ33" i="8"/>
  <c r="AK33" i="8"/>
  <c r="AL33" i="8"/>
  <c r="AM33" i="8"/>
  <c r="AN33" i="8"/>
  <c r="AO33" i="8"/>
  <c r="AR33" i="8"/>
  <c r="AS33" i="8"/>
  <c r="AT33" i="8"/>
  <c r="AU33" i="8"/>
  <c r="AV33" i="8"/>
  <c r="AW33" i="8"/>
  <c r="E34" i="8"/>
  <c r="K34" i="8"/>
  <c r="L34" i="8"/>
  <c r="M34" i="8"/>
  <c r="O34" i="8"/>
  <c r="P34" i="8"/>
  <c r="Q34" i="8"/>
  <c r="R34" i="8"/>
  <c r="S34" i="8"/>
  <c r="T34" i="8"/>
  <c r="W34" i="8"/>
  <c r="AB34" i="8"/>
  <c r="AC34" i="8"/>
  <c r="AD34" i="8"/>
  <c r="AE34" i="8"/>
  <c r="AF34" i="8"/>
  <c r="AG34" i="8"/>
  <c r="AJ34" i="8"/>
  <c r="AK34" i="8"/>
  <c r="AL34" i="8"/>
  <c r="AM34" i="8"/>
  <c r="AN34" i="8"/>
  <c r="AO34" i="8"/>
  <c r="AR34" i="8"/>
  <c r="AS34" i="8"/>
  <c r="AT34" i="8"/>
  <c r="AU34" i="8"/>
  <c r="AV34" i="8"/>
  <c r="AW34" i="8"/>
  <c r="E35" i="8"/>
  <c r="K35" i="8"/>
  <c r="L35" i="8"/>
  <c r="M35" i="8"/>
  <c r="O35" i="8"/>
  <c r="P35" i="8"/>
  <c r="Q35" i="8"/>
  <c r="R35" i="8"/>
  <c r="S35" i="8"/>
  <c r="T35" i="8"/>
  <c r="W35" i="8"/>
  <c r="AB35" i="8"/>
  <c r="AC35" i="8"/>
  <c r="AD35" i="8"/>
  <c r="AE35" i="8"/>
  <c r="AF35" i="8"/>
  <c r="AG35" i="8"/>
  <c r="AJ35" i="8"/>
  <c r="AK35" i="8"/>
  <c r="AL35" i="8"/>
  <c r="AM35" i="8"/>
  <c r="AN35" i="8"/>
  <c r="AO35" i="8"/>
  <c r="AR35" i="8"/>
  <c r="AS35" i="8"/>
  <c r="AT35" i="8"/>
  <c r="AU35" i="8"/>
  <c r="AV35" i="8"/>
  <c r="AW35" i="8"/>
  <c r="E36" i="8"/>
  <c r="K36" i="8"/>
  <c r="L36" i="8"/>
  <c r="M36" i="8"/>
  <c r="O36" i="8"/>
  <c r="P36" i="8"/>
  <c r="Q36" i="8"/>
  <c r="R36" i="8"/>
  <c r="S36" i="8"/>
  <c r="T36" i="8"/>
  <c r="W36" i="8"/>
  <c r="AB36" i="8"/>
  <c r="AC36" i="8"/>
  <c r="AD36" i="8"/>
  <c r="AE36" i="8"/>
  <c r="AF36" i="8"/>
  <c r="AG36" i="8"/>
  <c r="AJ36" i="8"/>
  <c r="AK36" i="8"/>
  <c r="AL36" i="8"/>
  <c r="AM36" i="8"/>
  <c r="AN36" i="8"/>
  <c r="AO36" i="8"/>
  <c r="AR36" i="8"/>
  <c r="AS36" i="8"/>
  <c r="AT36" i="8"/>
  <c r="AU36" i="8"/>
  <c r="AV36" i="8"/>
  <c r="AW36" i="8"/>
  <c r="E37" i="8"/>
  <c r="K37" i="8"/>
  <c r="L37" i="8"/>
  <c r="M37" i="8"/>
  <c r="O37" i="8"/>
  <c r="P37" i="8"/>
  <c r="Q37" i="8"/>
  <c r="R37" i="8"/>
  <c r="S37" i="8"/>
  <c r="T37" i="8"/>
  <c r="W37" i="8"/>
  <c r="AB37" i="8"/>
  <c r="AC37" i="8"/>
  <c r="AD37" i="8"/>
  <c r="AE37" i="8"/>
  <c r="AF37" i="8"/>
  <c r="AG37" i="8"/>
  <c r="AJ37" i="8"/>
  <c r="AK37" i="8"/>
  <c r="AL37" i="8"/>
  <c r="AM37" i="8"/>
  <c r="AN37" i="8"/>
  <c r="AO37" i="8"/>
  <c r="AR37" i="8"/>
  <c r="AS37" i="8"/>
  <c r="AT37" i="8"/>
  <c r="AU37" i="8"/>
  <c r="AV37" i="8"/>
  <c r="AW37" i="8"/>
  <c r="E38" i="8"/>
  <c r="K38" i="8"/>
  <c r="L38" i="8"/>
  <c r="M38" i="8"/>
  <c r="O38" i="8"/>
  <c r="P38" i="8"/>
  <c r="Q38" i="8"/>
  <c r="R38" i="8"/>
  <c r="S38" i="8"/>
  <c r="T38" i="8"/>
  <c r="W38" i="8"/>
  <c r="AB38" i="8"/>
  <c r="AC38" i="8"/>
  <c r="AD38" i="8"/>
  <c r="AE38" i="8"/>
  <c r="AF38" i="8"/>
  <c r="AG38" i="8"/>
  <c r="AJ38" i="8"/>
  <c r="AK38" i="8"/>
  <c r="AL38" i="8"/>
  <c r="AM38" i="8"/>
  <c r="AN38" i="8"/>
  <c r="AO38" i="8"/>
  <c r="AR38" i="8"/>
  <c r="AS38" i="8"/>
  <c r="AT38" i="8"/>
  <c r="AU38" i="8"/>
  <c r="AV38" i="8"/>
  <c r="AW38" i="8"/>
  <c r="E39" i="8"/>
  <c r="K39" i="8"/>
  <c r="L39" i="8"/>
  <c r="M39" i="8"/>
  <c r="O39" i="8"/>
  <c r="P39" i="8"/>
  <c r="Q39" i="8"/>
  <c r="R39" i="8"/>
  <c r="S39" i="8"/>
  <c r="T39" i="8"/>
  <c r="W39" i="8"/>
  <c r="AB39" i="8"/>
  <c r="AC39" i="8"/>
  <c r="AD39" i="8"/>
  <c r="AE39" i="8"/>
  <c r="AF39" i="8"/>
  <c r="AG39" i="8"/>
  <c r="AJ39" i="8"/>
  <c r="AK39" i="8"/>
  <c r="AL39" i="8"/>
  <c r="AM39" i="8"/>
  <c r="AN39" i="8"/>
  <c r="AO39" i="8"/>
  <c r="AR39" i="8"/>
  <c r="AS39" i="8"/>
  <c r="AT39" i="8"/>
  <c r="AU39" i="8"/>
  <c r="AV39" i="8"/>
  <c r="AW39" i="8"/>
  <c r="E40" i="8"/>
  <c r="K40" i="8"/>
  <c r="L40" i="8"/>
  <c r="M40" i="8"/>
  <c r="O40" i="8"/>
  <c r="P40" i="8"/>
  <c r="Q40" i="8"/>
  <c r="R40" i="8"/>
  <c r="S40" i="8"/>
  <c r="T40" i="8"/>
  <c r="W40" i="8"/>
  <c r="AB40" i="8"/>
  <c r="AC40" i="8"/>
  <c r="AD40" i="8"/>
  <c r="AE40" i="8"/>
  <c r="AF40" i="8"/>
  <c r="AG40" i="8"/>
  <c r="AJ40" i="8"/>
  <c r="AK40" i="8"/>
  <c r="AL40" i="8"/>
  <c r="AM40" i="8"/>
  <c r="AN40" i="8"/>
  <c r="AO40" i="8"/>
  <c r="AR40" i="8"/>
  <c r="AS40" i="8"/>
  <c r="AT40" i="8"/>
  <c r="AU40" i="8"/>
  <c r="AV40" i="8"/>
  <c r="AW40" i="8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F21" i="21"/>
  <c r="G21" i="21"/>
  <c r="H21" i="21"/>
  <c r="I21" i="21"/>
  <c r="J21" i="21"/>
  <c r="K21" i="21"/>
  <c r="L21" i="21"/>
  <c r="M21" i="21"/>
  <c r="N21" i="21"/>
  <c r="O21" i="21"/>
  <c r="P21" i="21"/>
  <c r="Q21" i="21"/>
  <c r="R21" i="21"/>
  <c r="S21" i="21"/>
  <c r="U21" i="21"/>
  <c r="V21" i="21"/>
  <c r="W21" i="21"/>
  <c r="X21" i="21"/>
  <c r="Z21" i="21"/>
  <c r="F22" i="21"/>
  <c r="G22" i="21"/>
  <c r="H22" i="21"/>
  <c r="I22" i="21"/>
  <c r="J22" i="21"/>
  <c r="K22" i="21"/>
  <c r="L22" i="21"/>
  <c r="M22" i="21"/>
  <c r="N22" i="21"/>
  <c r="O22" i="21"/>
  <c r="P22" i="21"/>
  <c r="Q22" i="21"/>
  <c r="R22" i="21"/>
  <c r="S22" i="21"/>
  <c r="U22" i="21"/>
  <c r="V22" i="21"/>
  <c r="W22" i="21"/>
  <c r="X22" i="21"/>
  <c r="Z22" i="21"/>
  <c r="F23" i="21"/>
  <c r="G23" i="21"/>
  <c r="H23" i="21"/>
  <c r="I23" i="21"/>
  <c r="J23" i="21"/>
  <c r="K23" i="21"/>
  <c r="L23" i="21"/>
  <c r="M23" i="21"/>
  <c r="N23" i="21"/>
  <c r="O23" i="21"/>
  <c r="P23" i="21"/>
  <c r="Q23" i="21"/>
  <c r="R23" i="21"/>
  <c r="S23" i="21"/>
  <c r="U23" i="21"/>
  <c r="V23" i="21"/>
  <c r="W23" i="21"/>
  <c r="X23" i="21"/>
  <c r="Z23" i="21"/>
  <c r="F24" i="21"/>
  <c r="G24" i="21"/>
  <c r="H24" i="21"/>
  <c r="I24" i="21"/>
  <c r="J24" i="21"/>
  <c r="K24" i="21"/>
  <c r="L24" i="21"/>
  <c r="M24" i="21"/>
  <c r="N24" i="21"/>
  <c r="O24" i="21"/>
  <c r="P24" i="21"/>
  <c r="Q24" i="21"/>
  <c r="R24" i="21"/>
  <c r="S24" i="21"/>
  <c r="U24" i="21"/>
  <c r="V24" i="21"/>
  <c r="W24" i="21"/>
  <c r="X24" i="21"/>
  <c r="Z24" i="21"/>
  <c r="F25" i="21"/>
  <c r="G25" i="21"/>
  <c r="H25" i="21"/>
  <c r="I25" i="21"/>
  <c r="J25" i="21"/>
  <c r="K25" i="21"/>
  <c r="L25" i="21"/>
  <c r="M25" i="21"/>
  <c r="N25" i="21"/>
  <c r="O25" i="21"/>
  <c r="P25" i="21"/>
  <c r="Q25" i="21"/>
  <c r="R25" i="21"/>
  <c r="S25" i="21"/>
  <c r="U25" i="21"/>
  <c r="V25" i="21"/>
  <c r="W25" i="21"/>
  <c r="X25" i="21"/>
  <c r="Z25" i="21"/>
  <c r="F26" i="21"/>
  <c r="G26" i="21"/>
  <c r="H26" i="21"/>
  <c r="I26" i="21"/>
  <c r="J26" i="21"/>
  <c r="K26" i="21"/>
  <c r="L26" i="21"/>
  <c r="M26" i="21"/>
  <c r="N26" i="21"/>
  <c r="O26" i="21"/>
  <c r="P26" i="21"/>
  <c r="Q26" i="21"/>
  <c r="R26" i="21"/>
  <c r="S26" i="21"/>
  <c r="U26" i="21"/>
  <c r="V26" i="21"/>
  <c r="W26" i="21"/>
  <c r="X26" i="21"/>
  <c r="Z26" i="21"/>
  <c r="F27" i="21"/>
  <c r="G27" i="21"/>
  <c r="H27" i="21"/>
  <c r="I27" i="21"/>
  <c r="J27" i="21"/>
  <c r="K27" i="21"/>
  <c r="L27" i="21"/>
  <c r="M27" i="21"/>
  <c r="N27" i="21"/>
  <c r="O27" i="21"/>
  <c r="P27" i="21"/>
  <c r="Q27" i="21"/>
  <c r="R27" i="21"/>
  <c r="S27" i="21"/>
  <c r="U27" i="21"/>
  <c r="V27" i="21"/>
  <c r="W27" i="21"/>
  <c r="X27" i="21"/>
  <c r="Z27" i="21"/>
  <c r="F28" i="21"/>
  <c r="G28" i="21"/>
  <c r="H28" i="21"/>
  <c r="I28" i="21"/>
  <c r="J28" i="21"/>
  <c r="K28" i="21"/>
  <c r="L28" i="21"/>
  <c r="M28" i="21"/>
  <c r="N28" i="21"/>
  <c r="O28" i="21"/>
  <c r="P28" i="21"/>
  <c r="Q28" i="21"/>
  <c r="R28" i="21"/>
  <c r="S28" i="21"/>
  <c r="U28" i="21"/>
  <c r="V28" i="21"/>
  <c r="W28" i="21"/>
  <c r="X28" i="21"/>
  <c r="Z28" i="21"/>
  <c r="F29" i="21"/>
  <c r="G29" i="21"/>
  <c r="H29" i="21"/>
  <c r="I29" i="21"/>
  <c r="J29" i="21"/>
  <c r="K29" i="21"/>
  <c r="L29" i="21"/>
  <c r="M29" i="21"/>
  <c r="N29" i="21"/>
  <c r="O29" i="21"/>
  <c r="P29" i="21"/>
  <c r="Q29" i="21"/>
  <c r="R29" i="21"/>
  <c r="S29" i="21"/>
  <c r="U29" i="21"/>
  <c r="V29" i="21"/>
  <c r="W29" i="21"/>
  <c r="X29" i="21"/>
  <c r="Z29" i="21"/>
  <c r="F30" i="21"/>
  <c r="G30" i="21"/>
  <c r="H30" i="21"/>
  <c r="I30" i="21"/>
  <c r="J30" i="21"/>
  <c r="K30" i="21"/>
  <c r="L30" i="21"/>
  <c r="M30" i="21"/>
  <c r="N30" i="21"/>
  <c r="O30" i="21"/>
  <c r="P30" i="21"/>
  <c r="Q30" i="21"/>
  <c r="R30" i="21"/>
  <c r="S30" i="21"/>
  <c r="U30" i="21"/>
  <c r="V30" i="21"/>
  <c r="W30" i="21"/>
  <c r="X30" i="21"/>
  <c r="Z30" i="21"/>
  <c r="F31" i="21"/>
  <c r="G31" i="21"/>
  <c r="H31" i="21"/>
  <c r="I31" i="21"/>
  <c r="J31" i="21"/>
  <c r="K31" i="21"/>
  <c r="L31" i="21"/>
  <c r="M31" i="21"/>
  <c r="N31" i="21"/>
  <c r="O31" i="21"/>
  <c r="P31" i="21"/>
  <c r="Q31" i="21"/>
  <c r="R31" i="21"/>
  <c r="S31" i="21"/>
  <c r="U31" i="21"/>
  <c r="V31" i="21"/>
  <c r="W31" i="21"/>
  <c r="X31" i="21"/>
  <c r="Z31" i="21"/>
  <c r="F32" i="21"/>
  <c r="G32" i="21"/>
  <c r="H32" i="21"/>
  <c r="I32" i="21"/>
  <c r="J32" i="21"/>
  <c r="K32" i="21"/>
  <c r="L32" i="21"/>
  <c r="M32" i="21"/>
  <c r="N32" i="21"/>
  <c r="O32" i="21"/>
  <c r="P32" i="21"/>
  <c r="Q32" i="21"/>
  <c r="R32" i="21"/>
  <c r="S32" i="21"/>
  <c r="U32" i="21"/>
  <c r="V32" i="21"/>
  <c r="W32" i="21"/>
  <c r="X32" i="21"/>
  <c r="Z32" i="21"/>
  <c r="F33" i="21"/>
  <c r="G33" i="21"/>
  <c r="H33" i="21"/>
  <c r="I33" i="21"/>
  <c r="J33" i="21"/>
  <c r="K33" i="21"/>
  <c r="L33" i="21"/>
  <c r="M33" i="21"/>
  <c r="N33" i="21"/>
  <c r="O33" i="21"/>
  <c r="P33" i="21"/>
  <c r="Q33" i="21"/>
  <c r="R33" i="21"/>
  <c r="S33" i="21"/>
  <c r="U33" i="21"/>
  <c r="V33" i="21"/>
  <c r="W33" i="21"/>
  <c r="X33" i="21"/>
  <c r="Z33" i="21"/>
  <c r="F34" i="21"/>
  <c r="G34" i="21"/>
  <c r="H34" i="21"/>
  <c r="I34" i="21"/>
  <c r="J34" i="21"/>
  <c r="K34" i="21"/>
  <c r="L34" i="21"/>
  <c r="M34" i="21"/>
  <c r="N34" i="21"/>
  <c r="O34" i="21"/>
  <c r="P34" i="21"/>
  <c r="Q34" i="21"/>
  <c r="R34" i="21"/>
  <c r="S34" i="21"/>
  <c r="U34" i="21"/>
  <c r="V34" i="21"/>
  <c r="W34" i="21"/>
  <c r="X34" i="21"/>
  <c r="Z34" i="21"/>
  <c r="F35" i="21"/>
  <c r="G35" i="21"/>
  <c r="H35" i="21"/>
  <c r="I35" i="21"/>
  <c r="J35" i="21"/>
  <c r="K35" i="21"/>
  <c r="L35" i="21"/>
  <c r="M35" i="21"/>
  <c r="N35" i="21"/>
  <c r="O35" i="21"/>
  <c r="P35" i="21"/>
  <c r="Q35" i="21"/>
  <c r="R35" i="21"/>
  <c r="S35" i="21"/>
  <c r="U35" i="21"/>
  <c r="V35" i="21"/>
  <c r="W35" i="21"/>
  <c r="X35" i="21"/>
  <c r="Z35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U36" i="21"/>
  <c r="V36" i="21"/>
  <c r="W36" i="21"/>
  <c r="X36" i="21"/>
  <c r="Z36" i="21"/>
  <c r="F37" i="21"/>
  <c r="G37" i="21"/>
  <c r="H37" i="21"/>
  <c r="I37" i="21"/>
  <c r="J37" i="21"/>
  <c r="K37" i="21"/>
  <c r="L37" i="21"/>
  <c r="M37" i="21"/>
  <c r="N37" i="21"/>
  <c r="O37" i="21"/>
  <c r="P37" i="21"/>
  <c r="Q37" i="21"/>
  <c r="R37" i="21"/>
  <c r="S37" i="21"/>
  <c r="U37" i="21"/>
  <c r="V37" i="21"/>
  <c r="W37" i="21"/>
  <c r="X37" i="21"/>
  <c r="Z37" i="21"/>
  <c r="F38" i="21"/>
  <c r="G38" i="21"/>
  <c r="H38" i="21"/>
  <c r="I38" i="21"/>
  <c r="J38" i="21"/>
  <c r="K38" i="21"/>
  <c r="L38" i="21"/>
  <c r="M38" i="21"/>
  <c r="N38" i="21"/>
  <c r="O38" i="21"/>
  <c r="P38" i="21"/>
  <c r="Q38" i="21"/>
  <c r="R38" i="21"/>
  <c r="S38" i="21"/>
  <c r="U38" i="21"/>
  <c r="V38" i="21"/>
  <c r="W38" i="21"/>
  <c r="X38" i="21"/>
  <c r="Z38" i="21"/>
  <c r="F39" i="21"/>
  <c r="G39" i="21"/>
  <c r="H39" i="21"/>
  <c r="I39" i="21"/>
  <c r="J39" i="21"/>
  <c r="K39" i="21"/>
  <c r="L39" i="21"/>
  <c r="M39" i="21"/>
  <c r="N39" i="21"/>
  <c r="O39" i="21"/>
  <c r="P39" i="21"/>
  <c r="Q39" i="21"/>
  <c r="R39" i="21"/>
  <c r="S39" i="21"/>
  <c r="U39" i="21"/>
  <c r="V39" i="21"/>
  <c r="W39" i="21"/>
  <c r="X39" i="21"/>
  <c r="Z39" i="21"/>
  <c r="F40" i="21"/>
  <c r="G40" i="21"/>
  <c r="H40" i="21"/>
  <c r="I40" i="21"/>
  <c r="J40" i="21"/>
  <c r="K40" i="21"/>
  <c r="L40" i="21"/>
  <c r="M40" i="21"/>
  <c r="N40" i="21"/>
  <c r="O40" i="21"/>
  <c r="P40" i="21"/>
  <c r="Q40" i="21"/>
  <c r="R40" i="21"/>
  <c r="S40" i="21"/>
  <c r="U40" i="21"/>
  <c r="V40" i="21"/>
  <c r="W40" i="21"/>
  <c r="X40" i="21"/>
  <c r="Z40" i="21"/>
  <c r="E21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U21" i="19"/>
  <c r="V21" i="19"/>
  <c r="W21" i="19"/>
  <c r="X21" i="19"/>
  <c r="E22" i="19"/>
  <c r="F22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S22" i="19"/>
  <c r="T22" i="19"/>
  <c r="U22" i="19"/>
  <c r="V22" i="19"/>
  <c r="W22" i="19"/>
  <c r="X22" i="19"/>
  <c r="E23" i="19"/>
  <c r="F23" i="19"/>
  <c r="G23" i="19"/>
  <c r="H23" i="19"/>
  <c r="I23" i="19"/>
  <c r="J23" i="19"/>
  <c r="K23" i="19"/>
  <c r="L23" i="19"/>
  <c r="M23" i="19"/>
  <c r="N23" i="19"/>
  <c r="O23" i="19"/>
  <c r="P23" i="19"/>
  <c r="Q23" i="19"/>
  <c r="R23" i="19"/>
  <c r="S23" i="19"/>
  <c r="T23" i="19"/>
  <c r="U23" i="19"/>
  <c r="V23" i="19"/>
  <c r="W23" i="19"/>
  <c r="X23" i="19"/>
  <c r="E24" i="19"/>
  <c r="F24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W24" i="19"/>
  <c r="X24" i="19"/>
  <c r="E25" i="19"/>
  <c r="F25" i="19"/>
  <c r="G25" i="19"/>
  <c r="H25" i="19"/>
  <c r="I25" i="19"/>
  <c r="J25" i="19"/>
  <c r="K25" i="19"/>
  <c r="L25" i="19"/>
  <c r="M25" i="19"/>
  <c r="N25" i="19"/>
  <c r="O25" i="19"/>
  <c r="P25" i="19"/>
  <c r="Q25" i="19"/>
  <c r="R25" i="19"/>
  <c r="S25" i="19"/>
  <c r="T25" i="19"/>
  <c r="U25" i="19"/>
  <c r="V25" i="19"/>
  <c r="W25" i="19"/>
  <c r="X25" i="19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W26" i="19"/>
  <c r="X26" i="19"/>
  <c r="E27" i="19"/>
  <c r="F27" i="19"/>
  <c r="G27" i="19"/>
  <c r="H27" i="19"/>
  <c r="I27" i="19"/>
  <c r="J27" i="19"/>
  <c r="K27" i="19"/>
  <c r="L27" i="19"/>
  <c r="M27" i="19"/>
  <c r="N27" i="19"/>
  <c r="O27" i="19"/>
  <c r="P27" i="19"/>
  <c r="Q27" i="19"/>
  <c r="R27" i="19"/>
  <c r="S27" i="19"/>
  <c r="T27" i="19"/>
  <c r="U27" i="19"/>
  <c r="V27" i="19"/>
  <c r="W27" i="19"/>
  <c r="X27" i="19"/>
  <c r="E28" i="19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W28" i="19"/>
  <c r="X28" i="19"/>
  <c r="E29" i="19"/>
  <c r="F29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S29" i="19"/>
  <c r="T29" i="19"/>
  <c r="U29" i="19"/>
  <c r="V29" i="19"/>
  <c r="W29" i="19"/>
  <c r="X29" i="19"/>
  <c r="E30" i="19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U30" i="19"/>
  <c r="V30" i="19"/>
  <c r="W30" i="19"/>
  <c r="X30" i="19"/>
  <c r="E31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W31" i="19"/>
  <c r="X31" i="19"/>
  <c r="E32" i="19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U32" i="19"/>
  <c r="V32" i="19"/>
  <c r="W32" i="19"/>
  <c r="X32" i="19"/>
  <c r="E33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U33" i="19"/>
  <c r="V33" i="19"/>
  <c r="W33" i="19"/>
  <c r="X33" i="19"/>
  <c r="E34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U34" i="19"/>
  <c r="V34" i="19"/>
  <c r="W34" i="19"/>
  <c r="X34" i="19"/>
  <c r="E35" i="19"/>
  <c r="F35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S35" i="19"/>
  <c r="T35" i="19"/>
  <c r="U35" i="19"/>
  <c r="V35" i="19"/>
  <c r="W35" i="19"/>
  <c r="X35" i="19"/>
  <c r="E36" i="19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U36" i="19"/>
  <c r="V36" i="19"/>
  <c r="W36" i="19"/>
  <c r="X36" i="19"/>
  <c r="E37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U37" i="19"/>
  <c r="V37" i="19"/>
  <c r="W37" i="19"/>
  <c r="X37" i="19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U38" i="19"/>
  <c r="V38" i="19"/>
  <c r="W38" i="19"/>
  <c r="X38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E40" i="19"/>
  <c r="F40" i="19"/>
  <c r="G40" i="19"/>
  <c r="H40" i="19"/>
  <c r="I40" i="19"/>
  <c r="J40" i="19"/>
  <c r="K40" i="19"/>
  <c r="L40" i="19"/>
  <c r="M40" i="19"/>
  <c r="N40" i="19"/>
  <c r="O40" i="19"/>
  <c r="P40" i="19"/>
  <c r="Q40" i="19"/>
  <c r="R40" i="19"/>
  <c r="S40" i="19"/>
  <c r="T40" i="19"/>
  <c r="U40" i="19"/>
  <c r="V40" i="19"/>
  <c r="W40" i="19"/>
  <c r="X40" i="19"/>
  <c r="E21" i="28"/>
  <c r="F21" i="28"/>
  <c r="G21" i="28"/>
  <c r="H21" i="28"/>
  <c r="I21" i="28"/>
  <c r="J21" i="28"/>
  <c r="K21" i="28"/>
  <c r="L21" i="28"/>
  <c r="M21" i="28"/>
  <c r="N21" i="28"/>
  <c r="O21" i="28"/>
  <c r="P21" i="28"/>
  <c r="Q21" i="28"/>
  <c r="R21" i="28"/>
  <c r="S21" i="28"/>
  <c r="T21" i="28"/>
  <c r="U21" i="28"/>
  <c r="V21" i="28"/>
  <c r="W21" i="28"/>
  <c r="X21" i="28"/>
  <c r="E22" i="28"/>
  <c r="F22" i="28"/>
  <c r="G22" i="28"/>
  <c r="H22" i="28"/>
  <c r="I22" i="28"/>
  <c r="J22" i="28"/>
  <c r="K22" i="28"/>
  <c r="L22" i="28"/>
  <c r="M22" i="28"/>
  <c r="N22" i="28"/>
  <c r="O22" i="28"/>
  <c r="P22" i="28"/>
  <c r="Q22" i="28"/>
  <c r="R22" i="28"/>
  <c r="S22" i="28"/>
  <c r="T22" i="28"/>
  <c r="U22" i="28"/>
  <c r="V22" i="28"/>
  <c r="W22" i="28"/>
  <c r="X22" i="28"/>
  <c r="E23" i="28"/>
  <c r="F23" i="28"/>
  <c r="G23" i="28"/>
  <c r="H23" i="28"/>
  <c r="I23" i="28"/>
  <c r="J23" i="28"/>
  <c r="K23" i="28"/>
  <c r="L23" i="28"/>
  <c r="M23" i="28"/>
  <c r="N23" i="28"/>
  <c r="O23" i="28"/>
  <c r="P23" i="28"/>
  <c r="Q23" i="28"/>
  <c r="R23" i="28"/>
  <c r="S23" i="28"/>
  <c r="T23" i="28"/>
  <c r="U23" i="28"/>
  <c r="V23" i="28"/>
  <c r="W23" i="28"/>
  <c r="X23" i="28"/>
  <c r="E24" i="28"/>
  <c r="F24" i="28"/>
  <c r="G24" i="28"/>
  <c r="H24" i="28"/>
  <c r="I24" i="28"/>
  <c r="J24" i="28"/>
  <c r="K24" i="28"/>
  <c r="L24" i="28"/>
  <c r="M24" i="28"/>
  <c r="N24" i="28"/>
  <c r="O24" i="28"/>
  <c r="P24" i="28"/>
  <c r="Q24" i="28"/>
  <c r="R24" i="28"/>
  <c r="S24" i="28"/>
  <c r="T24" i="28"/>
  <c r="U24" i="28"/>
  <c r="V24" i="28"/>
  <c r="W24" i="28"/>
  <c r="X24" i="28"/>
  <c r="E25" i="28"/>
  <c r="F25" i="28"/>
  <c r="G25" i="28"/>
  <c r="H25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E26" i="28"/>
  <c r="F26" i="28"/>
  <c r="G26" i="28"/>
  <c r="H26" i="28"/>
  <c r="I26" i="28"/>
  <c r="J26" i="28"/>
  <c r="K26" i="28"/>
  <c r="L26" i="28"/>
  <c r="M26" i="28"/>
  <c r="N26" i="28"/>
  <c r="O26" i="28"/>
  <c r="P26" i="28"/>
  <c r="Q26" i="28"/>
  <c r="R26" i="28"/>
  <c r="S26" i="28"/>
  <c r="T26" i="28"/>
  <c r="U26" i="28"/>
  <c r="V26" i="28"/>
  <c r="W26" i="28"/>
  <c r="X26" i="28"/>
  <c r="E27" i="28"/>
  <c r="F27" i="28"/>
  <c r="G27" i="28"/>
  <c r="H27" i="28"/>
  <c r="I27" i="28"/>
  <c r="J27" i="28"/>
  <c r="K27" i="28"/>
  <c r="L27" i="28"/>
  <c r="M27" i="28"/>
  <c r="N27" i="28"/>
  <c r="O27" i="28"/>
  <c r="P27" i="28"/>
  <c r="Q27" i="28"/>
  <c r="R27" i="28"/>
  <c r="S27" i="28"/>
  <c r="T27" i="28"/>
  <c r="U27" i="28"/>
  <c r="V27" i="28"/>
  <c r="W27" i="28"/>
  <c r="X27" i="28"/>
  <c r="E28" i="28"/>
  <c r="F28" i="28"/>
  <c r="G28" i="28"/>
  <c r="H28" i="28"/>
  <c r="I28" i="28"/>
  <c r="J28" i="28"/>
  <c r="K28" i="28"/>
  <c r="L28" i="28"/>
  <c r="M28" i="28"/>
  <c r="N28" i="28"/>
  <c r="O28" i="28"/>
  <c r="P28" i="28"/>
  <c r="Q28" i="28"/>
  <c r="R28" i="28"/>
  <c r="S28" i="28"/>
  <c r="T28" i="28"/>
  <c r="U28" i="28"/>
  <c r="V28" i="28"/>
  <c r="W28" i="28"/>
  <c r="X28" i="28"/>
  <c r="E29" i="28"/>
  <c r="F29" i="28"/>
  <c r="G29" i="28"/>
  <c r="H29" i="28"/>
  <c r="I29" i="28"/>
  <c r="J29" i="28"/>
  <c r="K29" i="28"/>
  <c r="L29" i="28"/>
  <c r="M29" i="28"/>
  <c r="N29" i="28"/>
  <c r="O29" i="28"/>
  <c r="P29" i="28"/>
  <c r="Q29" i="28"/>
  <c r="R29" i="28"/>
  <c r="S29" i="28"/>
  <c r="T29" i="28"/>
  <c r="U29" i="28"/>
  <c r="V29" i="28"/>
  <c r="W29" i="28"/>
  <c r="X29" i="28"/>
  <c r="E30" i="28"/>
  <c r="F30" i="28"/>
  <c r="G30" i="28"/>
  <c r="H30" i="28"/>
  <c r="I30" i="28"/>
  <c r="J30" i="28"/>
  <c r="K30" i="28"/>
  <c r="L30" i="28"/>
  <c r="M30" i="28"/>
  <c r="N30" i="28"/>
  <c r="O30" i="28"/>
  <c r="P30" i="28"/>
  <c r="Q30" i="28"/>
  <c r="R30" i="28"/>
  <c r="S30" i="28"/>
  <c r="T30" i="28"/>
  <c r="U30" i="28"/>
  <c r="V30" i="28"/>
  <c r="W30" i="28"/>
  <c r="X30" i="28"/>
  <c r="E31" i="28"/>
  <c r="F31" i="28"/>
  <c r="G31" i="28"/>
  <c r="H31" i="28"/>
  <c r="I31" i="28"/>
  <c r="J31" i="28"/>
  <c r="K31" i="28"/>
  <c r="L31" i="28"/>
  <c r="M31" i="28"/>
  <c r="N31" i="28"/>
  <c r="O31" i="28"/>
  <c r="P31" i="28"/>
  <c r="Q31" i="28"/>
  <c r="R31" i="28"/>
  <c r="S31" i="28"/>
  <c r="T31" i="28"/>
  <c r="U31" i="28"/>
  <c r="V31" i="28"/>
  <c r="W31" i="28"/>
  <c r="X31" i="28"/>
  <c r="E32" i="28"/>
  <c r="F32" i="28"/>
  <c r="G32" i="28"/>
  <c r="H32" i="28"/>
  <c r="I32" i="28"/>
  <c r="J32" i="28"/>
  <c r="K32" i="28"/>
  <c r="L32" i="28"/>
  <c r="M32" i="28"/>
  <c r="N32" i="28"/>
  <c r="O32" i="28"/>
  <c r="P32" i="28"/>
  <c r="Q32" i="28"/>
  <c r="R32" i="28"/>
  <c r="S32" i="28"/>
  <c r="T32" i="28"/>
  <c r="U32" i="28"/>
  <c r="V32" i="28"/>
  <c r="W32" i="28"/>
  <c r="X32" i="28"/>
  <c r="E33" i="28"/>
  <c r="F33" i="28"/>
  <c r="G33" i="28"/>
  <c r="H33" i="28"/>
  <c r="I33" i="28"/>
  <c r="J33" i="28"/>
  <c r="K33" i="28"/>
  <c r="L33" i="28"/>
  <c r="M33" i="28"/>
  <c r="N33" i="28"/>
  <c r="O33" i="28"/>
  <c r="P33" i="28"/>
  <c r="Q33" i="28"/>
  <c r="R33" i="28"/>
  <c r="S33" i="28"/>
  <c r="T33" i="28"/>
  <c r="U33" i="28"/>
  <c r="V33" i="28"/>
  <c r="W33" i="28"/>
  <c r="X33" i="28"/>
  <c r="E34" i="28"/>
  <c r="F34" i="28"/>
  <c r="G34" i="28"/>
  <c r="H34" i="28"/>
  <c r="I34" i="28"/>
  <c r="J34" i="28"/>
  <c r="K34" i="28"/>
  <c r="L34" i="28"/>
  <c r="M34" i="28"/>
  <c r="N34" i="28"/>
  <c r="O34" i="28"/>
  <c r="P34" i="28"/>
  <c r="Q34" i="28"/>
  <c r="R34" i="28"/>
  <c r="S34" i="28"/>
  <c r="T34" i="28"/>
  <c r="U34" i="28"/>
  <c r="V34" i="28"/>
  <c r="W34" i="28"/>
  <c r="X34" i="28"/>
  <c r="E35" i="28"/>
  <c r="F35" i="28"/>
  <c r="G35" i="28"/>
  <c r="H35" i="28"/>
  <c r="I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V35" i="28"/>
  <c r="W35" i="28"/>
  <c r="X35" i="28"/>
  <c r="E36" i="28"/>
  <c r="F36" i="28"/>
  <c r="G36" i="28"/>
  <c r="H36" i="28"/>
  <c r="I36" i="28"/>
  <c r="J36" i="28"/>
  <c r="K36" i="28"/>
  <c r="L36" i="28"/>
  <c r="M36" i="28"/>
  <c r="N36" i="28"/>
  <c r="O36" i="28"/>
  <c r="P36" i="28"/>
  <c r="Q36" i="28"/>
  <c r="R36" i="28"/>
  <c r="S36" i="28"/>
  <c r="T36" i="28"/>
  <c r="U36" i="28"/>
  <c r="V36" i="28"/>
  <c r="W36" i="28"/>
  <c r="X36" i="28"/>
  <c r="E37" i="28"/>
  <c r="F37" i="28"/>
  <c r="G37" i="28"/>
  <c r="H37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E38" i="28"/>
  <c r="F38" i="28"/>
  <c r="G38" i="28"/>
  <c r="H38" i="28"/>
  <c r="I38" i="28"/>
  <c r="J38" i="28"/>
  <c r="K38" i="28"/>
  <c r="L38" i="28"/>
  <c r="M38" i="28"/>
  <c r="N38" i="28"/>
  <c r="O38" i="28"/>
  <c r="P38" i="28"/>
  <c r="Q38" i="28"/>
  <c r="R38" i="28"/>
  <c r="S38" i="28"/>
  <c r="T38" i="28"/>
  <c r="U38" i="28"/>
  <c r="V38" i="28"/>
  <c r="W38" i="28"/>
  <c r="X38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Q40" i="28"/>
  <c r="R40" i="28"/>
  <c r="S40" i="28"/>
  <c r="T40" i="28"/>
  <c r="U40" i="28"/>
  <c r="V40" i="28"/>
  <c r="W40" i="28"/>
  <c r="X40" i="28"/>
  <c r="E21" i="43"/>
  <c r="F21" i="43"/>
  <c r="G21" i="43"/>
  <c r="H21" i="43"/>
  <c r="I21" i="43"/>
  <c r="J21" i="43"/>
  <c r="K21" i="43"/>
  <c r="L21" i="43"/>
  <c r="M21" i="43"/>
  <c r="N21" i="43"/>
  <c r="O21" i="43"/>
  <c r="P21" i="43"/>
  <c r="Q21" i="43"/>
  <c r="R21" i="43"/>
  <c r="S21" i="43"/>
  <c r="T21" i="43"/>
  <c r="U21" i="43"/>
  <c r="V21" i="43"/>
  <c r="W21" i="43"/>
  <c r="X21" i="43"/>
  <c r="E22" i="43"/>
  <c r="F22" i="43"/>
  <c r="G22" i="43"/>
  <c r="H22" i="43"/>
  <c r="I22" i="43"/>
  <c r="J22" i="43"/>
  <c r="K22" i="43"/>
  <c r="L22" i="43"/>
  <c r="M22" i="43"/>
  <c r="N22" i="43"/>
  <c r="O22" i="43"/>
  <c r="P22" i="43"/>
  <c r="Q22" i="43"/>
  <c r="R22" i="43"/>
  <c r="S22" i="43"/>
  <c r="T22" i="43"/>
  <c r="U22" i="43"/>
  <c r="V22" i="43"/>
  <c r="W22" i="43"/>
  <c r="X22" i="43"/>
  <c r="E23" i="43"/>
  <c r="F23" i="43"/>
  <c r="G23" i="43"/>
  <c r="H23" i="43"/>
  <c r="I23" i="43"/>
  <c r="J23" i="43"/>
  <c r="K23" i="43"/>
  <c r="L23" i="43"/>
  <c r="M23" i="43"/>
  <c r="N23" i="43"/>
  <c r="O23" i="43"/>
  <c r="P23" i="43"/>
  <c r="Q23" i="43"/>
  <c r="R23" i="43"/>
  <c r="S23" i="43"/>
  <c r="T23" i="43"/>
  <c r="U23" i="43"/>
  <c r="V23" i="43"/>
  <c r="W23" i="43"/>
  <c r="X23" i="43"/>
  <c r="E24" i="43"/>
  <c r="F24" i="43"/>
  <c r="G24" i="43"/>
  <c r="H24" i="43"/>
  <c r="I24" i="43"/>
  <c r="J24" i="43"/>
  <c r="K24" i="43"/>
  <c r="L24" i="43"/>
  <c r="M24" i="43"/>
  <c r="N24" i="43"/>
  <c r="O24" i="43"/>
  <c r="P24" i="43"/>
  <c r="Q24" i="43"/>
  <c r="R24" i="43"/>
  <c r="S24" i="43"/>
  <c r="T24" i="43"/>
  <c r="U24" i="43"/>
  <c r="V24" i="43"/>
  <c r="W24" i="43"/>
  <c r="X24" i="43"/>
  <c r="E25" i="43"/>
  <c r="F25" i="43"/>
  <c r="G25" i="43"/>
  <c r="H25" i="43"/>
  <c r="I25" i="43"/>
  <c r="J25" i="43"/>
  <c r="K25" i="43"/>
  <c r="L25" i="43"/>
  <c r="M25" i="43"/>
  <c r="N25" i="43"/>
  <c r="O25" i="43"/>
  <c r="P25" i="43"/>
  <c r="Q25" i="43"/>
  <c r="R25" i="43"/>
  <c r="S25" i="43"/>
  <c r="T25" i="43"/>
  <c r="U25" i="43"/>
  <c r="V25" i="43"/>
  <c r="W25" i="43"/>
  <c r="X25" i="43"/>
  <c r="E26" i="43"/>
  <c r="F26" i="43"/>
  <c r="G26" i="43"/>
  <c r="H26" i="43"/>
  <c r="I26" i="43"/>
  <c r="J26" i="43"/>
  <c r="K26" i="43"/>
  <c r="L26" i="43"/>
  <c r="M26" i="43"/>
  <c r="N26" i="43"/>
  <c r="O26" i="43"/>
  <c r="P26" i="43"/>
  <c r="Q26" i="43"/>
  <c r="R26" i="43"/>
  <c r="S26" i="43"/>
  <c r="T26" i="43"/>
  <c r="U26" i="43"/>
  <c r="V26" i="43"/>
  <c r="W26" i="43"/>
  <c r="X26" i="43"/>
  <c r="E27" i="43"/>
  <c r="F27" i="43"/>
  <c r="G27" i="43"/>
  <c r="H27" i="43"/>
  <c r="I27" i="43"/>
  <c r="J27" i="43"/>
  <c r="K27" i="43"/>
  <c r="L27" i="43"/>
  <c r="M27" i="43"/>
  <c r="N27" i="43"/>
  <c r="O27" i="43"/>
  <c r="P27" i="43"/>
  <c r="Q27" i="43"/>
  <c r="R27" i="43"/>
  <c r="S27" i="43"/>
  <c r="T27" i="43"/>
  <c r="U27" i="43"/>
  <c r="V27" i="43"/>
  <c r="W27" i="43"/>
  <c r="X27" i="43"/>
  <c r="E28" i="43"/>
  <c r="F28" i="43"/>
  <c r="G28" i="43"/>
  <c r="H28" i="43"/>
  <c r="I28" i="43"/>
  <c r="J28" i="43"/>
  <c r="K28" i="43"/>
  <c r="L28" i="43"/>
  <c r="M28" i="43"/>
  <c r="N28" i="43"/>
  <c r="O28" i="43"/>
  <c r="P28" i="43"/>
  <c r="Q28" i="43"/>
  <c r="R28" i="43"/>
  <c r="S28" i="43"/>
  <c r="T28" i="43"/>
  <c r="U28" i="43"/>
  <c r="V28" i="43"/>
  <c r="W28" i="43"/>
  <c r="X28" i="43"/>
  <c r="E29" i="43"/>
  <c r="F29" i="43"/>
  <c r="G29" i="43"/>
  <c r="H29" i="43"/>
  <c r="I29" i="43"/>
  <c r="J29" i="43"/>
  <c r="K29" i="43"/>
  <c r="L29" i="43"/>
  <c r="M29" i="43"/>
  <c r="N29" i="43"/>
  <c r="O29" i="43"/>
  <c r="P29" i="43"/>
  <c r="Q29" i="43"/>
  <c r="R29" i="43"/>
  <c r="S29" i="43"/>
  <c r="T29" i="43"/>
  <c r="U29" i="43"/>
  <c r="V29" i="43"/>
  <c r="W29" i="43"/>
  <c r="X29" i="43"/>
  <c r="E30" i="43"/>
  <c r="F30" i="43"/>
  <c r="G30" i="43"/>
  <c r="H30" i="43"/>
  <c r="I30" i="43"/>
  <c r="J30" i="43"/>
  <c r="K30" i="43"/>
  <c r="L30" i="43"/>
  <c r="M30" i="43"/>
  <c r="N30" i="43"/>
  <c r="O30" i="43"/>
  <c r="P30" i="43"/>
  <c r="Q30" i="43"/>
  <c r="R30" i="43"/>
  <c r="S30" i="43"/>
  <c r="T30" i="43"/>
  <c r="U30" i="43"/>
  <c r="V30" i="43"/>
  <c r="W30" i="43"/>
  <c r="X30" i="43"/>
  <c r="E31" i="43"/>
  <c r="F31" i="43"/>
  <c r="G31" i="43"/>
  <c r="H31" i="43"/>
  <c r="I31" i="43"/>
  <c r="J31" i="43"/>
  <c r="K31" i="43"/>
  <c r="L31" i="43"/>
  <c r="M31" i="43"/>
  <c r="N31" i="43"/>
  <c r="O31" i="43"/>
  <c r="P31" i="43"/>
  <c r="Q31" i="43"/>
  <c r="R31" i="43"/>
  <c r="S31" i="43"/>
  <c r="T31" i="43"/>
  <c r="U31" i="43"/>
  <c r="V31" i="43"/>
  <c r="W31" i="43"/>
  <c r="X31" i="43"/>
  <c r="E32" i="43"/>
  <c r="F32" i="43"/>
  <c r="G32" i="43"/>
  <c r="H32" i="43"/>
  <c r="I32" i="43"/>
  <c r="J32" i="43"/>
  <c r="K32" i="43"/>
  <c r="L32" i="43"/>
  <c r="M32" i="43"/>
  <c r="N32" i="43"/>
  <c r="O32" i="43"/>
  <c r="P32" i="43"/>
  <c r="Q32" i="43"/>
  <c r="R32" i="43"/>
  <c r="S32" i="43"/>
  <c r="T32" i="43"/>
  <c r="U32" i="43"/>
  <c r="V32" i="43"/>
  <c r="W32" i="43"/>
  <c r="X32" i="43"/>
  <c r="E33" i="43"/>
  <c r="F33" i="43"/>
  <c r="G33" i="43"/>
  <c r="H33" i="43"/>
  <c r="I33" i="43"/>
  <c r="J33" i="43"/>
  <c r="K33" i="43"/>
  <c r="L33" i="43"/>
  <c r="M33" i="43"/>
  <c r="N33" i="43"/>
  <c r="O33" i="43"/>
  <c r="P33" i="43"/>
  <c r="Q33" i="43"/>
  <c r="R33" i="43"/>
  <c r="S33" i="43"/>
  <c r="T33" i="43"/>
  <c r="U33" i="43"/>
  <c r="V33" i="43"/>
  <c r="W33" i="43"/>
  <c r="X33" i="43"/>
  <c r="E34" i="43"/>
  <c r="F34" i="43"/>
  <c r="G34" i="43"/>
  <c r="H34" i="43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E35" i="43"/>
  <c r="F35" i="43"/>
  <c r="G35" i="43"/>
  <c r="H35" i="43"/>
  <c r="I35" i="43"/>
  <c r="J35" i="43"/>
  <c r="K35" i="43"/>
  <c r="L35" i="43"/>
  <c r="M35" i="43"/>
  <c r="N35" i="43"/>
  <c r="O35" i="43"/>
  <c r="P35" i="43"/>
  <c r="Q35" i="43"/>
  <c r="R35" i="43"/>
  <c r="S35" i="43"/>
  <c r="T35" i="43"/>
  <c r="U35" i="43"/>
  <c r="V35" i="43"/>
  <c r="W35" i="43"/>
  <c r="X35" i="43"/>
  <c r="E36" i="43"/>
  <c r="F36" i="43"/>
  <c r="G36" i="43"/>
  <c r="H36" i="43"/>
  <c r="I36" i="43"/>
  <c r="J36" i="43"/>
  <c r="K36" i="43"/>
  <c r="L36" i="43"/>
  <c r="M36" i="43"/>
  <c r="N36" i="43"/>
  <c r="O36" i="43"/>
  <c r="P36" i="43"/>
  <c r="Q36" i="43"/>
  <c r="R36" i="43"/>
  <c r="S36" i="43"/>
  <c r="T36" i="43"/>
  <c r="U36" i="43"/>
  <c r="V36" i="43"/>
  <c r="W36" i="43"/>
  <c r="X36" i="43"/>
  <c r="E37" i="43"/>
  <c r="F37" i="43"/>
  <c r="G37" i="43"/>
  <c r="H37" i="43"/>
  <c r="I37" i="43"/>
  <c r="J37" i="43"/>
  <c r="K37" i="43"/>
  <c r="L37" i="43"/>
  <c r="M37" i="43"/>
  <c r="N37" i="43"/>
  <c r="O37" i="43"/>
  <c r="P37" i="43"/>
  <c r="Q37" i="43"/>
  <c r="R37" i="43"/>
  <c r="S37" i="43"/>
  <c r="T37" i="43"/>
  <c r="U37" i="43"/>
  <c r="V37" i="43"/>
  <c r="W37" i="43"/>
  <c r="X37" i="43"/>
  <c r="E38" i="43"/>
  <c r="F38" i="43"/>
  <c r="G38" i="43"/>
  <c r="H38" i="43"/>
  <c r="I38" i="43"/>
  <c r="J38" i="43"/>
  <c r="K38" i="43"/>
  <c r="L38" i="43"/>
  <c r="M38" i="43"/>
  <c r="N38" i="43"/>
  <c r="O38" i="43"/>
  <c r="P38" i="43"/>
  <c r="Q38" i="43"/>
  <c r="R38" i="43"/>
  <c r="S38" i="43"/>
  <c r="T38" i="43"/>
  <c r="U38" i="43"/>
  <c r="V38" i="43"/>
  <c r="W38" i="43"/>
  <c r="X38" i="43"/>
  <c r="E39" i="43"/>
  <c r="F39" i="43"/>
  <c r="G39" i="43"/>
  <c r="H39" i="43"/>
  <c r="I39" i="43"/>
  <c r="J39" i="43"/>
  <c r="K39" i="43"/>
  <c r="L39" i="43"/>
  <c r="M39" i="43"/>
  <c r="N39" i="43"/>
  <c r="O39" i="43"/>
  <c r="P39" i="43"/>
  <c r="Q39" i="43"/>
  <c r="R39" i="43"/>
  <c r="S39" i="43"/>
  <c r="T39" i="43"/>
  <c r="U39" i="43"/>
  <c r="V39" i="43"/>
  <c r="W39" i="43"/>
  <c r="X39" i="43"/>
  <c r="E40" i="43"/>
  <c r="F40" i="43"/>
  <c r="G40" i="43"/>
  <c r="H40" i="43"/>
  <c r="I40" i="43"/>
  <c r="J40" i="43"/>
  <c r="K40" i="43"/>
  <c r="L40" i="43"/>
  <c r="M40" i="43"/>
  <c r="N40" i="43"/>
  <c r="O40" i="43"/>
  <c r="P40" i="43"/>
  <c r="Q40" i="43"/>
  <c r="R40" i="43"/>
  <c r="S40" i="43"/>
  <c r="T40" i="43"/>
  <c r="U40" i="43"/>
  <c r="V40" i="43"/>
  <c r="W40" i="43"/>
  <c r="X40" i="43"/>
  <c r="E21" i="55"/>
  <c r="F21" i="55"/>
  <c r="G21" i="55"/>
  <c r="H21" i="55"/>
  <c r="I21" i="55"/>
  <c r="J21" i="55"/>
  <c r="K21" i="55"/>
  <c r="L21" i="55"/>
  <c r="M21" i="55"/>
  <c r="N21" i="55"/>
  <c r="O21" i="55"/>
  <c r="P21" i="55"/>
  <c r="Q21" i="55"/>
  <c r="R21" i="55"/>
  <c r="S21" i="55"/>
  <c r="T21" i="55"/>
  <c r="U21" i="55"/>
  <c r="V21" i="55"/>
  <c r="W21" i="55"/>
  <c r="X21" i="55"/>
  <c r="E22" i="55"/>
  <c r="F22" i="55"/>
  <c r="G22" i="55"/>
  <c r="H22" i="55"/>
  <c r="I22" i="55"/>
  <c r="J22" i="55"/>
  <c r="K22" i="55"/>
  <c r="L22" i="55"/>
  <c r="M22" i="55"/>
  <c r="N22" i="55"/>
  <c r="O22" i="55"/>
  <c r="P22" i="55"/>
  <c r="Q22" i="55"/>
  <c r="R22" i="55"/>
  <c r="S22" i="55"/>
  <c r="T22" i="55"/>
  <c r="U22" i="55"/>
  <c r="V22" i="55"/>
  <c r="W22" i="55"/>
  <c r="X22" i="55"/>
  <c r="E23" i="55"/>
  <c r="F23" i="55"/>
  <c r="G23" i="55"/>
  <c r="H23" i="55"/>
  <c r="I23" i="55"/>
  <c r="J23" i="55"/>
  <c r="K23" i="55"/>
  <c r="L23" i="55"/>
  <c r="M23" i="55"/>
  <c r="N23" i="55"/>
  <c r="O23" i="55"/>
  <c r="P23" i="55"/>
  <c r="Q23" i="55"/>
  <c r="R23" i="55"/>
  <c r="S23" i="55"/>
  <c r="T23" i="55"/>
  <c r="U23" i="55"/>
  <c r="V23" i="55"/>
  <c r="W23" i="55"/>
  <c r="X23" i="55"/>
  <c r="E24" i="55"/>
  <c r="F24" i="55"/>
  <c r="G24" i="55"/>
  <c r="H24" i="55"/>
  <c r="I24" i="55"/>
  <c r="J24" i="55"/>
  <c r="K24" i="55"/>
  <c r="L24" i="55"/>
  <c r="M24" i="55"/>
  <c r="N24" i="55"/>
  <c r="O24" i="55"/>
  <c r="P24" i="55"/>
  <c r="Q24" i="55"/>
  <c r="R24" i="55"/>
  <c r="S24" i="55"/>
  <c r="T24" i="55"/>
  <c r="U24" i="55"/>
  <c r="V24" i="55"/>
  <c r="W24" i="55"/>
  <c r="X24" i="55"/>
  <c r="E25" i="55"/>
  <c r="F25" i="55"/>
  <c r="G25" i="55"/>
  <c r="H25" i="55"/>
  <c r="I25" i="55"/>
  <c r="J25" i="55"/>
  <c r="K25" i="55"/>
  <c r="L25" i="55"/>
  <c r="M25" i="55"/>
  <c r="N25" i="55"/>
  <c r="O25" i="55"/>
  <c r="P25" i="55"/>
  <c r="Q25" i="55"/>
  <c r="R25" i="55"/>
  <c r="S25" i="55"/>
  <c r="T25" i="55"/>
  <c r="U25" i="55"/>
  <c r="V25" i="55"/>
  <c r="W25" i="55"/>
  <c r="X25" i="55"/>
  <c r="E26" i="55"/>
  <c r="F26" i="55"/>
  <c r="G26" i="55"/>
  <c r="H26" i="55"/>
  <c r="I26" i="55"/>
  <c r="J26" i="55"/>
  <c r="K26" i="55"/>
  <c r="L26" i="55"/>
  <c r="M26" i="55"/>
  <c r="N26" i="55"/>
  <c r="O26" i="55"/>
  <c r="P26" i="55"/>
  <c r="Q26" i="55"/>
  <c r="R26" i="55"/>
  <c r="S26" i="55"/>
  <c r="T26" i="55"/>
  <c r="U26" i="55"/>
  <c r="V26" i="55"/>
  <c r="W26" i="55"/>
  <c r="X26" i="55"/>
  <c r="E27" i="55"/>
  <c r="F27" i="55"/>
  <c r="G27" i="55"/>
  <c r="H27" i="55"/>
  <c r="I27" i="55"/>
  <c r="J27" i="55"/>
  <c r="K27" i="55"/>
  <c r="L27" i="55"/>
  <c r="M27" i="55"/>
  <c r="N27" i="55"/>
  <c r="O27" i="55"/>
  <c r="P27" i="55"/>
  <c r="Q27" i="55"/>
  <c r="R27" i="55"/>
  <c r="S27" i="55"/>
  <c r="T27" i="55"/>
  <c r="U27" i="55"/>
  <c r="V27" i="55"/>
  <c r="W27" i="55"/>
  <c r="X27" i="55"/>
  <c r="E28" i="55"/>
  <c r="F28" i="55"/>
  <c r="G28" i="55"/>
  <c r="H28" i="55"/>
  <c r="I28" i="55"/>
  <c r="J28" i="55"/>
  <c r="K28" i="55"/>
  <c r="L28" i="55"/>
  <c r="M28" i="55"/>
  <c r="N28" i="55"/>
  <c r="O28" i="55"/>
  <c r="P28" i="55"/>
  <c r="Q28" i="55"/>
  <c r="R28" i="55"/>
  <c r="S28" i="55"/>
  <c r="T28" i="55"/>
  <c r="U28" i="55"/>
  <c r="V28" i="55"/>
  <c r="W28" i="55"/>
  <c r="X28" i="55"/>
  <c r="E29" i="55"/>
  <c r="F29" i="55"/>
  <c r="G29" i="55"/>
  <c r="H29" i="55"/>
  <c r="I29" i="55"/>
  <c r="J29" i="55"/>
  <c r="K29" i="55"/>
  <c r="L29" i="55"/>
  <c r="M29" i="55"/>
  <c r="N29" i="55"/>
  <c r="O29" i="55"/>
  <c r="P29" i="55"/>
  <c r="Q29" i="55"/>
  <c r="R29" i="55"/>
  <c r="S29" i="55"/>
  <c r="T29" i="55"/>
  <c r="U29" i="55"/>
  <c r="V29" i="55"/>
  <c r="W29" i="55"/>
  <c r="X29" i="55"/>
  <c r="E30" i="55"/>
  <c r="F30" i="55"/>
  <c r="G30" i="55"/>
  <c r="H30" i="55"/>
  <c r="I30" i="55"/>
  <c r="J30" i="55"/>
  <c r="K30" i="55"/>
  <c r="L30" i="55"/>
  <c r="M30" i="55"/>
  <c r="N30" i="55"/>
  <c r="O30" i="55"/>
  <c r="P30" i="55"/>
  <c r="Q30" i="55"/>
  <c r="R30" i="55"/>
  <c r="S30" i="55"/>
  <c r="T30" i="55"/>
  <c r="U30" i="55"/>
  <c r="V30" i="55"/>
  <c r="W30" i="55"/>
  <c r="X30" i="55"/>
  <c r="E31" i="55"/>
  <c r="F31" i="55"/>
  <c r="G31" i="55"/>
  <c r="H31" i="55"/>
  <c r="I31" i="55"/>
  <c r="J31" i="55"/>
  <c r="K31" i="55"/>
  <c r="L31" i="55"/>
  <c r="M31" i="55"/>
  <c r="N31" i="55"/>
  <c r="O31" i="55"/>
  <c r="P31" i="55"/>
  <c r="Q31" i="55"/>
  <c r="R31" i="55"/>
  <c r="S31" i="55"/>
  <c r="T31" i="55"/>
  <c r="U31" i="55"/>
  <c r="V31" i="55"/>
  <c r="W31" i="55"/>
  <c r="X31" i="55"/>
  <c r="E32" i="55"/>
  <c r="F32" i="55"/>
  <c r="G32" i="55"/>
  <c r="H32" i="55"/>
  <c r="I32" i="55"/>
  <c r="J32" i="55"/>
  <c r="K32" i="55"/>
  <c r="L32" i="55"/>
  <c r="M32" i="55"/>
  <c r="N32" i="55"/>
  <c r="O32" i="55"/>
  <c r="P32" i="55"/>
  <c r="Q32" i="55"/>
  <c r="R32" i="55"/>
  <c r="S32" i="55"/>
  <c r="T32" i="55"/>
  <c r="U32" i="55"/>
  <c r="V32" i="55"/>
  <c r="W32" i="55"/>
  <c r="X32" i="55"/>
  <c r="E33" i="55"/>
  <c r="F33" i="55"/>
  <c r="G33" i="55"/>
  <c r="H33" i="55"/>
  <c r="I33" i="55"/>
  <c r="J33" i="55"/>
  <c r="K33" i="55"/>
  <c r="L33" i="55"/>
  <c r="M33" i="55"/>
  <c r="N33" i="55"/>
  <c r="O33" i="55"/>
  <c r="P33" i="55"/>
  <c r="Q33" i="55"/>
  <c r="R33" i="55"/>
  <c r="S33" i="55"/>
  <c r="T33" i="55"/>
  <c r="U33" i="55"/>
  <c r="V33" i="55"/>
  <c r="W33" i="55"/>
  <c r="X33" i="55"/>
  <c r="E34" i="55"/>
  <c r="F34" i="55"/>
  <c r="G34" i="55"/>
  <c r="H34" i="55"/>
  <c r="I34" i="55"/>
  <c r="J34" i="55"/>
  <c r="K34" i="55"/>
  <c r="L34" i="55"/>
  <c r="M34" i="55"/>
  <c r="N34" i="55"/>
  <c r="O34" i="55"/>
  <c r="P34" i="55"/>
  <c r="Q34" i="55"/>
  <c r="R34" i="55"/>
  <c r="S34" i="55"/>
  <c r="T34" i="55"/>
  <c r="U34" i="55"/>
  <c r="V34" i="55"/>
  <c r="W34" i="55"/>
  <c r="X34" i="55"/>
  <c r="E35" i="55"/>
  <c r="F35" i="55"/>
  <c r="G35" i="55"/>
  <c r="H35" i="55"/>
  <c r="I35" i="55"/>
  <c r="J35" i="55"/>
  <c r="K35" i="55"/>
  <c r="L35" i="55"/>
  <c r="M35" i="55"/>
  <c r="N35" i="55"/>
  <c r="O35" i="55"/>
  <c r="P35" i="55"/>
  <c r="Q35" i="55"/>
  <c r="R35" i="55"/>
  <c r="S35" i="55"/>
  <c r="T35" i="55"/>
  <c r="U35" i="55"/>
  <c r="V35" i="55"/>
  <c r="W35" i="55"/>
  <c r="X35" i="55"/>
  <c r="E36" i="55"/>
  <c r="F36" i="55"/>
  <c r="G36" i="55"/>
  <c r="H36" i="55"/>
  <c r="I36" i="55"/>
  <c r="J36" i="55"/>
  <c r="K36" i="55"/>
  <c r="L36" i="55"/>
  <c r="M36" i="55"/>
  <c r="N36" i="55"/>
  <c r="O36" i="55"/>
  <c r="P36" i="55"/>
  <c r="Q36" i="55"/>
  <c r="R36" i="55"/>
  <c r="S36" i="55"/>
  <c r="T36" i="55"/>
  <c r="U36" i="55"/>
  <c r="V36" i="55"/>
  <c r="W36" i="55"/>
  <c r="X36" i="55"/>
  <c r="E37" i="55"/>
  <c r="F37" i="55"/>
  <c r="G37" i="55"/>
  <c r="H37" i="55"/>
  <c r="I37" i="55"/>
  <c r="J37" i="55"/>
  <c r="K37" i="55"/>
  <c r="L37" i="55"/>
  <c r="M37" i="55"/>
  <c r="N37" i="55"/>
  <c r="O37" i="55"/>
  <c r="P37" i="55"/>
  <c r="Q37" i="55"/>
  <c r="R37" i="55"/>
  <c r="S37" i="55"/>
  <c r="T37" i="55"/>
  <c r="U37" i="55"/>
  <c r="V37" i="55"/>
  <c r="W37" i="55"/>
  <c r="X37" i="55"/>
  <c r="E38" i="55"/>
  <c r="F38" i="55"/>
  <c r="G38" i="55"/>
  <c r="H38" i="55"/>
  <c r="I38" i="55"/>
  <c r="J38" i="55"/>
  <c r="K38" i="55"/>
  <c r="L38" i="55"/>
  <c r="M38" i="55"/>
  <c r="N38" i="55"/>
  <c r="O38" i="55"/>
  <c r="P38" i="55"/>
  <c r="Q38" i="55"/>
  <c r="R38" i="55"/>
  <c r="S38" i="55"/>
  <c r="T38" i="55"/>
  <c r="U38" i="55"/>
  <c r="V38" i="55"/>
  <c r="W38" i="55"/>
  <c r="X38" i="55"/>
  <c r="E39" i="55"/>
  <c r="F39" i="55"/>
  <c r="G39" i="55"/>
  <c r="H39" i="55"/>
  <c r="I39" i="55"/>
  <c r="J39" i="55"/>
  <c r="K39" i="55"/>
  <c r="L39" i="55"/>
  <c r="M39" i="55"/>
  <c r="N39" i="55"/>
  <c r="O39" i="55"/>
  <c r="P39" i="55"/>
  <c r="Q39" i="55"/>
  <c r="R39" i="55"/>
  <c r="S39" i="55"/>
  <c r="T39" i="55"/>
  <c r="U39" i="55"/>
  <c r="V39" i="55"/>
  <c r="W39" i="55"/>
  <c r="X39" i="55"/>
  <c r="E40" i="55"/>
  <c r="F40" i="55"/>
  <c r="G40" i="55"/>
  <c r="H40" i="55"/>
  <c r="I40" i="55"/>
  <c r="J40" i="55"/>
  <c r="K40" i="55"/>
  <c r="L40" i="55"/>
  <c r="M40" i="55"/>
  <c r="N40" i="55"/>
  <c r="O40" i="55"/>
  <c r="P40" i="55"/>
  <c r="Q40" i="55"/>
  <c r="R40" i="55"/>
  <c r="S40" i="55"/>
  <c r="T40" i="55"/>
  <c r="U40" i="55"/>
  <c r="V40" i="55"/>
  <c r="W40" i="55"/>
  <c r="X40" i="55"/>
  <c r="E21" i="24"/>
  <c r="F21" i="24"/>
  <c r="G21" i="24"/>
  <c r="H21" i="24"/>
  <c r="I21" i="24"/>
  <c r="J21" i="24"/>
  <c r="K21" i="24"/>
  <c r="L21" i="24"/>
  <c r="M21" i="24"/>
  <c r="N21" i="24"/>
  <c r="O21" i="24"/>
  <c r="P21" i="24"/>
  <c r="Q21" i="24"/>
  <c r="R21" i="24"/>
  <c r="S21" i="24"/>
  <c r="U21" i="24"/>
  <c r="V21" i="24"/>
  <c r="W21" i="24"/>
  <c r="X21" i="24"/>
  <c r="E22" i="24"/>
  <c r="F22" i="24"/>
  <c r="G22" i="24"/>
  <c r="H22" i="24"/>
  <c r="I22" i="24"/>
  <c r="J22" i="24"/>
  <c r="K22" i="24"/>
  <c r="L22" i="24"/>
  <c r="M22" i="24"/>
  <c r="N22" i="24"/>
  <c r="O22" i="24"/>
  <c r="P22" i="24"/>
  <c r="Q22" i="24"/>
  <c r="R22" i="24"/>
  <c r="S22" i="24"/>
  <c r="U22" i="24"/>
  <c r="V22" i="24"/>
  <c r="W22" i="24"/>
  <c r="X22" i="24"/>
  <c r="E23" i="24"/>
  <c r="F23" i="24"/>
  <c r="G23" i="24"/>
  <c r="H23" i="24"/>
  <c r="I23" i="24"/>
  <c r="J23" i="24"/>
  <c r="K23" i="24"/>
  <c r="L23" i="24"/>
  <c r="M23" i="24"/>
  <c r="N23" i="24"/>
  <c r="O23" i="24"/>
  <c r="P23" i="24"/>
  <c r="Q23" i="24"/>
  <c r="R23" i="24"/>
  <c r="S23" i="24"/>
  <c r="U23" i="24"/>
  <c r="V23" i="24"/>
  <c r="W23" i="24"/>
  <c r="X23" i="24"/>
  <c r="E24" i="24"/>
  <c r="F24" i="24"/>
  <c r="G24" i="24"/>
  <c r="H24" i="24"/>
  <c r="I24" i="24"/>
  <c r="J24" i="24"/>
  <c r="K24" i="24"/>
  <c r="L24" i="24"/>
  <c r="M24" i="24"/>
  <c r="N24" i="24"/>
  <c r="O24" i="24"/>
  <c r="P24" i="24"/>
  <c r="Q24" i="24"/>
  <c r="R24" i="24"/>
  <c r="S24" i="24"/>
  <c r="U24" i="24"/>
  <c r="V24" i="24"/>
  <c r="W24" i="24"/>
  <c r="X24" i="24"/>
  <c r="E25" i="24"/>
  <c r="F25" i="24"/>
  <c r="G25" i="24"/>
  <c r="H25" i="24"/>
  <c r="I25" i="24"/>
  <c r="J25" i="24"/>
  <c r="K25" i="24"/>
  <c r="L25" i="24"/>
  <c r="M25" i="24"/>
  <c r="N25" i="24"/>
  <c r="O25" i="24"/>
  <c r="P25" i="24"/>
  <c r="Q25" i="24"/>
  <c r="R25" i="24"/>
  <c r="S25" i="24"/>
  <c r="U25" i="24"/>
  <c r="V25" i="24"/>
  <c r="W25" i="24"/>
  <c r="X25" i="24"/>
  <c r="E26" i="24"/>
  <c r="F26" i="24"/>
  <c r="G26" i="24"/>
  <c r="H26" i="24"/>
  <c r="I26" i="24"/>
  <c r="J26" i="24"/>
  <c r="K26" i="24"/>
  <c r="L26" i="24"/>
  <c r="M26" i="24"/>
  <c r="N26" i="24"/>
  <c r="O26" i="24"/>
  <c r="P26" i="24"/>
  <c r="Q26" i="24"/>
  <c r="R26" i="24"/>
  <c r="S26" i="24"/>
  <c r="U26" i="24"/>
  <c r="V26" i="24"/>
  <c r="W26" i="24"/>
  <c r="X26" i="24"/>
  <c r="E27" i="24"/>
  <c r="F27" i="24"/>
  <c r="G27" i="24"/>
  <c r="H27" i="24"/>
  <c r="I27" i="24"/>
  <c r="J27" i="24"/>
  <c r="K27" i="24"/>
  <c r="L27" i="24"/>
  <c r="M27" i="24"/>
  <c r="N27" i="24"/>
  <c r="O27" i="24"/>
  <c r="P27" i="24"/>
  <c r="Q27" i="24"/>
  <c r="R27" i="24"/>
  <c r="S27" i="24"/>
  <c r="U27" i="24"/>
  <c r="V27" i="24"/>
  <c r="W27" i="24"/>
  <c r="X27" i="24"/>
  <c r="E28" i="24"/>
  <c r="F28" i="24"/>
  <c r="G28" i="24"/>
  <c r="H28" i="24"/>
  <c r="I28" i="24"/>
  <c r="J28" i="24"/>
  <c r="K28" i="24"/>
  <c r="L28" i="24"/>
  <c r="M28" i="24"/>
  <c r="N28" i="24"/>
  <c r="O28" i="24"/>
  <c r="P28" i="24"/>
  <c r="Q28" i="24"/>
  <c r="R28" i="24"/>
  <c r="S28" i="24"/>
  <c r="U28" i="24"/>
  <c r="V28" i="24"/>
  <c r="W28" i="24"/>
  <c r="X28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U29" i="24"/>
  <c r="V29" i="24"/>
  <c r="W29" i="24"/>
  <c r="X29" i="24"/>
  <c r="E30" i="24"/>
  <c r="F30" i="24"/>
  <c r="G30" i="24"/>
  <c r="H30" i="24"/>
  <c r="I30" i="24"/>
  <c r="J30" i="24"/>
  <c r="K30" i="24"/>
  <c r="L30" i="24"/>
  <c r="M30" i="24"/>
  <c r="N30" i="24"/>
  <c r="O30" i="24"/>
  <c r="P30" i="24"/>
  <c r="Q30" i="24"/>
  <c r="R30" i="24"/>
  <c r="S30" i="24"/>
  <c r="U30" i="24"/>
  <c r="V30" i="24"/>
  <c r="W30" i="24"/>
  <c r="X30" i="24"/>
  <c r="E31" i="24"/>
  <c r="F31" i="24"/>
  <c r="G31" i="24"/>
  <c r="H31" i="24"/>
  <c r="I31" i="24"/>
  <c r="J31" i="24"/>
  <c r="K31" i="24"/>
  <c r="L31" i="24"/>
  <c r="M31" i="24"/>
  <c r="N31" i="24"/>
  <c r="O31" i="24"/>
  <c r="P31" i="24"/>
  <c r="Q31" i="24"/>
  <c r="R31" i="24"/>
  <c r="S31" i="24"/>
  <c r="U31" i="24"/>
  <c r="V31" i="24"/>
  <c r="W31" i="24"/>
  <c r="X31" i="24"/>
  <c r="E32" i="24"/>
  <c r="F32" i="24"/>
  <c r="G32" i="24"/>
  <c r="H32" i="24"/>
  <c r="I32" i="24"/>
  <c r="J32" i="24"/>
  <c r="K32" i="24"/>
  <c r="L32" i="24"/>
  <c r="M32" i="24"/>
  <c r="N32" i="24"/>
  <c r="O32" i="24"/>
  <c r="P32" i="24"/>
  <c r="Q32" i="24"/>
  <c r="R32" i="24"/>
  <c r="S32" i="24"/>
  <c r="U32" i="24"/>
  <c r="V32" i="24"/>
  <c r="W32" i="24"/>
  <c r="X32" i="24"/>
  <c r="E33" i="24"/>
  <c r="F33" i="24"/>
  <c r="G33" i="24"/>
  <c r="H33" i="24"/>
  <c r="I33" i="24"/>
  <c r="J33" i="24"/>
  <c r="K33" i="24"/>
  <c r="L33" i="24"/>
  <c r="M33" i="24"/>
  <c r="N33" i="24"/>
  <c r="O33" i="24"/>
  <c r="P33" i="24"/>
  <c r="Q33" i="24"/>
  <c r="R33" i="24"/>
  <c r="S33" i="24"/>
  <c r="U33" i="24"/>
  <c r="V33" i="24"/>
  <c r="W33" i="24"/>
  <c r="X33" i="24"/>
  <c r="E34" i="24"/>
  <c r="F34" i="24"/>
  <c r="G34" i="24"/>
  <c r="H34" i="24"/>
  <c r="I34" i="24"/>
  <c r="J34" i="24"/>
  <c r="K34" i="24"/>
  <c r="L34" i="24"/>
  <c r="M34" i="24"/>
  <c r="N34" i="24"/>
  <c r="O34" i="24"/>
  <c r="P34" i="24"/>
  <c r="Q34" i="24"/>
  <c r="R34" i="24"/>
  <c r="S34" i="24"/>
  <c r="U34" i="24"/>
  <c r="V34" i="24"/>
  <c r="W34" i="24"/>
  <c r="X34" i="24"/>
  <c r="E35" i="24"/>
  <c r="F35" i="24"/>
  <c r="G35" i="24"/>
  <c r="H35" i="24"/>
  <c r="I35" i="24"/>
  <c r="J35" i="24"/>
  <c r="K35" i="24"/>
  <c r="L35" i="24"/>
  <c r="M35" i="24"/>
  <c r="N35" i="24"/>
  <c r="O35" i="24"/>
  <c r="P35" i="24"/>
  <c r="Q35" i="24"/>
  <c r="R35" i="24"/>
  <c r="S35" i="24"/>
  <c r="U35" i="24"/>
  <c r="V35" i="24"/>
  <c r="W35" i="24"/>
  <c r="X35" i="24"/>
  <c r="E36" i="24"/>
  <c r="F36" i="24"/>
  <c r="G36" i="24"/>
  <c r="H36" i="24"/>
  <c r="I36" i="24"/>
  <c r="J36" i="24"/>
  <c r="K36" i="24"/>
  <c r="L36" i="24"/>
  <c r="M36" i="24"/>
  <c r="N36" i="24"/>
  <c r="O36" i="24"/>
  <c r="P36" i="24"/>
  <c r="Q36" i="24"/>
  <c r="R36" i="24"/>
  <c r="S36" i="24"/>
  <c r="U36" i="24"/>
  <c r="V36" i="24"/>
  <c r="W36" i="24"/>
  <c r="X36" i="24"/>
  <c r="E37" i="24"/>
  <c r="F37" i="24"/>
  <c r="G37" i="24"/>
  <c r="H37" i="24"/>
  <c r="I37" i="24"/>
  <c r="J37" i="24"/>
  <c r="K37" i="24"/>
  <c r="L37" i="24"/>
  <c r="M37" i="24"/>
  <c r="N37" i="24"/>
  <c r="O37" i="24"/>
  <c r="P37" i="24"/>
  <c r="Q37" i="24"/>
  <c r="R37" i="24"/>
  <c r="S37" i="24"/>
  <c r="U37" i="24"/>
  <c r="V37" i="24"/>
  <c r="W37" i="24"/>
  <c r="X37" i="24"/>
  <c r="E38" i="24"/>
  <c r="F38" i="24"/>
  <c r="G38" i="24"/>
  <c r="H38" i="24"/>
  <c r="I38" i="24"/>
  <c r="J38" i="24"/>
  <c r="K38" i="24"/>
  <c r="L38" i="24"/>
  <c r="M38" i="24"/>
  <c r="N38" i="24"/>
  <c r="O38" i="24"/>
  <c r="P38" i="24"/>
  <c r="Q38" i="24"/>
  <c r="R38" i="24"/>
  <c r="S38" i="24"/>
  <c r="U38" i="24"/>
  <c r="V38" i="24"/>
  <c r="W38" i="24"/>
  <c r="X38" i="24"/>
  <c r="E39" i="24"/>
  <c r="F39" i="24"/>
  <c r="G39" i="24"/>
  <c r="H39" i="24"/>
  <c r="I39" i="24"/>
  <c r="J39" i="24"/>
  <c r="K39" i="24"/>
  <c r="L39" i="24"/>
  <c r="M39" i="24"/>
  <c r="N39" i="24"/>
  <c r="O39" i="24"/>
  <c r="P39" i="24"/>
  <c r="Q39" i="24"/>
  <c r="R39" i="24"/>
  <c r="S39" i="24"/>
  <c r="U39" i="24"/>
  <c r="V39" i="24"/>
  <c r="W39" i="24"/>
  <c r="X39" i="24"/>
  <c r="E40" i="24"/>
  <c r="F40" i="24"/>
  <c r="G40" i="24"/>
  <c r="H40" i="24"/>
  <c r="I40" i="24"/>
  <c r="J40" i="24"/>
  <c r="K40" i="24"/>
  <c r="L40" i="24"/>
  <c r="M40" i="24"/>
  <c r="N40" i="24"/>
  <c r="O40" i="24"/>
  <c r="P40" i="24"/>
  <c r="Q40" i="24"/>
  <c r="R40" i="24"/>
  <c r="S40" i="24"/>
  <c r="U40" i="24"/>
  <c r="V40" i="24"/>
  <c r="W40" i="24"/>
  <c r="X40" i="24"/>
  <c r="E21" i="61"/>
  <c r="F21" i="61"/>
  <c r="G21" i="61"/>
  <c r="H21" i="61"/>
  <c r="I21" i="61"/>
  <c r="J21" i="61"/>
  <c r="K21" i="61"/>
  <c r="L21" i="61"/>
  <c r="M21" i="61"/>
  <c r="N21" i="61"/>
  <c r="O21" i="61"/>
  <c r="P21" i="61"/>
  <c r="Q21" i="61"/>
  <c r="R21" i="61"/>
  <c r="S21" i="61"/>
  <c r="T21" i="61"/>
  <c r="U21" i="61"/>
  <c r="V21" i="61"/>
  <c r="W21" i="61"/>
  <c r="X21" i="61"/>
  <c r="Y21" i="61"/>
  <c r="E22" i="61"/>
  <c r="F22" i="61"/>
  <c r="G22" i="61"/>
  <c r="H22" i="61"/>
  <c r="I22" i="61"/>
  <c r="J22" i="61"/>
  <c r="K22" i="61"/>
  <c r="L22" i="61"/>
  <c r="M22" i="61"/>
  <c r="N22" i="61"/>
  <c r="O22" i="61"/>
  <c r="P22" i="61"/>
  <c r="Q22" i="61"/>
  <c r="R22" i="61"/>
  <c r="S22" i="61"/>
  <c r="T22" i="61"/>
  <c r="U22" i="61"/>
  <c r="V22" i="61"/>
  <c r="W22" i="61"/>
  <c r="X22" i="61"/>
  <c r="Y22" i="61"/>
  <c r="E23" i="61"/>
  <c r="F23" i="61"/>
  <c r="G23" i="61"/>
  <c r="H23" i="61"/>
  <c r="I23" i="61"/>
  <c r="J23" i="61"/>
  <c r="K23" i="61"/>
  <c r="L23" i="61"/>
  <c r="M23" i="61"/>
  <c r="N23" i="61"/>
  <c r="O23" i="61"/>
  <c r="P23" i="61"/>
  <c r="Q23" i="61"/>
  <c r="R23" i="61"/>
  <c r="S23" i="61"/>
  <c r="T23" i="61"/>
  <c r="U23" i="61"/>
  <c r="V23" i="61"/>
  <c r="W23" i="61"/>
  <c r="X23" i="61"/>
  <c r="Y23" i="61"/>
  <c r="E24" i="61"/>
  <c r="F24" i="61"/>
  <c r="G24" i="61"/>
  <c r="H24" i="61"/>
  <c r="I24" i="61"/>
  <c r="J24" i="61"/>
  <c r="K24" i="61"/>
  <c r="L24" i="61"/>
  <c r="M24" i="61"/>
  <c r="N24" i="61"/>
  <c r="O24" i="61"/>
  <c r="P24" i="61"/>
  <c r="Q24" i="61"/>
  <c r="R24" i="61"/>
  <c r="S24" i="61"/>
  <c r="T24" i="61"/>
  <c r="U24" i="61"/>
  <c r="V24" i="61"/>
  <c r="W24" i="61"/>
  <c r="X24" i="61"/>
  <c r="Y24" i="61"/>
  <c r="E25" i="61"/>
  <c r="F25" i="61"/>
  <c r="G25" i="61"/>
  <c r="H25" i="61"/>
  <c r="I25" i="61"/>
  <c r="J25" i="61"/>
  <c r="K25" i="61"/>
  <c r="L25" i="61"/>
  <c r="M25" i="61"/>
  <c r="N25" i="61"/>
  <c r="O25" i="61"/>
  <c r="P25" i="61"/>
  <c r="Q25" i="61"/>
  <c r="R25" i="61"/>
  <c r="S25" i="61"/>
  <c r="T25" i="61"/>
  <c r="U25" i="61"/>
  <c r="V25" i="61"/>
  <c r="W25" i="61"/>
  <c r="X25" i="61"/>
  <c r="Y25" i="61"/>
  <c r="E26" i="61"/>
  <c r="F26" i="61"/>
  <c r="G26" i="61"/>
  <c r="H26" i="61"/>
  <c r="I26" i="61"/>
  <c r="J26" i="61"/>
  <c r="K26" i="61"/>
  <c r="L26" i="61"/>
  <c r="M26" i="61"/>
  <c r="N26" i="61"/>
  <c r="O26" i="61"/>
  <c r="P26" i="61"/>
  <c r="Q26" i="61"/>
  <c r="R26" i="61"/>
  <c r="S26" i="61"/>
  <c r="T26" i="61"/>
  <c r="U26" i="61"/>
  <c r="V26" i="61"/>
  <c r="W26" i="61"/>
  <c r="X26" i="61"/>
  <c r="Y26" i="61"/>
  <c r="E27" i="61"/>
  <c r="F27" i="61"/>
  <c r="G27" i="61"/>
  <c r="H27" i="61"/>
  <c r="I27" i="61"/>
  <c r="J27" i="61"/>
  <c r="K27" i="61"/>
  <c r="L27" i="61"/>
  <c r="M27" i="61"/>
  <c r="N27" i="61"/>
  <c r="O27" i="61"/>
  <c r="P27" i="61"/>
  <c r="Q27" i="61"/>
  <c r="R27" i="61"/>
  <c r="S27" i="61"/>
  <c r="T27" i="61"/>
  <c r="U27" i="61"/>
  <c r="V27" i="61"/>
  <c r="W27" i="61"/>
  <c r="X27" i="61"/>
  <c r="Y27" i="61"/>
  <c r="E28" i="61"/>
  <c r="F28" i="61"/>
  <c r="G28" i="61"/>
  <c r="H28" i="61"/>
  <c r="I28" i="61"/>
  <c r="J28" i="61"/>
  <c r="K28" i="61"/>
  <c r="L28" i="61"/>
  <c r="M28" i="61"/>
  <c r="N28" i="61"/>
  <c r="O28" i="61"/>
  <c r="P28" i="61"/>
  <c r="Q28" i="61"/>
  <c r="R28" i="61"/>
  <c r="S28" i="61"/>
  <c r="T28" i="61"/>
  <c r="U28" i="61"/>
  <c r="V28" i="61"/>
  <c r="W28" i="61"/>
  <c r="X28" i="61"/>
  <c r="Y28" i="61"/>
  <c r="E29" i="61"/>
  <c r="F29" i="61"/>
  <c r="G29" i="61"/>
  <c r="H29" i="61"/>
  <c r="I29" i="61"/>
  <c r="J29" i="61"/>
  <c r="K29" i="61"/>
  <c r="L29" i="61"/>
  <c r="M29" i="61"/>
  <c r="N29" i="61"/>
  <c r="O29" i="61"/>
  <c r="P29" i="61"/>
  <c r="Q29" i="61"/>
  <c r="R29" i="61"/>
  <c r="S29" i="61"/>
  <c r="T29" i="61"/>
  <c r="U29" i="61"/>
  <c r="V29" i="61"/>
  <c r="W29" i="61"/>
  <c r="X29" i="61"/>
  <c r="Y29" i="61"/>
  <c r="E30" i="61"/>
  <c r="F30" i="61"/>
  <c r="G30" i="61"/>
  <c r="H30" i="61"/>
  <c r="I30" i="61"/>
  <c r="J30" i="61"/>
  <c r="K30" i="61"/>
  <c r="L30" i="61"/>
  <c r="M30" i="61"/>
  <c r="N30" i="61"/>
  <c r="O30" i="61"/>
  <c r="P30" i="61"/>
  <c r="Q30" i="61"/>
  <c r="R30" i="61"/>
  <c r="S30" i="61"/>
  <c r="T30" i="61"/>
  <c r="U30" i="61"/>
  <c r="V30" i="61"/>
  <c r="W30" i="61"/>
  <c r="X30" i="61"/>
  <c r="Y30" i="61"/>
  <c r="E31" i="61"/>
  <c r="F31" i="61"/>
  <c r="G31" i="61"/>
  <c r="H31" i="61"/>
  <c r="I31" i="61"/>
  <c r="J31" i="61"/>
  <c r="K31" i="61"/>
  <c r="L31" i="61"/>
  <c r="M31" i="61"/>
  <c r="N31" i="61"/>
  <c r="O31" i="61"/>
  <c r="P31" i="61"/>
  <c r="Q31" i="61"/>
  <c r="R31" i="61"/>
  <c r="S31" i="61"/>
  <c r="T31" i="61"/>
  <c r="U31" i="61"/>
  <c r="V31" i="61"/>
  <c r="W31" i="61"/>
  <c r="X31" i="61"/>
  <c r="Y31" i="61"/>
  <c r="E32" i="61"/>
  <c r="F32" i="61"/>
  <c r="G32" i="61"/>
  <c r="H32" i="61"/>
  <c r="I32" i="61"/>
  <c r="J32" i="61"/>
  <c r="K32" i="61"/>
  <c r="L32" i="61"/>
  <c r="M32" i="61"/>
  <c r="N32" i="61"/>
  <c r="O32" i="61"/>
  <c r="P32" i="61"/>
  <c r="Q32" i="61"/>
  <c r="R32" i="61"/>
  <c r="S32" i="61"/>
  <c r="T32" i="61"/>
  <c r="U32" i="61"/>
  <c r="V32" i="61"/>
  <c r="W32" i="61"/>
  <c r="X32" i="61"/>
  <c r="Y32" i="61"/>
  <c r="E33" i="61"/>
  <c r="F33" i="61"/>
  <c r="G33" i="61"/>
  <c r="H33" i="61"/>
  <c r="I33" i="61"/>
  <c r="J33" i="61"/>
  <c r="K33" i="61"/>
  <c r="L33" i="61"/>
  <c r="M33" i="61"/>
  <c r="N33" i="61"/>
  <c r="O33" i="61"/>
  <c r="P33" i="61"/>
  <c r="Q33" i="61"/>
  <c r="R33" i="61"/>
  <c r="S33" i="61"/>
  <c r="T33" i="61"/>
  <c r="U33" i="61"/>
  <c r="V33" i="61"/>
  <c r="W33" i="61"/>
  <c r="X33" i="61"/>
  <c r="Y33" i="61"/>
  <c r="E34" i="61"/>
  <c r="F34" i="61"/>
  <c r="G34" i="61"/>
  <c r="H34" i="61"/>
  <c r="I34" i="61"/>
  <c r="J34" i="61"/>
  <c r="K34" i="61"/>
  <c r="L34" i="61"/>
  <c r="M34" i="61"/>
  <c r="N34" i="61"/>
  <c r="O34" i="61"/>
  <c r="P34" i="61"/>
  <c r="Q34" i="61"/>
  <c r="R34" i="61"/>
  <c r="S34" i="61"/>
  <c r="T34" i="61"/>
  <c r="U34" i="61"/>
  <c r="V34" i="61"/>
  <c r="W34" i="61"/>
  <c r="X34" i="61"/>
  <c r="Y34" i="61"/>
  <c r="E35" i="61"/>
  <c r="F35" i="61"/>
  <c r="G35" i="61"/>
  <c r="H35" i="61"/>
  <c r="I35" i="61"/>
  <c r="J35" i="61"/>
  <c r="K35" i="61"/>
  <c r="L35" i="61"/>
  <c r="M35" i="61"/>
  <c r="N35" i="61"/>
  <c r="O35" i="61"/>
  <c r="P35" i="61"/>
  <c r="Q35" i="61"/>
  <c r="R35" i="61"/>
  <c r="S35" i="61"/>
  <c r="T35" i="61"/>
  <c r="U35" i="61"/>
  <c r="V35" i="61"/>
  <c r="W35" i="61"/>
  <c r="X35" i="61"/>
  <c r="Y35" i="61"/>
  <c r="E36" i="61"/>
  <c r="F36" i="61"/>
  <c r="G36" i="61"/>
  <c r="H36" i="61"/>
  <c r="I36" i="61"/>
  <c r="J36" i="61"/>
  <c r="K36" i="61"/>
  <c r="L36" i="61"/>
  <c r="M36" i="61"/>
  <c r="N36" i="61"/>
  <c r="O36" i="61"/>
  <c r="P36" i="61"/>
  <c r="Q36" i="61"/>
  <c r="R36" i="61"/>
  <c r="S36" i="61"/>
  <c r="T36" i="61"/>
  <c r="U36" i="61"/>
  <c r="V36" i="61"/>
  <c r="W36" i="61"/>
  <c r="X36" i="61"/>
  <c r="Y36" i="61"/>
  <c r="E37" i="61"/>
  <c r="F37" i="61"/>
  <c r="G37" i="61"/>
  <c r="H37" i="61"/>
  <c r="I37" i="61"/>
  <c r="J37" i="61"/>
  <c r="K37" i="61"/>
  <c r="L37" i="61"/>
  <c r="M37" i="61"/>
  <c r="N37" i="61"/>
  <c r="O37" i="61"/>
  <c r="P37" i="61"/>
  <c r="Q37" i="61"/>
  <c r="R37" i="61"/>
  <c r="S37" i="61"/>
  <c r="T37" i="61"/>
  <c r="U37" i="61"/>
  <c r="V37" i="61"/>
  <c r="W37" i="61"/>
  <c r="X37" i="61"/>
  <c r="Y37" i="61"/>
  <c r="E38" i="61"/>
  <c r="F38" i="61"/>
  <c r="G38" i="61"/>
  <c r="H38" i="61"/>
  <c r="I38" i="61"/>
  <c r="J38" i="61"/>
  <c r="K38" i="61"/>
  <c r="L38" i="61"/>
  <c r="M38" i="61"/>
  <c r="N38" i="61"/>
  <c r="O38" i="61"/>
  <c r="P38" i="61"/>
  <c r="Q38" i="61"/>
  <c r="R38" i="61"/>
  <c r="S38" i="61"/>
  <c r="T38" i="61"/>
  <c r="U38" i="61"/>
  <c r="V38" i="61"/>
  <c r="W38" i="61"/>
  <c r="X38" i="61"/>
  <c r="Y38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E40" i="61"/>
  <c r="F40" i="61"/>
  <c r="G40" i="61"/>
  <c r="H40" i="61"/>
  <c r="I40" i="61"/>
  <c r="J40" i="61"/>
  <c r="K40" i="61"/>
  <c r="L40" i="61"/>
  <c r="M40" i="61"/>
  <c r="N40" i="61"/>
  <c r="O40" i="61"/>
  <c r="P40" i="61"/>
  <c r="Q40" i="61"/>
  <c r="R40" i="61"/>
  <c r="S40" i="61"/>
  <c r="T40" i="61"/>
  <c r="U40" i="61"/>
  <c r="V40" i="61"/>
  <c r="W40" i="61"/>
  <c r="X40" i="61"/>
  <c r="Y40" i="61"/>
  <c r="E21" i="22"/>
  <c r="F21" i="22"/>
  <c r="G21" i="22"/>
  <c r="H21" i="22"/>
  <c r="I21" i="22"/>
  <c r="J21" i="22"/>
  <c r="K21" i="22"/>
  <c r="L21" i="22"/>
  <c r="M21" i="22"/>
  <c r="N21" i="22"/>
  <c r="O21" i="22"/>
  <c r="P21" i="22"/>
  <c r="Q21" i="22"/>
  <c r="R21" i="22"/>
  <c r="S21" i="22"/>
  <c r="U21" i="22"/>
  <c r="V21" i="22"/>
  <c r="W21" i="22"/>
  <c r="X21" i="22"/>
  <c r="Y21" i="22"/>
  <c r="AA21" i="22"/>
  <c r="E22" i="22"/>
  <c r="F22" i="22"/>
  <c r="G22" i="22"/>
  <c r="H22" i="22"/>
  <c r="I22" i="22"/>
  <c r="J22" i="22"/>
  <c r="K22" i="22"/>
  <c r="L22" i="22"/>
  <c r="M22" i="22"/>
  <c r="N22" i="22"/>
  <c r="O22" i="22"/>
  <c r="P22" i="22"/>
  <c r="Q22" i="22"/>
  <c r="R22" i="22"/>
  <c r="S22" i="22"/>
  <c r="U22" i="22"/>
  <c r="V22" i="22"/>
  <c r="W22" i="22"/>
  <c r="X22" i="22"/>
  <c r="Y22" i="22"/>
  <c r="AA22" i="22"/>
  <c r="E23" i="22"/>
  <c r="F23" i="22"/>
  <c r="G23" i="22"/>
  <c r="H23" i="22"/>
  <c r="I23" i="22"/>
  <c r="J23" i="22"/>
  <c r="K23" i="22"/>
  <c r="L23" i="22"/>
  <c r="M23" i="22"/>
  <c r="N23" i="22"/>
  <c r="O23" i="22"/>
  <c r="P23" i="22"/>
  <c r="Q23" i="22"/>
  <c r="R23" i="22"/>
  <c r="S23" i="22"/>
  <c r="U23" i="22"/>
  <c r="V23" i="22"/>
  <c r="W23" i="22"/>
  <c r="X23" i="22"/>
  <c r="Y23" i="22"/>
  <c r="AA23" i="22"/>
  <c r="E24" i="22"/>
  <c r="F24" i="22"/>
  <c r="G24" i="22"/>
  <c r="H24" i="22"/>
  <c r="I24" i="22"/>
  <c r="J24" i="22"/>
  <c r="K24" i="22"/>
  <c r="L24" i="22"/>
  <c r="M24" i="22"/>
  <c r="N24" i="22"/>
  <c r="O24" i="22"/>
  <c r="P24" i="22"/>
  <c r="Q24" i="22"/>
  <c r="R24" i="22"/>
  <c r="S24" i="22"/>
  <c r="U24" i="22"/>
  <c r="V24" i="22"/>
  <c r="W24" i="22"/>
  <c r="X24" i="22"/>
  <c r="Y24" i="22"/>
  <c r="AA24" i="22"/>
  <c r="E25" i="22"/>
  <c r="F25" i="22"/>
  <c r="G25" i="22"/>
  <c r="H25" i="22"/>
  <c r="I25" i="22"/>
  <c r="J25" i="22"/>
  <c r="K25" i="22"/>
  <c r="L25" i="22"/>
  <c r="M25" i="22"/>
  <c r="N25" i="22"/>
  <c r="O25" i="22"/>
  <c r="P25" i="22"/>
  <c r="Q25" i="22"/>
  <c r="R25" i="22"/>
  <c r="S25" i="22"/>
  <c r="U25" i="22"/>
  <c r="V25" i="22"/>
  <c r="W25" i="22"/>
  <c r="X25" i="22"/>
  <c r="Y25" i="22"/>
  <c r="AA25" i="22"/>
  <c r="E26" i="22"/>
  <c r="F26" i="22"/>
  <c r="G26" i="22"/>
  <c r="H26" i="22"/>
  <c r="I26" i="22"/>
  <c r="J26" i="22"/>
  <c r="K26" i="22"/>
  <c r="L26" i="22"/>
  <c r="M26" i="22"/>
  <c r="N26" i="22"/>
  <c r="O26" i="22"/>
  <c r="P26" i="22"/>
  <c r="Q26" i="22"/>
  <c r="R26" i="22"/>
  <c r="S26" i="22"/>
  <c r="U26" i="22"/>
  <c r="V26" i="22"/>
  <c r="W26" i="22"/>
  <c r="X26" i="22"/>
  <c r="Y26" i="22"/>
  <c r="AA26" i="22"/>
  <c r="E27" i="22"/>
  <c r="F27" i="22"/>
  <c r="G27" i="22"/>
  <c r="H27" i="22"/>
  <c r="I27" i="22"/>
  <c r="J27" i="22"/>
  <c r="K27" i="22"/>
  <c r="L27" i="22"/>
  <c r="M27" i="22"/>
  <c r="N27" i="22"/>
  <c r="O27" i="22"/>
  <c r="P27" i="22"/>
  <c r="Q27" i="22"/>
  <c r="R27" i="22"/>
  <c r="S27" i="22"/>
  <c r="U27" i="22"/>
  <c r="V27" i="22"/>
  <c r="W27" i="22"/>
  <c r="X27" i="22"/>
  <c r="Y27" i="22"/>
  <c r="AA27" i="22"/>
  <c r="E28" i="22"/>
  <c r="F28" i="22"/>
  <c r="G28" i="22"/>
  <c r="H28" i="22"/>
  <c r="I28" i="22"/>
  <c r="J28" i="22"/>
  <c r="K28" i="22"/>
  <c r="L28" i="22"/>
  <c r="M28" i="22"/>
  <c r="N28" i="22"/>
  <c r="O28" i="22"/>
  <c r="P28" i="22"/>
  <c r="Q28" i="22"/>
  <c r="R28" i="22"/>
  <c r="S28" i="22"/>
  <c r="U28" i="22"/>
  <c r="V28" i="22"/>
  <c r="W28" i="22"/>
  <c r="X28" i="22"/>
  <c r="Y28" i="22"/>
  <c r="AA28" i="22"/>
  <c r="E29" i="22"/>
  <c r="F29" i="22"/>
  <c r="G29" i="22"/>
  <c r="H29" i="22"/>
  <c r="I29" i="22"/>
  <c r="J29" i="22"/>
  <c r="K29" i="22"/>
  <c r="L29" i="22"/>
  <c r="M29" i="22"/>
  <c r="N29" i="22"/>
  <c r="O29" i="22"/>
  <c r="P29" i="22"/>
  <c r="Q29" i="22"/>
  <c r="R29" i="22"/>
  <c r="S29" i="22"/>
  <c r="U29" i="22"/>
  <c r="V29" i="22"/>
  <c r="W29" i="22"/>
  <c r="X29" i="22"/>
  <c r="Y29" i="22"/>
  <c r="AA29" i="22"/>
  <c r="E30" i="22"/>
  <c r="F30" i="22"/>
  <c r="G30" i="22"/>
  <c r="H30" i="22"/>
  <c r="I30" i="22"/>
  <c r="J30" i="22"/>
  <c r="K30" i="22"/>
  <c r="L30" i="22"/>
  <c r="M30" i="22"/>
  <c r="N30" i="22"/>
  <c r="O30" i="22"/>
  <c r="P30" i="22"/>
  <c r="Q30" i="22"/>
  <c r="R30" i="22"/>
  <c r="S30" i="22"/>
  <c r="U30" i="22"/>
  <c r="V30" i="22"/>
  <c r="W30" i="22"/>
  <c r="X30" i="22"/>
  <c r="Y30" i="22"/>
  <c r="AA30" i="22"/>
  <c r="E31" i="22"/>
  <c r="F31" i="22"/>
  <c r="G31" i="22"/>
  <c r="H31" i="22"/>
  <c r="I31" i="22"/>
  <c r="J31" i="22"/>
  <c r="K31" i="22"/>
  <c r="L31" i="22"/>
  <c r="M31" i="22"/>
  <c r="N31" i="22"/>
  <c r="O31" i="22"/>
  <c r="P31" i="22"/>
  <c r="Q31" i="22"/>
  <c r="R31" i="22"/>
  <c r="S31" i="22"/>
  <c r="U31" i="22"/>
  <c r="V31" i="22"/>
  <c r="W31" i="22"/>
  <c r="X31" i="22"/>
  <c r="Y31" i="22"/>
  <c r="AA31" i="22"/>
  <c r="E32" i="22"/>
  <c r="F32" i="22"/>
  <c r="G32" i="22"/>
  <c r="H32" i="22"/>
  <c r="I32" i="22"/>
  <c r="J32" i="22"/>
  <c r="K32" i="22"/>
  <c r="L32" i="22"/>
  <c r="M32" i="22"/>
  <c r="N32" i="22"/>
  <c r="O32" i="22"/>
  <c r="P32" i="22"/>
  <c r="Q32" i="22"/>
  <c r="R32" i="22"/>
  <c r="S32" i="22"/>
  <c r="U32" i="22"/>
  <c r="V32" i="22"/>
  <c r="W32" i="22"/>
  <c r="X32" i="22"/>
  <c r="Y32" i="22"/>
  <c r="AA32" i="22"/>
  <c r="E33" i="22"/>
  <c r="F33" i="22"/>
  <c r="G33" i="22"/>
  <c r="H33" i="22"/>
  <c r="I33" i="22"/>
  <c r="J33" i="22"/>
  <c r="K33" i="22"/>
  <c r="L33" i="22"/>
  <c r="M33" i="22"/>
  <c r="N33" i="22"/>
  <c r="O33" i="22"/>
  <c r="P33" i="22"/>
  <c r="Q33" i="22"/>
  <c r="R33" i="22"/>
  <c r="S33" i="22"/>
  <c r="U33" i="22"/>
  <c r="V33" i="22"/>
  <c r="W33" i="22"/>
  <c r="X33" i="22"/>
  <c r="Y33" i="22"/>
  <c r="AA33" i="22"/>
  <c r="E34" i="22"/>
  <c r="F34" i="22"/>
  <c r="G34" i="22"/>
  <c r="H34" i="22"/>
  <c r="I34" i="22"/>
  <c r="J34" i="22"/>
  <c r="K34" i="22"/>
  <c r="L34" i="22"/>
  <c r="M34" i="22"/>
  <c r="N34" i="22"/>
  <c r="O34" i="22"/>
  <c r="P34" i="22"/>
  <c r="Q34" i="22"/>
  <c r="R34" i="22"/>
  <c r="S34" i="22"/>
  <c r="U34" i="22"/>
  <c r="V34" i="22"/>
  <c r="W34" i="22"/>
  <c r="X34" i="22"/>
  <c r="Y34" i="22"/>
  <c r="AA34" i="22"/>
  <c r="E35" i="22"/>
  <c r="F35" i="22"/>
  <c r="G35" i="22"/>
  <c r="H35" i="22"/>
  <c r="I35" i="22"/>
  <c r="J35" i="22"/>
  <c r="K35" i="22"/>
  <c r="L35" i="22"/>
  <c r="M35" i="22"/>
  <c r="N35" i="22"/>
  <c r="O35" i="22"/>
  <c r="P35" i="22"/>
  <c r="Q35" i="22"/>
  <c r="R35" i="22"/>
  <c r="S35" i="22"/>
  <c r="U35" i="22"/>
  <c r="V35" i="22"/>
  <c r="W35" i="22"/>
  <c r="X35" i="22"/>
  <c r="Y35" i="22"/>
  <c r="AA35" i="22"/>
  <c r="E36" i="22"/>
  <c r="F36" i="22"/>
  <c r="G36" i="22"/>
  <c r="H36" i="22"/>
  <c r="I36" i="22"/>
  <c r="J36" i="22"/>
  <c r="K36" i="22"/>
  <c r="L36" i="22"/>
  <c r="M36" i="22"/>
  <c r="N36" i="22"/>
  <c r="O36" i="22"/>
  <c r="P36" i="22"/>
  <c r="Q36" i="22"/>
  <c r="R36" i="22"/>
  <c r="S36" i="22"/>
  <c r="U36" i="22"/>
  <c r="V36" i="22"/>
  <c r="W36" i="22"/>
  <c r="X36" i="22"/>
  <c r="Y36" i="22"/>
  <c r="AA36" i="22"/>
  <c r="E37" i="22"/>
  <c r="F37" i="22"/>
  <c r="G37" i="22"/>
  <c r="H37" i="22"/>
  <c r="I37" i="22"/>
  <c r="J37" i="22"/>
  <c r="K37" i="22"/>
  <c r="L37" i="22"/>
  <c r="M37" i="22"/>
  <c r="N37" i="22"/>
  <c r="O37" i="22"/>
  <c r="P37" i="22"/>
  <c r="Q37" i="22"/>
  <c r="R37" i="22"/>
  <c r="S37" i="22"/>
  <c r="U37" i="22"/>
  <c r="V37" i="22"/>
  <c r="W37" i="22"/>
  <c r="X37" i="22"/>
  <c r="Y37" i="22"/>
  <c r="AA37" i="22"/>
  <c r="E38" i="22"/>
  <c r="F38" i="22"/>
  <c r="G38" i="22"/>
  <c r="H38" i="22"/>
  <c r="I38" i="22"/>
  <c r="J38" i="22"/>
  <c r="K38" i="22"/>
  <c r="L38" i="22"/>
  <c r="M38" i="22"/>
  <c r="N38" i="22"/>
  <c r="O38" i="22"/>
  <c r="P38" i="22"/>
  <c r="Q38" i="22"/>
  <c r="R38" i="22"/>
  <c r="S38" i="22"/>
  <c r="U38" i="22"/>
  <c r="V38" i="22"/>
  <c r="W38" i="22"/>
  <c r="X38" i="22"/>
  <c r="Y38" i="22"/>
  <c r="AA38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U39" i="22"/>
  <c r="V39" i="22"/>
  <c r="W39" i="22"/>
  <c r="X39" i="22"/>
  <c r="Y39" i="22"/>
  <c r="AA39" i="22"/>
  <c r="E40" i="22"/>
  <c r="F40" i="22"/>
  <c r="G40" i="22"/>
  <c r="H40" i="22"/>
  <c r="I40" i="22"/>
  <c r="J40" i="22"/>
  <c r="K40" i="22"/>
  <c r="L40" i="22"/>
  <c r="M40" i="22"/>
  <c r="N40" i="22"/>
  <c r="O40" i="22"/>
  <c r="P40" i="22"/>
  <c r="Q40" i="22"/>
  <c r="R40" i="22"/>
  <c r="S40" i="22"/>
  <c r="U40" i="22"/>
  <c r="V40" i="22"/>
  <c r="W40" i="22"/>
  <c r="X40" i="22"/>
  <c r="Y40" i="22"/>
  <c r="AA40" i="22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T21" i="25"/>
  <c r="U21" i="25"/>
  <c r="V21" i="25"/>
  <c r="W21" i="25"/>
  <c r="X21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T22" i="25"/>
  <c r="U22" i="25"/>
  <c r="V22" i="25"/>
  <c r="W22" i="25"/>
  <c r="X22" i="25"/>
  <c r="E23" i="25"/>
  <c r="F23" i="25"/>
  <c r="G23" i="25"/>
  <c r="H23" i="25"/>
  <c r="I23" i="25"/>
  <c r="J23" i="25"/>
  <c r="K23" i="25"/>
  <c r="L23" i="25"/>
  <c r="M23" i="25"/>
  <c r="N23" i="25"/>
  <c r="O23" i="25"/>
  <c r="P23" i="25"/>
  <c r="Q23" i="25"/>
  <c r="R23" i="25"/>
  <c r="S23" i="25"/>
  <c r="T23" i="25"/>
  <c r="U23" i="25"/>
  <c r="V23" i="25"/>
  <c r="W23" i="25"/>
  <c r="X23" i="25"/>
  <c r="E24" i="25"/>
  <c r="F24" i="25"/>
  <c r="G24" i="25"/>
  <c r="H24" i="25"/>
  <c r="I24" i="25"/>
  <c r="J24" i="25"/>
  <c r="K24" i="25"/>
  <c r="L24" i="25"/>
  <c r="M24" i="25"/>
  <c r="N24" i="25"/>
  <c r="O24" i="25"/>
  <c r="P24" i="25"/>
  <c r="Q24" i="25"/>
  <c r="R24" i="25"/>
  <c r="S24" i="25"/>
  <c r="T24" i="25"/>
  <c r="U24" i="25"/>
  <c r="V24" i="25"/>
  <c r="W24" i="25"/>
  <c r="X24" i="25"/>
  <c r="E25" i="25"/>
  <c r="F25" i="25"/>
  <c r="G25" i="25"/>
  <c r="H25" i="25"/>
  <c r="I25" i="25"/>
  <c r="J25" i="25"/>
  <c r="K25" i="25"/>
  <c r="L25" i="25"/>
  <c r="M25" i="25"/>
  <c r="N25" i="25"/>
  <c r="O25" i="25"/>
  <c r="P25" i="25"/>
  <c r="Q25" i="25"/>
  <c r="R25" i="25"/>
  <c r="S25" i="25"/>
  <c r="T25" i="25"/>
  <c r="U25" i="25"/>
  <c r="V25" i="25"/>
  <c r="W25" i="25"/>
  <c r="X25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T26" i="25"/>
  <c r="U26" i="25"/>
  <c r="V26" i="25"/>
  <c r="W26" i="25"/>
  <c r="X26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T27" i="25"/>
  <c r="U27" i="25"/>
  <c r="V27" i="25"/>
  <c r="W27" i="25"/>
  <c r="X27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T28" i="25"/>
  <c r="U28" i="25"/>
  <c r="V28" i="25"/>
  <c r="W28" i="25"/>
  <c r="X28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T29" i="25"/>
  <c r="U29" i="25"/>
  <c r="V29" i="25"/>
  <c r="W29" i="25"/>
  <c r="X29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T30" i="25"/>
  <c r="U30" i="25"/>
  <c r="V30" i="25"/>
  <c r="W30" i="25"/>
  <c r="X30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T31" i="25"/>
  <c r="U31" i="25"/>
  <c r="V31" i="25"/>
  <c r="W31" i="25"/>
  <c r="X31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T32" i="25"/>
  <c r="U32" i="25"/>
  <c r="V32" i="25"/>
  <c r="W32" i="25"/>
  <c r="X32" i="25"/>
  <c r="E33" i="25"/>
  <c r="F33" i="25"/>
  <c r="G33" i="25"/>
  <c r="H33" i="25"/>
  <c r="I33" i="25"/>
  <c r="J33" i="25"/>
  <c r="K33" i="25"/>
  <c r="L33" i="25"/>
  <c r="M33" i="25"/>
  <c r="N33" i="25"/>
  <c r="O33" i="25"/>
  <c r="P33" i="25"/>
  <c r="Q33" i="25"/>
  <c r="R33" i="25"/>
  <c r="S33" i="25"/>
  <c r="T33" i="25"/>
  <c r="U33" i="25"/>
  <c r="V33" i="25"/>
  <c r="W33" i="25"/>
  <c r="X33" i="25"/>
  <c r="E34" i="25"/>
  <c r="F34" i="25"/>
  <c r="G34" i="25"/>
  <c r="H34" i="25"/>
  <c r="I34" i="25"/>
  <c r="J34" i="25"/>
  <c r="K34" i="25"/>
  <c r="L34" i="25"/>
  <c r="M34" i="25"/>
  <c r="N34" i="25"/>
  <c r="O34" i="25"/>
  <c r="P34" i="25"/>
  <c r="Q34" i="25"/>
  <c r="R34" i="25"/>
  <c r="S34" i="25"/>
  <c r="T34" i="25"/>
  <c r="U34" i="25"/>
  <c r="V34" i="25"/>
  <c r="W34" i="25"/>
  <c r="X34" i="25"/>
  <c r="E35" i="25"/>
  <c r="F35" i="25"/>
  <c r="G35" i="25"/>
  <c r="H35" i="25"/>
  <c r="I35" i="25"/>
  <c r="J35" i="25"/>
  <c r="K35" i="25"/>
  <c r="L35" i="25"/>
  <c r="M35" i="25"/>
  <c r="N35" i="25"/>
  <c r="O35" i="25"/>
  <c r="P35" i="25"/>
  <c r="Q35" i="25"/>
  <c r="R35" i="25"/>
  <c r="S35" i="25"/>
  <c r="T35" i="25"/>
  <c r="U35" i="25"/>
  <c r="V35" i="25"/>
  <c r="W35" i="25"/>
  <c r="X35" i="25"/>
  <c r="E36" i="25"/>
  <c r="F36" i="25"/>
  <c r="G36" i="25"/>
  <c r="H36" i="25"/>
  <c r="I36" i="25"/>
  <c r="J36" i="25"/>
  <c r="K36" i="25"/>
  <c r="L36" i="25"/>
  <c r="M36" i="25"/>
  <c r="N36" i="25"/>
  <c r="O36" i="25"/>
  <c r="P36" i="25"/>
  <c r="Q36" i="25"/>
  <c r="R36" i="25"/>
  <c r="S36" i="25"/>
  <c r="T36" i="25"/>
  <c r="U36" i="25"/>
  <c r="V36" i="25"/>
  <c r="W36" i="25"/>
  <c r="X36" i="25"/>
  <c r="E37" i="25"/>
  <c r="F37" i="25"/>
  <c r="G37" i="25"/>
  <c r="H37" i="25"/>
  <c r="I37" i="25"/>
  <c r="J37" i="25"/>
  <c r="K37" i="25"/>
  <c r="L37" i="25"/>
  <c r="M37" i="25"/>
  <c r="N37" i="25"/>
  <c r="O37" i="25"/>
  <c r="P37" i="25"/>
  <c r="Q37" i="25"/>
  <c r="R37" i="25"/>
  <c r="S37" i="25"/>
  <c r="T37" i="25"/>
  <c r="U37" i="25"/>
  <c r="V37" i="25"/>
  <c r="W37" i="25"/>
  <c r="X37" i="25"/>
  <c r="E38" i="25"/>
  <c r="F38" i="25"/>
  <c r="G38" i="25"/>
  <c r="H38" i="25"/>
  <c r="I38" i="25"/>
  <c r="J38" i="25"/>
  <c r="K38" i="25"/>
  <c r="L38" i="25"/>
  <c r="M38" i="25"/>
  <c r="N38" i="25"/>
  <c r="O38" i="25"/>
  <c r="P38" i="25"/>
  <c r="Q38" i="25"/>
  <c r="R38" i="25"/>
  <c r="S38" i="25"/>
  <c r="T38" i="25"/>
  <c r="U38" i="25"/>
  <c r="V38" i="25"/>
  <c r="W38" i="25"/>
  <c r="X38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E40" i="25"/>
  <c r="F40" i="25"/>
  <c r="G40" i="25"/>
  <c r="H40" i="25"/>
  <c r="I40" i="25"/>
  <c r="J40" i="25"/>
  <c r="K40" i="25"/>
  <c r="L40" i="25"/>
  <c r="M40" i="25"/>
  <c r="N40" i="25"/>
  <c r="O40" i="25"/>
  <c r="P40" i="25"/>
  <c r="Q40" i="25"/>
  <c r="R40" i="25"/>
  <c r="S40" i="25"/>
  <c r="T40" i="25"/>
  <c r="U40" i="25"/>
  <c r="V40" i="25"/>
  <c r="W40" i="25"/>
  <c r="X40" i="25"/>
  <c r="H21" i="23"/>
  <c r="J21" i="23"/>
  <c r="K21" i="23"/>
  <c r="L21" i="23"/>
  <c r="N21" i="23"/>
  <c r="O21" i="23"/>
  <c r="P21" i="23"/>
  <c r="Q21" i="23"/>
  <c r="R21" i="23"/>
  <c r="S21" i="23"/>
  <c r="U21" i="23"/>
  <c r="V21" i="23"/>
  <c r="W21" i="23"/>
  <c r="X21" i="23"/>
  <c r="Z21" i="23"/>
  <c r="AB21" i="23"/>
  <c r="AC21" i="23"/>
  <c r="AD21" i="23"/>
  <c r="AE21" i="23"/>
  <c r="H22" i="23"/>
  <c r="J22" i="23"/>
  <c r="K22" i="23"/>
  <c r="L22" i="23"/>
  <c r="N22" i="23"/>
  <c r="O22" i="23"/>
  <c r="P22" i="23"/>
  <c r="Q22" i="23"/>
  <c r="R22" i="23"/>
  <c r="S22" i="23"/>
  <c r="U22" i="23"/>
  <c r="V22" i="23"/>
  <c r="W22" i="23"/>
  <c r="X22" i="23"/>
  <c r="Z22" i="23"/>
  <c r="AB22" i="23"/>
  <c r="AC22" i="23"/>
  <c r="AD22" i="23"/>
  <c r="AE22" i="23"/>
  <c r="H23" i="23"/>
  <c r="J23" i="23"/>
  <c r="K23" i="23"/>
  <c r="L23" i="23"/>
  <c r="N23" i="23"/>
  <c r="O23" i="23"/>
  <c r="P23" i="23"/>
  <c r="Q23" i="23"/>
  <c r="R23" i="23"/>
  <c r="S23" i="23"/>
  <c r="U23" i="23"/>
  <c r="V23" i="23"/>
  <c r="W23" i="23"/>
  <c r="X23" i="23"/>
  <c r="Z23" i="23"/>
  <c r="AB23" i="23"/>
  <c r="AC23" i="23"/>
  <c r="AD23" i="23"/>
  <c r="AE23" i="23"/>
  <c r="H24" i="23"/>
  <c r="J24" i="23"/>
  <c r="K24" i="23"/>
  <c r="L24" i="23"/>
  <c r="N24" i="23"/>
  <c r="O24" i="23"/>
  <c r="P24" i="23"/>
  <c r="Q24" i="23"/>
  <c r="R24" i="23"/>
  <c r="S24" i="23"/>
  <c r="U24" i="23"/>
  <c r="V24" i="23"/>
  <c r="W24" i="23"/>
  <c r="X24" i="23"/>
  <c r="Z24" i="23"/>
  <c r="AB24" i="23"/>
  <c r="AC24" i="23"/>
  <c r="AD24" i="23"/>
  <c r="AE24" i="23"/>
  <c r="H25" i="23"/>
  <c r="J25" i="23"/>
  <c r="K25" i="23"/>
  <c r="L25" i="23"/>
  <c r="N25" i="23"/>
  <c r="O25" i="23"/>
  <c r="P25" i="23"/>
  <c r="Q25" i="23"/>
  <c r="R25" i="23"/>
  <c r="S25" i="23"/>
  <c r="U25" i="23"/>
  <c r="V25" i="23"/>
  <c r="W25" i="23"/>
  <c r="X25" i="23"/>
  <c r="Z25" i="23"/>
  <c r="AB25" i="23"/>
  <c r="AC25" i="23"/>
  <c r="AD25" i="23"/>
  <c r="AE25" i="23"/>
  <c r="H26" i="23"/>
  <c r="J26" i="23"/>
  <c r="K26" i="23"/>
  <c r="L26" i="23"/>
  <c r="N26" i="23"/>
  <c r="O26" i="23"/>
  <c r="P26" i="23"/>
  <c r="Q26" i="23"/>
  <c r="R26" i="23"/>
  <c r="S26" i="23"/>
  <c r="U26" i="23"/>
  <c r="V26" i="23"/>
  <c r="W26" i="23"/>
  <c r="X26" i="23"/>
  <c r="Z26" i="23"/>
  <c r="AB26" i="23"/>
  <c r="AC26" i="23"/>
  <c r="AD26" i="23"/>
  <c r="AE26" i="23"/>
  <c r="H27" i="23"/>
  <c r="J27" i="23"/>
  <c r="K27" i="23"/>
  <c r="L27" i="23"/>
  <c r="N27" i="23"/>
  <c r="O27" i="23"/>
  <c r="P27" i="23"/>
  <c r="Q27" i="23"/>
  <c r="R27" i="23"/>
  <c r="S27" i="23"/>
  <c r="U27" i="23"/>
  <c r="V27" i="23"/>
  <c r="W27" i="23"/>
  <c r="X27" i="23"/>
  <c r="Z27" i="23"/>
  <c r="AB27" i="23"/>
  <c r="AC27" i="23"/>
  <c r="AD27" i="23"/>
  <c r="AE27" i="23"/>
  <c r="H28" i="23"/>
  <c r="J28" i="23"/>
  <c r="K28" i="23"/>
  <c r="L28" i="23"/>
  <c r="N28" i="23"/>
  <c r="O28" i="23"/>
  <c r="P28" i="23"/>
  <c r="Q28" i="23"/>
  <c r="R28" i="23"/>
  <c r="S28" i="23"/>
  <c r="U28" i="23"/>
  <c r="V28" i="23"/>
  <c r="W28" i="23"/>
  <c r="X28" i="23"/>
  <c r="Z28" i="23"/>
  <c r="AB28" i="23"/>
  <c r="AC28" i="23"/>
  <c r="AD28" i="23"/>
  <c r="AE28" i="23"/>
  <c r="H29" i="23"/>
  <c r="J29" i="23"/>
  <c r="K29" i="23"/>
  <c r="L29" i="23"/>
  <c r="N29" i="23"/>
  <c r="O29" i="23"/>
  <c r="P29" i="23"/>
  <c r="Q29" i="23"/>
  <c r="R29" i="23"/>
  <c r="S29" i="23"/>
  <c r="U29" i="23"/>
  <c r="V29" i="23"/>
  <c r="W29" i="23"/>
  <c r="X29" i="23"/>
  <c r="Z29" i="23"/>
  <c r="AB29" i="23"/>
  <c r="AC29" i="23"/>
  <c r="AD29" i="23"/>
  <c r="AE29" i="23"/>
  <c r="H30" i="23"/>
  <c r="J30" i="23"/>
  <c r="K30" i="23"/>
  <c r="L30" i="23"/>
  <c r="N30" i="23"/>
  <c r="O30" i="23"/>
  <c r="P30" i="23"/>
  <c r="Q30" i="23"/>
  <c r="R30" i="23"/>
  <c r="S30" i="23"/>
  <c r="U30" i="23"/>
  <c r="V30" i="23"/>
  <c r="W30" i="23"/>
  <c r="X30" i="23"/>
  <c r="Z30" i="23"/>
  <c r="AB30" i="23"/>
  <c r="AC30" i="23"/>
  <c r="AD30" i="23"/>
  <c r="AE30" i="23"/>
  <c r="H31" i="23"/>
  <c r="J31" i="23"/>
  <c r="K31" i="23"/>
  <c r="L31" i="23"/>
  <c r="N31" i="23"/>
  <c r="O31" i="23"/>
  <c r="P31" i="23"/>
  <c r="Q31" i="23"/>
  <c r="R31" i="23"/>
  <c r="S31" i="23"/>
  <c r="U31" i="23"/>
  <c r="V31" i="23"/>
  <c r="W31" i="23"/>
  <c r="X31" i="23"/>
  <c r="Z31" i="23"/>
  <c r="AB31" i="23"/>
  <c r="AC31" i="23"/>
  <c r="AD31" i="23"/>
  <c r="AE31" i="23"/>
  <c r="H32" i="23"/>
  <c r="J32" i="23"/>
  <c r="K32" i="23"/>
  <c r="L32" i="23"/>
  <c r="N32" i="23"/>
  <c r="O32" i="23"/>
  <c r="P32" i="23"/>
  <c r="Q32" i="23"/>
  <c r="R32" i="23"/>
  <c r="S32" i="23"/>
  <c r="U32" i="23"/>
  <c r="V32" i="23"/>
  <c r="W32" i="23"/>
  <c r="X32" i="23"/>
  <c r="Z32" i="23"/>
  <c r="AB32" i="23"/>
  <c r="AC32" i="23"/>
  <c r="AD32" i="23"/>
  <c r="AE32" i="23"/>
  <c r="H33" i="23"/>
  <c r="J33" i="23"/>
  <c r="K33" i="23"/>
  <c r="L33" i="23"/>
  <c r="N33" i="23"/>
  <c r="O33" i="23"/>
  <c r="P33" i="23"/>
  <c r="Q33" i="23"/>
  <c r="R33" i="23"/>
  <c r="S33" i="23"/>
  <c r="U33" i="23"/>
  <c r="V33" i="23"/>
  <c r="W33" i="23"/>
  <c r="X33" i="23"/>
  <c r="Z33" i="23"/>
  <c r="AB33" i="23"/>
  <c r="AC33" i="23"/>
  <c r="AD33" i="23"/>
  <c r="AE33" i="23"/>
  <c r="H34" i="23"/>
  <c r="J34" i="23"/>
  <c r="K34" i="23"/>
  <c r="L34" i="23"/>
  <c r="N34" i="23"/>
  <c r="O34" i="23"/>
  <c r="P34" i="23"/>
  <c r="Q34" i="23"/>
  <c r="R34" i="23"/>
  <c r="S34" i="23"/>
  <c r="U34" i="23"/>
  <c r="V34" i="23"/>
  <c r="W34" i="23"/>
  <c r="X34" i="23"/>
  <c r="Z34" i="23"/>
  <c r="AB34" i="23"/>
  <c r="AC34" i="23"/>
  <c r="AD34" i="23"/>
  <c r="AE34" i="23"/>
  <c r="H35" i="23"/>
  <c r="J35" i="23"/>
  <c r="K35" i="23"/>
  <c r="L35" i="23"/>
  <c r="N35" i="23"/>
  <c r="O35" i="23"/>
  <c r="P35" i="23"/>
  <c r="Q35" i="23"/>
  <c r="R35" i="23"/>
  <c r="S35" i="23"/>
  <c r="U35" i="23"/>
  <c r="V35" i="23"/>
  <c r="W35" i="23"/>
  <c r="X35" i="23"/>
  <c r="Z35" i="23"/>
  <c r="AB35" i="23"/>
  <c r="AC35" i="23"/>
  <c r="AD35" i="23"/>
  <c r="AE35" i="23"/>
  <c r="H36" i="23"/>
  <c r="J36" i="23"/>
  <c r="K36" i="23"/>
  <c r="L36" i="23"/>
  <c r="N36" i="23"/>
  <c r="O36" i="23"/>
  <c r="P36" i="23"/>
  <c r="Q36" i="23"/>
  <c r="R36" i="23"/>
  <c r="S36" i="23"/>
  <c r="U36" i="23"/>
  <c r="V36" i="23"/>
  <c r="W36" i="23"/>
  <c r="X36" i="23"/>
  <c r="Z36" i="23"/>
  <c r="AB36" i="23"/>
  <c r="AC36" i="23"/>
  <c r="AD36" i="23"/>
  <c r="AE36" i="23"/>
  <c r="H37" i="23"/>
  <c r="J37" i="23"/>
  <c r="K37" i="23"/>
  <c r="L37" i="23"/>
  <c r="N37" i="23"/>
  <c r="O37" i="23"/>
  <c r="P37" i="23"/>
  <c r="Q37" i="23"/>
  <c r="R37" i="23"/>
  <c r="S37" i="23"/>
  <c r="U37" i="23"/>
  <c r="V37" i="23"/>
  <c r="W37" i="23"/>
  <c r="X37" i="23"/>
  <c r="Z37" i="23"/>
  <c r="AB37" i="23"/>
  <c r="AC37" i="23"/>
  <c r="AD37" i="23"/>
  <c r="AE37" i="23"/>
  <c r="H38" i="23"/>
  <c r="J38" i="23"/>
  <c r="K38" i="23"/>
  <c r="L38" i="23"/>
  <c r="N38" i="23"/>
  <c r="O38" i="23"/>
  <c r="P38" i="23"/>
  <c r="Q38" i="23"/>
  <c r="R38" i="23"/>
  <c r="S38" i="23"/>
  <c r="U38" i="23"/>
  <c r="V38" i="23"/>
  <c r="W38" i="23"/>
  <c r="X38" i="23"/>
  <c r="Z38" i="23"/>
  <c r="AB38" i="23"/>
  <c r="AC38" i="23"/>
  <c r="AD38" i="23"/>
  <c r="AE38" i="23"/>
  <c r="H39" i="23"/>
  <c r="J39" i="23"/>
  <c r="K39" i="23"/>
  <c r="L39" i="23"/>
  <c r="N39" i="23"/>
  <c r="O39" i="23"/>
  <c r="P39" i="23"/>
  <c r="Q39" i="23"/>
  <c r="R39" i="23"/>
  <c r="S39" i="23"/>
  <c r="U39" i="23"/>
  <c r="V39" i="23"/>
  <c r="W39" i="23"/>
  <c r="X39" i="23"/>
  <c r="Z39" i="23"/>
  <c r="AB39" i="23"/>
  <c r="AC39" i="23"/>
  <c r="AD39" i="23"/>
  <c r="AE39" i="23"/>
  <c r="H40" i="23"/>
  <c r="J40" i="23"/>
  <c r="K40" i="23"/>
  <c r="L40" i="23"/>
  <c r="N40" i="23"/>
  <c r="O40" i="23"/>
  <c r="P40" i="23"/>
  <c r="Q40" i="23"/>
  <c r="R40" i="23"/>
  <c r="S40" i="23"/>
  <c r="U40" i="23"/>
  <c r="V40" i="23"/>
  <c r="W40" i="23"/>
  <c r="X40" i="23"/>
  <c r="Z40" i="23"/>
  <c r="AB40" i="23"/>
  <c r="AC40" i="23"/>
  <c r="AD40" i="23"/>
  <c r="AE40" i="23"/>
  <c r="H21" i="3"/>
  <c r="I21" i="3"/>
  <c r="K21" i="3"/>
  <c r="L21" i="3"/>
  <c r="N21" i="3"/>
  <c r="O21" i="3"/>
  <c r="Q21" i="3"/>
  <c r="R21" i="3"/>
  <c r="S21" i="3"/>
  <c r="U21" i="3"/>
  <c r="AC21" i="3"/>
  <c r="AD21" i="3"/>
  <c r="AE21" i="3"/>
  <c r="AF21" i="3"/>
  <c r="AG21" i="3"/>
  <c r="AH21" i="3"/>
  <c r="AJ21" i="3"/>
  <c r="AK21" i="3"/>
  <c r="AL21" i="3"/>
  <c r="AM21" i="3"/>
  <c r="AO21" i="3"/>
  <c r="AP21" i="3"/>
  <c r="AS21" i="3"/>
  <c r="AT21" i="3"/>
  <c r="AU21" i="3"/>
  <c r="AX21" i="3"/>
  <c r="BB21" i="3"/>
  <c r="BC21" i="3"/>
  <c r="BG21" i="3"/>
  <c r="BH21" i="3"/>
  <c r="BI21" i="3"/>
  <c r="BK21" i="3"/>
  <c r="BL21" i="3"/>
  <c r="BO21" i="3"/>
  <c r="BS21" i="3"/>
  <c r="BT21" i="3"/>
  <c r="BU21" i="3"/>
  <c r="BV21" i="3"/>
  <c r="BY21" i="3"/>
  <c r="CC21" i="3"/>
  <c r="H22" i="3"/>
  <c r="I22" i="3"/>
  <c r="K22" i="3"/>
  <c r="L22" i="3"/>
  <c r="N22" i="3"/>
  <c r="O22" i="3"/>
  <c r="Q22" i="3"/>
  <c r="R22" i="3"/>
  <c r="S22" i="3"/>
  <c r="U22" i="3"/>
  <c r="AC22" i="3"/>
  <c r="AD22" i="3"/>
  <c r="AE22" i="3"/>
  <c r="AF22" i="3"/>
  <c r="AG22" i="3"/>
  <c r="AH22" i="3"/>
  <c r="AJ22" i="3"/>
  <c r="AK22" i="3"/>
  <c r="AL22" i="3"/>
  <c r="AM22" i="3"/>
  <c r="AO22" i="3"/>
  <c r="AP22" i="3"/>
  <c r="AS22" i="3"/>
  <c r="AT22" i="3"/>
  <c r="AU22" i="3"/>
  <c r="AX22" i="3"/>
  <c r="BB22" i="3"/>
  <c r="BC22" i="3"/>
  <c r="BG22" i="3"/>
  <c r="BH22" i="3"/>
  <c r="BI22" i="3"/>
  <c r="BK22" i="3"/>
  <c r="BL22" i="3"/>
  <c r="BO22" i="3"/>
  <c r="BS22" i="3"/>
  <c r="BT22" i="3"/>
  <c r="BU22" i="3"/>
  <c r="BV22" i="3"/>
  <c r="BY22" i="3"/>
  <c r="CC22" i="3"/>
  <c r="H23" i="3"/>
  <c r="I23" i="3"/>
  <c r="K23" i="3"/>
  <c r="L23" i="3"/>
  <c r="N23" i="3"/>
  <c r="O23" i="3"/>
  <c r="Q23" i="3"/>
  <c r="R23" i="3"/>
  <c r="S23" i="3"/>
  <c r="U23" i="3"/>
  <c r="AC23" i="3"/>
  <c r="AD23" i="3"/>
  <c r="AE23" i="3"/>
  <c r="AF23" i="3"/>
  <c r="AG23" i="3"/>
  <c r="AH23" i="3"/>
  <c r="AJ23" i="3"/>
  <c r="AK23" i="3"/>
  <c r="AL23" i="3"/>
  <c r="AM23" i="3"/>
  <c r="AO23" i="3"/>
  <c r="AP23" i="3"/>
  <c r="AS23" i="3"/>
  <c r="AT23" i="3"/>
  <c r="AU23" i="3"/>
  <c r="AX23" i="3"/>
  <c r="BB23" i="3"/>
  <c r="BC23" i="3"/>
  <c r="BG23" i="3"/>
  <c r="BH23" i="3"/>
  <c r="BI23" i="3"/>
  <c r="BK23" i="3"/>
  <c r="BL23" i="3"/>
  <c r="BO23" i="3"/>
  <c r="BS23" i="3"/>
  <c r="BT23" i="3"/>
  <c r="BU23" i="3"/>
  <c r="BV23" i="3"/>
  <c r="BY23" i="3"/>
  <c r="CC23" i="3"/>
  <c r="H24" i="3"/>
  <c r="I24" i="3"/>
  <c r="K24" i="3"/>
  <c r="L24" i="3"/>
  <c r="N24" i="3"/>
  <c r="O24" i="3"/>
  <c r="Q24" i="3"/>
  <c r="R24" i="3"/>
  <c r="S24" i="3"/>
  <c r="U24" i="3"/>
  <c r="AC24" i="3"/>
  <c r="AD24" i="3"/>
  <c r="AE24" i="3"/>
  <c r="AF24" i="3"/>
  <c r="AG24" i="3"/>
  <c r="AH24" i="3"/>
  <c r="AJ24" i="3"/>
  <c r="AK24" i="3"/>
  <c r="AL24" i="3"/>
  <c r="AM24" i="3"/>
  <c r="AO24" i="3"/>
  <c r="AP24" i="3"/>
  <c r="AS24" i="3"/>
  <c r="AT24" i="3"/>
  <c r="AU24" i="3"/>
  <c r="AX24" i="3"/>
  <c r="BB24" i="3"/>
  <c r="BC24" i="3"/>
  <c r="BG24" i="3"/>
  <c r="BH24" i="3"/>
  <c r="BI24" i="3"/>
  <c r="BK24" i="3"/>
  <c r="BL24" i="3"/>
  <c r="BO24" i="3"/>
  <c r="BS24" i="3"/>
  <c r="BT24" i="3"/>
  <c r="BU24" i="3"/>
  <c r="BV24" i="3"/>
  <c r="BY24" i="3"/>
  <c r="CC24" i="3"/>
  <c r="H25" i="3"/>
  <c r="I25" i="3"/>
  <c r="K25" i="3"/>
  <c r="L25" i="3"/>
  <c r="N25" i="3"/>
  <c r="O25" i="3"/>
  <c r="Q25" i="3"/>
  <c r="R25" i="3"/>
  <c r="S25" i="3"/>
  <c r="U25" i="3"/>
  <c r="AC25" i="3"/>
  <c r="AD25" i="3"/>
  <c r="AE25" i="3"/>
  <c r="AF25" i="3"/>
  <c r="AG25" i="3"/>
  <c r="AH25" i="3"/>
  <c r="AJ25" i="3"/>
  <c r="AK25" i="3"/>
  <c r="AL25" i="3"/>
  <c r="AM25" i="3"/>
  <c r="AO25" i="3"/>
  <c r="AP25" i="3"/>
  <c r="AS25" i="3"/>
  <c r="AT25" i="3"/>
  <c r="AU25" i="3"/>
  <c r="AX25" i="3"/>
  <c r="BB25" i="3"/>
  <c r="BC25" i="3"/>
  <c r="BG25" i="3"/>
  <c r="BH25" i="3"/>
  <c r="BI25" i="3"/>
  <c r="BK25" i="3"/>
  <c r="BL25" i="3"/>
  <c r="BO25" i="3"/>
  <c r="BS25" i="3"/>
  <c r="BT25" i="3"/>
  <c r="BU25" i="3"/>
  <c r="BV25" i="3"/>
  <c r="BY25" i="3"/>
  <c r="CC25" i="3"/>
  <c r="H26" i="3"/>
  <c r="I26" i="3"/>
  <c r="K26" i="3"/>
  <c r="L26" i="3"/>
  <c r="N26" i="3"/>
  <c r="O26" i="3"/>
  <c r="Q26" i="3"/>
  <c r="R26" i="3"/>
  <c r="S26" i="3"/>
  <c r="U26" i="3"/>
  <c r="AC26" i="3"/>
  <c r="AD26" i="3"/>
  <c r="AE26" i="3"/>
  <c r="AF26" i="3"/>
  <c r="AG26" i="3"/>
  <c r="AH26" i="3"/>
  <c r="AJ26" i="3"/>
  <c r="AK26" i="3"/>
  <c r="AL26" i="3"/>
  <c r="AM26" i="3"/>
  <c r="AO26" i="3"/>
  <c r="AP26" i="3"/>
  <c r="AS26" i="3"/>
  <c r="AT26" i="3"/>
  <c r="AU26" i="3"/>
  <c r="AX26" i="3"/>
  <c r="BB26" i="3"/>
  <c r="BC26" i="3"/>
  <c r="BG26" i="3"/>
  <c r="BH26" i="3"/>
  <c r="BI26" i="3"/>
  <c r="BK26" i="3"/>
  <c r="BL26" i="3"/>
  <c r="BO26" i="3"/>
  <c r="BS26" i="3"/>
  <c r="BT26" i="3"/>
  <c r="BU26" i="3"/>
  <c r="BV26" i="3"/>
  <c r="BY26" i="3"/>
  <c r="CC26" i="3"/>
  <c r="H27" i="3"/>
  <c r="I27" i="3"/>
  <c r="K27" i="3"/>
  <c r="L27" i="3"/>
  <c r="N27" i="3"/>
  <c r="O27" i="3"/>
  <c r="Q27" i="3"/>
  <c r="R27" i="3"/>
  <c r="S27" i="3"/>
  <c r="U27" i="3"/>
  <c r="AC27" i="3"/>
  <c r="AD27" i="3"/>
  <c r="AE27" i="3"/>
  <c r="AF27" i="3"/>
  <c r="AG27" i="3"/>
  <c r="AH27" i="3"/>
  <c r="AJ27" i="3"/>
  <c r="AK27" i="3"/>
  <c r="AL27" i="3"/>
  <c r="AM27" i="3"/>
  <c r="AO27" i="3"/>
  <c r="AP27" i="3"/>
  <c r="AS27" i="3"/>
  <c r="AT27" i="3"/>
  <c r="AU27" i="3"/>
  <c r="AX27" i="3"/>
  <c r="BB27" i="3"/>
  <c r="BC27" i="3"/>
  <c r="BG27" i="3"/>
  <c r="BH27" i="3"/>
  <c r="BI27" i="3"/>
  <c r="BK27" i="3"/>
  <c r="BL27" i="3"/>
  <c r="BO27" i="3"/>
  <c r="BS27" i="3"/>
  <c r="BT27" i="3"/>
  <c r="BU27" i="3"/>
  <c r="BV27" i="3"/>
  <c r="BY27" i="3"/>
  <c r="CC27" i="3"/>
  <c r="H28" i="3"/>
  <c r="I28" i="3"/>
  <c r="K28" i="3"/>
  <c r="L28" i="3"/>
  <c r="N28" i="3"/>
  <c r="O28" i="3"/>
  <c r="Q28" i="3"/>
  <c r="R28" i="3"/>
  <c r="S28" i="3"/>
  <c r="U28" i="3"/>
  <c r="AC28" i="3"/>
  <c r="AD28" i="3"/>
  <c r="AE28" i="3"/>
  <c r="AF28" i="3"/>
  <c r="AG28" i="3"/>
  <c r="AH28" i="3"/>
  <c r="AJ28" i="3"/>
  <c r="AK28" i="3"/>
  <c r="AL28" i="3"/>
  <c r="AM28" i="3"/>
  <c r="AO28" i="3"/>
  <c r="AP28" i="3"/>
  <c r="AS28" i="3"/>
  <c r="AT28" i="3"/>
  <c r="AU28" i="3"/>
  <c r="AX28" i="3"/>
  <c r="BB28" i="3"/>
  <c r="BC28" i="3"/>
  <c r="BG28" i="3"/>
  <c r="BH28" i="3"/>
  <c r="BI28" i="3"/>
  <c r="BK28" i="3"/>
  <c r="BL28" i="3"/>
  <c r="BO28" i="3"/>
  <c r="BS28" i="3"/>
  <c r="BT28" i="3"/>
  <c r="BU28" i="3"/>
  <c r="BV28" i="3"/>
  <c r="BY28" i="3"/>
  <c r="CC28" i="3"/>
  <c r="H29" i="3"/>
  <c r="I29" i="3"/>
  <c r="K29" i="3"/>
  <c r="L29" i="3"/>
  <c r="N29" i="3"/>
  <c r="O29" i="3"/>
  <c r="Q29" i="3"/>
  <c r="R29" i="3"/>
  <c r="S29" i="3"/>
  <c r="U29" i="3"/>
  <c r="AC29" i="3"/>
  <c r="AD29" i="3"/>
  <c r="AE29" i="3"/>
  <c r="AF29" i="3"/>
  <c r="AG29" i="3"/>
  <c r="AH29" i="3"/>
  <c r="AJ29" i="3"/>
  <c r="AK29" i="3"/>
  <c r="AL29" i="3"/>
  <c r="AM29" i="3"/>
  <c r="AO29" i="3"/>
  <c r="AP29" i="3"/>
  <c r="AS29" i="3"/>
  <c r="AT29" i="3"/>
  <c r="AU29" i="3"/>
  <c r="AX29" i="3"/>
  <c r="BB29" i="3"/>
  <c r="BC29" i="3"/>
  <c r="BG29" i="3"/>
  <c r="BH29" i="3"/>
  <c r="BI29" i="3"/>
  <c r="BK29" i="3"/>
  <c r="BL29" i="3"/>
  <c r="BO29" i="3"/>
  <c r="BS29" i="3"/>
  <c r="BT29" i="3"/>
  <c r="BU29" i="3"/>
  <c r="BV29" i="3"/>
  <c r="BY29" i="3"/>
  <c r="CC29" i="3"/>
  <c r="H30" i="3"/>
  <c r="I30" i="3"/>
  <c r="K30" i="3"/>
  <c r="L30" i="3"/>
  <c r="N30" i="3"/>
  <c r="O30" i="3"/>
  <c r="Q30" i="3"/>
  <c r="R30" i="3"/>
  <c r="S30" i="3"/>
  <c r="U30" i="3"/>
  <c r="AC30" i="3"/>
  <c r="AD30" i="3"/>
  <c r="AE30" i="3"/>
  <c r="AF30" i="3"/>
  <c r="AG30" i="3"/>
  <c r="AH30" i="3"/>
  <c r="AJ30" i="3"/>
  <c r="AK30" i="3"/>
  <c r="AL30" i="3"/>
  <c r="AM30" i="3"/>
  <c r="AO30" i="3"/>
  <c r="AP30" i="3"/>
  <c r="AS30" i="3"/>
  <c r="AT30" i="3"/>
  <c r="AU30" i="3"/>
  <c r="AX30" i="3"/>
  <c r="BB30" i="3"/>
  <c r="BC30" i="3"/>
  <c r="BG30" i="3"/>
  <c r="BH30" i="3"/>
  <c r="BI30" i="3"/>
  <c r="BK30" i="3"/>
  <c r="BL30" i="3"/>
  <c r="BO30" i="3"/>
  <c r="BS30" i="3"/>
  <c r="BT30" i="3"/>
  <c r="BU30" i="3"/>
  <c r="BV30" i="3"/>
  <c r="BY30" i="3"/>
  <c r="CC30" i="3"/>
  <c r="H31" i="3"/>
  <c r="I31" i="3"/>
  <c r="K31" i="3"/>
  <c r="L31" i="3"/>
  <c r="N31" i="3"/>
  <c r="O31" i="3"/>
  <c r="Q31" i="3"/>
  <c r="R31" i="3"/>
  <c r="S31" i="3"/>
  <c r="U31" i="3"/>
  <c r="AC31" i="3"/>
  <c r="AD31" i="3"/>
  <c r="AE31" i="3"/>
  <c r="AF31" i="3"/>
  <c r="AG31" i="3"/>
  <c r="AH31" i="3"/>
  <c r="AJ31" i="3"/>
  <c r="AK31" i="3"/>
  <c r="AL31" i="3"/>
  <c r="AM31" i="3"/>
  <c r="AO31" i="3"/>
  <c r="AP31" i="3"/>
  <c r="AS31" i="3"/>
  <c r="AT31" i="3"/>
  <c r="AU31" i="3"/>
  <c r="AX31" i="3"/>
  <c r="BB31" i="3"/>
  <c r="BC31" i="3"/>
  <c r="BG31" i="3"/>
  <c r="BH31" i="3"/>
  <c r="BI31" i="3"/>
  <c r="BK31" i="3"/>
  <c r="BL31" i="3"/>
  <c r="BO31" i="3"/>
  <c r="BS31" i="3"/>
  <c r="BT31" i="3"/>
  <c r="BU31" i="3"/>
  <c r="BV31" i="3"/>
  <c r="BY31" i="3"/>
  <c r="CC31" i="3"/>
  <c r="H32" i="3"/>
  <c r="I32" i="3"/>
  <c r="K32" i="3"/>
  <c r="L32" i="3"/>
  <c r="N32" i="3"/>
  <c r="O32" i="3"/>
  <c r="Q32" i="3"/>
  <c r="R32" i="3"/>
  <c r="S32" i="3"/>
  <c r="U32" i="3"/>
  <c r="AC32" i="3"/>
  <c r="AD32" i="3"/>
  <c r="AE32" i="3"/>
  <c r="AF32" i="3"/>
  <c r="AG32" i="3"/>
  <c r="AH32" i="3"/>
  <c r="AJ32" i="3"/>
  <c r="AK32" i="3"/>
  <c r="AL32" i="3"/>
  <c r="AM32" i="3"/>
  <c r="AO32" i="3"/>
  <c r="AP32" i="3"/>
  <c r="AS32" i="3"/>
  <c r="AT32" i="3"/>
  <c r="AU32" i="3"/>
  <c r="AX32" i="3"/>
  <c r="BB32" i="3"/>
  <c r="BC32" i="3"/>
  <c r="BG32" i="3"/>
  <c r="BH32" i="3"/>
  <c r="BI32" i="3"/>
  <c r="BK32" i="3"/>
  <c r="BL32" i="3"/>
  <c r="BO32" i="3"/>
  <c r="BS32" i="3"/>
  <c r="BT32" i="3"/>
  <c r="BU32" i="3"/>
  <c r="BV32" i="3"/>
  <c r="BY32" i="3"/>
  <c r="CC32" i="3"/>
  <c r="H33" i="3"/>
  <c r="I33" i="3"/>
  <c r="K33" i="3"/>
  <c r="L33" i="3"/>
  <c r="N33" i="3"/>
  <c r="O33" i="3"/>
  <c r="Q33" i="3"/>
  <c r="R33" i="3"/>
  <c r="S33" i="3"/>
  <c r="U33" i="3"/>
  <c r="AC33" i="3"/>
  <c r="AD33" i="3"/>
  <c r="AE33" i="3"/>
  <c r="AF33" i="3"/>
  <c r="AG33" i="3"/>
  <c r="AH33" i="3"/>
  <c r="AJ33" i="3"/>
  <c r="AK33" i="3"/>
  <c r="AL33" i="3"/>
  <c r="AM33" i="3"/>
  <c r="AO33" i="3"/>
  <c r="AP33" i="3"/>
  <c r="AS33" i="3"/>
  <c r="AT33" i="3"/>
  <c r="AU33" i="3"/>
  <c r="AX33" i="3"/>
  <c r="BB33" i="3"/>
  <c r="BC33" i="3"/>
  <c r="BG33" i="3"/>
  <c r="BH33" i="3"/>
  <c r="BI33" i="3"/>
  <c r="BK33" i="3"/>
  <c r="BL33" i="3"/>
  <c r="BO33" i="3"/>
  <c r="BS33" i="3"/>
  <c r="BT33" i="3"/>
  <c r="BU33" i="3"/>
  <c r="BV33" i="3"/>
  <c r="BY33" i="3"/>
  <c r="CC33" i="3"/>
  <c r="H34" i="3"/>
  <c r="I34" i="3"/>
  <c r="K34" i="3"/>
  <c r="L34" i="3"/>
  <c r="N34" i="3"/>
  <c r="O34" i="3"/>
  <c r="Q34" i="3"/>
  <c r="R34" i="3"/>
  <c r="S34" i="3"/>
  <c r="U34" i="3"/>
  <c r="AC34" i="3"/>
  <c r="AD34" i="3"/>
  <c r="AE34" i="3"/>
  <c r="AF34" i="3"/>
  <c r="AG34" i="3"/>
  <c r="AH34" i="3"/>
  <c r="AJ34" i="3"/>
  <c r="AK34" i="3"/>
  <c r="AL34" i="3"/>
  <c r="AM34" i="3"/>
  <c r="AO34" i="3"/>
  <c r="AP34" i="3"/>
  <c r="AS34" i="3"/>
  <c r="AT34" i="3"/>
  <c r="AU34" i="3"/>
  <c r="AX34" i="3"/>
  <c r="BB34" i="3"/>
  <c r="BC34" i="3"/>
  <c r="BG34" i="3"/>
  <c r="BH34" i="3"/>
  <c r="BI34" i="3"/>
  <c r="BK34" i="3"/>
  <c r="BL34" i="3"/>
  <c r="BO34" i="3"/>
  <c r="BS34" i="3"/>
  <c r="BT34" i="3"/>
  <c r="BU34" i="3"/>
  <c r="BV34" i="3"/>
  <c r="BY34" i="3"/>
  <c r="CC34" i="3"/>
  <c r="H35" i="3"/>
  <c r="I35" i="3"/>
  <c r="K35" i="3"/>
  <c r="L35" i="3"/>
  <c r="N35" i="3"/>
  <c r="O35" i="3"/>
  <c r="Q35" i="3"/>
  <c r="R35" i="3"/>
  <c r="S35" i="3"/>
  <c r="U35" i="3"/>
  <c r="AC35" i="3"/>
  <c r="AD35" i="3"/>
  <c r="AE35" i="3"/>
  <c r="AF35" i="3"/>
  <c r="AG35" i="3"/>
  <c r="AH35" i="3"/>
  <c r="AJ35" i="3"/>
  <c r="AK35" i="3"/>
  <c r="AL35" i="3"/>
  <c r="AM35" i="3"/>
  <c r="AO35" i="3"/>
  <c r="AP35" i="3"/>
  <c r="AS35" i="3"/>
  <c r="AT35" i="3"/>
  <c r="AU35" i="3"/>
  <c r="AX35" i="3"/>
  <c r="BB35" i="3"/>
  <c r="BC35" i="3"/>
  <c r="BG35" i="3"/>
  <c r="BH35" i="3"/>
  <c r="BI35" i="3"/>
  <c r="BK35" i="3"/>
  <c r="BL35" i="3"/>
  <c r="BO35" i="3"/>
  <c r="BS35" i="3"/>
  <c r="BT35" i="3"/>
  <c r="BU35" i="3"/>
  <c r="BV35" i="3"/>
  <c r="BY35" i="3"/>
  <c r="CC35" i="3"/>
  <c r="H36" i="3"/>
  <c r="I36" i="3"/>
  <c r="K36" i="3"/>
  <c r="L36" i="3"/>
  <c r="N36" i="3"/>
  <c r="O36" i="3"/>
  <c r="Q36" i="3"/>
  <c r="R36" i="3"/>
  <c r="S36" i="3"/>
  <c r="U36" i="3"/>
  <c r="AC36" i="3"/>
  <c r="AD36" i="3"/>
  <c r="AE36" i="3"/>
  <c r="AF36" i="3"/>
  <c r="AG36" i="3"/>
  <c r="AH36" i="3"/>
  <c r="AJ36" i="3"/>
  <c r="AK36" i="3"/>
  <c r="AL36" i="3"/>
  <c r="AM36" i="3"/>
  <c r="AO36" i="3"/>
  <c r="AP36" i="3"/>
  <c r="AS36" i="3"/>
  <c r="AT36" i="3"/>
  <c r="AU36" i="3"/>
  <c r="AX36" i="3"/>
  <c r="BB36" i="3"/>
  <c r="BC36" i="3"/>
  <c r="BG36" i="3"/>
  <c r="BH36" i="3"/>
  <c r="BI36" i="3"/>
  <c r="BK36" i="3"/>
  <c r="BL36" i="3"/>
  <c r="BO36" i="3"/>
  <c r="BS36" i="3"/>
  <c r="BT36" i="3"/>
  <c r="BU36" i="3"/>
  <c r="BV36" i="3"/>
  <c r="BY36" i="3"/>
  <c r="CC36" i="3"/>
  <c r="H37" i="3"/>
  <c r="I37" i="3"/>
  <c r="K37" i="3"/>
  <c r="L37" i="3"/>
  <c r="N37" i="3"/>
  <c r="O37" i="3"/>
  <c r="Q37" i="3"/>
  <c r="R37" i="3"/>
  <c r="S37" i="3"/>
  <c r="U37" i="3"/>
  <c r="AC37" i="3"/>
  <c r="AD37" i="3"/>
  <c r="AE37" i="3"/>
  <c r="AF37" i="3"/>
  <c r="AG37" i="3"/>
  <c r="AH37" i="3"/>
  <c r="AJ37" i="3"/>
  <c r="AK37" i="3"/>
  <c r="AL37" i="3"/>
  <c r="AM37" i="3"/>
  <c r="AO37" i="3"/>
  <c r="AP37" i="3"/>
  <c r="AS37" i="3"/>
  <c r="AT37" i="3"/>
  <c r="AU37" i="3"/>
  <c r="AX37" i="3"/>
  <c r="BB37" i="3"/>
  <c r="BC37" i="3"/>
  <c r="BG37" i="3"/>
  <c r="BH37" i="3"/>
  <c r="BI37" i="3"/>
  <c r="BK37" i="3"/>
  <c r="BL37" i="3"/>
  <c r="BO37" i="3"/>
  <c r="BS37" i="3"/>
  <c r="BT37" i="3"/>
  <c r="BU37" i="3"/>
  <c r="BV37" i="3"/>
  <c r="BY37" i="3"/>
  <c r="CC37" i="3"/>
  <c r="H38" i="3"/>
  <c r="I38" i="3"/>
  <c r="K38" i="3"/>
  <c r="L38" i="3"/>
  <c r="N38" i="3"/>
  <c r="O38" i="3"/>
  <c r="Q38" i="3"/>
  <c r="R38" i="3"/>
  <c r="S38" i="3"/>
  <c r="U38" i="3"/>
  <c r="AC38" i="3"/>
  <c r="AD38" i="3"/>
  <c r="AE38" i="3"/>
  <c r="AF38" i="3"/>
  <c r="AG38" i="3"/>
  <c r="AH38" i="3"/>
  <c r="AJ38" i="3"/>
  <c r="AK38" i="3"/>
  <c r="AL38" i="3"/>
  <c r="AM38" i="3"/>
  <c r="AO38" i="3"/>
  <c r="AP38" i="3"/>
  <c r="AS38" i="3"/>
  <c r="AT38" i="3"/>
  <c r="AU38" i="3"/>
  <c r="AX38" i="3"/>
  <c r="BB38" i="3"/>
  <c r="BC38" i="3"/>
  <c r="BG38" i="3"/>
  <c r="BH38" i="3"/>
  <c r="BI38" i="3"/>
  <c r="BK38" i="3"/>
  <c r="BL38" i="3"/>
  <c r="BO38" i="3"/>
  <c r="BS38" i="3"/>
  <c r="BT38" i="3"/>
  <c r="BU38" i="3"/>
  <c r="BV38" i="3"/>
  <c r="BY38" i="3"/>
  <c r="CC38" i="3"/>
  <c r="H39" i="3"/>
  <c r="I39" i="3"/>
  <c r="K39" i="3"/>
  <c r="L39" i="3"/>
  <c r="N39" i="3"/>
  <c r="O39" i="3"/>
  <c r="Q39" i="3"/>
  <c r="R39" i="3"/>
  <c r="S39" i="3"/>
  <c r="U39" i="3"/>
  <c r="AC39" i="3"/>
  <c r="AD39" i="3"/>
  <c r="AE39" i="3"/>
  <c r="AF39" i="3"/>
  <c r="AG39" i="3"/>
  <c r="AH39" i="3"/>
  <c r="AJ39" i="3"/>
  <c r="AK39" i="3"/>
  <c r="AL39" i="3"/>
  <c r="AM39" i="3"/>
  <c r="AO39" i="3"/>
  <c r="AP39" i="3"/>
  <c r="AS39" i="3"/>
  <c r="AT39" i="3"/>
  <c r="AU39" i="3"/>
  <c r="AX39" i="3"/>
  <c r="BB39" i="3"/>
  <c r="BC39" i="3"/>
  <c r="BG39" i="3"/>
  <c r="BH39" i="3"/>
  <c r="BI39" i="3"/>
  <c r="BK39" i="3"/>
  <c r="BL39" i="3"/>
  <c r="BO39" i="3"/>
  <c r="BS39" i="3"/>
  <c r="BT39" i="3"/>
  <c r="BU39" i="3"/>
  <c r="BV39" i="3"/>
  <c r="BY39" i="3"/>
  <c r="CC39" i="3"/>
  <c r="H40" i="3"/>
  <c r="I40" i="3"/>
  <c r="K40" i="3"/>
  <c r="L40" i="3"/>
  <c r="N40" i="3"/>
  <c r="O40" i="3"/>
  <c r="Q40" i="3"/>
  <c r="R40" i="3"/>
  <c r="S40" i="3"/>
  <c r="U40" i="3"/>
  <c r="AC40" i="3"/>
  <c r="AD40" i="3"/>
  <c r="AE40" i="3"/>
  <c r="AF40" i="3"/>
  <c r="AG40" i="3"/>
  <c r="AH40" i="3"/>
  <c r="AJ40" i="3"/>
  <c r="AK40" i="3"/>
  <c r="AL40" i="3"/>
  <c r="AM40" i="3"/>
  <c r="AO40" i="3"/>
  <c r="AP40" i="3"/>
  <c r="AS40" i="3"/>
  <c r="AT40" i="3"/>
  <c r="AU40" i="3"/>
  <c r="AX40" i="3"/>
  <c r="BB40" i="3"/>
  <c r="BC40" i="3"/>
  <c r="BG40" i="3"/>
  <c r="BH40" i="3"/>
  <c r="BI40" i="3"/>
  <c r="BK40" i="3"/>
  <c r="BL40" i="3"/>
  <c r="BO40" i="3"/>
  <c r="BS40" i="3"/>
  <c r="BT40" i="3"/>
  <c r="BU40" i="3"/>
  <c r="BV40" i="3"/>
  <c r="BY40" i="3"/>
  <c r="CC40" i="3"/>
  <c r="F21" i="51"/>
  <c r="G21" i="51"/>
  <c r="H21" i="51"/>
  <c r="I21" i="51"/>
  <c r="J21" i="51"/>
  <c r="K21" i="51"/>
  <c r="L21" i="51"/>
  <c r="M21" i="51"/>
  <c r="N21" i="51"/>
  <c r="O21" i="51"/>
  <c r="P21" i="51"/>
  <c r="Q21" i="51"/>
  <c r="R21" i="51"/>
  <c r="S21" i="51"/>
  <c r="T21" i="51"/>
  <c r="U21" i="51"/>
  <c r="V21" i="51"/>
  <c r="W21" i="51"/>
  <c r="X21" i="51"/>
  <c r="Y21" i="51"/>
  <c r="Z21" i="51"/>
  <c r="AA21" i="51"/>
  <c r="AB21" i="51"/>
  <c r="AC21" i="51"/>
  <c r="AD21" i="51"/>
  <c r="AG21" i="51"/>
  <c r="AH21" i="51"/>
  <c r="AI21" i="51"/>
  <c r="AJ21" i="51"/>
  <c r="AK21" i="51"/>
  <c r="AL21" i="51"/>
  <c r="AM21" i="51"/>
  <c r="F22" i="51"/>
  <c r="G22" i="51"/>
  <c r="H22" i="51"/>
  <c r="I22" i="51"/>
  <c r="J22" i="51"/>
  <c r="K22" i="51"/>
  <c r="L22" i="51"/>
  <c r="M22" i="51"/>
  <c r="N22" i="51"/>
  <c r="O22" i="51"/>
  <c r="P22" i="51"/>
  <c r="Q22" i="51"/>
  <c r="R22" i="51"/>
  <c r="S22" i="51"/>
  <c r="T22" i="51"/>
  <c r="U22" i="51"/>
  <c r="V22" i="51"/>
  <c r="W22" i="51"/>
  <c r="X22" i="51"/>
  <c r="Y22" i="51"/>
  <c r="Z22" i="51"/>
  <c r="AA22" i="51"/>
  <c r="AB22" i="51"/>
  <c r="AC22" i="51"/>
  <c r="AD22" i="51"/>
  <c r="AG22" i="51"/>
  <c r="AH22" i="51"/>
  <c r="AI22" i="51"/>
  <c r="AJ22" i="51"/>
  <c r="AK22" i="51"/>
  <c r="AL22" i="51"/>
  <c r="AM22" i="51"/>
  <c r="F23" i="51"/>
  <c r="G23" i="51"/>
  <c r="H23" i="51"/>
  <c r="I23" i="51"/>
  <c r="J23" i="51"/>
  <c r="K23" i="51"/>
  <c r="L23" i="51"/>
  <c r="M23" i="51"/>
  <c r="N23" i="51"/>
  <c r="O23" i="51"/>
  <c r="P23" i="51"/>
  <c r="Q23" i="51"/>
  <c r="R23" i="51"/>
  <c r="S23" i="51"/>
  <c r="T23" i="51"/>
  <c r="U23" i="51"/>
  <c r="V23" i="51"/>
  <c r="W23" i="51"/>
  <c r="X23" i="51"/>
  <c r="Y23" i="51"/>
  <c r="Z23" i="51"/>
  <c r="AA23" i="51"/>
  <c r="AB23" i="51"/>
  <c r="AC23" i="51"/>
  <c r="AD23" i="51"/>
  <c r="AG23" i="51"/>
  <c r="AH23" i="51"/>
  <c r="AI23" i="51"/>
  <c r="AJ23" i="51"/>
  <c r="AK23" i="51"/>
  <c r="AL23" i="51"/>
  <c r="AM23" i="51"/>
  <c r="F24" i="51"/>
  <c r="G24" i="51"/>
  <c r="H24" i="51"/>
  <c r="I24" i="51"/>
  <c r="J24" i="51"/>
  <c r="K24" i="51"/>
  <c r="L24" i="51"/>
  <c r="M24" i="51"/>
  <c r="N24" i="51"/>
  <c r="O24" i="51"/>
  <c r="P24" i="51"/>
  <c r="Q24" i="51"/>
  <c r="R24" i="51"/>
  <c r="S24" i="51"/>
  <c r="T24" i="51"/>
  <c r="U24" i="51"/>
  <c r="V24" i="51"/>
  <c r="W24" i="51"/>
  <c r="X24" i="51"/>
  <c r="Y24" i="51"/>
  <c r="Z24" i="51"/>
  <c r="AA24" i="51"/>
  <c r="AB24" i="51"/>
  <c r="AC24" i="51"/>
  <c r="AD24" i="51"/>
  <c r="AG24" i="51"/>
  <c r="AH24" i="51"/>
  <c r="AI24" i="51"/>
  <c r="AJ24" i="51"/>
  <c r="AK24" i="51"/>
  <c r="AL24" i="51"/>
  <c r="AM24" i="51"/>
  <c r="F25" i="51"/>
  <c r="G25" i="51"/>
  <c r="H25" i="51"/>
  <c r="I25" i="51"/>
  <c r="J25" i="51"/>
  <c r="K25" i="51"/>
  <c r="L25" i="51"/>
  <c r="M25" i="51"/>
  <c r="N25" i="51"/>
  <c r="O25" i="51"/>
  <c r="P25" i="51"/>
  <c r="Q25" i="51"/>
  <c r="R25" i="51"/>
  <c r="S25" i="51"/>
  <c r="T25" i="51"/>
  <c r="U25" i="51"/>
  <c r="V25" i="51"/>
  <c r="W25" i="51"/>
  <c r="X25" i="51"/>
  <c r="Y25" i="51"/>
  <c r="Z25" i="51"/>
  <c r="AA25" i="51"/>
  <c r="AB25" i="51"/>
  <c r="AC25" i="51"/>
  <c r="AD25" i="51"/>
  <c r="AG25" i="51"/>
  <c r="AH25" i="51"/>
  <c r="AI25" i="51"/>
  <c r="AJ25" i="51"/>
  <c r="AK25" i="51"/>
  <c r="AL25" i="51"/>
  <c r="AM25" i="51"/>
  <c r="F26" i="51"/>
  <c r="G26" i="51"/>
  <c r="H26" i="51"/>
  <c r="I26" i="51"/>
  <c r="J26" i="51"/>
  <c r="K26" i="51"/>
  <c r="L26" i="51"/>
  <c r="M26" i="51"/>
  <c r="N26" i="51"/>
  <c r="O26" i="51"/>
  <c r="P26" i="51"/>
  <c r="Q26" i="51"/>
  <c r="R26" i="51"/>
  <c r="S26" i="51"/>
  <c r="T26" i="51"/>
  <c r="U26" i="51"/>
  <c r="V26" i="51"/>
  <c r="W26" i="51"/>
  <c r="X26" i="51"/>
  <c r="Y26" i="51"/>
  <c r="Z26" i="51"/>
  <c r="AA26" i="51"/>
  <c r="AB26" i="51"/>
  <c r="AC26" i="51"/>
  <c r="AD26" i="51"/>
  <c r="AG26" i="51"/>
  <c r="AH26" i="51"/>
  <c r="AI26" i="51"/>
  <c r="AJ26" i="51"/>
  <c r="AK26" i="51"/>
  <c r="AL26" i="51"/>
  <c r="AM26" i="51"/>
  <c r="F27" i="51"/>
  <c r="G27" i="51"/>
  <c r="H27" i="51"/>
  <c r="I27" i="51"/>
  <c r="J27" i="51"/>
  <c r="K27" i="51"/>
  <c r="L27" i="51"/>
  <c r="M27" i="51"/>
  <c r="N27" i="51"/>
  <c r="O27" i="51"/>
  <c r="P27" i="51"/>
  <c r="Q27" i="51"/>
  <c r="R27" i="51"/>
  <c r="S27" i="51"/>
  <c r="T27" i="51"/>
  <c r="U27" i="51"/>
  <c r="V27" i="51"/>
  <c r="W27" i="51"/>
  <c r="X27" i="51"/>
  <c r="Y27" i="51"/>
  <c r="Z27" i="51"/>
  <c r="AA27" i="51"/>
  <c r="AB27" i="51"/>
  <c r="AC27" i="51"/>
  <c r="AD27" i="51"/>
  <c r="AG27" i="51"/>
  <c r="AH27" i="51"/>
  <c r="AI27" i="51"/>
  <c r="AJ27" i="51"/>
  <c r="AK27" i="51"/>
  <c r="AL27" i="51"/>
  <c r="AM27" i="51"/>
  <c r="F28" i="51"/>
  <c r="G28" i="51"/>
  <c r="H28" i="51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AB28" i="51"/>
  <c r="AC28" i="51"/>
  <c r="AD28" i="51"/>
  <c r="AG28" i="51"/>
  <c r="AH28" i="51"/>
  <c r="AI28" i="51"/>
  <c r="AJ28" i="51"/>
  <c r="AK28" i="51"/>
  <c r="AL28" i="51"/>
  <c r="AM28" i="51"/>
  <c r="F29" i="51"/>
  <c r="G29" i="51"/>
  <c r="H29" i="51"/>
  <c r="I29" i="51"/>
  <c r="J29" i="51"/>
  <c r="K29" i="51"/>
  <c r="L29" i="51"/>
  <c r="M29" i="51"/>
  <c r="N29" i="51"/>
  <c r="O29" i="51"/>
  <c r="P29" i="51"/>
  <c r="Q29" i="51"/>
  <c r="R29" i="51"/>
  <c r="S29" i="51"/>
  <c r="T29" i="51"/>
  <c r="U29" i="51"/>
  <c r="V29" i="51"/>
  <c r="W29" i="51"/>
  <c r="X29" i="51"/>
  <c r="Y29" i="51"/>
  <c r="Z29" i="51"/>
  <c r="AA29" i="51"/>
  <c r="AB29" i="51"/>
  <c r="AC29" i="51"/>
  <c r="AD29" i="51"/>
  <c r="AG29" i="51"/>
  <c r="AH29" i="51"/>
  <c r="AI29" i="51"/>
  <c r="AJ29" i="51"/>
  <c r="AK29" i="51"/>
  <c r="AL29" i="51"/>
  <c r="AM29" i="51"/>
  <c r="F30" i="51"/>
  <c r="G30" i="51"/>
  <c r="H30" i="51"/>
  <c r="I30" i="51"/>
  <c r="J30" i="51"/>
  <c r="K30" i="51"/>
  <c r="L30" i="51"/>
  <c r="M30" i="51"/>
  <c r="N30" i="51"/>
  <c r="O30" i="51"/>
  <c r="P30" i="51"/>
  <c r="Q30" i="51"/>
  <c r="R30" i="51"/>
  <c r="S30" i="51"/>
  <c r="T30" i="51"/>
  <c r="U30" i="51"/>
  <c r="V30" i="51"/>
  <c r="W30" i="51"/>
  <c r="X30" i="51"/>
  <c r="Y30" i="51"/>
  <c r="Z30" i="51"/>
  <c r="AA30" i="51"/>
  <c r="AB30" i="51"/>
  <c r="AC30" i="51"/>
  <c r="AD30" i="51"/>
  <c r="AG30" i="51"/>
  <c r="AH30" i="51"/>
  <c r="AI30" i="51"/>
  <c r="AJ30" i="51"/>
  <c r="AK30" i="51"/>
  <c r="AL30" i="51"/>
  <c r="AM30" i="51"/>
  <c r="F31" i="51"/>
  <c r="G31" i="51"/>
  <c r="H31" i="51"/>
  <c r="I31" i="51"/>
  <c r="J31" i="51"/>
  <c r="K31" i="51"/>
  <c r="L31" i="51"/>
  <c r="M31" i="51"/>
  <c r="N31" i="51"/>
  <c r="O31" i="51"/>
  <c r="P31" i="51"/>
  <c r="Q31" i="51"/>
  <c r="R31" i="51"/>
  <c r="S31" i="51"/>
  <c r="T31" i="51"/>
  <c r="U31" i="51"/>
  <c r="V31" i="51"/>
  <c r="W31" i="51"/>
  <c r="X31" i="51"/>
  <c r="Y31" i="51"/>
  <c r="Z31" i="51"/>
  <c r="AA31" i="51"/>
  <c r="AB31" i="51"/>
  <c r="AC31" i="51"/>
  <c r="AD31" i="51"/>
  <c r="AG31" i="51"/>
  <c r="AH31" i="51"/>
  <c r="AI31" i="51"/>
  <c r="AJ31" i="51"/>
  <c r="AK31" i="51"/>
  <c r="AL31" i="51"/>
  <c r="AM31" i="51"/>
  <c r="F32" i="51"/>
  <c r="G32" i="51"/>
  <c r="H32" i="51"/>
  <c r="I32" i="51"/>
  <c r="J32" i="51"/>
  <c r="K32" i="51"/>
  <c r="L32" i="51"/>
  <c r="M32" i="51"/>
  <c r="N32" i="51"/>
  <c r="O32" i="51"/>
  <c r="P32" i="51"/>
  <c r="Q32" i="51"/>
  <c r="R32" i="51"/>
  <c r="S32" i="51"/>
  <c r="T32" i="51"/>
  <c r="U32" i="51"/>
  <c r="V32" i="51"/>
  <c r="W32" i="51"/>
  <c r="X32" i="51"/>
  <c r="Y32" i="51"/>
  <c r="Z32" i="51"/>
  <c r="AA32" i="51"/>
  <c r="AB32" i="51"/>
  <c r="AC32" i="51"/>
  <c r="AD32" i="51"/>
  <c r="AG32" i="51"/>
  <c r="AH32" i="51"/>
  <c r="AI32" i="51"/>
  <c r="AJ32" i="51"/>
  <c r="AK32" i="51"/>
  <c r="AL32" i="51"/>
  <c r="AM32" i="51"/>
  <c r="F33" i="51"/>
  <c r="G33" i="51"/>
  <c r="H33" i="51"/>
  <c r="I33" i="51"/>
  <c r="J33" i="51"/>
  <c r="K33" i="51"/>
  <c r="L33" i="51"/>
  <c r="M33" i="51"/>
  <c r="N33" i="51"/>
  <c r="O33" i="51"/>
  <c r="P33" i="51"/>
  <c r="Q33" i="51"/>
  <c r="R33" i="51"/>
  <c r="S33" i="51"/>
  <c r="T33" i="51"/>
  <c r="U33" i="51"/>
  <c r="V33" i="51"/>
  <c r="W33" i="51"/>
  <c r="X33" i="51"/>
  <c r="Y33" i="51"/>
  <c r="Z33" i="51"/>
  <c r="AA33" i="51"/>
  <c r="AB33" i="51"/>
  <c r="AC33" i="51"/>
  <c r="AD33" i="51"/>
  <c r="AG33" i="51"/>
  <c r="AH33" i="51"/>
  <c r="AI33" i="51"/>
  <c r="AJ33" i="51"/>
  <c r="AK33" i="51"/>
  <c r="AL33" i="51"/>
  <c r="AM33" i="51"/>
  <c r="F34" i="51"/>
  <c r="G34" i="51"/>
  <c r="H34" i="51"/>
  <c r="I34" i="51"/>
  <c r="J34" i="51"/>
  <c r="K34" i="51"/>
  <c r="L34" i="51"/>
  <c r="M34" i="51"/>
  <c r="N34" i="51"/>
  <c r="O34" i="51"/>
  <c r="P34" i="51"/>
  <c r="Q34" i="51"/>
  <c r="R34" i="51"/>
  <c r="S34" i="51"/>
  <c r="T34" i="51"/>
  <c r="U34" i="51"/>
  <c r="V34" i="51"/>
  <c r="W34" i="51"/>
  <c r="X34" i="51"/>
  <c r="Y34" i="51"/>
  <c r="Z34" i="51"/>
  <c r="AA34" i="51"/>
  <c r="AB34" i="51"/>
  <c r="AC34" i="51"/>
  <c r="AD34" i="51"/>
  <c r="AG34" i="51"/>
  <c r="AH34" i="51"/>
  <c r="AI34" i="51"/>
  <c r="AJ34" i="51"/>
  <c r="AK34" i="51"/>
  <c r="AL34" i="51"/>
  <c r="AM34" i="51"/>
  <c r="F35" i="51"/>
  <c r="G35" i="51"/>
  <c r="H35" i="51"/>
  <c r="I35" i="51"/>
  <c r="J35" i="51"/>
  <c r="K35" i="51"/>
  <c r="L35" i="51"/>
  <c r="M35" i="51"/>
  <c r="N35" i="51"/>
  <c r="O35" i="51"/>
  <c r="P35" i="51"/>
  <c r="Q35" i="51"/>
  <c r="R35" i="51"/>
  <c r="S35" i="51"/>
  <c r="T35" i="51"/>
  <c r="U35" i="51"/>
  <c r="V35" i="51"/>
  <c r="W35" i="51"/>
  <c r="X35" i="51"/>
  <c r="Y35" i="51"/>
  <c r="Z35" i="51"/>
  <c r="AA35" i="51"/>
  <c r="AB35" i="51"/>
  <c r="AC35" i="51"/>
  <c r="AD35" i="51"/>
  <c r="AG35" i="51"/>
  <c r="AH35" i="51"/>
  <c r="AI35" i="51"/>
  <c r="AJ35" i="51"/>
  <c r="AK35" i="51"/>
  <c r="AL35" i="51"/>
  <c r="AM35" i="51"/>
  <c r="F36" i="51"/>
  <c r="G36" i="51"/>
  <c r="H36" i="51"/>
  <c r="I36" i="51"/>
  <c r="J36" i="51"/>
  <c r="K36" i="51"/>
  <c r="L36" i="51"/>
  <c r="M36" i="51"/>
  <c r="N36" i="51"/>
  <c r="O36" i="51"/>
  <c r="P36" i="51"/>
  <c r="Q36" i="51"/>
  <c r="R36" i="51"/>
  <c r="S36" i="51"/>
  <c r="T36" i="51"/>
  <c r="U36" i="51"/>
  <c r="V36" i="51"/>
  <c r="W36" i="51"/>
  <c r="X36" i="51"/>
  <c r="Y36" i="51"/>
  <c r="Z36" i="51"/>
  <c r="AA36" i="51"/>
  <c r="AB36" i="51"/>
  <c r="AC36" i="51"/>
  <c r="AD36" i="51"/>
  <c r="AG36" i="51"/>
  <c r="AH36" i="51"/>
  <c r="AI36" i="51"/>
  <c r="AJ36" i="51"/>
  <c r="AK36" i="51"/>
  <c r="AL36" i="51"/>
  <c r="AM36" i="51"/>
  <c r="F37" i="51"/>
  <c r="G37" i="51"/>
  <c r="H37" i="51"/>
  <c r="I37" i="51"/>
  <c r="J37" i="51"/>
  <c r="K37" i="51"/>
  <c r="L37" i="51"/>
  <c r="M37" i="51"/>
  <c r="N37" i="51"/>
  <c r="O37" i="51"/>
  <c r="P37" i="51"/>
  <c r="Q37" i="51"/>
  <c r="R37" i="51"/>
  <c r="S37" i="51"/>
  <c r="T37" i="51"/>
  <c r="U37" i="51"/>
  <c r="V37" i="51"/>
  <c r="W37" i="51"/>
  <c r="X37" i="51"/>
  <c r="Y37" i="51"/>
  <c r="Z37" i="51"/>
  <c r="AA37" i="51"/>
  <c r="AB37" i="51"/>
  <c r="AC37" i="51"/>
  <c r="AD37" i="51"/>
  <c r="AG37" i="51"/>
  <c r="AH37" i="51"/>
  <c r="AI37" i="51"/>
  <c r="AJ37" i="51"/>
  <c r="AK37" i="51"/>
  <c r="AL37" i="51"/>
  <c r="AM37" i="51"/>
  <c r="F38" i="51"/>
  <c r="G38" i="51"/>
  <c r="H38" i="5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AB38" i="51"/>
  <c r="AC38" i="51"/>
  <c r="AD38" i="51"/>
  <c r="AG38" i="51"/>
  <c r="AH38" i="51"/>
  <c r="AI38" i="51"/>
  <c r="AJ38" i="51"/>
  <c r="AK38" i="51"/>
  <c r="AL38" i="51"/>
  <c r="AM38" i="51"/>
  <c r="F39" i="51"/>
  <c r="G39" i="51"/>
  <c r="H39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AB39" i="51"/>
  <c r="AC39" i="51"/>
  <c r="AD39" i="51"/>
  <c r="AG39" i="51"/>
  <c r="AH39" i="51"/>
  <c r="AI39" i="51"/>
  <c r="AJ39" i="51"/>
  <c r="AK39" i="51"/>
  <c r="AL39" i="51"/>
  <c r="AM39" i="51"/>
  <c r="F40" i="51"/>
  <c r="G40" i="51"/>
  <c r="H40" i="51"/>
  <c r="I40" i="51"/>
  <c r="J40" i="51"/>
  <c r="K40" i="51"/>
  <c r="L40" i="51"/>
  <c r="M40" i="51"/>
  <c r="N40" i="51"/>
  <c r="O40" i="51"/>
  <c r="P40" i="51"/>
  <c r="Q40" i="51"/>
  <c r="R40" i="51"/>
  <c r="S40" i="51"/>
  <c r="T40" i="51"/>
  <c r="U40" i="51"/>
  <c r="V40" i="51"/>
  <c r="W40" i="51"/>
  <c r="X40" i="51"/>
  <c r="Y40" i="51"/>
  <c r="Z40" i="51"/>
  <c r="AA40" i="51"/>
  <c r="AB40" i="51"/>
  <c r="AC40" i="51"/>
  <c r="AD40" i="51"/>
  <c r="AG40" i="51"/>
  <c r="AH40" i="51"/>
  <c r="AI40" i="51"/>
  <c r="AJ40" i="51"/>
  <c r="AK40" i="51"/>
  <c r="AL40" i="51"/>
  <c r="AM40" i="51"/>
  <c r="C21" i="57"/>
  <c r="D21" i="57"/>
  <c r="G21" i="57"/>
  <c r="H21" i="57"/>
  <c r="J21" i="57"/>
  <c r="C22" i="57"/>
  <c r="D22" i="57"/>
  <c r="G22" i="57"/>
  <c r="H22" i="57"/>
  <c r="J22" i="57"/>
  <c r="C23" i="57"/>
  <c r="D23" i="57"/>
  <c r="G23" i="57"/>
  <c r="H23" i="57"/>
  <c r="J23" i="57"/>
  <c r="C24" i="57"/>
  <c r="D24" i="57"/>
  <c r="G24" i="57"/>
  <c r="H24" i="57"/>
  <c r="J24" i="57"/>
  <c r="C25" i="57"/>
  <c r="D25" i="57"/>
  <c r="G25" i="57"/>
  <c r="H25" i="57"/>
  <c r="J25" i="57"/>
  <c r="C26" i="57"/>
  <c r="D26" i="57"/>
  <c r="G26" i="57"/>
  <c r="H26" i="57"/>
  <c r="J26" i="57"/>
  <c r="C27" i="57"/>
  <c r="D27" i="57"/>
  <c r="G27" i="57"/>
  <c r="H27" i="57"/>
  <c r="J27" i="57"/>
  <c r="C28" i="57"/>
  <c r="D28" i="57"/>
  <c r="G28" i="57"/>
  <c r="H28" i="57"/>
  <c r="J28" i="57"/>
  <c r="C29" i="57"/>
  <c r="D29" i="57"/>
  <c r="G29" i="57"/>
  <c r="H29" i="57"/>
  <c r="J29" i="57"/>
  <c r="C30" i="57"/>
  <c r="D30" i="57"/>
  <c r="G30" i="57"/>
  <c r="H30" i="57"/>
  <c r="J30" i="57"/>
  <c r="C31" i="57"/>
  <c r="D31" i="57"/>
  <c r="G31" i="57"/>
  <c r="H31" i="57"/>
  <c r="J31" i="57"/>
  <c r="C32" i="57"/>
  <c r="D32" i="57"/>
  <c r="G32" i="57"/>
  <c r="H32" i="57"/>
  <c r="J32" i="57"/>
  <c r="C33" i="57"/>
  <c r="D33" i="57"/>
  <c r="G33" i="57"/>
  <c r="H33" i="57"/>
  <c r="J33" i="57"/>
  <c r="C34" i="57"/>
  <c r="D34" i="57"/>
  <c r="G34" i="57"/>
  <c r="H34" i="57"/>
  <c r="J34" i="57"/>
  <c r="C35" i="57"/>
  <c r="D35" i="57"/>
  <c r="G35" i="57"/>
  <c r="H35" i="57"/>
  <c r="J35" i="57"/>
  <c r="C36" i="57"/>
  <c r="D36" i="57"/>
  <c r="G36" i="57"/>
  <c r="H36" i="57"/>
  <c r="J36" i="57"/>
  <c r="C37" i="57"/>
  <c r="D37" i="57"/>
  <c r="G37" i="57"/>
  <c r="H37" i="57"/>
  <c r="J37" i="57"/>
  <c r="C38" i="57"/>
  <c r="D38" i="57"/>
  <c r="G38" i="57"/>
  <c r="H38" i="57"/>
  <c r="J38" i="57"/>
  <c r="C39" i="57"/>
  <c r="D39" i="57"/>
  <c r="G39" i="57"/>
  <c r="H39" i="57"/>
  <c r="J39" i="57"/>
  <c r="C40" i="57"/>
  <c r="D40" i="57"/>
  <c r="G40" i="57"/>
  <c r="H40" i="57"/>
  <c r="J40" i="57"/>
  <c r="H21" i="13"/>
  <c r="J21" i="13"/>
  <c r="K21" i="13"/>
  <c r="L21" i="13"/>
  <c r="N21" i="13"/>
  <c r="O21" i="13"/>
  <c r="P21" i="13"/>
  <c r="Q21" i="13"/>
  <c r="R21" i="13"/>
  <c r="T21" i="13"/>
  <c r="U21" i="13"/>
  <c r="V21" i="13"/>
  <c r="X21" i="13"/>
  <c r="Z21" i="13"/>
  <c r="AA21" i="13"/>
  <c r="AB21" i="13"/>
  <c r="H22" i="13"/>
  <c r="J22" i="13"/>
  <c r="K22" i="13"/>
  <c r="L22" i="13"/>
  <c r="N22" i="13"/>
  <c r="O22" i="13"/>
  <c r="P22" i="13"/>
  <c r="Q22" i="13"/>
  <c r="R22" i="13"/>
  <c r="T22" i="13"/>
  <c r="U22" i="13"/>
  <c r="V22" i="13"/>
  <c r="X22" i="13"/>
  <c r="Z22" i="13"/>
  <c r="AA22" i="13"/>
  <c r="AB22" i="13"/>
  <c r="H23" i="13"/>
  <c r="J23" i="13"/>
  <c r="K23" i="13"/>
  <c r="L23" i="13"/>
  <c r="N23" i="13"/>
  <c r="O23" i="13"/>
  <c r="P23" i="13"/>
  <c r="Q23" i="13"/>
  <c r="R23" i="13"/>
  <c r="T23" i="13"/>
  <c r="U23" i="13"/>
  <c r="V23" i="13"/>
  <c r="X23" i="13"/>
  <c r="Z23" i="13"/>
  <c r="AA23" i="13"/>
  <c r="AB23" i="13"/>
  <c r="H24" i="13"/>
  <c r="J24" i="13"/>
  <c r="K24" i="13"/>
  <c r="L24" i="13"/>
  <c r="N24" i="13"/>
  <c r="O24" i="13"/>
  <c r="P24" i="13"/>
  <c r="Q24" i="13"/>
  <c r="R24" i="13"/>
  <c r="T24" i="13"/>
  <c r="U24" i="13"/>
  <c r="V24" i="13"/>
  <c r="X24" i="13"/>
  <c r="Z24" i="13"/>
  <c r="AA24" i="13"/>
  <c r="AB24" i="13"/>
  <c r="H25" i="13"/>
  <c r="J25" i="13"/>
  <c r="K25" i="13"/>
  <c r="L25" i="13"/>
  <c r="N25" i="13"/>
  <c r="O25" i="13"/>
  <c r="P25" i="13"/>
  <c r="Q25" i="13"/>
  <c r="R25" i="13"/>
  <c r="T25" i="13"/>
  <c r="U25" i="13"/>
  <c r="V25" i="13"/>
  <c r="X25" i="13"/>
  <c r="Z25" i="13"/>
  <c r="AA25" i="13"/>
  <c r="AB25" i="13"/>
  <c r="H26" i="13"/>
  <c r="J26" i="13"/>
  <c r="K26" i="13"/>
  <c r="L26" i="13"/>
  <c r="N26" i="13"/>
  <c r="O26" i="13"/>
  <c r="P26" i="13"/>
  <c r="Q26" i="13"/>
  <c r="R26" i="13"/>
  <c r="T26" i="13"/>
  <c r="U26" i="13"/>
  <c r="V26" i="13"/>
  <c r="X26" i="13"/>
  <c r="Z26" i="13"/>
  <c r="AA26" i="13"/>
  <c r="AB26" i="13"/>
  <c r="H27" i="13"/>
  <c r="J27" i="13"/>
  <c r="K27" i="13"/>
  <c r="L27" i="13"/>
  <c r="N27" i="13"/>
  <c r="O27" i="13"/>
  <c r="P27" i="13"/>
  <c r="Q27" i="13"/>
  <c r="R27" i="13"/>
  <c r="T27" i="13"/>
  <c r="U27" i="13"/>
  <c r="V27" i="13"/>
  <c r="X27" i="13"/>
  <c r="Z27" i="13"/>
  <c r="AA27" i="13"/>
  <c r="AB27" i="13"/>
  <c r="H28" i="13"/>
  <c r="J28" i="13"/>
  <c r="K28" i="13"/>
  <c r="L28" i="13"/>
  <c r="N28" i="13"/>
  <c r="O28" i="13"/>
  <c r="P28" i="13"/>
  <c r="Q28" i="13"/>
  <c r="R28" i="13"/>
  <c r="T28" i="13"/>
  <c r="U28" i="13"/>
  <c r="V28" i="13"/>
  <c r="X28" i="13"/>
  <c r="Z28" i="13"/>
  <c r="AA28" i="13"/>
  <c r="AB28" i="13"/>
  <c r="H29" i="13"/>
  <c r="J29" i="13"/>
  <c r="K29" i="13"/>
  <c r="L29" i="13"/>
  <c r="N29" i="13"/>
  <c r="O29" i="13"/>
  <c r="P29" i="13"/>
  <c r="Q29" i="13"/>
  <c r="R29" i="13"/>
  <c r="T29" i="13"/>
  <c r="U29" i="13"/>
  <c r="V29" i="13"/>
  <c r="X29" i="13"/>
  <c r="Z29" i="13"/>
  <c r="AA29" i="13"/>
  <c r="AB29" i="13"/>
  <c r="H30" i="13"/>
  <c r="J30" i="13"/>
  <c r="K30" i="13"/>
  <c r="L30" i="13"/>
  <c r="N30" i="13"/>
  <c r="O30" i="13"/>
  <c r="P30" i="13"/>
  <c r="Q30" i="13"/>
  <c r="R30" i="13"/>
  <c r="T30" i="13"/>
  <c r="U30" i="13"/>
  <c r="V30" i="13"/>
  <c r="X30" i="13"/>
  <c r="Z30" i="13"/>
  <c r="AA30" i="13"/>
  <c r="AB30" i="13"/>
  <c r="H31" i="13"/>
  <c r="J31" i="13"/>
  <c r="K31" i="13"/>
  <c r="L31" i="13"/>
  <c r="N31" i="13"/>
  <c r="O31" i="13"/>
  <c r="P31" i="13"/>
  <c r="Q31" i="13"/>
  <c r="R31" i="13"/>
  <c r="T31" i="13"/>
  <c r="U31" i="13"/>
  <c r="V31" i="13"/>
  <c r="X31" i="13"/>
  <c r="Z31" i="13"/>
  <c r="AA31" i="13"/>
  <c r="AB31" i="13"/>
  <c r="H32" i="13"/>
  <c r="J32" i="13"/>
  <c r="K32" i="13"/>
  <c r="L32" i="13"/>
  <c r="N32" i="13"/>
  <c r="O32" i="13"/>
  <c r="P32" i="13"/>
  <c r="Q32" i="13"/>
  <c r="R32" i="13"/>
  <c r="T32" i="13"/>
  <c r="U32" i="13"/>
  <c r="V32" i="13"/>
  <c r="X32" i="13"/>
  <c r="Z32" i="13"/>
  <c r="AA32" i="13"/>
  <c r="AB32" i="13"/>
  <c r="H33" i="13"/>
  <c r="J33" i="13"/>
  <c r="K33" i="13"/>
  <c r="L33" i="13"/>
  <c r="N33" i="13"/>
  <c r="O33" i="13"/>
  <c r="P33" i="13"/>
  <c r="Q33" i="13"/>
  <c r="R33" i="13"/>
  <c r="T33" i="13"/>
  <c r="U33" i="13"/>
  <c r="V33" i="13"/>
  <c r="X33" i="13"/>
  <c r="Z33" i="13"/>
  <c r="AA33" i="13"/>
  <c r="AB33" i="13"/>
  <c r="H34" i="13"/>
  <c r="J34" i="13"/>
  <c r="K34" i="13"/>
  <c r="L34" i="13"/>
  <c r="N34" i="13"/>
  <c r="O34" i="13"/>
  <c r="P34" i="13"/>
  <c r="Q34" i="13"/>
  <c r="R34" i="13"/>
  <c r="T34" i="13"/>
  <c r="U34" i="13"/>
  <c r="V34" i="13"/>
  <c r="X34" i="13"/>
  <c r="Z34" i="13"/>
  <c r="AA34" i="13"/>
  <c r="AB34" i="13"/>
  <c r="H35" i="13"/>
  <c r="J35" i="13"/>
  <c r="K35" i="13"/>
  <c r="L35" i="13"/>
  <c r="N35" i="13"/>
  <c r="O35" i="13"/>
  <c r="P35" i="13"/>
  <c r="Q35" i="13"/>
  <c r="R35" i="13"/>
  <c r="T35" i="13"/>
  <c r="U35" i="13"/>
  <c r="V35" i="13"/>
  <c r="X35" i="13"/>
  <c r="Z35" i="13"/>
  <c r="AA35" i="13"/>
  <c r="AB35" i="13"/>
  <c r="H36" i="13"/>
  <c r="J36" i="13"/>
  <c r="K36" i="13"/>
  <c r="L36" i="13"/>
  <c r="N36" i="13"/>
  <c r="O36" i="13"/>
  <c r="P36" i="13"/>
  <c r="Q36" i="13"/>
  <c r="R36" i="13"/>
  <c r="T36" i="13"/>
  <c r="U36" i="13"/>
  <c r="V36" i="13"/>
  <c r="X36" i="13"/>
  <c r="Z36" i="13"/>
  <c r="AA36" i="13"/>
  <c r="AB36" i="13"/>
  <c r="H37" i="13"/>
  <c r="J37" i="13"/>
  <c r="K37" i="13"/>
  <c r="L37" i="13"/>
  <c r="N37" i="13"/>
  <c r="O37" i="13"/>
  <c r="P37" i="13"/>
  <c r="Q37" i="13"/>
  <c r="R37" i="13"/>
  <c r="T37" i="13"/>
  <c r="U37" i="13"/>
  <c r="V37" i="13"/>
  <c r="X37" i="13"/>
  <c r="Z37" i="13"/>
  <c r="AA37" i="13"/>
  <c r="AB37" i="13"/>
  <c r="H38" i="13"/>
  <c r="J38" i="13"/>
  <c r="K38" i="13"/>
  <c r="L38" i="13"/>
  <c r="N38" i="13"/>
  <c r="O38" i="13"/>
  <c r="P38" i="13"/>
  <c r="Q38" i="13"/>
  <c r="R38" i="13"/>
  <c r="T38" i="13"/>
  <c r="U38" i="13"/>
  <c r="V38" i="13"/>
  <c r="X38" i="13"/>
  <c r="Z38" i="13"/>
  <c r="AA38" i="13"/>
  <c r="AB38" i="13"/>
  <c r="H39" i="13"/>
  <c r="J39" i="13"/>
  <c r="K39" i="13"/>
  <c r="L39" i="13"/>
  <c r="N39" i="13"/>
  <c r="O39" i="13"/>
  <c r="P39" i="13"/>
  <c r="Q39" i="13"/>
  <c r="R39" i="13"/>
  <c r="T39" i="13"/>
  <c r="U39" i="13"/>
  <c r="V39" i="13"/>
  <c r="X39" i="13"/>
  <c r="Z39" i="13"/>
  <c r="AA39" i="13"/>
  <c r="AB39" i="13"/>
  <c r="H40" i="13"/>
  <c r="J40" i="13"/>
  <c r="K40" i="13"/>
  <c r="L40" i="13"/>
  <c r="N40" i="13"/>
  <c r="O40" i="13"/>
  <c r="P40" i="13"/>
  <c r="Q40" i="13"/>
  <c r="R40" i="13"/>
  <c r="T40" i="13"/>
  <c r="U40" i="13"/>
  <c r="V40" i="13"/>
  <c r="X40" i="13"/>
  <c r="Z40" i="13"/>
  <c r="AA40" i="13"/>
  <c r="AB40" i="13"/>
  <c r="D4" i="46"/>
  <c r="E4" i="46"/>
  <c r="F4" i="46"/>
  <c r="G4" i="46"/>
  <c r="H4" i="46"/>
  <c r="I4" i="46"/>
  <c r="J4" i="46"/>
  <c r="K4" i="46"/>
  <c r="L4" i="46"/>
  <c r="M4" i="46"/>
  <c r="N4" i="46"/>
  <c r="O4" i="46"/>
  <c r="P4" i="46"/>
  <c r="Q4" i="46"/>
  <c r="R4" i="46"/>
  <c r="S4" i="46"/>
  <c r="T4" i="46"/>
  <c r="U4" i="46"/>
  <c r="V4" i="46"/>
  <c r="W4" i="46"/>
  <c r="X4" i="46"/>
  <c r="Y4" i="46"/>
  <c r="Z4" i="46"/>
  <c r="AA4" i="46"/>
  <c r="AB4" i="46"/>
  <c r="AC4" i="46"/>
  <c r="AD4" i="46"/>
  <c r="AE4" i="46"/>
  <c r="AF4" i="46"/>
  <c r="AG4" i="46"/>
  <c r="AH4" i="46"/>
  <c r="AI4" i="46"/>
  <c r="AJ4" i="46"/>
  <c r="AK4" i="46"/>
  <c r="AL4" i="46"/>
  <c r="AM4" i="46"/>
  <c r="D5" i="46"/>
  <c r="E5" i="46"/>
  <c r="F5" i="46"/>
  <c r="G5" i="46"/>
  <c r="H5" i="46"/>
  <c r="I5" i="46"/>
  <c r="J5" i="46"/>
  <c r="K5" i="46"/>
  <c r="L5" i="46"/>
  <c r="M5" i="46"/>
  <c r="N5" i="46"/>
  <c r="O5" i="46"/>
  <c r="P5" i="46"/>
  <c r="Q5" i="46"/>
  <c r="R5" i="46"/>
  <c r="S5" i="46"/>
  <c r="T5" i="46"/>
  <c r="U5" i="46"/>
  <c r="V5" i="46"/>
  <c r="W5" i="46"/>
  <c r="X5" i="46"/>
  <c r="Y5" i="46"/>
  <c r="Z5" i="46"/>
  <c r="AA5" i="46"/>
  <c r="AB5" i="46"/>
  <c r="AC5" i="46"/>
  <c r="AD5" i="46"/>
  <c r="AE5" i="46"/>
  <c r="AF5" i="46"/>
  <c r="AG5" i="46"/>
  <c r="AH5" i="46"/>
  <c r="AI5" i="46"/>
  <c r="AJ5" i="46"/>
  <c r="AK5" i="46"/>
  <c r="AL5" i="46"/>
  <c r="AM5" i="46"/>
  <c r="D6" i="46"/>
  <c r="E6" i="46"/>
  <c r="F6" i="46"/>
  <c r="G6" i="46"/>
  <c r="H6" i="46"/>
  <c r="I6" i="46"/>
  <c r="J6" i="46"/>
  <c r="K6" i="46"/>
  <c r="L6" i="46"/>
  <c r="M6" i="46"/>
  <c r="N6" i="46"/>
  <c r="O6" i="46"/>
  <c r="P6" i="46"/>
  <c r="Q6" i="46"/>
  <c r="R6" i="46"/>
  <c r="S6" i="46"/>
  <c r="T6" i="46"/>
  <c r="U6" i="46"/>
  <c r="V6" i="46"/>
  <c r="W6" i="46"/>
  <c r="X6" i="46"/>
  <c r="Y6" i="46"/>
  <c r="Z6" i="46"/>
  <c r="AA6" i="46"/>
  <c r="AB6" i="46"/>
  <c r="AC6" i="46"/>
  <c r="AD6" i="46"/>
  <c r="AE6" i="46"/>
  <c r="AF6" i="46"/>
  <c r="AG6" i="46"/>
  <c r="AH6" i="46"/>
  <c r="AI6" i="46"/>
  <c r="AJ6" i="46"/>
  <c r="AK6" i="46"/>
  <c r="AL6" i="46"/>
  <c r="AM6" i="46"/>
  <c r="D7" i="46"/>
  <c r="E7" i="46"/>
  <c r="F7" i="46"/>
  <c r="G7" i="46"/>
  <c r="H7" i="46"/>
  <c r="I7" i="46"/>
  <c r="J7" i="46"/>
  <c r="K7" i="46"/>
  <c r="L7" i="46"/>
  <c r="M7" i="46"/>
  <c r="N7" i="46"/>
  <c r="O7" i="46"/>
  <c r="P7" i="46"/>
  <c r="Q7" i="46"/>
  <c r="R7" i="46"/>
  <c r="S7" i="46"/>
  <c r="T7" i="46"/>
  <c r="U7" i="46"/>
  <c r="V7" i="46"/>
  <c r="W7" i="46"/>
  <c r="X7" i="46"/>
  <c r="Y7" i="46"/>
  <c r="Z7" i="46"/>
  <c r="AA7" i="46"/>
  <c r="AB7" i="46"/>
  <c r="AC7" i="46"/>
  <c r="AD7" i="46"/>
  <c r="AE7" i="46"/>
  <c r="AF7" i="46"/>
  <c r="AG7" i="46"/>
  <c r="AH7" i="46"/>
  <c r="AI7" i="46"/>
  <c r="AJ7" i="46"/>
  <c r="AK7" i="46"/>
  <c r="AL7" i="46"/>
  <c r="AM7" i="46"/>
  <c r="D8" i="46"/>
  <c r="E8" i="46"/>
  <c r="F8" i="46"/>
  <c r="G8" i="46"/>
  <c r="H8" i="46"/>
  <c r="I8" i="46"/>
  <c r="J8" i="46"/>
  <c r="K8" i="46"/>
  <c r="L8" i="46"/>
  <c r="M8" i="46"/>
  <c r="N8" i="46"/>
  <c r="O8" i="46"/>
  <c r="P8" i="46"/>
  <c r="Q8" i="46"/>
  <c r="R8" i="46"/>
  <c r="S8" i="46"/>
  <c r="T8" i="46"/>
  <c r="U8" i="46"/>
  <c r="V8" i="46"/>
  <c r="W8" i="46"/>
  <c r="X8" i="46"/>
  <c r="Y8" i="46"/>
  <c r="Z8" i="46"/>
  <c r="AA8" i="46"/>
  <c r="AB8" i="46"/>
  <c r="AC8" i="46"/>
  <c r="AD8" i="46"/>
  <c r="AE8" i="46"/>
  <c r="AF8" i="46"/>
  <c r="AG8" i="46"/>
  <c r="AH8" i="46"/>
  <c r="AI8" i="46"/>
  <c r="AJ8" i="46"/>
  <c r="AK8" i="46"/>
  <c r="AL8" i="46"/>
  <c r="AM8" i="46"/>
  <c r="D9" i="46"/>
  <c r="E9" i="46"/>
  <c r="F9" i="46"/>
  <c r="G9" i="46"/>
  <c r="H9" i="46"/>
  <c r="I9" i="46"/>
  <c r="J9" i="46"/>
  <c r="K9" i="46"/>
  <c r="L9" i="46"/>
  <c r="M9" i="46"/>
  <c r="N9" i="46"/>
  <c r="O9" i="46"/>
  <c r="P9" i="46"/>
  <c r="Q9" i="46"/>
  <c r="R9" i="46"/>
  <c r="S9" i="46"/>
  <c r="T9" i="46"/>
  <c r="U9" i="46"/>
  <c r="V9" i="46"/>
  <c r="W9" i="46"/>
  <c r="X9" i="46"/>
  <c r="Y9" i="46"/>
  <c r="Z9" i="46"/>
  <c r="AA9" i="46"/>
  <c r="AB9" i="46"/>
  <c r="AC9" i="46"/>
  <c r="AD9" i="46"/>
  <c r="AE9" i="46"/>
  <c r="AF9" i="46"/>
  <c r="AG9" i="46"/>
  <c r="AH9" i="46"/>
  <c r="AI9" i="46"/>
  <c r="AJ9" i="46"/>
  <c r="AK9" i="46"/>
  <c r="AL9" i="46"/>
  <c r="AM9" i="46"/>
  <c r="D10" i="46"/>
  <c r="E10" i="46"/>
  <c r="F10" i="46"/>
  <c r="G10" i="46"/>
  <c r="H10" i="46"/>
  <c r="I10" i="46"/>
  <c r="J10" i="46"/>
  <c r="K10" i="46"/>
  <c r="L10" i="46"/>
  <c r="M10" i="46"/>
  <c r="N10" i="46"/>
  <c r="O10" i="46"/>
  <c r="P10" i="46"/>
  <c r="Q10" i="46"/>
  <c r="R10" i="46"/>
  <c r="S10" i="46"/>
  <c r="T10" i="46"/>
  <c r="U10" i="46"/>
  <c r="V10" i="46"/>
  <c r="W10" i="46"/>
  <c r="X10" i="46"/>
  <c r="Y10" i="46"/>
  <c r="Z10" i="46"/>
  <c r="AA10" i="46"/>
  <c r="AB10" i="46"/>
  <c r="AC10" i="46"/>
  <c r="AD10" i="46"/>
  <c r="AE10" i="46"/>
  <c r="AF10" i="46"/>
  <c r="AG10" i="46"/>
  <c r="AH10" i="46"/>
  <c r="AI10" i="46"/>
  <c r="AJ10" i="46"/>
  <c r="AK10" i="46"/>
  <c r="AL10" i="46"/>
  <c r="AM10" i="46"/>
  <c r="D11" i="46"/>
  <c r="E11" i="46"/>
  <c r="F11" i="46"/>
  <c r="G11" i="46"/>
  <c r="H11" i="46"/>
  <c r="I11" i="46"/>
  <c r="J11" i="46"/>
  <c r="K11" i="46"/>
  <c r="L11" i="46"/>
  <c r="M11" i="46"/>
  <c r="N11" i="46"/>
  <c r="O11" i="46"/>
  <c r="P11" i="46"/>
  <c r="Q11" i="46"/>
  <c r="R11" i="46"/>
  <c r="S11" i="46"/>
  <c r="T11" i="46"/>
  <c r="U11" i="46"/>
  <c r="V11" i="46"/>
  <c r="W11" i="46"/>
  <c r="X11" i="46"/>
  <c r="Y11" i="46"/>
  <c r="Z11" i="46"/>
  <c r="AA11" i="46"/>
  <c r="AB11" i="46"/>
  <c r="AC11" i="46"/>
  <c r="AD11" i="46"/>
  <c r="AE11" i="46"/>
  <c r="AF11" i="46"/>
  <c r="AG11" i="46"/>
  <c r="AH11" i="46"/>
  <c r="AI11" i="46"/>
  <c r="AJ11" i="46"/>
  <c r="AK11" i="46"/>
  <c r="AL11" i="46"/>
  <c r="AM11" i="46"/>
  <c r="D12" i="46"/>
  <c r="E12" i="46"/>
  <c r="F12" i="46"/>
  <c r="G12" i="46"/>
  <c r="H12" i="46"/>
  <c r="I12" i="46"/>
  <c r="J12" i="46"/>
  <c r="K12" i="46"/>
  <c r="L12" i="46"/>
  <c r="M12" i="46"/>
  <c r="N12" i="46"/>
  <c r="O12" i="46"/>
  <c r="P12" i="46"/>
  <c r="Q12" i="46"/>
  <c r="R12" i="46"/>
  <c r="S12" i="46"/>
  <c r="T12" i="46"/>
  <c r="U12" i="46"/>
  <c r="V12" i="46"/>
  <c r="W12" i="46"/>
  <c r="X12" i="46"/>
  <c r="Y12" i="46"/>
  <c r="Z12" i="46"/>
  <c r="AA12" i="46"/>
  <c r="AB12" i="46"/>
  <c r="AC12" i="46"/>
  <c r="AD12" i="46"/>
  <c r="AE12" i="46"/>
  <c r="AF12" i="46"/>
  <c r="AG12" i="46"/>
  <c r="AH12" i="46"/>
  <c r="AI12" i="46"/>
  <c r="AJ12" i="46"/>
  <c r="AK12" i="46"/>
  <c r="AL12" i="46"/>
  <c r="AM12" i="46"/>
  <c r="D13" i="46"/>
  <c r="E13" i="46"/>
  <c r="F13" i="46"/>
  <c r="G13" i="46"/>
  <c r="H13" i="46"/>
  <c r="I13" i="46"/>
  <c r="J13" i="46"/>
  <c r="K13" i="46"/>
  <c r="L13" i="46"/>
  <c r="M13" i="46"/>
  <c r="N13" i="46"/>
  <c r="O13" i="46"/>
  <c r="P13" i="46"/>
  <c r="Q13" i="46"/>
  <c r="R13" i="46"/>
  <c r="S13" i="46"/>
  <c r="T13" i="46"/>
  <c r="U13" i="46"/>
  <c r="V13" i="46"/>
  <c r="W13" i="46"/>
  <c r="X13" i="46"/>
  <c r="Y13" i="46"/>
  <c r="Z13" i="46"/>
  <c r="AA13" i="46"/>
  <c r="AB13" i="46"/>
  <c r="AC13" i="46"/>
  <c r="AD13" i="46"/>
  <c r="AE13" i="46"/>
  <c r="AF13" i="46"/>
  <c r="AG13" i="46"/>
  <c r="AH13" i="46"/>
  <c r="AI13" i="46"/>
  <c r="AJ13" i="46"/>
  <c r="AK13" i="46"/>
  <c r="AL13" i="46"/>
  <c r="AM13" i="46"/>
  <c r="D14" i="46"/>
  <c r="E14" i="46"/>
  <c r="F14" i="46"/>
  <c r="G14" i="46"/>
  <c r="H14" i="46"/>
  <c r="I14" i="46"/>
  <c r="J14" i="46"/>
  <c r="K14" i="46"/>
  <c r="L14" i="46"/>
  <c r="M14" i="46"/>
  <c r="N14" i="46"/>
  <c r="O14" i="46"/>
  <c r="P14" i="46"/>
  <c r="Q14" i="46"/>
  <c r="R14" i="46"/>
  <c r="S14" i="46"/>
  <c r="T14" i="46"/>
  <c r="U14" i="46"/>
  <c r="V14" i="46"/>
  <c r="W14" i="46"/>
  <c r="X14" i="46"/>
  <c r="Y14" i="46"/>
  <c r="Z14" i="46"/>
  <c r="AA14" i="46"/>
  <c r="AB14" i="46"/>
  <c r="AC14" i="46"/>
  <c r="AD14" i="46"/>
  <c r="AE14" i="46"/>
  <c r="AF14" i="46"/>
  <c r="AG14" i="46"/>
  <c r="AH14" i="46"/>
  <c r="AI14" i="46"/>
  <c r="AJ14" i="46"/>
  <c r="AK14" i="46"/>
  <c r="AL14" i="46"/>
  <c r="AM14" i="46"/>
  <c r="D15" i="46"/>
  <c r="E15" i="46"/>
  <c r="F15" i="46"/>
  <c r="G15" i="46"/>
  <c r="H15" i="46"/>
  <c r="I15" i="46"/>
  <c r="J15" i="46"/>
  <c r="K15" i="46"/>
  <c r="L15" i="46"/>
  <c r="M15" i="46"/>
  <c r="N15" i="46"/>
  <c r="O15" i="46"/>
  <c r="P15" i="46"/>
  <c r="Q15" i="46"/>
  <c r="R15" i="46"/>
  <c r="S15" i="46"/>
  <c r="T15" i="46"/>
  <c r="U15" i="46"/>
  <c r="V15" i="46"/>
  <c r="W15" i="46"/>
  <c r="X15" i="46"/>
  <c r="Y15" i="46"/>
  <c r="Z15" i="46"/>
  <c r="AA15" i="46"/>
  <c r="AB15" i="46"/>
  <c r="AC15" i="46"/>
  <c r="AD15" i="46"/>
  <c r="AE15" i="46"/>
  <c r="AF15" i="46"/>
  <c r="AG15" i="46"/>
  <c r="AH15" i="46"/>
  <c r="AI15" i="46"/>
  <c r="AJ15" i="46"/>
  <c r="AK15" i="46"/>
  <c r="AL15" i="46"/>
  <c r="AM15" i="46"/>
  <c r="D16" i="46"/>
  <c r="E16" i="46"/>
  <c r="F16" i="46"/>
  <c r="G16" i="46"/>
  <c r="H16" i="46"/>
  <c r="I16" i="46"/>
  <c r="J16" i="46"/>
  <c r="K16" i="46"/>
  <c r="L16" i="46"/>
  <c r="M16" i="46"/>
  <c r="N16" i="46"/>
  <c r="O16" i="46"/>
  <c r="P16" i="46"/>
  <c r="Q16" i="46"/>
  <c r="R16" i="46"/>
  <c r="S16" i="46"/>
  <c r="T16" i="46"/>
  <c r="U16" i="46"/>
  <c r="V16" i="46"/>
  <c r="W16" i="46"/>
  <c r="X16" i="46"/>
  <c r="Y16" i="46"/>
  <c r="Z16" i="46"/>
  <c r="AA16" i="46"/>
  <c r="AB16" i="46"/>
  <c r="AC16" i="46"/>
  <c r="AD16" i="46"/>
  <c r="AE16" i="46"/>
  <c r="AF16" i="46"/>
  <c r="AG16" i="46"/>
  <c r="AH16" i="46"/>
  <c r="AI16" i="46"/>
  <c r="AJ16" i="46"/>
  <c r="AK16" i="46"/>
  <c r="AL16" i="46"/>
  <c r="AM16" i="46"/>
  <c r="D17" i="46"/>
  <c r="E17" i="46"/>
  <c r="F17" i="46"/>
  <c r="G17" i="46"/>
  <c r="H17" i="46"/>
  <c r="I17" i="46"/>
  <c r="J17" i="46"/>
  <c r="K17" i="46"/>
  <c r="L17" i="46"/>
  <c r="M17" i="46"/>
  <c r="N17" i="46"/>
  <c r="O17" i="46"/>
  <c r="P17" i="46"/>
  <c r="Q17" i="46"/>
  <c r="R17" i="46"/>
  <c r="S17" i="46"/>
  <c r="T17" i="46"/>
  <c r="U17" i="46"/>
  <c r="V17" i="46"/>
  <c r="W17" i="46"/>
  <c r="X17" i="46"/>
  <c r="Y17" i="46"/>
  <c r="Z17" i="46"/>
  <c r="AA17" i="46"/>
  <c r="AB17" i="46"/>
  <c r="AC17" i="46"/>
  <c r="AD17" i="46"/>
  <c r="AE17" i="46"/>
  <c r="AF17" i="46"/>
  <c r="AG17" i="46"/>
  <c r="AH17" i="46"/>
  <c r="AI17" i="46"/>
  <c r="AJ17" i="46"/>
  <c r="AK17" i="46"/>
  <c r="AL17" i="46"/>
  <c r="AM17" i="46"/>
  <c r="D18" i="46"/>
  <c r="E18" i="46"/>
  <c r="F18" i="46"/>
  <c r="G18" i="46"/>
  <c r="H18" i="46"/>
  <c r="I18" i="46"/>
  <c r="J18" i="46"/>
  <c r="K18" i="46"/>
  <c r="L18" i="46"/>
  <c r="M18" i="46"/>
  <c r="N18" i="46"/>
  <c r="O18" i="46"/>
  <c r="P18" i="46"/>
  <c r="Q18" i="46"/>
  <c r="R18" i="46"/>
  <c r="S18" i="46"/>
  <c r="T18" i="46"/>
  <c r="U18" i="46"/>
  <c r="V18" i="46"/>
  <c r="W18" i="46"/>
  <c r="X18" i="46"/>
  <c r="Y18" i="46"/>
  <c r="Z18" i="46"/>
  <c r="AA18" i="46"/>
  <c r="AB18" i="46"/>
  <c r="AC18" i="46"/>
  <c r="AD18" i="46"/>
  <c r="AE18" i="46"/>
  <c r="AF18" i="46"/>
  <c r="AG18" i="46"/>
  <c r="AH18" i="46"/>
  <c r="AI18" i="46"/>
  <c r="AJ18" i="46"/>
  <c r="AK18" i="46"/>
  <c r="AL18" i="46"/>
  <c r="AM18" i="46"/>
  <c r="D19" i="46"/>
  <c r="E19" i="46"/>
  <c r="F19" i="46"/>
  <c r="G19" i="46"/>
  <c r="H19" i="46"/>
  <c r="I19" i="46"/>
  <c r="J19" i="46"/>
  <c r="K19" i="46"/>
  <c r="L19" i="46"/>
  <c r="M19" i="46"/>
  <c r="N19" i="46"/>
  <c r="O19" i="46"/>
  <c r="P19" i="46"/>
  <c r="Q19" i="46"/>
  <c r="R19" i="46"/>
  <c r="S19" i="46"/>
  <c r="T19" i="46"/>
  <c r="U19" i="46"/>
  <c r="V19" i="46"/>
  <c r="W19" i="46"/>
  <c r="X19" i="46"/>
  <c r="Y19" i="46"/>
  <c r="Z19" i="46"/>
  <c r="AA19" i="46"/>
  <c r="AB19" i="46"/>
  <c r="AC19" i="46"/>
  <c r="AD19" i="46"/>
  <c r="AE19" i="46"/>
  <c r="AF19" i="46"/>
  <c r="AG19" i="46"/>
  <c r="AH19" i="46"/>
  <c r="AI19" i="46"/>
  <c r="AJ19" i="46"/>
  <c r="AK19" i="46"/>
  <c r="AL19" i="46"/>
  <c r="AM19" i="46"/>
  <c r="D20" i="46"/>
  <c r="E20" i="46"/>
  <c r="F20" i="46"/>
  <c r="G20" i="46"/>
  <c r="H20" i="46"/>
  <c r="I20" i="46"/>
  <c r="J20" i="46"/>
  <c r="K20" i="46"/>
  <c r="L20" i="46"/>
  <c r="M20" i="46"/>
  <c r="N20" i="46"/>
  <c r="O20" i="46"/>
  <c r="P20" i="46"/>
  <c r="Q20" i="46"/>
  <c r="R20" i="46"/>
  <c r="S20" i="46"/>
  <c r="T20" i="46"/>
  <c r="U20" i="46"/>
  <c r="V20" i="46"/>
  <c r="W20" i="46"/>
  <c r="X20" i="46"/>
  <c r="Y20" i="46"/>
  <c r="Z20" i="46"/>
  <c r="AA20" i="46"/>
  <c r="AB20" i="46"/>
  <c r="AC20" i="46"/>
  <c r="AD20" i="46"/>
  <c r="AE20" i="46"/>
  <c r="AF20" i="46"/>
  <c r="AG20" i="46"/>
  <c r="AH20" i="46"/>
  <c r="AI20" i="46"/>
  <c r="AJ20" i="46"/>
  <c r="AK20" i="46"/>
  <c r="AL20" i="46"/>
  <c r="AM20" i="46"/>
  <c r="D21" i="46"/>
  <c r="E21" i="46"/>
  <c r="F21" i="46"/>
  <c r="G21" i="46"/>
  <c r="H21" i="46"/>
  <c r="I21" i="46"/>
  <c r="J21" i="46"/>
  <c r="K21" i="46"/>
  <c r="L21" i="46"/>
  <c r="M21" i="46"/>
  <c r="N21" i="46"/>
  <c r="O21" i="46"/>
  <c r="P21" i="46"/>
  <c r="Q21" i="46"/>
  <c r="R21" i="46"/>
  <c r="S21" i="46"/>
  <c r="T21" i="46"/>
  <c r="U21" i="46"/>
  <c r="V21" i="46"/>
  <c r="W21" i="46"/>
  <c r="X21" i="46"/>
  <c r="Y21" i="46"/>
  <c r="Z21" i="46"/>
  <c r="AA21" i="46"/>
  <c r="AB21" i="46"/>
  <c r="AC21" i="46"/>
  <c r="AD21" i="46"/>
  <c r="AE21" i="46"/>
  <c r="AF21" i="46"/>
  <c r="AG21" i="46"/>
  <c r="AH21" i="46"/>
  <c r="AI21" i="46"/>
  <c r="AJ21" i="46"/>
  <c r="AK21" i="46"/>
  <c r="AL21" i="46"/>
  <c r="AM21" i="46"/>
  <c r="D22" i="46"/>
  <c r="E22" i="46"/>
  <c r="F22" i="46"/>
  <c r="G22" i="46"/>
  <c r="H22" i="46"/>
  <c r="I22" i="46"/>
  <c r="J22" i="46"/>
  <c r="K22" i="46"/>
  <c r="L22" i="46"/>
  <c r="M22" i="46"/>
  <c r="N22" i="46"/>
  <c r="O22" i="46"/>
  <c r="P22" i="46"/>
  <c r="Q22" i="46"/>
  <c r="R22" i="46"/>
  <c r="S22" i="46"/>
  <c r="T22" i="46"/>
  <c r="U22" i="46"/>
  <c r="V22" i="46"/>
  <c r="W22" i="46"/>
  <c r="X22" i="46"/>
  <c r="Y22" i="46"/>
  <c r="Z22" i="46"/>
  <c r="AA22" i="46"/>
  <c r="AB22" i="46"/>
  <c r="AC22" i="46"/>
  <c r="AD22" i="46"/>
  <c r="AE22" i="46"/>
  <c r="AF22" i="46"/>
  <c r="AG22" i="46"/>
  <c r="AH22" i="46"/>
  <c r="AI22" i="46"/>
  <c r="AJ22" i="46"/>
  <c r="AK22" i="46"/>
  <c r="AL22" i="46"/>
  <c r="AM22" i="46"/>
  <c r="D23" i="46"/>
  <c r="E23" i="46"/>
  <c r="F23" i="46"/>
  <c r="G23" i="46"/>
  <c r="H23" i="46"/>
  <c r="I23" i="46"/>
  <c r="J23" i="46"/>
  <c r="K23" i="46"/>
  <c r="L23" i="46"/>
  <c r="M23" i="46"/>
  <c r="N23" i="46"/>
  <c r="O23" i="46"/>
  <c r="P23" i="46"/>
  <c r="Q23" i="46"/>
  <c r="R23" i="46"/>
  <c r="S23" i="46"/>
  <c r="T23" i="46"/>
  <c r="U23" i="46"/>
  <c r="V23" i="46"/>
  <c r="W23" i="46"/>
  <c r="X23" i="46"/>
  <c r="Y23" i="46"/>
  <c r="Z23" i="46"/>
  <c r="AA23" i="46"/>
  <c r="AB23" i="46"/>
  <c r="AC23" i="46"/>
  <c r="AD23" i="46"/>
  <c r="AE23" i="46"/>
  <c r="AF23" i="46"/>
  <c r="AG23" i="46"/>
  <c r="AH23" i="46"/>
  <c r="AI23" i="46"/>
  <c r="AJ23" i="46"/>
  <c r="AK23" i="46"/>
  <c r="AL23" i="46"/>
  <c r="AM23" i="46"/>
  <c r="D24" i="46"/>
  <c r="E24" i="46"/>
  <c r="F24" i="46"/>
  <c r="G24" i="46"/>
  <c r="H24" i="46"/>
  <c r="I24" i="46"/>
  <c r="J24" i="46"/>
  <c r="K24" i="46"/>
  <c r="L24" i="46"/>
  <c r="M24" i="46"/>
  <c r="N24" i="46"/>
  <c r="O24" i="46"/>
  <c r="P24" i="46"/>
  <c r="Q24" i="46"/>
  <c r="R24" i="46"/>
  <c r="S24" i="46"/>
  <c r="T24" i="46"/>
  <c r="U24" i="46"/>
  <c r="V24" i="46"/>
  <c r="W24" i="46"/>
  <c r="X24" i="46"/>
  <c r="Y24" i="46"/>
  <c r="Z24" i="46"/>
  <c r="AA24" i="46"/>
  <c r="AB24" i="46"/>
  <c r="AC24" i="46"/>
  <c r="AD24" i="46"/>
  <c r="AE24" i="46"/>
  <c r="AF24" i="46"/>
  <c r="AG24" i="46"/>
  <c r="AH24" i="46"/>
  <c r="AI24" i="46"/>
  <c r="AJ24" i="46"/>
  <c r="AK24" i="46"/>
  <c r="AL24" i="46"/>
  <c r="AM24" i="46"/>
  <c r="D25" i="46"/>
  <c r="E25" i="46"/>
  <c r="F25" i="46"/>
  <c r="G25" i="46"/>
  <c r="H25" i="46"/>
  <c r="I25" i="46"/>
  <c r="J25" i="46"/>
  <c r="K25" i="46"/>
  <c r="L25" i="46"/>
  <c r="M25" i="46"/>
  <c r="N25" i="46"/>
  <c r="O25" i="46"/>
  <c r="P25" i="46"/>
  <c r="Q25" i="46"/>
  <c r="R25" i="46"/>
  <c r="S25" i="46"/>
  <c r="T25" i="46"/>
  <c r="U25" i="46"/>
  <c r="V25" i="46"/>
  <c r="W25" i="46"/>
  <c r="X25" i="46"/>
  <c r="Y25" i="46"/>
  <c r="Z25" i="46"/>
  <c r="AA25" i="46"/>
  <c r="AB25" i="46"/>
  <c r="AC25" i="46"/>
  <c r="AD25" i="46"/>
  <c r="AE25" i="46"/>
  <c r="AF25" i="46"/>
  <c r="AG25" i="46"/>
  <c r="AH25" i="46"/>
  <c r="AI25" i="46"/>
  <c r="AJ25" i="46"/>
  <c r="AK25" i="46"/>
  <c r="AL25" i="46"/>
  <c r="AM25" i="46"/>
  <c r="D26" i="46"/>
  <c r="E26" i="46"/>
  <c r="F26" i="46"/>
  <c r="G26" i="46"/>
  <c r="H26" i="46"/>
  <c r="I26" i="46"/>
  <c r="J26" i="46"/>
  <c r="K26" i="46"/>
  <c r="L26" i="46"/>
  <c r="M26" i="46"/>
  <c r="N26" i="46"/>
  <c r="O26" i="46"/>
  <c r="P26" i="46"/>
  <c r="Q26" i="46"/>
  <c r="R26" i="46"/>
  <c r="S26" i="46"/>
  <c r="T26" i="46"/>
  <c r="U26" i="46"/>
  <c r="V26" i="46"/>
  <c r="W26" i="46"/>
  <c r="X26" i="46"/>
  <c r="Y26" i="46"/>
  <c r="Z26" i="46"/>
  <c r="AA26" i="46"/>
  <c r="AB26" i="46"/>
  <c r="AC26" i="46"/>
  <c r="AD26" i="46"/>
  <c r="AE26" i="46"/>
  <c r="AF26" i="46"/>
  <c r="AG26" i="46"/>
  <c r="AH26" i="46"/>
  <c r="AI26" i="46"/>
  <c r="AJ26" i="46"/>
  <c r="AK26" i="46"/>
  <c r="AL26" i="46"/>
  <c r="AM26" i="46"/>
  <c r="D27" i="46"/>
  <c r="E27" i="46"/>
  <c r="F27" i="46"/>
  <c r="G27" i="46"/>
  <c r="H27" i="46"/>
  <c r="I27" i="46"/>
  <c r="J27" i="46"/>
  <c r="K27" i="46"/>
  <c r="L27" i="46"/>
  <c r="M27" i="46"/>
  <c r="N27" i="46"/>
  <c r="O27" i="46"/>
  <c r="P27" i="46"/>
  <c r="Q27" i="46"/>
  <c r="R27" i="46"/>
  <c r="S27" i="46"/>
  <c r="T27" i="46"/>
  <c r="U27" i="46"/>
  <c r="V27" i="46"/>
  <c r="W27" i="46"/>
  <c r="X27" i="46"/>
  <c r="Y27" i="46"/>
  <c r="Z27" i="46"/>
  <c r="AA27" i="46"/>
  <c r="AB27" i="46"/>
  <c r="AC27" i="46"/>
  <c r="AD27" i="46"/>
  <c r="AE27" i="46"/>
  <c r="AF27" i="46"/>
  <c r="AG27" i="46"/>
  <c r="AH27" i="46"/>
  <c r="AI27" i="46"/>
  <c r="AJ27" i="46"/>
  <c r="AK27" i="46"/>
  <c r="AL27" i="46"/>
  <c r="AM27" i="46"/>
  <c r="D28" i="46"/>
  <c r="E28" i="46"/>
  <c r="F28" i="46"/>
  <c r="G28" i="46"/>
  <c r="H28" i="46"/>
  <c r="I28" i="46"/>
  <c r="J28" i="46"/>
  <c r="K28" i="46"/>
  <c r="L28" i="46"/>
  <c r="M28" i="46"/>
  <c r="N28" i="46"/>
  <c r="O28" i="46"/>
  <c r="P28" i="46"/>
  <c r="Q28" i="46"/>
  <c r="R28" i="46"/>
  <c r="S28" i="46"/>
  <c r="T28" i="46"/>
  <c r="U28" i="46"/>
  <c r="V28" i="46"/>
  <c r="W28" i="46"/>
  <c r="X28" i="46"/>
  <c r="Y28" i="46"/>
  <c r="Z28" i="46"/>
  <c r="AA28" i="46"/>
  <c r="AB28" i="46"/>
  <c r="AC28" i="46"/>
  <c r="AD28" i="46"/>
  <c r="AE28" i="46"/>
  <c r="AF28" i="46"/>
  <c r="AG28" i="46"/>
  <c r="AH28" i="46"/>
  <c r="AI28" i="46"/>
  <c r="AJ28" i="46"/>
  <c r="AK28" i="46"/>
  <c r="AL28" i="46"/>
  <c r="AM28" i="46"/>
  <c r="D29" i="46"/>
  <c r="E29" i="46"/>
  <c r="F29" i="46"/>
  <c r="G29" i="46"/>
  <c r="H29" i="46"/>
  <c r="I29" i="46"/>
  <c r="J29" i="46"/>
  <c r="K29" i="46"/>
  <c r="L29" i="46"/>
  <c r="M29" i="46"/>
  <c r="N29" i="46"/>
  <c r="O29" i="46"/>
  <c r="P29" i="46"/>
  <c r="Q29" i="46"/>
  <c r="R29" i="46"/>
  <c r="S29" i="46"/>
  <c r="T29" i="46"/>
  <c r="U29" i="46"/>
  <c r="V29" i="46"/>
  <c r="W29" i="46"/>
  <c r="X29" i="46"/>
  <c r="Y29" i="46"/>
  <c r="Z29" i="46"/>
  <c r="AA29" i="46"/>
  <c r="AB29" i="46"/>
  <c r="AC29" i="46"/>
  <c r="AD29" i="46"/>
  <c r="AE29" i="46"/>
  <c r="AF29" i="46"/>
  <c r="AG29" i="46"/>
  <c r="AH29" i="46"/>
  <c r="AI29" i="46"/>
  <c r="AJ29" i="46"/>
  <c r="AK29" i="46"/>
  <c r="AL29" i="46"/>
  <c r="AM29" i="46"/>
  <c r="D30" i="46"/>
  <c r="E30" i="46"/>
  <c r="F30" i="46"/>
  <c r="G30" i="46"/>
  <c r="H30" i="46"/>
  <c r="I30" i="46"/>
  <c r="J30" i="46"/>
  <c r="K30" i="46"/>
  <c r="L30" i="46"/>
  <c r="M30" i="46"/>
  <c r="N30" i="46"/>
  <c r="O30" i="46"/>
  <c r="P30" i="46"/>
  <c r="Q30" i="46"/>
  <c r="R30" i="46"/>
  <c r="S30" i="46"/>
  <c r="T30" i="46"/>
  <c r="U30" i="46"/>
  <c r="V30" i="46"/>
  <c r="W30" i="46"/>
  <c r="X30" i="46"/>
  <c r="Y30" i="46"/>
  <c r="Z30" i="46"/>
  <c r="AA30" i="46"/>
  <c r="AB30" i="46"/>
  <c r="AC30" i="46"/>
  <c r="AD30" i="46"/>
  <c r="AE30" i="46"/>
  <c r="AF30" i="46"/>
  <c r="AG30" i="46"/>
  <c r="AH30" i="46"/>
  <c r="AI30" i="46"/>
  <c r="AJ30" i="46"/>
  <c r="AK30" i="46"/>
  <c r="AL30" i="46"/>
  <c r="AM30" i="46"/>
  <c r="D31" i="46"/>
  <c r="E31" i="46"/>
  <c r="F31" i="46"/>
  <c r="G31" i="46"/>
  <c r="H31" i="46"/>
  <c r="I31" i="46"/>
  <c r="J31" i="46"/>
  <c r="K31" i="46"/>
  <c r="L31" i="46"/>
  <c r="M31" i="46"/>
  <c r="N31" i="46"/>
  <c r="O31" i="46"/>
  <c r="P31" i="46"/>
  <c r="Q31" i="46"/>
  <c r="R31" i="46"/>
  <c r="S31" i="46"/>
  <c r="T31" i="46"/>
  <c r="U31" i="46"/>
  <c r="V31" i="46"/>
  <c r="W31" i="46"/>
  <c r="X31" i="46"/>
  <c r="Y31" i="46"/>
  <c r="Z31" i="46"/>
  <c r="AA31" i="46"/>
  <c r="AB31" i="46"/>
  <c r="AC31" i="46"/>
  <c r="AD31" i="46"/>
  <c r="AE31" i="46"/>
  <c r="AF31" i="46"/>
  <c r="AG31" i="46"/>
  <c r="AH31" i="46"/>
  <c r="AI31" i="46"/>
  <c r="AJ31" i="46"/>
  <c r="AK31" i="46"/>
  <c r="AL31" i="46"/>
  <c r="AM31" i="46"/>
  <c r="D32" i="46"/>
  <c r="E32" i="46"/>
  <c r="F32" i="46"/>
  <c r="G32" i="46"/>
  <c r="H32" i="46"/>
  <c r="I32" i="46"/>
  <c r="J32" i="46"/>
  <c r="K32" i="46"/>
  <c r="L32" i="46"/>
  <c r="M32" i="46"/>
  <c r="N32" i="46"/>
  <c r="O32" i="46"/>
  <c r="P32" i="46"/>
  <c r="Q32" i="46"/>
  <c r="R32" i="46"/>
  <c r="S32" i="46"/>
  <c r="T32" i="46"/>
  <c r="U32" i="46"/>
  <c r="V32" i="46"/>
  <c r="W32" i="46"/>
  <c r="X32" i="46"/>
  <c r="Y32" i="46"/>
  <c r="Z32" i="46"/>
  <c r="AA32" i="46"/>
  <c r="AB32" i="46"/>
  <c r="AC32" i="46"/>
  <c r="AD32" i="46"/>
  <c r="AE32" i="46"/>
  <c r="AF32" i="46"/>
  <c r="AG32" i="46"/>
  <c r="AH32" i="46"/>
  <c r="AI32" i="46"/>
  <c r="AJ32" i="46"/>
  <c r="AK32" i="46"/>
  <c r="AL32" i="46"/>
  <c r="AM32" i="46"/>
  <c r="D33" i="46"/>
  <c r="E33" i="46"/>
  <c r="F33" i="46"/>
  <c r="G33" i="46"/>
  <c r="H33" i="46"/>
  <c r="I33" i="46"/>
  <c r="J33" i="46"/>
  <c r="K33" i="46"/>
  <c r="L33" i="46"/>
  <c r="M33" i="46"/>
  <c r="N33" i="46"/>
  <c r="O33" i="46"/>
  <c r="P33" i="46"/>
  <c r="Q33" i="46"/>
  <c r="R33" i="46"/>
  <c r="S33" i="46"/>
  <c r="T33" i="46"/>
  <c r="U33" i="46"/>
  <c r="V33" i="46"/>
  <c r="W33" i="46"/>
  <c r="X33" i="46"/>
  <c r="Y33" i="46"/>
  <c r="Z33" i="46"/>
  <c r="AA33" i="46"/>
  <c r="AB33" i="46"/>
  <c r="AC33" i="46"/>
  <c r="AD33" i="46"/>
  <c r="AE33" i="46"/>
  <c r="AF33" i="46"/>
  <c r="AG33" i="46"/>
  <c r="AH33" i="46"/>
  <c r="AI33" i="46"/>
  <c r="AJ33" i="46"/>
  <c r="AK33" i="46"/>
  <c r="AL33" i="46"/>
  <c r="AM33" i="46"/>
  <c r="D34" i="46"/>
  <c r="E34" i="46"/>
  <c r="F34" i="46"/>
  <c r="G34" i="46"/>
  <c r="H34" i="46"/>
  <c r="I34" i="46"/>
  <c r="J34" i="46"/>
  <c r="K34" i="46"/>
  <c r="L34" i="46"/>
  <c r="M34" i="46"/>
  <c r="N34" i="46"/>
  <c r="O34" i="46"/>
  <c r="P34" i="46"/>
  <c r="Q34" i="46"/>
  <c r="R34" i="46"/>
  <c r="S34" i="46"/>
  <c r="T34" i="46"/>
  <c r="U34" i="46"/>
  <c r="V34" i="46"/>
  <c r="W34" i="46"/>
  <c r="X34" i="46"/>
  <c r="Y34" i="46"/>
  <c r="Z34" i="46"/>
  <c r="AA34" i="46"/>
  <c r="AB34" i="46"/>
  <c r="AC34" i="46"/>
  <c r="AD34" i="46"/>
  <c r="AE34" i="46"/>
  <c r="AF34" i="46"/>
  <c r="AG34" i="46"/>
  <c r="AH34" i="46"/>
  <c r="AI34" i="46"/>
  <c r="AJ34" i="46"/>
  <c r="AK34" i="46"/>
  <c r="AL34" i="46"/>
  <c r="AM34" i="46"/>
  <c r="D35" i="46"/>
  <c r="E35" i="46"/>
  <c r="F35" i="46"/>
  <c r="G35" i="46"/>
  <c r="H35" i="46"/>
  <c r="I35" i="46"/>
  <c r="J35" i="46"/>
  <c r="K35" i="46"/>
  <c r="L35" i="46"/>
  <c r="M35" i="46"/>
  <c r="N35" i="46"/>
  <c r="O35" i="46"/>
  <c r="P35" i="46"/>
  <c r="Q35" i="46"/>
  <c r="R35" i="46"/>
  <c r="S35" i="46"/>
  <c r="T35" i="46"/>
  <c r="U35" i="46"/>
  <c r="V35" i="46"/>
  <c r="W35" i="46"/>
  <c r="X35" i="46"/>
  <c r="Y35" i="46"/>
  <c r="Z35" i="46"/>
  <c r="AA35" i="46"/>
  <c r="AB35" i="46"/>
  <c r="AC35" i="46"/>
  <c r="AD35" i="46"/>
  <c r="AE35" i="46"/>
  <c r="AF35" i="46"/>
  <c r="AG35" i="46"/>
  <c r="AH35" i="46"/>
  <c r="AI35" i="46"/>
  <c r="AJ35" i="46"/>
  <c r="AK35" i="46"/>
  <c r="AL35" i="46"/>
  <c r="AM35" i="46"/>
  <c r="D36" i="46"/>
  <c r="E36" i="46"/>
  <c r="F36" i="46"/>
  <c r="G36" i="46"/>
  <c r="H36" i="46"/>
  <c r="I36" i="46"/>
  <c r="J36" i="46"/>
  <c r="K36" i="46"/>
  <c r="L36" i="46"/>
  <c r="M36" i="46"/>
  <c r="N36" i="46"/>
  <c r="O36" i="46"/>
  <c r="P36" i="46"/>
  <c r="Q36" i="46"/>
  <c r="R36" i="46"/>
  <c r="S36" i="46"/>
  <c r="T36" i="46"/>
  <c r="U36" i="46"/>
  <c r="V36" i="46"/>
  <c r="W36" i="46"/>
  <c r="X36" i="46"/>
  <c r="Y36" i="46"/>
  <c r="Z36" i="46"/>
  <c r="AA36" i="46"/>
  <c r="AB36" i="46"/>
  <c r="AC36" i="46"/>
  <c r="AD36" i="46"/>
  <c r="AE36" i="46"/>
  <c r="AF36" i="46"/>
  <c r="AG36" i="46"/>
  <c r="AH36" i="46"/>
  <c r="AI36" i="46"/>
  <c r="AJ36" i="46"/>
  <c r="AK36" i="46"/>
  <c r="AL36" i="46"/>
  <c r="AM36" i="46"/>
  <c r="D37" i="46"/>
  <c r="E37" i="46"/>
  <c r="F37" i="46"/>
  <c r="G37" i="46"/>
  <c r="H37" i="46"/>
  <c r="I37" i="46"/>
  <c r="J37" i="46"/>
  <c r="K37" i="46"/>
  <c r="L37" i="46"/>
  <c r="M37" i="46"/>
  <c r="N37" i="46"/>
  <c r="O37" i="46"/>
  <c r="P37" i="46"/>
  <c r="Q37" i="46"/>
  <c r="R37" i="46"/>
  <c r="S37" i="46"/>
  <c r="T37" i="46"/>
  <c r="U37" i="46"/>
  <c r="V37" i="46"/>
  <c r="W37" i="46"/>
  <c r="X37" i="46"/>
  <c r="Y37" i="46"/>
  <c r="Z37" i="46"/>
  <c r="AA37" i="46"/>
  <c r="AB37" i="46"/>
  <c r="AC37" i="46"/>
  <c r="AD37" i="46"/>
  <c r="AE37" i="46"/>
  <c r="AF37" i="46"/>
  <c r="AG37" i="46"/>
  <c r="AH37" i="46"/>
  <c r="AI37" i="46"/>
  <c r="AJ37" i="46"/>
  <c r="AK37" i="46"/>
  <c r="AL37" i="46"/>
  <c r="AM37" i="46"/>
  <c r="D38" i="46"/>
  <c r="E38" i="46"/>
  <c r="F38" i="46"/>
  <c r="G38" i="46"/>
  <c r="H38" i="46"/>
  <c r="I38" i="46"/>
  <c r="J38" i="46"/>
  <c r="K38" i="46"/>
  <c r="L38" i="46"/>
  <c r="M38" i="46"/>
  <c r="N38" i="46"/>
  <c r="O38" i="46"/>
  <c r="P38" i="46"/>
  <c r="Q38" i="46"/>
  <c r="R38" i="46"/>
  <c r="S38" i="46"/>
  <c r="T38" i="46"/>
  <c r="U38" i="46"/>
  <c r="V38" i="46"/>
  <c r="W38" i="46"/>
  <c r="X38" i="46"/>
  <c r="Y38" i="46"/>
  <c r="Z38" i="46"/>
  <c r="AA38" i="46"/>
  <c r="AB38" i="46"/>
  <c r="AC38" i="46"/>
  <c r="AD38" i="46"/>
  <c r="AE38" i="46"/>
  <c r="AF38" i="46"/>
  <c r="AG38" i="46"/>
  <c r="AH38" i="46"/>
  <c r="AI38" i="46"/>
  <c r="AJ38" i="46"/>
  <c r="AK38" i="46"/>
  <c r="AL38" i="46"/>
  <c r="AM38" i="46"/>
  <c r="D39" i="46"/>
  <c r="E39" i="46"/>
  <c r="F39" i="46"/>
  <c r="G39" i="46"/>
  <c r="H39" i="46"/>
  <c r="I39" i="46"/>
  <c r="J39" i="46"/>
  <c r="K39" i="46"/>
  <c r="L39" i="46"/>
  <c r="M39" i="46"/>
  <c r="N39" i="46"/>
  <c r="O39" i="46"/>
  <c r="P39" i="46"/>
  <c r="Q39" i="46"/>
  <c r="R39" i="46"/>
  <c r="S39" i="46"/>
  <c r="T39" i="46"/>
  <c r="U39" i="46"/>
  <c r="V39" i="46"/>
  <c r="W39" i="46"/>
  <c r="X39" i="46"/>
  <c r="Y39" i="46"/>
  <c r="Z39" i="46"/>
  <c r="AA39" i="46"/>
  <c r="AB39" i="46"/>
  <c r="AC39" i="46"/>
  <c r="AD39" i="46"/>
  <c r="AE39" i="46"/>
  <c r="AF39" i="46"/>
  <c r="AG39" i="46"/>
  <c r="AH39" i="46"/>
  <c r="AI39" i="46"/>
  <c r="AJ39" i="46"/>
  <c r="AK39" i="46"/>
  <c r="AL39" i="46"/>
  <c r="AM39" i="46"/>
  <c r="D40" i="46"/>
  <c r="E40" i="46"/>
  <c r="F40" i="46"/>
  <c r="G40" i="46"/>
  <c r="H40" i="46"/>
  <c r="I40" i="46"/>
  <c r="J40" i="46"/>
  <c r="K40" i="46"/>
  <c r="L40" i="46"/>
  <c r="M40" i="46"/>
  <c r="N40" i="46"/>
  <c r="O40" i="46"/>
  <c r="P40" i="46"/>
  <c r="Q40" i="46"/>
  <c r="R40" i="46"/>
  <c r="S40" i="46"/>
  <c r="T40" i="46"/>
  <c r="U40" i="46"/>
  <c r="V40" i="46"/>
  <c r="W40" i="46"/>
  <c r="X40" i="46"/>
  <c r="Y40" i="46"/>
  <c r="Z40" i="46"/>
  <c r="AA40" i="46"/>
  <c r="AB40" i="46"/>
  <c r="AC40" i="46"/>
  <c r="AD40" i="46"/>
  <c r="AE40" i="46"/>
  <c r="AF40" i="46"/>
  <c r="AG40" i="46"/>
  <c r="AH40" i="46"/>
  <c r="AI40" i="46"/>
  <c r="AJ40" i="46"/>
  <c r="AK40" i="46"/>
  <c r="AL40" i="46"/>
  <c r="AM40" i="46"/>
  <c r="D41" i="46"/>
  <c r="E41" i="46"/>
  <c r="F41" i="46"/>
  <c r="G41" i="46"/>
  <c r="H41" i="46"/>
  <c r="I41" i="46"/>
  <c r="J41" i="46"/>
  <c r="K41" i="46"/>
  <c r="L41" i="46"/>
  <c r="M41" i="46"/>
  <c r="N41" i="46"/>
  <c r="O41" i="46"/>
  <c r="P41" i="46"/>
  <c r="Q41" i="46"/>
  <c r="R41" i="46"/>
  <c r="S41" i="46"/>
  <c r="T41" i="46"/>
  <c r="U41" i="46"/>
  <c r="V41" i="46"/>
  <c r="W41" i="46"/>
  <c r="X41" i="46"/>
  <c r="Y41" i="46"/>
  <c r="Z41" i="46"/>
  <c r="AA41" i="46"/>
  <c r="AB41" i="46"/>
  <c r="AC41" i="46"/>
  <c r="AD41" i="46"/>
  <c r="AE41" i="46"/>
  <c r="AF41" i="46"/>
  <c r="AG41" i="46"/>
  <c r="AH41" i="46"/>
  <c r="AI41" i="46"/>
  <c r="AJ41" i="46"/>
  <c r="AK41" i="46"/>
  <c r="AL41" i="46"/>
  <c r="AM41" i="46"/>
  <c r="D42" i="46"/>
  <c r="E42" i="46"/>
  <c r="F42" i="46"/>
  <c r="G42" i="46"/>
  <c r="H42" i="46"/>
  <c r="I42" i="46"/>
  <c r="J42" i="46"/>
  <c r="K42" i="46"/>
  <c r="L42" i="46"/>
  <c r="M42" i="46"/>
  <c r="N42" i="46"/>
  <c r="O42" i="46"/>
  <c r="P42" i="46"/>
  <c r="Q42" i="46"/>
  <c r="R42" i="46"/>
  <c r="S42" i="46"/>
  <c r="T42" i="46"/>
  <c r="U42" i="46"/>
  <c r="V42" i="46"/>
  <c r="W42" i="46"/>
  <c r="X42" i="46"/>
  <c r="Y42" i="46"/>
  <c r="Z42" i="46"/>
  <c r="AA42" i="46"/>
  <c r="AB42" i="46"/>
  <c r="AC42" i="46"/>
  <c r="AD42" i="46"/>
  <c r="AE42" i="46"/>
  <c r="AF42" i="46"/>
  <c r="AG42" i="46"/>
  <c r="AH42" i="46"/>
  <c r="AI42" i="46"/>
  <c r="AJ42" i="46"/>
  <c r="AK42" i="46"/>
  <c r="AL42" i="46"/>
  <c r="AM42" i="46"/>
  <c r="D43" i="46"/>
  <c r="E43" i="46"/>
  <c r="F43" i="46"/>
  <c r="G43" i="46"/>
  <c r="H43" i="46"/>
  <c r="I43" i="46"/>
  <c r="J43" i="46"/>
  <c r="K43" i="46"/>
  <c r="L43" i="46"/>
  <c r="M43" i="46"/>
  <c r="N43" i="46"/>
  <c r="O43" i="46"/>
  <c r="P43" i="46"/>
  <c r="Q43" i="46"/>
  <c r="R43" i="46"/>
  <c r="S43" i="46"/>
  <c r="T43" i="46"/>
  <c r="U43" i="46"/>
  <c r="V43" i="46"/>
  <c r="W43" i="46"/>
  <c r="X43" i="46"/>
  <c r="Y43" i="46"/>
  <c r="Z43" i="46"/>
  <c r="AA43" i="46"/>
  <c r="AB43" i="46"/>
  <c r="AC43" i="46"/>
  <c r="AD43" i="46"/>
  <c r="AE43" i="46"/>
  <c r="AF43" i="46"/>
  <c r="AG43" i="46"/>
  <c r="AH43" i="46"/>
  <c r="AI43" i="46"/>
  <c r="AJ43" i="46"/>
  <c r="AK43" i="46"/>
  <c r="AL43" i="46"/>
  <c r="AM43" i="46"/>
  <c r="D44" i="46"/>
  <c r="E44" i="46"/>
  <c r="F44" i="46"/>
  <c r="G44" i="46"/>
  <c r="H44" i="46"/>
  <c r="I44" i="46"/>
  <c r="J44" i="46"/>
  <c r="K44" i="46"/>
  <c r="L44" i="46"/>
  <c r="M44" i="46"/>
  <c r="N44" i="46"/>
  <c r="O44" i="46"/>
  <c r="P44" i="46"/>
  <c r="Q44" i="46"/>
  <c r="R44" i="46"/>
  <c r="S44" i="46"/>
  <c r="T44" i="46"/>
  <c r="U44" i="46"/>
  <c r="V44" i="46"/>
  <c r="W44" i="46"/>
  <c r="X44" i="46"/>
  <c r="Y44" i="46"/>
  <c r="Z44" i="46"/>
  <c r="AA44" i="46"/>
  <c r="AB44" i="46"/>
  <c r="AC44" i="46"/>
  <c r="AD44" i="46"/>
  <c r="AE44" i="46"/>
  <c r="AF44" i="46"/>
  <c r="AG44" i="46"/>
  <c r="AH44" i="46"/>
  <c r="AI44" i="46"/>
  <c r="AJ44" i="46"/>
  <c r="AK44" i="46"/>
  <c r="AL44" i="46"/>
  <c r="AM44" i="46"/>
  <c r="D45" i="46"/>
  <c r="E45" i="46"/>
  <c r="F45" i="46"/>
  <c r="G45" i="46"/>
  <c r="H45" i="46"/>
  <c r="I45" i="46"/>
  <c r="J45" i="46"/>
  <c r="K45" i="46"/>
  <c r="L45" i="46"/>
  <c r="M45" i="46"/>
  <c r="N45" i="46"/>
  <c r="O45" i="46"/>
  <c r="P45" i="46"/>
  <c r="Q45" i="46"/>
  <c r="R45" i="46"/>
  <c r="S45" i="46"/>
  <c r="T45" i="46"/>
  <c r="U45" i="46"/>
  <c r="V45" i="46"/>
  <c r="W45" i="46"/>
  <c r="X45" i="46"/>
  <c r="Y45" i="46"/>
  <c r="Z45" i="46"/>
  <c r="AA45" i="46"/>
  <c r="AB45" i="46"/>
  <c r="AC45" i="46"/>
  <c r="AD45" i="46"/>
  <c r="AE45" i="46"/>
  <c r="AF45" i="46"/>
  <c r="AG45" i="46"/>
  <c r="AH45" i="46"/>
  <c r="AI45" i="46"/>
  <c r="AJ45" i="46"/>
  <c r="AK45" i="46"/>
  <c r="AL45" i="46"/>
  <c r="AM45" i="46"/>
  <c r="D46" i="46"/>
  <c r="E46" i="46"/>
  <c r="F46" i="46"/>
  <c r="G46" i="46"/>
  <c r="H46" i="46"/>
  <c r="I46" i="46"/>
  <c r="J46" i="46"/>
  <c r="K46" i="46"/>
  <c r="L46" i="46"/>
  <c r="M46" i="46"/>
  <c r="N46" i="46"/>
  <c r="O46" i="46"/>
  <c r="P46" i="46"/>
  <c r="Q46" i="46"/>
  <c r="R46" i="46"/>
  <c r="S46" i="46"/>
  <c r="T46" i="46"/>
  <c r="U46" i="46"/>
  <c r="V46" i="46"/>
  <c r="W46" i="46"/>
  <c r="X46" i="46"/>
  <c r="Y46" i="46"/>
  <c r="Z46" i="46"/>
  <c r="AA46" i="46"/>
  <c r="AB46" i="46"/>
  <c r="AC46" i="46"/>
  <c r="AD46" i="46"/>
  <c r="AE46" i="46"/>
  <c r="AF46" i="46"/>
  <c r="AG46" i="46"/>
  <c r="AH46" i="46"/>
  <c r="AI46" i="46"/>
  <c r="AJ46" i="46"/>
  <c r="AK46" i="46"/>
  <c r="AL46" i="46"/>
  <c r="AM46" i="46"/>
  <c r="D47" i="46"/>
  <c r="E47" i="46"/>
  <c r="F47" i="46"/>
  <c r="G47" i="46"/>
  <c r="H47" i="46"/>
  <c r="I47" i="46"/>
  <c r="J47" i="46"/>
  <c r="K47" i="46"/>
  <c r="L47" i="46"/>
  <c r="M47" i="46"/>
  <c r="N47" i="46"/>
  <c r="O47" i="46"/>
  <c r="P47" i="46"/>
  <c r="Q47" i="46"/>
  <c r="R47" i="46"/>
  <c r="S47" i="46"/>
  <c r="T47" i="46"/>
  <c r="U47" i="46"/>
  <c r="V47" i="46"/>
  <c r="W47" i="46"/>
  <c r="X47" i="46"/>
  <c r="Y47" i="46"/>
  <c r="Z47" i="46"/>
  <c r="AA47" i="46"/>
  <c r="AB47" i="46"/>
  <c r="AC47" i="46"/>
  <c r="AD47" i="46"/>
  <c r="AE47" i="46"/>
  <c r="AF47" i="46"/>
  <c r="AG47" i="46"/>
  <c r="AH47" i="46"/>
  <c r="AI47" i="46"/>
  <c r="AJ47" i="46"/>
  <c r="AK47" i="46"/>
  <c r="AL47" i="46"/>
  <c r="AM47" i="46"/>
  <c r="D48" i="46"/>
  <c r="E48" i="46"/>
  <c r="F48" i="46"/>
  <c r="G48" i="46"/>
  <c r="H48" i="46"/>
  <c r="I48" i="46"/>
  <c r="J48" i="46"/>
  <c r="K48" i="46"/>
  <c r="L48" i="46"/>
  <c r="M48" i="46"/>
  <c r="N48" i="46"/>
  <c r="O48" i="46"/>
  <c r="P48" i="46"/>
  <c r="Q48" i="46"/>
  <c r="R48" i="46"/>
  <c r="S48" i="46"/>
  <c r="T48" i="46"/>
  <c r="U48" i="46"/>
  <c r="V48" i="46"/>
  <c r="W48" i="46"/>
  <c r="X48" i="46"/>
  <c r="Y48" i="46"/>
  <c r="Z48" i="46"/>
  <c r="AA48" i="46"/>
  <c r="AB48" i="46"/>
  <c r="AC48" i="46"/>
  <c r="AD48" i="46"/>
  <c r="AE48" i="46"/>
  <c r="AF48" i="46"/>
  <c r="AG48" i="46"/>
  <c r="AH48" i="46"/>
  <c r="AI48" i="46"/>
  <c r="AJ48" i="46"/>
  <c r="AK48" i="46"/>
  <c r="AL48" i="46"/>
  <c r="AM48" i="46"/>
  <c r="D49" i="46"/>
  <c r="E49" i="46"/>
  <c r="F49" i="46"/>
  <c r="G49" i="46"/>
  <c r="H49" i="46"/>
  <c r="I49" i="46"/>
  <c r="J49" i="46"/>
  <c r="K49" i="46"/>
  <c r="L49" i="46"/>
  <c r="M49" i="46"/>
  <c r="N49" i="46"/>
  <c r="O49" i="46"/>
  <c r="P49" i="46"/>
  <c r="Q49" i="46"/>
  <c r="R49" i="46"/>
  <c r="S49" i="46"/>
  <c r="T49" i="46"/>
  <c r="U49" i="46"/>
  <c r="V49" i="46"/>
  <c r="W49" i="46"/>
  <c r="X49" i="46"/>
  <c r="Y49" i="46"/>
  <c r="Z49" i="46"/>
  <c r="AA49" i="46"/>
  <c r="AB49" i="46"/>
  <c r="AC49" i="46"/>
  <c r="AD49" i="46"/>
  <c r="AE49" i="46"/>
  <c r="AF49" i="46"/>
  <c r="AG49" i="46"/>
  <c r="AH49" i="46"/>
  <c r="AI49" i="46"/>
  <c r="AJ49" i="46"/>
  <c r="AK49" i="46"/>
  <c r="AL49" i="46"/>
  <c r="AM49" i="46"/>
  <c r="D50" i="46"/>
  <c r="E50" i="46"/>
  <c r="F50" i="46"/>
  <c r="G50" i="46"/>
  <c r="H50" i="46"/>
  <c r="I50" i="46"/>
  <c r="J50" i="46"/>
  <c r="K50" i="46"/>
  <c r="L50" i="46"/>
  <c r="M50" i="46"/>
  <c r="N50" i="46"/>
  <c r="O50" i="46"/>
  <c r="P50" i="46"/>
  <c r="Q50" i="46"/>
  <c r="R50" i="46"/>
  <c r="S50" i="46"/>
  <c r="T50" i="46"/>
  <c r="U50" i="46"/>
  <c r="V50" i="46"/>
  <c r="W50" i="46"/>
  <c r="X50" i="46"/>
  <c r="Y50" i="46"/>
  <c r="Z50" i="46"/>
  <c r="AA50" i="46"/>
  <c r="AB50" i="46"/>
  <c r="AC50" i="46"/>
  <c r="AD50" i="46"/>
  <c r="AE50" i="46"/>
  <c r="AF50" i="46"/>
  <c r="AG50" i="46"/>
  <c r="AH50" i="46"/>
  <c r="AI50" i="46"/>
  <c r="AJ50" i="46"/>
  <c r="AK50" i="46"/>
  <c r="AL50" i="46"/>
  <c r="AM50" i="46"/>
  <c r="D51" i="46"/>
  <c r="E51" i="46"/>
  <c r="F51" i="46"/>
  <c r="G51" i="46"/>
  <c r="H51" i="46"/>
  <c r="I51" i="46"/>
  <c r="J51" i="46"/>
  <c r="K51" i="46"/>
  <c r="L51" i="46"/>
  <c r="M51" i="46"/>
  <c r="N51" i="46"/>
  <c r="O51" i="46"/>
  <c r="P51" i="46"/>
  <c r="Q51" i="46"/>
  <c r="R51" i="46"/>
  <c r="S51" i="46"/>
  <c r="T51" i="46"/>
  <c r="U51" i="46"/>
  <c r="V51" i="46"/>
  <c r="W51" i="46"/>
  <c r="X51" i="46"/>
  <c r="Y51" i="46"/>
  <c r="Z51" i="46"/>
  <c r="AA51" i="46"/>
  <c r="AB51" i="46"/>
  <c r="AC51" i="46"/>
  <c r="AD51" i="46"/>
  <c r="AE51" i="46"/>
  <c r="AF51" i="46"/>
  <c r="AG51" i="46"/>
  <c r="AH51" i="46"/>
  <c r="AI51" i="46"/>
  <c r="AJ51" i="46"/>
  <c r="AK51" i="46"/>
  <c r="AL51" i="46"/>
  <c r="AM51" i="46"/>
  <c r="D52" i="46"/>
  <c r="E52" i="46"/>
  <c r="F52" i="46"/>
  <c r="G52" i="46"/>
  <c r="H52" i="46"/>
  <c r="I52" i="46"/>
  <c r="J52" i="46"/>
  <c r="K52" i="46"/>
  <c r="L52" i="46"/>
  <c r="M52" i="46"/>
  <c r="N52" i="46"/>
  <c r="O52" i="46"/>
  <c r="P52" i="46"/>
  <c r="Q52" i="46"/>
  <c r="R52" i="46"/>
  <c r="S52" i="46"/>
  <c r="T52" i="46"/>
  <c r="U52" i="46"/>
  <c r="V52" i="46"/>
  <c r="W52" i="46"/>
  <c r="X52" i="46"/>
  <c r="Y52" i="46"/>
  <c r="Z52" i="46"/>
  <c r="AA52" i="46"/>
  <c r="AB52" i="46"/>
  <c r="AC52" i="46"/>
  <c r="AD52" i="46"/>
  <c r="AE52" i="46"/>
  <c r="AF52" i="46"/>
  <c r="AG52" i="46"/>
  <c r="AH52" i="46"/>
  <c r="AI52" i="46"/>
  <c r="AJ52" i="46"/>
  <c r="AK52" i="46"/>
  <c r="AL52" i="46"/>
  <c r="AM52" i="46"/>
  <c r="D53" i="46"/>
  <c r="E53" i="46"/>
  <c r="F53" i="46"/>
  <c r="G53" i="46"/>
  <c r="H53" i="46"/>
  <c r="I53" i="46"/>
  <c r="J53" i="46"/>
  <c r="K53" i="46"/>
  <c r="L53" i="46"/>
  <c r="M53" i="46"/>
  <c r="N53" i="46"/>
  <c r="O53" i="46"/>
  <c r="P53" i="46"/>
  <c r="Q53" i="46"/>
  <c r="R53" i="46"/>
  <c r="S53" i="46"/>
  <c r="T53" i="46"/>
  <c r="U53" i="46"/>
  <c r="V53" i="46"/>
  <c r="W53" i="46"/>
  <c r="X53" i="46"/>
  <c r="Y53" i="46"/>
  <c r="Z53" i="46"/>
  <c r="AA53" i="46"/>
  <c r="AB53" i="46"/>
  <c r="AC53" i="46"/>
  <c r="AD53" i="46"/>
  <c r="AE53" i="46"/>
  <c r="AF53" i="46"/>
  <c r="AG53" i="46"/>
  <c r="AH53" i="46"/>
  <c r="AI53" i="46"/>
  <c r="AJ53" i="46"/>
  <c r="AK53" i="46"/>
  <c r="AL53" i="46"/>
  <c r="AM53" i="46"/>
  <c r="D54" i="46"/>
  <c r="E54" i="46"/>
  <c r="F54" i="46"/>
  <c r="G54" i="46"/>
  <c r="H54" i="46"/>
  <c r="I54" i="46"/>
  <c r="J54" i="46"/>
  <c r="K54" i="46"/>
  <c r="L54" i="46"/>
  <c r="M54" i="46"/>
  <c r="N54" i="46"/>
  <c r="O54" i="46"/>
  <c r="P54" i="46"/>
  <c r="Q54" i="46"/>
  <c r="R54" i="46"/>
  <c r="S54" i="46"/>
  <c r="T54" i="46"/>
  <c r="U54" i="46"/>
  <c r="V54" i="46"/>
  <c r="W54" i="46"/>
  <c r="X54" i="46"/>
  <c r="Y54" i="46"/>
  <c r="Z54" i="46"/>
  <c r="AA54" i="46"/>
  <c r="AB54" i="46"/>
  <c r="AC54" i="46"/>
  <c r="AD54" i="46"/>
  <c r="AE54" i="46"/>
  <c r="AF54" i="46"/>
  <c r="AG54" i="46"/>
  <c r="AH54" i="46"/>
  <c r="AI54" i="46"/>
  <c r="AJ54" i="46"/>
  <c r="AK54" i="46"/>
  <c r="AL54" i="46"/>
  <c r="AM54" i="46"/>
  <c r="D55" i="46"/>
  <c r="E55" i="46"/>
  <c r="F55" i="46"/>
  <c r="G55" i="46"/>
  <c r="H55" i="46"/>
  <c r="I55" i="46"/>
  <c r="J55" i="46"/>
  <c r="K55" i="46"/>
  <c r="L55" i="46"/>
  <c r="M55" i="46"/>
  <c r="N55" i="46"/>
  <c r="O55" i="46"/>
  <c r="P55" i="46"/>
  <c r="Q55" i="46"/>
  <c r="R55" i="46"/>
  <c r="S55" i="46"/>
  <c r="T55" i="46"/>
  <c r="U55" i="46"/>
  <c r="V55" i="46"/>
  <c r="W55" i="46"/>
  <c r="X55" i="46"/>
  <c r="Y55" i="46"/>
  <c r="Z55" i="46"/>
  <c r="AA55" i="46"/>
  <c r="AB55" i="46"/>
  <c r="AC55" i="46"/>
  <c r="AD55" i="46"/>
  <c r="AE55" i="46"/>
  <c r="AF55" i="46"/>
  <c r="AG55" i="46"/>
  <c r="AH55" i="46"/>
  <c r="AI55" i="46"/>
  <c r="AJ55" i="46"/>
  <c r="AK55" i="46"/>
  <c r="AL55" i="46"/>
  <c r="AM55" i="46"/>
  <c r="D56" i="46"/>
  <c r="E56" i="46"/>
  <c r="F56" i="46"/>
  <c r="G56" i="46"/>
  <c r="H56" i="46"/>
  <c r="I56" i="46"/>
  <c r="J56" i="46"/>
  <c r="K56" i="46"/>
  <c r="L56" i="46"/>
  <c r="M56" i="46"/>
  <c r="N56" i="46"/>
  <c r="O56" i="46"/>
  <c r="P56" i="46"/>
  <c r="Q56" i="46"/>
  <c r="R56" i="46"/>
  <c r="S56" i="46"/>
  <c r="T56" i="46"/>
  <c r="U56" i="46"/>
  <c r="V56" i="46"/>
  <c r="W56" i="46"/>
  <c r="X56" i="46"/>
  <c r="Y56" i="46"/>
  <c r="Z56" i="46"/>
  <c r="AA56" i="46"/>
  <c r="AB56" i="46"/>
  <c r="AC56" i="46"/>
  <c r="AD56" i="46"/>
  <c r="AE56" i="46"/>
  <c r="AF56" i="46"/>
  <c r="AG56" i="46"/>
  <c r="AH56" i="46"/>
  <c r="AI56" i="46"/>
  <c r="AJ56" i="46"/>
  <c r="AK56" i="46"/>
  <c r="AL56" i="46"/>
  <c r="AM56" i="46"/>
  <c r="D57" i="46"/>
  <c r="E57" i="46"/>
  <c r="F57" i="46"/>
  <c r="G57" i="46"/>
  <c r="H57" i="46"/>
  <c r="I57" i="46"/>
  <c r="J57" i="46"/>
  <c r="K57" i="46"/>
  <c r="L57" i="46"/>
  <c r="M57" i="46"/>
  <c r="N57" i="46"/>
  <c r="O57" i="46"/>
  <c r="P57" i="46"/>
  <c r="Q57" i="46"/>
  <c r="R57" i="46"/>
  <c r="S57" i="46"/>
  <c r="T57" i="46"/>
  <c r="U57" i="46"/>
  <c r="V57" i="46"/>
  <c r="W57" i="46"/>
  <c r="X57" i="46"/>
  <c r="Y57" i="46"/>
  <c r="Z57" i="46"/>
  <c r="AA57" i="46"/>
  <c r="AB57" i="46"/>
  <c r="AC57" i="46"/>
  <c r="AD57" i="46"/>
  <c r="AE57" i="46"/>
  <c r="AF57" i="46"/>
  <c r="AG57" i="46"/>
  <c r="AH57" i="46"/>
  <c r="AI57" i="46"/>
  <c r="AJ57" i="46"/>
  <c r="AK57" i="46"/>
  <c r="AL57" i="46"/>
  <c r="AM57" i="46"/>
  <c r="D58" i="46"/>
  <c r="E58" i="46"/>
  <c r="F58" i="46"/>
  <c r="G58" i="46"/>
  <c r="H58" i="46"/>
  <c r="I58" i="46"/>
  <c r="J58" i="46"/>
  <c r="K58" i="46"/>
  <c r="L58" i="46"/>
  <c r="M58" i="46"/>
  <c r="N58" i="46"/>
  <c r="O58" i="46"/>
  <c r="P58" i="46"/>
  <c r="Q58" i="46"/>
  <c r="R58" i="46"/>
  <c r="S58" i="46"/>
  <c r="T58" i="46"/>
  <c r="U58" i="46"/>
  <c r="V58" i="46"/>
  <c r="W58" i="46"/>
  <c r="X58" i="46"/>
  <c r="Y58" i="46"/>
  <c r="Z58" i="46"/>
  <c r="AA58" i="46"/>
  <c r="AB58" i="46"/>
  <c r="AC58" i="46"/>
  <c r="AD58" i="46"/>
  <c r="AE58" i="46"/>
  <c r="AF58" i="46"/>
  <c r="AG58" i="46"/>
  <c r="AH58" i="46"/>
  <c r="AI58" i="46"/>
  <c r="AJ58" i="46"/>
  <c r="AK58" i="46"/>
  <c r="AL58" i="46"/>
  <c r="AM58" i="46"/>
  <c r="D59" i="46"/>
  <c r="E59" i="46"/>
  <c r="F59" i="46"/>
  <c r="G59" i="46"/>
  <c r="H59" i="46"/>
  <c r="I59" i="46"/>
  <c r="J59" i="46"/>
  <c r="K59" i="46"/>
  <c r="L59" i="46"/>
  <c r="M59" i="46"/>
  <c r="N59" i="46"/>
  <c r="O59" i="46"/>
  <c r="P59" i="46"/>
  <c r="Q59" i="46"/>
  <c r="R59" i="46"/>
  <c r="S59" i="46"/>
  <c r="T59" i="46"/>
  <c r="U59" i="46"/>
  <c r="V59" i="46"/>
  <c r="W59" i="46"/>
  <c r="X59" i="46"/>
  <c r="Y59" i="46"/>
  <c r="Z59" i="46"/>
  <c r="AA59" i="46"/>
  <c r="AB59" i="46"/>
  <c r="AC59" i="46"/>
  <c r="AD59" i="46"/>
  <c r="AE59" i="46"/>
  <c r="AF59" i="46"/>
  <c r="AG59" i="46"/>
  <c r="AH59" i="46"/>
  <c r="AI59" i="46"/>
  <c r="AJ59" i="46"/>
  <c r="AK59" i="46"/>
  <c r="AL59" i="46"/>
  <c r="AM59" i="46"/>
  <c r="D60" i="46"/>
  <c r="E60" i="46"/>
  <c r="F60" i="46"/>
  <c r="G60" i="46"/>
  <c r="H60" i="46"/>
  <c r="I60" i="46"/>
  <c r="J60" i="46"/>
  <c r="K60" i="46"/>
  <c r="L60" i="46"/>
  <c r="M60" i="46"/>
  <c r="N60" i="46"/>
  <c r="O60" i="46"/>
  <c r="P60" i="46"/>
  <c r="Q60" i="46"/>
  <c r="R60" i="46"/>
  <c r="S60" i="46"/>
  <c r="T60" i="46"/>
  <c r="U60" i="46"/>
  <c r="V60" i="46"/>
  <c r="W60" i="46"/>
  <c r="X60" i="46"/>
  <c r="Y60" i="46"/>
  <c r="Z60" i="46"/>
  <c r="AA60" i="46"/>
  <c r="AB60" i="46"/>
  <c r="AC60" i="46"/>
  <c r="AD60" i="46"/>
  <c r="AE60" i="46"/>
  <c r="AF60" i="46"/>
  <c r="AG60" i="46"/>
  <c r="AH60" i="46"/>
  <c r="AI60" i="46"/>
  <c r="AJ60" i="46"/>
  <c r="AK60" i="46"/>
  <c r="AL60" i="46"/>
  <c r="AM60" i="46"/>
  <c r="D61" i="46"/>
  <c r="E61" i="46"/>
  <c r="F61" i="46"/>
  <c r="G61" i="46"/>
  <c r="H61" i="46"/>
  <c r="I61" i="46"/>
  <c r="J61" i="46"/>
  <c r="K61" i="46"/>
  <c r="L61" i="46"/>
  <c r="M61" i="46"/>
  <c r="N61" i="46"/>
  <c r="O61" i="46"/>
  <c r="P61" i="46"/>
  <c r="Q61" i="46"/>
  <c r="R61" i="46"/>
  <c r="S61" i="46"/>
  <c r="T61" i="46"/>
  <c r="U61" i="46"/>
  <c r="V61" i="46"/>
  <c r="W61" i="46"/>
  <c r="X61" i="46"/>
  <c r="Y61" i="46"/>
  <c r="Z61" i="46"/>
  <c r="AA61" i="46"/>
  <c r="AB61" i="46"/>
  <c r="AC61" i="46"/>
  <c r="AD61" i="46"/>
  <c r="AE61" i="46"/>
  <c r="AF61" i="46"/>
  <c r="AG61" i="46"/>
  <c r="AH61" i="46"/>
  <c r="AI61" i="46"/>
  <c r="AJ61" i="46"/>
  <c r="AK61" i="46"/>
  <c r="AL61" i="46"/>
  <c r="AM61" i="46"/>
  <c r="D62" i="46"/>
  <c r="E62" i="46"/>
  <c r="F62" i="46"/>
  <c r="G62" i="46"/>
  <c r="H62" i="46"/>
  <c r="I62" i="46"/>
  <c r="J62" i="46"/>
  <c r="K62" i="46"/>
  <c r="L62" i="46"/>
  <c r="M62" i="46"/>
  <c r="N62" i="46"/>
  <c r="O62" i="46"/>
  <c r="P62" i="46"/>
  <c r="Q62" i="46"/>
  <c r="R62" i="46"/>
  <c r="S62" i="46"/>
  <c r="T62" i="46"/>
  <c r="U62" i="46"/>
  <c r="V62" i="46"/>
  <c r="W62" i="46"/>
  <c r="X62" i="46"/>
  <c r="Y62" i="46"/>
  <c r="Z62" i="46"/>
  <c r="AA62" i="46"/>
  <c r="AB62" i="46"/>
  <c r="AC62" i="46"/>
  <c r="AD62" i="46"/>
  <c r="AE62" i="46"/>
  <c r="AF62" i="46"/>
  <c r="AG62" i="46"/>
  <c r="AH62" i="46"/>
  <c r="AI62" i="46"/>
  <c r="AJ62" i="46"/>
  <c r="AK62" i="46"/>
  <c r="AL62" i="46"/>
  <c r="AM62" i="46"/>
  <c r="D63" i="46"/>
  <c r="E63" i="46"/>
  <c r="F63" i="46"/>
  <c r="G63" i="46"/>
  <c r="H63" i="46"/>
  <c r="I63" i="46"/>
  <c r="J63" i="46"/>
  <c r="K63" i="46"/>
  <c r="L63" i="46"/>
  <c r="M63" i="46"/>
  <c r="N63" i="46"/>
  <c r="O63" i="46"/>
  <c r="P63" i="46"/>
  <c r="Q63" i="46"/>
  <c r="R63" i="46"/>
  <c r="S63" i="46"/>
  <c r="T63" i="46"/>
  <c r="U63" i="46"/>
  <c r="V63" i="46"/>
  <c r="W63" i="46"/>
  <c r="X63" i="46"/>
  <c r="Y63" i="46"/>
  <c r="Z63" i="46"/>
  <c r="AA63" i="46"/>
  <c r="AB63" i="46"/>
  <c r="AC63" i="46"/>
  <c r="AD63" i="46"/>
  <c r="AE63" i="46"/>
  <c r="AF63" i="46"/>
  <c r="AG63" i="46"/>
  <c r="AH63" i="46"/>
  <c r="AI63" i="46"/>
  <c r="AJ63" i="46"/>
  <c r="AK63" i="46"/>
  <c r="AL63" i="46"/>
  <c r="AM63" i="46"/>
  <c r="D64" i="46"/>
  <c r="E64" i="46"/>
  <c r="F64" i="46"/>
  <c r="G64" i="46"/>
  <c r="H64" i="46"/>
  <c r="I64" i="46"/>
  <c r="J64" i="46"/>
  <c r="K64" i="46"/>
  <c r="L64" i="46"/>
  <c r="M64" i="46"/>
  <c r="N64" i="46"/>
  <c r="O64" i="46"/>
  <c r="P64" i="46"/>
  <c r="Q64" i="46"/>
  <c r="R64" i="46"/>
  <c r="S64" i="46"/>
  <c r="T64" i="46"/>
  <c r="U64" i="46"/>
  <c r="V64" i="46"/>
  <c r="W64" i="46"/>
  <c r="X64" i="46"/>
  <c r="Y64" i="46"/>
  <c r="Z64" i="46"/>
  <c r="AA64" i="46"/>
  <c r="AB64" i="46"/>
  <c r="AC64" i="46"/>
  <c r="AD64" i="46"/>
  <c r="AE64" i="46"/>
  <c r="AF64" i="46"/>
  <c r="AG64" i="46"/>
  <c r="AH64" i="46"/>
  <c r="AI64" i="46"/>
  <c r="AJ64" i="46"/>
  <c r="AK64" i="46"/>
  <c r="AL64" i="46"/>
  <c r="AM64" i="46"/>
  <c r="D65" i="46"/>
  <c r="E65" i="46"/>
  <c r="F65" i="46"/>
  <c r="G65" i="46"/>
  <c r="H65" i="46"/>
  <c r="I65" i="46"/>
  <c r="J65" i="46"/>
  <c r="K65" i="46"/>
  <c r="L65" i="46"/>
  <c r="M65" i="46"/>
  <c r="N65" i="46"/>
  <c r="O65" i="46"/>
  <c r="P65" i="46"/>
  <c r="Q65" i="46"/>
  <c r="R65" i="46"/>
  <c r="S65" i="46"/>
  <c r="T65" i="46"/>
  <c r="U65" i="46"/>
  <c r="V65" i="46"/>
  <c r="W65" i="46"/>
  <c r="X65" i="46"/>
  <c r="Y65" i="46"/>
  <c r="Z65" i="46"/>
  <c r="AA65" i="46"/>
  <c r="AB65" i="46"/>
  <c r="AC65" i="46"/>
  <c r="AD65" i="46"/>
  <c r="AE65" i="46"/>
  <c r="AF65" i="46"/>
  <c r="AG65" i="46"/>
  <c r="AH65" i="46"/>
  <c r="AI65" i="46"/>
  <c r="AJ65" i="46"/>
  <c r="AK65" i="46"/>
  <c r="AL65" i="46"/>
  <c r="AM65" i="46"/>
  <c r="D66" i="46"/>
  <c r="E66" i="46"/>
  <c r="F66" i="46"/>
  <c r="G66" i="46"/>
  <c r="H66" i="46"/>
  <c r="I66" i="46"/>
  <c r="J66" i="46"/>
  <c r="K66" i="46"/>
  <c r="L66" i="46"/>
  <c r="M66" i="46"/>
  <c r="N66" i="46"/>
  <c r="O66" i="46"/>
  <c r="P66" i="46"/>
  <c r="Q66" i="46"/>
  <c r="R66" i="46"/>
  <c r="S66" i="46"/>
  <c r="T66" i="46"/>
  <c r="U66" i="46"/>
  <c r="V66" i="46"/>
  <c r="W66" i="46"/>
  <c r="X66" i="46"/>
  <c r="Y66" i="46"/>
  <c r="Z66" i="46"/>
  <c r="AA66" i="46"/>
  <c r="AB66" i="46"/>
  <c r="AC66" i="46"/>
  <c r="AD66" i="46"/>
  <c r="AE66" i="46"/>
  <c r="AF66" i="46"/>
  <c r="AG66" i="46"/>
  <c r="AH66" i="46"/>
  <c r="AI66" i="46"/>
  <c r="AJ66" i="46"/>
  <c r="AK66" i="46"/>
  <c r="AL66" i="46"/>
  <c r="AM66" i="46"/>
  <c r="D67" i="46"/>
  <c r="E67" i="46"/>
  <c r="F67" i="46"/>
  <c r="G67" i="46"/>
  <c r="H67" i="46"/>
  <c r="I67" i="46"/>
  <c r="J67" i="46"/>
  <c r="K67" i="46"/>
  <c r="L67" i="46"/>
  <c r="M67" i="46"/>
  <c r="N67" i="46"/>
  <c r="O67" i="46"/>
  <c r="P67" i="46"/>
  <c r="Q67" i="46"/>
  <c r="R67" i="46"/>
  <c r="S67" i="46"/>
  <c r="T67" i="46"/>
  <c r="U67" i="46"/>
  <c r="V67" i="46"/>
  <c r="W67" i="46"/>
  <c r="X67" i="46"/>
  <c r="Y67" i="46"/>
  <c r="Z67" i="46"/>
  <c r="AA67" i="46"/>
  <c r="AB67" i="46"/>
  <c r="AC67" i="46"/>
  <c r="AD67" i="46"/>
  <c r="AE67" i="46"/>
  <c r="AF67" i="46"/>
  <c r="AG67" i="46"/>
  <c r="AH67" i="46"/>
  <c r="AI67" i="46"/>
  <c r="AJ67" i="46"/>
  <c r="AK67" i="46"/>
  <c r="AL67" i="46"/>
  <c r="AM67" i="46"/>
  <c r="D68" i="46"/>
  <c r="E68" i="46"/>
  <c r="F68" i="46"/>
  <c r="G68" i="46"/>
  <c r="H68" i="46"/>
  <c r="I68" i="46"/>
  <c r="J68" i="46"/>
  <c r="K68" i="46"/>
  <c r="L68" i="46"/>
  <c r="M68" i="46"/>
  <c r="N68" i="46"/>
  <c r="O68" i="46"/>
  <c r="P68" i="46"/>
  <c r="Q68" i="46"/>
  <c r="R68" i="46"/>
  <c r="S68" i="46"/>
  <c r="T68" i="46"/>
  <c r="U68" i="46"/>
  <c r="V68" i="46"/>
  <c r="W68" i="46"/>
  <c r="X68" i="46"/>
  <c r="Y68" i="46"/>
  <c r="Z68" i="46"/>
  <c r="AA68" i="46"/>
  <c r="AB68" i="46"/>
  <c r="AC68" i="46"/>
  <c r="AD68" i="46"/>
  <c r="AE68" i="46"/>
  <c r="AF68" i="46"/>
  <c r="AG68" i="46"/>
  <c r="AH68" i="46"/>
  <c r="AI68" i="46"/>
  <c r="AJ68" i="46"/>
  <c r="AK68" i="46"/>
  <c r="AL68" i="46"/>
  <c r="AM68" i="46"/>
  <c r="D69" i="46"/>
  <c r="E69" i="46"/>
  <c r="F69" i="46"/>
  <c r="G69" i="46"/>
  <c r="H69" i="46"/>
  <c r="I69" i="46"/>
  <c r="J69" i="46"/>
  <c r="K69" i="46"/>
  <c r="L69" i="46"/>
  <c r="M69" i="46"/>
  <c r="N69" i="46"/>
  <c r="O69" i="46"/>
  <c r="P69" i="46"/>
  <c r="Q69" i="46"/>
  <c r="R69" i="46"/>
  <c r="S69" i="46"/>
  <c r="T69" i="46"/>
  <c r="U69" i="46"/>
  <c r="V69" i="46"/>
  <c r="W69" i="46"/>
  <c r="X69" i="46"/>
  <c r="Y69" i="46"/>
  <c r="Z69" i="46"/>
  <c r="AA69" i="46"/>
  <c r="AB69" i="46"/>
  <c r="AC69" i="46"/>
  <c r="AD69" i="46"/>
  <c r="AE69" i="46"/>
  <c r="AF69" i="46"/>
  <c r="AG69" i="46"/>
  <c r="AH69" i="46"/>
  <c r="AI69" i="46"/>
  <c r="AJ69" i="46"/>
  <c r="AK69" i="46"/>
  <c r="AL69" i="46"/>
  <c r="AM69" i="46"/>
  <c r="D70" i="46"/>
  <c r="E70" i="46"/>
  <c r="F70" i="46"/>
  <c r="G70" i="46"/>
  <c r="H70" i="46"/>
  <c r="I70" i="46"/>
  <c r="J70" i="46"/>
  <c r="K70" i="46"/>
  <c r="L70" i="46"/>
  <c r="M70" i="46"/>
  <c r="N70" i="46"/>
  <c r="O70" i="46"/>
  <c r="P70" i="46"/>
  <c r="Q70" i="46"/>
  <c r="R70" i="46"/>
  <c r="S70" i="46"/>
  <c r="T70" i="46"/>
  <c r="U70" i="46"/>
  <c r="V70" i="46"/>
  <c r="W70" i="46"/>
  <c r="X70" i="46"/>
  <c r="Y70" i="46"/>
  <c r="Z70" i="46"/>
  <c r="AA70" i="46"/>
  <c r="AB70" i="46"/>
  <c r="AC70" i="46"/>
  <c r="AD70" i="46"/>
  <c r="AE70" i="46"/>
  <c r="AF70" i="46"/>
  <c r="AG70" i="46"/>
  <c r="AH70" i="46"/>
  <c r="AI70" i="46"/>
  <c r="AJ70" i="46"/>
  <c r="AK70" i="46"/>
  <c r="AL70" i="46"/>
  <c r="AM70" i="46"/>
  <c r="D71" i="46"/>
  <c r="E71" i="46"/>
  <c r="F71" i="46"/>
  <c r="G71" i="46"/>
  <c r="H71" i="46"/>
  <c r="I71" i="46"/>
  <c r="J71" i="46"/>
  <c r="K71" i="46"/>
  <c r="L71" i="46"/>
  <c r="M71" i="46"/>
  <c r="N71" i="46"/>
  <c r="O71" i="46"/>
  <c r="P71" i="46"/>
  <c r="Q71" i="46"/>
  <c r="R71" i="46"/>
  <c r="S71" i="46"/>
  <c r="T71" i="46"/>
  <c r="U71" i="46"/>
  <c r="V71" i="46"/>
  <c r="W71" i="46"/>
  <c r="X71" i="46"/>
  <c r="Y71" i="46"/>
  <c r="Z71" i="46"/>
  <c r="AA71" i="46"/>
  <c r="AB71" i="46"/>
  <c r="AC71" i="46"/>
  <c r="AD71" i="46"/>
  <c r="AE71" i="46"/>
  <c r="AF71" i="46"/>
  <c r="AG71" i="46"/>
  <c r="AH71" i="46"/>
  <c r="AI71" i="46"/>
  <c r="AJ71" i="46"/>
  <c r="AK71" i="46"/>
  <c r="AL71" i="46"/>
  <c r="AM71" i="46"/>
  <c r="D72" i="46"/>
  <c r="E72" i="46"/>
  <c r="F72" i="46"/>
  <c r="G72" i="46"/>
  <c r="H72" i="46"/>
  <c r="I72" i="46"/>
  <c r="J72" i="46"/>
  <c r="K72" i="46"/>
  <c r="L72" i="46"/>
  <c r="M72" i="46"/>
  <c r="N72" i="46"/>
  <c r="O72" i="46"/>
  <c r="P72" i="46"/>
  <c r="Q72" i="46"/>
  <c r="R72" i="46"/>
  <c r="S72" i="46"/>
  <c r="T72" i="46"/>
  <c r="U72" i="46"/>
  <c r="V72" i="46"/>
  <c r="W72" i="46"/>
  <c r="X72" i="46"/>
  <c r="Y72" i="46"/>
  <c r="Z72" i="46"/>
  <c r="AA72" i="46"/>
  <c r="AB72" i="46"/>
  <c r="AC72" i="46"/>
  <c r="AD72" i="46"/>
  <c r="AE72" i="46"/>
  <c r="AF72" i="46"/>
  <c r="AG72" i="46"/>
  <c r="AH72" i="46"/>
  <c r="AI72" i="46"/>
  <c r="AJ72" i="46"/>
  <c r="AK72" i="46"/>
  <c r="AL72" i="46"/>
  <c r="AM72" i="46"/>
  <c r="D73" i="46"/>
  <c r="E73" i="46"/>
  <c r="F73" i="46"/>
  <c r="G73" i="46"/>
  <c r="H73" i="46"/>
  <c r="I73" i="46"/>
  <c r="J73" i="46"/>
  <c r="K73" i="46"/>
  <c r="L73" i="46"/>
  <c r="M73" i="46"/>
  <c r="N73" i="46"/>
  <c r="O73" i="46"/>
  <c r="P73" i="46"/>
  <c r="Q73" i="46"/>
  <c r="R73" i="46"/>
  <c r="S73" i="46"/>
  <c r="T73" i="46"/>
  <c r="U73" i="46"/>
  <c r="V73" i="46"/>
  <c r="W73" i="46"/>
  <c r="X73" i="46"/>
  <c r="Y73" i="46"/>
  <c r="Z73" i="46"/>
  <c r="AA73" i="46"/>
  <c r="AB73" i="46"/>
  <c r="AC73" i="46"/>
  <c r="AD73" i="46"/>
  <c r="AE73" i="46"/>
  <c r="AF73" i="46"/>
  <c r="AG73" i="46"/>
  <c r="AH73" i="46"/>
  <c r="AI73" i="46"/>
  <c r="AJ73" i="46"/>
  <c r="AK73" i="46"/>
  <c r="AL73" i="46"/>
  <c r="AM73" i="46"/>
  <c r="D74" i="46"/>
  <c r="E74" i="46"/>
  <c r="F74" i="46"/>
  <c r="G74" i="46"/>
  <c r="H74" i="46"/>
  <c r="I74" i="46"/>
  <c r="J74" i="46"/>
  <c r="K74" i="46"/>
  <c r="L74" i="46"/>
  <c r="M74" i="46"/>
  <c r="N74" i="46"/>
  <c r="O74" i="46"/>
  <c r="P74" i="46"/>
  <c r="Q74" i="46"/>
  <c r="R74" i="46"/>
  <c r="S74" i="46"/>
  <c r="T74" i="46"/>
  <c r="U74" i="46"/>
  <c r="V74" i="46"/>
  <c r="W74" i="46"/>
  <c r="X74" i="46"/>
  <c r="Y74" i="46"/>
  <c r="Z74" i="46"/>
  <c r="AA74" i="46"/>
  <c r="AB74" i="46"/>
  <c r="AC74" i="46"/>
  <c r="AD74" i="46"/>
  <c r="AE74" i="46"/>
  <c r="AF74" i="46"/>
  <c r="AG74" i="46"/>
  <c r="AH74" i="46"/>
  <c r="AI74" i="46"/>
  <c r="AJ74" i="46"/>
  <c r="AK74" i="46"/>
  <c r="AL74" i="46"/>
  <c r="AM74" i="46"/>
  <c r="D75" i="46"/>
  <c r="E75" i="46"/>
  <c r="F75" i="46"/>
  <c r="G75" i="46"/>
  <c r="H75" i="46"/>
  <c r="I75" i="46"/>
  <c r="J75" i="46"/>
  <c r="K75" i="46"/>
  <c r="L75" i="46"/>
  <c r="M75" i="46"/>
  <c r="N75" i="46"/>
  <c r="O75" i="46"/>
  <c r="P75" i="46"/>
  <c r="Q75" i="46"/>
  <c r="R75" i="46"/>
  <c r="S75" i="46"/>
  <c r="T75" i="46"/>
  <c r="U75" i="46"/>
  <c r="V75" i="46"/>
  <c r="W75" i="46"/>
  <c r="X75" i="46"/>
  <c r="Y75" i="46"/>
  <c r="Z75" i="46"/>
  <c r="AA75" i="46"/>
  <c r="AB75" i="46"/>
  <c r="AC75" i="46"/>
  <c r="AD75" i="46"/>
  <c r="AE75" i="46"/>
  <c r="AF75" i="46"/>
  <c r="AG75" i="46"/>
  <c r="AH75" i="46"/>
  <c r="AI75" i="46"/>
  <c r="AJ75" i="46"/>
  <c r="AK75" i="46"/>
  <c r="AL75" i="46"/>
  <c r="AM75" i="46"/>
  <c r="D76" i="46"/>
  <c r="E76" i="46"/>
  <c r="F76" i="46"/>
  <c r="G76" i="46"/>
  <c r="H76" i="46"/>
  <c r="I76" i="46"/>
  <c r="J76" i="46"/>
  <c r="K76" i="46"/>
  <c r="L76" i="46"/>
  <c r="M76" i="46"/>
  <c r="N76" i="46"/>
  <c r="O76" i="46"/>
  <c r="P76" i="46"/>
  <c r="Q76" i="46"/>
  <c r="R76" i="46"/>
  <c r="S76" i="46"/>
  <c r="T76" i="46"/>
  <c r="U76" i="46"/>
  <c r="V76" i="46"/>
  <c r="W76" i="46"/>
  <c r="X76" i="46"/>
  <c r="Y76" i="46"/>
  <c r="Z76" i="46"/>
  <c r="AA76" i="46"/>
  <c r="AB76" i="46"/>
  <c r="AC76" i="46"/>
  <c r="AD76" i="46"/>
  <c r="AE76" i="46"/>
  <c r="AF76" i="46"/>
  <c r="AG76" i="46"/>
  <c r="AH76" i="46"/>
  <c r="AI76" i="46"/>
  <c r="AJ76" i="46"/>
  <c r="AK76" i="46"/>
  <c r="AL76" i="46"/>
  <c r="AM76" i="46"/>
  <c r="D77" i="46"/>
  <c r="E77" i="46"/>
  <c r="F77" i="46"/>
  <c r="G77" i="46"/>
  <c r="H77" i="46"/>
  <c r="I77" i="46"/>
  <c r="J77" i="46"/>
  <c r="K77" i="46"/>
  <c r="L77" i="46"/>
  <c r="M77" i="46"/>
  <c r="N77" i="46"/>
  <c r="O77" i="46"/>
  <c r="P77" i="46"/>
  <c r="Q77" i="46"/>
  <c r="R77" i="46"/>
  <c r="S77" i="46"/>
  <c r="T77" i="46"/>
  <c r="U77" i="46"/>
  <c r="V77" i="46"/>
  <c r="W77" i="46"/>
  <c r="X77" i="46"/>
  <c r="Y77" i="46"/>
  <c r="Z77" i="46"/>
  <c r="AA77" i="46"/>
  <c r="AB77" i="46"/>
  <c r="AC77" i="46"/>
  <c r="AD77" i="46"/>
  <c r="AE77" i="46"/>
  <c r="AF77" i="46"/>
  <c r="AG77" i="46"/>
  <c r="AH77" i="46"/>
  <c r="AI77" i="46"/>
  <c r="AJ77" i="46"/>
  <c r="AK77" i="46"/>
  <c r="AL77" i="46"/>
  <c r="AM77" i="46"/>
  <c r="D78" i="46"/>
  <c r="E78" i="46"/>
  <c r="F78" i="46"/>
  <c r="G78" i="46"/>
  <c r="H78" i="46"/>
  <c r="I78" i="46"/>
  <c r="J78" i="46"/>
  <c r="K78" i="46"/>
  <c r="L78" i="46"/>
  <c r="M78" i="46"/>
  <c r="N78" i="46"/>
  <c r="O78" i="46"/>
  <c r="P78" i="46"/>
  <c r="Q78" i="46"/>
  <c r="R78" i="46"/>
  <c r="S78" i="46"/>
  <c r="T78" i="46"/>
  <c r="U78" i="46"/>
  <c r="V78" i="46"/>
  <c r="W78" i="46"/>
  <c r="X78" i="46"/>
  <c r="Y78" i="46"/>
  <c r="Z78" i="46"/>
  <c r="AA78" i="46"/>
  <c r="AB78" i="46"/>
  <c r="AC78" i="46"/>
  <c r="AD78" i="46"/>
  <c r="AE78" i="46"/>
  <c r="AF78" i="46"/>
  <c r="AG78" i="46"/>
  <c r="AH78" i="46"/>
  <c r="AI78" i="46"/>
  <c r="AJ78" i="46"/>
  <c r="AK78" i="46"/>
  <c r="AL78" i="46"/>
  <c r="AM78" i="46"/>
  <c r="D79" i="46"/>
  <c r="E79" i="46"/>
  <c r="F79" i="46"/>
  <c r="G79" i="46"/>
  <c r="H79" i="46"/>
  <c r="I79" i="46"/>
  <c r="J79" i="46"/>
  <c r="K79" i="46"/>
  <c r="L79" i="46"/>
  <c r="M79" i="46"/>
  <c r="N79" i="46"/>
  <c r="O79" i="46"/>
  <c r="P79" i="46"/>
  <c r="Q79" i="46"/>
  <c r="R79" i="46"/>
  <c r="S79" i="46"/>
  <c r="T79" i="46"/>
  <c r="U79" i="46"/>
  <c r="V79" i="46"/>
  <c r="W79" i="46"/>
  <c r="X79" i="46"/>
  <c r="Y79" i="46"/>
  <c r="Z79" i="46"/>
  <c r="AA79" i="46"/>
  <c r="AB79" i="46"/>
  <c r="AC79" i="46"/>
  <c r="AD79" i="46"/>
  <c r="AE79" i="46"/>
  <c r="AF79" i="46"/>
  <c r="AG79" i="46"/>
  <c r="AH79" i="46"/>
  <c r="AI79" i="46"/>
  <c r="AJ79" i="46"/>
  <c r="AK79" i="46"/>
  <c r="AL79" i="46"/>
  <c r="AM79" i="46"/>
  <c r="D80" i="46"/>
  <c r="E80" i="46"/>
  <c r="F80" i="46"/>
  <c r="G80" i="46"/>
  <c r="H80" i="46"/>
  <c r="I80" i="46"/>
  <c r="J80" i="46"/>
  <c r="K80" i="46"/>
  <c r="L80" i="46"/>
  <c r="M80" i="46"/>
  <c r="N80" i="46"/>
  <c r="O80" i="46"/>
  <c r="P80" i="46"/>
  <c r="Q80" i="46"/>
  <c r="R80" i="46"/>
  <c r="S80" i="46"/>
  <c r="T80" i="46"/>
  <c r="U80" i="46"/>
  <c r="V80" i="46"/>
  <c r="W80" i="46"/>
  <c r="X80" i="46"/>
  <c r="Y80" i="46"/>
  <c r="Z80" i="46"/>
  <c r="AA80" i="46"/>
  <c r="AB80" i="46"/>
  <c r="AC80" i="46"/>
  <c r="AD80" i="46"/>
  <c r="AE80" i="46"/>
  <c r="AF80" i="46"/>
  <c r="AG80" i="46"/>
  <c r="AH80" i="46"/>
  <c r="AI80" i="46"/>
  <c r="AJ80" i="46"/>
  <c r="AK80" i="46"/>
  <c r="AL80" i="46"/>
  <c r="AM80" i="46"/>
  <c r="D81" i="46"/>
  <c r="E81" i="46"/>
  <c r="F81" i="46"/>
  <c r="G81" i="46"/>
  <c r="H81" i="46"/>
  <c r="I81" i="46"/>
  <c r="J81" i="46"/>
  <c r="K81" i="46"/>
  <c r="L81" i="46"/>
  <c r="M81" i="46"/>
  <c r="N81" i="46"/>
  <c r="O81" i="46"/>
  <c r="P81" i="46"/>
  <c r="Q81" i="46"/>
  <c r="R81" i="46"/>
  <c r="S81" i="46"/>
  <c r="T81" i="46"/>
  <c r="U81" i="46"/>
  <c r="V81" i="46"/>
  <c r="W81" i="46"/>
  <c r="X81" i="46"/>
  <c r="Y81" i="46"/>
  <c r="Z81" i="46"/>
  <c r="AA81" i="46"/>
  <c r="AB81" i="46"/>
  <c r="AC81" i="46"/>
  <c r="AD81" i="46"/>
  <c r="AE81" i="46"/>
  <c r="AF81" i="46"/>
  <c r="AG81" i="46"/>
  <c r="AH81" i="46"/>
  <c r="AI81" i="46"/>
  <c r="AJ81" i="46"/>
  <c r="AK81" i="46"/>
  <c r="AL81" i="46"/>
  <c r="AM81" i="46"/>
  <c r="D82" i="46"/>
  <c r="E82" i="46"/>
  <c r="F82" i="46"/>
  <c r="G82" i="46"/>
  <c r="H82" i="46"/>
  <c r="I82" i="46"/>
  <c r="J82" i="46"/>
  <c r="K82" i="46"/>
  <c r="L82" i="46"/>
  <c r="M82" i="46"/>
  <c r="N82" i="46"/>
  <c r="O82" i="46"/>
  <c r="P82" i="46"/>
  <c r="Q82" i="46"/>
  <c r="R82" i="46"/>
  <c r="S82" i="46"/>
  <c r="T82" i="46"/>
  <c r="U82" i="46"/>
  <c r="V82" i="46"/>
  <c r="W82" i="46"/>
  <c r="X82" i="46"/>
  <c r="Y82" i="46"/>
  <c r="Z82" i="46"/>
  <c r="AA82" i="46"/>
  <c r="AB82" i="46"/>
  <c r="AC82" i="46"/>
  <c r="AD82" i="46"/>
  <c r="AE82" i="46"/>
  <c r="AF82" i="46"/>
  <c r="AG82" i="46"/>
  <c r="AH82" i="46"/>
  <c r="AI82" i="46"/>
  <c r="AJ82" i="46"/>
  <c r="AK82" i="46"/>
  <c r="AL82" i="46"/>
  <c r="AM82" i="46"/>
  <c r="D83" i="46"/>
  <c r="E83" i="46"/>
  <c r="F83" i="46"/>
  <c r="G83" i="46"/>
  <c r="H83" i="46"/>
  <c r="I83" i="46"/>
  <c r="J83" i="46"/>
  <c r="K83" i="46"/>
  <c r="L83" i="46"/>
  <c r="M83" i="46"/>
  <c r="N83" i="46"/>
  <c r="O83" i="46"/>
  <c r="P83" i="46"/>
  <c r="Q83" i="46"/>
  <c r="R83" i="46"/>
  <c r="S83" i="46"/>
  <c r="T83" i="46"/>
  <c r="U83" i="46"/>
  <c r="V83" i="46"/>
  <c r="W83" i="46"/>
  <c r="X83" i="46"/>
  <c r="Y83" i="46"/>
  <c r="Z83" i="46"/>
  <c r="AA83" i="46"/>
  <c r="AB83" i="46"/>
  <c r="AC83" i="46"/>
  <c r="AD83" i="46"/>
  <c r="AE83" i="46"/>
  <c r="AF83" i="46"/>
  <c r="AG83" i="46"/>
  <c r="AH83" i="46"/>
  <c r="AI83" i="46"/>
  <c r="AJ83" i="46"/>
  <c r="AK83" i="46"/>
  <c r="AL83" i="46"/>
  <c r="AM83" i="46"/>
  <c r="D84" i="46"/>
  <c r="E84" i="46"/>
  <c r="F84" i="46"/>
  <c r="G84" i="46"/>
  <c r="H84" i="46"/>
  <c r="I84" i="46"/>
  <c r="J84" i="46"/>
  <c r="K84" i="46"/>
  <c r="L84" i="46"/>
  <c r="M84" i="46"/>
  <c r="N84" i="46"/>
  <c r="O84" i="46"/>
  <c r="P84" i="46"/>
  <c r="Q84" i="46"/>
  <c r="R84" i="46"/>
  <c r="S84" i="46"/>
  <c r="T84" i="46"/>
  <c r="U84" i="46"/>
  <c r="V84" i="46"/>
  <c r="W84" i="46"/>
  <c r="X84" i="46"/>
  <c r="Y84" i="46"/>
  <c r="Z84" i="46"/>
  <c r="AA84" i="46"/>
  <c r="AB84" i="46"/>
  <c r="AC84" i="46"/>
  <c r="AD84" i="46"/>
  <c r="AE84" i="46"/>
  <c r="AF84" i="46"/>
  <c r="AG84" i="46"/>
  <c r="AH84" i="46"/>
  <c r="AI84" i="46"/>
  <c r="AJ84" i="46"/>
  <c r="AK84" i="46"/>
  <c r="AL84" i="46"/>
  <c r="AM84" i="46"/>
  <c r="D85" i="46"/>
  <c r="E85" i="46"/>
  <c r="F85" i="46"/>
  <c r="G85" i="46"/>
  <c r="H85" i="46"/>
  <c r="I85" i="46"/>
  <c r="J85" i="46"/>
  <c r="K85" i="46"/>
  <c r="L85" i="46"/>
  <c r="M85" i="46"/>
  <c r="N85" i="46"/>
  <c r="O85" i="46"/>
  <c r="P85" i="46"/>
  <c r="Q85" i="46"/>
  <c r="R85" i="46"/>
  <c r="S85" i="46"/>
  <c r="T85" i="46"/>
  <c r="U85" i="46"/>
  <c r="V85" i="46"/>
  <c r="W85" i="46"/>
  <c r="X85" i="46"/>
  <c r="Y85" i="46"/>
  <c r="Z85" i="46"/>
  <c r="AA85" i="46"/>
  <c r="AB85" i="46"/>
  <c r="AC85" i="46"/>
  <c r="AD85" i="46"/>
  <c r="AE85" i="46"/>
  <c r="AF85" i="46"/>
  <c r="AG85" i="46"/>
  <c r="AH85" i="46"/>
  <c r="AI85" i="46"/>
  <c r="AJ85" i="46"/>
  <c r="AK85" i="46"/>
  <c r="AL85" i="46"/>
  <c r="AM85" i="46"/>
  <c r="D86" i="46"/>
  <c r="E86" i="46"/>
  <c r="F86" i="46"/>
  <c r="G86" i="46"/>
  <c r="H86" i="46"/>
  <c r="I86" i="46"/>
  <c r="J86" i="46"/>
  <c r="K86" i="46"/>
  <c r="L86" i="46"/>
  <c r="M86" i="46"/>
  <c r="N86" i="46"/>
  <c r="O86" i="46"/>
  <c r="P86" i="46"/>
  <c r="Q86" i="46"/>
  <c r="R86" i="46"/>
  <c r="S86" i="46"/>
  <c r="T86" i="46"/>
  <c r="U86" i="46"/>
  <c r="V86" i="46"/>
  <c r="W86" i="46"/>
  <c r="X86" i="46"/>
  <c r="Y86" i="46"/>
  <c r="Z86" i="46"/>
  <c r="AA86" i="46"/>
  <c r="AB86" i="46"/>
  <c r="AC86" i="46"/>
  <c r="AD86" i="46"/>
  <c r="AE86" i="46"/>
  <c r="AF86" i="46"/>
  <c r="AG86" i="46"/>
  <c r="AH86" i="46"/>
  <c r="AI86" i="46"/>
  <c r="AJ86" i="46"/>
  <c r="AK86" i="46"/>
  <c r="AL86" i="46"/>
  <c r="AM86" i="46"/>
  <c r="D87" i="46"/>
  <c r="E87" i="46"/>
  <c r="F87" i="46"/>
  <c r="G87" i="46"/>
  <c r="H87" i="46"/>
  <c r="I87" i="46"/>
  <c r="J87" i="46"/>
  <c r="K87" i="46"/>
  <c r="L87" i="46"/>
  <c r="M87" i="46"/>
  <c r="N87" i="46"/>
  <c r="O87" i="46"/>
  <c r="P87" i="46"/>
  <c r="Q87" i="46"/>
  <c r="R87" i="46"/>
  <c r="S87" i="46"/>
  <c r="T87" i="46"/>
  <c r="U87" i="46"/>
  <c r="V87" i="46"/>
  <c r="W87" i="46"/>
  <c r="X87" i="46"/>
  <c r="Y87" i="46"/>
  <c r="Z87" i="46"/>
  <c r="AA87" i="46"/>
  <c r="AB87" i="46"/>
  <c r="AC87" i="46"/>
  <c r="AD87" i="46"/>
  <c r="AE87" i="46"/>
  <c r="AF87" i="46"/>
  <c r="AG87" i="46"/>
  <c r="AH87" i="46"/>
  <c r="AI87" i="46"/>
  <c r="AJ87" i="46"/>
  <c r="AK87" i="46"/>
  <c r="AL87" i="46"/>
  <c r="AM87" i="46"/>
  <c r="D88" i="46"/>
  <c r="E88" i="46"/>
  <c r="F88" i="46"/>
  <c r="G88" i="46"/>
  <c r="H88" i="46"/>
  <c r="I88" i="46"/>
  <c r="J88" i="46"/>
  <c r="K88" i="46"/>
  <c r="L88" i="46"/>
  <c r="M88" i="46"/>
  <c r="N88" i="46"/>
  <c r="O88" i="46"/>
  <c r="P88" i="46"/>
  <c r="Q88" i="46"/>
  <c r="R88" i="46"/>
  <c r="S88" i="46"/>
  <c r="T88" i="46"/>
  <c r="U88" i="46"/>
  <c r="V88" i="46"/>
  <c r="W88" i="46"/>
  <c r="X88" i="46"/>
  <c r="Y88" i="46"/>
  <c r="Z88" i="46"/>
  <c r="AA88" i="46"/>
  <c r="AB88" i="46"/>
  <c r="AC88" i="46"/>
  <c r="AD88" i="46"/>
  <c r="AE88" i="46"/>
  <c r="AF88" i="46"/>
  <c r="AG88" i="46"/>
  <c r="AH88" i="46"/>
  <c r="AI88" i="46"/>
  <c r="AJ88" i="46"/>
  <c r="AK88" i="46"/>
  <c r="AL88" i="46"/>
  <c r="AM88" i="46"/>
  <c r="D89" i="46"/>
  <c r="E89" i="46"/>
  <c r="F89" i="46"/>
  <c r="G89" i="46"/>
  <c r="H89" i="46"/>
  <c r="I89" i="46"/>
  <c r="J89" i="46"/>
  <c r="K89" i="46"/>
  <c r="L89" i="46"/>
  <c r="M89" i="46"/>
  <c r="N89" i="46"/>
  <c r="O89" i="46"/>
  <c r="P89" i="46"/>
  <c r="Q89" i="46"/>
  <c r="R89" i="46"/>
  <c r="S89" i="46"/>
  <c r="T89" i="46"/>
  <c r="U89" i="46"/>
  <c r="V89" i="46"/>
  <c r="W89" i="46"/>
  <c r="X89" i="46"/>
  <c r="Y89" i="46"/>
  <c r="Z89" i="46"/>
  <c r="AA89" i="46"/>
  <c r="AB89" i="46"/>
  <c r="AC89" i="46"/>
  <c r="AD89" i="46"/>
  <c r="AE89" i="46"/>
  <c r="AF89" i="46"/>
  <c r="AG89" i="46"/>
  <c r="AH89" i="46"/>
  <c r="AI89" i="46"/>
  <c r="AJ89" i="46"/>
  <c r="AK89" i="46"/>
  <c r="AL89" i="46"/>
  <c r="AM89" i="46"/>
  <c r="D90" i="46"/>
  <c r="E90" i="46"/>
  <c r="F90" i="46"/>
  <c r="G90" i="46"/>
  <c r="H90" i="46"/>
  <c r="I90" i="46"/>
  <c r="J90" i="46"/>
  <c r="K90" i="46"/>
  <c r="L90" i="46"/>
  <c r="M90" i="46"/>
  <c r="N90" i="46"/>
  <c r="O90" i="46"/>
  <c r="P90" i="46"/>
  <c r="Q90" i="46"/>
  <c r="R90" i="46"/>
  <c r="S90" i="46"/>
  <c r="T90" i="46"/>
  <c r="U90" i="46"/>
  <c r="V90" i="46"/>
  <c r="W90" i="46"/>
  <c r="X90" i="46"/>
  <c r="Y90" i="46"/>
  <c r="Z90" i="46"/>
  <c r="AA90" i="46"/>
  <c r="AB90" i="46"/>
  <c r="AC90" i="46"/>
  <c r="AD90" i="46"/>
  <c r="AE90" i="46"/>
  <c r="AF90" i="46"/>
  <c r="AG90" i="46"/>
  <c r="AH90" i="46"/>
  <c r="AI90" i="46"/>
  <c r="AJ90" i="46"/>
  <c r="AK90" i="46"/>
  <c r="AL90" i="46"/>
  <c r="AM90" i="46"/>
  <c r="D91" i="46"/>
  <c r="E91" i="46"/>
  <c r="F91" i="46"/>
  <c r="G91" i="46"/>
  <c r="H91" i="46"/>
  <c r="I91" i="46"/>
  <c r="J91" i="46"/>
  <c r="K91" i="46"/>
  <c r="L91" i="46"/>
  <c r="M91" i="46"/>
  <c r="N91" i="46"/>
  <c r="O91" i="46"/>
  <c r="P91" i="46"/>
  <c r="Q91" i="46"/>
  <c r="R91" i="46"/>
  <c r="S91" i="46"/>
  <c r="T91" i="46"/>
  <c r="U91" i="46"/>
  <c r="V91" i="46"/>
  <c r="W91" i="46"/>
  <c r="X91" i="46"/>
  <c r="Y91" i="46"/>
  <c r="Z91" i="46"/>
  <c r="AA91" i="46"/>
  <c r="AB91" i="46"/>
  <c r="AC91" i="46"/>
  <c r="AD91" i="46"/>
  <c r="AE91" i="46"/>
  <c r="AF91" i="46"/>
  <c r="AG91" i="46"/>
  <c r="AH91" i="46"/>
  <c r="AI91" i="46"/>
  <c r="AJ91" i="46"/>
  <c r="AK91" i="46"/>
  <c r="AL91" i="46"/>
  <c r="AM91" i="46"/>
  <c r="D92" i="46"/>
  <c r="E92" i="46"/>
  <c r="F92" i="46"/>
  <c r="G92" i="46"/>
  <c r="H92" i="46"/>
  <c r="I92" i="46"/>
  <c r="J92" i="46"/>
  <c r="K92" i="46"/>
  <c r="L92" i="46"/>
  <c r="M92" i="46"/>
  <c r="N92" i="46"/>
  <c r="O92" i="46"/>
  <c r="P92" i="46"/>
  <c r="Q92" i="46"/>
  <c r="R92" i="46"/>
  <c r="S92" i="46"/>
  <c r="T92" i="46"/>
  <c r="U92" i="46"/>
  <c r="V92" i="46"/>
  <c r="W92" i="46"/>
  <c r="X92" i="46"/>
  <c r="Y92" i="46"/>
  <c r="Z92" i="46"/>
  <c r="AA92" i="46"/>
  <c r="AB92" i="46"/>
  <c r="AC92" i="46"/>
  <c r="AD92" i="46"/>
  <c r="AE92" i="46"/>
  <c r="AF92" i="46"/>
  <c r="AG92" i="46"/>
  <c r="AH92" i="46"/>
  <c r="AI92" i="46"/>
  <c r="AJ92" i="46"/>
  <c r="AK92" i="46"/>
  <c r="AL92" i="46"/>
  <c r="AM92" i="46"/>
  <c r="D93" i="46"/>
  <c r="E93" i="46"/>
  <c r="F93" i="46"/>
  <c r="G93" i="46"/>
  <c r="H93" i="46"/>
  <c r="I93" i="46"/>
  <c r="J93" i="46"/>
  <c r="K93" i="46"/>
  <c r="L93" i="46"/>
  <c r="M93" i="46"/>
  <c r="N93" i="46"/>
  <c r="O93" i="46"/>
  <c r="P93" i="46"/>
  <c r="Q93" i="46"/>
  <c r="R93" i="46"/>
  <c r="S93" i="46"/>
  <c r="T93" i="46"/>
  <c r="U93" i="46"/>
  <c r="V93" i="46"/>
  <c r="W93" i="46"/>
  <c r="X93" i="46"/>
  <c r="Y93" i="46"/>
  <c r="Z93" i="46"/>
  <c r="AA93" i="46"/>
  <c r="AB93" i="46"/>
  <c r="AC93" i="46"/>
  <c r="AD93" i="46"/>
  <c r="AE93" i="46"/>
  <c r="AF93" i="46"/>
  <c r="AG93" i="46"/>
  <c r="AH93" i="46"/>
  <c r="AI93" i="46"/>
  <c r="AJ93" i="46"/>
  <c r="AK93" i="46"/>
  <c r="AL93" i="46"/>
  <c r="AM93" i="46"/>
  <c r="D94" i="46"/>
  <c r="E94" i="46"/>
  <c r="F94" i="46"/>
  <c r="G94" i="46"/>
  <c r="H94" i="46"/>
  <c r="I94" i="46"/>
  <c r="J94" i="46"/>
  <c r="K94" i="46"/>
  <c r="L94" i="46"/>
  <c r="M94" i="46"/>
  <c r="N94" i="46"/>
  <c r="O94" i="46"/>
  <c r="P94" i="46"/>
  <c r="Q94" i="46"/>
  <c r="R94" i="46"/>
  <c r="S94" i="46"/>
  <c r="T94" i="46"/>
  <c r="U94" i="46"/>
  <c r="V94" i="46"/>
  <c r="W94" i="46"/>
  <c r="X94" i="46"/>
  <c r="Y94" i="46"/>
  <c r="Z94" i="46"/>
  <c r="AA94" i="46"/>
  <c r="AB94" i="46"/>
  <c r="AC94" i="46"/>
  <c r="AD94" i="46"/>
  <c r="AE94" i="46"/>
  <c r="AF94" i="46"/>
  <c r="AG94" i="46"/>
  <c r="AH94" i="46"/>
  <c r="AI94" i="46"/>
  <c r="AJ94" i="46"/>
  <c r="AK94" i="46"/>
  <c r="AL94" i="46"/>
  <c r="AM94" i="46"/>
  <c r="D95" i="46"/>
  <c r="E95" i="46"/>
  <c r="F95" i="46"/>
  <c r="G95" i="46"/>
  <c r="H95" i="46"/>
  <c r="I95" i="46"/>
  <c r="J95" i="46"/>
  <c r="K95" i="46"/>
  <c r="L95" i="46"/>
  <c r="M95" i="46"/>
  <c r="N95" i="46"/>
  <c r="O95" i="46"/>
  <c r="P95" i="46"/>
  <c r="Q95" i="46"/>
  <c r="R95" i="46"/>
  <c r="S95" i="46"/>
  <c r="T95" i="46"/>
  <c r="U95" i="46"/>
  <c r="V95" i="46"/>
  <c r="W95" i="46"/>
  <c r="X95" i="46"/>
  <c r="Y95" i="46"/>
  <c r="Z95" i="46"/>
  <c r="AA95" i="46"/>
  <c r="AB95" i="46"/>
  <c r="AC95" i="46"/>
  <c r="AD95" i="46"/>
  <c r="AE95" i="46"/>
  <c r="AF95" i="46"/>
  <c r="AG95" i="46"/>
  <c r="AH95" i="46"/>
  <c r="AI95" i="46"/>
  <c r="AJ95" i="46"/>
  <c r="AK95" i="46"/>
  <c r="AL95" i="46"/>
  <c r="AM95" i="46"/>
  <c r="D96" i="46"/>
  <c r="E96" i="46"/>
  <c r="F96" i="46"/>
  <c r="G96" i="46"/>
  <c r="H96" i="46"/>
  <c r="I96" i="46"/>
  <c r="J96" i="46"/>
  <c r="K96" i="46"/>
  <c r="L96" i="46"/>
  <c r="M96" i="46"/>
  <c r="N96" i="46"/>
  <c r="O96" i="46"/>
  <c r="P96" i="46"/>
  <c r="Q96" i="46"/>
  <c r="R96" i="46"/>
  <c r="S96" i="46"/>
  <c r="T96" i="46"/>
  <c r="U96" i="46"/>
  <c r="V96" i="46"/>
  <c r="W96" i="46"/>
  <c r="X96" i="46"/>
  <c r="Y96" i="46"/>
  <c r="Z96" i="46"/>
  <c r="AA96" i="46"/>
  <c r="AB96" i="46"/>
  <c r="AC96" i="46"/>
  <c r="AD96" i="46"/>
  <c r="AE96" i="46"/>
  <c r="AF96" i="46"/>
  <c r="AG96" i="46"/>
  <c r="AH96" i="46"/>
  <c r="AI96" i="46"/>
  <c r="AJ96" i="46"/>
  <c r="AK96" i="46"/>
  <c r="AL96" i="46"/>
  <c r="AM96" i="46"/>
  <c r="D97" i="46"/>
  <c r="E97" i="46"/>
  <c r="F97" i="46"/>
  <c r="G97" i="46"/>
  <c r="H97" i="46"/>
  <c r="I97" i="46"/>
  <c r="J97" i="46"/>
  <c r="K97" i="46"/>
  <c r="L97" i="46"/>
  <c r="M97" i="46"/>
  <c r="N97" i="46"/>
  <c r="O97" i="46"/>
  <c r="P97" i="46"/>
  <c r="Q97" i="46"/>
  <c r="R97" i="46"/>
  <c r="S97" i="46"/>
  <c r="T97" i="46"/>
  <c r="U97" i="46"/>
  <c r="V97" i="46"/>
  <c r="W97" i="46"/>
  <c r="X97" i="46"/>
  <c r="Y97" i="46"/>
  <c r="Z97" i="46"/>
  <c r="AA97" i="46"/>
  <c r="AB97" i="46"/>
  <c r="AC97" i="46"/>
  <c r="AD97" i="46"/>
  <c r="AE97" i="46"/>
  <c r="AF97" i="46"/>
  <c r="AG97" i="46"/>
  <c r="AH97" i="46"/>
  <c r="AI97" i="46"/>
  <c r="AJ97" i="46"/>
  <c r="AK97" i="46"/>
  <c r="AL97" i="46"/>
  <c r="AM97" i="46"/>
  <c r="D98" i="46"/>
  <c r="E98" i="46"/>
  <c r="F98" i="46"/>
  <c r="G98" i="46"/>
  <c r="H98" i="46"/>
  <c r="I98" i="46"/>
  <c r="J98" i="46"/>
  <c r="K98" i="46"/>
  <c r="L98" i="46"/>
  <c r="M98" i="46"/>
  <c r="N98" i="46"/>
  <c r="O98" i="46"/>
  <c r="P98" i="46"/>
  <c r="Q98" i="46"/>
  <c r="R98" i="46"/>
  <c r="S98" i="46"/>
  <c r="T98" i="46"/>
  <c r="U98" i="46"/>
  <c r="V98" i="46"/>
  <c r="W98" i="46"/>
  <c r="X98" i="46"/>
  <c r="Y98" i="46"/>
  <c r="Z98" i="46"/>
  <c r="AA98" i="46"/>
  <c r="AB98" i="46"/>
  <c r="AC98" i="46"/>
  <c r="AD98" i="46"/>
  <c r="AE98" i="46"/>
  <c r="AF98" i="46"/>
  <c r="AG98" i="46"/>
  <c r="AH98" i="46"/>
  <c r="AI98" i="46"/>
  <c r="AJ98" i="46"/>
  <c r="AK98" i="46"/>
  <c r="AL98" i="46"/>
  <c r="AM98" i="46"/>
  <c r="D99" i="46"/>
  <c r="E99" i="46"/>
  <c r="F99" i="46"/>
  <c r="G99" i="46"/>
  <c r="H99" i="46"/>
  <c r="I99" i="46"/>
  <c r="J99" i="46"/>
  <c r="K99" i="46"/>
  <c r="L99" i="46"/>
  <c r="M99" i="46"/>
  <c r="N99" i="46"/>
  <c r="O99" i="46"/>
  <c r="P99" i="46"/>
  <c r="Q99" i="46"/>
  <c r="R99" i="46"/>
  <c r="S99" i="46"/>
  <c r="T99" i="46"/>
  <c r="U99" i="46"/>
  <c r="V99" i="46"/>
  <c r="W99" i="46"/>
  <c r="X99" i="46"/>
  <c r="Y99" i="46"/>
  <c r="Z99" i="46"/>
  <c r="AA99" i="46"/>
  <c r="AB99" i="46"/>
  <c r="AC99" i="46"/>
  <c r="AD99" i="46"/>
  <c r="AE99" i="46"/>
  <c r="AF99" i="46"/>
  <c r="AG99" i="46"/>
  <c r="AH99" i="46"/>
  <c r="AI99" i="46"/>
  <c r="AJ99" i="46"/>
  <c r="AK99" i="46"/>
  <c r="AL99" i="46"/>
  <c r="AM99" i="46"/>
  <c r="D100" i="46"/>
  <c r="E100" i="46"/>
  <c r="F100" i="46"/>
  <c r="G100" i="46"/>
  <c r="H100" i="46"/>
  <c r="I100" i="46"/>
  <c r="J100" i="46"/>
  <c r="K100" i="46"/>
  <c r="L100" i="46"/>
  <c r="M100" i="46"/>
  <c r="N100" i="46"/>
  <c r="O100" i="46"/>
  <c r="P100" i="46"/>
  <c r="Q100" i="46"/>
  <c r="R100" i="46"/>
  <c r="S100" i="46"/>
  <c r="T100" i="46"/>
  <c r="U100" i="46"/>
  <c r="V100" i="46"/>
  <c r="W100" i="46"/>
  <c r="X100" i="46"/>
  <c r="Y100" i="46"/>
  <c r="Z100" i="46"/>
  <c r="AA100" i="46"/>
  <c r="AB100" i="46"/>
  <c r="AC100" i="46"/>
  <c r="AD100" i="46"/>
  <c r="AE100" i="46"/>
  <c r="AF100" i="46"/>
  <c r="AG100" i="46"/>
  <c r="AH100" i="46"/>
  <c r="AI100" i="46"/>
  <c r="AJ100" i="46"/>
  <c r="AK100" i="46"/>
  <c r="AL100" i="46"/>
  <c r="AM100" i="46"/>
  <c r="D101" i="46"/>
  <c r="E101" i="46"/>
  <c r="F101" i="46"/>
  <c r="G101" i="46"/>
  <c r="H101" i="46"/>
  <c r="I101" i="46"/>
  <c r="J101" i="46"/>
  <c r="K101" i="46"/>
  <c r="L101" i="46"/>
  <c r="M101" i="46"/>
  <c r="N101" i="46"/>
  <c r="O101" i="46"/>
  <c r="P101" i="46"/>
  <c r="Q101" i="46"/>
  <c r="R101" i="46"/>
  <c r="S101" i="46"/>
  <c r="T101" i="46"/>
  <c r="U101" i="46"/>
  <c r="V101" i="46"/>
  <c r="W101" i="46"/>
  <c r="X101" i="46"/>
  <c r="Y101" i="46"/>
  <c r="Z101" i="46"/>
  <c r="AA101" i="46"/>
  <c r="AB101" i="46"/>
  <c r="AC101" i="46"/>
  <c r="AD101" i="46"/>
  <c r="AE101" i="46"/>
  <c r="AF101" i="46"/>
  <c r="AG101" i="46"/>
  <c r="AH101" i="46"/>
  <c r="AI101" i="46"/>
  <c r="AJ101" i="46"/>
  <c r="AK101" i="46"/>
  <c r="AL101" i="46"/>
  <c r="AM101" i="46"/>
  <c r="D102" i="46"/>
  <c r="E102" i="46"/>
  <c r="F102" i="46"/>
  <c r="G102" i="46"/>
  <c r="H102" i="46"/>
  <c r="I102" i="46"/>
  <c r="J102" i="46"/>
  <c r="K102" i="46"/>
  <c r="L102" i="46"/>
  <c r="M102" i="46"/>
  <c r="N102" i="46"/>
  <c r="O102" i="46"/>
  <c r="P102" i="46"/>
  <c r="Q102" i="46"/>
  <c r="R102" i="46"/>
  <c r="S102" i="46"/>
  <c r="T102" i="46"/>
  <c r="U102" i="46"/>
  <c r="V102" i="46"/>
  <c r="W102" i="46"/>
  <c r="X102" i="46"/>
  <c r="Y102" i="46"/>
  <c r="Z102" i="46"/>
  <c r="AA102" i="46"/>
  <c r="AB102" i="46"/>
  <c r="AC102" i="46"/>
  <c r="AD102" i="46"/>
  <c r="AE102" i="46"/>
  <c r="AF102" i="46"/>
  <c r="AG102" i="46"/>
  <c r="AH102" i="46"/>
  <c r="AI102" i="46"/>
  <c r="AJ102" i="46"/>
  <c r="AK102" i="46"/>
  <c r="AL102" i="46"/>
  <c r="AM102" i="46"/>
  <c r="D103" i="46"/>
  <c r="E103" i="46"/>
  <c r="F103" i="46"/>
  <c r="G103" i="46"/>
  <c r="H103" i="46"/>
  <c r="I103" i="46"/>
  <c r="J103" i="46"/>
  <c r="K103" i="46"/>
  <c r="L103" i="46"/>
  <c r="M103" i="46"/>
  <c r="N103" i="46"/>
  <c r="O103" i="46"/>
  <c r="P103" i="46"/>
  <c r="Q103" i="46"/>
  <c r="R103" i="46"/>
  <c r="S103" i="46"/>
  <c r="T103" i="46"/>
  <c r="U103" i="46"/>
  <c r="V103" i="46"/>
  <c r="W103" i="46"/>
  <c r="X103" i="46"/>
  <c r="Y103" i="46"/>
  <c r="Z103" i="46"/>
  <c r="AA103" i="46"/>
  <c r="AB103" i="46"/>
  <c r="AC103" i="46"/>
  <c r="AD103" i="46"/>
  <c r="AE103" i="46"/>
  <c r="AF103" i="46"/>
  <c r="AG103" i="46"/>
  <c r="AH103" i="46"/>
  <c r="AI103" i="46"/>
  <c r="AJ103" i="46"/>
  <c r="AK103" i="46"/>
  <c r="AL103" i="46"/>
  <c r="AM103" i="46"/>
  <c r="D104" i="46"/>
  <c r="E104" i="46"/>
  <c r="F104" i="46"/>
  <c r="G104" i="46"/>
  <c r="H104" i="46"/>
  <c r="I104" i="46"/>
  <c r="J104" i="46"/>
  <c r="K104" i="46"/>
  <c r="L104" i="46"/>
  <c r="M104" i="46"/>
  <c r="N104" i="46"/>
  <c r="O104" i="46"/>
  <c r="P104" i="46"/>
  <c r="Q104" i="46"/>
  <c r="R104" i="46"/>
  <c r="S104" i="46"/>
  <c r="T104" i="46"/>
  <c r="U104" i="46"/>
  <c r="V104" i="46"/>
  <c r="W104" i="46"/>
  <c r="X104" i="46"/>
  <c r="Y104" i="46"/>
  <c r="Z104" i="46"/>
  <c r="AA104" i="46"/>
  <c r="AB104" i="46"/>
  <c r="AC104" i="46"/>
  <c r="AD104" i="46"/>
  <c r="AE104" i="46"/>
  <c r="AF104" i="46"/>
  <c r="AG104" i="46"/>
  <c r="AH104" i="46"/>
  <c r="AI104" i="46"/>
  <c r="AJ104" i="46"/>
  <c r="AK104" i="46"/>
  <c r="AL104" i="46"/>
  <c r="AM104" i="46"/>
  <c r="D105" i="46"/>
  <c r="E105" i="46"/>
  <c r="F105" i="46"/>
  <c r="G105" i="46"/>
  <c r="H105" i="46"/>
  <c r="I105" i="46"/>
  <c r="J105" i="46"/>
  <c r="K105" i="46"/>
  <c r="L105" i="46"/>
  <c r="M105" i="46"/>
  <c r="N105" i="46"/>
  <c r="O105" i="46"/>
  <c r="P105" i="46"/>
  <c r="Q105" i="46"/>
  <c r="R105" i="46"/>
  <c r="S105" i="46"/>
  <c r="T105" i="46"/>
  <c r="U105" i="46"/>
  <c r="V105" i="46"/>
  <c r="W105" i="46"/>
  <c r="X105" i="46"/>
  <c r="Y105" i="46"/>
  <c r="Z105" i="46"/>
  <c r="AA105" i="46"/>
  <c r="AB105" i="46"/>
  <c r="AC105" i="46"/>
  <c r="AD105" i="46"/>
  <c r="AE105" i="46"/>
  <c r="AF105" i="46"/>
  <c r="AG105" i="46"/>
  <c r="AH105" i="46"/>
  <c r="AI105" i="46"/>
  <c r="AJ105" i="46"/>
  <c r="AK105" i="46"/>
  <c r="AL105" i="46"/>
  <c r="AM105" i="46"/>
  <c r="D106" i="46"/>
  <c r="E106" i="46"/>
  <c r="F106" i="46"/>
  <c r="G106" i="46"/>
  <c r="H106" i="46"/>
  <c r="I106" i="46"/>
  <c r="J106" i="46"/>
  <c r="K106" i="46"/>
  <c r="L106" i="46"/>
  <c r="M106" i="46"/>
  <c r="N106" i="46"/>
  <c r="O106" i="46"/>
  <c r="P106" i="46"/>
  <c r="Q106" i="46"/>
  <c r="R106" i="46"/>
  <c r="S106" i="46"/>
  <c r="T106" i="46"/>
  <c r="U106" i="46"/>
  <c r="V106" i="46"/>
  <c r="W106" i="46"/>
  <c r="X106" i="46"/>
  <c r="Y106" i="46"/>
  <c r="Z106" i="46"/>
  <c r="AA106" i="46"/>
  <c r="AB106" i="46"/>
  <c r="AC106" i="46"/>
  <c r="AD106" i="46"/>
  <c r="AE106" i="46"/>
  <c r="AF106" i="46"/>
  <c r="AG106" i="46"/>
  <c r="AH106" i="46"/>
  <c r="AI106" i="46"/>
  <c r="AJ106" i="46"/>
  <c r="AK106" i="46"/>
  <c r="AL106" i="46"/>
  <c r="AM106" i="46"/>
  <c r="D107" i="46"/>
  <c r="E107" i="46"/>
  <c r="F107" i="46"/>
  <c r="G107" i="46"/>
  <c r="H107" i="46"/>
  <c r="I107" i="46"/>
  <c r="J107" i="46"/>
  <c r="K107" i="46"/>
  <c r="L107" i="46"/>
  <c r="M107" i="46"/>
  <c r="N107" i="46"/>
  <c r="O107" i="46"/>
  <c r="P107" i="46"/>
  <c r="Q107" i="46"/>
  <c r="R107" i="46"/>
  <c r="S107" i="46"/>
  <c r="T107" i="46"/>
  <c r="U107" i="46"/>
  <c r="V107" i="46"/>
  <c r="W107" i="46"/>
  <c r="X107" i="46"/>
  <c r="Y107" i="46"/>
  <c r="Z107" i="46"/>
  <c r="AA107" i="46"/>
  <c r="AB107" i="46"/>
  <c r="AC107" i="46"/>
  <c r="AD107" i="46"/>
  <c r="AE107" i="46"/>
  <c r="AF107" i="46"/>
  <c r="AG107" i="46"/>
  <c r="AH107" i="46"/>
  <c r="AI107" i="46"/>
  <c r="AJ107" i="46"/>
  <c r="AK107" i="46"/>
  <c r="AL107" i="46"/>
  <c r="AM107" i="46"/>
  <c r="D108" i="46"/>
  <c r="E108" i="46"/>
  <c r="F108" i="46"/>
  <c r="G108" i="46"/>
  <c r="H108" i="46"/>
  <c r="I108" i="46"/>
  <c r="J108" i="46"/>
  <c r="K108" i="46"/>
  <c r="L108" i="46"/>
  <c r="M108" i="46"/>
  <c r="N108" i="46"/>
  <c r="O108" i="46"/>
  <c r="P108" i="46"/>
  <c r="Q108" i="46"/>
  <c r="R108" i="46"/>
  <c r="S108" i="46"/>
  <c r="T108" i="46"/>
  <c r="U108" i="46"/>
  <c r="V108" i="46"/>
  <c r="W108" i="46"/>
  <c r="X108" i="46"/>
  <c r="Y108" i="46"/>
  <c r="Z108" i="46"/>
  <c r="AA108" i="46"/>
  <c r="AB108" i="46"/>
  <c r="AC108" i="46"/>
  <c r="AD108" i="46"/>
  <c r="AE108" i="46"/>
  <c r="AF108" i="46"/>
  <c r="AG108" i="46"/>
  <c r="AH108" i="46"/>
  <c r="AI108" i="46"/>
  <c r="AJ108" i="46"/>
  <c r="AK108" i="46"/>
  <c r="AL108" i="46"/>
  <c r="AM108" i="46"/>
  <c r="D109" i="46"/>
  <c r="E109" i="46"/>
  <c r="F109" i="46"/>
  <c r="G109" i="46"/>
  <c r="H109" i="46"/>
  <c r="I109" i="46"/>
  <c r="J109" i="46"/>
  <c r="K109" i="46"/>
  <c r="L109" i="46"/>
  <c r="M109" i="46"/>
  <c r="N109" i="46"/>
  <c r="O109" i="46"/>
  <c r="P109" i="46"/>
  <c r="Q109" i="46"/>
  <c r="R109" i="46"/>
  <c r="S109" i="46"/>
  <c r="T109" i="46"/>
  <c r="U109" i="46"/>
  <c r="V109" i="46"/>
  <c r="W109" i="46"/>
  <c r="X109" i="46"/>
  <c r="Y109" i="46"/>
  <c r="Z109" i="46"/>
  <c r="AA109" i="46"/>
  <c r="AB109" i="46"/>
  <c r="AC109" i="46"/>
  <c r="AD109" i="46"/>
  <c r="AE109" i="46"/>
  <c r="AF109" i="46"/>
  <c r="AG109" i="46"/>
  <c r="AH109" i="46"/>
  <c r="AI109" i="46"/>
  <c r="AJ109" i="46"/>
  <c r="AK109" i="46"/>
  <c r="AL109" i="46"/>
  <c r="AM109" i="46"/>
  <c r="D110" i="46"/>
  <c r="E110" i="46"/>
  <c r="F110" i="46"/>
  <c r="G110" i="46"/>
  <c r="H110" i="46"/>
  <c r="I110" i="46"/>
  <c r="J110" i="46"/>
  <c r="K110" i="46"/>
  <c r="L110" i="46"/>
  <c r="M110" i="46"/>
  <c r="N110" i="46"/>
  <c r="O110" i="46"/>
  <c r="P110" i="46"/>
  <c r="Q110" i="46"/>
  <c r="R110" i="46"/>
  <c r="S110" i="46"/>
  <c r="T110" i="46"/>
  <c r="U110" i="46"/>
  <c r="V110" i="46"/>
  <c r="W110" i="46"/>
  <c r="X110" i="46"/>
  <c r="Y110" i="46"/>
  <c r="Z110" i="46"/>
  <c r="AA110" i="46"/>
  <c r="AB110" i="46"/>
  <c r="AC110" i="46"/>
  <c r="AD110" i="46"/>
  <c r="AE110" i="46"/>
  <c r="AF110" i="46"/>
  <c r="AG110" i="46"/>
  <c r="AH110" i="46"/>
  <c r="AI110" i="46"/>
  <c r="AJ110" i="46"/>
  <c r="AK110" i="46"/>
  <c r="AL110" i="46"/>
  <c r="AM110" i="46"/>
  <c r="D111" i="46"/>
  <c r="E111" i="46"/>
  <c r="F111" i="46"/>
  <c r="G111" i="46"/>
  <c r="H111" i="46"/>
  <c r="I111" i="46"/>
  <c r="J111" i="46"/>
  <c r="K111" i="46"/>
  <c r="L111" i="46"/>
  <c r="M111" i="46"/>
  <c r="N111" i="46"/>
  <c r="O111" i="46"/>
  <c r="P111" i="46"/>
  <c r="Q111" i="46"/>
  <c r="R111" i="46"/>
  <c r="S111" i="46"/>
  <c r="T111" i="46"/>
  <c r="U111" i="46"/>
  <c r="V111" i="46"/>
  <c r="W111" i="46"/>
  <c r="X111" i="46"/>
  <c r="Y111" i="46"/>
  <c r="Z111" i="46"/>
  <c r="AA111" i="46"/>
  <c r="AB111" i="46"/>
  <c r="AC111" i="46"/>
  <c r="AD111" i="46"/>
  <c r="AE111" i="46"/>
  <c r="AF111" i="46"/>
  <c r="AG111" i="46"/>
  <c r="AH111" i="46"/>
  <c r="AI111" i="46"/>
  <c r="AJ111" i="46"/>
  <c r="AK111" i="46"/>
  <c r="AL111" i="46"/>
  <c r="AM111" i="46"/>
  <c r="D112" i="46"/>
  <c r="E112" i="46"/>
  <c r="F112" i="46"/>
  <c r="G112" i="46"/>
  <c r="H112" i="46"/>
  <c r="I112" i="46"/>
  <c r="J112" i="46"/>
  <c r="K112" i="46"/>
  <c r="L112" i="46"/>
  <c r="M112" i="46"/>
  <c r="N112" i="46"/>
  <c r="O112" i="46"/>
  <c r="P112" i="46"/>
  <c r="Q112" i="46"/>
  <c r="R112" i="46"/>
  <c r="S112" i="46"/>
  <c r="T112" i="46"/>
  <c r="U112" i="46"/>
  <c r="V112" i="46"/>
  <c r="W112" i="46"/>
  <c r="X112" i="46"/>
  <c r="Y112" i="46"/>
  <c r="Z112" i="46"/>
  <c r="AA112" i="46"/>
  <c r="AB112" i="46"/>
  <c r="AC112" i="46"/>
  <c r="AD112" i="46"/>
  <c r="AE112" i="46"/>
  <c r="AF112" i="46"/>
  <c r="AG112" i="46"/>
  <c r="AH112" i="46"/>
  <c r="AI112" i="46"/>
  <c r="AJ112" i="46"/>
  <c r="AK112" i="46"/>
  <c r="AL112" i="46"/>
  <c r="AM112" i="46"/>
  <c r="D113" i="46"/>
  <c r="E113" i="46"/>
  <c r="F113" i="46"/>
  <c r="G113" i="46"/>
  <c r="H113" i="46"/>
  <c r="I113" i="46"/>
  <c r="J113" i="46"/>
  <c r="K113" i="46"/>
  <c r="L113" i="46"/>
  <c r="M113" i="46"/>
  <c r="N113" i="46"/>
  <c r="O113" i="46"/>
  <c r="P113" i="46"/>
  <c r="Q113" i="46"/>
  <c r="R113" i="46"/>
  <c r="S113" i="46"/>
  <c r="T113" i="46"/>
  <c r="U113" i="46"/>
  <c r="V113" i="46"/>
  <c r="W113" i="46"/>
  <c r="X113" i="46"/>
  <c r="Y113" i="46"/>
  <c r="Z113" i="46"/>
  <c r="AA113" i="46"/>
  <c r="AB113" i="46"/>
  <c r="AC113" i="46"/>
  <c r="AD113" i="46"/>
  <c r="AE113" i="46"/>
  <c r="AF113" i="46"/>
  <c r="AG113" i="46"/>
  <c r="AH113" i="46"/>
  <c r="AI113" i="46"/>
  <c r="AJ113" i="46"/>
  <c r="AK113" i="46"/>
  <c r="AL113" i="46"/>
  <c r="AM113" i="46"/>
  <c r="D114" i="46"/>
  <c r="E114" i="46"/>
  <c r="F114" i="46"/>
  <c r="G114" i="46"/>
  <c r="H114" i="46"/>
  <c r="I114" i="46"/>
  <c r="J114" i="46"/>
  <c r="K114" i="46"/>
  <c r="L114" i="46"/>
  <c r="M114" i="46"/>
  <c r="N114" i="46"/>
  <c r="O114" i="46"/>
  <c r="P114" i="46"/>
  <c r="Q114" i="46"/>
  <c r="R114" i="46"/>
  <c r="S114" i="46"/>
  <c r="T114" i="46"/>
  <c r="U114" i="46"/>
  <c r="V114" i="46"/>
  <c r="W114" i="46"/>
  <c r="X114" i="46"/>
  <c r="Y114" i="46"/>
  <c r="Z114" i="46"/>
  <c r="AA114" i="46"/>
  <c r="AB114" i="46"/>
  <c r="AC114" i="46"/>
  <c r="AD114" i="46"/>
  <c r="AE114" i="46"/>
  <c r="AF114" i="46"/>
  <c r="AG114" i="46"/>
  <c r="AH114" i="46"/>
  <c r="AI114" i="46"/>
  <c r="AJ114" i="46"/>
  <c r="AK114" i="46"/>
  <c r="AL114" i="46"/>
  <c r="AM114" i="46"/>
  <c r="D115" i="46"/>
  <c r="E115" i="46"/>
  <c r="F115" i="46"/>
  <c r="G115" i="46"/>
  <c r="H115" i="46"/>
  <c r="I115" i="46"/>
  <c r="J115" i="46"/>
  <c r="K115" i="46"/>
  <c r="L115" i="46"/>
  <c r="M115" i="46"/>
  <c r="N115" i="46"/>
  <c r="O115" i="46"/>
  <c r="P115" i="46"/>
  <c r="Q115" i="46"/>
  <c r="R115" i="46"/>
  <c r="S115" i="46"/>
  <c r="T115" i="46"/>
  <c r="U115" i="46"/>
  <c r="V115" i="46"/>
  <c r="W115" i="46"/>
  <c r="X115" i="46"/>
  <c r="Y115" i="46"/>
  <c r="Z115" i="46"/>
  <c r="AA115" i="46"/>
  <c r="AB115" i="46"/>
  <c r="AC115" i="46"/>
  <c r="AD115" i="46"/>
  <c r="AE115" i="46"/>
  <c r="AF115" i="46"/>
  <c r="AG115" i="46"/>
  <c r="AH115" i="46"/>
  <c r="AI115" i="46"/>
  <c r="AJ115" i="46"/>
  <c r="AK115" i="46"/>
  <c r="AL115" i="46"/>
  <c r="AM115" i="46"/>
  <c r="D116" i="46"/>
  <c r="E116" i="46"/>
  <c r="F116" i="46"/>
  <c r="G116" i="46"/>
  <c r="H116" i="46"/>
  <c r="I116" i="46"/>
  <c r="J116" i="46"/>
  <c r="K116" i="46"/>
  <c r="L116" i="46"/>
  <c r="M116" i="46"/>
  <c r="N116" i="46"/>
  <c r="O116" i="46"/>
  <c r="P116" i="46"/>
  <c r="Q116" i="46"/>
  <c r="R116" i="46"/>
  <c r="S116" i="46"/>
  <c r="T116" i="46"/>
  <c r="U116" i="46"/>
  <c r="V116" i="46"/>
  <c r="W116" i="46"/>
  <c r="X116" i="46"/>
  <c r="Y116" i="46"/>
  <c r="Z116" i="46"/>
  <c r="AA116" i="46"/>
  <c r="AB116" i="46"/>
  <c r="AC116" i="46"/>
  <c r="AD116" i="46"/>
  <c r="AE116" i="46"/>
  <c r="AF116" i="46"/>
  <c r="AG116" i="46"/>
  <c r="AH116" i="46"/>
  <c r="AI116" i="46"/>
  <c r="AJ116" i="46"/>
  <c r="AK116" i="46"/>
  <c r="AL116" i="46"/>
  <c r="AM116" i="46"/>
  <c r="D117" i="46"/>
  <c r="E117" i="46"/>
  <c r="F117" i="46"/>
  <c r="G117" i="46"/>
  <c r="H117" i="46"/>
  <c r="I117" i="46"/>
  <c r="J117" i="46"/>
  <c r="K117" i="46"/>
  <c r="L117" i="46"/>
  <c r="M117" i="46"/>
  <c r="N117" i="46"/>
  <c r="O117" i="46"/>
  <c r="P117" i="46"/>
  <c r="Q117" i="46"/>
  <c r="R117" i="46"/>
  <c r="S117" i="46"/>
  <c r="T117" i="46"/>
  <c r="U117" i="46"/>
  <c r="V117" i="46"/>
  <c r="W117" i="46"/>
  <c r="X117" i="46"/>
  <c r="Y117" i="46"/>
  <c r="Z117" i="46"/>
  <c r="AA117" i="46"/>
  <c r="AB117" i="46"/>
  <c r="AC117" i="46"/>
  <c r="AD117" i="46"/>
  <c r="AE117" i="46"/>
  <c r="AF117" i="46"/>
  <c r="AG117" i="46"/>
  <c r="AH117" i="46"/>
  <c r="AI117" i="46"/>
  <c r="AJ117" i="46"/>
  <c r="AK117" i="46"/>
  <c r="AL117" i="46"/>
  <c r="AM117" i="46"/>
  <c r="D118" i="46"/>
  <c r="E118" i="46"/>
  <c r="F118" i="46"/>
  <c r="G118" i="46"/>
  <c r="H118" i="46"/>
  <c r="I118" i="46"/>
  <c r="J118" i="46"/>
  <c r="K118" i="46"/>
  <c r="L118" i="46"/>
  <c r="M118" i="46"/>
  <c r="N118" i="46"/>
  <c r="O118" i="46"/>
  <c r="P118" i="46"/>
  <c r="Q118" i="46"/>
  <c r="R118" i="46"/>
  <c r="S118" i="46"/>
  <c r="T118" i="46"/>
  <c r="U118" i="46"/>
  <c r="V118" i="46"/>
  <c r="W118" i="46"/>
  <c r="X118" i="46"/>
  <c r="Y118" i="46"/>
  <c r="Z118" i="46"/>
  <c r="AA118" i="46"/>
  <c r="AB118" i="46"/>
  <c r="AC118" i="46"/>
  <c r="AD118" i="46"/>
  <c r="AE118" i="46"/>
  <c r="AF118" i="46"/>
  <c r="AG118" i="46"/>
  <c r="AH118" i="46"/>
  <c r="AI118" i="46"/>
  <c r="AJ118" i="46"/>
  <c r="AK118" i="46"/>
  <c r="AL118" i="46"/>
  <c r="AM118" i="46"/>
  <c r="D119" i="46"/>
  <c r="E119" i="46"/>
  <c r="F119" i="46"/>
  <c r="G119" i="46"/>
  <c r="H119" i="46"/>
  <c r="I119" i="46"/>
  <c r="J119" i="46"/>
  <c r="K119" i="46"/>
  <c r="L119" i="46"/>
  <c r="M119" i="46"/>
  <c r="N119" i="46"/>
  <c r="O119" i="46"/>
  <c r="P119" i="46"/>
  <c r="Q119" i="46"/>
  <c r="R119" i="46"/>
  <c r="S119" i="46"/>
  <c r="T119" i="46"/>
  <c r="U119" i="46"/>
  <c r="V119" i="46"/>
  <c r="W119" i="46"/>
  <c r="X119" i="46"/>
  <c r="Y119" i="46"/>
  <c r="Z119" i="46"/>
  <c r="AA119" i="46"/>
  <c r="AB119" i="46"/>
  <c r="AC119" i="46"/>
  <c r="AD119" i="46"/>
  <c r="AE119" i="46"/>
  <c r="AF119" i="46"/>
  <c r="AG119" i="46"/>
  <c r="AH119" i="46"/>
  <c r="AI119" i="46"/>
  <c r="AJ119" i="46"/>
  <c r="AK119" i="46"/>
  <c r="AL119" i="46"/>
  <c r="AM119" i="46"/>
  <c r="D120" i="46"/>
  <c r="E120" i="46"/>
  <c r="F120" i="46"/>
  <c r="G120" i="46"/>
  <c r="H120" i="46"/>
  <c r="I120" i="46"/>
  <c r="J120" i="46"/>
  <c r="K120" i="46"/>
  <c r="L120" i="46"/>
  <c r="M120" i="46"/>
  <c r="N120" i="46"/>
  <c r="O120" i="46"/>
  <c r="P120" i="46"/>
  <c r="Q120" i="46"/>
  <c r="R120" i="46"/>
  <c r="S120" i="46"/>
  <c r="T120" i="46"/>
  <c r="U120" i="46"/>
  <c r="V120" i="46"/>
  <c r="W120" i="46"/>
  <c r="X120" i="46"/>
  <c r="Y120" i="46"/>
  <c r="Z120" i="46"/>
  <c r="AA120" i="46"/>
  <c r="AB120" i="46"/>
  <c r="AC120" i="46"/>
  <c r="AD120" i="46"/>
  <c r="AE120" i="46"/>
  <c r="AF120" i="46"/>
  <c r="AG120" i="46"/>
  <c r="AH120" i="46"/>
  <c r="AI120" i="46"/>
  <c r="AJ120" i="46"/>
  <c r="AK120" i="46"/>
  <c r="AL120" i="46"/>
  <c r="AM120" i="46"/>
  <c r="D121" i="46"/>
  <c r="E121" i="46"/>
  <c r="F121" i="46"/>
  <c r="G121" i="46"/>
  <c r="H121" i="46"/>
  <c r="I121" i="46"/>
  <c r="J121" i="46"/>
  <c r="K121" i="46"/>
  <c r="L121" i="46"/>
  <c r="M121" i="46"/>
  <c r="N121" i="46"/>
  <c r="O121" i="46"/>
  <c r="P121" i="46"/>
  <c r="Q121" i="46"/>
  <c r="R121" i="46"/>
  <c r="S121" i="46"/>
  <c r="T121" i="46"/>
  <c r="U121" i="46"/>
  <c r="V121" i="46"/>
  <c r="W121" i="46"/>
  <c r="X121" i="46"/>
  <c r="Y121" i="46"/>
  <c r="Z121" i="46"/>
  <c r="AA121" i="46"/>
  <c r="AB121" i="46"/>
  <c r="AC121" i="46"/>
  <c r="AD121" i="46"/>
  <c r="AE121" i="46"/>
  <c r="AF121" i="46"/>
  <c r="AG121" i="46"/>
  <c r="AH121" i="46"/>
  <c r="AI121" i="46"/>
  <c r="AJ121" i="46"/>
  <c r="AK121" i="46"/>
  <c r="AL121" i="46"/>
  <c r="AM121" i="46"/>
  <c r="D122" i="46"/>
  <c r="E122" i="46"/>
  <c r="F122" i="46"/>
  <c r="G122" i="46"/>
  <c r="H122" i="46"/>
  <c r="I122" i="46"/>
  <c r="J122" i="46"/>
  <c r="K122" i="46"/>
  <c r="L122" i="46"/>
  <c r="M122" i="46"/>
  <c r="N122" i="46"/>
  <c r="O122" i="46"/>
  <c r="P122" i="46"/>
  <c r="Q122" i="46"/>
  <c r="R122" i="46"/>
  <c r="S122" i="46"/>
  <c r="T122" i="46"/>
  <c r="U122" i="46"/>
  <c r="V122" i="46"/>
  <c r="W122" i="46"/>
  <c r="X122" i="46"/>
  <c r="Y122" i="46"/>
  <c r="Z122" i="46"/>
  <c r="AA122" i="46"/>
  <c r="AB122" i="46"/>
  <c r="AC122" i="46"/>
  <c r="AD122" i="46"/>
  <c r="AE122" i="46"/>
  <c r="AF122" i="46"/>
  <c r="AG122" i="46"/>
  <c r="AH122" i="46"/>
  <c r="AI122" i="46"/>
  <c r="AJ122" i="46"/>
  <c r="AK122" i="46"/>
  <c r="AL122" i="46"/>
  <c r="AM122" i="46"/>
  <c r="D123" i="46"/>
  <c r="E123" i="46"/>
  <c r="F123" i="46"/>
  <c r="G123" i="46"/>
  <c r="H123" i="46"/>
  <c r="I123" i="46"/>
  <c r="J123" i="46"/>
  <c r="K123" i="46"/>
  <c r="L123" i="46"/>
  <c r="M123" i="46"/>
  <c r="N123" i="46"/>
  <c r="O123" i="46"/>
  <c r="P123" i="46"/>
  <c r="Q123" i="46"/>
  <c r="R123" i="46"/>
  <c r="S123" i="46"/>
  <c r="T123" i="46"/>
  <c r="U123" i="46"/>
  <c r="V123" i="46"/>
  <c r="W123" i="46"/>
  <c r="X123" i="46"/>
  <c r="Y123" i="46"/>
  <c r="Z123" i="46"/>
  <c r="AA123" i="46"/>
  <c r="AB123" i="46"/>
  <c r="AC123" i="46"/>
  <c r="AD123" i="46"/>
  <c r="AE123" i="46"/>
  <c r="AF123" i="46"/>
  <c r="AG123" i="46"/>
  <c r="AH123" i="46"/>
  <c r="AI123" i="46"/>
  <c r="AJ123" i="46"/>
  <c r="AK123" i="46"/>
  <c r="AL123" i="46"/>
  <c r="AM123" i="46"/>
  <c r="D124" i="46"/>
  <c r="E124" i="46"/>
  <c r="F124" i="46"/>
  <c r="G124" i="46"/>
  <c r="H124" i="46"/>
  <c r="I124" i="46"/>
  <c r="J124" i="46"/>
  <c r="K124" i="46"/>
  <c r="L124" i="46"/>
  <c r="M124" i="46"/>
  <c r="N124" i="46"/>
  <c r="O124" i="46"/>
  <c r="P124" i="46"/>
  <c r="Q124" i="46"/>
  <c r="R124" i="46"/>
  <c r="S124" i="46"/>
  <c r="T124" i="46"/>
  <c r="U124" i="46"/>
  <c r="V124" i="46"/>
  <c r="W124" i="46"/>
  <c r="X124" i="46"/>
  <c r="Y124" i="46"/>
  <c r="Z124" i="46"/>
  <c r="AA124" i="46"/>
  <c r="AB124" i="46"/>
  <c r="AC124" i="46"/>
  <c r="AD124" i="46"/>
  <c r="AE124" i="46"/>
  <c r="AF124" i="46"/>
  <c r="AG124" i="46"/>
  <c r="AH124" i="46"/>
  <c r="AI124" i="46"/>
  <c r="AJ124" i="46"/>
  <c r="AK124" i="46"/>
  <c r="AL124" i="46"/>
  <c r="AM124" i="46"/>
  <c r="D125" i="46"/>
  <c r="E125" i="46"/>
  <c r="F125" i="46"/>
  <c r="G125" i="46"/>
  <c r="H125" i="46"/>
  <c r="I125" i="46"/>
  <c r="J125" i="46"/>
  <c r="K125" i="46"/>
  <c r="L125" i="46"/>
  <c r="M125" i="46"/>
  <c r="N125" i="46"/>
  <c r="O125" i="46"/>
  <c r="P125" i="46"/>
  <c r="Q125" i="46"/>
  <c r="R125" i="46"/>
  <c r="S125" i="46"/>
  <c r="T125" i="46"/>
  <c r="U125" i="46"/>
  <c r="V125" i="46"/>
  <c r="W125" i="46"/>
  <c r="X125" i="46"/>
  <c r="Y125" i="46"/>
  <c r="Z125" i="46"/>
  <c r="AA125" i="46"/>
  <c r="AB125" i="46"/>
  <c r="AC125" i="46"/>
  <c r="AD125" i="46"/>
  <c r="AE125" i="46"/>
  <c r="AF125" i="46"/>
  <c r="AG125" i="46"/>
  <c r="AH125" i="46"/>
  <c r="AI125" i="46"/>
  <c r="AJ125" i="46"/>
  <c r="AK125" i="46"/>
  <c r="AL125" i="46"/>
  <c r="AM125" i="46"/>
  <c r="D126" i="46"/>
  <c r="E126" i="46"/>
  <c r="F126" i="46"/>
  <c r="G126" i="46"/>
  <c r="H126" i="46"/>
  <c r="I126" i="46"/>
  <c r="J126" i="46"/>
  <c r="K126" i="46"/>
  <c r="L126" i="46"/>
  <c r="M126" i="46"/>
  <c r="N126" i="46"/>
  <c r="O126" i="46"/>
  <c r="P126" i="46"/>
  <c r="Q126" i="46"/>
  <c r="R126" i="46"/>
  <c r="S126" i="46"/>
  <c r="T126" i="46"/>
  <c r="U126" i="46"/>
  <c r="V126" i="46"/>
  <c r="W126" i="46"/>
  <c r="X126" i="46"/>
  <c r="Y126" i="46"/>
  <c r="Z126" i="46"/>
  <c r="AA126" i="46"/>
  <c r="AB126" i="46"/>
  <c r="AC126" i="46"/>
  <c r="AD126" i="46"/>
  <c r="AE126" i="46"/>
  <c r="AF126" i="46"/>
  <c r="AG126" i="46"/>
  <c r="AH126" i="46"/>
  <c r="AI126" i="46"/>
  <c r="AJ126" i="46"/>
  <c r="AK126" i="46"/>
  <c r="AL126" i="46"/>
  <c r="AM126" i="46"/>
  <c r="D127" i="46"/>
  <c r="E127" i="46"/>
  <c r="F127" i="46"/>
  <c r="G127" i="46"/>
  <c r="H127" i="46"/>
  <c r="I127" i="46"/>
  <c r="J127" i="46"/>
  <c r="K127" i="46"/>
  <c r="L127" i="46"/>
  <c r="M127" i="46"/>
  <c r="N127" i="46"/>
  <c r="O127" i="46"/>
  <c r="P127" i="46"/>
  <c r="Q127" i="46"/>
  <c r="R127" i="46"/>
  <c r="S127" i="46"/>
  <c r="T127" i="46"/>
  <c r="U127" i="46"/>
  <c r="V127" i="46"/>
  <c r="W127" i="46"/>
  <c r="X127" i="46"/>
  <c r="Y127" i="46"/>
  <c r="Z127" i="46"/>
  <c r="AA127" i="46"/>
  <c r="AB127" i="46"/>
  <c r="AC127" i="46"/>
  <c r="AD127" i="46"/>
  <c r="AE127" i="46"/>
  <c r="AF127" i="46"/>
  <c r="AG127" i="46"/>
  <c r="AH127" i="46"/>
  <c r="AI127" i="46"/>
  <c r="AJ127" i="46"/>
  <c r="AK127" i="46"/>
  <c r="AL127" i="46"/>
  <c r="AM127" i="46"/>
  <c r="D128" i="46"/>
  <c r="E128" i="46"/>
  <c r="F128" i="46"/>
  <c r="G128" i="46"/>
  <c r="H128" i="46"/>
  <c r="I128" i="46"/>
  <c r="J128" i="46"/>
  <c r="K128" i="46"/>
  <c r="L128" i="46"/>
  <c r="M128" i="46"/>
  <c r="N128" i="46"/>
  <c r="O128" i="46"/>
  <c r="P128" i="46"/>
  <c r="Q128" i="46"/>
  <c r="R128" i="46"/>
  <c r="S128" i="46"/>
  <c r="T128" i="46"/>
  <c r="U128" i="46"/>
  <c r="V128" i="46"/>
  <c r="W128" i="46"/>
  <c r="X128" i="46"/>
  <c r="Y128" i="46"/>
  <c r="Z128" i="46"/>
  <c r="AA128" i="46"/>
  <c r="AB128" i="46"/>
  <c r="AC128" i="46"/>
  <c r="AD128" i="46"/>
  <c r="AE128" i="46"/>
  <c r="AF128" i="46"/>
  <c r="AG128" i="46"/>
  <c r="AH128" i="46"/>
  <c r="AI128" i="46"/>
  <c r="AJ128" i="46"/>
  <c r="AK128" i="46"/>
  <c r="AL128" i="46"/>
  <c r="AM128" i="46"/>
  <c r="D129" i="46"/>
  <c r="E129" i="46"/>
  <c r="F129" i="46"/>
  <c r="G129" i="46"/>
  <c r="H129" i="46"/>
  <c r="I129" i="46"/>
  <c r="J129" i="46"/>
  <c r="K129" i="46"/>
  <c r="L129" i="46"/>
  <c r="M129" i="46"/>
  <c r="N129" i="46"/>
  <c r="O129" i="46"/>
  <c r="P129" i="46"/>
  <c r="Q129" i="46"/>
  <c r="R129" i="46"/>
  <c r="S129" i="46"/>
  <c r="T129" i="46"/>
  <c r="U129" i="46"/>
  <c r="V129" i="46"/>
  <c r="W129" i="46"/>
  <c r="X129" i="46"/>
  <c r="Y129" i="46"/>
  <c r="Z129" i="46"/>
  <c r="AA129" i="46"/>
  <c r="AB129" i="46"/>
  <c r="AC129" i="46"/>
  <c r="AD129" i="46"/>
  <c r="AE129" i="46"/>
  <c r="AF129" i="46"/>
  <c r="AG129" i="46"/>
  <c r="AH129" i="46"/>
  <c r="AI129" i="46"/>
  <c r="AJ129" i="46"/>
  <c r="AK129" i="46"/>
  <c r="AL129" i="46"/>
  <c r="AM129" i="46"/>
  <c r="D130" i="46"/>
  <c r="E130" i="46"/>
  <c r="F130" i="46"/>
  <c r="G130" i="46"/>
  <c r="H130" i="46"/>
  <c r="I130" i="46"/>
  <c r="J130" i="46"/>
  <c r="K130" i="46"/>
  <c r="L130" i="46"/>
  <c r="M130" i="46"/>
  <c r="N130" i="46"/>
  <c r="O130" i="46"/>
  <c r="P130" i="46"/>
  <c r="Q130" i="46"/>
  <c r="R130" i="46"/>
  <c r="S130" i="46"/>
  <c r="T130" i="46"/>
  <c r="U130" i="46"/>
  <c r="V130" i="46"/>
  <c r="W130" i="46"/>
  <c r="X130" i="46"/>
  <c r="Y130" i="46"/>
  <c r="Z130" i="46"/>
  <c r="AA130" i="46"/>
  <c r="AB130" i="46"/>
  <c r="AC130" i="46"/>
  <c r="AD130" i="46"/>
  <c r="AE130" i="46"/>
  <c r="AF130" i="46"/>
  <c r="AG130" i="46"/>
  <c r="AH130" i="46"/>
  <c r="AI130" i="46"/>
  <c r="AJ130" i="46"/>
  <c r="AK130" i="46"/>
  <c r="AL130" i="46"/>
  <c r="AM130" i="46"/>
  <c r="D131" i="46"/>
  <c r="E131" i="46"/>
  <c r="F131" i="46"/>
  <c r="G131" i="46"/>
  <c r="H131" i="46"/>
  <c r="I131" i="46"/>
  <c r="J131" i="46"/>
  <c r="K131" i="46"/>
  <c r="L131" i="46"/>
  <c r="M131" i="46"/>
  <c r="N131" i="46"/>
  <c r="O131" i="46"/>
  <c r="P131" i="46"/>
  <c r="Q131" i="46"/>
  <c r="R131" i="46"/>
  <c r="S131" i="46"/>
  <c r="T131" i="46"/>
  <c r="U131" i="46"/>
  <c r="V131" i="46"/>
  <c r="W131" i="46"/>
  <c r="X131" i="46"/>
  <c r="Y131" i="46"/>
  <c r="Z131" i="46"/>
  <c r="AA131" i="46"/>
  <c r="AB131" i="46"/>
  <c r="AC131" i="46"/>
  <c r="AD131" i="46"/>
  <c r="AE131" i="46"/>
  <c r="AF131" i="46"/>
  <c r="AG131" i="46"/>
  <c r="AH131" i="46"/>
  <c r="AI131" i="46"/>
  <c r="AJ131" i="46"/>
  <c r="AK131" i="46"/>
  <c r="AL131" i="46"/>
  <c r="AM131" i="46"/>
  <c r="D132" i="46"/>
  <c r="E132" i="46"/>
  <c r="F132" i="46"/>
  <c r="G132" i="46"/>
  <c r="H132" i="46"/>
  <c r="I132" i="46"/>
  <c r="J132" i="46"/>
  <c r="K132" i="46"/>
  <c r="L132" i="46"/>
  <c r="M132" i="46"/>
  <c r="N132" i="46"/>
  <c r="O132" i="46"/>
  <c r="P132" i="46"/>
  <c r="Q132" i="46"/>
  <c r="R132" i="46"/>
  <c r="S132" i="46"/>
  <c r="T132" i="46"/>
  <c r="U132" i="46"/>
  <c r="V132" i="46"/>
  <c r="W132" i="46"/>
  <c r="X132" i="46"/>
  <c r="Y132" i="46"/>
  <c r="Z132" i="46"/>
  <c r="AA132" i="46"/>
  <c r="AB132" i="46"/>
  <c r="AC132" i="46"/>
  <c r="AD132" i="46"/>
  <c r="AE132" i="46"/>
  <c r="AF132" i="46"/>
  <c r="AG132" i="46"/>
  <c r="AH132" i="46"/>
  <c r="AI132" i="46"/>
  <c r="AJ132" i="46"/>
  <c r="AK132" i="46"/>
  <c r="AL132" i="46"/>
  <c r="AM132" i="46"/>
  <c r="D133" i="46"/>
  <c r="E133" i="46"/>
  <c r="F133" i="46"/>
  <c r="G133" i="46"/>
  <c r="H133" i="46"/>
  <c r="I133" i="46"/>
  <c r="J133" i="46"/>
  <c r="K133" i="46"/>
  <c r="L133" i="46"/>
  <c r="M133" i="46"/>
  <c r="N133" i="46"/>
  <c r="O133" i="46"/>
  <c r="P133" i="46"/>
  <c r="Q133" i="46"/>
  <c r="R133" i="46"/>
  <c r="S133" i="46"/>
  <c r="T133" i="46"/>
  <c r="U133" i="46"/>
  <c r="V133" i="46"/>
  <c r="W133" i="46"/>
  <c r="X133" i="46"/>
  <c r="Y133" i="46"/>
  <c r="Z133" i="46"/>
  <c r="AA133" i="46"/>
  <c r="AB133" i="46"/>
  <c r="AC133" i="46"/>
  <c r="AD133" i="46"/>
  <c r="AE133" i="46"/>
  <c r="AF133" i="46"/>
  <c r="AG133" i="46"/>
  <c r="AH133" i="46"/>
  <c r="AI133" i="46"/>
  <c r="AJ133" i="46"/>
  <c r="AK133" i="46"/>
  <c r="AL133" i="46"/>
  <c r="AM133" i="46"/>
  <c r="D134" i="46"/>
  <c r="E134" i="46"/>
  <c r="F134" i="46"/>
  <c r="G134" i="46"/>
  <c r="H134" i="46"/>
  <c r="I134" i="46"/>
  <c r="J134" i="46"/>
  <c r="K134" i="46"/>
  <c r="L134" i="46"/>
  <c r="M134" i="46"/>
  <c r="N134" i="46"/>
  <c r="O134" i="46"/>
  <c r="P134" i="46"/>
  <c r="Q134" i="46"/>
  <c r="R134" i="46"/>
  <c r="S134" i="46"/>
  <c r="T134" i="46"/>
  <c r="U134" i="46"/>
  <c r="V134" i="46"/>
  <c r="W134" i="46"/>
  <c r="X134" i="46"/>
  <c r="Y134" i="46"/>
  <c r="Z134" i="46"/>
  <c r="AA134" i="46"/>
  <c r="AB134" i="46"/>
  <c r="AC134" i="46"/>
  <c r="AD134" i="46"/>
  <c r="AE134" i="46"/>
  <c r="AF134" i="46"/>
  <c r="AG134" i="46"/>
  <c r="AH134" i="46"/>
  <c r="AI134" i="46"/>
  <c r="AJ134" i="46"/>
  <c r="AK134" i="46"/>
  <c r="AL134" i="46"/>
  <c r="AM134" i="46"/>
  <c r="D135" i="46"/>
  <c r="E135" i="46"/>
  <c r="F135" i="46"/>
  <c r="G135" i="46"/>
  <c r="H135" i="46"/>
  <c r="I135" i="46"/>
  <c r="J135" i="46"/>
  <c r="K135" i="46"/>
  <c r="L135" i="46"/>
  <c r="M135" i="46"/>
  <c r="N135" i="46"/>
  <c r="O135" i="46"/>
  <c r="P135" i="46"/>
  <c r="Q135" i="46"/>
  <c r="R135" i="46"/>
  <c r="S135" i="46"/>
  <c r="T135" i="46"/>
  <c r="U135" i="46"/>
  <c r="V135" i="46"/>
  <c r="W135" i="46"/>
  <c r="X135" i="46"/>
  <c r="Y135" i="46"/>
  <c r="Z135" i="46"/>
  <c r="AA135" i="46"/>
  <c r="AB135" i="46"/>
  <c r="AC135" i="46"/>
  <c r="AD135" i="46"/>
  <c r="AE135" i="46"/>
  <c r="AF135" i="46"/>
  <c r="AG135" i="46"/>
  <c r="AH135" i="46"/>
  <c r="AI135" i="46"/>
  <c r="AJ135" i="46"/>
  <c r="AK135" i="46"/>
  <c r="AL135" i="46"/>
  <c r="AM135" i="46"/>
  <c r="D136" i="46"/>
  <c r="E136" i="46"/>
  <c r="F136" i="46"/>
  <c r="G136" i="46"/>
  <c r="H136" i="46"/>
  <c r="I136" i="46"/>
  <c r="J136" i="46"/>
  <c r="K136" i="46"/>
  <c r="L136" i="46"/>
  <c r="M136" i="46"/>
  <c r="N136" i="46"/>
  <c r="O136" i="46"/>
  <c r="P136" i="46"/>
  <c r="Q136" i="46"/>
  <c r="R136" i="46"/>
  <c r="S136" i="46"/>
  <c r="T136" i="46"/>
  <c r="U136" i="46"/>
  <c r="V136" i="46"/>
  <c r="W136" i="46"/>
  <c r="X136" i="46"/>
  <c r="Y136" i="46"/>
  <c r="Z136" i="46"/>
  <c r="AA136" i="46"/>
  <c r="AB136" i="46"/>
  <c r="AC136" i="46"/>
  <c r="AD136" i="46"/>
  <c r="AE136" i="46"/>
  <c r="AF136" i="46"/>
  <c r="AG136" i="46"/>
  <c r="AH136" i="46"/>
  <c r="AI136" i="46"/>
  <c r="AJ136" i="46"/>
  <c r="AK136" i="46"/>
  <c r="AL136" i="46"/>
  <c r="AM136" i="46"/>
  <c r="D137" i="46"/>
  <c r="E137" i="46"/>
  <c r="F137" i="46"/>
  <c r="G137" i="46"/>
  <c r="H137" i="46"/>
  <c r="I137" i="46"/>
  <c r="J137" i="46"/>
  <c r="K137" i="46"/>
  <c r="L137" i="46"/>
  <c r="M137" i="46"/>
  <c r="N137" i="46"/>
  <c r="O137" i="46"/>
  <c r="P137" i="46"/>
  <c r="Q137" i="46"/>
  <c r="R137" i="46"/>
  <c r="S137" i="46"/>
  <c r="T137" i="46"/>
  <c r="U137" i="46"/>
  <c r="V137" i="46"/>
  <c r="W137" i="46"/>
  <c r="X137" i="46"/>
  <c r="Y137" i="46"/>
  <c r="Z137" i="46"/>
  <c r="AA137" i="46"/>
  <c r="AB137" i="46"/>
  <c r="AC137" i="46"/>
  <c r="AD137" i="46"/>
  <c r="AE137" i="46"/>
  <c r="AF137" i="46"/>
  <c r="AG137" i="46"/>
  <c r="AH137" i="46"/>
  <c r="AI137" i="46"/>
  <c r="AJ137" i="46"/>
  <c r="AK137" i="46"/>
  <c r="AL137" i="46"/>
  <c r="AM137" i="46"/>
  <c r="D138" i="46"/>
  <c r="E138" i="46"/>
  <c r="F138" i="46"/>
  <c r="G138" i="46"/>
  <c r="H138" i="46"/>
  <c r="I138" i="46"/>
  <c r="J138" i="46"/>
  <c r="K138" i="46"/>
  <c r="L138" i="46"/>
  <c r="M138" i="46"/>
  <c r="N138" i="46"/>
  <c r="O138" i="46"/>
  <c r="P138" i="46"/>
  <c r="Q138" i="46"/>
  <c r="R138" i="46"/>
  <c r="S138" i="46"/>
  <c r="T138" i="46"/>
  <c r="U138" i="46"/>
  <c r="V138" i="46"/>
  <c r="W138" i="46"/>
  <c r="X138" i="46"/>
  <c r="Y138" i="46"/>
  <c r="Z138" i="46"/>
  <c r="AA138" i="46"/>
  <c r="AB138" i="46"/>
  <c r="AC138" i="46"/>
  <c r="AD138" i="46"/>
  <c r="AE138" i="46"/>
  <c r="AF138" i="46"/>
  <c r="AG138" i="46"/>
  <c r="AH138" i="46"/>
  <c r="AI138" i="46"/>
  <c r="AJ138" i="46"/>
  <c r="AK138" i="46"/>
  <c r="AL138" i="46"/>
  <c r="AM138" i="46"/>
  <c r="D139" i="46"/>
  <c r="E139" i="46"/>
  <c r="F139" i="46"/>
  <c r="G139" i="46"/>
  <c r="H139" i="46"/>
  <c r="I139" i="46"/>
  <c r="J139" i="46"/>
  <c r="K139" i="46"/>
  <c r="L139" i="46"/>
  <c r="M139" i="46"/>
  <c r="N139" i="46"/>
  <c r="O139" i="46"/>
  <c r="P139" i="46"/>
  <c r="Q139" i="46"/>
  <c r="R139" i="46"/>
  <c r="S139" i="46"/>
  <c r="T139" i="46"/>
  <c r="U139" i="46"/>
  <c r="V139" i="46"/>
  <c r="W139" i="46"/>
  <c r="X139" i="46"/>
  <c r="Y139" i="46"/>
  <c r="Z139" i="46"/>
  <c r="AA139" i="46"/>
  <c r="AB139" i="46"/>
  <c r="AC139" i="46"/>
  <c r="AD139" i="46"/>
  <c r="AE139" i="46"/>
  <c r="AF139" i="46"/>
  <c r="AG139" i="46"/>
  <c r="AH139" i="46"/>
  <c r="AI139" i="46"/>
  <c r="AJ139" i="46"/>
  <c r="AK139" i="46"/>
  <c r="AL139" i="46"/>
  <c r="AM139" i="46"/>
  <c r="D140" i="46"/>
  <c r="E140" i="46"/>
  <c r="F140" i="46"/>
  <c r="G140" i="46"/>
  <c r="H140" i="46"/>
  <c r="I140" i="46"/>
  <c r="J140" i="46"/>
  <c r="K140" i="46"/>
  <c r="L140" i="46"/>
  <c r="M140" i="46"/>
  <c r="N140" i="46"/>
  <c r="O140" i="46"/>
  <c r="P140" i="46"/>
  <c r="Q140" i="46"/>
  <c r="R140" i="46"/>
  <c r="S140" i="46"/>
  <c r="T140" i="46"/>
  <c r="U140" i="46"/>
  <c r="V140" i="46"/>
  <c r="W140" i="46"/>
  <c r="X140" i="46"/>
  <c r="Y140" i="46"/>
  <c r="Z140" i="46"/>
  <c r="AA140" i="46"/>
  <c r="AB140" i="46"/>
  <c r="AC140" i="46"/>
  <c r="AD140" i="46"/>
  <c r="AE140" i="46"/>
  <c r="AF140" i="46"/>
  <c r="AG140" i="46"/>
  <c r="AH140" i="46"/>
  <c r="AI140" i="46"/>
  <c r="AJ140" i="46"/>
  <c r="AK140" i="46"/>
  <c r="AL140" i="46"/>
  <c r="AM140" i="46"/>
  <c r="D141" i="46"/>
  <c r="E141" i="46"/>
  <c r="F141" i="46"/>
  <c r="G141" i="46"/>
  <c r="H141" i="46"/>
  <c r="I141" i="46"/>
  <c r="J141" i="46"/>
  <c r="K141" i="46"/>
  <c r="L141" i="46"/>
  <c r="M141" i="46"/>
  <c r="N141" i="46"/>
  <c r="O141" i="46"/>
  <c r="P141" i="46"/>
  <c r="Q141" i="46"/>
  <c r="R141" i="46"/>
  <c r="S141" i="46"/>
  <c r="T141" i="46"/>
  <c r="U141" i="46"/>
  <c r="V141" i="46"/>
  <c r="W141" i="46"/>
  <c r="X141" i="46"/>
  <c r="Y141" i="46"/>
  <c r="Z141" i="46"/>
  <c r="AA141" i="46"/>
  <c r="AB141" i="46"/>
  <c r="AC141" i="46"/>
  <c r="AD141" i="46"/>
  <c r="AE141" i="46"/>
  <c r="AF141" i="46"/>
  <c r="AG141" i="46"/>
  <c r="AH141" i="46"/>
  <c r="AI141" i="46"/>
  <c r="AJ141" i="46"/>
  <c r="AK141" i="46"/>
  <c r="AL141" i="46"/>
  <c r="AM141" i="46"/>
  <c r="D142" i="46"/>
  <c r="E142" i="46"/>
  <c r="F142" i="46"/>
  <c r="G142" i="46"/>
  <c r="H142" i="46"/>
  <c r="I142" i="46"/>
  <c r="J142" i="46"/>
  <c r="K142" i="46"/>
  <c r="L142" i="46"/>
  <c r="M142" i="46"/>
  <c r="N142" i="46"/>
  <c r="O142" i="46"/>
  <c r="P142" i="46"/>
  <c r="Q142" i="46"/>
  <c r="R142" i="46"/>
  <c r="S142" i="46"/>
  <c r="T142" i="46"/>
  <c r="U142" i="46"/>
  <c r="V142" i="46"/>
  <c r="W142" i="46"/>
  <c r="X142" i="46"/>
  <c r="Y142" i="46"/>
  <c r="Z142" i="46"/>
  <c r="AA142" i="46"/>
  <c r="AB142" i="46"/>
  <c r="AC142" i="46"/>
  <c r="AD142" i="46"/>
  <c r="AE142" i="46"/>
  <c r="AF142" i="46"/>
  <c r="AG142" i="46"/>
  <c r="AH142" i="46"/>
  <c r="AI142" i="46"/>
  <c r="AJ142" i="46"/>
  <c r="AK142" i="46"/>
  <c r="AL142" i="46"/>
  <c r="AM142" i="46"/>
  <c r="D143" i="46"/>
  <c r="E143" i="46"/>
  <c r="F143" i="46"/>
  <c r="G143" i="46"/>
  <c r="H143" i="46"/>
  <c r="I143" i="46"/>
  <c r="J143" i="46"/>
  <c r="K143" i="46"/>
  <c r="L143" i="46"/>
  <c r="M143" i="46"/>
  <c r="N143" i="46"/>
  <c r="O143" i="46"/>
  <c r="P143" i="46"/>
  <c r="Q143" i="46"/>
  <c r="R143" i="46"/>
  <c r="S143" i="46"/>
  <c r="T143" i="46"/>
  <c r="U143" i="46"/>
  <c r="V143" i="46"/>
  <c r="W143" i="46"/>
  <c r="X143" i="46"/>
  <c r="Y143" i="46"/>
  <c r="Z143" i="46"/>
  <c r="AA143" i="46"/>
  <c r="AB143" i="46"/>
  <c r="AC143" i="46"/>
  <c r="AD143" i="46"/>
  <c r="AE143" i="46"/>
  <c r="AF143" i="46"/>
  <c r="AG143" i="46"/>
  <c r="AH143" i="46"/>
  <c r="AI143" i="46"/>
  <c r="AJ143" i="46"/>
  <c r="AK143" i="46"/>
  <c r="AL143" i="46"/>
  <c r="AM143" i="46"/>
  <c r="D144" i="46"/>
  <c r="E144" i="46"/>
  <c r="F144" i="46"/>
  <c r="G144" i="46"/>
  <c r="H144" i="46"/>
  <c r="I144" i="46"/>
  <c r="J144" i="46"/>
  <c r="K144" i="46"/>
  <c r="L144" i="46"/>
  <c r="M144" i="46"/>
  <c r="N144" i="46"/>
  <c r="O144" i="46"/>
  <c r="P144" i="46"/>
  <c r="Q144" i="46"/>
  <c r="R144" i="46"/>
  <c r="S144" i="46"/>
  <c r="T144" i="46"/>
  <c r="U144" i="46"/>
  <c r="V144" i="46"/>
  <c r="W144" i="46"/>
  <c r="X144" i="46"/>
  <c r="Y144" i="46"/>
  <c r="Z144" i="46"/>
  <c r="AA144" i="46"/>
  <c r="AB144" i="46"/>
  <c r="AC144" i="46"/>
  <c r="AD144" i="46"/>
  <c r="AE144" i="46"/>
  <c r="AF144" i="46"/>
  <c r="AG144" i="46"/>
  <c r="AH144" i="46"/>
  <c r="AI144" i="46"/>
  <c r="AJ144" i="46"/>
  <c r="AK144" i="46"/>
  <c r="AL144" i="46"/>
  <c r="AM144" i="46"/>
  <c r="D145" i="46"/>
  <c r="E145" i="46"/>
  <c r="F145" i="46"/>
  <c r="G145" i="46"/>
  <c r="H145" i="46"/>
  <c r="I145" i="46"/>
  <c r="J145" i="46"/>
  <c r="K145" i="46"/>
  <c r="L145" i="46"/>
  <c r="M145" i="46"/>
  <c r="N145" i="46"/>
  <c r="O145" i="46"/>
  <c r="P145" i="46"/>
  <c r="Q145" i="46"/>
  <c r="R145" i="46"/>
  <c r="S145" i="46"/>
  <c r="T145" i="46"/>
  <c r="U145" i="46"/>
  <c r="V145" i="46"/>
  <c r="W145" i="46"/>
  <c r="X145" i="46"/>
  <c r="Y145" i="46"/>
  <c r="Z145" i="46"/>
  <c r="AA145" i="46"/>
  <c r="AB145" i="46"/>
  <c r="AC145" i="46"/>
  <c r="AD145" i="46"/>
  <c r="AE145" i="46"/>
  <c r="AF145" i="46"/>
  <c r="AG145" i="46"/>
  <c r="AH145" i="46"/>
  <c r="AI145" i="46"/>
  <c r="AJ145" i="46"/>
  <c r="AK145" i="46"/>
  <c r="AL145" i="46"/>
  <c r="AM145" i="46"/>
  <c r="D146" i="46"/>
  <c r="E146" i="46"/>
  <c r="F146" i="46"/>
  <c r="G146" i="46"/>
  <c r="H146" i="46"/>
  <c r="I146" i="46"/>
  <c r="J146" i="46"/>
  <c r="K146" i="46"/>
  <c r="L146" i="46"/>
  <c r="M146" i="46"/>
  <c r="N146" i="46"/>
  <c r="O146" i="46"/>
  <c r="P146" i="46"/>
  <c r="Q146" i="46"/>
  <c r="R146" i="46"/>
  <c r="S146" i="46"/>
  <c r="T146" i="46"/>
  <c r="U146" i="46"/>
  <c r="V146" i="46"/>
  <c r="W146" i="46"/>
  <c r="X146" i="46"/>
  <c r="Y146" i="46"/>
  <c r="Z146" i="46"/>
  <c r="AA146" i="46"/>
  <c r="AB146" i="46"/>
  <c r="AC146" i="46"/>
  <c r="AD146" i="46"/>
  <c r="AE146" i="46"/>
  <c r="AF146" i="46"/>
  <c r="AG146" i="46"/>
  <c r="AH146" i="46"/>
  <c r="AI146" i="46"/>
  <c r="AJ146" i="46"/>
  <c r="AK146" i="46"/>
  <c r="AL146" i="46"/>
  <c r="AM146" i="46"/>
  <c r="D147" i="46"/>
  <c r="E147" i="46"/>
  <c r="F147" i="46"/>
  <c r="G147" i="46"/>
  <c r="H147" i="46"/>
  <c r="I147" i="46"/>
  <c r="J147" i="46"/>
  <c r="K147" i="46"/>
  <c r="L147" i="46"/>
  <c r="M147" i="46"/>
  <c r="N147" i="46"/>
  <c r="O147" i="46"/>
  <c r="P147" i="46"/>
  <c r="Q147" i="46"/>
  <c r="R147" i="46"/>
  <c r="S147" i="46"/>
  <c r="T147" i="46"/>
  <c r="U147" i="46"/>
  <c r="V147" i="46"/>
  <c r="W147" i="46"/>
  <c r="X147" i="46"/>
  <c r="Y147" i="46"/>
  <c r="Z147" i="46"/>
  <c r="AA147" i="46"/>
  <c r="AB147" i="46"/>
  <c r="AC147" i="46"/>
  <c r="AD147" i="46"/>
  <c r="AE147" i="46"/>
  <c r="AF147" i="46"/>
  <c r="AG147" i="46"/>
  <c r="AH147" i="46"/>
  <c r="AI147" i="46"/>
  <c r="AJ147" i="46"/>
  <c r="AK147" i="46"/>
  <c r="AL147" i="46"/>
  <c r="AM147" i="46"/>
  <c r="D148" i="46"/>
  <c r="E148" i="46"/>
  <c r="F148" i="46"/>
  <c r="G148" i="46"/>
  <c r="H148" i="46"/>
  <c r="I148" i="46"/>
  <c r="J148" i="46"/>
  <c r="K148" i="46"/>
  <c r="L148" i="46"/>
  <c r="M148" i="46"/>
  <c r="N148" i="46"/>
  <c r="O148" i="46"/>
  <c r="P148" i="46"/>
  <c r="Q148" i="46"/>
  <c r="R148" i="46"/>
  <c r="S148" i="46"/>
  <c r="T148" i="46"/>
  <c r="U148" i="46"/>
  <c r="V148" i="46"/>
  <c r="W148" i="46"/>
  <c r="X148" i="46"/>
  <c r="Y148" i="46"/>
  <c r="Z148" i="46"/>
  <c r="AA148" i="46"/>
  <c r="AB148" i="46"/>
  <c r="AC148" i="46"/>
  <c r="AD148" i="46"/>
  <c r="AE148" i="46"/>
  <c r="AF148" i="46"/>
  <c r="AG148" i="46"/>
  <c r="AH148" i="46"/>
  <c r="AI148" i="46"/>
  <c r="AJ148" i="46"/>
  <c r="AK148" i="46"/>
  <c r="AL148" i="46"/>
  <c r="AM148" i="46"/>
  <c r="D149" i="46"/>
  <c r="E149" i="46"/>
  <c r="F149" i="46"/>
  <c r="G149" i="46"/>
  <c r="H149" i="46"/>
  <c r="I149" i="46"/>
  <c r="J149" i="46"/>
  <c r="K149" i="46"/>
  <c r="L149" i="46"/>
  <c r="M149" i="46"/>
  <c r="N149" i="46"/>
  <c r="O149" i="46"/>
  <c r="P149" i="46"/>
  <c r="Q149" i="46"/>
  <c r="R149" i="46"/>
  <c r="S149" i="46"/>
  <c r="T149" i="46"/>
  <c r="U149" i="46"/>
  <c r="V149" i="46"/>
  <c r="W149" i="46"/>
  <c r="X149" i="46"/>
  <c r="Y149" i="46"/>
  <c r="Z149" i="46"/>
  <c r="AA149" i="46"/>
  <c r="AB149" i="46"/>
  <c r="AC149" i="46"/>
  <c r="AD149" i="46"/>
  <c r="AE149" i="46"/>
  <c r="AF149" i="46"/>
  <c r="AG149" i="46"/>
  <c r="AH149" i="46"/>
  <c r="AI149" i="46"/>
  <c r="AJ149" i="46"/>
  <c r="AK149" i="46"/>
  <c r="AL149" i="46"/>
  <c r="AM149" i="46"/>
  <c r="D150" i="46"/>
  <c r="E150" i="46"/>
  <c r="F150" i="46"/>
  <c r="G150" i="46"/>
  <c r="H150" i="46"/>
  <c r="I150" i="46"/>
  <c r="J150" i="46"/>
  <c r="K150" i="46"/>
  <c r="L150" i="46"/>
  <c r="M150" i="46"/>
  <c r="N150" i="46"/>
  <c r="O150" i="46"/>
  <c r="P150" i="46"/>
  <c r="Q150" i="46"/>
  <c r="R150" i="46"/>
  <c r="S150" i="46"/>
  <c r="T150" i="46"/>
  <c r="U150" i="46"/>
  <c r="V150" i="46"/>
  <c r="W150" i="46"/>
  <c r="X150" i="46"/>
  <c r="Y150" i="46"/>
  <c r="Z150" i="46"/>
  <c r="AA150" i="46"/>
  <c r="AB150" i="46"/>
  <c r="AC150" i="46"/>
  <c r="AD150" i="46"/>
  <c r="AE150" i="46"/>
  <c r="AF150" i="46"/>
  <c r="AG150" i="46"/>
  <c r="AH150" i="46"/>
  <c r="AI150" i="46"/>
  <c r="AJ150" i="46"/>
  <c r="AK150" i="46"/>
  <c r="AL150" i="46"/>
  <c r="AM150" i="46"/>
  <c r="D151" i="46"/>
  <c r="E151" i="46"/>
  <c r="F151" i="46"/>
  <c r="G151" i="46"/>
  <c r="H151" i="46"/>
  <c r="I151" i="46"/>
  <c r="J151" i="46"/>
  <c r="K151" i="46"/>
  <c r="L151" i="46"/>
  <c r="M151" i="46"/>
  <c r="N151" i="46"/>
  <c r="O151" i="46"/>
  <c r="P151" i="46"/>
  <c r="Q151" i="46"/>
  <c r="R151" i="46"/>
  <c r="S151" i="46"/>
  <c r="T151" i="46"/>
  <c r="U151" i="46"/>
  <c r="V151" i="46"/>
  <c r="W151" i="46"/>
  <c r="X151" i="46"/>
  <c r="Y151" i="46"/>
  <c r="Z151" i="46"/>
  <c r="AA151" i="46"/>
  <c r="AB151" i="46"/>
  <c r="AC151" i="46"/>
  <c r="AD151" i="46"/>
  <c r="AE151" i="46"/>
  <c r="AF151" i="46"/>
  <c r="AG151" i="46"/>
  <c r="AH151" i="46"/>
  <c r="AI151" i="46"/>
  <c r="AJ151" i="46"/>
  <c r="AK151" i="46"/>
  <c r="AL151" i="46"/>
  <c r="AM151" i="46"/>
  <c r="D152" i="46"/>
  <c r="E152" i="46"/>
  <c r="F152" i="46"/>
  <c r="G152" i="46"/>
  <c r="H152" i="46"/>
  <c r="I152" i="46"/>
  <c r="J152" i="46"/>
  <c r="K152" i="46"/>
  <c r="L152" i="46"/>
  <c r="M152" i="46"/>
  <c r="N152" i="46"/>
  <c r="O152" i="46"/>
  <c r="P152" i="46"/>
  <c r="Q152" i="46"/>
  <c r="R152" i="46"/>
  <c r="S152" i="46"/>
  <c r="T152" i="46"/>
  <c r="U152" i="46"/>
  <c r="V152" i="46"/>
  <c r="W152" i="46"/>
  <c r="X152" i="46"/>
  <c r="Y152" i="46"/>
  <c r="Z152" i="46"/>
  <c r="AA152" i="46"/>
  <c r="AB152" i="46"/>
  <c r="AC152" i="46"/>
  <c r="AD152" i="46"/>
  <c r="AE152" i="46"/>
  <c r="AF152" i="46"/>
  <c r="AG152" i="46"/>
  <c r="AH152" i="46"/>
  <c r="AI152" i="46"/>
  <c r="AJ152" i="46"/>
  <c r="AK152" i="46"/>
  <c r="AL152" i="46"/>
  <c r="AM152" i="46"/>
  <c r="D153" i="46"/>
  <c r="E153" i="46"/>
  <c r="F153" i="46"/>
  <c r="G153" i="46"/>
  <c r="H153" i="46"/>
  <c r="I153" i="46"/>
  <c r="J153" i="46"/>
  <c r="K153" i="46"/>
  <c r="L153" i="46"/>
  <c r="M153" i="46"/>
  <c r="N153" i="46"/>
  <c r="O153" i="46"/>
  <c r="P153" i="46"/>
  <c r="Q153" i="46"/>
  <c r="R153" i="46"/>
  <c r="S153" i="46"/>
  <c r="T153" i="46"/>
  <c r="U153" i="46"/>
  <c r="V153" i="46"/>
  <c r="W153" i="46"/>
  <c r="X153" i="46"/>
  <c r="Y153" i="46"/>
  <c r="Z153" i="46"/>
  <c r="AA153" i="46"/>
  <c r="AB153" i="46"/>
  <c r="AC153" i="46"/>
  <c r="AD153" i="46"/>
  <c r="AE153" i="46"/>
  <c r="AF153" i="46"/>
  <c r="AG153" i="46"/>
  <c r="AH153" i="46"/>
  <c r="AI153" i="46"/>
  <c r="AJ153" i="46"/>
  <c r="AK153" i="46"/>
  <c r="AL153" i="46"/>
  <c r="AM153" i="46"/>
  <c r="D154" i="46"/>
  <c r="E154" i="46"/>
  <c r="F154" i="46"/>
  <c r="G154" i="46"/>
  <c r="H154" i="46"/>
  <c r="I154" i="46"/>
  <c r="J154" i="46"/>
  <c r="K154" i="46"/>
  <c r="L154" i="46"/>
  <c r="M154" i="46"/>
  <c r="N154" i="46"/>
  <c r="O154" i="46"/>
  <c r="P154" i="46"/>
  <c r="Q154" i="46"/>
  <c r="R154" i="46"/>
  <c r="S154" i="46"/>
  <c r="T154" i="46"/>
  <c r="U154" i="46"/>
  <c r="V154" i="46"/>
  <c r="W154" i="46"/>
  <c r="X154" i="46"/>
  <c r="Y154" i="46"/>
  <c r="Z154" i="46"/>
  <c r="AA154" i="46"/>
  <c r="AB154" i="46"/>
  <c r="AC154" i="46"/>
  <c r="AD154" i="46"/>
  <c r="AE154" i="46"/>
  <c r="AF154" i="46"/>
  <c r="AG154" i="46"/>
  <c r="AH154" i="46"/>
  <c r="AI154" i="46"/>
  <c r="AJ154" i="46"/>
  <c r="AK154" i="46"/>
  <c r="AL154" i="46"/>
  <c r="AM154" i="46"/>
  <c r="D155" i="46"/>
  <c r="E155" i="46"/>
  <c r="F155" i="46"/>
  <c r="G155" i="46"/>
  <c r="H155" i="46"/>
  <c r="I155" i="46"/>
  <c r="J155" i="46"/>
  <c r="K155" i="46"/>
  <c r="L155" i="46"/>
  <c r="M155" i="46"/>
  <c r="N155" i="46"/>
  <c r="O155" i="46"/>
  <c r="P155" i="46"/>
  <c r="Q155" i="46"/>
  <c r="R155" i="46"/>
  <c r="S155" i="46"/>
  <c r="T155" i="46"/>
  <c r="U155" i="46"/>
  <c r="V155" i="46"/>
  <c r="W155" i="46"/>
  <c r="X155" i="46"/>
  <c r="Y155" i="46"/>
  <c r="Z155" i="46"/>
  <c r="AA155" i="46"/>
  <c r="AB155" i="46"/>
  <c r="AC155" i="46"/>
  <c r="AD155" i="46"/>
  <c r="AE155" i="46"/>
  <c r="AF155" i="46"/>
  <c r="AG155" i="46"/>
  <c r="AH155" i="46"/>
  <c r="AI155" i="46"/>
  <c r="AJ155" i="46"/>
  <c r="AK155" i="46"/>
  <c r="AL155" i="46"/>
  <c r="AM155" i="46"/>
  <c r="D156" i="46"/>
  <c r="E156" i="46"/>
  <c r="F156" i="46"/>
  <c r="G156" i="46"/>
  <c r="H156" i="46"/>
  <c r="I156" i="46"/>
  <c r="J156" i="46"/>
  <c r="K156" i="46"/>
  <c r="L156" i="46"/>
  <c r="M156" i="46"/>
  <c r="N156" i="46"/>
  <c r="O156" i="46"/>
  <c r="P156" i="46"/>
  <c r="Q156" i="46"/>
  <c r="R156" i="46"/>
  <c r="S156" i="46"/>
  <c r="T156" i="46"/>
  <c r="U156" i="46"/>
  <c r="V156" i="46"/>
  <c r="W156" i="46"/>
  <c r="X156" i="46"/>
  <c r="Y156" i="46"/>
  <c r="Z156" i="46"/>
  <c r="AA156" i="46"/>
  <c r="AB156" i="46"/>
  <c r="AC156" i="46"/>
  <c r="AD156" i="46"/>
  <c r="AE156" i="46"/>
  <c r="AF156" i="46"/>
  <c r="AG156" i="46"/>
  <c r="AH156" i="46"/>
  <c r="AI156" i="46"/>
  <c r="AJ156" i="46"/>
  <c r="AK156" i="46"/>
  <c r="AL156" i="46"/>
  <c r="AM156" i="46"/>
  <c r="D157" i="46"/>
  <c r="E157" i="46"/>
  <c r="F157" i="46"/>
  <c r="G157" i="46"/>
  <c r="H157" i="46"/>
  <c r="I157" i="46"/>
  <c r="J157" i="46"/>
  <c r="K157" i="46"/>
  <c r="L157" i="46"/>
  <c r="M157" i="46"/>
  <c r="N157" i="46"/>
  <c r="O157" i="46"/>
  <c r="P157" i="46"/>
  <c r="Q157" i="46"/>
  <c r="R157" i="46"/>
  <c r="S157" i="46"/>
  <c r="T157" i="46"/>
  <c r="U157" i="46"/>
  <c r="V157" i="46"/>
  <c r="W157" i="46"/>
  <c r="X157" i="46"/>
  <c r="Y157" i="46"/>
  <c r="Z157" i="46"/>
  <c r="AA157" i="46"/>
  <c r="AB157" i="46"/>
  <c r="AC157" i="46"/>
  <c r="AD157" i="46"/>
  <c r="AE157" i="46"/>
  <c r="AF157" i="46"/>
  <c r="AG157" i="46"/>
  <c r="AH157" i="46"/>
  <c r="AI157" i="46"/>
  <c r="AJ157" i="46"/>
  <c r="AK157" i="46"/>
  <c r="AL157" i="46"/>
  <c r="AM157" i="46"/>
  <c r="D158" i="46"/>
  <c r="E158" i="46"/>
  <c r="F158" i="46"/>
  <c r="G158" i="46"/>
  <c r="H158" i="46"/>
  <c r="I158" i="46"/>
  <c r="J158" i="46"/>
  <c r="K158" i="46"/>
  <c r="L158" i="46"/>
  <c r="M158" i="46"/>
  <c r="N158" i="46"/>
  <c r="O158" i="46"/>
  <c r="P158" i="46"/>
  <c r="Q158" i="46"/>
  <c r="R158" i="46"/>
  <c r="S158" i="46"/>
  <c r="T158" i="46"/>
  <c r="U158" i="46"/>
  <c r="V158" i="46"/>
  <c r="W158" i="46"/>
  <c r="X158" i="46"/>
  <c r="Y158" i="46"/>
  <c r="Z158" i="46"/>
  <c r="AA158" i="46"/>
  <c r="AB158" i="46"/>
  <c r="AC158" i="46"/>
  <c r="AD158" i="46"/>
  <c r="AE158" i="46"/>
  <c r="AF158" i="46"/>
  <c r="AG158" i="46"/>
  <c r="AH158" i="46"/>
  <c r="AI158" i="46"/>
  <c r="AJ158" i="46"/>
  <c r="AK158" i="46"/>
  <c r="AL158" i="46"/>
  <c r="AM158" i="46"/>
  <c r="D159" i="46"/>
  <c r="E159" i="46"/>
  <c r="F159" i="46"/>
  <c r="G159" i="46"/>
  <c r="H159" i="46"/>
  <c r="I159" i="46"/>
  <c r="J159" i="46"/>
  <c r="K159" i="46"/>
  <c r="L159" i="46"/>
  <c r="M159" i="46"/>
  <c r="N159" i="46"/>
  <c r="O159" i="46"/>
  <c r="P159" i="46"/>
  <c r="Q159" i="46"/>
  <c r="R159" i="46"/>
  <c r="S159" i="46"/>
  <c r="T159" i="46"/>
  <c r="U159" i="46"/>
  <c r="V159" i="46"/>
  <c r="W159" i="46"/>
  <c r="X159" i="46"/>
  <c r="Y159" i="46"/>
  <c r="Z159" i="46"/>
  <c r="AA159" i="46"/>
  <c r="AB159" i="46"/>
  <c r="AC159" i="46"/>
  <c r="AD159" i="46"/>
  <c r="AE159" i="46"/>
  <c r="AF159" i="46"/>
  <c r="AG159" i="46"/>
  <c r="AH159" i="46"/>
  <c r="AI159" i="46"/>
  <c r="AJ159" i="46"/>
  <c r="AK159" i="46"/>
  <c r="AL159" i="46"/>
  <c r="AM159" i="46"/>
  <c r="D160" i="46"/>
  <c r="E160" i="46"/>
  <c r="F160" i="46"/>
  <c r="G160" i="46"/>
  <c r="H160" i="46"/>
  <c r="I160" i="46"/>
  <c r="J160" i="46"/>
  <c r="K160" i="46"/>
  <c r="L160" i="46"/>
  <c r="M160" i="46"/>
  <c r="N160" i="46"/>
  <c r="O160" i="46"/>
  <c r="P160" i="46"/>
  <c r="Q160" i="46"/>
  <c r="R160" i="46"/>
  <c r="S160" i="46"/>
  <c r="T160" i="46"/>
  <c r="U160" i="46"/>
  <c r="V160" i="46"/>
  <c r="W160" i="46"/>
  <c r="X160" i="46"/>
  <c r="Y160" i="46"/>
  <c r="Z160" i="46"/>
  <c r="AA160" i="46"/>
  <c r="AB160" i="46"/>
  <c r="AC160" i="46"/>
  <c r="AD160" i="46"/>
  <c r="AE160" i="46"/>
  <c r="AF160" i="46"/>
  <c r="AG160" i="46"/>
  <c r="AH160" i="46"/>
  <c r="AI160" i="46"/>
  <c r="AJ160" i="46"/>
  <c r="AK160" i="46"/>
  <c r="AL160" i="46"/>
  <c r="AM160" i="46"/>
  <c r="D161" i="46"/>
  <c r="E161" i="46"/>
  <c r="F161" i="46"/>
  <c r="G161" i="46"/>
  <c r="H161" i="46"/>
  <c r="I161" i="46"/>
  <c r="J161" i="46"/>
  <c r="K161" i="46"/>
  <c r="L161" i="46"/>
  <c r="M161" i="46"/>
  <c r="N161" i="46"/>
  <c r="O161" i="46"/>
  <c r="P161" i="46"/>
  <c r="Q161" i="46"/>
  <c r="R161" i="46"/>
  <c r="S161" i="46"/>
  <c r="T161" i="46"/>
  <c r="U161" i="46"/>
  <c r="V161" i="46"/>
  <c r="W161" i="46"/>
  <c r="X161" i="46"/>
  <c r="Y161" i="46"/>
  <c r="Z161" i="46"/>
  <c r="AA161" i="46"/>
  <c r="AB161" i="46"/>
  <c r="AC161" i="46"/>
  <c r="AD161" i="46"/>
  <c r="AE161" i="46"/>
  <c r="AF161" i="46"/>
  <c r="AG161" i="46"/>
  <c r="AH161" i="46"/>
  <c r="AI161" i="46"/>
  <c r="AJ161" i="46"/>
  <c r="AK161" i="46"/>
  <c r="AL161" i="46"/>
  <c r="AM161" i="46"/>
  <c r="D162" i="46"/>
  <c r="E162" i="46"/>
  <c r="F162" i="46"/>
  <c r="G162" i="46"/>
  <c r="H162" i="46"/>
  <c r="I162" i="46"/>
  <c r="J162" i="46"/>
  <c r="K162" i="46"/>
  <c r="L162" i="46"/>
  <c r="M162" i="46"/>
  <c r="N162" i="46"/>
  <c r="O162" i="46"/>
  <c r="P162" i="46"/>
  <c r="Q162" i="46"/>
  <c r="R162" i="46"/>
  <c r="S162" i="46"/>
  <c r="T162" i="46"/>
  <c r="U162" i="46"/>
  <c r="V162" i="46"/>
  <c r="W162" i="46"/>
  <c r="X162" i="46"/>
  <c r="Y162" i="46"/>
  <c r="Z162" i="46"/>
  <c r="AA162" i="46"/>
  <c r="AB162" i="46"/>
  <c r="AC162" i="46"/>
  <c r="AD162" i="46"/>
  <c r="AE162" i="46"/>
  <c r="AF162" i="46"/>
  <c r="AG162" i="46"/>
  <c r="AH162" i="46"/>
  <c r="AI162" i="46"/>
  <c r="AJ162" i="46"/>
  <c r="AK162" i="46"/>
  <c r="AL162" i="46"/>
  <c r="AM162" i="46"/>
  <c r="D163" i="46"/>
  <c r="E163" i="46"/>
  <c r="F163" i="46"/>
  <c r="G163" i="46"/>
  <c r="H163" i="46"/>
  <c r="I163" i="46"/>
  <c r="J163" i="46"/>
  <c r="K163" i="46"/>
  <c r="L163" i="46"/>
  <c r="M163" i="46"/>
  <c r="N163" i="46"/>
  <c r="O163" i="46"/>
  <c r="P163" i="46"/>
  <c r="Q163" i="46"/>
  <c r="R163" i="46"/>
  <c r="S163" i="46"/>
  <c r="T163" i="46"/>
  <c r="U163" i="46"/>
  <c r="V163" i="46"/>
  <c r="W163" i="46"/>
  <c r="X163" i="46"/>
  <c r="Y163" i="46"/>
  <c r="Z163" i="46"/>
  <c r="AA163" i="46"/>
  <c r="AB163" i="46"/>
  <c r="AC163" i="46"/>
  <c r="AD163" i="46"/>
  <c r="AE163" i="46"/>
  <c r="AF163" i="46"/>
  <c r="AG163" i="46"/>
  <c r="AH163" i="46"/>
  <c r="AI163" i="46"/>
  <c r="AJ163" i="46"/>
  <c r="AK163" i="46"/>
  <c r="AL163" i="46"/>
  <c r="AM163" i="46"/>
  <c r="D164" i="46"/>
  <c r="E164" i="46"/>
  <c r="F164" i="46"/>
  <c r="G164" i="46"/>
  <c r="H164" i="46"/>
  <c r="I164" i="46"/>
  <c r="J164" i="46"/>
  <c r="K164" i="46"/>
  <c r="L164" i="46"/>
  <c r="M164" i="46"/>
  <c r="N164" i="46"/>
  <c r="O164" i="46"/>
  <c r="P164" i="46"/>
  <c r="Q164" i="46"/>
  <c r="R164" i="46"/>
  <c r="S164" i="46"/>
  <c r="T164" i="46"/>
  <c r="U164" i="46"/>
  <c r="V164" i="46"/>
  <c r="W164" i="46"/>
  <c r="X164" i="46"/>
  <c r="Y164" i="46"/>
  <c r="Z164" i="46"/>
  <c r="AA164" i="46"/>
  <c r="AB164" i="46"/>
  <c r="AC164" i="46"/>
  <c r="AD164" i="46"/>
  <c r="AE164" i="46"/>
  <c r="AF164" i="46"/>
  <c r="AG164" i="46"/>
  <c r="AH164" i="46"/>
  <c r="AI164" i="46"/>
  <c r="AJ164" i="46"/>
  <c r="AK164" i="46"/>
  <c r="AL164" i="46"/>
  <c r="AM164" i="46"/>
  <c r="D165" i="46"/>
  <c r="E165" i="46"/>
  <c r="F165" i="46"/>
  <c r="G165" i="46"/>
  <c r="H165" i="46"/>
  <c r="I165" i="46"/>
  <c r="J165" i="46"/>
  <c r="K165" i="46"/>
  <c r="L165" i="46"/>
  <c r="M165" i="46"/>
  <c r="N165" i="46"/>
  <c r="O165" i="46"/>
  <c r="P165" i="46"/>
  <c r="Q165" i="46"/>
  <c r="R165" i="46"/>
  <c r="S165" i="46"/>
  <c r="T165" i="46"/>
  <c r="U165" i="46"/>
  <c r="V165" i="46"/>
  <c r="W165" i="46"/>
  <c r="X165" i="46"/>
  <c r="Y165" i="46"/>
  <c r="Z165" i="46"/>
  <c r="AA165" i="46"/>
  <c r="AB165" i="46"/>
  <c r="AC165" i="46"/>
  <c r="AD165" i="46"/>
  <c r="AE165" i="46"/>
  <c r="AF165" i="46"/>
  <c r="AG165" i="46"/>
  <c r="AH165" i="46"/>
  <c r="AI165" i="46"/>
  <c r="AJ165" i="46"/>
  <c r="AK165" i="46"/>
  <c r="AL165" i="46"/>
  <c r="AM165" i="46"/>
  <c r="D166" i="46"/>
  <c r="E166" i="46"/>
  <c r="F166" i="46"/>
  <c r="G166" i="46"/>
  <c r="H166" i="46"/>
  <c r="I166" i="46"/>
  <c r="J166" i="46"/>
  <c r="K166" i="46"/>
  <c r="L166" i="46"/>
  <c r="M166" i="46"/>
  <c r="N166" i="46"/>
  <c r="O166" i="46"/>
  <c r="P166" i="46"/>
  <c r="Q166" i="46"/>
  <c r="R166" i="46"/>
  <c r="S166" i="46"/>
  <c r="T166" i="46"/>
  <c r="U166" i="46"/>
  <c r="V166" i="46"/>
  <c r="W166" i="46"/>
  <c r="X166" i="46"/>
  <c r="Y166" i="46"/>
  <c r="Z166" i="46"/>
  <c r="AA166" i="46"/>
  <c r="AB166" i="46"/>
  <c r="AC166" i="46"/>
  <c r="AD166" i="46"/>
  <c r="AE166" i="46"/>
  <c r="AF166" i="46"/>
  <c r="AG166" i="46"/>
  <c r="AH166" i="46"/>
  <c r="AI166" i="46"/>
  <c r="AJ166" i="46"/>
  <c r="AK166" i="46"/>
  <c r="AL166" i="46"/>
  <c r="AM166" i="46"/>
  <c r="D167" i="46"/>
  <c r="E167" i="46"/>
  <c r="F167" i="46"/>
  <c r="G167" i="46"/>
  <c r="H167" i="46"/>
  <c r="I167" i="46"/>
  <c r="J167" i="46"/>
  <c r="K167" i="46"/>
  <c r="L167" i="46"/>
  <c r="M167" i="46"/>
  <c r="N167" i="46"/>
  <c r="O167" i="46"/>
  <c r="P167" i="46"/>
  <c r="Q167" i="46"/>
  <c r="R167" i="46"/>
  <c r="S167" i="46"/>
  <c r="T167" i="46"/>
  <c r="U167" i="46"/>
  <c r="V167" i="46"/>
  <c r="W167" i="46"/>
  <c r="X167" i="46"/>
  <c r="Y167" i="46"/>
  <c r="Z167" i="46"/>
  <c r="AA167" i="46"/>
  <c r="AB167" i="46"/>
  <c r="AC167" i="46"/>
  <c r="AD167" i="46"/>
  <c r="AE167" i="46"/>
  <c r="AF167" i="46"/>
  <c r="AG167" i="46"/>
  <c r="AH167" i="46"/>
  <c r="AI167" i="46"/>
  <c r="AJ167" i="46"/>
  <c r="AK167" i="46"/>
  <c r="AL167" i="46"/>
  <c r="AM167" i="46"/>
  <c r="D168" i="46"/>
  <c r="E168" i="46"/>
  <c r="F168" i="46"/>
  <c r="G168" i="46"/>
  <c r="H168" i="46"/>
  <c r="I168" i="46"/>
  <c r="J168" i="46"/>
  <c r="K168" i="46"/>
  <c r="L168" i="46"/>
  <c r="M168" i="46"/>
  <c r="N168" i="46"/>
  <c r="O168" i="46"/>
  <c r="P168" i="46"/>
  <c r="Q168" i="46"/>
  <c r="R168" i="46"/>
  <c r="S168" i="46"/>
  <c r="T168" i="46"/>
  <c r="U168" i="46"/>
  <c r="V168" i="46"/>
  <c r="W168" i="46"/>
  <c r="X168" i="46"/>
  <c r="Y168" i="46"/>
  <c r="Z168" i="46"/>
  <c r="AA168" i="46"/>
  <c r="AB168" i="46"/>
  <c r="AC168" i="46"/>
  <c r="AD168" i="46"/>
  <c r="AE168" i="46"/>
  <c r="AF168" i="46"/>
  <c r="AG168" i="46"/>
  <c r="AH168" i="46"/>
  <c r="AI168" i="46"/>
  <c r="AJ168" i="46"/>
  <c r="AK168" i="46"/>
  <c r="AL168" i="46"/>
  <c r="AM168" i="46"/>
  <c r="D169" i="46"/>
  <c r="E169" i="46"/>
  <c r="F169" i="46"/>
  <c r="G169" i="46"/>
  <c r="H169" i="46"/>
  <c r="I169" i="46"/>
  <c r="J169" i="46"/>
  <c r="K169" i="46"/>
  <c r="L169" i="46"/>
  <c r="M169" i="46"/>
  <c r="N169" i="46"/>
  <c r="O169" i="46"/>
  <c r="P169" i="46"/>
  <c r="Q169" i="46"/>
  <c r="R169" i="46"/>
  <c r="S169" i="46"/>
  <c r="T169" i="46"/>
  <c r="U169" i="46"/>
  <c r="V169" i="46"/>
  <c r="W169" i="46"/>
  <c r="X169" i="46"/>
  <c r="Y169" i="46"/>
  <c r="Z169" i="46"/>
  <c r="AA169" i="46"/>
  <c r="AB169" i="46"/>
  <c r="AC169" i="46"/>
  <c r="AD169" i="46"/>
  <c r="AE169" i="46"/>
  <c r="AF169" i="46"/>
  <c r="AG169" i="46"/>
  <c r="AH169" i="46"/>
  <c r="AI169" i="46"/>
  <c r="AJ169" i="46"/>
  <c r="AK169" i="46"/>
  <c r="AL169" i="46"/>
  <c r="AM169" i="46"/>
  <c r="D170" i="46"/>
  <c r="E170" i="46"/>
  <c r="F170" i="46"/>
  <c r="G170" i="46"/>
  <c r="H170" i="46"/>
  <c r="I170" i="46"/>
  <c r="J170" i="46"/>
  <c r="K170" i="46"/>
  <c r="L170" i="46"/>
  <c r="M170" i="46"/>
  <c r="N170" i="46"/>
  <c r="O170" i="46"/>
  <c r="P170" i="46"/>
  <c r="Q170" i="46"/>
  <c r="R170" i="46"/>
  <c r="S170" i="46"/>
  <c r="T170" i="46"/>
  <c r="U170" i="46"/>
  <c r="V170" i="46"/>
  <c r="W170" i="46"/>
  <c r="X170" i="46"/>
  <c r="Y170" i="46"/>
  <c r="Z170" i="46"/>
  <c r="AA170" i="46"/>
  <c r="AB170" i="46"/>
  <c r="AC170" i="46"/>
  <c r="AD170" i="46"/>
  <c r="AE170" i="46"/>
  <c r="AF170" i="46"/>
  <c r="AG170" i="46"/>
  <c r="AH170" i="46"/>
  <c r="AI170" i="46"/>
  <c r="AJ170" i="46"/>
  <c r="AK170" i="46"/>
  <c r="AL170" i="46"/>
  <c r="AM170" i="46"/>
  <c r="D171" i="46"/>
  <c r="E171" i="46"/>
  <c r="F171" i="46"/>
  <c r="G171" i="46"/>
  <c r="H171" i="46"/>
  <c r="I171" i="46"/>
  <c r="J171" i="46"/>
  <c r="K171" i="46"/>
  <c r="L171" i="46"/>
  <c r="M171" i="46"/>
  <c r="N171" i="46"/>
  <c r="O171" i="46"/>
  <c r="P171" i="46"/>
  <c r="Q171" i="46"/>
  <c r="R171" i="46"/>
  <c r="S171" i="46"/>
  <c r="T171" i="46"/>
  <c r="U171" i="46"/>
  <c r="V171" i="46"/>
  <c r="W171" i="46"/>
  <c r="X171" i="46"/>
  <c r="Y171" i="46"/>
  <c r="Z171" i="46"/>
  <c r="AA171" i="46"/>
  <c r="AB171" i="46"/>
  <c r="AC171" i="46"/>
  <c r="AD171" i="46"/>
  <c r="AE171" i="46"/>
  <c r="AF171" i="46"/>
  <c r="AG171" i="46"/>
  <c r="AH171" i="46"/>
  <c r="AI171" i="46"/>
  <c r="AJ171" i="46"/>
  <c r="AK171" i="46"/>
  <c r="AL171" i="46"/>
  <c r="AM171" i="46"/>
  <c r="D172" i="46"/>
  <c r="E172" i="46"/>
  <c r="F172" i="46"/>
  <c r="G172" i="46"/>
  <c r="H172" i="46"/>
  <c r="I172" i="46"/>
  <c r="J172" i="46"/>
  <c r="K172" i="46"/>
  <c r="L172" i="46"/>
  <c r="M172" i="46"/>
  <c r="N172" i="46"/>
  <c r="O172" i="46"/>
  <c r="P172" i="46"/>
  <c r="Q172" i="46"/>
  <c r="R172" i="46"/>
  <c r="S172" i="46"/>
  <c r="T172" i="46"/>
  <c r="U172" i="46"/>
  <c r="V172" i="46"/>
  <c r="W172" i="46"/>
  <c r="X172" i="46"/>
  <c r="Y172" i="46"/>
  <c r="Z172" i="46"/>
  <c r="AA172" i="46"/>
  <c r="AB172" i="46"/>
  <c r="AC172" i="46"/>
  <c r="AD172" i="46"/>
  <c r="AE172" i="46"/>
  <c r="AF172" i="46"/>
  <c r="AG172" i="46"/>
  <c r="AH172" i="46"/>
  <c r="AI172" i="46"/>
  <c r="AJ172" i="46"/>
  <c r="AK172" i="46"/>
  <c r="AL172" i="46"/>
  <c r="AM172" i="46"/>
  <c r="D173" i="46"/>
  <c r="E173" i="46"/>
  <c r="F173" i="46"/>
  <c r="G173" i="46"/>
  <c r="H173" i="46"/>
  <c r="I173" i="46"/>
  <c r="J173" i="46"/>
  <c r="K173" i="46"/>
  <c r="L173" i="46"/>
  <c r="M173" i="46"/>
  <c r="N173" i="46"/>
  <c r="O173" i="46"/>
  <c r="P173" i="46"/>
  <c r="Q173" i="46"/>
  <c r="R173" i="46"/>
  <c r="S173" i="46"/>
  <c r="T173" i="46"/>
  <c r="U173" i="46"/>
  <c r="V173" i="46"/>
  <c r="W173" i="46"/>
  <c r="X173" i="46"/>
  <c r="Y173" i="46"/>
  <c r="Z173" i="46"/>
  <c r="AA173" i="46"/>
  <c r="AB173" i="46"/>
  <c r="AC173" i="46"/>
  <c r="AD173" i="46"/>
  <c r="AE173" i="46"/>
  <c r="AF173" i="46"/>
  <c r="AG173" i="46"/>
  <c r="AH173" i="46"/>
  <c r="AI173" i="46"/>
  <c r="AJ173" i="46"/>
  <c r="AK173" i="46"/>
  <c r="AL173" i="46"/>
  <c r="AM173" i="46"/>
  <c r="D174" i="46"/>
  <c r="E174" i="46"/>
  <c r="F174" i="46"/>
  <c r="G174" i="46"/>
  <c r="H174" i="46"/>
  <c r="I174" i="46"/>
  <c r="J174" i="46"/>
  <c r="K174" i="46"/>
  <c r="L174" i="46"/>
  <c r="M174" i="46"/>
  <c r="N174" i="46"/>
  <c r="O174" i="46"/>
  <c r="P174" i="46"/>
  <c r="Q174" i="46"/>
  <c r="R174" i="46"/>
  <c r="S174" i="46"/>
  <c r="T174" i="46"/>
  <c r="U174" i="46"/>
  <c r="V174" i="46"/>
  <c r="W174" i="46"/>
  <c r="X174" i="46"/>
  <c r="Y174" i="46"/>
  <c r="Z174" i="46"/>
  <c r="AA174" i="46"/>
  <c r="AB174" i="46"/>
  <c r="AC174" i="46"/>
  <c r="AD174" i="46"/>
  <c r="AE174" i="46"/>
  <c r="AF174" i="46"/>
  <c r="AG174" i="46"/>
  <c r="AH174" i="46"/>
  <c r="AI174" i="46"/>
  <c r="AJ174" i="46"/>
  <c r="AK174" i="46"/>
  <c r="AL174" i="46"/>
  <c r="AM174" i="46"/>
  <c r="D175" i="46"/>
  <c r="E175" i="46"/>
  <c r="F175" i="46"/>
  <c r="G175" i="46"/>
  <c r="H175" i="46"/>
  <c r="I175" i="46"/>
  <c r="J175" i="46"/>
  <c r="K175" i="46"/>
  <c r="L175" i="46"/>
  <c r="M175" i="46"/>
  <c r="N175" i="46"/>
  <c r="O175" i="46"/>
  <c r="P175" i="46"/>
  <c r="Q175" i="46"/>
  <c r="R175" i="46"/>
  <c r="S175" i="46"/>
  <c r="T175" i="46"/>
  <c r="U175" i="46"/>
  <c r="V175" i="46"/>
  <c r="W175" i="46"/>
  <c r="X175" i="46"/>
  <c r="Y175" i="46"/>
  <c r="Z175" i="46"/>
  <c r="AA175" i="46"/>
  <c r="AB175" i="46"/>
  <c r="AC175" i="46"/>
  <c r="AD175" i="46"/>
  <c r="AE175" i="46"/>
  <c r="AF175" i="46"/>
  <c r="AG175" i="46"/>
  <c r="AH175" i="46"/>
  <c r="AI175" i="46"/>
  <c r="AJ175" i="46"/>
  <c r="AK175" i="46"/>
  <c r="AL175" i="46"/>
  <c r="AM175" i="46"/>
  <c r="D176" i="46"/>
  <c r="E176" i="46"/>
  <c r="F176" i="46"/>
  <c r="G176" i="46"/>
  <c r="H176" i="46"/>
  <c r="I176" i="46"/>
  <c r="J176" i="46"/>
  <c r="K176" i="46"/>
  <c r="L176" i="46"/>
  <c r="M176" i="46"/>
  <c r="N176" i="46"/>
  <c r="O176" i="46"/>
  <c r="P176" i="46"/>
  <c r="Q176" i="46"/>
  <c r="R176" i="46"/>
  <c r="S176" i="46"/>
  <c r="T176" i="46"/>
  <c r="U176" i="46"/>
  <c r="V176" i="46"/>
  <c r="W176" i="46"/>
  <c r="X176" i="46"/>
  <c r="Y176" i="46"/>
  <c r="Z176" i="46"/>
  <c r="AA176" i="46"/>
  <c r="AB176" i="46"/>
  <c r="AC176" i="46"/>
  <c r="AD176" i="46"/>
  <c r="AE176" i="46"/>
  <c r="AF176" i="46"/>
  <c r="AG176" i="46"/>
  <c r="AH176" i="46"/>
  <c r="AI176" i="46"/>
  <c r="AJ176" i="46"/>
  <c r="AK176" i="46"/>
  <c r="AL176" i="46"/>
  <c r="AM176" i="46"/>
  <c r="D177" i="46"/>
  <c r="E177" i="46"/>
  <c r="F177" i="46"/>
  <c r="G177" i="46"/>
  <c r="H177" i="46"/>
  <c r="I177" i="46"/>
  <c r="J177" i="46"/>
  <c r="K177" i="46"/>
  <c r="L177" i="46"/>
  <c r="M177" i="46"/>
  <c r="N177" i="46"/>
  <c r="O177" i="46"/>
  <c r="P177" i="46"/>
  <c r="Q177" i="46"/>
  <c r="R177" i="46"/>
  <c r="S177" i="46"/>
  <c r="T177" i="46"/>
  <c r="U177" i="46"/>
  <c r="V177" i="46"/>
  <c r="W177" i="46"/>
  <c r="X177" i="46"/>
  <c r="Y177" i="46"/>
  <c r="Z177" i="46"/>
  <c r="AA177" i="46"/>
  <c r="AB177" i="46"/>
  <c r="AC177" i="46"/>
  <c r="AD177" i="46"/>
  <c r="AE177" i="46"/>
  <c r="AF177" i="46"/>
  <c r="AG177" i="46"/>
  <c r="AH177" i="46"/>
  <c r="AI177" i="46"/>
  <c r="AJ177" i="46"/>
  <c r="AK177" i="46"/>
  <c r="AL177" i="46"/>
  <c r="AM177" i="46"/>
  <c r="D178" i="46"/>
  <c r="E178" i="46"/>
  <c r="F178" i="46"/>
  <c r="G178" i="46"/>
  <c r="H178" i="46"/>
  <c r="I178" i="46"/>
  <c r="J178" i="46"/>
  <c r="K178" i="46"/>
  <c r="L178" i="46"/>
  <c r="M178" i="46"/>
  <c r="N178" i="46"/>
  <c r="O178" i="46"/>
  <c r="P178" i="46"/>
  <c r="Q178" i="46"/>
  <c r="R178" i="46"/>
  <c r="S178" i="46"/>
  <c r="T178" i="46"/>
  <c r="U178" i="46"/>
  <c r="V178" i="46"/>
  <c r="W178" i="46"/>
  <c r="X178" i="46"/>
  <c r="Y178" i="46"/>
  <c r="Z178" i="46"/>
  <c r="AA178" i="46"/>
  <c r="AB178" i="46"/>
  <c r="AC178" i="46"/>
  <c r="AD178" i="46"/>
  <c r="AE178" i="46"/>
  <c r="AF178" i="46"/>
  <c r="AG178" i="46"/>
  <c r="AH178" i="46"/>
  <c r="AI178" i="46"/>
  <c r="AJ178" i="46"/>
  <c r="AK178" i="46"/>
  <c r="AL178" i="46"/>
  <c r="AM178" i="46"/>
  <c r="D179" i="46"/>
  <c r="E179" i="46"/>
  <c r="F179" i="46"/>
  <c r="G179" i="46"/>
  <c r="H179" i="46"/>
  <c r="I179" i="46"/>
  <c r="J179" i="46"/>
  <c r="K179" i="46"/>
  <c r="L179" i="46"/>
  <c r="M179" i="46"/>
  <c r="N179" i="46"/>
  <c r="O179" i="46"/>
  <c r="P179" i="46"/>
  <c r="Q179" i="46"/>
  <c r="R179" i="46"/>
  <c r="S179" i="46"/>
  <c r="T179" i="46"/>
  <c r="U179" i="46"/>
  <c r="V179" i="46"/>
  <c r="W179" i="46"/>
  <c r="X179" i="46"/>
  <c r="Y179" i="46"/>
  <c r="Z179" i="46"/>
  <c r="AA179" i="46"/>
  <c r="AB179" i="46"/>
  <c r="AC179" i="46"/>
  <c r="AD179" i="46"/>
  <c r="AE179" i="46"/>
  <c r="AF179" i="46"/>
  <c r="AG179" i="46"/>
  <c r="AH179" i="46"/>
  <c r="AI179" i="46"/>
  <c r="AJ179" i="46"/>
  <c r="AK179" i="46"/>
  <c r="AL179" i="46"/>
  <c r="AM179" i="46"/>
  <c r="D180" i="46"/>
  <c r="E180" i="46"/>
  <c r="F180" i="46"/>
  <c r="G180" i="46"/>
  <c r="H180" i="46"/>
  <c r="I180" i="46"/>
  <c r="J180" i="46"/>
  <c r="K180" i="46"/>
  <c r="L180" i="46"/>
  <c r="M180" i="46"/>
  <c r="N180" i="46"/>
  <c r="O180" i="46"/>
  <c r="P180" i="46"/>
  <c r="Q180" i="46"/>
  <c r="R180" i="46"/>
  <c r="S180" i="46"/>
  <c r="T180" i="46"/>
  <c r="U180" i="46"/>
  <c r="V180" i="46"/>
  <c r="W180" i="46"/>
  <c r="X180" i="46"/>
  <c r="Y180" i="46"/>
  <c r="Z180" i="46"/>
  <c r="AA180" i="46"/>
  <c r="AB180" i="46"/>
  <c r="AC180" i="46"/>
  <c r="AD180" i="46"/>
  <c r="AE180" i="46"/>
  <c r="AF180" i="46"/>
  <c r="AG180" i="46"/>
  <c r="AH180" i="46"/>
  <c r="AI180" i="46"/>
  <c r="AJ180" i="46"/>
  <c r="AK180" i="46"/>
  <c r="AL180" i="46"/>
  <c r="AM180" i="46"/>
  <c r="D181" i="46"/>
  <c r="E181" i="46"/>
  <c r="F181" i="46"/>
  <c r="G181" i="46"/>
  <c r="H181" i="46"/>
  <c r="I181" i="46"/>
  <c r="J181" i="46"/>
  <c r="K181" i="46"/>
  <c r="L181" i="46"/>
  <c r="M181" i="46"/>
  <c r="N181" i="46"/>
  <c r="O181" i="46"/>
  <c r="P181" i="46"/>
  <c r="Q181" i="46"/>
  <c r="R181" i="46"/>
  <c r="S181" i="46"/>
  <c r="T181" i="46"/>
  <c r="U181" i="46"/>
  <c r="V181" i="46"/>
  <c r="W181" i="46"/>
  <c r="X181" i="46"/>
  <c r="Y181" i="46"/>
  <c r="Z181" i="46"/>
  <c r="AA181" i="46"/>
  <c r="AB181" i="46"/>
  <c r="AC181" i="46"/>
  <c r="AD181" i="46"/>
  <c r="AE181" i="46"/>
  <c r="AF181" i="46"/>
  <c r="AG181" i="46"/>
  <c r="AH181" i="46"/>
  <c r="AI181" i="46"/>
  <c r="AJ181" i="46"/>
  <c r="AK181" i="46"/>
  <c r="AL181" i="46"/>
  <c r="AM181" i="46"/>
  <c r="D182" i="46"/>
  <c r="E182" i="46"/>
  <c r="F182" i="46"/>
  <c r="G182" i="46"/>
  <c r="H182" i="46"/>
  <c r="I182" i="46"/>
  <c r="J182" i="46"/>
  <c r="K182" i="46"/>
  <c r="L182" i="46"/>
  <c r="M182" i="46"/>
  <c r="N182" i="46"/>
  <c r="O182" i="46"/>
  <c r="P182" i="46"/>
  <c r="Q182" i="46"/>
  <c r="R182" i="46"/>
  <c r="S182" i="46"/>
  <c r="T182" i="46"/>
  <c r="U182" i="46"/>
  <c r="V182" i="46"/>
  <c r="W182" i="46"/>
  <c r="X182" i="46"/>
  <c r="Y182" i="46"/>
  <c r="Z182" i="46"/>
  <c r="AA182" i="46"/>
  <c r="AB182" i="46"/>
  <c r="AC182" i="46"/>
  <c r="AD182" i="46"/>
  <c r="AE182" i="46"/>
  <c r="AF182" i="46"/>
  <c r="AG182" i="46"/>
  <c r="AH182" i="46"/>
  <c r="AI182" i="46"/>
  <c r="AJ182" i="46"/>
  <c r="AK182" i="46"/>
  <c r="AL182" i="46"/>
  <c r="AM182" i="46"/>
  <c r="D183" i="46"/>
  <c r="E183" i="46"/>
  <c r="F183" i="46"/>
  <c r="G183" i="46"/>
  <c r="H183" i="46"/>
  <c r="I183" i="46"/>
  <c r="J183" i="46"/>
  <c r="K183" i="46"/>
  <c r="L183" i="46"/>
  <c r="M183" i="46"/>
  <c r="N183" i="46"/>
  <c r="O183" i="46"/>
  <c r="P183" i="46"/>
  <c r="Q183" i="46"/>
  <c r="R183" i="46"/>
  <c r="S183" i="46"/>
  <c r="T183" i="46"/>
  <c r="U183" i="46"/>
  <c r="V183" i="46"/>
  <c r="W183" i="46"/>
  <c r="X183" i="46"/>
  <c r="Y183" i="46"/>
  <c r="Z183" i="46"/>
  <c r="AA183" i="46"/>
  <c r="AB183" i="46"/>
  <c r="AC183" i="46"/>
  <c r="AD183" i="46"/>
  <c r="AE183" i="46"/>
  <c r="AF183" i="46"/>
  <c r="AG183" i="46"/>
  <c r="AH183" i="46"/>
  <c r="AI183" i="46"/>
  <c r="AJ183" i="46"/>
  <c r="AK183" i="46"/>
  <c r="AL183" i="46"/>
  <c r="AM183" i="46"/>
  <c r="D184" i="46"/>
  <c r="E184" i="46"/>
  <c r="F184" i="46"/>
  <c r="G184" i="46"/>
  <c r="H184" i="46"/>
  <c r="I184" i="46"/>
  <c r="J184" i="46"/>
  <c r="K184" i="46"/>
  <c r="L184" i="46"/>
  <c r="M184" i="46"/>
  <c r="N184" i="46"/>
  <c r="O184" i="46"/>
  <c r="P184" i="46"/>
  <c r="Q184" i="46"/>
  <c r="R184" i="46"/>
  <c r="S184" i="46"/>
  <c r="T184" i="46"/>
  <c r="U184" i="46"/>
  <c r="V184" i="46"/>
  <c r="W184" i="46"/>
  <c r="X184" i="46"/>
  <c r="Y184" i="46"/>
  <c r="Z184" i="46"/>
  <c r="AA184" i="46"/>
  <c r="AB184" i="46"/>
  <c r="AC184" i="46"/>
  <c r="AD184" i="46"/>
  <c r="AE184" i="46"/>
  <c r="AF184" i="46"/>
  <c r="AG184" i="46"/>
  <c r="AH184" i="46"/>
  <c r="AI184" i="46"/>
  <c r="AJ184" i="46"/>
  <c r="AK184" i="46"/>
  <c r="AL184" i="46"/>
  <c r="AM184" i="46"/>
  <c r="D185" i="46"/>
  <c r="E185" i="46"/>
  <c r="F185" i="46"/>
  <c r="G185" i="46"/>
  <c r="H185" i="46"/>
  <c r="I185" i="46"/>
  <c r="J185" i="46"/>
  <c r="K185" i="46"/>
  <c r="L185" i="46"/>
  <c r="M185" i="46"/>
  <c r="N185" i="46"/>
  <c r="O185" i="46"/>
  <c r="P185" i="46"/>
  <c r="Q185" i="46"/>
  <c r="R185" i="46"/>
  <c r="S185" i="46"/>
  <c r="T185" i="46"/>
  <c r="U185" i="46"/>
  <c r="V185" i="46"/>
  <c r="W185" i="46"/>
  <c r="X185" i="46"/>
  <c r="Y185" i="46"/>
  <c r="Z185" i="46"/>
  <c r="AA185" i="46"/>
  <c r="AB185" i="46"/>
  <c r="AC185" i="46"/>
  <c r="AD185" i="46"/>
  <c r="AE185" i="46"/>
  <c r="AF185" i="46"/>
  <c r="AG185" i="46"/>
  <c r="AH185" i="46"/>
  <c r="AI185" i="46"/>
  <c r="AJ185" i="46"/>
  <c r="AK185" i="46"/>
  <c r="AL185" i="46"/>
  <c r="AM185" i="46"/>
  <c r="D186" i="46"/>
  <c r="E186" i="46"/>
  <c r="F186" i="46"/>
  <c r="G186" i="46"/>
  <c r="H186" i="46"/>
  <c r="I186" i="46"/>
  <c r="J186" i="46"/>
  <c r="K186" i="46"/>
  <c r="L186" i="46"/>
  <c r="M186" i="46"/>
  <c r="N186" i="46"/>
  <c r="O186" i="46"/>
  <c r="P186" i="46"/>
  <c r="Q186" i="46"/>
  <c r="R186" i="46"/>
  <c r="S186" i="46"/>
  <c r="T186" i="46"/>
  <c r="U186" i="46"/>
  <c r="V186" i="46"/>
  <c r="W186" i="46"/>
  <c r="X186" i="46"/>
  <c r="Y186" i="46"/>
  <c r="Z186" i="46"/>
  <c r="AA186" i="46"/>
  <c r="AB186" i="46"/>
  <c r="AC186" i="46"/>
  <c r="AD186" i="46"/>
  <c r="AE186" i="46"/>
  <c r="AF186" i="46"/>
  <c r="AG186" i="46"/>
  <c r="AH186" i="46"/>
  <c r="AI186" i="46"/>
  <c r="AJ186" i="46"/>
  <c r="AK186" i="46"/>
  <c r="AL186" i="46"/>
  <c r="AM186" i="46"/>
  <c r="D187" i="46"/>
  <c r="E187" i="46"/>
  <c r="F187" i="46"/>
  <c r="G187" i="46"/>
  <c r="H187" i="46"/>
  <c r="I187" i="46"/>
  <c r="J187" i="46"/>
  <c r="K187" i="46"/>
  <c r="L187" i="46"/>
  <c r="M187" i="46"/>
  <c r="N187" i="46"/>
  <c r="O187" i="46"/>
  <c r="P187" i="46"/>
  <c r="Q187" i="46"/>
  <c r="R187" i="46"/>
  <c r="S187" i="46"/>
  <c r="T187" i="46"/>
  <c r="U187" i="46"/>
  <c r="V187" i="46"/>
  <c r="W187" i="46"/>
  <c r="X187" i="46"/>
  <c r="Y187" i="46"/>
  <c r="Z187" i="46"/>
  <c r="AA187" i="46"/>
  <c r="AB187" i="46"/>
  <c r="AC187" i="46"/>
  <c r="AD187" i="46"/>
  <c r="AE187" i="46"/>
  <c r="AF187" i="46"/>
  <c r="AG187" i="46"/>
  <c r="AH187" i="46"/>
  <c r="AI187" i="46"/>
  <c r="AJ187" i="46"/>
  <c r="AK187" i="46"/>
  <c r="AL187" i="46"/>
  <c r="AM187" i="46"/>
  <c r="D188" i="46"/>
  <c r="E188" i="46"/>
  <c r="F188" i="46"/>
  <c r="G188" i="46"/>
  <c r="H188" i="46"/>
  <c r="I188" i="46"/>
  <c r="J188" i="46"/>
  <c r="K188" i="46"/>
  <c r="L188" i="46"/>
  <c r="M188" i="46"/>
  <c r="N188" i="46"/>
  <c r="O188" i="46"/>
  <c r="P188" i="46"/>
  <c r="Q188" i="46"/>
  <c r="R188" i="46"/>
  <c r="S188" i="46"/>
  <c r="T188" i="46"/>
  <c r="U188" i="46"/>
  <c r="V188" i="46"/>
  <c r="W188" i="46"/>
  <c r="X188" i="46"/>
  <c r="Y188" i="46"/>
  <c r="Z188" i="46"/>
  <c r="AA188" i="46"/>
  <c r="AB188" i="46"/>
  <c r="AC188" i="46"/>
  <c r="AD188" i="46"/>
  <c r="AE188" i="46"/>
  <c r="AF188" i="46"/>
  <c r="AG188" i="46"/>
  <c r="AH188" i="46"/>
  <c r="AI188" i="46"/>
  <c r="AJ188" i="46"/>
  <c r="AK188" i="46"/>
  <c r="AL188" i="46"/>
  <c r="AM188" i="46"/>
  <c r="D189" i="46"/>
  <c r="E189" i="46"/>
  <c r="F189" i="46"/>
  <c r="G189" i="46"/>
  <c r="H189" i="46"/>
  <c r="I189" i="46"/>
  <c r="J189" i="46"/>
  <c r="K189" i="46"/>
  <c r="L189" i="46"/>
  <c r="M189" i="46"/>
  <c r="N189" i="46"/>
  <c r="O189" i="46"/>
  <c r="P189" i="46"/>
  <c r="Q189" i="46"/>
  <c r="R189" i="46"/>
  <c r="S189" i="46"/>
  <c r="T189" i="46"/>
  <c r="U189" i="46"/>
  <c r="V189" i="46"/>
  <c r="W189" i="46"/>
  <c r="X189" i="46"/>
  <c r="Y189" i="46"/>
  <c r="Z189" i="46"/>
  <c r="AA189" i="46"/>
  <c r="AB189" i="46"/>
  <c r="AC189" i="46"/>
  <c r="AD189" i="46"/>
  <c r="AE189" i="46"/>
  <c r="AF189" i="46"/>
  <c r="AG189" i="46"/>
  <c r="AH189" i="46"/>
  <c r="AI189" i="46"/>
  <c r="AJ189" i="46"/>
  <c r="AK189" i="46"/>
  <c r="AL189" i="46"/>
  <c r="AM189" i="46"/>
  <c r="D190" i="46"/>
  <c r="E190" i="46"/>
  <c r="F190" i="46"/>
  <c r="G190" i="46"/>
  <c r="H190" i="46"/>
  <c r="I190" i="46"/>
  <c r="J190" i="46"/>
  <c r="K190" i="46"/>
  <c r="L190" i="46"/>
  <c r="M190" i="46"/>
  <c r="N190" i="46"/>
  <c r="O190" i="46"/>
  <c r="P190" i="46"/>
  <c r="Q190" i="46"/>
  <c r="R190" i="46"/>
  <c r="S190" i="46"/>
  <c r="T190" i="46"/>
  <c r="U190" i="46"/>
  <c r="V190" i="46"/>
  <c r="W190" i="46"/>
  <c r="X190" i="46"/>
  <c r="Y190" i="46"/>
  <c r="Z190" i="46"/>
  <c r="AA190" i="46"/>
  <c r="AB190" i="46"/>
  <c r="AC190" i="46"/>
  <c r="AD190" i="46"/>
  <c r="AE190" i="46"/>
  <c r="AF190" i="46"/>
  <c r="AG190" i="46"/>
  <c r="AH190" i="46"/>
  <c r="AI190" i="46"/>
  <c r="AJ190" i="46"/>
  <c r="AK190" i="46"/>
  <c r="AL190" i="46"/>
  <c r="AM190" i="46"/>
  <c r="D191" i="46"/>
  <c r="E191" i="46"/>
  <c r="F191" i="46"/>
  <c r="G191" i="46"/>
  <c r="H191" i="46"/>
  <c r="I191" i="46"/>
  <c r="J191" i="46"/>
  <c r="K191" i="46"/>
  <c r="L191" i="46"/>
  <c r="M191" i="46"/>
  <c r="N191" i="46"/>
  <c r="O191" i="46"/>
  <c r="P191" i="46"/>
  <c r="Q191" i="46"/>
  <c r="R191" i="46"/>
  <c r="S191" i="46"/>
  <c r="T191" i="46"/>
  <c r="U191" i="46"/>
  <c r="V191" i="46"/>
  <c r="W191" i="46"/>
  <c r="X191" i="46"/>
  <c r="Y191" i="46"/>
  <c r="Z191" i="46"/>
  <c r="AA191" i="46"/>
  <c r="AB191" i="46"/>
  <c r="AC191" i="46"/>
  <c r="AD191" i="46"/>
  <c r="AE191" i="46"/>
  <c r="AF191" i="46"/>
  <c r="AG191" i="46"/>
  <c r="AH191" i="46"/>
  <c r="AI191" i="46"/>
  <c r="AJ191" i="46"/>
  <c r="AK191" i="46"/>
  <c r="AL191" i="46"/>
  <c r="AM191" i="46"/>
  <c r="D192" i="46"/>
  <c r="E192" i="46"/>
  <c r="F192" i="46"/>
  <c r="G192" i="46"/>
  <c r="H192" i="46"/>
  <c r="I192" i="46"/>
  <c r="J192" i="46"/>
  <c r="K192" i="46"/>
  <c r="L192" i="46"/>
  <c r="M192" i="46"/>
  <c r="N192" i="46"/>
  <c r="O192" i="46"/>
  <c r="P192" i="46"/>
  <c r="Q192" i="46"/>
  <c r="R192" i="46"/>
  <c r="S192" i="46"/>
  <c r="T192" i="46"/>
  <c r="U192" i="46"/>
  <c r="V192" i="46"/>
  <c r="W192" i="46"/>
  <c r="X192" i="46"/>
  <c r="Y192" i="46"/>
  <c r="Z192" i="46"/>
  <c r="AA192" i="46"/>
  <c r="AB192" i="46"/>
  <c r="AC192" i="46"/>
  <c r="AD192" i="46"/>
  <c r="AE192" i="46"/>
  <c r="AF192" i="46"/>
  <c r="AG192" i="46"/>
  <c r="AH192" i="46"/>
  <c r="AI192" i="46"/>
  <c r="AJ192" i="46"/>
  <c r="AK192" i="46"/>
  <c r="AL192" i="46"/>
  <c r="AM192" i="46"/>
  <c r="D193" i="46"/>
  <c r="E193" i="46"/>
  <c r="F193" i="46"/>
  <c r="G193" i="46"/>
  <c r="H193" i="46"/>
  <c r="I193" i="46"/>
  <c r="J193" i="46"/>
  <c r="K193" i="46"/>
  <c r="L193" i="46"/>
  <c r="M193" i="46"/>
  <c r="N193" i="46"/>
  <c r="O193" i="46"/>
  <c r="P193" i="46"/>
  <c r="Q193" i="46"/>
  <c r="R193" i="46"/>
  <c r="S193" i="46"/>
  <c r="T193" i="46"/>
  <c r="U193" i="46"/>
  <c r="V193" i="46"/>
  <c r="W193" i="46"/>
  <c r="X193" i="46"/>
  <c r="Y193" i="46"/>
  <c r="Z193" i="46"/>
  <c r="AA193" i="46"/>
  <c r="AB193" i="46"/>
  <c r="AC193" i="46"/>
  <c r="AD193" i="46"/>
  <c r="AE193" i="46"/>
  <c r="AF193" i="46"/>
  <c r="AG193" i="46"/>
  <c r="AH193" i="46"/>
  <c r="AI193" i="46"/>
  <c r="AJ193" i="46"/>
  <c r="AK193" i="46"/>
  <c r="AL193" i="46"/>
  <c r="AM193" i="46"/>
  <c r="D194" i="46"/>
  <c r="E194" i="46"/>
  <c r="F194" i="46"/>
  <c r="G194" i="46"/>
  <c r="H194" i="46"/>
  <c r="I194" i="46"/>
  <c r="J194" i="46"/>
  <c r="K194" i="46"/>
  <c r="L194" i="46"/>
  <c r="M194" i="46"/>
  <c r="N194" i="46"/>
  <c r="O194" i="46"/>
  <c r="P194" i="46"/>
  <c r="Q194" i="46"/>
  <c r="R194" i="46"/>
  <c r="S194" i="46"/>
  <c r="T194" i="46"/>
  <c r="U194" i="46"/>
  <c r="V194" i="46"/>
  <c r="W194" i="46"/>
  <c r="X194" i="46"/>
  <c r="Y194" i="46"/>
  <c r="Z194" i="46"/>
  <c r="AA194" i="46"/>
  <c r="AB194" i="46"/>
  <c r="AC194" i="46"/>
  <c r="AD194" i="46"/>
  <c r="AE194" i="46"/>
  <c r="AF194" i="46"/>
  <c r="AG194" i="46"/>
  <c r="AH194" i="46"/>
  <c r="AI194" i="46"/>
  <c r="AJ194" i="46"/>
  <c r="AK194" i="46"/>
  <c r="AL194" i="46"/>
  <c r="AM194" i="46"/>
  <c r="D195" i="46"/>
  <c r="E195" i="46"/>
  <c r="F195" i="46"/>
  <c r="G195" i="46"/>
  <c r="H195" i="46"/>
  <c r="I195" i="46"/>
  <c r="J195" i="46"/>
  <c r="K195" i="46"/>
  <c r="L195" i="46"/>
  <c r="M195" i="46"/>
  <c r="N195" i="46"/>
  <c r="O195" i="46"/>
  <c r="P195" i="46"/>
  <c r="Q195" i="46"/>
  <c r="R195" i="46"/>
  <c r="S195" i="46"/>
  <c r="T195" i="46"/>
  <c r="U195" i="46"/>
  <c r="V195" i="46"/>
  <c r="W195" i="46"/>
  <c r="X195" i="46"/>
  <c r="Y195" i="46"/>
  <c r="Z195" i="46"/>
  <c r="AA195" i="46"/>
  <c r="AB195" i="46"/>
  <c r="AC195" i="46"/>
  <c r="AD195" i="46"/>
  <c r="AE195" i="46"/>
  <c r="AF195" i="46"/>
  <c r="AG195" i="46"/>
  <c r="AH195" i="46"/>
  <c r="AI195" i="46"/>
  <c r="AJ195" i="46"/>
  <c r="AK195" i="46"/>
  <c r="AL195" i="46"/>
  <c r="AM195" i="46"/>
  <c r="D196" i="46"/>
  <c r="E196" i="46"/>
  <c r="F196" i="46"/>
  <c r="G196" i="46"/>
  <c r="H196" i="46"/>
  <c r="I196" i="46"/>
  <c r="J196" i="46"/>
  <c r="K196" i="46"/>
  <c r="L196" i="46"/>
  <c r="M196" i="46"/>
  <c r="N196" i="46"/>
  <c r="O196" i="46"/>
  <c r="P196" i="46"/>
  <c r="Q196" i="46"/>
  <c r="R196" i="46"/>
  <c r="S196" i="46"/>
  <c r="T196" i="46"/>
  <c r="U196" i="46"/>
  <c r="V196" i="46"/>
  <c r="W196" i="46"/>
  <c r="X196" i="46"/>
  <c r="Y196" i="46"/>
  <c r="Z196" i="46"/>
  <c r="AA196" i="46"/>
  <c r="AB196" i="46"/>
  <c r="AC196" i="46"/>
  <c r="AD196" i="46"/>
  <c r="AE196" i="46"/>
  <c r="AF196" i="46"/>
  <c r="AG196" i="46"/>
  <c r="AH196" i="46"/>
  <c r="AI196" i="46"/>
  <c r="AJ196" i="46"/>
  <c r="AK196" i="46"/>
  <c r="AL196" i="46"/>
  <c r="AM196" i="46"/>
  <c r="D197" i="46"/>
  <c r="E197" i="46"/>
  <c r="F197" i="46"/>
  <c r="G197" i="46"/>
  <c r="H197" i="46"/>
  <c r="I197" i="46"/>
  <c r="J197" i="46"/>
  <c r="K197" i="46"/>
  <c r="L197" i="46"/>
  <c r="M197" i="46"/>
  <c r="N197" i="46"/>
  <c r="O197" i="46"/>
  <c r="P197" i="46"/>
  <c r="Q197" i="46"/>
  <c r="R197" i="46"/>
  <c r="S197" i="46"/>
  <c r="T197" i="46"/>
  <c r="U197" i="46"/>
  <c r="V197" i="46"/>
  <c r="W197" i="46"/>
  <c r="X197" i="46"/>
  <c r="Y197" i="46"/>
  <c r="Z197" i="46"/>
  <c r="AA197" i="46"/>
  <c r="AB197" i="46"/>
  <c r="AC197" i="46"/>
  <c r="AD197" i="46"/>
  <c r="AE197" i="46"/>
  <c r="AF197" i="46"/>
  <c r="AG197" i="46"/>
  <c r="AH197" i="46"/>
  <c r="AI197" i="46"/>
  <c r="AJ197" i="46"/>
  <c r="AK197" i="46"/>
  <c r="AL197" i="46"/>
  <c r="AM197" i="46"/>
  <c r="D198" i="46"/>
  <c r="E198" i="46"/>
  <c r="F198" i="46"/>
  <c r="G198" i="46"/>
  <c r="H198" i="46"/>
  <c r="I198" i="46"/>
  <c r="J198" i="46"/>
  <c r="K198" i="46"/>
  <c r="L198" i="46"/>
  <c r="M198" i="46"/>
  <c r="N198" i="46"/>
  <c r="O198" i="46"/>
  <c r="P198" i="46"/>
  <c r="Q198" i="46"/>
  <c r="R198" i="46"/>
  <c r="S198" i="46"/>
  <c r="T198" i="46"/>
  <c r="U198" i="46"/>
  <c r="V198" i="46"/>
  <c r="W198" i="46"/>
  <c r="X198" i="46"/>
  <c r="Y198" i="46"/>
  <c r="Z198" i="46"/>
  <c r="AA198" i="46"/>
  <c r="AB198" i="46"/>
  <c r="AC198" i="46"/>
  <c r="AD198" i="46"/>
  <c r="AE198" i="46"/>
  <c r="AF198" i="46"/>
  <c r="AG198" i="46"/>
  <c r="AH198" i="46"/>
  <c r="AI198" i="46"/>
  <c r="AJ198" i="46"/>
  <c r="AK198" i="46"/>
  <c r="AL198" i="46"/>
  <c r="AM198" i="46"/>
  <c r="D199" i="46"/>
  <c r="E199" i="46"/>
  <c r="F199" i="46"/>
  <c r="G199" i="46"/>
  <c r="H199" i="46"/>
  <c r="I199" i="46"/>
  <c r="J199" i="46"/>
  <c r="K199" i="46"/>
  <c r="L199" i="46"/>
  <c r="M199" i="46"/>
  <c r="N199" i="46"/>
  <c r="O199" i="46"/>
  <c r="P199" i="46"/>
  <c r="Q199" i="46"/>
  <c r="R199" i="46"/>
  <c r="S199" i="46"/>
  <c r="T199" i="46"/>
  <c r="U199" i="46"/>
  <c r="V199" i="46"/>
  <c r="W199" i="46"/>
  <c r="X199" i="46"/>
  <c r="Y199" i="46"/>
  <c r="Z199" i="46"/>
  <c r="AA199" i="46"/>
  <c r="AB199" i="46"/>
  <c r="AC199" i="46"/>
  <c r="AD199" i="46"/>
  <c r="AE199" i="46"/>
  <c r="AF199" i="46"/>
  <c r="AG199" i="46"/>
  <c r="AH199" i="46"/>
  <c r="AI199" i="46"/>
  <c r="AJ199" i="46"/>
  <c r="AK199" i="46"/>
  <c r="AL199" i="46"/>
  <c r="AM199" i="46"/>
  <c r="D200" i="46"/>
  <c r="E200" i="46"/>
  <c r="F200" i="46"/>
  <c r="G200" i="46"/>
  <c r="H200" i="46"/>
  <c r="I200" i="46"/>
  <c r="J200" i="46"/>
  <c r="K200" i="46"/>
  <c r="L200" i="46"/>
  <c r="M200" i="46"/>
  <c r="N200" i="46"/>
  <c r="O200" i="46"/>
  <c r="P200" i="46"/>
  <c r="Q200" i="46"/>
  <c r="R200" i="46"/>
  <c r="S200" i="46"/>
  <c r="T200" i="46"/>
  <c r="U200" i="46"/>
  <c r="V200" i="46"/>
  <c r="W200" i="46"/>
  <c r="X200" i="46"/>
  <c r="Y200" i="46"/>
  <c r="Z200" i="46"/>
  <c r="AA200" i="46"/>
  <c r="AB200" i="46"/>
  <c r="AC200" i="46"/>
  <c r="AD200" i="46"/>
  <c r="AE200" i="46"/>
  <c r="AF200" i="46"/>
  <c r="AG200" i="46"/>
  <c r="AH200" i="46"/>
  <c r="AI200" i="46"/>
  <c r="AJ200" i="46"/>
  <c r="AK200" i="46"/>
  <c r="AL200" i="46"/>
  <c r="AM200" i="46"/>
  <c r="D201" i="46"/>
  <c r="E201" i="46"/>
  <c r="F201" i="46"/>
  <c r="G201" i="46"/>
  <c r="H201" i="46"/>
  <c r="I201" i="46"/>
  <c r="J201" i="46"/>
  <c r="K201" i="46"/>
  <c r="L201" i="46"/>
  <c r="M201" i="46"/>
  <c r="N201" i="46"/>
  <c r="O201" i="46"/>
  <c r="P201" i="46"/>
  <c r="Q201" i="46"/>
  <c r="R201" i="46"/>
  <c r="S201" i="46"/>
  <c r="T201" i="46"/>
  <c r="U201" i="46"/>
  <c r="V201" i="46"/>
  <c r="W201" i="46"/>
  <c r="X201" i="46"/>
  <c r="Y201" i="46"/>
  <c r="Z201" i="46"/>
  <c r="AA201" i="46"/>
  <c r="AB201" i="46"/>
  <c r="AC201" i="46"/>
  <c r="AD201" i="46"/>
  <c r="AE201" i="46"/>
  <c r="AF201" i="46"/>
  <c r="AG201" i="46"/>
  <c r="AH201" i="46"/>
  <c r="AI201" i="46"/>
  <c r="AJ201" i="46"/>
  <c r="AK201" i="46"/>
  <c r="AL201" i="46"/>
  <c r="AM201" i="46"/>
  <c r="D202" i="46"/>
  <c r="E202" i="46"/>
  <c r="F202" i="46"/>
  <c r="G202" i="46"/>
  <c r="H202" i="46"/>
  <c r="I202" i="46"/>
  <c r="J202" i="46"/>
  <c r="K202" i="46"/>
  <c r="L202" i="46"/>
  <c r="M202" i="46"/>
  <c r="N202" i="46"/>
  <c r="O202" i="46"/>
  <c r="P202" i="46"/>
  <c r="Q202" i="46"/>
  <c r="R202" i="46"/>
  <c r="S202" i="46"/>
  <c r="T202" i="46"/>
  <c r="U202" i="46"/>
  <c r="V202" i="46"/>
  <c r="W202" i="46"/>
  <c r="X202" i="46"/>
  <c r="Y202" i="46"/>
  <c r="Z202" i="46"/>
  <c r="AA202" i="46"/>
  <c r="AB202" i="46"/>
  <c r="AC202" i="46"/>
  <c r="AD202" i="46"/>
  <c r="AE202" i="46"/>
  <c r="AF202" i="46"/>
  <c r="AG202" i="46"/>
  <c r="AH202" i="46"/>
  <c r="AI202" i="46"/>
  <c r="AJ202" i="46"/>
  <c r="AK202" i="46"/>
  <c r="AL202" i="46"/>
  <c r="AM202" i="46"/>
  <c r="D203" i="46"/>
  <c r="E203" i="46"/>
  <c r="F203" i="46"/>
  <c r="G203" i="46"/>
  <c r="H203" i="46"/>
  <c r="I203" i="46"/>
  <c r="J203" i="46"/>
  <c r="K203" i="46"/>
  <c r="L203" i="46"/>
  <c r="M203" i="46"/>
  <c r="N203" i="46"/>
  <c r="O203" i="46"/>
  <c r="P203" i="46"/>
  <c r="Q203" i="46"/>
  <c r="R203" i="46"/>
  <c r="S203" i="46"/>
  <c r="T203" i="46"/>
  <c r="U203" i="46"/>
  <c r="V203" i="46"/>
  <c r="W203" i="46"/>
  <c r="X203" i="46"/>
  <c r="Y203" i="46"/>
  <c r="Z203" i="46"/>
  <c r="AA203" i="46"/>
  <c r="AB203" i="46"/>
  <c r="AC203" i="46"/>
  <c r="AD203" i="46"/>
  <c r="AE203" i="46"/>
  <c r="AF203" i="46"/>
  <c r="AG203" i="46"/>
  <c r="AH203" i="46"/>
  <c r="AI203" i="46"/>
  <c r="AJ203" i="46"/>
  <c r="AK203" i="46"/>
  <c r="AL203" i="46"/>
  <c r="AM203" i="46"/>
  <c r="D205" i="46"/>
  <c r="E205" i="46"/>
  <c r="F205" i="46"/>
  <c r="G205" i="46"/>
  <c r="H205" i="46"/>
  <c r="I205" i="46"/>
  <c r="J205" i="46"/>
  <c r="K205" i="46"/>
  <c r="L205" i="46"/>
  <c r="M205" i="46"/>
  <c r="N205" i="46"/>
  <c r="O205" i="46"/>
  <c r="P205" i="46"/>
  <c r="Q205" i="46"/>
  <c r="R205" i="46"/>
  <c r="S205" i="46"/>
  <c r="T205" i="46"/>
  <c r="U205" i="46"/>
  <c r="V205" i="46"/>
  <c r="W205" i="46"/>
  <c r="X205" i="46"/>
  <c r="Y205" i="46"/>
  <c r="Z205" i="46"/>
  <c r="AA205" i="46"/>
  <c r="AB205" i="46"/>
  <c r="AC205" i="46"/>
  <c r="AD205" i="46"/>
  <c r="AE205" i="46"/>
  <c r="AF205" i="46"/>
  <c r="AG205" i="46"/>
  <c r="AH205" i="46"/>
  <c r="AI205" i="46"/>
  <c r="AJ205" i="46"/>
  <c r="AK205" i="46"/>
  <c r="AL205" i="46"/>
  <c r="AM205" i="46"/>
  <c r="D207" i="46"/>
  <c r="E207" i="46"/>
  <c r="F207" i="46"/>
  <c r="G207" i="46"/>
  <c r="H207" i="46"/>
  <c r="I207" i="46"/>
  <c r="J207" i="46"/>
  <c r="K207" i="46"/>
  <c r="L207" i="46"/>
  <c r="M207" i="46"/>
  <c r="N207" i="46"/>
  <c r="O207" i="46"/>
  <c r="P207" i="46"/>
  <c r="Q207" i="46"/>
  <c r="R207" i="46"/>
  <c r="S207" i="46"/>
  <c r="T207" i="46"/>
  <c r="U207" i="46"/>
  <c r="V207" i="46"/>
  <c r="W207" i="46"/>
  <c r="X207" i="46"/>
  <c r="Y207" i="46"/>
  <c r="Z207" i="46"/>
  <c r="AA207" i="46"/>
  <c r="AB207" i="46"/>
  <c r="AC207" i="46"/>
  <c r="AD207" i="46"/>
  <c r="AE207" i="46"/>
  <c r="AF207" i="46"/>
  <c r="AG207" i="46"/>
  <c r="AH207" i="46"/>
  <c r="AI207" i="46"/>
  <c r="AJ207" i="46"/>
  <c r="AK207" i="46"/>
  <c r="AL207" i="46"/>
  <c r="AM207" i="46"/>
  <c r="D209" i="46"/>
  <c r="E209" i="46"/>
  <c r="F209" i="46"/>
  <c r="G209" i="46"/>
  <c r="H209" i="46"/>
  <c r="I209" i="46"/>
  <c r="J209" i="46"/>
  <c r="K209" i="46"/>
  <c r="L209" i="46"/>
  <c r="M209" i="46"/>
  <c r="N209" i="46"/>
  <c r="O209" i="46"/>
  <c r="P209" i="46"/>
  <c r="Q209" i="46"/>
  <c r="R209" i="46"/>
  <c r="S209" i="46"/>
  <c r="T209" i="46"/>
  <c r="U209" i="46"/>
  <c r="V209" i="46"/>
  <c r="W209" i="46"/>
  <c r="X209" i="46"/>
  <c r="Y209" i="46"/>
  <c r="Z209" i="46"/>
  <c r="AA209" i="46"/>
  <c r="AB209" i="46"/>
  <c r="AC209" i="46"/>
  <c r="AD209" i="46"/>
  <c r="AE209" i="46"/>
  <c r="AF209" i="46"/>
  <c r="AG209" i="46"/>
  <c r="AH209" i="46"/>
  <c r="AI209" i="46"/>
  <c r="AJ209" i="46"/>
  <c r="AK209" i="46"/>
  <c r="AL209" i="46"/>
  <c r="AM209" i="46"/>
  <c r="D211" i="46"/>
  <c r="E211" i="46"/>
  <c r="F211" i="46"/>
  <c r="G211" i="46"/>
  <c r="H211" i="46"/>
  <c r="I211" i="46"/>
  <c r="J211" i="46"/>
  <c r="K211" i="46"/>
  <c r="L211" i="46"/>
  <c r="M211" i="46"/>
  <c r="N211" i="46"/>
  <c r="O211" i="46"/>
  <c r="P211" i="46"/>
  <c r="Q211" i="46"/>
  <c r="D212" i="46"/>
  <c r="E212" i="46"/>
  <c r="F212" i="46"/>
  <c r="G212" i="46"/>
  <c r="H212" i="46"/>
  <c r="I212" i="46"/>
  <c r="J212" i="46"/>
  <c r="K212" i="46"/>
  <c r="L212" i="46"/>
  <c r="M212" i="46"/>
  <c r="N212" i="46"/>
  <c r="O212" i="46"/>
  <c r="P212" i="46"/>
  <c r="Q212" i="46"/>
  <c r="D213" i="46"/>
  <c r="E213" i="46"/>
  <c r="F213" i="46"/>
  <c r="G213" i="46"/>
  <c r="H213" i="46"/>
  <c r="I213" i="46"/>
  <c r="J213" i="46"/>
  <c r="K213" i="46"/>
  <c r="L213" i="46"/>
  <c r="M213" i="46"/>
  <c r="N213" i="46"/>
  <c r="O213" i="46"/>
  <c r="P213" i="46"/>
  <c r="Q213" i="46"/>
  <c r="D214" i="46"/>
  <c r="E214" i="46"/>
  <c r="F214" i="46"/>
  <c r="G214" i="46"/>
  <c r="H214" i="46"/>
  <c r="I214" i="46"/>
  <c r="J214" i="46"/>
  <c r="K214" i="46"/>
  <c r="L214" i="46"/>
  <c r="M214" i="46"/>
  <c r="N214" i="46"/>
  <c r="O214" i="46"/>
  <c r="P214" i="46"/>
  <c r="Q214" i="46"/>
  <c r="D215" i="46"/>
  <c r="E215" i="46"/>
  <c r="F215" i="46"/>
  <c r="G215" i="46"/>
  <c r="H215" i="46"/>
  <c r="I215" i="46"/>
  <c r="J215" i="46"/>
  <c r="K215" i="46"/>
  <c r="L215" i="46"/>
  <c r="M215" i="46"/>
  <c r="N215" i="46"/>
  <c r="O215" i="46"/>
  <c r="P215" i="46"/>
  <c r="Q215" i="46"/>
  <c r="D216" i="46"/>
  <c r="E216" i="46"/>
  <c r="F216" i="46"/>
  <c r="G216" i="46"/>
  <c r="H216" i="46"/>
  <c r="I216" i="46"/>
  <c r="J216" i="46"/>
  <c r="K216" i="46"/>
  <c r="L216" i="46"/>
  <c r="M216" i="46"/>
  <c r="N216" i="46"/>
  <c r="O216" i="46"/>
  <c r="P216" i="46"/>
  <c r="Q216" i="46"/>
  <c r="D217" i="46"/>
  <c r="E217" i="46"/>
  <c r="F217" i="46"/>
  <c r="G217" i="46"/>
  <c r="H217" i="46"/>
  <c r="I217" i="46"/>
  <c r="J217" i="46"/>
  <c r="K217" i="46"/>
  <c r="L217" i="46"/>
  <c r="M217" i="46"/>
  <c r="N217" i="46"/>
  <c r="O217" i="46"/>
  <c r="P217" i="46"/>
  <c r="Q217" i="46"/>
  <c r="D218" i="46"/>
  <c r="E218" i="46"/>
  <c r="F218" i="46"/>
  <c r="G218" i="46"/>
  <c r="H218" i="46"/>
  <c r="I218" i="46"/>
  <c r="J218" i="46"/>
  <c r="K218" i="46"/>
  <c r="L218" i="46"/>
  <c r="M218" i="46"/>
  <c r="N218" i="46"/>
  <c r="O218" i="46"/>
  <c r="P218" i="46"/>
  <c r="Q218" i="46"/>
  <c r="D219" i="46"/>
  <c r="E219" i="46"/>
  <c r="F219" i="46"/>
  <c r="G219" i="46"/>
  <c r="H219" i="46"/>
  <c r="I219" i="46"/>
  <c r="J219" i="46"/>
  <c r="K219" i="46"/>
  <c r="L219" i="46"/>
  <c r="M219" i="46"/>
  <c r="N219" i="46"/>
  <c r="O219" i="46"/>
  <c r="P219" i="46"/>
  <c r="Q219" i="46"/>
  <c r="D220" i="46"/>
  <c r="E220" i="46"/>
  <c r="F220" i="46"/>
  <c r="G220" i="46"/>
  <c r="H220" i="46"/>
  <c r="I220" i="46"/>
  <c r="J220" i="46"/>
  <c r="K220" i="46"/>
  <c r="L220" i="46"/>
  <c r="M220" i="46"/>
  <c r="N220" i="46"/>
  <c r="O220" i="46"/>
  <c r="P220" i="46"/>
  <c r="Q220" i="46"/>
  <c r="D222" i="46"/>
  <c r="E222" i="46"/>
  <c r="F222" i="46"/>
  <c r="G222" i="46"/>
  <c r="H222" i="46"/>
  <c r="I222" i="46"/>
  <c r="J222" i="46"/>
  <c r="K222" i="46"/>
  <c r="L222" i="46"/>
  <c r="M222" i="46"/>
  <c r="N222" i="46"/>
  <c r="O222" i="46"/>
  <c r="P222" i="46"/>
  <c r="Q222" i="46"/>
  <c r="D223" i="46"/>
  <c r="E223" i="46"/>
  <c r="F223" i="46"/>
  <c r="G223" i="46"/>
  <c r="H223" i="46"/>
  <c r="I223" i="46"/>
  <c r="J223" i="46"/>
  <c r="K223" i="46"/>
  <c r="L223" i="46"/>
  <c r="M223" i="46"/>
  <c r="N223" i="46"/>
  <c r="O223" i="46"/>
  <c r="P223" i="46"/>
  <c r="Q223" i="46"/>
  <c r="D224" i="46"/>
  <c r="E224" i="46"/>
  <c r="F224" i="46"/>
  <c r="G224" i="46"/>
  <c r="H224" i="46"/>
  <c r="I224" i="46"/>
  <c r="J224" i="46"/>
  <c r="K224" i="46"/>
  <c r="L224" i="46"/>
  <c r="M224" i="46"/>
  <c r="N224" i="46"/>
  <c r="O224" i="46"/>
  <c r="P224" i="46"/>
  <c r="Q224" i="46"/>
  <c r="D225" i="46"/>
  <c r="E225" i="46"/>
  <c r="F225" i="46"/>
  <c r="G225" i="46"/>
  <c r="H225" i="46"/>
  <c r="I225" i="46"/>
  <c r="J225" i="46"/>
  <c r="K225" i="46"/>
  <c r="L225" i="46"/>
  <c r="M225" i="46"/>
  <c r="N225" i="46"/>
  <c r="O225" i="46"/>
  <c r="P225" i="46"/>
  <c r="Q225" i="46"/>
  <c r="D226" i="46"/>
  <c r="E226" i="46"/>
  <c r="F226" i="46"/>
  <c r="G226" i="46"/>
  <c r="H226" i="46"/>
  <c r="I226" i="46"/>
  <c r="J226" i="46"/>
  <c r="K226" i="46"/>
  <c r="L226" i="46"/>
  <c r="M226" i="46"/>
  <c r="N226" i="46"/>
  <c r="O226" i="46"/>
  <c r="P226" i="46"/>
  <c r="Q226" i="46"/>
  <c r="D227" i="46"/>
  <c r="E227" i="46"/>
  <c r="F227" i="46"/>
  <c r="G227" i="46"/>
  <c r="H227" i="46"/>
  <c r="I227" i="46"/>
  <c r="J227" i="46"/>
  <c r="K227" i="46"/>
  <c r="L227" i="46"/>
  <c r="M227" i="46"/>
  <c r="N227" i="46"/>
  <c r="O227" i="46"/>
  <c r="P227" i="46"/>
  <c r="Q227" i="46"/>
  <c r="D228" i="46"/>
  <c r="E228" i="46"/>
  <c r="F228" i="46"/>
  <c r="G228" i="46"/>
  <c r="H228" i="46"/>
  <c r="I228" i="46"/>
  <c r="J228" i="46"/>
  <c r="K228" i="46"/>
  <c r="L228" i="46"/>
  <c r="M228" i="46"/>
  <c r="N228" i="46"/>
  <c r="O228" i="46"/>
  <c r="P228" i="46"/>
  <c r="Q228" i="46"/>
  <c r="D229" i="46"/>
  <c r="E229" i="46"/>
  <c r="F229" i="46"/>
  <c r="G229" i="46"/>
  <c r="H229" i="46"/>
  <c r="I229" i="46"/>
  <c r="J229" i="46"/>
  <c r="K229" i="46"/>
  <c r="L229" i="46"/>
  <c r="M229" i="46"/>
  <c r="N229" i="46"/>
  <c r="O229" i="46"/>
  <c r="P229" i="46"/>
  <c r="Q229" i="46"/>
  <c r="D230" i="46"/>
  <c r="E230" i="46"/>
  <c r="F230" i="46"/>
  <c r="G230" i="46"/>
  <c r="H230" i="46"/>
  <c r="I230" i="46"/>
  <c r="J230" i="46"/>
  <c r="K230" i="46"/>
  <c r="L230" i="46"/>
  <c r="M230" i="46"/>
  <c r="N230" i="46"/>
  <c r="O230" i="46"/>
  <c r="P230" i="46"/>
  <c r="Q230" i="46"/>
  <c r="D231" i="46"/>
  <c r="E231" i="46"/>
  <c r="F231" i="46"/>
  <c r="G231" i="46"/>
  <c r="H231" i="46"/>
  <c r="I231" i="46"/>
  <c r="J231" i="46"/>
  <c r="K231" i="46"/>
  <c r="L231" i="46"/>
  <c r="M231" i="46"/>
  <c r="N231" i="46"/>
  <c r="O231" i="46"/>
  <c r="P231" i="46"/>
  <c r="Q231" i="46"/>
  <c r="D233" i="46"/>
  <c r="E233" i="46"/>
  <c r="F233" i="46"/>
  <c r="G233" i="46"/>
  <c r="H233" i="46"/>
  <c r="I233" i="46"/>
  <c r="J233" i="46"/>
  <c r="K233" i="46"/>
  <c r="L233" i="46"/>
  <c r="M233" i="46"/>
  <c r="N233" i="46"/>
  <c r="O233" i="46"/>
  <c r="P233" i="46"/>
  <c r="Q233" i="46"/>
  <c r="D234" i="46"/>
  <c r="E234" i="46"/>
  <c r="F234" i="46"/>
  <c r="G234" i="46"/>
  <c r="H234" i="46"/>
  <c r="I234" i="46"/>
  <c r="J234" i="46"/>
  <c r="K234" i="46"/>
  <c r="L234" i="46"/>
  <c r="M234" i="46"/>
  <c r="N234" i="46"/>
  <c r="O234" i="46"/>
  <c r="P234" i="46"/>
  <c r="Q234" i="46"/>
  <c r="D235" i="46"/>
  <c r="E235" i="46"/>
  <c r="F235" i="46"/>
  <c r="G235" i="46"/>
  <c r="H235" i="46"/>
  <c r="I235" i="46"/>
  <c r="J235" i="46"/>
  <c r="K235" i="46"/>
  <c r="L235" i="46"/>
  <c r="M235" i="46"/>
  <c r="N235" i="46"/>
  <c r="O235" i="46"/>
  <c r="P235" i="46"/>
  <c r="Q235" i="46"/>
  <c r="D236" i="46"/>
  <c r="E236" i="46"/>
  <c r="F236" i="46"/>
  <c r="G236" i="46"/>
  <c r="H236" i="46"/>
  <c r="I236" i="46"/>
  <c r="J236" i="46"/>
  <c r="K236" i="46"/>
  <c r="L236" i="46"/>
  <c r="M236" i="46"/>
  <c r="N236" i="46"/>
  <c r="O236" i="46"/>
  <c r="P236" i="46"/>
  <c r="Q236" i="46"/>
  <c r="D237" i="46"/>
  <c r="E237" i="46"/>
  <c r="F237" i="46"/>
  <c r="G237" i="46"/>
  <c r="H237" i="46"/>
  <c r="I237" i="46"/>
  <c r="J237" i="46"/>
  <c r="K237" i="46"/>
  <c r="L237" i="46"/>
  <c r="M237" i="46"/>
  <c r="N237" i="46"/>
  <c r="O237" i="46"/>
  <c r="P237" i="46"/>
  <c r="Q237" i="46"/>
  <c r="D238" i="46"/>
  <c r="E238" i="46"/>
  <c r="F238" i="46"/>
  <c r="G238" i="46"/>
  <c r="H238" i="46"/>
  <c r="I238" i="46"/>
  <c r="J238" i="46"/>
  <c r="K238" i="46"/>
  <c r="L238" i="46"/>
  <c r="M238" i="46"/>
  <c r="N238" i="46"/>
  <c r="O238" i="46"/>
  <c r="P238" i="46"/>
  <c r="Q238" i="46"/>
  <c r="D239" i="46"/>
  <c r="E239" i="46"/>
  <c r="F239" i="46"/>
  <c r="G239" i="46"/>
  <c r="H239" i="46"/>
  <c r="I239" i="46"/>
  <c r="J239" i="46"/>
  <c r="K239" i="46"/>
  <c r="L239" i="46"/>
  <c r="M239" i="46"/>
  <c r="N239" i="46"/>
  <c r="O239" i="46"/>
  <c r="P239" i="46"/>
  <c r="Q239" i="46"/>
  <c r="D240" i="46"/>
  <c r="E240" i="46"/>
  <c r="F240" i="46"/>
  <c r="G240" i="46"/>
  <c r="H240" i="46"/>
  <c r="I240" i="46"/>
  <c r="J240" i="46"/>
  <c r="K240" i="46"/>
  <c r="L240" i="46"/>
  <c r="M240" i="46"/>
  <c r="N240" i="46"/>
  <c r="O240" i="46"/>
  <c r="P240" i="46"/>
  <c r="Q240" i="46"/>
  <c r="D241" i="46"/>
  <c r="E241" i="46"/>
  <c r="F241" i="46"/>
  <c r="G241" i="46"/>
  <c r="H241" i="46"/>
  <c r="I241" i="46"/>
  <c r="J241" i="46"/>
  <c r="K241" i="46"/>
  <c r="L241" i="46"/>
  <c r="M241" i="46"/>
  <c r="N241" i="46"/>
  <c r="O241" i="46"/>
  <c r="P241" i="46"/>
  <c r="Q241" i="46"/>
  <c r="D242" i="46"/>
  <c r="E242" i="46"/>
  <c r="F242" i="46"/>
  <c r="G242" i="46"/>
  <c r="H242" i="46"/>
  <c r="I242" i="46"/>
  <c r="J242" i="46"/>
  <c r="K242" i="46"/>
  <c r="L242" i="46"/>
  <c r="M242" i="46"/>
  <c r="N242" i="46"/>
  <c r="O242" i="46"/>
  <c r="P242" i="46"/>
  <c r="Q242" i="46"/>
  <c r="D4" i="56"/>
  <c r="E4" i="56"/>
  <c r="F4" i="56"/>
  <c r="G4" i="56"/>
  <c r="H4" i="56"/>
  <c r="I4" i="56"/>
  <c r="J4" i="56"/>
  <c r="K4" i="56"/>
  <c r="L4" i="56"/>
  <c r="M4" i="56"/>
  <c r="N4" i="56"/>
  <c r="O4" i="56"/>
  <c r="P4" i="56"/>
  <c r="Q4" i="56"/>
  <c r="R4" i="56"/>
  <c r="S4" i="56"/>
  <c r="T4" i="56"/>
  <c r="U4" i="56"/>
  <c r="V4" i="56"/>
  <c r="W4" i="56"/>
  <c r="X4" i="56"/>
  <c r="Y4" i="56"/>
  <c r="Z4" i="56"/>
  <c r="AA4" i="56"/>
  <c r="AB4" i="56"/>
  <c r="AC4" i="56"/>
  <c r="AD4" i="56"/>
  <c r="AE4" i="56"/>
  <c r="AF4" i="56"/>
  <c r="AG4" i="56"/>
  <c r="AH4" i="56"/>
  <c r="AI4" i="56"/>
  <c r="AJ4" i="56"/>
  <c r="AK4" i="56"/>
  <c r="AL4" i="56"/>
  <c r="AM4" i="56"/>
  <c r="D5" i="56"/>
  <c r="E5" i="56"/>
  <c r="F5" i="56"/>
  <c r="G5" i="56"/>
  <c r="H5" i="56"/>
  <c r="I5" i="56"/>
  <c r="J5" i="56"/>
  <c r="K5" i="56"/>
  <c r="L5" i="56"/>
  <c r="M5" i="56"/>
  <c r="N5" i="56"/>
  <c r="O5" i="56"/>
  <c r="P5" i="56"/>
  <c r="Q5" i="56"/>
  <c r="R5" i="56"/>
  <c r="S5" i="56"/>
  <c r="T5" i="56"/>
  <c r="U5" i="56"/>
  <c r="V5" i="56"/>
  <c r="W5" i="56"/>
  <c r="X5" i="56"/>
  <c r="Y5" i="56"/>
  <c r="Z5" i="56"/>
  <c r="AA5" i="56"/>
  <c r="AB5" i="56"/>
  <c r="AC5" i="56"/>
  <c r="AD5" i="56"/>
  <c r="AE5" i="56"/>
  <c r="AF5" i="56"/>
  <c r="AG5" i="56"/>
  <c r="AH5" i="56"/>
  <c r="AI5" i="56"/>
  <c r="AJ5" i="56"/>
  <c r="AK5" i="56"/>
  <c r="AL5" i="56"/>
  <c r="AM5" i="56"/>
  <c r="D6" i="56"/>
  <c r="E6" i="56"/>
  <c r="F6" i="56"/>
  <c r="G6" i="56"/>
  <c r="H6" i="56"/>
  <c r="I6" i="56"/>
  <c r="J6" i="56"/>
  <c r="K6" i="56"/>
  <c r="L6" i="56"/>
  <c r="M6" i="56"/>
  <c r="N6" i="56"/>
  <c r="O6" i="56"/>
  <c r="P6" i="56"/>
  <c r="Q6" i="56"/>
  <c r="R6" i="56"/>
  <c r="S6" i="56"/>
  <c r="T6" i="56"/>
  <c r="U6" i="56"/>
  <c r="V6" i="56"/>
  <c r="W6" i="56"/>
  <c r="X6" i="56"/>
  <c r="Y6" i="56"/>
  <c r="Z6" i="56"/>
  <c r="AA6" i="56"/>
  <c r="AB6" i="56"/>
  <c r="AC6" i="56"/>
  <c r="AD6" i="56"/>
  <c r="AE6" i="56"/>
  <c r="AF6" i="56"/>
  <c r="AG6" i="56"/>
  <c r="AH6" i="56"/>
  <c r="AI6" i="56"/>
  <c r="AJ6" i="56"/>
  <c r="AK6" i="56"/>
  <c r="AL6" i="56"/>
  <c r="AM6" i="56"/>
  <c r="D7" i="56"/>
  <c r="E7" i="56"/>
  <c r="F7" i="56"/>
  <c r="G7" i="56"/>
  <c r="H7" i="56"/>
  <c r="I7" i="56"/>
  <c r="J7" i="56"/>
  <c r="K7" i="56"/>
  <c r="L7" i="56"/>
  <c r="M7" i="56"/>
  <c r="N7" i="56"/>
  <c r="O7" i="56"/>
  <c r="P7" i="56"/>
  <c r="Q7" i="56"/>
  <c r="R7" i="56"/>
  <c r="S7" i="56"/>
  <c r="T7" i="56"/>
  <c r="U7" i="56"/>
  <c r="V7" i="56"/>
  <c r="W7" i="56"/>
  <c r="X7" i="56"/>
  <c r="Y7" i="56"/>
  <c r="Z7" i="56"/>
  <c r="AA7" i="56"/>
  <c r="AB7" i="56"/>
  <c r="AC7" i="56"/>
  <c r="AD7" i="56"/>
  <c r="AE7" i="56"/>
  <c r="AF7" i="56"/>
  <c r="AG7" i="56"/>
  <c r="AH7" i="56"/>
  <c r="AI7" i="56"/>
  <c r="AJ7" i="56"/>
  <c r="AK7" i="56"/>
  <c r="AL7" i="56"/>
  <c r="AM7" i="56"/>
  <c r="D8" i="56"/>
  <c r="E8" i="56"/>
  <c r="F8" i="56"/>
  <c r="G8" i="56"/>
  <c r="H8" i="56"/>
  <c r="I8" i="56"/>
  <c r="J8" i="56"/>
  <c r="K8" i="56"/>
  <c r="L8" i="56"/>
  <c r="M8" i="56"/>
  <c r="N8" i="56"/>
  <c r="O8" i="56"/>
  <c r="P8" i="56"/>
  <c r="Q8" i="56"/>
  <c r="R8" i="56"/>
  <c r="S8" i="56"/>
  <c r="T8" i="56"/>
  <c r="U8" i="56"/>
  <c r="V8" i="56"/>
  <c r="W8" i="56"/>
  <c r="X8" i="56"/>
  <c r="Y8" i="56"/>
  <c r="Z8" i="56"/>
  <c r="AA8" i="56"/>
  <c r="AB8" i="56"/>
  <c r="AC8" i="56"/>
  <c r="AD8" i="56"/>
  <c r="AE8" i="56"/>
  <c r="AF8" i="56"/>
  <c r="AG8" i="56"/>
  <c r="AH8" i="56"/>
  <c r="AI8" i="56"/>
  <c r="AJ8" i="56"/>
  <c r="AK8" i="56"/>
  <c r="AL8" i="56"/>
  <c r="AM8" i="56"/>
  <c r="D9" i="56"/>
  <c r="E9" i="56"/>
  <c r="F9" i="56"/>
  <c r="G9" i="56"/>
  <c r="H9" i="56"/>
  <c r="I9" i="56"/>
  <c r="J9" i="56"/>
  <c r="K9" i="56"/>
  <c r="L9" i="56"/>
  <c r="M9" i="56"/>
  <c r="N9" i="56"/>
  <c r="O9" i="56"/>
  <c r="P9" i="56"/>
  <c r="Q9" i="56"/>
  <c r="R9" i="56"/>
  <c r="S9" i="56"/>
  <c r="T9" i="56"/>
  <c r="U9" i="56"/>
  <c r="V9" i="56"/>
  <c r="W9" i="56"/>
  <c r="X9" i="56"/>
  <c r="Y9" i="56"/>
  <c r="Z9" i="56"/>
  <c r="AA9" i="56"/>
  <c r="AB9" i="56"/>
  <c r="AC9" i="56"/>
  <c r="AD9" i="56"/>
  <c r="AE9" i="56"/>
  <c r="AF9" i="56"/>
  <c r="AG9" i="56"/>
  <c r="AH9" i="56"/>
  <c r="AI9" i="56"/>
  <c r="AJ9" i="56"/>
  <c r="AK9" i="56"/>
  <c r="AL9" i="56"/>
  <c r="AM9" i="56"/>
  <c r="D10" i="56"/>
  <c r="E10" i="56"/>
  <c r="F10" i="56"/>
  <c r="G10" i="56"/>
  <c r="H10" i="56"/>
  <c r="I10" i="56"/>
  <c r="J10" i="56"/>
  <c r="K10" i="56"/>
  <c r="L10" i="56"/>
  <c r="M10" i="56"/>
  <c r="N10" i="56"/>
  <c r="O10" i="56"/>
  <c r="P10" i="56"/>
  <c r="Q10" i="56"/>
  <c r="R10" i="56"/>
  <c r="S10" i="56"/>
  <c r="T10" i="56"/>
  <c r="U10" i="56"/>
  <c r="V10" i="56"/>
  <c r="W10" i="56"/>
  <c r="X10" i="56"/>
  <c r="Y10" i="56"/>
  <c r="Z10" i="56"/>
  <c r="AA10" i="56"/>
  <c r="AB10" i="56"/>
  <c r="AC10" i="56"/>
  <c r="AD10" i="56"/>
  <c r="AE10" i="56"/>
  <c r="AF10" i="56"/>
  <c r="AG10" i="56"/>
  <c r="AH10" i="56"/>
  <c r="AI10" i="56"/>
  <c r="AJ10" i="56"/>
  <c r="AK10" i="56"/>
  <c r="AL10" i="56"/>
  <c r="AM10" i="56"/>
  <c r="D11" i="56"/>
  <c r="E11" i="56"/>
  <c r="F11" i="56"/>
  <c r="G11" i="56"/>
  <c r="H11" i="56"/>
  <c r="I11" i="56"/>
  <c r="J11" i="56"/>
  <c r="K11" i="56"/>
  <c r="L11" i="56"/>
  <c r="M11" i="56"/>
  <c r="N11" i="56"/>
  <c r="O11" i="56"/>
  <c r="P11" i="56"/>
  <c r="Q11" i="56"/>
  <c r="R11" i="56"/>
  <c r="S11" i="56"/>
  <c r="T11" i="56"/>
  <c r="U11" i="56"/>
  <c r="V11" i="56"/>
  <c r="W11" i="56"/>
  <c r="X11" i="56"/>
  <c r="Y11" i="56"/>
  <c r="Z11" i="56"/>
  <c r="AA11" i="56"/>
  <c r="AB11" i="56"/>
  <c r="AC11" i="56"/>
  <c r="AD11" i="56"/>
  <c r="AE11" i="56"/>
  <c r="AF11" i="56"/>
  <c r="AG11" i="56"/>
  <c r="AH11" i="56"/>
  <c r="AI11" i="56"/>
  <c r="AJ11" i="56"/>
  <c r="AK11" i="56"/>
  <c r="AL11" i="56"/>
  <c r="AM11" i="56"/>
  <c r="D12" i="56"/>
  <c r="E12" i="56"/>
  <c r="F12" i="56"/>
  <c r="G12" i="56"/>
  <c r="H12" i="56"/>
  <c r="I12" i="56"/>
  <c r="J12" i="56"/>
  <c r="K12" i="56"/>
  <c r="L12" i="56"/>
  <c r="M12" i="56"/>
  <c r="N12" i="56"/>
  <c r="O12" i="56"/>
  <c r="P12" i="56"/>
  <c r="Q12" i="56"/>
  <c r="R12" i="56"/>
  <c r="S12" i="56"/>
  <c r="T12" i="56"/>
  <c r="U12" i="56"/>
  <c r="V12" i="56"/>
  <c r="W12" i="56"/>
  <c r="X12" i="56"/>
  <c r="Y12" i="56"/>
  <c r="Z12" i="56"/>
  <c r="AA12" i="56"/>
  <c r="AB12" i="56"/>
  <c r="AC12" i="56"/>
  <c r="AD12" i="56"/>
  <c r="AE12" i="56"/>
  <c r="AF12" i="56"/>
  <c r="AG12" i="56"/>
  <c r="AH12" i="56"/>
  <c r="AI12" i="56"/>
  <c r="AJ12" i="56"/>
  <c r="AK12" i="56"/>
  <c r="AL12" i="56"/>
  <c r="AM12" i="56"/>
  <c r="D13" i="56"/>
  <c r="E13" i="56"/>
  <c r="F13" i="56"/>
  <c r="G13" i="56"/>
  <c r="H13" i="56"/>
  <c r="I13" i="56"/>
  <c r="J13" i="56"/>
  <c r="K13" i="56"/>
  <c r="L13" i="56"/>
  <c r="M13" i="56"/>
  <c r="N13" i="56"/>
  <c r="O13" i="56"/>
  <c r="P13" i="56"/>
  <c r="Q13" i="56"/>
  <c r="R13" i="56"/>
  <c r="S13" i="56"/>
  <c r="T13" i="56"/>
  <c r="U13" i="56"/>
  <c r="V13" i="56"/>
  <c r="W13" i="56"/>
  <c r="X13" i="56"/>
  <c r="Y13" i="56"/>
  <c r="Z13" i="56"/>
  <c r="AA13" i="56"/>
  <c r="AB13" i="56"/>
  <c r="AC13" i="56"/>
  <c r="AD13" i="56"/>
  <c r="AE13" i="56"/>
  <c r="AF13" i="56"/>
  <c r="AG13" i="56"/>
  <c r="AH13" i="56"/>
  <c r="AI13" i="56"/>
  <c r="AJ13" i="56"/>
  <c r="AK13" i="56"/>
  <c r="AL13" i="56"/>
  <c r="AM13" i="56"/>
  <c r="D14" i="56"/>
  <c r="E14" i="56"/>
  <c r="F14" i="56"/>
  <c r="G14" i="56"/>
  <c r="H14" i="56"/>
  <c r="I14" i="56"/>
  <c r="J14" i="56"/>
  <c r="K14" i="56"/>
  <c r="L14" i="56"/>
  <c r="M14" i="56"/>
  <c r="N14" i="56"/>
  <c r="O14" i="56"/>
  <c r="P14" i="56"/>
  <c r="Q14" i="56"/>
  <c r="R14" i="56"/>
  <c r="S14" i="56"/>
  <c r="T14" i="56"/>
  <c r="U14" i="56"/>
  <c r="V14" i="56"/>
  <c r="W14" i="56"/>
  <c r="X14" i="56"/>
  <c r="Y14" i="56"/>
  <c r="Z14" i="56"/>
  <c r="AA14" i="56"/>
  <c r="AB14" i="56"/>
  <c r="AC14" i="56"/>
  <c r="AD14" i="56"/>
  <c r="AE14" i="56"/>
  <c r="AF14" i="56"/>
  <c r="AG14" i="56"/>
  <c r="AH14" i="56"/>
  <c r="AI14" i="56"/>
  <c r="AJ14" i="56"/>
  <c r="AK14" i="56"/>
  <c r="AL14" i="56"/>
  <c r="AM14" i="56"/>
  <c r="D15" i="56"/>
  <c r="E15" i="56"/>
  <c r="F15" i="56"/>
  <c r="G15" i="56"/>
  <c r="H15" i="56"/>
  <c r="I15" i="56"/>
  <c r="J15" i="56"/>
  <c r="K15" i="56"/>
  <c r="L15" i="56"/>
  <c r="M15" i="56"/>
  <c r="N15" i="56"/>
  <c r="O15" i="56"/>
  <c r="P15" i="56"/>
  <c r="Q15" i="56"/>
  <c r="R15" i="56"/>
  <c r="S15" i="56"/>
  <c r="T15" i="56"/>
  <c r="U15" i="56"/>
  <c r="V15" i="56"/>
  <c r="W15" i="56"/>
  <c r="X15" i="56"/>
  <c r="Y15" i="56"/>
  <c r="Z15" i="56"/>
  <c r="AA15" i="56"/>
  <c r="AB15" i="56"/>
  <c r="AC15" i="56"/>
  <c r="AD15" i="56"/>
  <c r="AE15" i="56"/>
  <c r="AF15" i="56"/>
  <c r="AG15" i="56"/>
  <c r="AH15" i="56"/>
  <c r="AI15" i="56"/>
  <c r="AJ15" i="56"/>
  <c r="AK15" i="56"/>
  <c r="AL15" i="56"/>
  <c r="AM15" i="56"/>
  <c r="D16" i="56"/>
  <c r="E16" i="56"/>
  <c r="F16" i="56"/>
  <c r="G16" i="56"/>
  <c r="H16" i="56"/>
  <c r="I16" i="56"/>
  <c r="J16" i="56"/>
  <c r="K16" i="56"/>
  <c r="L16" i="56"/>
  <c r="M16" i="56"/>
  <c r="N16" i="56"/>
  <c r="O16" i="56"/>
  <c r="P16" i="56"/>
  <c r="Q16" i="56"/>
  <c r="R16" i="56"/>
  <c r="S16" i="56"/>
  <c r="T16" i="56"/>
  <c r="U16" i="56"/>
  <c r="V16" i="56"/>
  <c r="W16" i="56"/>
  <c r="X16" i="56"/>
  <c r="Y16" i="56"/>
  <c r="Z16" i="56"/>
  <c r="AA16" i="56"/>
  <c r="AB16" i="56"/>
  <c r="AC16" i="56"/>
  <c r="AD16" i="56"/>
  <c r="AE16" i="56"/>
  <c r="AF16" i="56"/>
  <c r="AG16" i="56"/>
  <c r="AH16" i="56"/>
  <c r="AI16" i="56"/>
  <c r="AJ16" i="56"/>
  <c r="AK16" i="56"/>
  <c r="AL16" i="56"/>
  <c r="AM16" i="56"/>
  <c r="D17" i="56"/>
  <c r="E17" i="56"/>
  <c r="F17" i="56"/>
  <c r="G17" i="56"/>
  <c r="H17" i="56"/>
  <c r="I17" i="56"/>
  <c r="J17" i="56"/>
  <c r="K17" i="56"/>
  <c r="L17" i="56"/>
  <c r="M17" i="56"/>
  <c r="N17" i="56"/>
  <c r="O17" i="56"/>
  <c r="P17" i="56"/>
  <c r="Q17" i="56"/>
  <c r="R17" i="56"/>
  <c r="S17" i="56"/>
  <c r="T17" i="56"/>
  <c r="U17" i="56"/>
  <c r="V17" i="56"/>
  <c r="W17" i="56"/>
  <c r="X17" i="56"/>
  <c r="Y17" i="56"/>
  <c r="Z17" i="56"/>
  <c r="AA17" i="56"/>
  <c r="AB17" i="56"/>
  <c r="AC17" i="56"/>
  <c r="AD17" i="56"/>
  <c r="AE17" i="56"/>
  <c r="AF17" i="56"/>
  <c r="AG17" i="56"/>
  <c r="AH17" i="56"/>
  <c r="AI17" i="56"/>
  <c r="AJ17" i="56"/>
  <c r="AK17" i="56"/>
  <c r="AL17" i="56"/>
  <c r="AM17" i="56"/>
  <c r="D18" i="56"/>
  <c r="E18" i="56"/>
  <c r="F18" i="56"/>
  <c r="G18" i="56"/>
  <c r="H18" i="56"/>
  <c r="I18" i="56"/>
  <c r="J18" i="56"/>
  <c r="K18" i="56"/>
  <c r="L18" i="56"/>
  <c r="M18" i="56"/>
  <c r="N18" i="56"/>
  <c r="O18" i="56"/>
  <c r="P18" i="56"/>
  <c r="Q18" i="56"/>
  <c r="R18" i="56"/>
  <c r="S18" i="56"/>
  <c r="T18" i="56"/>
  <c r="U18" i="56"/>
  <c r="V18" i="56"/>
  <c r="W18" i="56"/>
  <c r="X18" i="56"/>
  <c r="Y18" i="56"/>
  <c r="Z18" i="56"/>
  <c r="AA18" i="56"/>
  <c r="AB18" i="56"/>
  <c r="AC18" i="56"/>
  <c r="AD18" i="56"/>
  <c r="AE18" i="56"/>
  <c r="AF18" i="56"/>
  <c r="AG18" i="56"/>
  <c r="AH18" i="56"/>
  <c r="AI18" i="56"/>
  <c r="AJ18" i="56"/>
  <c r="AK18" i="56"/>
  <c r="AL18" i="56"/>
  <c r="AM18" i="56"/>
  <c r="D19" i="56"/>
  <c r="E19" i="56"/>
  <c r="F19" i="56"/>
  <c r="G19" i="56"/>
  <c r="H19" i="56"/>
  <c r="I19" i="56"/>
  <c r="J19" i="56"/>
  <c r="K19" i="56"/>
  <c r="L19" i="56"/>
  <c r="M19" i="56"/>
  <c r="N19" i="56"/>
  <c r="O19" i="56"/>
  <c r="P19" i="56"/>
  <c r="Q19" i="56"/>
  <c r="R19" i="56"/>
  <c r="S19" i="56"/>
  <c r="T19" i="56"/>
  <c r="U19" i="56"/>
  <c r="V19" i="56"/>
  <c r="W19" i="56"/>
  <c r="X19" i="56"/>
  <c r="Y19" i="56"/>
  <c r="Z19" i="56"/>
  <c r="AA19" i="56"/>
  <c r="AB19" i="56"/>
  <c r="AC19" i="56"/>
  <c r="AD19" i="56"/>
  <c r="AE19" i="56"/>
  <c r="AF19" i="56"/>
  <c r="AG19" i="56"/>
  <c r="AH19" i="56"/>
  <c r="AI19" i="56"/>
  <c r="AJ19" i="56"/>
  <c r="AK19" i="56"/>
  <c r="AL19" i="56"/>
  <c r="AM19" i="56"/>
  <c r="D20" i="56"/>
  <c r="E20" i="56"/>
  <c r="F20" i="56"/>
  <c r="G20" i="56"/>
  <c r="H20" i="56"/>
  <c r="I20" i="56"/>
  <c r="J20" i="56"/>
  <c r="K20" i="56"/>
  <c r="L20" i="56"/>
  <c r="M20" i="56"/>
  <c r="N20" i="56"/>
  <c r="O20" i="56"/>
  <c r="P20" i="56"/>
  <c r="Q20" i="56"/>
  <c r="R20" i="56"/>
  <c r="S20" i="56"/>
  <c r="T20" i="56"/>
  <c r="U20" i="56"/>
  <c r="V20" i="56"/>
  <c r="W20" i="56"/>
  <c r="X20" i="56"/>
  <c r="Y20" i="56"/>
  <c r="Z20" i="56"/>
  <c r="AA20" i="56"/>
  <c r="AB20" i="56"/>
  <c r="AC20" i="56"/>
  <c r="AD20" i="56"/>
  <c r="AE20" i="56"/>
  <c r="AF20" i="56"/>
  <c r="AG20" i="56"/>
  <c r="AH20" i="56"/>
  <c r="AI20" i="56"/>
  <c r="AJ20" i="56"/>
  <c r="AK20" i="56"/>
  <c r="AL20" i="56"/>
  <c r="AM20" i="56"/>
  <c r="D21" i="56"/>
  <c r="E21" i="56"/>
  <c r="F21" i="56"/>
  <c r="G21" i="56"/>
  <c r="H21" i="56"/>
  <c r="I21" i="56"/>
  <c r="J21" i="56"/>
  <c r="K21" i="56"/>
  <c r="L21" i="56"/>
  <c r="M21" i="56"/>
  <c r="N21" i="56"/>
  <c r="O21" i="56"/>
  <c r="P21" i="56"/>
  <c r="Q21" i="56"/>
  <c r="R21" i="56"/>
  <c r="S21" i="56"/>
  <c r="T21" i="56"/>
  <c r="U21" i="56"/>
  <c r="V21" i="56"/>
  <c r="W21" i="56"/>
  <c r="X21" i="56"/>
  <c r="Y21" i="56"/>
  <c r="Z21" i="56"/>
  <c r="AA21" i="56"/>
  <c r="AB21" i="56"/>
  <c r="AC21" i="56"/>
  <c r="AD21" i="56"/>
  <c r="AE21" i="56"/>
  <c r="AF21" i="56"/>
  <c r="AG21" i="56"/>
  <c r="AH21" i="56"/>
  <c r="AI21" i="56"/>
  <c r="AJ21" i="56"/>
  <c r="AK21" i="56"/>
  <c r="AL21" i="56"/>
  <c r="AM21" i="56"/>
  <c r="D22" i="56"/>
  <c r="E22" i="56"/>
  <c r="F22" i="56"/>
  <c r="G22" i="56"/>
  <c r="H22" i="56"/>
  <c r="I22" i="56"/>
  <c r="J22" i="56"/>
  <c r="K22" i="56"/>
  <c r="L22" i="56"/>
  <c r="M22" i="56"/>
  <c r="N22" i="56"/>
  <c r="O22" i="56"/>
  <c r="P22" i="56"/>
  <c r="Q22" i="56"/>
  <c r="R22" i="56"/>
  <c r="S22" i="56"/>
  <c r="T22" i="56"/>
  <c r="U22" i="56"/>
  <c r="V22" i="56"/>
  <c r="W22" i="56"/>
  <c r="X22" i="56"/>
  <c r="Y22" i="56"/>
  <c r="Z22" i="56"/>
  <c r="AA22" i="56"/>
  <c r="AB22" i="56"/>
  <c r="AC22" i="56"/>
  <c r="AD22" i="56"/>
  <c r="AE22" i="56"/>
  <c r="AF22" i="56"/>
  <c r="AG22" i="56"/>
  <c r="AH22" i="56"/>
  <c r="AI22" i="56"/>
  <c r="AJ22" i="56"/>
  <c r="AK22" i="56"/>
  <c r="AL22" i="56"/>
  <c r="AM22" i="56"/>
  <c r="D23" i="56"/>
  <c r="E23" i="56"/>
  <c r="F23" i="56"/>
  <c r="G23" i="56"/>
  <c r="H23" i="56"/>
  <c r="I23" i="56"/>
  <c r="J23" i="56"/>
  <c r="K23" i="56"/>
  <c r="L23" i="56"/>
  <c r="M23" i="56"/>
  <c r="N23" i="56"/>
  <c r="O23" i="56"/>
  <c r="P23" i="56"/>
  <c r="Q23" i="56"/>
  <c r="R23" i="56"/>
  <c r="S23" i="56"/>
  <c r="T23" i="56"/>
  <c r="U23" i="56"/>
  <c r="V23" i="56"/>
  <c r="W23" i="56"/>
  <c r="X23" i="56"/>
  <c r="Y23" i="56"/>
  <c r="Z23" i="56"/>
  <c r="AA23" i="56"/>
  <c r="AB23" i="56"/>
  <c r="AC23" i="56"/>
  <c r="AD23" i="56"/>
  <c r="AE23" i="56"/>
  <c r="AF23" i="56"/>
  <c r="AG23" i="56"/>
  <c r="AH23" i="56"/>
  <c r="AI23" i="56"/>
  <c r="AJ23" i="56"/>
  <c r="AK23" i="56"/>
  <c r="AL23" i="56"/>
  <c r="AM23" i="56"/>
  <c r="D24" i="56"/>
  <c r="E24" i="56"/>
  <c r="F24" i="56"/>
  <c r="G24" i="56"/>
  <c r="H24" i="56"/>
  <c r="I24" i="56"/>
  <c r="J24" i="56"/>
  <c r="K24" i="56"/>
  <c r="L24" i="56"/>
  <c r="M24" i="56"/>
  <c r="N24" i="56"/>
  <c r="O24" i="56"/>
  <c r="P24" i="56"/>
  <c r="Q24" i="56"/>
  <c r="R24" i="56"/>
  <c r="S24" i="56"/>
  <c r="T24" i="56"/>
  <c r="U24" i="56"/>
  <c r="V24" i="56"/>
  <c r="W24" i="56"/>
  <c r="X24" i="56"/>
  <c r="Y24" i="56"/>
  <c r="Z24" i="56"/>
  <c r="AA24" i="56"/>
  <c r="AB24" i="56"/>
  <c r="AC24" i="56"/>
  <c r="AD24" i="56"/>
  <c r="AE24" i="56"/>
  <c r="AF24" i="56"/>
  <c r="AG24" i="56"/>
  <c r="AH24" i="56"/>
  <c r="AI24" i="56"/>
  <c r="AJ24" i="56"/>
  <c r="AK24" i="56"/>
  <c r="AL24" i="56"/>
  <c r="AM24" i="56"/>
  <c r="D25" i="56"/>
  <c r="E25" i="56"/>
  <c r="F25" i="56"/>
  <c r="G25" i="56"/>
  <c r="H25" i="56"/>
  <c r="I25" i="56"/>
  <c r="J25" i="56"/>
  <c r="K25" i="56"/>
  <c r="L25" i="56"/>
  <c r="M25" i="56"/>
  <c r="N25" i="56"/>
  <c r="O25" i="56"/>
  <c r="P25" i="56"/>
  <c r="Q25" i="56"/>
  <c r="R25" i="56"/>
  <c r="S25" i="56"/>
  <c r="T25" i="56"/>
  <c r="U25" i="56"/>
  <c r="V25" i="56"/>
  <c r="W25" i="56"/>
  <c r="X25" i="56"/>
  <c r="Y25" i="56"/>
  <c r="Z25" i="56"/>
  <c r="AA25" i="56"/>
  <c r="AB25" i="56"/>
  <c r="AC25" i="56"/>
  <c r="AD25" i="56"/>
  <c r="AE25" i="56"/>
  <c r="AF25" i="56"/>
  <c r="AG25" i="56"/>
  <c r="AH25" i="56"/>
  <c r="AI25" i="56"/>
  <c r="AJ25" i="56"/>
  <c r="AK25" i="56"/>
  <c r="AL25" i="56"/>
  <c r="AM25" i="56"/>
  <c r="D26" i="56"/>
  <c r="E26" i="56"/>
  <c r="F26" i="56"/>
  <c r="G26" i="56"/>
  <c r="H26" i="56"/>
  <c r="I26" i="56"/>
  <c r="J26" i="56"/>
  <c r="K26" i="56"/>
  <c r="L26" i="56"/>
  <c r="M26" i="56"/>
  <c r="N26" i="56"/>
  <c r="O26" i="56"/>
  <c r="P26" i="56"/>
  <c r="Q26" i="56"/>
  <c r="R26" i="56"/>
  <c r="S26" i="56"/>
  <c r="T26" i="56"/>
  <c r="U26" i="56"/>
  <c r="V26" i="56"/>
  <c r="W26" i="56"/>
  <c r="X26" i="56"/>
  <c r="Y26" i="56"/>
  <c r="Z26" i="56"/>
  <c r="AA26" i="56"/>
  <c r="AB26" i="56"/>
  <c r="AC26" i="56"/>
  <c r="AD26" i="56"/>
  <c r="AE26" i="56"/>
  <c r="AF26" i="56"/>
  <c r="AG26" i="56"/>
  <c r="AH26" i="56"/>
  <c r="AI26" i="56"/>
  <c r="AJ26" i="56"/>
  <c r="AK26" i="56"/>
  <c r="AL26" i="56"/>
  <c r="AM26" i="56"/>
  <c r="D27" i="56"/>
  <c r="E27" i="56"/>
  <c r="F27" i="56"/>
  <c r="G27" i="56"/>
  <c r="H27" i="56"/>
  <c r="I27" i="56"/>
  <c r="J27" i="56"/>
  <c r="K27" i="56"/>
  <c r="L27" i="56"/>
  <c r="M27" i="56"/>
  <c r="N27" i="56"/>
  <c r="O27" i="56"/>
  <c r="P27" i="56"/>
  <c r="Q27" i="56"/>
  <c r="R27" i="56"/>
  <c r="S27" i="56"/>
  <c r="T27" i="56"/>
  <c r="U27" i="56"/>
  <c r="V27" i="56"/>
  <c r="W27" i="56"/>
  <c r="X27" i="56"/>
  <c r="Y27" i="56"/>
  <c r="Z27" i="56"/>
  <c r="AA27" i="56"/>
  <c r="AB27" i="56"/>
  <c r="AC27" i="56"/>
  <c r="AD27" i="56"/>
  <c r="AE27" i="56"/>
  <c r="AF27" i="56"/>
  <c r="AG27" i="56"/>
  <c r="AH27" i="56"/>
  <c r="AI27" i="56"/>
  <c r="AJ27" i="56"/>
  <c r="AK27" i="56"/>
  <c r="AL27" i="56"/>
  <c r="AM27" i="56"/>
  <c r="D28" i="56"/>
  <c r="E28" i="56"/>
  <c r="F28" i="56"/>
  <c r="G28" i="56"/>
  <c r="H28" i="56"/>
  <c r="I28" i="56"/>
  <c r="J28" i="56"/>
  <c r="K28" i="56"/>
  <c r="L28" i="56"/>
  <c r="M28" i="56"/>
  <c r="N28" i="56"/>
  <c r="O28" i="56"/>
  <c r="P28" i="56"/>
  <c r="Q28" i="56"/>
  <c r="R28" i="56"/>
  <c r="S28" i="56"/>
  <c r="T28" i="56"/>
  <c r="U28" i="56"/>
  <c r="V28" i="56"/>
  <c r="W28" i="56"/>
  <c r="X28" i="56"/>
  <c r="Y28" i="56"/>
  <c r="Z28" i="56"/>
  <c r="AA28" i="56"/>
  <c r="AB28" i="56"/>
  <c r="AC28" i="56"/>
  <c r="AD28" i="56"/>
  <c r="AE28" i="56"/>
  <c r="AF28" i="56"/>
  <c r="AG28" i="56"/>
  <c r="AH28" i="56"/>
  <c r="AI28" i="56"/>
  <c r="AJ28" i="56"/>
  <c r="AK28" i="56"/>
  <c r="AL28" i="56"/>
  <c r="AM28" i="56"/>
  <c r="D29" i="56"/>
  <c r="E29" i="56"/>
  <c r="F29" i="56"/>
  <c r="G29" i="56"/>
  <c r="H29" i="56"/>
  <c r="I29" i="56"/>
  <c r="J29" i="56"/>
  <c r="K29" i="56"/>
  <c r="L29" i="56"/>
  <c r="M29" i="56"/>
  <c r="N29" i="56"/>
  <c r="O29" i="56"/>
  <c r="P29" i="56"/>
  <c r="Q29" i="56"/>
  <c r="R29" i="56"/>
  <c r="S29" i="56"/>
  <c r="T29" i="56"/>
  <c r="U29" i="56"/>
  <c r="V29" i="56"/>
  <c r="W29" i="56"/>
  <c r="X29" i="56"/>
  <c r="Y29" i="56"/>
  <c r="Z29" i="56"/>
  <c r="AA29" i="56"/>
  <c r="AB29" i="56"/>
  <c r="AC29" i="56"/>
  <c r="AD29" i="56"/>
  <c r="AE29" i="56"/>
  <c r="AF29" i="56"/>
  <c r="AG29" i="56"/>
  <c r="AH29" i="56"/>
  <c r="AI29" i="56"/>
  <c r="AJ29" i="56"/>
  <c r="AK29" i="56"/>
  <c r="AL29" i="56"/>
  <c r="AM29" i="56"/>
  <c r="D30" i="56"/>
  <c r="E30" i="56"/>
  <c r="F30" i="56"/>
  <c r="G30" i="56"/>
  <c r="H30" i="56"/>
  <c r="I30" i="56"/>
  <c r="J30" i="56"/>
  <c r="K30" i="56"/>
  <c r="L30" i="56"/>
  <c r="M30" i="56"/>
  <c r="N30" i="56"/>
  <c r="O30" i="56"/>
  <c r="P30" i="56"/>
  <c r="Q30" i="56"/>
  <c r="R30" i="56"/>
  <c r="S30" i="56"/>
  <c r="T30" i="56"/>
  <c r="U30" i="56"/>
  <c r="V30" i="56"/>
  <c r="W30" i="56"/>
  <c r="X30" i="56"/>
  <c r="Y30" i="56"/>
  <c r="Z30" i="56"/>
  <c r="AA30" i="56"/>
  <c r="AB30" i="56"/>
  <c r="AC30" i="56"/>
  <c r="AD30" i="56"/>
  <c r="AE30" i="56"/>
  <c r="AF30" i="56"/>
  <c r="AG30" i="56"/>
  <c r="AH30" i="56"/>
  <c r="AI30" i="56"/>
  <c r="AJ30" i="56"/>
  <c r="AK30" i="56"/>
  <c r="AL30" i="56"/>
  <c r="AM30" i="56"/>
  <c r="D31" i="56"/>
  <c r="E31" i="56"/>
  <c r="F31" i="56"/>
  <c r="G31" i="56"/>
  <c r="H31" i="56"/>
  <c r="I31" i="56"/>
  <c r="J31" i="56"/>
  <c r="K31" i="56"/>
  <c r="L31" i="56"/>
  <c r="M31" i="56"/>
  <c r="N31" i="56"/>
  <c r="O31" i="56"/>
  <c r="P31" i="56"/>
  <c r="Q31" i="56"/>
  <c r="R31" i="56"/>
  <c r="S31" i="56"/>
  <c r="T31" i="56"/>
  <c r="U31" i="56"/>
  <c r="V31" i="56"/>
  <c r="W31" i="56"/>
  <c r="X31" i="56"/>
  <c r="Y31" i="56"/>
  <c r="Z31" i="56"/>
  <c r="AA31" i="56"/>
  <c r="AB31" i="56"/>
  <c r="AC31" i="56"/>
  <c r="AD31" i="56"/>
  <c r="AE31" i="56"/>
  <c r="AF31" i="56"/>
  <c r="AG31" i="56"/>
  <c r="AH31" i="56"/>
  <c r="AI31" i="56"/>
  <c r="AJ31" i="56"/>
  <c r="AK31" i="56"/>
  <c r="AL31" i="56"/>
  <c r="AM31" i="56"/>
  <c r="D32" i="56"/>
  <c r="E32" i="56"/>
  <c r="F32" i="56"/>
  <c r="G32" i="56"/>
  <c r="H32" i="56"/>
  <c r="I32" i="56"/>
  <c r="J32" i="56"/>
  <c r="K32" i="56"/>
  <c r="L32" i="56"/>
  <c r="M32" i="56"/>
  <c r="N32" i="56"/>
  <c r="O32" i="56"/>
  <c r="P32" i="56"/>
  <c r="Q32" i="56"/>
  <c r="R32" i="56"/>
  <c r="S32" i="56"/>
  <c r="T32" i="56"/>
  <c r="U32" i="56"/>
  <c r="V32" i="56"/>
  <c r="W32" i="56"/>
  <c r="X32" i="56"/>
  <c r="Y32" i="56"/>
  <c r="Z32" i="56"/>
  <c r="AA32" i="56"/>
  <c r="AB32" i="56"/>
  <c r="AC32" i="56"/>
  <c r="AD32" i="56"/>
  <c r="AE32" i="56"/>
  <c r="AF32" i="56"/>
  <c r="AG32" i="56"/>
  <c r="AH32" i="56"/>
  <c r="AI32" i="56"/>
  <c r="AJ32" i="56"/>
  <c r="AK32" i="56"/>
  <c r="AL32" i="56"/>
  <c r="AM32" i="56"/>
  <c r="D33" i="56"/>
  <c r="E33" i="56"/>
  <c r="F33" i="56"/>
  <c r="G33" i="56"/>
  <c r="H33" i="56"/>
  <c r="I33" i="56"/>
  <c r="J33" i="56"/>
  <c r="K33" i="56"/>
  <c r="L33" i="56"/>
  <c r="M33" i="56"/>
  <c r="N33" i="56"/>
  <c r="O33" i="56"/>
  <c r="P33" i="56"/>
  <c r="Q33" i="56"/>
  <c r="R33" i="56"/>
  <c r="S33" i="56"/>
  <c r="T33" i="56"/>
  <c r="U33" i="56"/>
  <c r="V33" i="56"/>
  <c r="W33" i="56"/>
  <c r="X33" i="56"/>
  <c r="Y33" i="56"/>
  <c r="Z33" i="56"/>
  <c r="AA33" i="56"/>
  <c r="AB33" i="56"/>
  <c r="AC33" i="56"/>
  <c r="AD33" i="56"/>
  <c r="AE33" i="56"/>
  <c r="AF33" i="56"/>
  <c r="AG33" i="56"/>
  <c r="AH33" i="56"/>
  <c r="AI33" i="56"/>
  <c r="AJ33" i="56"/>
  <c r="AK33" i="56"/>
  <c r="AL33" i="56"/>
  <c r="AM33" i="56"/>
  <c r="D34" i="56"/>
  <c r="E34" i="56"/>
  <c r="F34" i="56"/>
  <c r="G34" i="56"/>
  <c r="H34" i="56"/>
  <c r="I34" i="56"/>
  <c r="J34" i="56"/>
  <c r="K34" i="56"/>
  <c r="L34" i="56"/>
  <c r="M34" i="56"/>
  <c r="N34" i="56"/>
  <c r="O34" i="56"/>
  <c r="P34" i="56"/>
  <c r="Q34" i="56"/>
  <c r="R34" i="56"/>
  <c r="S34" i="56"/>
  <c r="T34" i="56"/>
  <c r="U34" i="56"/>
  <c r="V34" i="56"/>
  <c r="W34" i="56"/>
  <c r="X34" i="56"/>
  <c r="Y34" i="56"/>
  <c r="Z34" i="56"/>
  <c r="AA34" i="56"/>
  <c r="AB34" i="56"/>
  <c r="AC34" i="56"/>
  <c r="AD34" i="56"/>
  <c r="AE34" i="56"/>
  <c r="AF34" i="56"/>
  <c r="AG34" i="56"/>
  <c r="AH34" i="56"/>
  <c r="AI34" i="56"/>
  <c r="AJ34" i="56"/>
  <c r="AK34" i="56"/>
  <c r="AL34" i="56"/>
  <c r="AM34" i="56"/>
  <c r="D35" i="56"/>
  <c r="E35" i="56"/>
  <c r="F35" i="56"/>
  <c r="G35" i="56"/>
  <c r="H35" i="56"/>
  <c r="I35" i="56"/>
  <c r="J35" i="56"/>
  <c r="K35" i="56"/>
  <c r="L35" i="56"/>
  <c r="M35" i="56"/>
  <c r="N35" i="56"/>
  <c r="O35" i="56"/>
  <c r="P35" i="56"/>
  <c r="Q35" i="56"/>
  <c r="R35" i="56"/>
  <c r="S35" i="56"/>
  <c r="T35" i="56"/>
  <c r="U35" i="56"/>
  <c r="V35" i="56"/>
  <c r="W35" i="56"/>
  <c r="X35" i="56"/>
  <c r="Y35" i="56"/>
  <c r="Z35" i="56"/>
  <c r="AA35" i="56"/>
  <c r="AB35" i="56"/>
  <c r="AC35" i="56"/>
  <c r="AD35" i="56"/>
  <c r="AE35" i="56"/>
  <c r="AF35" i="56"/>
  <c r="AG35" i="56"/>
  <c r="AH35" i="56"/>
  <c r="AI35" i="56"/>
  <c r="AJ35" i="56"/>
  <c r="AK35" i="56"/>
  <c r="AL35" i="56"/>
  <c r="AM35" i="56"/>
  <c r="D36" i="56"/>
  <c r="E36" i="56"/>
  <c r="F36" i="56"/>
  <c r="G36" i="56"/>
  <c r="H36" i="56"/>
  <c r="I36" i="56"/>
  <c r="J36" i="56"/>
  <c r="K36" i="56"/>
  <c r="L36" i="56"/>
  <c r="M36" i="56"/>
  <c r="N36" i="56"/>
  <c r="O36" i="56"/>
  <c r="P36" i="56"/>
  <c r="Q36" i="56"/>
  <c r="R36" i="56"/>
  <c r="S36" i="56"/>
  <c r="T36" i="56"/>
  <c r="U36" i="56"/>
  <c r="V36" i="56"/>
  <c r="W36" i="56"/>
  <c r="X36" i="56"/>
  <c r="Y36" i="56"/>
  <c r="Z36" i="56"/>
  <c r="AA36" i="56"/>
  <c r="AB36" i="56"/>
  <c r="AC36" i="56"/>
  <c r="AD36" i="56"/>
  <c r="AE36" i="56"/>
  <c r="AF36" i="56"/>
  <c r="AG36" i="56"/>
  <c r="AH36" i="56"/>
  <c r="AI36" i="56"/>
  <c r="AJ36" i="56"/>
  <c r="AK36" i="56"/>
  <c r="AL36" i="56"/>
  <c r="AM36" i="56"/>
  <c r="D37" i="56"/>
  <c r="E37" i="56"/>
  <c r="F37" i="56"/>
  <c r="G37" i="56"/>
  <c r="H37" i="56"/>
  <c r="I37" i="56"/>
  <c r="J37" i="56"/>
  <c r="K37" i="56"/>
  <c r="L37" i="56"/>
  <c r="M37" i="56"/>
  <c r="N37" i="56"/>
  <c r="O37" i="56"/>
  <c r="P37" i="56"/>
  <c r="Q37" i="56"/>
  <c r="R37" i="56"/>
  <c r="S37" i="56"/>
  <c r="T37" i="56"/>
  <c r="U37" i="56"/>
  <c r="V37" i="56"/>
  <c r="W37" i="56"/>
  <c r="X37" i="56"/>
  <c r="Y37" i="56"/>
  <c r="Z37" i="56"/>
  <c r="AA37" i="56"/>
  <c r="AB37" i="56"/>
  <c r="AC37" i="56"/>
  <c r="AD37" i="56"/>
  <c r="AE37" i="56"/>
  <c r="AF37" i="56"/>
  <c r="AG37" i="56"/>
  <c r="AH37" i="56"/>
  <c r="AI37" i="56"/>
  <c r="AJ37" i="56"/>
  <c r="AK37" i="56"/>
  <c r="AL37" i="56"/>
  <c r="AM37" i="56"/>
  <c r="D38" i="56"/>
  <c r="E38" i="56"/>
  <c r="F38" i="56"/>
  <c r="G38" i="56"/>
  <c r="H38" i="56"/>
  <c r="I38" i="56"/>
  <c r="J38" i="56"/>
  <c r="K38" i="56"/>
  <c r="L38" i="56"/>
  <c r="M38" i="56"/>
  <c r="N38" i="56"/>
  <c r="O38" i="56"/>
  <c r="P38" i="56"/>
  <c r="Q38" i="56"/>
  <c r="R38" i="56"/>
  <c r="S38" i="56"/>
  <c r="T38" i="56"/>
  <c r="U38" i="56"/>
  <c r="V38" i="56"/>
  <c r="W38" i="56"/>
  <c r="X38" i="56"/>
  <c r="Y38" i="56"/>
  <c r="Z38" i="56"/>
  <c r="AA38" i="56"/>
  <c r="AB38" i="56"/>
  <c r="AC38" i="56"/>
  <c r="AD38" i="56"/>
  <c r="AE38" i="56"/>
  <c r="AF38" i="56"/>
  <c r="AG38" i="56"/>
  <c r="AH38" i="56"/>
  <c r="AI38" i="56"/>
  <c r="AJ38" i="56"/>
  <c r="AK38" i="56"/>
  <c r="AL38" i="56"/>
  <c r="AM38" i="56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D40" i="56"/>
  <c r="E40" i="56"/>
  <c r="F40" i="56"/>
  <c r="G40" i="56"/>
  <c r="H40" i="56"/>
  <c r="I40" i="56"/>
  <c r="J40" i="56"/>
  <c r="K40" i="56"/>
  <c r="L40" i="56"/>
  <c r="M40" i="56"/>
  <c r="N40" i="56"/>
  <c r="O40" i="56"/>
  <c r="P40" i="56"/>
  <c r="Q40" i="56"/>
  <c r="R40" i="56"/>
  <c r="S40" i="56"/>
  <c r="T40" i="56"/>
  <c r="U40" i="56"/>
  <c r="V40" i="56"/>
  <c r="W40" i="56"/>
  <c r="X40" i="56"/>
  <c r="Y40" i="56"/>
  <c r="Z40" i="56"/>
  <c r="AA40" i="56"/>
  <c r="AB40" i="56"/>
  <c r="AC40" i="56"/>
  <c r="AD40" i="56"/>
  <c r="AE40" i="56"/>
  <c r="AF40" i="56"/>
  <c r="AG40" i="56"/>
  <c r="AH40" i="56"/>
  <c r="AI40" i="56"/>
  <c r="AJ40" i="56"/>
  <c r="AK40" i="56"/>
  <c r="AL40" i="56"/>
  <c r="AM40" i="56"/>
  <c r="D41" i="56"/>
  <c r="E41" i="56"/>
  <c r="F41" i="56"/>
  <c r="G41" i="56"/>
  <c r="H41" i="56"/>
  <c r="I41" i="56"/>
  <c r="J41" i="56"/>
  <c r="K41" i="56"/>
  <c r="L41" i="56"/>
  <c r="M41" i="56"/>
  <c r="N41" i="56"/>
  <c r="O41" i="56"/>
  <c r="P41" i="56"/>
  <c r="Q41" i="56"/>
  <c r="R41" i="56"/>
  <c r="S41" i="56"/>
  <c r="T41" i="56"/>
  <c r="U41" i="56"/>
  <c r="V41" i="56"/>
  <c r="W41" i="56"/>
  <c r="X41" i="56"/>
  <c r="Y41" i="56"/>
  <c r="Z41" i="56"/>
  <c r="AA41" i="56"/>
  <c r="AB41" i="56"/>
  <c r="AC41" i="56"/>
  <c r="AD41" i="56"/>
  <c r="AE41" i="56"/>
  <c r="AF41" i="56"/>
  <c r="AG41" i="56"/>
  <c r="AH41" i="56"/>
  <c r="AI41" i="56"/>
  <c r="AJ41" i="56"/>
  <c r="AK41" i="56"/>
  <c r="AL41" i="56"/>
  <c r="AM41" i="56"/>
  <c r="D42" i="56"/>
  <c r="E42" i="56"/>
  <c r="F42" i="56"/>
  <c r="G42" i="56"/>
  <c r="H42" i="56"/>
  <c r="I42" i="56"/>
  <c r="J42" i="56"/>
  <c r="K42" i="56"/>
  <c r="L42" i="56"/>
  <c r="M42" i="56"/>
  <c r="N42" i="56"/>
  <c r="O42" i="56"/>
  <c r="P42" i="56"/>
  <c r="Q42" i="56"/>
  <c r="R42" i="56"/>
  <c r="S42" i="56"/>
  <c r="T42" i="56"/>
  <c r="U42" i="56"/>
  <c r="V42" i="56"/>
  <c r="W42" i="56"/>
  <c r="X42" i="56"/>
  <c r="Y42" i="56"/>
  <c r="Z42" i="56"/>
  <c r="AA42" i="56"/>
  <c r="AB42" i="56"/>
  <c r="AC42" i="56"/>
  <c r="AD42" i="56"/>
  <c r="AE42" i="56"/>
  <c r="AF42" i="56"/>
  <c r="AG42" i="56"/>
  <c r="AH42" i="56"/>
  <c r="AI42" i="56"/>
  <c r="AJ42" i="56"/>
  <c r="AK42" i="56"/>
  <c r="AL42" i="56"/>
  <c r="AM42" i="56"/>
  <c r="D43" i="56"/>
  <c r="E43" i="56"/>
  <c r="F43" i="56"/>
  <c r="G43" i="56"/>
  <c r="H43" i="56"/>
  <c r="I43" i="56"/>
  <c r="J43" i="56"/>
  <c r="K43" i="56"/>
  <c r="L43" i="56"/>
  <c r="M43" i="56"/>
  <c r="N43" i="56"/>
  <c r="O43" i="56"/>
  <c r="P43" i="56"/>
  <c r="Q43" i="56"/>
  <c r="R43" i="56"/>
  <c r="S43" i="56"/>
  <c r="T43" i="56"/>
  <c r="U43" i="56"/>
  <c r="V43" i="56"/>
  <c r="W43" i="56"/>
  <c r="X43" i="56"/>
  <c r="Y43" i="56"/>
  <c r="Z43" i="56"/>
  <c r="AA43" i="56"/>
  <c r="AB43" i="56"/>
  <c r="AC43" i="56"/>
  <c r="AD43" i="56"/>
  <c r="AE43" i="56"/>
  <c r="AF43" i="56"/>
  <c r="AG43" i="56"/>
  <c r="AH43" i="56"/>
  <c r="AI43" i="56"/>
  <c r="AJ43" i="56"/>
  <c r="AK43" i="56"/>
  <c r="AL43" i="56"/>
  <c r="AM43" i="56"/>
  <c r="D44" i="56"/>
  <c r="E44" i="56"/>
  <c r="F44" i="56"/>
  <c r="G44" i="56"/>
  <c r="H44" i="56"/>
  <c r="I44" i="56"/>
  <c r="J44" i="56"/>
  <c r="K44" i="56"/>
  <c r="L44" i="56"/>
  <c r="M44" i="56"/>
  <c r="N44" i="56"/>
  <c r="O44" i="56"/>
  <c r="P44" i="56"/>
  <c r="Q44" i="56"/>
  <c r="R44" i="56"/>
  <c r="S44" i="56"/>
  <c r="T44" i="56"/>
  <c r="U44" i="56"/>
  <c r="V44" i="56"/>
  <c r="W44" i="56"/>
  <c r="X44" i="56"/>
  <c r="Y44" i="56"/>
  <c r="Z44" i="56"/>
  <c r="AA44" i="56"/>
  <c r="AB44" i="56"/>
  <c r="AC44" i="56"/>
  <c r="AD44" i="56"/>
  <c r="AE44" i="56"/>
  <c r="AF44" i="56"/>
  <c r="AG44" i="56"/>
  <c r="AH44" i="56"/>
  <c r="AI44" i="56"/>
  <c r="AJ44" i="56"/>
  <c r="AK44" i="56"/>
  <c r="AL44" i="56"/>
  <c r="AM44" i="56"/>
  <c r="D45" i="56"/>
  <c r="E45" i="56"/>
  <c r="F45" i="56"/>
  <c r="G45" i="56"/>
  <c r="H45" i="56"/>
  <c r="I45" i="56"/>
  <c r="J45" i="56"/>
  <c r="K45" i="56"/>
  <c r="L45" i="56"/>
  <c r="M45" i="56"/>
  <c r="N45" i="56"/>
  <c r="O45" i="56"/>
  <c r="P45" i="56"/>
  <c r="Q45" i="56"/>
  <c r="R45" i="56"/>
  <c r="S45" i="56"/>
  <c r="T45" i="56"/>
  <c r="U45" i="56"/>
  <c r="V45" i="56"/>
  <c r="W45" i="56"/>
  <c r="X45" i="56"/>
  <c r="Y45" i="56"/>
  <c r="Z45" i="56"/>
  <c r="AA45" i="56"/>
  <c r="AB45" i="56"/>
  <c r="AC45" i="56"/>
  <c r="AD45" i="56"/>
  <c r="AE45" i="56"/>
  <c r="AF45" i="56"/>
  <c r="AG45" i="56"/>
  <c r="AH45" i="56"/>
  <c r="AI45" i="56"/>
  <c r="AJ45" i="56"/>
  <c r="AK45" i="56"/>
  <c r="AL45" i="56"/>
  <c r="AM45" i="56"/>
  <c r="D46" i="56"/>
  <c r="E46" i="56"/>
  <c r="F46" i="56"/>
  <c r="G46" i="56"/>
  <c r="H46" i="56"/>
  <c r="I46" i="56"/>
  <c r="J46" i="56"/>
  <c r="K46" i="56"/>
  <c r="L46" i="56"/>
  <c r="M46" i="56"/>
  <c r="N46" i="56"/>
  <c r="O46" i="56"/>
  <c r="P46" i="56"/>
  <c r="Q46" i="56"/>
  <c r="R46" i="56"/>
  <c r="S46" i="56"/>
  <c r="T46" i="56"/>
  <c r="U46" i="56"/>
  <c r="V46" i="56"/>
  <c r="W46" i="56"/>
  <c r="X46" i="56"/>
  <c r="Y46" i="56"/>
  <c r="Z46" i="56"/>
  <c r="AA46" i="56"/>
  <c r="AB46" i="56"/>
  <c r="AC46" i="56"/>
  <c r="AD46" i="56"/>
  <c r="AE46" i="56"/>
  <c r="AF46" i="56"/>
  <c r="AG46" i="56"/>
  <c r="AH46" i="56"/>
  <c r="AI46" i="56"/>
  <c r="AJ46" i="56"/>
  <c r="AK46" i="56"/>
  <c r="AL46" i="56"/>
  <c r="AM46" i="56"/>
  <c r="D47" i="56"/>
  <c r="E47" i="56"/>
  <c r="F47" i="56"/>
  <c r="G47" i="56"/>
  <c r="H47" i="56"/>
  <c r="I47" i="56"/>
  <c r="J47" i="56"/>
  <c r="K47" i="56"/>
  <c r="L47" i="56"/>
  <c r="M47" i="56"/>
  <c r="N47" i="56"/>
  <c r="O47" i="56"/>
  <c r="P47" i="56"/>
  <c r="Q47" i="56"/>
  <c r="R47" i="56"/>
  <c r="S47" i="56"/>
  <c r="T47" i="56"/>
  <c r="U47" i="56"/>
  <c r="V47" i="56"/>
  <c r="W47" i="56"/>
  <c r="X47" i="56"/>
  <c r="Y47" i="56"/>
  <c r="Z47" i="56"/>
  <c r="AA47" i="56"/>
  <c r="AB47" i="56"/>
  <c r="AC47" i="56"/>
  <c r="AD47" i="56"/>
  <c r="AE47" i="56"/>
  <c r="AF47" i="56"/>
  <c r="AG47" i="56"/>
  <c r="AH47" i="56"/>
  <c r="AI47" i="56"/>
  <c r="AJ47" i="56"/>
  <c r="AK47" i="56"/>
  <c r="AL47" i="56"/>
  <c r="AM47" i="56"/>
  <c r="D48" i="56"/>
  <c r="E48" i="56"/>
  <c r="F48" i="56"/>
  <c r="G48" i="56"/>
  <c r="H48" i="56"/>
  <c r="I48" i="56"/>
  <c r="J48" i="56"/>
  <c r="K48" i="56"/>
  <c r="L48" i="56"/>
  <c r="M48" i="56"/>
  <c r="N48" i="56"/>
  <c r="O48" i="56"/>
  <c r="P48" i="56"/>
  <c r="Q48" i="56"/>
  <c r="R48" i="56"/>
  <c r="S48" i="56"/>
  <c r="T48" i="56"/>
  <c r="U48" i="56"/>
  <c r="V48" i="56"/>
  <c r="W48" i="56"/>
  <c r="X48" i="56"/>
  <c r="Y48" i="56"/>
  <c r="Z48" i="56"/>
  <c r="AA48" i="56"/>
  <c r="AB48" i="56"/>
  <c r="AC48" i="56"/>
  <c r="AD48" i="56"/>
  <c r="AE48" i="56"/>
  <c r="AF48" i="56"/>
  <c r="AG48" i="56"/>
  <c r="AH48" i="56"/>
  <c r="AI48" i="56"/>
  <c r="AJ48" i="56"/>
  <c r="AK48" i="56"/>
  <c r="AL48" i="56"/>
  <c r="AM48" i="56"/>
  <c r="D49" i="56"/>
  <c r="E49" i="56"/>
  <c r="F49" i="56"/>
  <c r="G49" i="56"/>
  <c r="H49" i="56"/>
  <c r="I49" i="56"/>
  <c r="J49" i="56"/>
  <c r="K49" i="56"/>
  <c r="L49" i="56"/>
  <c r="M49" i="56"/>
  <c r="N49" i="56"/>
  <c r="O49" i="56"/>
  <c r="P49" i="56"/>
  <c r="Q49" i="56"/>
  <c r="R49" i="56"/>
  <c r="S49" i="56"/>
  <c r="T49" i="56"/>
  <c r="U49" i="56"/>
  <c r="V49" i="56"/>
  <c r="W49" i="56"/>
  <c r="X49" i="56"/>
  <c r="Y49" i="56"/>
  <c r="Z49" i="56"/>
  <c r="AA49" i="56"/>
  <c r="AB49" i="56"/>
  <c r="AC49" i="56"/>
  <c r="AD49" i="56"/>
  <c r="AE49" i="56"/>
  <c r="AF49" i="56"/>
  <c r="AG49" i="56"/>
  <c r="AH49" i="56"/>
  <c r="AI49" i="56"/>
  <c r="AJ49" i="56"/>
  <c r="AK49" i="56"/>
  <c r="AL49" i="56"/>
  <c r="AM49" i="56"/>
  <c r="D50" i="56"/>
  <c r="E50" i="56"/>
  <c r="F50" i="56"/>
  <c r="G50" i="56"/>
  <c r="H50" i="56"/>
  <c r="I50" i="56"/>
  <c r="J50" i="56"/>
  <c r="K50" i="56"/>
  <c r="L50" i="56"/>
  <c r="M50" i="56"/>
  <c r="N50" i="56"/>
  <c r="O50" i="56"/>
  <c r="P50" i="56"/>
  <c r="Q50" i="56"/>
  <c r="R50" i="56"/>
  <c r="S50" i="56"/>
  <c r="T50" i="56"/>
  <c r="U50" i="56"/>
  <c r="V50" i="56"/>
  <c r="W50" i="56"/>
  <c r="X50" i="56"/>
  <c r="Y50" i="56"/>
  <c r="Z50" i="56"/>
  <c r="AA50" i="56"/>
  <c r="AB50" i="56"/>
  <c r="AC50" i="56"/>
  <c r="AD50" i="56"/>
  <c r="AE50" i="56"/>
  <c r="AF50" i="56"/>
  <c r="AG50" i="56"/>
  <c r="AH50" i="56"/>
  <c r="AI50" i="56"/>
  <c r="AJ50" i="56"/>
  <c r="AK50" i="56"/>
  <c r="AL50" i="56"/>
  <c r="AM50" i="56"/>
  <c r="D51" i="56"/>
  <c r="E51" i="56"/>
  <c r="F51" i="56"/>
  <c r="G51" i="56"/>
  <c r="H51" i="56"/>
  <c r="I51" i="56"/>
  <c r="J51" i="56"/>
  <c r="K51" i="56"/>
  <c r="L51" i="56"/>
  <c r="M51" i="56"/>
  <c r="N51" i="56"/>
  <c r="O51" i="56"/>
  <c r="P51" i="56"/>
  <c r="Q51" i="56"/>
  <c r="R51" i="56"/>
  <c r="S51" i="56"/>
  <c r="T51" i="56"/>
  <c r="U51" i="56"/>
  <c r="V51" i="56"/>
  <c r="W51" i="56"/>
  <c r="X51" i="56"/>
  <c r="Y51" i="56"/>
  <c r="Z51" i="56"/>
  <c r="AA51" i="56"/>
  <c r="AB51" i="56"/>
  <c r="AC51" i="56"/>
  <c r="AD51" i="56"/>
  <c r="AE51" i="56"/>
  <c r="AF51" i="56"/>
  <c r="AG51" i="56"/>
  <c r="AH51" i="56"/>
  <c r="AI51" i="56"/>
  <c r="AJ51" i="56"/>
  <c r="AK51" i="56"/>
  <c r="AL51" i="56"/>
  <c r="AM51" i="56"/>
  <c r="D52" i="56"/>
  <c r="E52" i="56"/>
  <c r="F52" i="56"/>
  <c r="G52" i="56"/>
  <c r="H52" i="56"/>
  <c r="I52" i="56"/>
  <c r="J52" i="56"/>
  <c r="K52" i="56"/>
  <c r="L52" i="56"/>
  <c r="M52" i="56"/>
  <c r="N52" i="56"/>
  <c r="O52" i="56"/>
  <c r="P52" i="56"/>
  <c r="Q52" i="56"/>
  <c r="R52" i="56"/>
  <c r="S52" i="56"/>
  <c r="T52" i="56"/>
  <c r="U52" i="56"/>
  <c r="V52" i="56"/>
  <c r="W52" i="56"/>
  <c r="X52" i="56"/>
  <c r="Y52" i="56"/>
  <c r="Z52" i="56"/>
  <c r="AA52" i="56"/>
  <c r="AB52" i="56"/>
  <c r="AC52" i="56"/>
  <c r="AD52" i="56"/>
  <c r="AE52" i="56"/>
  <c r="AF52" i="56"/>
  <c r="AG52" i="56"/>
  <c r="AH52" i="56"/>
  <c r="AI52" i="56"/>
  <c r="AJ52" i="56"/>
  <c r="AK52" i="56"/>
  <c r="AL52" i="56"/>
  <c r="AM52" i="56"/>
  <c r="D53" i="56"/>
  <c r="E53" i="56"/>
  <c r="F53" i="56"/>
  <c r="G53" i="56"/>
  <c r="H53" i="56"/>
  <c r="I53" i="56"/>
  <c r="J53" i="56"/>
  <c r="K53" i="56"/>
  <c r="L53" i="56"/>
  <c r="M53" i="56"/>
  <c r="N53" i="56"/>
  <c r="O53" i="56"/>
  <c r="P53" i="56"/>
  <c r="Q53" i="56"/>
  <c r="R53" i="56"/>
  <c r="S53" i="56"/>
  <c r="T53" i="56"/>
  <c r="U53" i="56"/>
  <c r="V53" i="56"/>
  <c r="W53" i="56"/>
  <c r="X53" i="56"/>
  <c r="Y53" i="56"/>
  <c r="Z53" i="56"/>
  <c r="AA53" i="56"/>
  <c r="AB53" i="56"/>
  <c r="AC53" i="56"/>
  <c r="AD53" i="56"/>
  <c r="AE53" i="56"/>
  <c r="AF53" i="56"/>
  <c r="AG53" i="56"/>
  <c r="AH53" i="56"/>
  <c r="AI53" i="56"/>
  <c r="AJ53" i="56"/>
  <c r="AK53" i="56"/>
  <c r="AL53" i="56"/>
  <c r="AM53" i="56"/>
  <c r="D54" i="56"/>
  <c r="E54" i="56"/>
  <c r="F54" i="56"/>
  <c r="G54" i="56"/>
  <c r="H54" i="56"/>
  <c r="I54" i="56"/>
  <c r="J54" i="56"/>
  <c r="K54" i="56"/>
  <c r="L54" i="56"/>
  <c r="M54" i="56"/>
  <c r="N54" i="56"/>
  <c r="O54" i="56"/>
  <c r="P54" i="56"/>
  <c r="Q54" i="56"/>
  <c r="R54" i="56"/>
  <c r="S54" i="56"/>
  <c r="T54" i="56"/>
  <c r="U54" i="56"/>
  <c r="V54" i="56"/>
  <c r="W54" i="56"/>
  <c r="X54" i="56"/>
  <c r="Y54" i="56"/>
  <c r="Z54" i="56"/>
  <c r="AA54" i="56"/>
  <c r="AB54" i="56"/>
  <c r="AC54" i="56"/>
  <c r="AD54" i="56"/>
  <c r="AE54" i="56"/>
  <c r="AF54" i="56"/>
  <c r="AG54" i="56"/>
  <c r="AH54" i="56"/>
  <c r="AI54" i="56"/>
  <c r="AJ54" i="56"/>
  <c r="AK54" i="56"/>
  <c r="AL54" i="56"/>
  <c r="AM54" i="56"/>
  <c r="D55" i="56"/>
  <c r="E55" i="56"/>
  <c r="F55" i="56"/>
  <c r="G55" i="56"/>
  <c r="H55" i="56"/>
  <c r="I55" i="56"/>
  <c r="J55" i="56"/>
  <c r="K55" i="56"/>
  <c r="L55" i="56"/>
  <c r="M55" i="56"/>
  <c r="N55" i="56"/>
  <c r="O55" i="56"/>
  <c r="P55" i="56"/>
  <c r="Q55" i="56"/>
  <c r="R55" i="56"/>
  <c r="S55" i="56"/>
  <c r="T55" i="56"/>
  <c r="U55" i="56"/>
  <c r="V55" i="56"/>
  <c r="W55" i="56"/>
  <c r="X55" i="56"/>
  <c r="Y55" i="56"/>
  <c r="Z55" i="56"/>
  <c r="AA55" i="56"/>
  <c r="AB55" i="56"/>
  <c r="AC55" i="56"/>
  <c r="AD55" i="56"/>
  <c r="AE55" i="56"/>
  <c r="AF55" i="56"/>
  <c r="AG55" i="56"/>
  <c r="AH55" i="56"/>
  <c r="AI55" i="56"/>
  <c r="AJ55" i="56"/>
  <c r="AK55" i="56"/>
  <c r="AL55" i="56"/>
  <c r="AM55" i="56"/>
  <c r="D56" i="56"/>
  <c r="E56" i="56"/>
  <c r="F56" i="56"/>
  <c r="G56" i="56"/>
  <c r="H56" i="56"/>
  <c r="I56" i="56"/>
  <c r="J56" i="56"/>
  <c r="K56" i="56"/>
  <c r="L56" i="56"/>
  <c r="M56" i="56"/>
  <c r="N56" i="56"/>
  <c r="O56" i="56"/>
  <c r="P56" i="56"/>
  <c r="Q56" i="56"/>
  <c r="R56" i="56"/>
  <c r="S56" i="56"/>
  <c r="T56" i="56"/>
  <c r="U56" i="56"/>
  <c r="V56" i="56"/>
  <c r="W56" i="56"/>
  <c r="X56" i="56"/>
  <c r="Y56" i="56"/>
  <c r="Z56" i="56"/>
  <c r="AA56" i="56"/>
  <c r="AB56" i="56"/>
  <c r="AC56" i="56"/>
  <c r="AD56" i="56"/>
  <c r="AE56" i="56"/>
  <c r="AF56" i="56"/>
  <c r="AG56" i="56"/>
  <c r="AH56" i="56"/>
  <c r="AI56" i="56"/>
  <c r="AJ56" i="56"/>
  <c r="AK56" i="56"/>
  <c r="AL56" i="56"/>
  <c r="AM56" i="56"/>
  <c r="D57" i="56"/>
  <c r="E57" i="56"/>
  <c r="F57" i="56"/>
  <c r="G57" i="56"/>
  <c r="H57" i="56"/>
  <c r="I57" i="56"/>
  <c r="J57" i="56"/>
  <c r="K57" i="56"/>
  <c r="L57" i="56"/>
  <c r="M57" i="56"/>
  <c r="N57" i="56"/>
  <c r="O57" i="56"/>
  <c r="P57" i="56"/>
  <c r="Q57" i="56"/>
  <c r="R57" i="56"/>
  <c r="S57" i="56"/>
  <c r="T57" i="56"/>
  <c r="U57" i="56"/>
  <c r="V57" i="56"/>
  <c r="W57" i="56"/>
  <c r="X57" i="56"/>
  <c r="Y57" i="56"/>
  <c r="Z57" i="56"/>
  <c r="AA57" i="56"/>
  <c r="AB57" i="56"/>
  <c r="AC57" i="56"/>
  <c r="AD57" i="56"/>
  <c r="AE57" i="56"/>
  <c r="AF57" i="56"/>
  <c r="AG57" i="56"/>
  <c r="AH57" i="56"/>
  <c r="AI57" i="56"/>
  <c r="AJ57" i="56"/>
  <c r="AK57" i="56"/>
  <c r="AL57" i="56"/>
  <c r="AM57" i="56"/>
  <c r="D58" i="56"/>
  <c r="E58" i="56"/>
  <c r="F58" i="56"/>
  <c r="G58" i="56"/>
  <c r="H58" i="56"/>
  <c r="I58" i="56"/>
  <c r="J58" i="56"/>
  <c r="K58" i="56"/>
  <c r="L58" i="56"/>
  <c r="M58" i="56"/>
  <c r="N58" i="56"/>
  <c r="O58" i="56"/>
  <c r="P58" i="56"/>
  <c r="Q58" i="56"/>
  <c r="R58" i="56"/>
  <c r="S58" i="56"/>
  <c r="T58" i="56"/>
  <c r="U58" i="56"/>
  <c r="V58" i="56"/>
  <c r="W58" i="56"/>
  <c r="X58" i="56"/>
  <c r="Y58" i="56"/>
  <c r="Z58" i="56"/>
  <c r="AA58" i="56"/>
  <c r="AB58" i="56"/>
  <c r="AC58" i="56"/>
  <c r="AD58" i="56"/>
  <c r="AE58" i="56"/>
  <c r="AF58" i="56"/>
  <c r="AG58" i="56"/>
  <c r="AH58" i="56"/>
  <c r="AI58" i="56"/>
  <c r="AJ58" i="56"/>
  <c r="AK58" i="56"/>
  <c r="AL58" i="56"/>
  <c r="AM58" i="56"/>
  <c r="D59" i="56"/>
  <c r="E59" i="56"/>
  <c r="F59" i="56"/>
  <c r="G59" i="56"/>
  <c r="H59" i="56"/>
  <c r="I59" i="56"/>
  <c r="J59" i="56"/>
  <c r="K59" i="56"/>
  <c r="L59" i="56"/>
  <c r="M59" i="56"/>
  <c r="N59" i="56"/>
  <c r="O59" i="56"/>
  <c r="P59" i="56"/>
  <c r="Q59" i="56"/>
  <c r="R59" i="56"/>
  <c r="S59" i="56"/>
  <c r="T59" i="56"/>
  <c r="U59" i="56"/>
  <c r="V59" i="56"/>
  <c r="W59" i="56"/>
  <c r="X59" i="56"/>
  <c r="Y59" i="56"/>
  <c r="Z59" i="56"/>
  <c r="AA59" i="56"/>
  <c r="AB59" i="56"/>
  <c r="AC59" i="56"/>
  <c r="AD59" i="56"/>
  <c r="AE59" i="56"/>
  <c r="AF59" i="56"/>
  <c r="AG59" i="56"/>
  <c r="AH59" i="56"/>
  <c r="AI59" i="56"/>
  <c r="AJ59" i="56"/>
  <c r="AK59" i="56"/>
  <c r="AL59" i="56"/>
  <c r="AM59" i="56"/>
  <c r="D60" i="56"/>
  <c r="E60" i="56"/>
  <c r="F60" i="56"/>
  <c r="G60" i="56"/>
  <c r="H60" i="56"/>
  <c r="I60" i="56"/>
  <c r="J60" i="56"/>
  <c r="K60" i="56"/>
  <c r="L60" i="56"/>
  <c r="M60" i="56"/>
  <c r="N60" i="56"/>
  <c r="O60" i="56"/>
  <c r="P60" i="56"/>
  <c r="Q60" i="56"/>
  <c r="R60" i="56"/>
  <c r="S60" i="56"/>
  <c r="T60" i="56"/>
  <c r="U60" i="56"/>
  <c r="V60" i="56"/>
  <c r="W60" i="56"/>
  <c r="X60" i="56"/>
  <c r="Y60" i="56"/>
  <c r="Z60" i="56"/>
  <c r="AA60" i="56"/>
  <c r="AB60" i="56"/>
  <c r="AC60" i="56"/>
  <c r="AD60" i="56"/>
  <c r="AE60" i="56"/>
  <c r="AF60" i="56"/>
  <c r="AG60" i="56"/>
  <c r="AH60" i="56"/>
  <c r="AI60" i="56"/>
  <c r="AJ60" i="56"/>
  <c r="AK60" i="56"/>
  <c r="AL60" i="56"/>
  <c r="AM60" i="56"/>
  <c r="D61" i="56"/>
  <c r="E61" i="56"/>
  <c r="F61" i="56"/>
  <c r="G61" i="56"/>
  <c r="H61" i="56"/>
  <c r="I61" i="56"/>
  <c r="J61" i="56"/>
  <c r="K61" i="56"/>
  <c r="L61" i="56"/>
  <c r="M61" i="56"/>
  <c r="N61" i="56"/>
  <c r="O61" i="56"/>
  <c r="P61" i="56"/>
  <c r="Q61" i="56"/>
  <c r="R61" i="56"/>
  <c r="S61" i="56"/>
  <c r="T61" i="56"/>
  <c r="U61" i="56"/>
  <c r="V61" i="56"/>
  <c r="W61" i="56"/>
  <c r="X61" i="56"/>
  <c r="Y61" i="56"/>
  <c r="Z61" i="56"/>
  <c r="AA61" i="56"/>
  <c r="AB61" i="56"/>
  <c r="AC61" i="56"/>
  <c r="AD61" i="56"/>
  <c r="AE61" i="56"/>
  <c r="AF61" i="56"/>
  <c r="AG61" i="56"/>
  <c r="AH61" i="56"/>
  <c r="AI61" i="56"/>
  <c r="AJ61" i="56"/>
  <c r="AK61" i="56"/>
  <c r="AL61" i="56"/>
  <c r="AM61" i="56"/>
  <c r="D62" i="56"/>
  <c r="E62" i="56"/>
  <c r="F62" i="56"/>
  <c r="G62" i="56"/>
  <c r="H62" i="56"/>
  <c r="I62" i="56"/>
  <c r="J62" i="56"/>
  <c r="K62" i="56"/>
  <c r="L62" i="56"/>
  <c r="M62" i="56"/>
  <c r="N62" i="56"/>
  <c r="O62" i="56"/>
  <c r="P62" i="56"/>
  <c r="Q62" i="56"/>
  <c r="R62" i="56"/>
  <c r="S62" i="56"/>
  <c r="T62" i="56"/>
  <c r="U62" i="56"/>
  <c r="V62" i="56"/>
  <c r="W62" i="56"/>
  <c r="X62" i="56"/>
  <c r="Y62" i="56"/>
  <c r="Z62" i="56"/>
  <c r="AA62" i="56"/>
  <c r="AB62" i="56"/>
  <c r="AC62" i="56"/>
  <c r="AD62" i="56"/>
  <c r="AE62" i="56"/>
  <c r="AF62" i="56"/>
  <c r="AG62" i="56"/>
  <c r="AH62" i="56"/>
  <c r="AI62" i="56"/>
  <c r="AJ62" i="56"/>
  <c r="AK62" i="56"/>
  <c r="AL62" i="56"/>
  <c r="AM62" i="56"/>
  <c r="D63" i="56"/>
  <c r="E63" i="56"/>
  <c r="F63" i="56"/>
  <c r="G63" i="56"/>
  <c r="H63" i="56"/>
  <c r="I63" i="56"/>
  <c r="J63" i="56"/>
  <c r="K63" i="56"/>
  <c r="L63" i="56"/>
  <c r="M63" i="56"/>
  <c r="N63" i="56"/>
  <c r="O63" i="56"/>
  <c r="P63" i="56"/>
  <c r="Q63" i="56"/>
  <c r="R63" i="56"/>
  <c r="S63" i="56"/>
  <c r="T63" i="56"/>
  <c r="U63" i="56"/>
  <c r="V63" i="56"/>
  <c r="W63" i="56"/>
  <c r="X63" i="56"/>
  <c r="Y63" i="56"/>
  <c r="Z63" i="56"/>
  <c r="AA63" i="56"/>
  <c r="AB63" i="56"/>
  <c r="AC63" i="56"/>
  <c r="AD63" i="56"/>
  <c r="AE63" i="56"/>
  <c r="AF63" i="56"/>
  <c r="AG63" i="56"/>
  <c r="AH63" i="56"/>
  <c r="AI63" i="56"/>
  <c r="AJ63" i="56"/>
  <c r="AK63" i="56"/>
  <c r="AL63" i="56"/>
  <c r="AM63" i="56"/>
  <c r="D64" i="56"/>
  <c r="E64" i="56"/>
  <c r="F64" i="56"/>
  <c r="G64" i="56"/>
  <c r="H64" i="56"/>
  <c r="I64" i="56"/>
  <c r="J64" i="56"/>
  <c r="K64" i="56"/>
  <c r="L64" i="56"/>
  <c r="M64" i="56"/>
  <c r="N64" i="56"/>
  <c r="O64" i="56"/>
  <c r="P64" i="56"/>
  <c r="Q64" i="56"/>
  <c r="R64" i="56"/>
  <c r="S64" i="56"/>
  <c r="T64" i="56"/>
  <c r="U64" i="56"/>
  <c r="V64" i="56"/>
  <c r="W64" i="56"/>
  <c r="X64" i="56"/>
  <c r="Y64" i="56"/>
  <c r="Z64" i="56"/>
  <c r="AA64" i="56"/>
  <c r="AB64" i="56"/>
  <c r="AC64" i="56"/>
  <c r="AD64" i="56"/>
  <c r="AE64" i="56"/>
  <c r="AF64" i="56"/>
  <c r="AG64" i="56"/>
  <c r="AH64" i="56"/>
  <c r="AI64" i="56"/>
  <c r="AJ64" i="56"/>
  <c r="AK64" i="56"/>
  <c r="AL64" i="56"/>
  <c r="AM64" i="56"/>
  <c r="D65" i="56"/>
  <c r="E65" i="56"/>
  <c r="F65" i="56"/>
  <c r="G65" i="56"/>
  <c r="H65" i="56"/>
  <c r="I65" i="56"/>
  <c r="J65" i="56"/>
  <c r="K65" i="56"/>
  <c r="L65" i="56"/>
  <c r="M65" i="56"/>
  <c r="N65" i="56"/>
  <c r="O65" i="56"/>
  <c r="P65" i="56"/>
  <c r="Q65" i="56"/>
  <c r="R65" i="56"/>
  <c r="S65" i="56"/>
  <c r="T65" i="56"/>
  <c r="U65" i="56"/>
  <c r="V65" i="56"/>
  <c r="W65" i="56"/>
  <c r="X65" i="56"/>
  <c r="Y65" i="56"/>
  <c r="Z65" i="56"/>
  <c r="AA65" i="56"/>
  <c r="AB65" i="56"/>
  <c r="AC65" i="56"/>
  <c r="AD65" i="56"/>
  <c r="AE65" i="56"/>
  <c r="AF65" i="56"/>
  <c r="AG65" i="56"/>
  <c r="AH65" i="56"/>
  <c r="AI65" i="56"/>
  <c r="AJ65" i="56"/>
  <c r="AK65" i="56"/>
  <c r="AL65" i="56"/>
  <c r="AM65" i="56"/>
  <c r="D66" i="56"/>
  <c r="E66" i="56"/>
  <c r="F66" i="56"/>
  <c r="G66" i="56"/>
  <c r="H66" i="56"/>
  <c r="I66" i="56"/>
  <c r="J66" i="56"/>
  <c r="K66" i="56"/>
  <c r="L66" i="56"/>
  <c r="M66" i="56"/>
  <c r="N66" i="56"/>
  <c r="O66" i="56"/>
  <c r="P66" i="56"/>
  <c r="Q66" i="56"/>
  <c r="R66" i="56"/>
  <c r="S66" i="56"/>
  <c r="T66" i="56"/>
  <c r="U66" i="56"/>
  <c r="V66" i="56"/>
  <c r="W66" i="56"/>
  <c r="X66" i="56"/>
  <c r="Y66" i="56"/>
  <c r="Z66" i="56"/>
  <c r="AA66" i="56"/>
  <c r="AB66" i="56"/>
  <c r="AC66" i="56"/>
  <c r="AD66" i="56"/>
  <c r="AE66" i="56"/>
  <c r="AF66" i="56"/>
  <c r="AG66" i="56"/>
  <c r="AH66" i="56"/>
  <c r="AI66" i="56"/>
  <c r="AJ66" i="56"/>
  <c r="AK66" i="56"/>
  <c r="AL66" i="56"/>
  <c r="AM66" i="56"/>
  <c r="D67" i="56"/>
  <c r="E67" i="56"/>
  <c r="F67" i="56"/>
  <c r="G67" i="56"/>
  <c r="H67" i="56"/>
  <c r="I67" i="56"/>
  <c r="J67" i="56"/>
  <c r="K67" i="56"/>
  <c r="L67" i="56"/>
  <c r="M67" i="56"/>
  <c r="N67" i="56"/>
  <c r="O67" i="56"/>
  <c r="P67" i="56"/>
  <c r="Q67" i="56"/>
  <c r="R67" i="56"/>
  <c r="S67" i="56"/>
  <c r="T67" i="56"/>
  <c r="U67" i="56"/>
  <c r="V67" i="56"/>
  <c r="W67" i="56"/>
  <c r="X67" i="56"/>
  <c r="Y67" i="56"/>
  <c r="Z67" i="56"/>
  <c r="AA67" i="56"/>
  <c r="AB67" i="56"/>
  <c r="AC67" i="56"/>
  <c r="AD67" i="56"/>
  <c r="AE67" i="56"/>
  <c r="AF67" i="56"/>
  <c r="AG67" i="56"/>
  <c r="AH67" i="56"/>
  <c r="AI67" i="56"/>
  <c r="AJ67" i="56"/>
  <c r="AK67" i="56"/>
  <c r="AL67" i="56"/>
  <c r="AM67" i="56"/>
  <c r="D68" i="56"/>
  <c r="E68" i="56"/>
  <c r="F68" i="56"/>
  <c r="G68" i="56"/>
  <c r="H68" i="56"/>
  <c r="I68" i="56"/>
  <c r="J68" i="56"/>
  <c r="K68" i="56"/>
  <c r="L68" i="56"/>
  <c r="M68" i="56"/>
  <c r="N68" i="56"/>
  <c r="O68" i="56"/>
  <c r="P68" i="56"/>
  <c r="Q68" i="56"/>
  <c r="R68" i="56"/>
  <c r="S68" i="56"/>
  <c r="T68" i="56"/>
  <c r="U68" i="56"/>
  <c r="V68" i="56"/>
  <c r="W68" i="56"/>
  <c r="X68" i="56"/>
  <c r="Y68" i="56"/>
  <c r="Z68" i="56"/>
  <c r="AA68" i="56"/>
  <c r="AB68" i="56"/>
  <c r="AC68" i="56"/>
  <c r="AD68" i="56"/>
  <c r="AE68" i="56"/>
  <c r="AF68" i="56"/>
  <c r="AG68" i="56"/>
  <c r="AH68" i="56"/>
  <c r="AI68" i="56"/>
  <c r="AJ68" i="56"/>
  <c r="AK68" i="56"/>
  <c r="AL68" i="56"/>
  <c r="AM68" i="56"/>
  <c r="D69" i="56"/>
  <c r="E69" i="56"/>
  <c r="F69" i="56"/>
  <c r="G69" i="56"/>
  <c r="H69" i="56"/>
  <c r="I69" i="56"/>
  <c r="J69" i="56"/>
  <c r="K69" i="56"/>
  <c r="L69" i="56"/>
  <c r="M69" i="56"/>
  <c r="N69" i="56"/>
  <c r="O69" i="56"/>
  <c r="P69" i="56"/>
  <c r="Q69" i="56"/>
  <c r="R69" i="56"/>
  <c r="S69" i="56"/>
  <c r="T69" i="56"/>
  <c r="U69" i="56"/>
  <c r="V69" i="56"/>
  <c r="W69" i="56"/>
  <c r="X69" i="56"/>
  <c r="Y69" i="56"/>
  <c r="Z69" i="56"/>
  <c r="AA69" i="56"/>
  <c r="AB69" i="56"/>
  <c r="AC69" i="56"/>
  <c r="AD69" i="56"/>
  <c r="AE69" i="56"/>
  <c r="AF69" i="56"/>
  <c r="AG69" i="56"/>
  <c r="AH69" i="56"/>
  <c r="AI69" i="56"/>
  <c r="AJ69" i="56"/>
  <c r="AK69" i="56"/>
  <c r="AL69" i="56"/>
  <c r="AM69" i="56"/>
  <c r="D70" i="56"/>
  <c r="E70" i="56"/>
  <c r="F70" i="56"/>
  <c r="G70" i="56"/>
  <c r="H70" i="56"/>
  <c r="I70" i="56"/>
  <c r="J70" i="56"/>
  <c r="K70" i="56"/>
  <c r="L70" i="56"/>
  <c r="M70" i="56"/>
  <c r="N70" i="56"/>
  <c r="O70" i="56"/>
  <c r="P70" i="56"/>
  <c r="Q70" i="56"/>
  <c r="R70" i="56"/>
  <c r="S70" i="56"/>
  <c r="T70" i="56"/>
  <c r="U70" i="56"/>
  <c r="V70" i="56"/>
  <c r="W70" i="56"/>
  <c r="X70" i="56"/>
  <c r="Y70" i="56"/>
  <c r="Z70" i="56"/>
  <c r="AA70" i="56"/>
  <c r="AB70" i="56"/>
  <c r="AC70" i="56"/>
  <c r="AD70" i="56"/>
  <c r="AE70" i="56"/>
  <c r="AF70" i="56"/>
  <c r="AG70" i="56"/>
  <c r="AH70" i="56"/>
  <c r="AI70" i="56"/>
  <c r="AJ70" i="56"/>
  <c r="AK70" i="56"/>
  <c r="AL70" i="56"/>
  <c r="AM70" i="56"/>
  <c r="D71" i="56"/>
  <c r="E71" i="56"/>
  <c r="F71" i="56"/>
  <c r="G71" i="56"/>
  <c r="H71" i="56"/>
  <c r="I71" i="56"/>
  <c r="J71" i="56"/>
  <c r="K71" i="56"/>
  <c r="L71" i="56"/>
  <c r="M71" i="56"/>
  <c r="N71" i="56"/>
  <c r="O71" i="56"/>
  <c r="P71" i="56"/>
  <c r="Q71" i="56"/>
  <c r="R71" i="56"/>
  <c r="S71" i="56"/>
  <c r="T71" i="56"/>
  <c r="U71" i="56"/>
  <c r="V71" i="56"/>
  <c r="W71" i="56"/>
  <c r="X71" i="56"/>
  <c r="Y71" i="56"/>
  <c r="Z71" i="56"/>
  <c r="AA71" i="56"/>
  <c r="AB71" i="56"/>
  <c r="AC71" i="56"/>
  <c r="AD71" i="56"/>
  <c r="AE71" i="56"/>
  <c r="AF71" i="56"/>
  <c r="AG71" i="56"/>
  <c r="AH71" i="56"/>
  <c r="AI71" i="56"/>
  <c r="AJ71" i="56"/>
  <c r="AK71" i="56"/>
  <c r="AL71" i="56"/>
  <c r="AM71" i="56"/>
  <c r="D72" i="56"/>
  <c r="E72" i="56"/>
  <c r="F72" i="56"/>
  <c r="G72" i="56"/>
  <c r="H72" i="56"/>
  <c r="I72" i="56"/>
  <c r="J72" i="56"/>
  <c r="K72" i="56"/>
  <c r="L72" i="56"/>
  <c r="M72" i="56"/>
  <c r="N72" i="56"/>
  <c r="O72" i="56"/>
  <c r="P72" i="56"/>
  <c r="Q72" i="56"/>
  <c r="R72" i="56"/>
  <c r="S72" i="56"/>
  <c r="T72" i="56"/>
  <c r="U72" i="56"/>
  <c r="V72" i="56"/>
  <c r="W72" i="56"/>
  <c r="X72" i="56"/>
  <c r="Y72" i="56"/>
  <c r="Z72" i="56"/>
  <c r="AA72" i="56"/>
  <c r="AB72" i="56"/>
  <c r="AC72" i="56"/>
  <c r="AD72" i="56"/>
  <c r="AE72" i="56"/>
  <c r="AF72" i="56"/>
  <c r="AG72" i="56"/>
  <c r="AH72" i="56"/>
  <c r="AI72" i="56"/>
  <c r="AJ72" i="56"/>
  <c r="AK72" i="56"/>
  <c r="AL72" i="56"/>
  <c r="AM72" i="56"/>
  <c r="D73" i="56"/>
  <c r="E73" i="56"/>
  <c r="F73" i="56"/>
  <c r="G73" i="56"/>
  <c r="H73" i="56"/>
  <c r="I73" i="56"/>
  <c r="J73" i="56"/>
  <c r="K73" i="56"/>
  <c r="L73" i="56"/>
  <c r="M73" i="56"/>
  <c r="N73" i="56"/>
  <c r="O73" i="56"/>
  <c r="P73" i="56"/>
  <c r="Q73" i="56"/>
  <c r="R73" i="56"/>
  <c r="S73" i="56"/>
  <c r="T73" i="56"/>
  <c r="U73" i="56"/>
  <c r="V73" i="56"/>
  <c r="W73" i="56"/>
  <c r="X73" i="56"/>
  <c r="Y73" i="56"/>
  <c r="Z73" i="56"/>
  <c r="AA73" i="56"/>
  <c r="AB73" i="56"/>
  <c r="AC73" i="56"/>
  <c r="AD73" i="56"/>
  <c r="AE73" i="56"/>
  <c r="AF73" i="56"/>
  <c r="AG73" i="56"/>
  <c r="AH73" i="56"/>
  <c r="AI73" i="56"/>
  <c r="AJ73" i="56"/>
  <c r="AK73" i="56"/>
  <c r="AL73" i="56"/>
  <c r="AM73" i="56"/>
  <c r="D74" i="56"/>
  <c r="E74" i="56"/>
  <c r="F74" i="56"/>
  <c r="G74" i="56"/>
  <c r="H74" i="56"/>
  <c r="I74" i="56"/>
  <c r="J74" i="56"/>
  <c r="K74" i="56"/>
  <c r="L74" i="56"/>
  <c r="M74" i="56"/>
  <c r="N74" i="56"/>
  <c r="O74" i="56"/>
  <c r="P74" i="56"/>
  <c r="Q74" i="56"/>
  <c r="R74" i="56"/>
  <c r="S74" i="56"/>
  <c r="T74" i="56"/>
  <c r="U74" i="56"/>
  <c r="V74" i="56"/>
  <c r="W74" i="56"/>
  <c r="X74" i="56"/>
  <c r="Y74" i="56"/>
  <c r="Z74" i="56"/>
  <c r="AA74" i="56"/>
  <c r="AB74" i="56"/>
  <c r="AC74" i="56"/>
  <c r="AD74" i="56"/>
  <c r="AE74" i="56"/>
  <c r="AF74" i="56"/>
  <c r="AG74" i="56"/>
  <c r="AH74" i="56"/>
  <c r="AI74" i="56"/>
  <c r="AJ74" i="56"/>
  <c r="AK74" i="56"/>
  <c r="AL74" i="56"/>
  <c r="AM74" i="56"/>
  <c r="D75" i="56"/>
  <c r="E75" i="56"/>
  <c r="F75" i="56"/>
  <c r="G75" i="56"/>
  <c r="H75" i="56"/>
  <c r="I75" i="56"/>
  <c r="J75" i="56"/>
  <c r="K75" i="56"/>
  <c r="L75" i="56"/>
  <c r="M75" i="56"/>
  <c r="N75" i="56"/>
  <c r="O75" i="56"/>
  <c r="P75" i="56"/>
  <c r="Q75" i="56"/>
  <c r="R75" i="56"/>
  <c r="S75" i="56"/>
  <c r="T75" i="56"/>
  <c r="U75" i="56"/>
  <c r="V75" i="56"/>
  <c r="W75" i="56"/>
  <c r="X75" i="56"/>
  <c r="Y75" i="56"/>
  <c r="Z75" i="56"/>
  <c r="AA75" i="56"/>
  <c r="AB75" i="56"/>
  <c r="AC75" i="56"/>
  <c r="AD75" i="56"/>
  <c r="AE75" i="56"/>
  <c r="AF75" i="56"/>
  <c r="AG75" i="56"/>
  <c r="AH75" i="56"/>
  <c r="AI75" i="56"/>
  <c r="AJ75" i="56"/>
  <c r="AK75" i="56"/>
  <c r="AL75" i="56"/>
  <c r="AM75" i="56"/>
  <c r="D76" i="56"/>
  <c r="E76" i="56"/>
  <c r="F76" i="56"/>
  <c r="G76" i="56"/>
  <c r="H76" i="56"/>
  <c r="I76" i="56"/>
  <c r="J76" i="56"/>
  <c r="K76" i="56"/>
  <c r="L76" i="56"/>
  <c r="M76" i="56"/>
  <c r="N76" i="56"/>
  <c r="O76" i="56"/>
  <c r="P76" i="56"/>
  <c r="Q76" i="56"/>
  <c r="R76" i="56"/>
  <c r="S76" i="56"/>
  <c r="T76" i="56"/>
  <c r="U76" i="56"/>
  <c r="V76" i="56"/>
  <c r="W76" i="56"/>
  <c r="X76" i="56"/>
  <c r="Y76" i="56"/>
  <c r="Z76" i="56"/>
  <c r="AA76" i="56"/>
  <c r="AB76" i="56"/>
  <c r="AC76" i="56"/>
  <c r="AD76" i="56"/>
  <c r="AE76" i="56"/>
  <c r="AF76" i="56"/>
  <c r="AG76" i="56"/>
  <c r="AH76" i="56"/>
  <c r="AI76" i="56"/>
  <c r="AJ76" i="56"/>
  <c r="AK76" i="56"/>
  <c r="AL76" i="56"/>
  <c r="AM76" i="56"/>
  <c r="D77" i="56"/>
  <c r="E77" i="56"/>
  <c r="F77" i="56"/>
  <c r="G77" i="56"/>
  <c r="H77" i="56"/>
  <c r="I77" i="56"/>
  <c r="J77" i="56"/>
  <c r="K77" i="56"/>
  <c r="L77" i="56"/>
  <c r="M77" i="56"/>
  <c r="N77" i="56"/>
  <c r="O77" i="56"/>
  <c r="P77" i="56"/>
  <c r="Q77" i="56"/>
  <c r="R77" i="56"/>
  <c r="S77" i="56"/>
  <c r="T77" i="56"/>
  <c r="U77" i="56"/>
  <c r="V77" i="56"/>
  <c r="W77" i="56"/>
  <c r="X77" i="56"/>
  <c r="Y77" i="56"/>
  <c r="Z77" i="56"/>
  <c r="AA77" i="56"/>
  <c r="AB77" i="56"/>
  <c r="AC77" i="56"/>
  <c r="AD77" i="56"/>
  <c r="AE77" i="56"/>
  <c r="AF77" i="56"/>
  <c r="AG77" i="56"/>
  <c r="AH77" i="56"/>
  <c r="AI77" i="56"/>
  <c r="AJ77" i="56"/>
  <c r="AK77" i="56"/>
  <c r="AL77" i="56"/>
  <c r="AM77" i="56"/>
  <c r="D78" i="56"/>
  <c r="E78" i="56"/>
  <c r="F78" i="56"/>
  <c r="G78" i="56"/>
  <c r="H78" i="56"/>
  <c r="I78" i="56"/>
  <c r="J78" i="56"/>
  <c r="K78" i="56"/>
  <c r="L78" i="56"/>
  <c r="M78" i="56"/>
  <c r="N78" i="56"/>
  <c r="O78" i="56"/>
  <c r="P78" i="56"/>
  <c r="Q78" i="56"/>
  <c r="R78" i="56"/>
  <c r="S78" i="56"/>
  <c r="T78" i="56"/>
  <c r="U78" i="56"/>
  <c r="V78" i="56"/>
  <c r="W78" i="56"/>
  <c r="X78" i="56"/>
  <c r="Y78" i="56"/>
  <c r="Z78" i="56"/>
  <c r="AA78" i="56"/>
  <c r="AB78" i="56"/>
  <c r="AC78" i="56"/>
  <c r="AD78" i="56"/>
  <c r="AE78" i="56"/>
  <c r="AF78" i="56"/>
  <c r="AG78" i="56"/>
  <c r="AH78" i="56"/>
  <c r="AI78" i="56"/>
  <c r="AJ78" i="56"/>
  <c r="AK78" i="56"/>
  <c r="AL78" i="56"/>
  <c r="AM78" i="56"/>
  <c r="D79" i="56"/>
  <c r="E79" i="56"/>
  <c r="F79" i="56"/>
  <c r="G79" i="56"/>
  <c r="H79" i="56"/>
  <c r="I79" i="56"/>
  <c r="J79" i="56"/>
  <c r="K79" i="56"/>
  <c r="L79" i="56"/>
  <c r="M79" i="56"/>
  <c r="N79" i="56"/>
  <c r="O79" i="56"/>
  <c r="P79" i="56"/>
  <c r="Q79" i="56"/>
  <c r="R79" i="56"/>
  <c r="S79" i="56"/>
  <c r="T79" i="56"/>
  <c r="U79" i="56"/>
  <c r="V79" i="56"/>
  <c r="W79" i="56"/>
  <c r="X79" i="56"/>
  <c r="Y79" i="56"/>
  <c r="Z79" i="56"/>
  <c r="AA79" i="56"/>
  <c r="AB79" i="56"/>
  <c r="AC79" i="56"/>
  <c r="AD79" i="56"/>
  <c r="AE79" i="56"/>
  <c r="AF79" i="56"/>
  <c r="AG79" i="56"/>
  <c r="AH79" i="56"/>
  <c r="AI79" i="56"/>
  <c r="AJ79" i="56"/>
  <c r="AK79" i="56"/>
  <c r="AL79" i="56"/>
  <c r="AM79" i="56"/>
  <c r="D80" i="56"/>
  <c r="E80" i="56"/>
  <c r="F80" i="56"/>
  <c r="G80" i="56"/>
  <c r="H80" i="56"/>
  <c r="I80" i="56"/>
  <c r="J80" i="56"/>
  <c r="K80" i="56"/>
  <c r="L80" i="56"/>
  <c r="M80" i="56"/>
  <c r="N80" i="56"/>
  <c r="O80" i="56"/>
  <c r="P80" i="56"/>
  <c r="Q80" i="56"/>
  <c r="R80" i="56"/>
  <c r="S80" i="56"/>
  <c r="T80" i="56"/>
  <c r="U80" i="56"/>
  <c r="V80" i="56"/>
  <c r="W80" i="56"/>
  <c r="X80" i="56"/>
  <c r="Y80" i="56"/>
  <c r="Z80" i="56"/>
  <c r="AA80" i="56"/>
  <c r="AB80" i="56"/>
  <c r="AC80" i="56"/>
  <c r="AD80" i="56"/>
  <c r="AE80" i="56"/>
  <c r="AF80" i="56"/>
  <c r="AG80" i="56"/>
  <c r="AH80" i="56"/>
  <c r="AI80" i="56"/>
  <c r="AJ80" i="56"/>
  <c r="AK80" i="56"/>
  <c r="AL80" i="56"/>
  <c r="AM80" i="56"/>
  <c r="D81" i="56"/>
  <c r="E81" i="56"/>
  <c r="F81" i="56"/>
  <c r="G81" i="56"/>
  <c r="H81" i="56"/>
  <c r="I81" i="56"/>
  <c r="J81" i="56"/>
  <c r="K81" i="56"/>
  <c r="L81" i="56"/>
  <c r="M81" i="56"/>
  <c r="N81" i="56"/>
  <c r="O81" i="56"/>
  <c r="P81" i="56"/>
  <c r="Q81" i="56"/>
  <c r="R81" i="56"/>
  <c r="S81" i="56"/>
  <c r="T81" i="56"/>
  <c r="U81" i="56"/>
  <c r="V81" i="56"/>
  <c r="W81" i="56"/>
  <c r="X81" i="56"/>
  <c r="Y81" i="56"/>
  <c r="Z81" i="56"/>
  <c r="AA81" i="56"/>
  <c r="AB81" i="56"/>
  <c r="AC81" i="56"/>
  <c r="AD81" i="56"/>
  <c r="AE81" i="56"/>
  <c r="AF81" i="56"/>
  <c r="AG81" i="56"/>
  <c r="AH81" i="56"/>
  <c r="AI81" i="56"/>
  <c r="AJ81" i="56"/>
  <c r="AK81" i="56"/>
  <c r="AL81" i="56"/>
  <c r="AM81" i="56"/>
  <c r="D82" i="56"/>
  <c r="E82" i="56"/>
  <c r="F82" i="56"/>
  <c r="G82" i="56"/>
  <c r="H82" i="56"/>
  <c r="I82" i="56"/>
  <c r="J82" i="56"/>
  <c r="K82" i="56"/>
  <c r="L82" i="56"/>
  <c r="M82" i="56"/>
  <c r="N82" i="56"/>
  <c r="O82" i="56"/>
  <c r="P82" i="56"/>
  <c r="Q82" i="56"/>
  <c r="R82" i="56"/>
  <c r="S82" i="56"/>
  <c r="T82" i="56"/>
  <c r="U82" i="56"/>
  <c r="V82" i="56"/>
  <c r="W82" i="56"/>
  <c r="X82" i="56"/>
  <c r="Y82" i="56"/>
  <c r="Z82" i="56"/>
  <c r="AA82" i="56"/>
  <c r="AB82" i="56"/>
  <c r="AC82" i="56"/>
  <c r="AD82" i="56"/>
  <c r="AE82" i="56"/>
  <c r="AF82" i="56"/>
  <c r="AG82" i="56"/>
  <c r="AH82" i="56"/>
  <c r="AI82" i="56"/>
  <c r="AJ82" i="56"/>
  <c r="AK82" i="56"/>
  <c r="AL82" i="56"/>
  <c r="AM82" i="56"/>
  <c r="D83" i="56"/>
  <c r="E83" i="56"/>
  <c r="F83" i="56"/>
  <c r="G83" i="56"/>
  <c r="H83" i="56"/>
  <c r="I83" i="56"/>
  <c r="J83" i="56"/>
  <c r="K83" i="56"/>
  <c r="L83" i="56"/>
  <c r="M83" i="56"/>
  <c r="N83" i="56"/>
  <c r="O83" i="56"/>
  <c r="P83" i="56"/>
  <c r="Q83" i="56"/>
  <c r="R83" i="56"/>
  <c r="S83" i="56"/>
  <c r="T83" i="56"/>
  <c r="U83" i="56"/>
  <c r="V83" i="56"/>
  <c r="W83" i="56"/>
  <c r="X83" i="56"/>
  <c r="Y83" i="56"/>
  <c r="Z83" i="56"/>
  <c r="AA83" i="56"/>
  <c r="AB83" i="56"/>
  <c r="AC83" i="56"/>
  <c r="AD83" i="56"/>
  <c r="AE83" i="56"/>
  <c r="AF83" i="56"/>
  <c r="AG83" i="56"/>
  <c r="AH83" i="56"/>
  <c r="AI83" i="56"/>
  <c r="AJ83" i="56"/>
  <c r="AK83" i="56"/>
  <c r="AL83" i="56"/>
  <c r="AM83" i="56"/>
  <c r="D84" i="56"/>
  <c r="E84" i="56"/>
  <c r="F84" i="56"/>
  <c r="G84" i="56"/>
  <c r="H84" i="56"/>
  <c r="I84" i="56"/>
  <c r="J84" i="56"/>
  <c r="K84" i="56"/>
  <c r="L84" i="56"/>
  <c r="M84" i="56"/>
  <c r="N84" i="56"/>
  <c r="O84" i="56"/>
  <c r="P84" i="56"/>
  <c r="Q84" i="56"/>
  <c r="R84" i="56"/>
  <c r="S84" i="56"/>
  <c r="T84" i="56"/>
  <c r="U84" i="56"/>
  <c r="V84" i="56"/>
  <c r="W84" i="56"/>
  <c r="X84" i="56"/>
  <c r="Y84" i="56"/>
  <c r="Z84" i="56"/>
  <c r="AA84" i="56"/>
  <c r="AB84" i="56"/>
  <c r="AC84" i="56"/>
  <c r="AD84" i="56"/>
  <c r="AE84" i="56"/>
  <c r="AF84" i="56"/>
  <c r="AG84" i="56"/>
  <c r="AH84" i="56"/>
  <c r="AI84" i="56"/>
  <c r="AJ84" i="56"/>
  <c r="AK84" i="56"/>
  <c r="AL84" i="56"/>
  <c r="AM84" i="56"/>
  <c r="D85" i="56"/>
  <c r="E85" i="56"/>
  <c r="F85" i="56"/>
  <c r="G85" i="56"/>
  <c r="H85" i="56"/>
  <c r="I85" i="56"/>
  <c r="J85" i="56"/>
  <c r="K85" i="56"/>
  <c r="L85" i="56"/>
  <c r="M85" i="56"/>
  <c r="N85" i="56"/>
  <c r="O85" i="56"/>
  <c r="P85" i="56"/>
  <c r="Q85" i="56"/>
  <c r="R85" i="56"/>
  <c r="S85" i="56"/>
  <c r="T85" i="56"/>
  <c r="U85" i="56"/>
  <c r="V85" i="56"/>
  <c r="W85" i="56"/>
  <c r="X85" i="56"/>
  <c r="Y85" i="56"/>
  <c r="Z85" i="56"/>
  <c r="AA85" i="56"/>
  <c r="AB85" i="56"/>
  <c r="AC85" i="56"/>
  <c r="AD85" i="56"/>
  <c r="AE85" i="56"/>
  <c r="AF85" i="56"/>
  <c r="AG85" i="56"/>
  <c r="AH85" i="56"/>
  <c r="AI85" i="56"/>
  <c r="AJ85" i="56"/>
  <c r="AK85" i="56"/>
  <c r="AL85" i="56"/>
  <c r="AM85" i="56"/>
  <c r="D86" i="56"/>
  <c r="E86" i="56"/>
  <c r="F86" i="56"/>
  <c r="G86" i="56"/>
  <c r="H86" i="56"/>
  <c r="I86" i="56"/>
  <c r="J86" i="56"/>
  <c r="K86" i="56"/>
  <c r="L86" i="56"/>
  <c r="M86" i="56"/>
  <c r="N86" i="56"/>
  <c r="O86" i="56"/>
  <c r="P86" i="56"/>
  <c r="Q86" i="56"/>
  <c r="R86" i="56"/>
  <c r="S86" i="56"/>
  <c r="T86" i="56"/>
  <c r="U86" i="56"/>
  <c r="V86" i="56"/>
  <c r="W86" i="56"/>
  <c r="X86" i="56"/>
  <c r="Y86" i="56"/>
  <c r="Z86" i="56"/>
  <c r="AA86" i="56"/>
  <c r="AB86" i="56"/>
  <c r="AC86" i="56"/>
  <c r="AD86" i="56"/>
  <c r="AE86" i="56"/>
  <c r="AF86" i="56"/>
  <c r="AG86" i="56"/>
  <c r="AH86" i="56"/>
  <c r="AI86" i="56"/>
  <c r="AJ86" i="56"/>
  <c r="AK86" i="56"/>
  <c r="AL86" i="56"/>
  <c r="AM86" i="56"/>
  <c r="D87" i="56"/>
  <c r="E87" i="56"/>
  <c r="F87" i="56"/>
  <c r="G87" i="56"/>
  <c r="H87" i="56"/>
  <c r="I87" i="56"/>
  <c r="J87" i="56"/>
  <c r="K87" i="56"/>
  <c r="L87" i="56"/>
  <c r="M87" i="56"/>
  <c r="N87" i="56"/>
  <c r="O87" i="56"/>
  <c r="P87" i="56"/>
  <c r="Q87" i="56"/>
  <c r="R87" i="56"/>
  <c r="S87" i="56"/>
  <c r="T87" i="56"/>
  <c r="U87" i="56"/>
  <c r="V87" i="56"/>
  <c r="W87" i="56"/>
  <c r="X87" i="56"/>
  <c r="Y87" i="56"/>
  <c r="Z87" i="56"/>
  <c r="AA87" i="56"/>
  <c r="AB87" i="56"/>
  <c r="AC87" i="56"/>
  <c r="AD87" i="56"/>
  <c r="AE87" i="56"/>
  <c r="AF87" i="56"/>
  <c r="AG87" i="56"/>
  <c r="AH87" i="56"/>
  <c r="AI87" i="56"/>
  <c r="AJ87" i="56"/>
  <c r="AK87" i="56"/>
  <c r="AL87" i="56"/>
  <c r="AM87" i="56"/>
  <c r="D88" i="56"/>
  <c r="E88" i="56"/>
  <c r="F88" i="56"/>
  <c r="G88" i="56"/>
  <c r="H88" i="56"/>
  <c r="I88" i="56"/>
  <c r="J88" i="56"/>
  <c r="K88" i="56"/>
  <c r="L88" i="56"/>
  <c r="M88" i="56"/>
  <c r="N88" i="56"/>
  <c r="O88" i="56"/>
  <c r="P88" i="56"/>
  <c r="Q88" i="56"/>
  <c r="R88" i="56"/>
  <c r="S88" i="56"/>
  <c r="T88" i="56"/>
  <c r="U88" i="56"/>
  <c r="V88" i="56"/>
  <c r="W88" i="56"/>
  <c r="X88" i="56"/>
  <c r="Y88" i="56"/>
  <c r="Z88" i="56"/>
  <c r="AA88" i="56"/>
  <c r="AB88" i="56"/>
  <c r="AC88" i="56"/>
  <c r="AD88" i="56"/>
  <c r="AE88" i="56"/>
  <c r="AF88" i="56"/>
  <c r="AG88" i="56"/>
  <c r="AH88" i="56"/>
  <c r="AI88" i="56"/>
  <c r="AJ88" i="56"/>
  <c r="AK88" i="56"/>
  <c r="AL88" i="56"/>
  <c r="AM88" i="56"/>
  <c r="D89" i="56"/>
  <c r="E89" i="56"/>
  <c r="F89" i="56"/>
  <c r="G89" i="56"/>
  <c r="H89" i="56"/>
  <c r="I89" i="56"/>
  <c r="J89" i="56"/>
  <c r="K89" i="56"/>
  <c r="L89" i="56"/>
  <c r="M89" i="56"/>
  <c r="N89" i="56"/>
  <c r="O89" i="56"/>
  <c r="P89" i="56"/>
  <c r="Q89" i="56"/>
  <c r="R89" i="56"/>
  <c r="S89" i="56"/>
  <c r="T89" i="56"/>
  <c r="U89" i="56"/>
  <c r="V89" i="56"/>
  <c r="W89" i="56"/>
  <c r="X89" i="56"/>
  <c r="Y89" i="56"/>
  <c r="Z89" i="56"/>
  <c r="AA89" i="56"/>
  <c r="AB89" i="56"/>
  <c r="AC89" i="56"/>
  <c r="AD89" i="56"/>
  <c r="AE89" i="56"/>
  <c r="AF89" i="56"/>
  <c r="AG89" i="56"/>
  <c r="AH89" i="56"/>
  <c r="AI89" i="56"/>
  <c r="AJ89" i="56"/>
  <c r="AK89" i="56"/>
  <c r="AL89" i="56"/>
  <c r="AM89" i="56"/>
  <c r="D90" i="56"/>
  <c r="E90" i="56"/>
  <c r="F90" i="56"/>
  <c r="G90" i="56"/>
  <c r="H90" i="56"/>
  <c r="I90" i="56"/>
  <c r="J90" i="56"/>
  <c r="K90" i="56"/>
  <c r="L90" i="56"/>
  <c r="M90" i="56"/>
  <c r="N90" i="56"/>
  <c r="O90" i="56"/>
  <c r="P90" i="56"/>
  <c r="Q90" i="56"/>
  <c r="R90" i="56"/>
  <c r="S90" i="56"/>
  <c r="T90" i="56"/>
  <c r="U90" i="56"/>
  <c r="V90" i="56"/>
  <c r="W90" i="56"/>
  <c r="X90" i="56"/>
  <c r="Y90" i="56"/>
  <c r="Z90" i="56"/>
  <c r="AA90" i="56"/>
  <c r="AB90" i="56"/>
  <c r="AC90" i="56"/>
  <c r="AD90" i="56"/>
  <c r="AE90" i="56"/>
  <c r="AF90" i="56"/>
  <c r="AG90" i="56"/>
  <c r="AH90" i="56"/>
  <c r="AI90" i="56"/>
  <c r="AJ90" i="56"/>
  <c r="AK90" i="56"/>
  <c r="AL90" i="56"/>
  <c r="AM90" i="56"/>
  <c r="D91" i="56"/>
  <c r="E91" i="56"/>
  <c r="F91" i="56"/>
  <c r="G91" i="56"/>
  <c r="H91" i="56"/>
  <c r="I91" i="56"/>
  <c r="J91" i="56"/>
  <c r="K91" i="56"/>
  <c r="L91" i="56"/>
  <c r="M91" i="56"/>
  <c r="N91" i="56"/>
  <c r="O91" i="56"/>
  <c r="P91" i="56"/>
  <c r="Q91" i="56"/>
  <c r="R91" i="56"/>
  <c r="S91" i="56"/>
  <c r="T91" i="56"/>
  <c r="U91" i="56"/>
  <c r="V91" i="56"/>
  <c r="W91" i="56"/>
  <c r="X91" i="56"/>
  <c r="Y91" i="56"/>
  <c r="Z91" i="56"/>
  <c r="AA91" i="56"/>
  <c r="AB91" i="56"/>
  <c r="AC91" i="56"/>
  <c r="AD91" i="56"/>
  <c r="AE91" i="56"/>
  <c r="AF91" i="56"/>
  <c r="AG91" i="56"/>
  <c r="AH91" i="56"/>
  <c r="AI91" i="56"/>
  <c r="AJ91" i="56"/>
  <c r="AK91" i="56"/>
  <c r="AL91" i="56"/>
  <c r="AM91" i="56"/>
  <c r="D92" i="56"/>
  <c r="E92" i="56"/>
  <c r="F92" i="56"/>
  <c r="G92" i="56"/>
  <c r="H92" i="56"/>
  <c r="I92" i="56"/>
  <c r="J92" i="56"/>
  <c r="K92" i="56"/>
  <c r="L92" i="56"/>
  <c r="M92" i="56"/>
  <c r="N92" i="56"/>
  <c r="O92" i="56"/>
  <c r="P92" i="56"/>
  <c r="Q92" i="56"/>
  <c r="R92" i="56"/>
  <c r="S92" i="56"/>
  <c r="T92" i="56"/>
  <c r="U92" i="56"/>
  <c r="V92" i="56"/>
  <c r="W92" i="56"/>
  <c r="X92" i="56"/>
  <c r="Y92" i="56"/>
  <c r="Z92" i="56"/>
  <c r="AA92" i="56"/>
  <c r="AB92" i="56"/>
  <c r="AC92" i="56"/>
  <c r="AD92" i="56"/>
  <c r="AE92" i="56"/>
  <c r="AF92" i="56"/>
  <c r="AG92" i="56"/>
  <c r="AH92" i="56"/>
  <c r="AI92" i="56"/>
  <c r="AJ92" i="56"/>
  <c r="AK92" i="56"/>
  <c r="AL92" i="56"/>
  <c r="AM92" i="56"/>
  <c r="D93" i="56"/>
  <c r="E93" i="56"/>
  <c r="F93" i="56"/>
  <c r="G93" i="56"/>
  <c r="H93" i="56"/>
  <c r="I93" i="56"/>
  <c r="J93" i="56"/>
  <c r="K93" i="56"/>
  <c r="L93" i="56"/>
  <c r="M93" i="56"/>
  <c r="N93" i="56"/>
  <c r="O93" i="56"/>
  <c r="P93" i="56"/>
  <c r="Q93" i="56"/>
  <c r="R93" i="56"/>
  <c r="S93" i="56"/>
  <c r="T93" i="56"/>
  <c r="U93" i="56"/>
  <c r="V93" i="56"/>
  <c r="W93" i="56"/>
  <c r="X93" i="56"/>
  <c r="Y93" i="56"/>
  <c r="Z93" i="56"/>
  <c r="AA93" i="56"/>
  <c r="AB93" i="56"/>
  <c r="AC93" i="56"/>
  <c r="AD93" i="56"/>
  <c r="AE93" i="56"/>
  <c r="AF93" i="56"/>
  <c r="AG93" i="56"/>
  <c r="AH93" i="56"/>
  <c r="AI93" i="56"/>
  <c r="AJ93" i="56"/>
  <c r="AK93" i="56"/>
  <c r="AL93" i="56"/>
  <c r="AM93" i="56"/>
  <c r="D94" i="56"/>
  <c r="E94" i="56"/>
  <c r="F94" i="56"/>
  <c r="G94" i="56"/>
  <c r="H94" i="56"/>
  <c r="I94" i="56"/>
  <c r="J94" i="56"/>
  <c r="K94" i="56"/>
  <c r="L94" i="56"/>
  <c r="M94" i="56"/>
  <c r="N94" i="56"/>
  <c r="O94" i="56"/>
  <c r="P94" i="56"/>
  <c r="Q94" i="56"/>
  <c r="R94" i="56"/>
  <c r="S94" i="56"/>
  <c r="T94" i="56"/>
  <c r="U94" i="56"/>
  <c r="V94" i="56"/>
  <c r="W94" i="56"/>
  <c r="X94" i="56"/>
  <c r="Y94" i="56"/>
  <c r="Z94" i="56"/>
  <c r="AA94" i="56"/>
  <c r="AB94" i="56"/>
  <c r="AC94" i="56"/>
  <c r="AD94" i="56"/>
  <c r="AE94" i="56"/>
  <c r="AF94" i="56"/>
  <c r="AG94" i="56"/>
  <c r="AH94" i="56"/>
  <c r="AI94" i="56"/>
  <c r="AJ94" i="56"/>
  <c r="AK94" i="56"/>
  <c r="AL94" i="56"/>
  <c r="AM94" i="56"/>
  <c r="D95" i="56"/>
  <c r="E95" i="56"/>
  <c r="F95" i="56"/>
  <c r="G95" i="56"/>
  <c r="H95" i="56"/>
  <c r="I95" i="56"/>
  <c r="J95" i="56"/>
  <c r="K95" i="56"/>
  <c r="L95" i="56"/>
  <c r="M95" i="56"/>
  <c r="N95" i="56"/>
  <c r="O95" i="56"/>
  <c r="P95" i="56"/>
  <c r="Q95" i="56"/>
  <c r="R95" i="56"/>
  <c r="S95" i="56"/>
  <c r="T95" i="56"/>
  <c r="U95" i="56"/>
  <c r="V95" i="56"/>
  <c r="W95" i="56"/>
  <c r="X95" i="56"/>
  <c r="Y95" i="56"/>
  <c r="Z95" i="56"/>
  <c r="AA95" i="56"/>
  <c r="AB95" i="56"/>
  <c r="AC95" i="56"/>
  <c r="AD95" i="56"/>
  <c r="AE95" i="56"/>
  <c r="AF95" i="56"/>
  <c r="AG95" i="56"/>
  <c r="AH95" i="56"/>
  <c r="AI95" i="56"/>
  <c r="AJ95" i="56"/>
  <c r="AK95" i="56"/>
  <c r="AL95" i="56"/>
  <c r="AM95" i="56"/>
  <c r="D96" i="56"/>
  <c r="E96" i="56"/>
  <c r="F96" i="56"/>
  <c r="G96" i="56"/>
  <c r="H96" i="56"/>
  <c r="I96" i="56"/>
  <c r="J96" i="56"/>
  <c r="K96" i="56"/>
  <c r="L96" i="56"/>
  <c r="M96" i="56"/>
  <c r="N96" i="56"/>
  <c r="O96" i="56"/>
  <c r="P96" i="56"/>
  <c r="Q96" i="56"/>
  <c r="R96" i="56"/>
  <c r="S96" i="56"/>
  <c r="T96" i="56"/>
  <c r="U96" i="56"/>
  <c r="V96" i="56"/>
  <c r="W96" i="56"/>
  <c r="X96" i="56"/>
  <c r="Y96" i="56"/>
  <c r="Z96" i="56"/>
  <c r="AA96" i="56"/>
  <c r="AB96" i="56"/>
  <c r="AC96" i="56"/>
  <c r="AD96" i="56"/>
  <c r="AE96" i="56"/>
  <c r="AF96" i="56"/>
  <c r="AG96" i="56"/>
  <c r="AH96" i="56"/>
  <c r="AI96" i="56"/>
  <c r="AJ96" i="56"/>
  <c r="AK96" i="56"/>
  <c r="AL96" i="56"/>
  <c r="AM96" i="56"/>
  <c r="D97" i="56"/>
  <c r="E97" i="56"/>
  <c r="F97" i="56"/>
  <c r="G97" i="56"/>
  <c r="H97" i="56"/>
  <c r="I97" i="56"/>
  <c r="J97" i="56"/>
  <c r="K97" i="56"/>
  <c r="L97" i="56"/>
  <c r="M97" i="56"/>
  <c r="N97" i="56"/>
  <c r="O97" i="56"/>
  <c r="P97" i="56"/>
  <c r="Q97" i="56"/>
  <c r="R97" i="56"/>
  <c r="S97" i="56"/>
  <c r="T97" i="56"/>
  <c r="U97" i="56"/>
  <c r="V97" i="56"/>
  <c r="W97" i="56"/>
  <c r="X97" i="56"/>
  <c r="Y97" i="56"/>
  <c r="Z97" i="56"/>
  <c r="AA97" i="56"/>
  <c r="AB97" i="56"/>
  <c r="AC97" i="56"/>
  <c r="AD97" i="56"/>
  <c r="AE97" i="56"/>
  <c r="AF97" i="56"/>
  <c r="AG97" i="56"/>
  <c r="AH97" i="56"/>
  <c r="AI97" i="56"/>
  <c r="AJ97" i="56"/>
  <c r="AK97" i="56"/>
  <c r="AL97" i="56"/>
  <c r="AM97" i="56"/>
  <c r="D98" i="56"/>
  <c r="E98" i="56"/>
  <c r="F98" i="56"/>
  <c r="G98" i="56"/>
  <c r="H98" i="56"/>
  <c r="I98" i="56"/>
  <c r="J98" i="56"/>
  <c r="K98" i="56"/>
  <c r="L98" i="56"/>
  <c r="M98" i="56"/>
  <c r="N98" i="56"/>
  <c r="O98" i="56"/>
  <c r="P98" i="56"/>
  <c r="Q98" i="56"/>
  <c r="R98" i="56"/>
  <c r="S98" i="56"/>
  <c r="T98" i="56"/>
  <c r="U98" i="56"/>
  <c r="V98" i="56"/>
  <c r="W98" i="56"/>
  <c r="X98" i="56"/>
  <c r="Y98" i="56"/>
  <c r="Z98" i="56"/>
  <c r="AA98" i="56"/>
  <c r="AB98" i="56"/>
  <c r="AC98" i="56"/>
  <c r="AD98" i="56"/>
  <c r="AE98" i="56"/>
  <c r="AF98" i="56"/>
  <c r="AG98" i="56"/>
  <c r="AH98" i="56"/>
  <c r="AI98" i="56"/>
  <c r="AJ98" i="56"/>
  <c r="AK98" i="56"/>
  <c r="AL98" i="56"/>
  <c r="AM98" i="56"/>
  <c r="D99" i="56"/>
  <c r="E99" i="56"/>
  <c r="F99" i="56"/>
  <c r="G99" i="56"/>
  <c r="H99" i="56"/>
  <c r="I99" i="56"/>
  <c r="J99" i="56"/>
  <c r="K99" i="56"/>
  <c r="L99" i="56"/>
  <c r="M99" i="56"/>
  <c r="N99" i="56"/>
  <c r="O99" i="56"/>
  <c r="P99" i="56"/>
  <c r="Q99" i="56"/>
  <c r="R99" i="56"/>
  <c r="S99" i="56"/>
  <c r="T99" i="56"/>
  <c r="U99" i="56"/>
  <c r="V99" i="56"/>
  <c r="W99" i="56"/>
  <c r="X99" i="56"/>
  <c r="Y99" i="56"/>
  <c r="Z99" i="56"/>
  <c r="AA99" i="56"/>
  <c r="AB99" i="56"/>
  <c r="AC99" i="56"/>
  <c r="AD99" i="56"/>
  <c r="AE99" i="56"/>
  <c r="AF99" i="56"/>
  <c r="AG99" i="56"/>
  <c r="AH99" i="56"/>
  <c r="AI99" i="56"/>
  <c r="AJ99" i="56"/>
  <c r="AK99" i="56"/>
  <c r="AL99" i="56"/>
  <c r="AM99" i="56"/>
  <c r="D100" i="56"/>
  <c r="E100" i="56"/>
  <c r="F100" i="56"/>
  <c r="G100" i="56"/>
  <c r="H100" i="56"/>
  <c r="I100" i="56"/>
  <c r="J100" i="56"/>
  <c r="K100" i="56"/>
  <c r="L100" i="56"/>
  <c r="M100" i="56"/>
  <c r="N100" i="56"/>
  <c r="O100" i="56"/>
  <c r="P100" i="56"/>
  <c r="Q100" i="56"/>
  <c r="R100" i="56"/>
  <c r="S100" i="56"/>
  <c r="T100" i="56"/>
  <c r="U100" i="56"/>
  <c r="V100" i="56"/>
  <c r="W100" i="56"/>
  <c r="X100" i="56"/>
  <c r="Y100" i="56"/>
  <c r="Z100" i="56"/>
  <c r="AA100" i="56"/>
  <c r="AB100" i="56"/>
  <c r="AC100" i="56"/>
  <c r="AD100" i="56"/>
  <c r="AE100" i="56"/>
  <c r="AF100" i="56"/>
  <c r="AG100" i="56"/>
  <c r="AH100" i="56"/>
  <c r="AI100" i="56"/>
  <c r="AJ100" i="56"/>
  <c r="AK100" i="56"/>
  <c r="AL100" i="56"/>
  <c r="AM100" i="56"/>
  <c r="D101" i="56"/>
  <c r="E101" i="56"/>
  <c r="F101" i="56"/>
  <c r="G101" i="56"/>
  <c r="H101" i="56"/>
  <c r="I101" i="56"/>
  <c r="J101" i="56"/>
  <c r="K101" i="56"/>
  <c r="L101" i="56"/>
  <c r="M101" i="56"/>
  <c r="N101" i="56"/>
  <c r="O101" i="56"/>
  <c r="P101" i="56"/>
  <c r="Q101" i="56"/>
  <c r="R101" i="56"/>
  <c r="S101" i="56"/>
  <c r="T101" i="56"/>
  <c r="U101" i="56"/>
  <c r="V101" i="56"/>
  <c r="W101" i="56"/>
  <c r="X101" i="56"/>
  <c r="Y101" i="56"/>
  <c r="Z101" i="56"/>
  <c r="AA101" i="56"/>
  <c r="AB101" i="56"/>
  <c r="AC101" i="56"/>
  <c r="AD101" i="56"/>
  <c r="AE101" i="56"/>
  <c r="AF101" i="56"/>
  <c r="AG101" i="56"/>
  <c r="AH101" i="56"/>
  <c r="AI101" i="56"/>
  <c r="AJ101" i="56"/>
  <c r="AK101" i="56"/>
  <c r="AL101" i="56"/>
  <c r="AM101" i="56"/>
  <c r="D102" i="56"/>
  <c r="E102" i="56"/>
  <c r="F102" i="56"/>
  <c r="G102" i="56"/>
  <c r="H102" i="56"/>
  <c r="I102" i="56"/>
  <c r="J102" i="56"/>
  <c r="K102" i="56"/>
  <c r="L102" i="56"/>
  <c r="M102" i="56"/>
  <c r="N102" i="56"/>
  <c r="O102" i="56"/>
  <c r="P102" i="56"/>
  <c r="Q102" i="56"/>
  <c r="R102" i="56"/>
  <c r="S102" i="56"/>
  <c r="T102" i="56"/>
  <c r="U102" i="56"/>
  <c r="V102" i="56"/>
  <c r="W102" i="56"/>
  <c r="X102" i="56"/>
  <c r="Y102" i="56"/>
  <c r="Z102" i="56"/>
  <c r="AA102" i="56"/>
  <c r="AB102" i="56"/>
  <c r="AC102" i="56"/>
  <c r="AD102" i="56"/>
  <c r="AE102" i="56"/>
  <c r="AF102" i="56"/>
  <c r="AG102" i="56"/>
  <c r="AH102" i="56"/>
  <c r="AI102" i="56"/>
  <c r="AJ102" i="56"/>
  <c r="AK102" i="56"/>
  <c r="AL102" i="56"/>
  <c r="AM102" i="56"/>
  <c r="D103" i="56"/>
  <c r="E103" i="56"/>
  <c r="F103" i="56"/>
  <c r="G103" i="56"/>
  <c r="H103" i="56"/>
  <c r="I103" i="56"/>
  <c r="J103" i="56"/>
  <c r="K103" i="56"/>
  <c r="L103" i="56"/>
  <c r="M103" i="56"/>
  <c r="N103" i="56"/>
  <c r="O103" i="56"/>
  <c r="P103" i="56"/>
  <c r="Q103" i="56"/>
  <c r="R103" i="56"/>
  <c r="S103" i="56"/>
  <c r="T103" i="56"/>
  <c r="U103" i="56"/>
  <c r="V103" i="56"/>
  <c r="W103" i="56"/>
  <c r="X103" i="56"/>
  <c r="Y103" i="56"/>
  <c r="Z103" i="56"/>
  <c r="AA103" i="56"/>
  <c r="AB103" i="56"/>
  <c r="AC103" i="56"/>
  <c r="AD103" i="56"/>
  <c r="AE103" i="56"/>
  <c r="AF103" i="56"/>
  <c r="AG103" i="56"/>
  <c r="AH103" i="56"/>
  <c r="AI103" i="56"/>
  <c r="AJ103" i="56"/>
  <c r="AK103" i="56"/>
  <c r="AL103" i="56"/>
  <c r="AM103" i="56"/>
  <c r="D104" i="56"/>
  <c r="E104" i="56"/>
  <c r="F104" i="56"/>
  <c r="G104" i="56"/>
  <c r="H104" i="56"/>
  <c r="I104" i="56"/>
  <c r="J104" i="56"/>
  <c r="K104" i="56"/>
  <c r="L104" i="56"/>
  <c r="M104" i="56"/>
  <c r="N104" i="56"/>
  <c r="O104" i="56"/>
  <c r="P104" i="56"/>
  <c r="Q104" i="56"/>
  <c r="R104" i="56"/>
  <c r="S104" i="56"/>
  <c r="T104" i="56"/>
  <c r="U104" i="56"/>
  <c r="V104" i="56"/>
  <c r="W104" i="56"/>
  <c r="X104" i="56"/>
  <c r="Y104" i="56"/>
  <c r="Z104" i="56"/>
  <c r="AA104" i="56"/>
  <c r="AB104" i="56"/>
  <c r="AC104" i="56"/>
  <c r="AD104" i="56"/>
  <c r="AE104" i="56"/>
  <c r="AF104" i="56"/>
  <c r="AG104" i="56"/>
  <c r="AH104" i="56"/>
  <c r="AI104" i="56"/>
  <c r="AJ104" i="56"/>
  <c r="AK104" i="56"/>
  <c r="AL104" i="56"/>
  <c r="AM104" i="56"/>
  <c r="D105" i="56"/>
  <c r="E105" i="56"/>
  <c r="F105" i="56"/>
  <c r="G105" i="56"/>
  <c r="H105" i="56"/>
  <c r="I105" i="56"/>
  <c r="J105" i="56"/>
  <c r="K105" i="56"/>
  <c r="L105" i="56"/>
  <c r="M105" i="56"/>
  <c r="N105" i="56"/>
  <c r="O105" i="56"/>
  <c r="P105" i="56"/>
  <c r="Q105" i="56"/>
  <c r="R105" i="56"/>
  <c r="S105" i="56"/>
  <c r="T105" i="56"/>
  <c r="U105" i="56"/>
  <c r="V105" i="56"/>
  <c r="W105" i="56"/>
  <c r="X105" i="56"/>
  <c r="Y105" i="56"/>
  <c r="Z105" i="56"/>
  <c r="AA105" i="56"/>
  <c r="AB105" i="56"/>
  <c r="AC105" i="56"/>
  <c r="AD105" i="56"/>
  <c r="AE105" i="56"/>
  <c r="AF105" i="56"/>
  <c r="AG105" i="56"/>
  <c r="AH105" i="56"/>
  <c r="AI105" i="56"/>
  <c r="AJ105" i="56"/>
  <c r="AK105" i="56"/>
  <c r="AL105" i="56"/>
  <c r="AM105" i="56"/>
  <c r="D106" i="56"/>
  <c r="E106" i="56"/>
  <c r="F106" i="56"/>
  <c r="G106" i="56"/>
  <c r="H106" i="56"/>
  <c r="I106" i="56"/>
  <c r="J106" i="56"/>
  <c r="K106" i="56"/>
  <c r="L106" i="56"/>
  <c r="M106" i="56"/>
  <c r="N106" i="56"/>
  <c r="O106" i="56"/>
  <c r="P106" i="56"/>
  <c r="Q106" i="56"/>
  <c r="R106" i="56"/>
  <c r="S106" i="56"/>
  <c r="T106" i="56"/>
  <c r="U106" i="56"/>
  <c r="V106" i="56"/>
  <c r="W106" i="56"/>
  <c r="X106" i="56"/>
  <c r="Y106" i="56"/>
  <c r="Z106" i="56"/>
  <c r="AA106" i="56"/>
  <c r="AB106" i="56"/>
  <c r="AC106" i="56"/>
  <c r="AD106" i="56"/>
  <c r="AE106" i="56"/>
  <c r="AF106" i="56"/>
  <c r="AG106" i="56"/>
  <c r="AH106" i="56"/>
  <c r="AI106" i="56"/>
  <c r="AJ106" i="56"/>
  <c r="AK106" i="56"/>
  <c r="AL106" i="56"/>
  <c r="AM106" i="56"/>
  <c r="D107" i="56"/>
  <c r="E107" i="56"/>
  <c r="F107" i="56"/>
  <c r="G107" i="56"/>
  <c r="H107" i="56"/>
  <c r="I107" i="56"/>
  <c r="J107" i="56"/>
  <c r="K107" i="56"/>
  <c r="L107" i="56"/>
  <c r="M107" i="56"/>
  <c r="N107" i="56"/>
  <c r="O107" i="56"/>
  <c r="P107" i="56"/>
  <c r="Q107" i="56"/>
  <c r="R107" i="56"/>
  <c r="S107" i="56"/>
  <c r="T107" i="56"/>
  <c r="U107" i="56"/>
  <c r="V107" i="56"/>
  <c r="W107" i="56"/>
  <c r="X107" i="56"/>
  <c r="Y107" i="56"/>
  <c r="Z107" i="56"/>
  <c r="AA107" i="56"/>
  <c r="AB107" i="56"/>
  <c r="AC107" i="56"/>
  <c r="AD107" i="56"/>
  <c r="AE107" i="56"/>
  <c r="AF107" i="56"/>
  <c r="AG107" i="56"/>
  <c r="AH107" i="56"/>
  <c r="AI107" i="56"/>
  <c r="AJ107" i="56"/>
  <c r="AK107" i="56"/>
  <c r="AL107" i="56"/>
  <c r="AM107" i="56"/>
  <c r="D108" i="56"/>
  <c r="E108" i="56"/>
  <c r="F108" i="56"/>
  <c r="G108" i="56"/>
  <c r="H108" i="56"/>
  <c r="I108" i="56"/>
  <c r="J108" i="56"/>
  <c r="K108" i="56"/>
  <c r="L108" i="56"/>
  <c r="M108" i="56"/>
  <c r="N108" i="56"/>
  <c r="O108" i="56"/>
  <c r="P108" i="56"/>
  <c r="Q108" i="56"/>
  <c r="R108" i="56"/>
  <c r="S108" i="56"/>
  <c r="T108" i="56"/>
  <c r="U108" i="56"/>
  <c r="V108" i="56"/>
  <c r="W108" i="56"/>
  <c r="X108" i="56"/>
  <c r="Y108" i="56"/>
  <c r="Z108" i="56"/>
  <c r="AA108" i="56"/>
  <c r="AB108" i="56"/>
  <c r="AC108" i="56"/>
  <c r="AD108" i="56"/>
  <c r="AE108" i="56"/>
  <c r="AF108" i="56"/>
  <c r="AG108" i="56"/>
  <c r="AH108" i="56"/>
  <c r="AI108" i="56"/>
  <c r="AJ108" i="56"/>
  <c r="AK108" i="56"/>
  <c r="AL108" i="56"/>
  <c r="AM108" i="56"/>
  <c r="D109" i="56"/>
  <c r="E109" i="56"/>
  <c r="F109" i="56"/>
  <c r="G109" i="56"/>
  <c r="H109" i="56"/>
  <c r="I109" i="56"/>
  <c r="J109" i="56"/>
  <c r="K109" i="56"/>
  <c r="L109" i="56"/>
  <c r="M109" i="56"/>
  <c r="N109" i="56"/>
  <c r="O109" i="56"/>
  <c r="P109" i="56"/>
  <c r="Q109" i="56"/>
  <c r="R109" i="56"/>
  <c r="S109" i="56"/>
  <c r="T109" i="56"/>
  <c r="U109" i="56"/>
  <c r="V109" i="56"/>
  <c r="W109" i="56"/>
  <c r="X109" i="56"/>
  <c r="Y109" i="56"/>
  <c r="Z109" i="56"/>
  <c r="AA109" i="56"/>
  <c r="AB109" i="56"/>
  <c r="AC109" i="56"/>
  <c r="AD109" i="56"/>
  <c r="AE109" i="56"/>
  <c r="AF109" i="56"/>
  <c r="AG109" i="56"/>
  <c r="AH109" i="56"/>
  <c r="AI109" i="56"/>
  <c r="AJ109" i="56"/>
  <c r="AK109" i="56"/>
  <c r="AL109" i="56"/>
  <c r="AM109" i="56"/>
  <c r="D110" i="56"/>
  <c r="E110" i="56"/>
  <c r="F110" i="56"/>
  <c r="G110" i="56"/>
  <c r="H110" i="56"/>
  <c r="I110" i="56"/>
  <c r="J110" i="56"/>
  <c r="K110" i="56"/>
  <c r="L110" i="56"/>
  <c r="M110" i="56"/>
  <c r="N110" i="56"/>
  <c r="O110" i="56"/>
  <c r="P110" i="56"/>
  <c r="Q110" i="56"/>
  <c r="R110" i="56"/>
  <c r="S110" i="56"/>
  <c r="T110" i="56"/>
  <c r="U110" i="56"/>
  <c r="V110" i="56"/>
  <c r="W110" i="56"/>
  <c r="X110" i="56"/>
  <c r="Y110" i="56"/>
  <c r="Z110" i="56"/>
  <c r="AA110" i="56"/>
  <c r="AB110" i="56"/>
  <c r="AC110" i="56"/>
  <c r="AD110" i="56"/>
  <c r="AE110" i="56"/>
  <c r="AF110" i="56"/>
  <c r="AG110" i="56"/>
  <c r="AH110" i="56"/>
  <c r="AI110" i="56"/>
  <c r="AJ110" i="56"/>
  <c r="AK110" i="56"/>
  <c r="AL110" i="56"/>
  <c r="AM110" i="56"/>
  <c r="D111" i="56"/>
  <c r="E111" i="56"/>
  <c r="F111" i="56"/>
  <c r="G111" i="56"/>
  <c r="H111" i="56"/>
  <c r="I111" i="56"/>
  <c r="J111" i="56"/>
  <c r="K111" i="56"/>
  <c r="L111" i="56"/>
  <c r="M111" i="56"/>
  <c r="N111" i="56"/>
  <c r="O111" i="56"/>
  <c r="P111" i="56"/>
  <c r="Q111" i="56"/>
  <c r="R111" i="56"/>
  <c r="S111" i="56"/>
  <c r="T111" i="56"/>
  <c r="U111" i="56"/>
  <c r="V111" i="56"/>
  <c r="W111" i="56"/>
  <c r="X111" i="56"/>
  <c r="Y111" i="56"/>
  <c r="Z111" i="56"/>
  <c r="AA111" i="56"/>
  <c r="AB111" i="56"/>
  <c r="AC111" i="56"/>
  <c r="AD111" i="56"/>
  <c r="AE111" i="56"/>
  <c r="AF111" i="56"/>
  <c r="AG111" i="56"/>
  <c r="AH111" i="56"/>
  <c r="AI111" i="56"/>
  <c r="AJ111" i="56"/>
  <c r="AK111" i="56"/>
  <c r="AL111" i="56"/>
  <c r="AM111" i="56"/>
  <c r="D112" i="56"/>
  <c r="E112" i="56"/>
  <c r="F112" i="56"/>
  <c r="G112" i="56"/>
  <c r="H112" i="56"/>
  <c r="I112" i="56"/>
  <c r="J112" i="56"/>
  <c r="K112" i="56"/>
  <c r="L112" i="56"/>
  <c r="M112" i="56"/>
  <c r="N112" i="56"/>
  <c r="O112" i="56"/>
  <c r="P112" i="56"/>
  <c r="Q112" i="56"/>
  <c r="R112" i="56"/>
  <c r="S112" i="56"/>
  <c r="T112" i="56"/>
  <c r="U112" i="56"/>
  <c r="V112" i="56"/>
  <c r="W112" i="56"/>
  <c r="X112" i="56"/>
  <c r="Y112" i="56"/>
  <c r="Z112" i="56"/>
  <c r="AA112" i="56"/>
  <c r="AB112" i="56"/>
  <c r="AC112" i="56"/>
  <c r="AD112" i="56"/>
  <c r="AE112" i="56"/>
  <c r="AF112" i="56"/>
  <c r="AG112" i="56"/>
  <c r="AH112" i="56"/>
  <c r="AI112" i="56"/>
  <c r="AJ112" i="56"/>
  <c r="AK112" i="56"/>
  <c r="AL112" i="56"/>
  <c r="AM112" i="56"/>
  <c r="D113" i="56"/>
  <c r="E113" i="56"/>
  <c r="F113" i="56"/>
  <c r="G113" i="56"/>
  <c r="H113" i="56"/>
  <c r="I113" i="56"/>
  <c r="J113" i="56"/>
  <c r="K113" i="56"/>
  <c r="L113" i="56"/>
  <c r="M113" i="56"/>
  <c r="N113" i="56"/>
  <c r="O113" i="56"/>
  <c r="P113" i="56"/>
  <c r="Q113" i="56"/>
  <c r="R113" i="56"/>
  <c r="S113" i="56"/>
  <c r="T113" i="56"/>
  <c r="U113" i="56"/>
  <c r="V113" i="56"/>
  <c r="W113" i="56"/>
  <c r="X113" i="56"/>
  <c r="Y113" i="56"/>
  <c r="Z113" i="56"/>
  <c r="AA113" i="56"/>
  <c r="AB113" i="56"/>
  <c r="AC113" i="56"/>
  <c r="AD113" i="56"/>
  <c r="AE113" i="56"/>
  <c r="AF113" i="56"/>
  <c r="AG113" i="56"/>
  <c r="AH113" i="56"/>
  <c r="AI113" i="56"/>
  <c r="AJ113" i="56"/>
  <c r="AK113" i="56"/>
  <c r="AL113" i="56"/>
  <c r="AM113" i="56"/>
  <c r="D114" i="56"/>
  <c r="E114" i="56"/>
  <c r="F114" i="56"/>
  <c r="G114" i="56"/>
  <c r="H114" i="56"/>
  <c r="I114" i="56"/>
  <c r="J114" i="56"/>
  <c r="K114" i="56"/>
  <c r="L114" i="56"/>
  <c r="M114" i="56"/>
  <c r="N114" i="56"/>
  <c r="O114" i="56"/>
  <c r="P114" i="56"/>
  <c r="Q114" i="56"/>
  <c r="R114" i="56"/>
  <c r="S114" i="56"/>
  <c r="T114" i="56"/>
  <c r="U114" i="56"/>
  <c r="V114" i="56"/>
  <c r="W114" i="56"/>
  <c r="X114" i="56"/>
  <c r="Y114" i="56"/>
  <c r="Z114" i="56"/>
  <c r="AA114" i="56"/>
  <c r="AB114" i="56"/>
  <c r="AC114" i="56"/>
  <c r="AD114" i="56"/>
  <c r="AE114" i="56"/>
  <c r="AF114" i="56"/>
  <c r="AG114" i="56"/>
  <c r="AH114" i="56"/>
  <c r="AI114" i="56"/>
  <c r="AJ114" i="56"/>
  <c r="AK114" i="56"/>
  <c r="AL114" i="56"/>
  <c r="AM114" i="56"/>
  <c r="D115" i="56"/>
  <c r="E115" i="56"/>
  <c r="F115" i="56"/>
  <c r="G115" i="56"/>
  <c r="H115" i="56"/>
  <c r="I115" i="56"/>
  <c r="J115" i="56"/>
  <c r="K115" i="56"/>
  <c r="L115" i="56"/>
  <c r="M115" i="56"/>
  <c r="N115" i="56"/>
  <c r="O115" i="56"/>
  <c r="P115" i="56"/>
  <c r="Q115" i="56"/>
  <c r="R115" i="56"/>
  <c r="S115" i="56"/>
  <c r="T115" i="56"/>
  <c r="U115" i="56"/>
  <c r="V115" i="56"/>
  <c r="W115" i="56"/>
  <c r="X115" i="56"/>
  <c r="Y115" i="56"/>
  <c r="Z115" i="56"/>
  <c r="AA115" i="56"/>
  <c r="AB115" i="56"/>
  <c r="AC115" i="56"/>
  <c r="AD115" i="56"/>
  <c r="AE115" i="56"/>
  <c r="AF115" i="56"/>
  <c r="AG115" i="56"/>
  <c r="AH115" i="56"/>
  <c r="AI115" i="56"/>
  <c r="AJ115" i="56"/>
  <c r="AK115" i="56"/>
  <c r="AL115" i="56"/>
  <c r="AM115" i="56"/>
  <c r="D116" i="56"/>
  <c r="E116" i="56"/>
  <c r="F116" i="56"/>
  <c r="G116" i="56"/>
  <c r="H116" i="56"/>
  <c r="I116" i="56"/>
  <c r="J116" i="56"/>
  <c r="K116" i="56"/>
  <c r="L116" i="56"/>
  <c r="M116" i="56"/>
  <c r="N116" i="56"/>
  <c r="O116" i="56"/>
  <c r="P116" i="56"/>
  <c r="Q116" i="56"/>
  <c r="R116" i="56"/>
  <c r="S116" i="56"/>
  <c r="T116" i="56"/>
  <c r="U116" i="56"/>
  <c r="V116" i="56"/>
  <c r="W116" i="56"/>
  <c r="X116" i="56"/>
  <c r="Y116" i="56"/>
  <c r="Z116" i="56"/>
  <c r="AA116" i="56"/>
  <c r="AB116" i="56"/>
  <c r="AC116" i="56"/>
  <c r="AD116" i="56"/>
  <c r="AE116" i="56"/>
  <c r="AF116" i="56"/>
  <c r="AG116" i="56"/>
  <c r="AH116" i="56"/>
  <c r="AI116" i="56"/>
  <c r="AJ116" i="56"/>
  <c r="AK116" i="56"/>
  <c r="AL116" i="56"/>
  <c r="AM116" i="56"/>
  <c r="D117" i="56"/>
  <c r="E117" i="56"/>
  <c r="F117" i="56"/>
  <c r="G117" i="56"/>
  <c r="H117" i="56"/>
  <c r="I117" i="56"/>
  <c r="J117" i="56"/>
  <c r="K117" i="56"/>
  <c r="L117" i="56"/>
  <c r="M117" i="56"/>
  <c r="N117" i="56"/>
  <c r="O117" i="56"/>
  <c r="P117" i="56"/>
  <c r="Q117" i="56"/>
  <c r="R117" i="56"/>
  <c r="S117" i="56"/>
  <c r="T117" i="56"/>
  <c r="U117" i="56"/>
  <c r="V117" i="56"/>
  <c r="W117" i="56"/>
  <c r="X117" i="56"/>
  <c r="Y117" i="56"/>
  <c r="Z117" i="56"/>
  <c r="AA117" i="56"/>
  <c r="AB117" i="56"/>
  <c r="AC117" i="56"/>
  <c r="AD117" i="56"/>
  <c r="AE117" i="56"/>
  <c r="AF117" i="56"/>
  <c r="AG117" i="56"/>
  <c r="AH117" i="56"/>
  <c r="AI117" i="56"/>
  <c r="AJ117" i="56"/>
  <c r="AK117" i="56"/>
  <c r="AL117" i="56"/>
  <c r="AM117" i="56"/>
  <c r="D118" i="56"/>
  <c r="E118" i="56"/>
  <c r="F118" i="56"/>
  <c r="G118" i="56"/>
  <c r="H118" i="56"/>
  <c r="I118" i="56"/>
  <c r="J118" i="56"/>
  <c r="K118" i="56"/>
  <c r="L118" i="56"/>
  <c r="M118" i="56"/>
  <c r="N118" i="56"/>
  <c r="O118" i="56"/>
  <c r="P118" i="56"/>
  <c r="Q118" i="56"/>
  <c r="R118" i="56"/>
  <c r="S118" i="56"/>
  <c r="T118" i="56"/>
  <c r="U118" i="56"/>
  <c r="V118" i="56"/>
  <c r="W118" i="56"/>
  <c r="X118" i="56"/>
  <c r="Y118" i="56"/>
  <c r="Z118" i="56"/>
  <c r="AA118" i="56"/>
  <c r="AB118" i="56"/>
  <c r="AC118" i="56"/>
  <c r="AD118" i="56"/>
  <c r="AE118" i="56"/>
  <c r="AF118" i="56"/>
  <c r="AG118" i="56"/>
  <c r="AH118" i="56"/>
  <c r="AI118" i="56"/>
  <c r="AJ118" i="56"/>
  <c r="AK118" i="56"/>
  <c r="AL118" i="56"/>
  <c r="AM118" i="56"/>
  <c r="D119" i="56"/>
  <c r="E119" i="56"/>
  <c r="F119" i="56"/>
  <c r="G119" i="56"/>
  <c r="H119" i="56"/>
  <c r="I119" i="56"/>
  <c r="J119" i="56"/>
  <c r="K119" i="56"/>
  <c r="L119" i="56"/>
  <c r="M119" i="56"/>
  <c r="N119" i="56"/>
  <c r="O119" i="56"/>
  <c r="P119" i="56"/>
  <c r="Q119" i="56"/>
  <c r="R119" i="56"/>
  <c r="S119" i="56"/>
  <c r="T119" i="56"/>
  <c r="U119" i="56"/>
  <c r="V119" i="56"/>
  <c r="W119" i="56"/>
  <c r="X119" i="56"/>
  <c r="Y119" i="56"/>
  <c r="Z119" i="56"/>
  <c r="AA119" i="56"/>
  <c r="AB119" i="56"/>
  <c r="AC119" i="56"/>
  <c r="AD119" i="56"/>
  <c r="AE119" i="56"/>
  <c r="AF119" i="56"/>
  <c r="AG119" i="56"/>
  <c r="AH119" i="56"/>
  <c r="AI119" i="56"/>
  <c r="AJ119" i="56"/>
  <c r="AK119" i="56"/>
  <c r="AL119" i="56"/>
  <c r="AM119" i="56"/>
  <c r="D120" i="56"/>
  <c r="E120" i="56"/>
  <c r="F120" i="56"/>
  <c r="G120" i="56"/>
  <c r="H120" i="56"/>
  <c r="I120" i="56"/>
  <c r="J120" i="56"/>
  <c r="K120" i="56"/>
  <c r="L120" i="56"/>
  <c r="M120" i="56"/>
  <c r="N120" i="56"/>
  <c r="O120" i="56"/>
  <c r="P120" i="56"/>
  <c r="Q120" i="56"/>
  <c r="R120" i="56"/>
  <c r="S120" i="56"/>
  <c r="T120" i="56"/>
  <c r="U120" i="56"/>
  <c r="V120" i="56"/>
  <c r="W120" i="56"/>
  <c r="X120" i="56"/>
  <c r="Y120" i="56"/>
  <c r="Z120" i="56"/>
  <c r="AA120" i="56"/>
  <c r="AB120" i="56"/>
  <c r="AC120" i="56"/>
  <c r="AD120" i="56"/>
  <c r="AE120" i="56"/>
  <c r="AF120" i="56"/>
  <c r="AG120" i="56"/>
  <c r="AH120" i="56"/>
  <c r="AI120" i="56"/>
  <c r="AJ120" i="56"/>
  <c r="AK120" i="56"/>
  <c r="AL120" i="56"/>
  <c r="AM120" i="56"/>
  <c r="D121" i="56"/>
  <c r="E121" i="56"/>
  <c r="F121" i="56"/>
  <c r="G121" i="56"/>
  <c r="H121" i="56"/>
  <c r="I121" i="56"/>
  <c r="J121" i="56"/>
  <c r="K121" i="56"/>
  <c r="L121" i="56"/>
  <c r="M121" i="56"/>
  <c r="N121" i="56"/>
  <c r="O121" i="56"/>
  <c r="P121" i="56"/>
  <c r="Q121" i="56"/>
  <c r="R121" i="56"/>
  <c r="S121" i="56"/>
  <c r="T121" i="56"/>
  <c r="U121" i="56"/>
  <c r="V121" i="56"/>
  <c r="W121" i="56"/>
  <c r="X121" i="56"/>
  <c r="Y121" i="56"/>
  <c r="Z121" i="56"/>
  <c r="AA121" i="56"/>
  <c r="AB121" i="56"/>
  <c r="AC121" i="56"/>
  <c r="AD121" i="56"/>
  <c r="AE121" i="56"/>
  <c r="AF121" i="56"/>
  <c r="AG121" i="56"/>
  <c r="AH121" i="56"/>
  <c r="AI121" i="56"/>
  <c r="AJ121" i="56"/>
  <c r="AK121" i="56"/>
  <c r="AL121" i="56"/>
  <c r="AM121" i="56"/>
  <c r="D122" i="56"/>
  <c r="E122" i="56"/>
  <c r="F122" i="56"/>
  <c r="G122" i="56"/>
  <c r="H122" i="56"/>
  <c r="I122" i="56"/>
  <c r="J122" i="56"/>
  <c r="K122" i="56"/>
  <c r="L122" i="56"/>
  <c r="M122" i="56"/>
  <c r="N122" i="56"/>
  <c r="O122" i="56"/>
  <c r="P122" i="56"/>
  <c r="Q122" i="56"/>
  <c r="R122" i="56"/>
  <c r="S122" i="56"/>
  <c r="T122" i="56"/>
  <c r="U122" i="56"/>
  <c r="V122" i="56"/>
  <c r="W122" i="56"/>
  <c r="X122" i="56"/>
  <c r="Y122" i="56"/>
  <c r="Z122" i="56"/>
  <c r="AA122" i="56"/>
  <c r="AB122" i="56"/>
  <c r="AC122" i="56"/>
  <c r="AD122" i="56"/>
  <c r="AE122" i="56"/>
  <c r="AF122" i="56"/>
  <c r="AG122" i="56"/>
  <c r="AH122" i="56"/>
  <c r="AI122" i="56"/>
  <c r="AJ122" i="56"/>
  <c r="AK122" i="56"/>
  <c r="AL122" i="56"/>
  <c r="AM122" i="56"/>
  <c r="D123" i="56"/>
  <c r="E123" i="56"/>
  <c r="F123" i="56"/>
  <c r="G123" i="56"/>
  <c r="H123" i="56"/>
  <c r="I123" i="56"/>
  <c r="J123" i="56"/>
  <c r="K123" i="56"/>
  <c r="L123" i="56"/>
  <c r="M123" i="56"/>
  <c r="N123" i="56"/>
  <c r="O123" i="56"/>
  <c r="P123" i="56"/>
  <c r="Q123" i="56"/>
  <c r="R123" i="56"/>
  <c r="S123" i="56"/>
  <c r="T123" i="56"/>
  <c r="U123" i="56"/>
  <c r="V123" i="56"/>
  <c r="W123" i="56"/>
  <c r="X123" i="56"/>
  <c r="Y123" i="56"/>
  <c r="Z123" i="56"/>
  <c r="AA123" i="56"/>
  <c r="AB123" i="56"/>
  <c r="AC123" i="56"/>
  <c r="AD123" i="56"/>
  <c r="AE123" i="56"/>
  <c r="AF123" i="56"/>
  <c r="AG123" i="56"/>
  <c r="AH123" i="56"/>
  <c r="AI123" i="56"/>
  <c r="AJ123" i="56"/>
  <c r="AK123" i="56"/>
  <c r="AL123" i="56"/>
  <c r="AM123" i="56"/>
  <c r="D124" i="56"/>
  <c r="E124" i="56"/>
  <c r="F124" i="56"/>
  <c r="G124" i="56"/>
  <c r="H124" i="56"/>
  <c r="I124" i="56"/>
  <c r="J124" i="56"/>
  <c r="K124" i="56"/>
  <c r="L124" i="56"/>
  <c r="M124" i="56"/>
  <c r="N124" i="56"/>
  <c r="O124" i="56"/>
  <c r="P124" i="56"/>
  <c r="Q124" i="56"/>
  <c r="R124" i="56"/>
  <c r="S124" i="56"/>
  <c r="T124" i="56"/>
  <c r="U124" i="56"/>
  <c r="V124" i="56"/>
  <c r="W124" i="56"/>
  <c r="X124" i="56"/>
  <c r="Y124" i="56"/>
  <c r="Z124" i="56"/>
  <c r="AA124" i="56"/>
  <c r="AB124" i="56"/>
  <c r="AC124" i="56"/>
  <c r="AD124" i="56"/>
  <c r="AE124" i="56"/>
  <c r="AF124" i="56"/>
  <c r="AG124" i="56"/>
  <c r="AH124" i="56"/>
  <c r="AI124" i="56"/>
  <c r="AJ124" i="56"/>
  <c r="AK124" i="56"/>
  <c r="AL124" i="56"/>
  <c r="AM124" i="56"/>
  <c r="D125" i="56"/>
  <c r="E125" i="56"/>
  <c r="F125" i="56"/>
  <c r="G125" i="56"/>
  <c r="H125" i="56"/>
  <c r="I125" i="56"/>
  <c r="J125" i="56"/>
  <c r="K125" i="56"/>
  <c r="L125" i="56"/>
  <c r="M125" i="56"/>
  <c r="N125" i="56"/>
  <c r="O125" i="56"/>
  <c r="P125" i="56"/>
  <c r="Q125" i="56"/>
  <c r="R125" i="56"/>
  <c r="S125" i="56"/>
  <c r="T125" i="56"/>
  <c r="U125" i="56"/>
  <c r="V125" i="56"/>
  <c r="W125" i="56"/>
  <c r="X125" i="56"/>
  <c r="Y125" i="56"/>
  <c r="Z125" i="56"/>
  <c r="AA125" i="56"/>
  <c r="AB125" i="56"/>
  <c r="AC125" i="56"/>
  <c r="AD125" i="56"/>
  <c r="AE125" i="56"/>
  <c r="AF125" i="56"/>
  <c r="AG125" i="56"/>
  <c r="AH125" i="56"/>
  <c r="AI125" i="56"/>
  <c r="AJ125" i="56"/>
  <c r="AK125" i="56"/>
  <c r="AL125" i="56"/>
  <c r="AM125" i="56"/>
  <c r="D126" i="56"/>
  <c r="E126" i="56"/>
  <c r="F126" i="56"/>
  <c r="G126" i="56"/>
  <c r="H126" i="56"/>
  <c r="I126" i="56"/>
  <c r="J126" i="56"/>
  <c r="K126" i="56"/>
  <c r="L126" i="56"/>
  <c r="M126" i="56"/>
  <c r="N126" i="56"/>
  <c r="O126" i="56"/>
  <c r="P126" i="56"/>
  <c r="Q126" i="56"/>
  <c r="R126" i="56"/>
  <c r="S126" i="56"/>
  <c r="T126" i="56"/>
  <c r="U126" i="56"/>
  <c r="V126" i="56"/>
  <c r="W126" i="56"/>
  <c r="X126" i="56"/>
  <c r="Y126" i="56"/>
  <c r="Z126" i="56"/>
  <c r="AA126" i="56"/>
  <c r="AB126" i="56"/>
  <c r="AC126" i="56"/>
  <c r="AD126" i="56"/>
  <c r="AE126" i="56"/>
  <c r="AF126" i="56"/>
  <c r="AG126" i="56"/>
  <c r="AH126" i="56"/>
  <c r="AI126" i="56"/>
  <c r="AJ126" i="56"/>
  <c r="AK126" i="56"/>
  <c r="AL126" i="56"/>
  <c r="AM126" i="56"/>
  <c r="D127" i="56"/>
  <c r="E127" i="56"/>
  <c r="F127" i="56"/>
  <c r="G127" i="56"/>
  <c r="H127" i="56"/>
  <c r="I127" i="56"/>
  <c r="J127" i="56"/>
  <c r="K127" i="56"/>
  <c r="L127" i="56"/>
  <c r="M127" i="56"/>
  <c r="N127" i="56"/>
  <c r="O127" i="56"/>
  <c r="P127" i="56"/>
  <c r="Q127" i="56"/>
  <c r="R127" i="56"/>
  <c r="S127" i="56"/>
  <c r="T127" i="56"/>
  <c r="U127" i="56"/>
  <c r="V127" i="56"/>
  <c r="W127" i="56"/>
  <c r="X127" i="56"/>
  <c r="Y127" i="56"/>
  <c r="Z127" i="56"/>
  <c r="AA127" i="56"/>
  <c r="AB127" i="56"/>
  <c r="AC127" i="56"/>
  <c r="AD127" i="56"/>
  <c r="AE127" i="56"/>
  <c r="AF127" i="56"/>
  <c r="AG127" i="56"/>
  <c r="AH127" i="56"/>
  <c r="AI127" i="56"/>
  <c r="AJ127" i="56"/>
  <c r="AK127" i="56"/>
  <c r="AL127" i="56"/>
  <c r="AM127" i="56"/>
  <c r="D128" i="56"/>
  <c r="E128" i="56"/>
  <c r="F128" i="56"/>
  <c r="G128" i="56"/>
  <c r="H128" i="56"/>
  <c r="I128" i="56"/>
  <c r="J128" i="56"/>
  <c r="K128" i="56"/>
  <c r="L128" i="56"/>
  <c r="M128" i="56"/>
  <c r="N128" i="56"/>
  <c r="O128" i="56"/>
  <c r="P128" i="56"/>
  <c r="Q128" i="56"/>
  <c r="R128" i="56"/>
  <c r="S128" i="56"/>
  <c r="T128" i="56"/>
  <c r="U128" i="56"/>
  <c r="V128" i="56"/>
  <c r="W128" i="56"/>
  <c r="X128" i="56"/>
  <c r="Y128" i="56"/>
  <c r="Z128" i="56"/>
  <c r="AA128" i="56"/>
  <c r="AB128" i="56"/>
  <c r="AC128" i="56"/>
  <c r="AD128" i="56"/>
  <c r="AE128" i="56"/>
  <c r="AF128" i="56"/>
  <c r="AG128" i="56"/>
  <c r="AH128" i="56"/>
  <c r="AI128" i="56"/>
  <c r="AJ128" i="56"/>
  <c r="AK128" i="56"/>
  <c r="AL128" i="56"/>
  <c r="AM128" i="56"/>
  <c r="D129" i="56"/>
  <c r="E129" i="56"/>
  <c r="F129" i="56"/>
  <c r="G129" i="56"/>
  <c r="H129" i="56"/>
  <c r="I129" i="56"/>
  <c r="J129" i="56"/>
  <c r="K129" i="56"/>
  <c r="L129" i="56"/>
  <c r="M129" i="56"/>
  <c r="N129" i="56"/>
  <c r="O129" i="56"/>
  <c r="P129" i="56"/>
  <c r="Q129" i="56"/>
  <c r="R129" i="56"/>
  <c r="S129" i="56"/>
  <c r="T129" i="56"/>
  <c r="U129" i="56"/>
  <c r="V129" i="56"/>
  <c r="W129" i="56"/>
  <c r="X129" i="56"/>
  <c r="Y129" i="56"/>
  <c r="Z129" i="56"/>
  <c r="AA129" i="56"/>
  <c r="AB129" i="56"/>
  <c r="AC129" i="56"/>
  <c r="AD129" i="56"/>
  <c r="AE129" i="56"/>
  <c r="AF129" i="56"/>
  <c r="AG129" i="56"/>
  <c r="AH129" i="56"/>
  <c r="AI129" i="56"/>
  <c r="AJ129" i="56"/>
  <c r="AK129" i="56"/>
  <c r="AL129" i="56"/>
  <c r="AM129" i="56"/>
  <c r="D130" i="56"/>
  <c r="E130" i="56"/>
  <c r="F130" i="56"/>
  <c r="G130" i="56"/>
  <c r="H130" i="56"/>
  <c r="I130" i="56"/>
  <c r="J130" i="56"/>
  <c r="K130" i="56"/>
  <c r="L130" i="56"/>
  <c r="M130" i="56"/>
  <c r="N130" i="56"/>
  <c r="O130" i="56"/>
  <c r="P130" i="56"/>
  <c r="Q130" i="56"/>
  <c r="R130" i="56"/>
  <c r="S130" i="56"/>
  <c r="T130" i="56"/>
  <c r="U130" i="56"/>
  <c r="V130" i="56"/>
  <c r="W130" i="56"/>
  <c r="X130" i="56"/>
  <c r="Y130" i="56"/>
  <c r="Z130" i="56"/>
  <c r="AA130" i="56"/>
  <c r="AB130" i="56"/>
  <c r="AC130" i="56"/>
  <c r="AD130" i="56"/>
  <c r="AE130" i="56"/>
  <c r="AF130" i="56"/>
  <c r="AG130" i="56"/>
  <c r="AH130" i="56"/>
  <c r="AI130" i="56"/>
  <c r="AJ130" i="56"/>
  <c r="AK130" i="56"/>
  <c r="AL130" i="56"/>
  <c r="AM130" i="56"/>
  <c r="D131" i="56"/>
  <c r="E131" i="56"/>
  <c r="F131" i="56"/>
  <c r="G131" i="56"/>
  <c r="H131" i="56"/>
  <c r="I131" i="56"/>
  <c r="J131" i="56"/>
  <c r="K131" i="56"/>
  <c r="L131" i="56"/>
  <c r="M131" i="56"/>
  <c r="N131" i="56"/>
  <c r="O131" i="56"/>
  <c r="P131" i="56"/>
  <c r="Q131" i="56"/>
  <c r="R131" i="56"/>
  <c r="S131" i="56"/>
  <c r="T131" i="56"/>
  <c r="U131" i="56"/>
  <c r="V131" i="56"/>
  <c r="W131" i="56"/>
  <c r="X131" i="56"/>
  <c r="Y131" i="56"/>
  <c r="Z131" i="56"/>
  <c r="AA131" i="56"/>
  <c r="AB131" i="56"/>
  <c r="AC131" i="56"/>
  <c r="AD131" i="56"/>
  <c r="AE131" i="56"/>
  <c r="AF131" i="56"/>
  <c r="AG131" i="56"/>
  <c r="AH131" i="56"/>
  <c r="AI131" i="56"/>
  <c r="AJ131" i="56"/>
  <c r="AK131" i="56"/>
  <c r="AL131" i="56"/>
  <c r="AM131" i="56"/>
  <c r="D132" i="56"/>
  <c r="E132" i="56"/>
  <c r="F132" i="56"/>
  <c r="G132" i="56"/>
  <c r="H132" i="56"/>
  <c r="I132" i="56"/>
  <c r="J132" i="56"/>
  <c r="K132" i="56"/>
  <c r="L132" i="56"/>
  <c r="M132" i="56"/>
  <c r="N132" i="56"/>
  <c r="O132" i="56"/>
  <c r="P132" i="56"/>
  <c r="Q132" i="56"/>
  <c r="R132" i="56"/>
  <c r="S132" i="56"/>
  <c r="T132" i="56"/>
  <c r="U132" i="56"/>
  <c r="V132" i="56"/>
  <c r="W132" i="56"/>
  <c r="X132" i="56"/>
  <c r="Y132" i="56"/>
  <c r="Z132" i="56"/>
  <c r="AA132" i="56"/>
  <c r="AB132" i="56"/>
  <c r="AC132" i="56"/>
  <c r="AD132" i="56"/>
  <c r="AE132" i="56"/>
  <c r="AF132" i="56"/>
  <c r="AG132" i="56"/>
  <c r="AH132" i="56"/>
  <c r="AI132" i="56"/>
  <c r="AJ132" i="56"/>
  <c r="AK132" i="56"/>
  <c r="AL132" i="56"/>
  <c r="AM132" i="56"/>
  <c r="D133" i="56"/>
  <c r="E133" i="56"/>
  <c r="F133" i="56"/>
  <c r="G133" i="56"/>
  <c r="H133" i="56"/>
  <c r="I133" i="56"/>
  <c r="J133" i="56"/>
  <c r="K133" i="56"/>
  <c r="L133" i="56"/>
  <c r="M133" i="56"/>
  <c r="N133" i="56"/>
  <c r="O133" i="56"/>
  <c r="P133" i="56"/>
  <c r="Q133" i="56"/>
  <c r="R133" i="56"/>
  <c r="S133" i="56"/>
  <c r="T133" i="56"/>
  <c r="U133" i="56"/>
  <c r="V133" i="56"/>
  <c r="W133" i="56"/>
  <c r="X133" i="56"/>
  <c r="Y133" i="56"/>
  <c r="Z133" i="56"/>
  <c r="AA133" i="56"/>
  <c r="AB133" i="56"/>
  <c r="AC133" i="56"/>
  <c r="AD133" i="56"/>
  <c r="AE133" i="56"/>
  <c r="AF133" i="56"/>
  <c r="AG133" i="56"/>
  <c r="AH133" i="56"/>
  <c r="AI133" i="56"/>
  <c r="AJ133" i="56"/>
  <c r="AK133" i="56"/>
  <c r="AL133" i="56"/>
  <c r="AM133" i="56"/>
  <c r="D134" i="56"/>
  <c r="E134" i="56"/>
  <c r="F134" i="56"/>
  <c r="G134" i="56"/>
  <c r="H134" i="56"/>
  <c r="I134" i="56"/>
  <c r="J134" i="56"/>
  <c r="K134" i="56"/>
  <c r="L134" i="56"/>
  <c r="M134" i="56"/>
  <c r="N134" i="56"/>
  <c r="O134" i="56"/>
  <c r="P134" i="56"/>
  <c r="Q134" i="56"/>
  <c r="R134" i="56"/>
  <c r="S134" i="56"/>
  <c r="T134" i="56"/>
  <c r="U134" i="56"/>
  <c r="V134" i="56"/>
  <c r="W134" i="56"/>
  <c r="X134" i="56"/>
  <c r="Y134" i="56"/>
  <c r="Z134" i="56"/>
  <c r="AA134" i="56"/>
  <c r="AB134" i="56"/>
  <c r="AC134" i="56"/>
  <c r="AD134" i="56"/>
  <c r="AE134" i="56"/>
  <c r="AF134" i="56"/>
  <c r="AG134" i="56"/>
  <c r="AH134" i="56"/>
  <c r="AI134" i="56"/>
  <c r="AJ134" i="56"/>
  <c r="AK134" i="56"/>
  <c r="AL134" i="56"/>
  <c r="AM134" i="56"/>
  <c r="D135" i="56"/>
  <c r="E135" i="56"/>
  <c r="F135" i="56"/>
  <c r="G135" i="56"/>
  <c r="H135" i="56"/>
  <c r="I135" i="56"/>
  <c r="J135" i="56"/>
  <c r="K135" i="56"/>
  <c r="L135" i="56"/>
  <c r="M135" i="56"/>
  <c r="N135" i="56"/>
  <c r="O135" i="56"/>
  <c r="P135" i="56"/>
  <c r="Q135" i="56"/>
  <c r="R135" i="56"/>
  <c r="S135" i="56"/>
  <c r="T135" i="56"/>
  <c r="U135" i="56"/>
  <c r="V135" i="56"/>
  <c r="W135" i="56"/>
  <c r="X135" i="56"/>
  <c r="Y135" i="56"/>
  <c r="Z135" i="56"/>
  <c r="AA135" i="56"/>
  <c r="AB135" i="56"/>
  <c r="AC135" i="56"/>
  <c r="AD135" i="56"/>
  <c r="AE135" i="56"/>
  <c r="AF135" i="56"/>
  <c r="AG135" i="56"/>
  <c r="AH135" i="56"/>
  <c r="AI135" i="56"/>
  <c r="AJ135" i="56"/>
  <c r="AK135" i="56"/>
  <c r="AL135" i="56"/>
  <c r="AM135" i="56"/>
  <c r="D136" i="56"/>
  <c r="E136" i="56"/>
  <c r="F136" i="56"/>
  <c r="G136" i="56"/>
  <c r="H136" i="56"/>
  <c r="I136" i="56"/>
  <c r="J136" i="56"/>
  <c r="K136" i="56"/>
  <c r="L136" i="56"/>
  <c r="M136" i="56"/>
  <c r="N136" i="56"/>
  <c r="O136" i="56"/>
  <c r="P136" i="56"/>
  <c r="Q136" i="56"/>
  <c r="R136" i="56"/>
  <c r="S136" i="56"/>
  <c r="T136" i="56"/>
  <c r="U136" i="56"/>
  <c r="V136" i="56"/>
  <c r="W136" i="56"/>
  <c r="X136" i="56"/>
  <c r="Y136" i="56"/>
  <c r="Z136" i="56"/>
  <c r="AA136" i="56"/>
  <c r="AB136" i="56"/>
  <c r="AC136" i="56"/>
  <c r="AD136" i="56"/>
  <c r="AE136" i="56"/>
  <c r="AF136" i="56"/>
  <c r="AG136" i="56"/>
  <c r="AH136" i="56"/>
  <c r="AI136" i="56"/>
  <c r="AJ136" i="56"/>
  <c r="AK136" i="56"/>
  <c r="AL136" i="56"/>
  <c r="AM136" i="56"/>
  <c r="D137" i="56"/>
  <c r="E137" i="56"/>
  <c r="F137" i="56"/>
  <c r="G137" i="56"/>
  <c r="H137" i="56"/>
  <c r="I137" i="56"/>
  <c r="J137" i="56"/>
  <c r="K137" i="56"/>
  <c r="L137" i="56"/>
  <c r="M137" i="56"/>
  <c r="N137" i="56"/>
  <c r="O137" i="56"/>
  <c r="P137" i="56"/>
  <c r="Q137" i="56"/>
  <c r="R137" i="56"/>
  <c r="S137" i="56"/>
  <c r="T137" i="56"/>
  <c r="U137" i="56"/>
  <c r="V137" i="56"/>
  <c r="W137" i="56"/>
  <c r="X137" i="56"/>
  <c r="Y137" i="56"/>
  <c r="Z137" i="56"/>
  <c r="AA137" i="56"/>
  <c r="AB137" i="56"/>
  <c r="AC137" i="56"/>
  <c r="AD137" i="56"/>
  <c r="AE137" i="56"/>
  <c r="AF137" i="56"/>
  <c r="AG137" i="56"/>
  <c r="AH137" i="56"/>
  <c r="AI137" i="56"/>
  <c r="AJ137" i="56"/>
  <c r="AK137" i="56"/>
  <c r="AL137" i="56"/>
  <c r="AM137" i="56"/>
  <c r="D138" i="56"/>
  <c r="E138" i="56"/>
  <c r="F138" i="56"/>
  <c r="G138" i="56"/>
  <c r="H138" i="56"/>
  <c r="I138" i="56"/>
  <c r="J138" i="56"/>
  <c r="K138" i="56"/>
  <c r="L138" i="56"/>
  <c r="M138" i="56"/>
  <c r="N138" i="56"/>
  <c r="O138" i="56"/>
  <c r="P138" i="56"/>
  <c r="Q138" i="56"/>
  <c r="R138" i="56"/>
  <c r="S138" i="56"/>
  <c r="T138" i="56"/>
  <c r="U138" i="56"/>
  <c r="V138" i="56"/>
  <c r="W138" i="56"/>
  <c r="X138" i="56"/>
  <c r="Y138" i="56"/>
  <c r="Z138" i="56"/>
  <c r="AA138" i="56"/>
  <c r="AB138" i="56"/>
  <c r="AC138" i="56"/>
  <c r="AD138" i="56"/>
  <c r="AE138" i="56"/>
  <c r="AF138" i="56"/>
  <c r="AG138" i="56"/>
  <c r="AH138" i="56"/>
  <c r="AI138" i="56"/>
  <c r="AJ138" i="56"/>
  <c r="AK138" i="56"/>
  <c r="AL138" i="56"/>
  <c r="AM138" i="56"/>
  <c r="D139" i="56"/>
  <c r="E139" i="56"/>
  <c r="F139" i="56"/>
  <c r="G139" i="56"/>
  <c r="H139" i="56"/>
  <c r="I139" i="56"/>
  <c r="J139" i="56"/>
  <c r="K139" i="56"/>
  <c r="L139" i="56"/>
  <c r="M139" i="56"/>
  <c r="N139" i="56"/>
  <c r="O139" i="56"/>
  <c r="P139" i="56"/>
  <c r="Q139" i="56"/>
  <c r="R139" i="56"/>
  <c r="S139" i="56"/>
  <c r="T139" i="56"/>
  <c r="U139" i="56"/>
  <c r="V139" i="56"/>
  <c r="W139" i="56"/>
  <c r="X139" i="56"/>
  <c r="Y139" i="56"/>
  <c r="Z139" i="56"/>
  <c r="AA139" i="56"/>
  <c r="AB139" i="56"/>
  <c r="AC139" i="56"/>
  <c r="AD139" i="56"/>
  <c r="AE139" i="56"/>
  <c r="AF139" i="56"/>
  <c r="AG139" i="56"/>
  <c r="AH139" i="56"/>
  <c r="AI139" i="56"/>
  <c r="AJ139" i="56"/>
  <c r="AK139" i="56"/>
  <c r="AL139" i="56"/>
  <c r="AM139" i="56"/>
  <c r="D140" i="56"/>
  <c r="E140" i="56"/>
  <c r="F140" i="56"/>
  <c r="G140" i="56"/>
  <c r="H140" i="56"/>
  <c r="I140" i="56"/>
  <c r="J140" i="56"/>
  <c r="K140" i="56"/>
  <c r="L140" i="56"/>
  <c r="M140" i="56"/>
  <c r="N140" i="56"/>
  <c r="O140" i="56"/>
  <c r="P140" i="56"/>
  <c r="Q140" i="56"/>
  <c r="R140" i="56"/>
  <c r="S140" i="56"/>
  <c r="T140" i="56"/>
  <c r="U140" i="56"/>
  <c r="V140" i="56"/>
  <c r="W140" i="56"/>
  <c r="X140" i="56"/>
  <c r="Y140" i="56"/>
  <c r="Z140" i="56"/>
  <c r="AA140" i="56"/>
  <c r="AB140" i="56"/>
  <c r="AC140" i="56"/>
  <c r="AD140" i="56"/>
  <c r="AE140" i="56"/>
  <c r="AF140" i="56"/>
  <c r="AG140" i="56"/>
  <c r="AH140" i="56"/>
  <c r="AI140" i="56"/>
  <c r="AJ140" i="56"/>
  <c r="AK140" i="56"/>
  <c r="AL140" i="56"/>
  <c r="AM140" i="56"/>
  <c r="D141" i="56"/>
  <c r="E141" i="56"/>
  <c r="F141" i="56"/>
  <c r="G141" i="56"/>
  <c r="H141" i="56"/>
  <c r="I141" i="56"/>
  <c r="J141" i="56"/>
  <c r="K141" i="56"/>
  <c r="L141" i="56"/>
  <c r="M141" i="56"/>
  <c r="N141" i="56"/>
  <c r="O141" i="56"/>
  <c r="P141" i="56"/>
  <c r="Q141" i="56"/>
  <c r="R141" i="56"/>
  <c r="S141" i="56"/>
  <c r="T141" i="56"/>
  <c r="U141" i="56"/>
  <c r="V141" i="56"/>
  <c r="W141" i="56"/>
  <c r="X141" i="56"/>
  <c r="Y141" i="56"/>
  <c r="Z141" i="56"/>
  <c r="AA141" i="56"/>
  <c r="AB141" i="56"/>
  <c r="AC141" i="56"/>
  <c r="AD141" i="56"/>
  <c r="AE141" i="56"/>
  <c r="AF141" i="56"/>
  <c r="AG141" i="56"/>
  <c r="AH141" i="56"/>
  <c r="AI141" i="56"/>
  <c r="AJ141" i="56"/>
  <c r="AK141" i="56"/>
  <c r="AL141" i="56"/>
  <c r="AM141" i="56"/>
  <c r="D142" i="56"/>
  <c r="E142" i="56"/>
  <c r="F142" i="56"/>
  <c r="G142" i="56"/>
  <c r="H142" i="56"/>
  <c r="I142" i="56"/>
  <c r="J142" i="56"/>
  <c r="K142" i="56"/>
  <c r="L142" i="56"/>
  <c r="M142" i="56"/>
  <c r="N142" i="56"/>
  <c r="O142" i="56"/>
  <c r="P142" i="56"/>
  <c r="Q142" i="56"/>
  <c r="R142" i="56"/>
  <c r="S142" i="56"/>
  <c r="T142" i="56"/>
  <c r="U142" i="56"/>
  <c r="V142" i="56"/>
  <c r="W142" i="56"/>
  <c r="X142" i="56"/>
  <c r="Y142" i="56"/>
  <c r="Z142" i="56"/>
  <c r="AA142" i="56"/>
  <c r="AB142" i="56"/>
  <c r="AC142" i="56"/>
  <c r="AD142" i="56"/>
  <c r="AE142" i="56"/>
  <c r="AF142" i="56"/>
  <c r="AG142" i="56"/>
  <c r="AH142" i="56"/>
  <c r="AI142" i="56"/>
  <c r="AJ142" i="56"/>
  <c r="AK142" i="56"/>
  <c r="AL142" i="56"/>
  <c r="AM142" i="56"/>
  <c r="D143" i="56"/>
  <c r="E143" i="56"/>
  <c r="F143" i="56"/>
  <c r="G143" i="56"/>
  <c r="H143" i="56"/>
  <c r="I143" i="56"/>
  <c r="J143" i="56"/>
  <c r="K143" i="56"/>
  <c r="L143" i="56"/>
  <c r="M143" i="56"/>
  <c r="N143" i="56"/>
  <c r="O143" i="56"/>
  <c r="P143" i="56"/>
  <c r="Q143" i="56"/>
  <c r="R143" i="56"/>
  <c r="S143" i="56"/>
  <c r="T143" i="56"/>
  <c r="U143" i="56"/>
  <c r="V143" i="56"/>
  <c r="W143" i="56"/>
  <c r="X143" i="56"/>
  <c r="Y143" i="56"/>
  <c r="Z143" i="56"/>
  <c r="AA143" i="56"/>
  <c r="AB143" i="56"/>
  <c r="AC143" i="56"/>
  <c r="AD143" i="56"/>
  <c r="AE143" i="56"/>
  <c r="AF143" i="56"/>
  <c r="AG143" i="56"/>
  <c r="AH143" i="56"/>
  <c r="AI143" i="56"/>
  <c r="AJ143" i="56"/>
  <c r="AK143" i="56"/>
  <c r="AL143" i="56"/>
  <c r="AM143" i="56"/>
  <c r="D144" i="56"/>
  <c r="E144" i="56"/>
  <c r="F144" i="56"/>
  <c r="G144" i="56"/>
  <c r="H144" i="56"/>
  <c r="I144" i="56"/>
  <c r="J144" i="56"/>
  <c r="K144" i="56"/>
  <c r="L144" i="56"/>
  <c r="M144" i="56"/>
  <c r="N144" i="56"/>
  <c r="O144" i="56"/>
  <c r="P144" i="56"/>
  <c r="Q144" i="56"/>
  <c r="R144" i="56"/>
  <c r="S144" i="56"/>
  <c r="T144" i="56"/>
  <c r="U144" i="56"/>
  <c r="V144" i="56"/>
  <c r="W144" i="56"/>
  <c r="X144" i="56"/>
  <c r="Y144" i="56"/>
  <c r="Z144" i="56"/>
  <c r="AA144" i="56"/>
  <c r="AB144" i="56"/>
  <c r="AC144" i="56"/>
  <c r="AD144" i="56"/>
  <c r="AE144" i="56"/>
  <c r="AF144" i="56"/>
  <c r="AG144" i="56"/>
  <c r="AH144" i="56"/>
  <c r="AI144" i="56"/>
  <c r="AJ144" i="56"/>
  <c r="AK144" i="56"/>
  <c r="AL144" i="56"/>
  <c r="AM144" i="56"/>
  <c r="D145" i="56"/>
  <c r="E145" i="56"/>
  <c r="F145" i="56"/>
  <c r="G145" i="56"/>
  <c r="H145" i="56"/>
  <c r="I145" i="56"/>
  <c r="J145" i="56"/>
  <c r="K145" i="56"/>
  <c r="L145" i="56"/>
  <c r="M145" i="56"/>
  <c r="N145" i="56"/>
  <c r="O145" i="56"/>
  <c r="P145" i="56"/>
  <c r="Q145" i="56"/>
  <c r="R145" i="56"/>
  <c r="S145" i="56"/>
  <c r="T145" i="56"/>
  <c r="U145" i="56"/>
  <c r="V145" i="56"/>
  <c r="W145" i="56"/>
  <c r="X145" i="56"/>
  <c r="Y145" i="56"/>
  <c r="Z145" i="56"/>
  <c r="AA145" i="56"/>
  <c r="AB145" i="56"/>
  <c r="AC145" i="56"/>
  <c r="AD145" i="56"/>
  <c r="AE145" i="56"/>
  <c r="AF145" i="56"/>
  <c r="AG145" i="56"/>
  <c r="AH145" i="56"/>
  <c r="AI145" i="56"/>
  <c r="AJ145" i="56"/>
  <c r="AK145" i="56"/>
  <c r="AL145" i="56"/>
  <c r="AM145" i="56"/>
  <c r="D146" i="56"/>
  <c r="E146" i="56"/>
  <c r="F146" i="56"/>
  <c r="G146" i="56"/>
  <c r="H146" i="56"/>
  <c r="I146" i="56"/>
  <c r="J146" i="56"/>
  <c r="K146" i="56"/>
  <c r="L146" i="56"/>
  <c r="M146" i="56"/>
  <c r="N146" i="56"/>
  <c r="O146" i="56"/>
  <c r="P146" i="56"/>
  <c r="Q146" i="56"/>
  <c r="R146" i="56"/>
  <c r="S146" i="56"/>
  <c r="T146" i="56"/>
  <c r="U146" i="56"/>
  <c r="V146" i="56"/>
  <c r="W146" i="56"/>
  <c r="X146" i="56"/>
  <c r="Y146" i="56"/>
  <c r="Z146" i="56"/>
  <c r="AA146" i="56"/>
  <c r="AB146" i="56"/>
  <c r="AC146" i="56"/>
  <c r="AD146" i="56"/>
  <c r="AE146" i="56"/>
  <c r="AF146" i="56"/>
  <c r="AG146" i="56"/>
  <c r="AH146" i="56"/>
  <c r="AI146" i="56"/>
  <c r="AJ146" i="56"/>
  <c r="AK146" i="56"/>
  <c r="AL146" i="56"/>
  <c r="AM146" i="56"/>
  <c r="D147" i="56"/>
  <c r="E147" i="56"/>
  <c r="F147" i="56"/>
  <c r="G147" i="56"/>
  <c r="H147" i="56"/>
  <c r="I147" i="56"/>
  <c r="J147" i="56"/>
  <c r="K147" i="56"/>
  <c r="L147" i="56"/>
  <c r="M147" i="56"/>
  <c r="N147" i="56"/>
  <c r="O147" i="56"/>
  <c r="P147" i="56"/>
  <c r="Q147" i="56"/>
  <c r="R147" i="56"/>
  <c r="S147" i="56"/>
  <c r="T147" i="56"/>
  <c r="U147" i="56"/>
  <c r="V147" i="56"/>
  <c r="W147" i="56"/>
  <c r="X147" i="56"/>
  <c r="Y147" i="56"/>
  <c r="Z147" i="56"/>
  <c r="AA147" i="56"/>
  <c r="AB147" i="56"/>
  <c r="AC147" i="56"/>
  <c r="AD147" i="56"/>
  <c r="AE147" i="56"/>
  <c r="AF147" i="56"/>
  <c r="AG147" i="56"/>
  <c r="AH147" i="56"/>
  <c r="AI147" i="56"/>
  <c r="AJ147" i="56"/>
  <c r="AK147" i="56"/>
  <c r="AL147" i="56"/>
  <c r="AM147" i="56"/>
  <c r="D148" i="56"/>
  <c r="E148" i="56"/>
  <c r="F148" i="56"/>
  <c r="G148" i="56"/>
  <c r="H148" i="56"/>
  <c r="I148" i="56"/>
  <c r="J148" i="56"/>
  <c r="K148" i="56"/>
  <c r="L148" i="56"/>
  <c r="M148" i="56"/>
  <c r="N148" i="56"/>
  <c r="O148" i="56"/>
  <c r="P148" i="56"/>
  <c r="Q148" i="56"/>
  <c r="R148" i="56"/>
  <c r="S148" i="56"/>
  <c r="T148" i="56"/>
  <c r="U148" i="56"/>
  <c r="V148" i="56"/>
  <c r="W148" i="56"/>
  <c r="X148" i="56"/>
  <c r="Y148" i="56"/>
  <c r="Z148" i="56"/>
  <c r="AA148" i="56"/>
  <c r="AB148" i="56"/>
  <c r="AC148" i="56"/>
  <c r="AD148" i="56"/>
  <c r="AE148" i="56"/>
  <c r="AF148" i="56"/>
  <c r="AG148" i="56"/>
  <c r="AH148" i="56"/>
  <c r="AI148" i="56"/>
  <c r="AJ148" i="56"/>
  <c r="AK148" i="56"/>
  <c r="AL148" i="56"/>
  <c r="AM148" i="56"/>
  <c r="D149" i="56"/>
  <c r="E149" i="56"/>
  <c r="F149" i="56"/>
  <c r="G149" i="56"/>
  <c r="H149" i="56"/>
  <c r="I149" i="56"/>
  <c r="J149" i="56"/>
  <c r="K149" i="56"/>
  <c r="L149" i="56"/>
  <c r="M149" i="56"/>
  <c r="N149" i="56"/>
  <c r="O149" i="56"/>
  <c r="P149" i="56"/>
  <c r="Q149" i="56"/>
  <c r="R149" i="56"/>
  <c r="S149" i="56"/>
  <c r="T149" i="56"/>
  <c r="U149" i="56"/>
  <c r="V149" i="56"/>
  <c r="W149" i="56"/>
  <c r="X149" i="56"/>
  <c r="Y149" i="56"/>
  <c r="Z149" i="56"/>
  <c r="AA149" i="56"/>
  <c r="AB149" i="56"/>
  <c r="AC149" i="56"/>
  <c r="AD149" i="56"/>
  <c r="AE149" i="56"/>
  <c r="AF149" i="56"/>
  <c r="AG149" i="56"/>
  <c r="AH149" i="56"/>
  <c r="AI149" i="56"/>
  <c r="AJ149" i="56"/>
  <c r="AK149" i="56"/>
  <c r="AL149" i="56"/>
  <c r="AM149" i="56"/>
  <c r="D150" i="56"/>
  <c r="E150" i="56"/>
  <c r="F150" i="56"/>
  <c r="G150" i="56"/>
  <c r="H150" i="56"/>
  <c r="I150" i="56"/>
  <c r="J150" i="56"/>
  <c r="K150" i="56"/>
  <c r="L150" i="56"/>
  <c r="M150" i="56"/>
  <c r="N150" i="56"/>
  <c r="O150" i="56"/>
  <c r="P150" i="56"/>
  <c r="Q150" i="56"/>
  <c r="R150" i="56"/>
  <c r="S150" i="56"/>
  <c r="T150" i="56"/>
  <c r="U150" i="56"/>
  <c r="V150" i="56"/>
  <c r="W150" i="56"/>
  <c r="X150" i="56"/>
  <c r="Y150" i="56"/>
  <c r="Z150" i="56"/>
  <c r="AA150" i="56"/>
  <c r="AB150" i="56"/>
  <c r="AC150" i="56"/>
  <c r="AD150" i="56"/>
  <c r="AE150" i="56"/>
  <c r="AF150" i="56"/>
  <c r="AG150" i="56"/>
  <c r="AH150" i="56"/>
  <c r="AI150" i="56"/>
  <c r="AJ150" i="56"/>
  <c r="AK150" i="56"/>
  <c r="AL150" i="56"/>
  <c r="AM150" i="56"/>
  <c r="D151" i="56"/>
  <c r="E151" i="56"/>
  <c r="F151" i="56"/>
  <c r="G151" i="56"/>
  <c r="H151" i="56"/>
  <c r="I151" i="56"/>
  <c r="J151" i="56"/>
  <c r="K151" i="56"/>
  <c r="L151" i="56"/>
  <c r="M151" i="56"/>
  <c r="N151" i="56"/>
  <c r="O151" i="56"/>
  <c r="P151" i="56"/>
  <c r="Q151" i="56"/>
  <c r="R151" i="56"/>
  <c r="S151" i="56"/>
  <c r="T151" i="56"/>
  <c r="U151" i="56"/>
  <c r="V151" i="56"/>
  <c r="W151" i="56"/>
  <c r="X151" i="56"/>
  <c r="Y151" i="56"/>
  <c r="Z151" i="56"/>
  <c r="AA151" i="56"/>
  <c r="AB151" i="56"/>
  <c r="AC151" i="56"/>
  <c r="AD151" i="56"/>
  <c r="AE151" i="56"/>
  <c r="AF151" i="56"/>
  <c r="AG151" i="56"/>
  <c r="AH151" i="56"/>
  <c r="AI151" i="56"/>
  <c r="AJ151" i="56"/>
  <c r="AK151" i="56"/>
  <c r="AL151" i="56"/>
  <c r="AM151" i="56"/>
  <c r="D152" i="56"/>
  <c r="E152" i="56"/>
  <c r="F152" i="56"/>
  <c r="G152" i="56"/>
  <c r="H152" i="56"/>
  <c r="I152" i="56"/>
  <c r="J152" i="56"/>
  <c r="K152" i="56"/>
  <c r="L152" i="56"/>
  <c r="M152" i="56"/>
  <c r="N152" i="56"/>
  <c r="O152" i="56"/>
  <c r="P152" i="56"/>
  <c r="Q152" i="56"/>
  <c r="R152" i="56"/>
  <c r="S152" i="56"/>
  <c r="T152" i="56"/>
  <c r="U152" i="56"/>
  <c r="V152" i="56"/>
  <c r="W152" i="56"/>
  <c r="X152" i="56"/>
  <c r="Y152" i="56"/>
  <c r="Z152" i="56"/>
  <c r="AA152" i="56"/>
  <c r="AB152" i="56"/>
  <c r="AC152" i="56"/>
  <c r="AD152" i="56"/>
  <c r="AE152" i="56"/>
  <c r="AF152" i="56"/>
  <c r="AG152" i="56"/>
  <c r="AH152" i="56"/>
  <c r="AI152" i="56"/>
  <c r="AJ152" i="56"/>
  <c r="AK152" i="56"/>
  <c r="AL152" i="56"/>
  <c r="AM152" i="56"/>
  <c r="D153" i="56"/>
  <c r="E153" i="56"/>
  <c r="F153" i="56"/>
  <c r="G153" i="56"/>
  <c r="H153" i="56"/>
  <c r="I153" i="56"/>
  <c r="J153" i="56"/>
  <c r="K153" i="56"/>
  <c r="L153" i="56"/>
  <c r="M153" i="56"/>
  <c r="N153" i="56"/>
  <c r="O153" i="56"/>
  <c r="P153" i="56"/>
  <c r="Q153" i="56"/>
  <c r="R153" i="56"/>
  <c r="S153" i="56"/>
  <c r="T153" i="56"/>
  <c r="U153" i="56"/>
  <c r="V153" i="56"/>
  <c r="W153" i="56"/>
  <c r="X153" i="56"/>
  <c r="Y153" i="56"/>
  <c r="Z153" i="56"/>
  <c r="AA153" i="56"/>
  <c r="AB153" i="56"/>
  <c r="AC153" i="56"/>
  <c r="AD153" i="56"/>
  <c r="AE153" i="56"/>
  <c r="AF153" i="56"/>
  <c r="AG153" i="56"/>
  <c r="AH153" i="56"/>
  <c r="AI153" i="56"/>
  <c r="AJ153" i="56"/>
  <c r="AK153" i="56"/>
  <c r="AL153" i="56"/>
  <c r="AM153" i="56"/>
  <c r="D154" i="56"/>
  <c r="E154" i="56"/>
  <c r="F154" i="56"/>
  <c r="G154" i="56"/>
  <c r="H154" i="56"/>
  <c r="I154" i="56"/>
  <c r="J154" i="56"/>
  <c r="K154" i="56"/>
  <c r="L154" i="56"/>
  <c r="M154" i="56"/>
  <c r="N154" i="56"/>
  <c r="O154" i="56"/>
  <c r="P154" i="56"/>
  <c r="Q154" i="56"/>
  <c r="R154" i="56"/>
  <c r="S154" i="56"/>
  <c r="T154" i="56"/>
  <c r="U154" i="56"/>
  <c r="V154" i="56"/>
  <c r="W154" i="56"/>
  <c r="X154" i="56"/>
  <c r="Y154" i="56"/>
  <c r="Z154" i="56"/>
  <c r="AA154" i="56"/>
  <c r="AB154" i="56"/>
  <c r="AC154" i="56"/>
  <c r="AD154" i="56"/>
  <c r="AE154" i="56"/>
  <c r="AF154" i="56"/>
  <c r="AG154" i="56"/>
  <c r="AH154" i="56"/>
  <c r="AI154" i="56"/>
  <c r="AJ154" i="56"/>
  <c r="AK154" i="56"/>
  <c r="AL154" i="56"/>
  <c r="AM154" i="56"/>
  <c r="D155" i="56"/>
  <c r="E155" i="56"/>
  <c r="F155" i="56"/>
  <c r="G155" i="56"/>
  <c r="H155" i="56"/>
  <c r="I155" i="56"/>
  <c r="J155" i="56"/>
  <c r="K155" i="56"/>
  <c r="L155" i="56"/>
  <c r="M155" i="56"/>
  <c r="N155" i="56"/>
  <c r="O155" i="56"/>
  <c r="P155" i="56"/>
  <c r="Q155" i="56"/>
  <c r="R155" i="56"/>
  <c r="S155" i="56"/>
  <c r="T155" i="56"/>
  <c r="U155" i="56"/>
  <c r="V155" i="56"/>
  <c r="W155" i="56"/>
  <c r="X155" i="56"/>
  <c r="Y155" i="56"/>
  <c r="Z155" i="56"/>
  <c r="AA155" i="56"/>
  <c r="AB155" i="56"/>
  <c r="AC155" i="56"/>
  <c r="AD155" i="56"/>
  <c r="AE155" i="56"/>
  <c r="AF155" i="56"/>
  <c r="AG155" i="56"/>
  <c r="AH155" i="56"/>
  <c r="AI155" i="56"/>
  <c r="AJ155" i="56"/>
  <c r="AK155" i="56"/>
  <c r="AL155" i="56"/>
  <c r="AM155" i="56"/>
  <c r="D156" i="56"/>
  <c r="E156" i="56"/>
  <c r="F156" i="56"/>
  <c r="G156" i="56"/>
  <c r="H156" i="56"/>
  <c r="I156" i="56"/>
  <c r="J156" i="56"/>
  <c r="K156" i="56"/>
  <c r="L156" i="56"/>
  <c r="M156" i="56"/>
  <c r="N156" i="56"/>
  <c r="O156" i="56"/>
  <c r="P156" i="56"/>
  <c r="Q156" i="56"/>
  <c r="R156" i="56"/>
  <c r="S156" i="56"/>
  <c r="T156" i="56"/>
  <c r="U156" i="56"/>
  <c r="V156" i="56"/>
  <c r="W156" i="56"/>
  <c r="X156" i="56"/>
  <c r="Y156" i="56"/>
  <c r="Z156" i="56"/>
  <c r="AA156" i="56"/>
  <c r="AB156" i="56"/>
  <c r="AC156" i="56"/>
  <c r="AD156" i="56"/>
  <c r="AE156" i="56"/>
  <c r="AF156" i="56"/>
  <c r="AG156" i="56"/>
  <c r="AH156" i="56"/>
  <c r="AI156" i="56"/>
  <c r="AJ156" i="56"/>
  <c r="AK156" i="56"/>
  <c r="AL156" i="56"/>
  <c r="AM156" i="56"/>
  <c r="D157" i="56"/>
  <c r="E157" i="56"/>
  <c r="F157" i="56"/>
  <c r="G157" i="56"/>
  <c r="H157" i="56"/>
  <c r="I157" i="56"/>
  <c r="J157" i="56"/>
  <c r="K157" i="56"/>
  <c r="L157" i="56"/>
  <c r="M157" i="56"/>
  <c r="N157" i="56"/>
  <c r="O157" i="56"/>
  <c r="P157" i="56"/>
  <c r="Q157" i="56"/>
  <c r="R157" i="56"/>
  <c r="S157" i="56"/>
  <c r="T157" i="56"/>
  <c r="U157" i="56"/>
  <c r="V157" i="56"/>
  <c r="W157" i="56"/>
  <c r="X157" i="56"/>
  <c r="Y157" i="56"/>
  <c r="Z157" i="56"/>
  <c r="AA157" i="56"/>
  <c r="AB157" i="56"/>
  <c r="AC157" i="56"/>
  <c r="AD157" i="56"/>
  <c r="AE157" i="56"/>
  <c r="AF157" i="56"/>
  <c r="AG157" i="56"/>
  <c r="AH157" i="56"/>
  <c r="AI157" i="56"/>
  <c r="AJ157" i="56"/>
  <c r="AK157" i="56"/>
  <c r="AL157" i="56"/>
  <c r="AM157" i="56"/>
  <c r="D158" i="56"/>
  <c r="E158" i="56"/>
  <c r="F158" i="56"/>
  <c r="G158" i="56"/>
  <c r="H158" i="56"/>
  <c r="I158" i="56"/>
  <c r="J158" i="56"/>
  <c r="K158" i="56"/>
  <c r="L158" i="56"/>
  <c r="M158" i="56"/>
  <c r="N158" i="56"/>
  <c r="O158" i="56"/>
  <c r="P158" i="56"/>
  <c r="Q158" i="56"/>
  <c r="R158" i="56"/>
  <c r="S158" i="56"/>
  <c r="T158" i="56"/>
  <c r="U158" i="56"/>
  <c r="V158" i="56"/>
  <c r="W158" i="56"/>
  <c r="X158" i="56"/>
  <c r="Y158" i="56"/>
  <c r="Z158" i="56"/>
  <c r="AA158" i="56"/>
  <c r="AB158" i="56"/>
  <c r="AC158" i="56"/>
  <c r="AD158" i="56"/>
  <c r="AE158" i="56"/>
  <c r="AF158" i="56"/>
  <c r="AG158" i="56"/>
  <c r="AH158" i="56"/>
  <c r="AI158" i="56"/>
  <c r="AJ158" i="56"/>
  <c r="AK158" i="56"/>
  <c r="AL158" i="56"/>
  <c r="AM158" i="56"/>
  <c r="D159" i="56"/>
  <c r="E159" i="56"/>
  <c r="F159" i="56"/>
  <c r="G159" i="56"/>
  <c r="H159" i="56"/>
  <c r="I159" i="56"/>
  <c r="J159" i="56"/>
  <c r="K159" i="56"/>
  <c r="L159" i="56"/>
  <c r="M159" i="56"/>
  <c r="N159" i="56"/>
  <c r="O159" i="56"/>
  <c r="P159" i="56"/>
  <c r="Q159" i="56"/>
  <c r="R159" i="56"/>
  <c r="S159" i="56"/>
  <c r="T159" i="56"/>
  <c r="U159" i="56"/>
  <c r="V159" i="56"/>
  <c r="W159" i="56"/>
  <c r="X159" i="56"/>
  <c r="Y159" i="56"/>
  <c r="Z159" i="56"/>
  <c r="AA159" i="56"/>
  <c r="AB159" i="56"/>
  <c r="AC159" i="56"/>
  <c r="AD159" i="56"/>
  <c r="AE159" i="56"/>
  <c r="AF159" i="56"/>
  <c r="AG159" i="56"/>
  <c r="AH159" i="56"/>
  <c r="AI159" i="56"/>
  <c r="AJ159" i="56"/>
  <c r="AK159" i="56"/>
  <c r="AL159" i="56"/>
  <c r="AM159" i="56"/>
  <c r="D160" i="56"/>
  <c r="E160" i="56"/>
  <c r="F160" i="56"/>
  <c r="G160" i="56"/>
  <c r="H160" i="56"/>
  <c r="I160" i="56"/>
  <c r="J160" i="56"/>
  <c r="K160" i="56"/>
  <c r="L160" i="56"/>
  <c r="M160" i="56"/>
  <c r="N160" i="56"/>
  <c r="O160" i="56"/>
  <c r="P160" i="56"/>
  <c r="Q160" i="56"/>
  <c r="R160" i="56"/>
  <c r="S160" i="56"/>
  <c r="T160" i="56"/>
  <c r="U160" i="56"/>
  <c r="V160" i="56"/>
  <c r="W160" i="56"/>
  <c r="X160" i="56"/>
  <c r="Y160" i="56"/>
  <c r="Z160" i="56"/>
  <c r="AA160" i="56"/>
  <c r="AB160" i="56"/>
  <c r="AC160" i="56"/>
  <c r="AD160" i="56"/>
  <c r="AE160" i="56"/>
  <c r="AF160" i="56"/>
  <c r="AG160" i="56"/>
  <c r="AH160" i="56"/>
  <c r="AI160" i="56"/>
  <c r="AJ160" i="56"/>
  <c r="AK160" i="56"/>
  <c r="AL160" i="56"/>
  <c r="AM160" i="56"/>
  <c r="D161" i="56"/>
  <c r="E161" i="56"/>
  <c r="F161" i="56"/>
  <c r="G161" i="56"/>
  <c r="H161" i="56"/>
  <c r="I161" i="56"/>
  <c r="J161" i="56"/>
  <c r="K161" i="56"/>
  <c r="L161" i="56"/>
  <c r="M161" i="56"/>
  <c r="N161" i="56"/>
  <c r="O161" i="56"/>
  <c r="P161" i="56"/>
  <c r="Q161" i="56"/>
  <c r="R161" i="56"/>
  <c r="S161" i="56"/>
  <c r="T161" i="56"/>
  <c r="U161" i="56"/>
  <c r="V161" i="56"/>
  <c r="W161" i="56"/>
  <c r="X161" i="56"/>
  <c r="Y161" i="56"/>
  <c r="Z161" i="56"/>
  <c r="AA161" i="56"/>
  <c r="AB161" i="56"/>
  <c r="AC161" i="56"/>
  <c r="AD161" i="56"/>
  <c r="AE161" i="56"/>
  <c r="AF161" i="56"/>
  <c r="AG161" i="56"/>
  <c r="AH161" i="56"/>
  <c r="AI161" i="56"/>
  <c r="AJ161" i="56"/>
  <c r="AK161" i="56"/>
  <c r="AL161" i="56"/>
  <c r="AM161" i="56"/>
  <c r="D162" i="56"/>
  <c r="E162" i="56"/>
  <c r="F162" i="56"/>
  <c r="G162" i="56"/>
  <c r="H162" i="56"/>
  <c r="I162" i="56"/>
  <c r="J162" i="56"/>
  <c r="K162" i="56"/>
  <c r="L162" i="56"/>
  <c r="M162" i="56"/>
  <c r="N162" i="56"/>
  <c r="O162" i="56"/>
  <c r="P162" i="56"/>
  <c r="Q162" i="56"/>
  <c r="R162" i="56"/>
  <c r="S162" i="56"/>
  <c r="T162" i="56"/>
  <c r="U162" i="56"/>
  <c r="V162" i="56"/>
  <c r="W162" i="56"/>
  <c r="X162" i="56"/>
  <c r="Y162" i="56"/>
  <c r="Z162" i="56"/>
  <c r="AA162" i="56"/>
  <c r="AB162" i="56"/>
  <c r="AC162" i="56"/>
  <c r="AD162" i="56"/>
  <c r="AE162" i="56"/>
  <c r="AF162" i="56"/>
  <c r="AG162" i="56"/>
  <c r="AH162" i="56"/>
  <c r="AI162" i="56"/>
  <c r="AJ162" i="56"/>
  <c r="AK162" i="56"/>
  <c r="AL162" i="56"/>
  <c r="AM162" i="56"/>
  <c r="D163" i="56"/>
  <c r="E163" i="56"/>
  <c r="F163" i="56"/>
  <c r="G163" i="56"/>
  <c r="H163" i="56"/>
  <c r="I163" i="56"/>
  <c r="J163" i="56"/>
  <c r="K163" i="56"/>
  <c r="L163" i="56"/>
  <c r="M163" i="56"/>
  <c r="N163" i="56"/>
  <c r="O163" i="56"/>
  <c r="P163" i="56"/>
  <c r="Q163" i="56"/>
  <c r="R163" i="56"/>
  <c r="S163" i="56"/>
  <c r="T163" i="56"/>
  <c r="U163" i="56"/>
  <c r="V163" i="56"/>
  <c r="W163" i="56"/>
  <c r="X163" i="56"/>
  <c r="Y163" i="56"/>
  <c r="Z163" i="56"/>
  <c r="AA163" i="56"/>
  <c r="AB163" i="56"/>
  <c r="AC163" i="56"/>
  <c r="AD163" i="56"/>
  <c r="AE163" i="56"/>
  <c r="AF163" i="56"/>
  <c r="AG163" i="56"/>
  <c r="AH163" i="56"/>
  <c r="AI163" i="56"/>
  <c r="AJ163" i="56"/>
  <c r="AK163" i="56"/>
  <c r="AL163" i="56"/>
  <c r="AM163" i="56"/>
  <c r="D164" i="56"/>
  <c r="E164" i="56"/>
  <c r="F164" i="56"/>
  <c r="G164" i="56"/>
  <c r="H164" i="56"/>
  <c r="I164" i="56"/>
  <c r="J164" i="56"/>
  <c r="K164" i="56"/>
  <c r="L164" i="56"/>
  <c r="M164" i="56"/>
  <c r="N164" i="56"/>
  <c r="O164" i="56"/>
  <c r="P164" i="56"/>
  <c r="Q164" i="56"/>
  <c r="R164" i="56"/>
  <c r="S164" i="56"/>
  <c r="T164" i="56"/>
  <c r="U164" i="56"/>
  <c r="V164" i="56"/>
  <c r="W164" i="56"/>
  <c r="X164" i="56"/>
  <c r="Y164" i="56"/>
  <c r="Z164" i="56"/>
  <c r="AA164" i="56"/>
  <c r="AB164" i="56"/>
  <c r="AC164" i="56"/>
  <c r="AD164" i="56"/>
  <c r="AE164" i="56"/>
  <c r="AF164" i="56"/>
  <c r="AG164" i="56"/>
  <c r="AH164" i="56"/>
  <c r="AI164" i="56"/>
  <c r="AJ164" i="56"/>
  <c r="AK164" i="56"/>
  <c r="AL164" i="56"/>
  <c r="AM164" i="56"/>
  <c r="D165" i="56"/>
  <c r="E165" i="56"/>
  <c r="F165" i="56"/>
  <c r="G165" i="56"/>
  <c r="H165" i="56"/>
  <c r="I165" i="56"/>
  <c r="J165" i="56"/>
  <c r="K165" i="56"/>
  <c r="L165" i="56"/>
  <c r="M165" i="56"/>
  <c r="N165" i="56"/>
  <c r="O165" i="56"/>
  <c r="P165" i="56"/>
  <c r="Q165" i="56"/>
  <c r="R165" i="56"/>
  <c r="S165" i="56"/>
  <c r="T165" i="56"/>
  <c r="U165" i="56"/>
  <c r="V165" i="56"/>
  <c r="W165" i="56"/>
  <c r="X165" i="56"/>
  <c r="Y165" i="56"/>
  <c r="Z165" i="56"/>
  <c r="AA165" i="56"/>
  <c r="AB165" i="56"/>
  <c r="AC165" i="56"/>
  <c r="AD165" i="56"/>
  <c r="AE165" i="56"/>
  <c r="AF165" i="56"/>
  <c r="AG165" i="56"/>
  <c r="AH165" i="56"/>
  <c r="AI165" i="56"/>
  <c r="AJ165" i="56"/>
  <c r="AK165" i="56"/>
  <c r="AL165" i="56"/>
  <c r="AM165" i="56"/>
  <c r="D166" i="56"/>
  <c r="E166" i="56"/>
  <c r="F166" i="56"/>
  <c r="G166" i="56"/>
  <c r="H166" i="56"/>
  <c r="I166" i="56"/>
  <c r="J166" i="56"/>
  <c r="K166" i="56"/>
  <c r="L166" i="56"/>
  <c r="M166" i="56"/>
  <c r="N166" i="56"/>
  <c r="O166" i="56"/>
  <c r="P166" i="56"/>
  <c r="Q166" i="56"/>
  <c r="R166" i="56"/>
  <c r="S166" i="56"/>
  <c r="T166" i="56"/>
  <c r="U166" i="56"/>
  <c r="V166" i="56"/>
  <c r="W166" i="56"/>
  <c r="X166" i="56"/>
  <c r="Y166" i="56"/>
  <c r="Z166" i="56"/>
  <c r="AA166" i="56"/>
  <c r="AB166" i="56"/>
  <c r="AC166" i="56"/>
  <c r="AD166" i="56"/>
  <c r="AE166" i="56"/>
  <c r="AF166" i="56"/>
  <c r="AG166" i="56"/>
  <c r="AH166" i="56"/>
  <c r="AI166" i="56"/>
  <c r="AJ166" i="56"/>
  <c r="AK166" i="56"/>
  <c r="AL166" i="56"/>
  <c r="AM166" i="56"/>
  <c r="D167" i="56"/>
  <c r="E167" i="56"/>
  <c r="F167" i="56"/>
  <c r="G167" i="56"/>
  <c r="H167" i="56"/>
  <c r="I167" i="56"/>
  <c r="J167" i="56"/>
  <c r="K167" i="56"/>
  <c r="L167" i="56"/>
  <c r="M167" i="56"/>
  <c r="N167" i="56"/>
  <c r="O167" i="56"/>
  <c r="P167" i="56"/>
  <c r="Q167" i="56"/>
  <c r="R167" i="56"/>
  <c r="S167" i="56"/>
  <c r="T167" i="56"/>
  <c r="U167" i="56"/>
  <c r="V167" i="56"/>
  <c r="W167" i="56"/>
  <c r="X167" i="56"/>
  <c r="Y167" i="56"/>
  <c r="Z167" i="56"/>
  <c r="AA167" i="56"/>
  <c r="AB167" i="56"/>
  <c r="AC167" i="56"/>
  <c r="AD167" i="56"/>
  <c r="AE167" i="56"/>
  <c r="AF167" i="56"/>
  <c r="AG167" i="56"/>
  <c r="AH167" i="56"/>
  <c r="AI167" i="56"/>
  <c r="AJ167" i="56"/>
  <c r="AK167" i="56"/>
  <c r="AL167" i="56"/>
  <c r="AM167" i="56"/>
  <c r="D168" i="56"/>
  <c r="E168" i="56"/>
  <c r="F168" i="56"/>
  <c r="G168" i="56"/>
  <c r="H168" i="56"/>
  <c r="I168" i="56"/>
  <c r="J168" i="56"/>
  <c r="K168" i="56"/>
  <c r="L168" i="56"/>
  <c r="M168" i="56"/>
  <c r="N168" i="56"/>
  <c r="O168" i="56"/>
  <c r="P168" i="56"/>
  <c r="Q168" i="56"/>
  <c r="R168" i="56"/>
  <c r="S168" i="56"/>
  <c r="T168" i="56"/>
  <c r="U168" i="56"/>
  <c r="V168" i="56"/>
  <c r="W168" i="56"/>
  <c r="X168" i="56"/>
  <c r="Y168" i="56"/>
  <c r="Z168" i="56"/>
  <c r="AA168" i="56"/>
  <c r="AB168" i="56"/>
  <c r="AC168" i="56"/>
  <c r="AD168" i="56"/>
  <c r="AE168" i="56"/>
  <c r="AF168" i="56"/>
  <c r="AG168" i="56"/>
  <c r="AH168" i="56"/>
  <c r="AI168" i="56"/>
  <c r="AJ168" i="56"/>
  <c r="AK168" i="56"/>
  <c r="AL168" i="56"/>
  <c r="AM168" i="56"/>
  <c r="D169" i="56"/>
  <c r="E169" i="56"/>
  <c r="F169" i="56"/>
  <c r="G169" i="56"/>
  <c r="H169" i="56"/>
  <c r="I169" i="56"/>
  <c r="J169" i="56"/>
  <c r="K169" i="56"/>
  <c r="L169" i="56"/>
  <c r="M169" i="56"/>
  <c r="N169" i="56"/>
  <c r="O169" i="56"/>
  <c r="P169" i="56"/>
  <c r="Q169" i="56"/>
  <c r="R169" i="56"/>
  <c r="S169" i="56"/>
  <c r="T169" i="56"/>
  <c r="U169" i="56"/>
  <c r="V169" i="56"/>
  <c r="W169" i="56"/>
  <c r="X169" i="56"/>
  <c r="Y169" i="56"/>
  <c r="Z169" i="56"/>
  <c r="AA169" i="56"/>
  <c r="AB169" i="56"/>
  <c r="AC169" i="56"/>
  <c r="AD169" i="56"/>
  <c r="AE169" i="56"/>
  <c r="AF169" i="56"/>
  <c r="AG169" i="56"/>
  <c r="AH169" i="56"/>
  <c r="AI169" i="56"/>
  <c r="AJ169" i="56"/>
  <c r="AK169" i="56"/>
  <c r="AL169" i="56"/>
  <c r="AM169" i="56"/>
  <c r="D170" i="56"/>
  <c r="E170" i="56"/>
  <c r="F170" i="56"/>
  <c r="G170" i="56"/>
  <c r="H170" i="56"/>
  <c r="I170" i="56"/>
  <c r="J170" i="56"/>
  <c r="K170" i="56"/>
  <c r="L170" i="56"/>
  <c r="M170" i="56"/>
  <c r="N170" i="56"/>
  <c r="O170" i="56"/>
  <c r="P170" i="56"/>
  <c r="Q170" i="56"/>
  <c r="R170" i="56"/>
  <c r="S170" i="56"/>
  <c r="T170" i="56"/>
  <c r="U170" i="56"/>
  <c r="V170" i="56"/>
  <c r="W170" i="56"/>
  <c r="X170" i="56"/>
  <c r="Y170" i="56"/>
  <c r="Z170" i="56"/>
  <c r="AA170" i="56"/>
  <c r="AB170" i="56"/>
  <c r="AC170" i="56"/>
  <c r="AD170" i="56"/>
  <c r="AE170" i="56"/>
  <c r="AF170" i="56"/>
  <c r="AG170" i="56"/>
  <c r="AH170" i="56"/>
  <c r="AI170" i="56"/>
  <c r="AJ170" i="56"/>
  <c r="AK170" i="56"/>
  <c r="AL170" i="56"/>
  <c r="AM170" i="56"/>
  <c r="D171" i="56"/>
  <c r="E171" i="56"/>
  <c r="F171" i="56"/>
  <c r="G171" i="56"/>
  <c r="H171" i="56"/>
  <c r="I171" i="56"/>
  <c r="J171" i="56"/>
  <c r="K171" i="56"/>
  <c r="L171" i="56"/>
  <c r="M171" i="56"/>
  <c r="N171" i="56"/>
  <c r="O171" i="56"/>
  <c r="P171" i="56"/>
  <c r="Q171" i="56"/>
  <c r="R171" i="56"/>
  <c r="S171" i="56"/>
  <c r="T171" i="56"/>
  <c r="U171" i="56"/>
  <c r="V171" i="56"/>
  <c r="W171" i="56"/>
  <c r="X171" i="56"/>
  <c r="Y171" i="56"/>
  <c r="Z171" i="56"/>
  <c r="AA171" i="56"/>
  <c r="AB171" i="56"/>
  <c r="AC171" i="56"/>
  <c r="AD171" i="56"/>
  <c r="AE171" i="56"/>
  <c r="AF171" i="56"/>
  <c r="AG171" i="56"/>
  <c r="AH171" i="56"/>
  <c r="AI171" i="56"/>
  <c r="AJ171" i="56"/>
  <c r="AK171" i="56"/>
  <c r="AL171" i="56"/>
  <c r="AM171" i="56"/>
  <c r="D172" i="56"/>
  <c r="E172" i="56"/>
  <c r="F172" i="56"/>
  <c r="G172" i="56"/>
  <c r="H172" i="56"/>
  <c r="I172" i="56"/>
  <c r="J172" i="56"/>
  <c r="K172" i="56"/>
  <c r="L172" i="56"/>
  <c r="M172" i="56"/>
  <c r="N172" i="56"/>
  <c r="O172" i="56"/>
  <c r="P172" i="56"/>
  <c r="Q172" i="56"/>
  <c r="R172" i="56"/>
  <c r="S172" i="56"/>
  <c r="T172" i="56"/>
  <c r="U172" i="56"/>
  <c r="V172" i="56"/>
  <c r="W172" i="56"/>
  <c r="X172" i="56"/>
  <c r="Y172" i="56"/>
  <c r="Z172" i="56"/>
  <c r="AA172" i="56"/>
  <c r="AB172" i="56"/>
  <c r="AC172" i="56"/>
  <c r="AD172" i="56"/>
  <c r="AE172" i="56"/>
  <c r="AF172" i="56"/>
  <c r="AG172" i="56"/>
  <c r="AH172" i="56"/>
  <c r="AI172" i="56"/>
  <c r="AJ172" i="56"/>
  <c r="AK172" i="56"/>
  <c r="AL172" i="56"/>
  <c r="AM172" i="56"/>
  <c r="D173" i="56"/>
  <c r="E173" i="56"/>
  <c r="F173" i="56"/>
  <c r="G173" i="56"/>
  <c r="H173" i="56"/>
  <c r="I173" i="56"/>
  <c r="J173" i="56"/>
  <c r="K173" i="56"/>
  <c r="L173" i="56"/>
  <c r="M173" i="56"/>
  <c r="N173" i="56"/>
  <c r="O173" i="56"/>
  <c r="P173" i="56"/>
  <c r="Q173" i="56"/>
  <c r="R173" i="56"/>
  <c r="S173" i="56"/>
  <c r="T173" i="56"/>
  <c r="U173" i="56"/>
  <c r="V173" i="56"/>
  <c r="W173" i="56"/>
  <c r="X173" i="56"/>
  <c r="Y173" i="56"/>
  <c r="Z173" i="56"/>
  <c r="AA173" i="56"/>
  <c r="AB173" i="56"/>
  <c r="AC173" i="56"/>
  <c r="AD173" i="56"/>
  <c r="AE173" i="56"/>
  <c r="AF173" i="56"/>
  <c r="AG173" i="56"/>
  <c r="AH173" i="56"/>
  <c r="AI173" i="56"/>
  <c r="AJ173" i="56"/>
  <c r="AK173" i="56"/>
  <c r="AL173" i="56"/>
  <c r="AM173" i="56"/>
  <c r="D174" i="56"/>
  <c r="E174" i="56"/>
  <c r="F174" i="56"/>
  <c r="G174" i="56"/>
  <c r="H174" i="56"/>
  <c r="I174" i="56"/>
  <c r="J174" i="56"/>
  <c r="K174" i="56"/>
  <c r="L174" i="56"/>
  <c r="M174" i="56"/>
  <c r="N174" i="56"/>
  <c r="O174" i="56"/>
  <c r="P174" i="56"/>
  <c r="Q174" i="56"/>
  <c r="R174" i="56"/>
  <c r="S174" i="56"/>
  <c r="T174" i="56"/>
  <c r="U174" i="56"/>
  <c r="V174" i="56"/>
  <c r="W174" i="56"/>
  <c r="X174" i="56"/>
  <c r="Y174" i="56"/>
  <c r="Z174" i="56"/>
  <c r="AA174" i="56"/>
  <c r="AB174" i="56"/>
  <c r="AC174" i="56"/>
  <c r="AD174" i="56"/>
  <c r="AE174" i="56"/>
  <c r="AF174" i="56"/>
  <c r="AG174" i="56"/>
  <c r="AH174" i="56"/>
  <c r="AI174" i="56"/>
  <c r="AJ174" i="56"/>
  <c r="AK174" i="56"/>
  <c r="AL174" i="56"/>
  <c r="AM174" i="56"/>
  <c r="D175" i="56"/>
  <c r="E175" i="56"/>
  <c r="F175" i="56"/>
  <c r="G175" i="56"/>
  <c r="H175" i="56"/>
  <c r="I175" i="56"/>
  <c r="J175" i="56"/>
  <c r="K175" i="56"/>
  <c r="L175" i="56"/>
  <c r="M175" i="56"/>
  <c r="N175" i="56"/>
  <c r="O175" i="56"/>
  <c r="P175" i="56"/>
  <c r="Q175" i="56"/>
  <c r="R175" i="56"/>
  <c r="S175" i="56"/>
  <c r="T175" i="56"/>
  <c r="U175" i="56"/>
  <c r="V175" i="56"/>
  <c r="W175" i="56"/>
  <c r="X175" i="56"/>
  <c r="Y175" i="56"/>
  <c r="Z175" i="56"/>
  <c r="AA175" i="56"/>
  <c r="AB175" i="56"/>
  <c r="AC175" i="56"/>
  <c r="AD175" i="56"/>
  <c r="AE175" i="56"/>
  <c r="AF175" i="56"/>
  <c r="AG175" i="56"/>
  <c r="AH175" i="56"/>
  <c r="AI175" i="56"/>
  <c r="AJ175" i="56"/>
  <c r="AK175" i="56"/>
  <c r="AL175" i="56"/>
  <c r="AM175" i="56"/>
  <c r="D176" i="56"/>
  <c r="E176" i="56"/>
  <c r="F176" i="56"/>
  <c r="G176" i="56"/>
  <c r="H176" i="56"/>
  <c r="I176" i="56"/>
  <c r="J176" i="56"/>
  <c r="K176" i="56"/>
  <c r="L176" i="56"/>
  <c r="M176" i="56"/>
  <c r="N176" i="56"/>
  <c r="O176" i="56"/>
  <c r="P176" i="56"/>
  <c r="Q176" i="56"/>
  <c r="R176" i="56"/>
  <c r="S176" i="56"/>
  <c r="T176" i="56"/>
  <c r="U176" i="56"/>
  <c r="V176" i="56"/>
  <c r="W176" i="56"/>
  <c r="X176" i="56"/>
  <c r="Y176" i="56"/>
  <c r="Z176" i="56"/>
  <c r="AA176" i="56"/>
  <c r="AB176" i="56"/>
  <c r="AC176" i="56"/>
  <c r="AD176" i="56"/>
  <c r="AE176" i="56"/>
  <c r="AF176" i="56"/>
  <c r="AG176" i="56"/>
  <c r="AH176" i="56"/>
  <c r="AI176" i="56"/>
  <c r="AJ176" i="56"/>
  <c r="AK176" i="56"/>
  <c r="AL176" i="56"/>
  <c r="AM176" i="56"/>
  <c r="D177" i="56"/>
  <c r="E177" i="56"/>
  <c r="F177" i="56"/>
  <c r="G177" i="56"/>
  <c r="H177" i="56"/>
  <c r="I177" i="56"/>
  <c r="J177" i="56"/>
  <c r="K177" i="56"/>
  <c r="L177" i="56"/>
  <c r="M177" i="56"/>
  <c r="N177" i="56"/>
  <c r="O177" i="56"/>
  <c r="P177" i="56"/>
  <c r="Q177" i="56"/>
  <c r="R177" i="56"/>
  <c r="S177" i="56"/>
  <c r="T177" i="56"/>
  <c r="U177" i="56"/>
  <c r="V177" i="56"/>
  <c r="W177" i="56"/>
  <c r="X177" i="56"/>
  <c r="Y177" i="56"/>
  <c r="Z177" i="56"/>
  <c r="AA177" i="56"/>
  <c r="AB177" i="56"/>
  <c r="AC177" i="56"/>
  <c r="AD177" i="56"/>
  <c r="AE177" i="56"/>
  <c r="AF177" i="56"/>
  <c r="AG177" i="56"/>
  <c r="AH177" i="56"/>
  <c r="AI177" i="56"/>
  <c r="AJ177" i="56"/>
  <c r="AK177" i="56"/>
  <c r="AL177" i="56"/>
  <c r="AM177" i="56"/>
  <c r="D178" i="56"/>
  <c r="E178" i="56"/>
  <c r="F178" i="56"/>
  <c r="G178" i="56"/>
  <c r="H178" i="56"/>
  <c r="I178" i="56"/>
  <c r="J178" i="56"/>
  <c r="K178" i="56"/>
  <c r="L178" i="56"/>
  <c r="M178" i="56"/>
  <c r="N178" i="56"/>
  <c r="O178" i="56"/>
  <c r="P178" i="56"/>
  <c r="Q178" i="56"/>
  <c r="R178" i="56"/>
  <c r="S178" i="56"/>
  <c r="T178" i="56"/>
  <c r="U178" i="56"/>
  <c r="V178" i="56"/>
  <c r="W178" i="56"/>
  <c r="X178" i="56"/>
  <c r="Y178" i="56"/>
  <c r="Z178" i="56"/>
  <c r="AA178" i="56"/>
  <c r="AB178" i="56"/>
  <c r="AC178" i="56"/>
  <c r="AD178" i="56"/>
  <c r="AE178" i="56"/>
  <c r="AF178" i="56"/>
  <c r="AG178" i="56"/>
  <c r="AH178" i="56"/>
  <c r="AI178" i="56"/>
  <c r="AJ178" i="56"/>
  <c r="AK178" i="56"/>
  <c r="AL178" i="56"/>
  <c r="AM178" i="56"/>
  <c r="D179" i="56"/>
  <c r="E179" i="56"/>
  <c r="F179" i="56"/>
  <c r="G179" i="56"/>
  <c r="H179" i="56"/>
  <c r="I179" i="56"/>
  <c r="J179" i="56"/>
  <c r="K179" i="56"/>
  <c r="L179" i="56"/>
  <c r="M179" i="56"/>
  <c r="N179" i="56"/>
  <c r="O179" i="56"/>
  <c r="P179" i="56"/>
  <c r="Q179" i="56"/>
  <c r="R179" i="56"/>
  <c r="S179" i="56"/>
  <c r="T179" i="56"/>
  <c r="U179" i="56"/>
  <c r="V179" i="56"/>
  <c r="W179" i="56"/>
  <c r="X179" i="56"/>
  <c r="Y179" i="56"/>
  <c r="Z179" i="56"/>
  <c r="AA179" i="56"/>
  <c r="AB179" i="56"/>
  <c r="AC179" i="56"/>
  <c r="AD179" i="56"/>
  <c r="AE179" i="56"/>
  <c r="AF179" i="56"/>
  <c r="AG179" i="56"/>
  <c r="AH179" i="56"/>
  <c r="AI179" i="56"/>
  <c r="AJ179" i="56"/>
  <c r="AK179" i="56"/>
  <c r="AL179" i="56"/>
  <c r="AM179" i="56"/>
  <c r="D180" i="56"/>
  <c r="E180" i="56"/>
  <c r="F180" i="56"/>
  <c r="G180" i="56"/>
  <c r="H180" i="56"/>
  <c r="I180" i="56"/>
  <c r="J180" i="56"/>
  <c r="K180" i="56"/>
  <c r="L180" i="56"/>
  <c r="M180" i="56"/>
  <c r="N180" i="56"/>
  <c r="O180" i="56"/>
  <c r="P180" i="56"/>
  <c r="Q180" i="56"/>
  <c r="R180" i="56"/>
  <c r="S180" i="56"/>
  <c r="T180" i="56"/>
  <c r="U180" i="56"/>
  <c r="V180" i="56"/>
  <c r="W180" i="56"/>
  <c r="X180" i="56"/>
  <c r="Y180" i="56"/>
  <c r="Z180" i="56"/>
  <c r="AA180" i="56"/>
  <c r="AB180" i="56"/>
  <c r="AC180" i="56"/>
  <c r="AD180" i="56"/>
  <c r="AE180" i="56"/>
  <c r="AF180" i="56"/>
  <c r="AG180" i="56"/>
  <c r="AH180" i="56"/>
  <c r="AI180" i="56"/>
  <c r="AJ180" i="56"/>
  <c r="AK180" i="56"/>
  <c r="AL180" i="56"/>
  <c r="AM180" i="56"/>
  <c r="D181" i="56"/>
  <c r="E181" i="56"/>
  <c r="F181" i="56"/>
  <c r="G181" i="56"/>
  <c r="H181" i="56"/>
  <c r="I181" i="56"/>
  <c r="J181" i="56"/>
  <c r="K181" i="56"/>
  <c r="L181" i="56"/>
  <c r="M181" i="56"/>
  <c r="N181" i="56"/>
  <c r="O181" i="56"/>
  <c r="P181" i="56"/>
  <c r="Q181" i="56"/>
  <c r="R181" i="56"/>
  <c r="S181" i="56"/>
  <c r="T181" i="56"/>
  <c r="U181" i="56"/>
  <c r="V181" i="56"/>
  <c r="W181" i="56"/>
  <c r="X181" i="56"/>
  <c r="Y181" i="56"/>
  <c r="Z181" i="56"/>
  <c r="AA181" i="56"/>
  <c r="AB181" i="56"/>
  <c r="AC181" i="56"/>
  <c r="AD181" i="56"/>
  <c r="AE181" i="56"/>
  <c r="AF181" i="56"/>
  <c r="AG181" i="56"/>
  <c r="AH181" i="56"/>
  <c r="AI181" i="56"/>
  <c r="AJ181" i="56"/>
  <c r="AK181" i="56"/>
  <c r="AL181" i="56"/>
  <c r="AM181" i="56"/>
  <c r="D182" i="56"/>
  <c r="E182" i="56"/>
  <c r="F182" i="56"/>
  <c r="G182" i="56"/>
  <c r="H182" i="56"/>
  <c r="I182" i="56"/>
  <c r="J182" i="56"/>
  <c r="K182" i="56"/>
  <c r="L182" i="56"/>
  <c r="M182" i="56"/>
  <c r="N182" i="56"/>
  <c r="O182" i="56"/>
  <c r="P182" i="56"/>
  <c r="Q182" i="56"/>
  <c r="R182" i="56"/>
  <c r="S182" i="56"/>
  <c r="T182" i="56"/>
  <c r="U182" i="56"/>
  <c r="V182" i="56"/>
  <c r="W182" i="56"/>
  <c r="X182" i="56"/>
  <c r="Y182" i="56"/>
  <c r="Z182" i="56"/>
  <c r="AA182" i="56"/>
  <c r="AB182" i="56"/>
  <c r="AC182" i="56"/>
  <c r="AD182" i="56"/>
  <c r="AE182" i="56"/>
  <c r="AF182" i="56"/>
  <c r="AG182" i="56"/>
  <c r="AH182" i="56"/>
  <c r="AI182" i="56"/>
  <c r="AJ182" i="56"/>
  <c r="AK182" i="56"/>
  <c r="AL182" i="56"/>
  <c r="AM182" i="56"/>
  <c r="D183" i="56"/>
  <c r="E183" i="56"/>
  <c r="F183" i="56"/>
  <c r="G183" i="56"/>
  <c r="H183" i="56"/>
  <c r="I183" i="56"/>
  <c r="J183" i="56"/>
  <c r="K183" i="56"/>
  <c r="L183" i="56"/>
  <c r="M183" i="56"/>
  <c r="N183" i="56"/>
  <c r="O183" i="56"/>
  <c r="P183" i="56"/>
  <c r="Q183" i="56"/>
  <c r="R183" i="56"/>
  <c r="S183" i="56"/>
  <c r="T183" i="56"/>
  <c r="U183" i="56"/>
  <c r="V183" i="56"/>
  <c r="W183" i="56"/>
  <c r="X183" i="56"/>
  <c r="Y183" i="56"/>
  <c r="Z183" i="56"/>
  <c r="AA183" i="56"/>
  <c r="AB183" i="56"/>
  <c r="AC183" i="56"/>
  <c r="AD183" i="56"/>
  <c r="AE183" i="56"/>
  <c r="AF183" i="56"/>
  <c r="AG183" i="56"/>
  <c r="AH183" i="56"/>
  <c r="AI183" i="56"/>
  <c r="AJ183" i="56"/>
  <c r="AK183" i="56"/>
  <c r="AL183" i="56"/>
  <c r="AM183" i="56"/>
  <c r="D184" i="56"/>
  <c r="E184" i="56"/>
  <c r="F184" i="56"/>
  <c r="G184" i="56"/>
  <c r="H184" i="56"/>
  <c r="I184" i="56"/>
  <c r="J184" i="56"/>
  <c r="K184" i="56"/>
  <c r="L184" i="56"/>
  <c r="M184" i="56"/>
  <c r="N184" i="56"/>
  <c r="O184" i="56"/>
  <c r="P184" i="56"/>
  <c r="Q184" i="56"/>
  <c r="R184" i="56"/>
  <c r="S184" i="56"/>
  <c r="T184" i="56"/>
  <c r="U184" i="56"/>
  <c r="V184" i="56"/>
  <c r="W184" i="56"/>
  <c r="X184" i="56"/>
  <c r="Y184" i="56"/>
  <c r="Z184" i="56"/>
  <c r="AA184" i="56"/>
  <c r="AB184" i="56"/>
  <c r="AC184" i="56"/>
  <c r="AD184" i="56"/>
  <c r="AE184" i="56"/>
  <c r="AF184" i="56"/>
  <c r="AG184" i="56"/>
  <c r="AH184" i="56"/>
  <c r="AI184" i="56"/>
  <c r="AJ184" i="56"/>
  <c r="AK184" i="56"/>
  <c r="AL184" i="56"/>
  <c r="AM184" i="56"/>
  <c r="D185" i="56"/>
  <c r="E185" i="56"/>
  <c r="F185" i="56"/>
  <c r="G185" i="56"/>
  <c r="H185" i="56"/>
  <c r="I185" i="56"/>
  <c r="J185" i="56"/>
  <c r="K185" i="56"/>
  <c r="L185" i="56"/>
  <c r="M185" i="56"/>
  <c r="N185" i="56"/>
  <c r="O185" i="56"/>
  <c r="P185" i="56"/>
  <c r="Q185" i="56"/>
  <c r="R185" i="56"/>
  <c r="S185" i="56"/>
  <c r="T185" i="56"/>
  <c r="U185" i="56"/>
  <c r="V185" i="56"/>
  <c r="W185" i="56"/>
  <c r="X185" i="56"/>
  <c r="Y185" i="56"/>
  <c r="Z185" i="56"/>
  <c r="AA185" i="56"/>
  <c r="AB185" i="56"/>
  <c r="AC185" i="56"/>
  <c r="AD185" i="56"/>
  <c r="AE185" i="56"/>
  <c r="AF185" i="56"/>
  <c r="AG185" i="56"/>
  <c r="AH185" i="56"/>
  <c r="AI185" i="56"/>
  <c r="AJ185" i="56"/>
  <c r="AK185" i="56"/>
  <c r="AL185" i="56"/>
  <c r="AM185" i="56"/>
  <c r="D186" i="56"/>
  <c r="E186" i="56"/>
  <c r="F186" i="56"/>
  <c r="G186" i="56"/>
  <c r="H186" i="56"/>
  <c r="I186" i="56"/>
  <c r="J186" i="56"/>
  <c r="K186" i="56"/>
  <c r="L186" i="56"/>
  <c r="M186" i="56"/>
  <c r="N186" i="56"/>
  <c r="O186" i="56"/>
  <c r="P186" i="56"/>
  <c r="Q186" i="56"/>
  <c r="R186" i="56"/>
  <c r="S186" i="56"/>
  <c r="T186" i="56"/>
  <c r="U186" i="56"/>
  <c r="V186" i="56"/>
  <c r="W186" i="56"/>
  <c r="X186" i="56"/>
  <c r="Y186" i="56"/>
  <c r="Z186" i="56"/>
  <c r="AA186" i="56"/>
  <c r="AB186" i="56"/>
  <c r="AC186" i="56"/>
  <c r="AD186" i="56"/>
  <c r="AE186" i="56"/>
  <c r="AF186" i="56"/>
  <c r="AG186" i="56"/>
  <c r="AH186" i="56"/>
  <c r="AI186" i="56"/>
  <c r="AJ186" i="56"/>
  <c r="AK186" i="56"/>
  <c r="AL186" i="56"/>
  <c r="AM186" i="56"/>
  <c r="D187" i="56"/>
  <c r="E187" i="56"/>
  <c r="F187" i="56"/>
  <c r="G187" i="56"/>
  <c r="H187" i="56"/>
  <c r="I187" i="56"/>
  <c r="J187" i="56"/>
  <c r="K187" i="56"/>
  <c r="L187" i="56"/>
  <c r="M187" i="56"/>
  <c r="N187" i="56"/>
  <c r="O187" i="56"/>
  <c r="P187" i="56"/>
  <c r="Q187" i="56"/>
  <c r="R187" i="56"/>
  <c r="S187" i="56"/>
  <c r="T187" i="56"/>
  <c r="U187" i="56"/>
  <c r="V187" i="56"/>
  <c r="W187" i="56"/>
  <c r="X187" i="56"/>
  <c r="Y187" i="56"/>
  <c r="Z187" i="56"/>
  <c r="AA187" i="56"/>
  <c r="AB187" i="56"/>
  <c r="AC187" i="56"/>
  <c r="AD187" i="56"/>
  <c r="AE187" i="56"/>
  <c r="AF187" i="56"/>
  <c r="AG187" i="56"/>
  <c r="AH187" i="56"/>
  <c r="AI187" i="56"/>
  <c r="AJ187" i="56"/>
  <c r="AK187" i="56"/>
  <c r="AL187" i="56"/>
  <c r="AM187" i="56"/>
  <c r="D188" i="56"/>
  <c r="E188" i="56"/>
  <c r="F188" i="56"/>
  <c r="G188" i="56"/>
  <c r="H188" i="56"/>
  <c r="I188" i="56"/>
  <c r="J188" i="56"/>
  <c r="K188" i="56"/>
  <c r="L188" i="56"/>
  <c r="M188" i="56"/>
  <c r="N188" i="56"/>
  <c r="O188" i="56"/>
  <c r="P188" i="56"/>
  <c r="Q188" i="56"/>
  <c r="R188" i="56"/>
  <c r="S188" i="56"/>
  <c r="T188" i="56"/>
  <c r="U188" i="56"/>
  <c r="V188" i="56"/>
  <c r="W188" i="56"/>
  <c r="X188" i="56"/>
  <c r="Y188" i="56"/>
  <c r="Z188" i="56"/>
  <c r="AA188" i="56"/>
  <c r="AB188" i="56"/>
  <c r="AC188" i="56"/>
  <c r="AD188" i="56"/>
  <c r="AE188" i="56"/>
  <c r="AF188" i="56"/>
  <c r="AG188" i="56"/>
  <c r="AH188" i="56"/>
  <c r="AI188" i="56"/>
  <c r="AJ188" i="56"/>
  <c r="AK188" i="56"/>
  <c r="AL188" i="56"/>
  <c r="AM188" i="56"/>
  <c r="D189" i="56"/>
  <c r="E189" i="56"/>
  <c r="F189" i="56"/>
  <c r="G189" i="56"/>
  <c r="H189" i="56"/>
  <c r="I189" i="56"/>
  <c r="J189" i="56"/>
  <c r="K189" i="56"/>
  <c r="L189" i="56"/>
  <c r="M189" i="56"/>
  <c r="N189" i="56"/>
  <c r="O189" i="56"/>
  <c r="P189" i="56"/>
  <c r="Q189" i="56"/>
  <c r="R189" i="56"/>
  <c r="S189" i="56"/>
  <c r="T189" i="56"/>
  <c r="U189" i="56"/>
  <c r="V189" i="56"/>
  <c r="W189" i="56"/>
  <c r="X189" i="56"/>
  <c r="Y189" i="56"/>
  <c r="Z189" i="56"/>
  <c r="AA189" i="56"/>
  <c r="AB189" i="56"/>
  <c r="AC189" i="56"/>
  <c r="AD189" i="56"/>
  <c r="AE189" i="56"/>
  <c r="AF189" i="56"/>
  <c r="AG189" i="56"/>
  <c r="AH189" i="56"/>
  <c r="AI189" i="56"/>
  <c r="AJ189" i="56"/>
  <c r="AK189" i="56"/>
  <c r="AL189" i="56"/>
  <c r="AM189" i="56"/>
  <c r="D190" i="56"/>
  <c r="E190" i="56"/>
  <c r="F190" i="56"/>
  <c r="G190" i="56"/>
  <c r="H190" i="56"/>
  <c r="I190" i="56"/>
  <c r="J190" i="56"/>
  <c r="K190" i="56"/>
  <c r="L190" i="56"/>
  <c r="M190" i="56"/>
  <c r="N190" i="56"/>
  <c r="O190" i="56"/>
  <c r="P190" i="56"/>
  <c r="Q190" i="56"/>
  <c r="R190" i="56"/>
  <c r="S190" i="56"/>
  <c r="T190" i="56"/>
  <c r="U190" i="56"/>
  <c r="V190" i="56"/>
  <c r="W190" i="56"/>
  <c r="X190" i="56"/>
  <c r="Y190" i="56"/>
  <c r="Z190" i="56"/>
  <c r="AA190" i="56"/>
  <c r="AB190" i="56"/>
  <c r="AC190" i="56"/>
  <c r="AD190" i="56"/>
  <c r="AE190" i="56"/>
  <c r="AF190" i="56"/>
  <c r="AG190" i="56"/>
  <c r="AH190" i="56"/>
  <c r="AI190" i="56"/>
  <c r="AJ190" i="56"/>
  <c r="AK190" i="56"/>
  <c r="AL190" i="56"/>
  <c r="AM190" i="56"/>
  <c r="D191" i="56"/>
  <c r="E191" i="56"/>
  <c r="F191" i="56"/>
  <c r="G191" i="56"/>
  <c r="H191" i="56"/>
  <c r="I191" i="56"/>
  <c r="J191" i="56"/>
  <c r="K191" i="56"/>
  <c r="L191" i="56"/>
  <c r="M191" i="56"/>
  <c r="N191" i="56"/>
  <c r="O191" i="56"/>
  <c r="P191" i="56"/>
  <c r="Q191" i="56"/>
  <c r="R191" i="56"/>
  <c r="S191" i="56"/>
  <c r="T191" i="56"/>
  <c r="U191" i="56"/>
  <c r="V191" i="56"/>
  <c r="W191" i="56"/>
  <c r="X191" i="56"/>
  <c r="Y191" i="56"/>
  <c r="Z191" i="56"/>
  <c r="AA191" i="56"/>
  <c r="AB191" i="56"/>
  <c r="AC191" i="56"/>
  <c r="AD191" i="56"/>
  <c r="AE191" i="56"/>
  <c r="AF191" i="56"/>
  <c r="AG191" i="56"/>
  <c r="AH191" i="56"/>
  <c r="AI191" i="56"/>
  <c r="AJ191" i="56"/>
  <c r="AK191" i="56"/>
  <c r="AL191" i="56"/>
  <c r="AM191" i="56"/>
  <c r="D192" i="56"/>
  <c r="E192" i="56"/>
  <c r="F192" i="56"/>
  <c r="G192" i="56"/>
  <c r="H192" i="56"/>
  <c r="I192" i="56"/>
  <c r="J192" i="56"/>
  <c r="K192" i="56"/>
  <c r="L192" i="56"/>
  <c r="M192" i="56"/>
  <c r="N192" i="56"/>
  <c r="O192" i="56"/>
  <c r="P192" i="56"/>
  <c r="Q192" i="56"/>
  <c r="R192" i="56"/>
  <c r="S192" i="56"/>
  <c r="T192" i="56"/>
  <c r="U192" i="56"/>
  <c r="V192" i="56"/>
  <c r="W192" i="56"/>
  <c r="X192" i="56"/>
  <c r="Y192" i="56"/>
  <c r="Z192" i="56"/>
  <c r="AA192" i="56"/>
  <c r="AB192" i="56"/>
  <c r="AC192" i="56"/>
  <c r="AD192" i="56"/>
  <c r="AE192" i="56"/>
  <c r="AF192" i="56"/>
  <c r="AG192" i="56"/>
  <c r="AH192" i="56"/>
  <c r="AI192" i="56"/>
  <c r="AJ192" i="56"/>
  <c r="AK192" i="56"/>
  <c r="AL192" i="56"/>
  <c r="AM192" i="56"/>
  <c r="D193" i="56"/>
  <c r="E193" i="56"/>
  <c r="F193" i="56"/>
  <c r="G193" i="56"/>
  <c r="H193" i="56"/>
  <c r="I193" i="56"/>
  <c r="J193" i="56"/>
  <c r="K193" i="56"/>
  <c r="L193" i="56"/>
  <c r="M193" i="56"/>
  <c r="N193" i="56"/>
  <c r="O193" i="56"/>
  <c r="P193" i="56"/>
  <c r="Q193" i="56"/>
  <c r="R193" i="56"/>
  <c r="S193" i="56"/>
  <c r="T193" i="56"/>
  <c r="U193" i="56"/>
  <c r="V193" i="56"/>
  <c r="W193" i="56"/>
  <c r="X193" i="56"/>
  <c r="Y193" i="56"/>
  <c r="Z193" i="56"/>
  <c r="AA193" i="56"/>
  <c r="AB193" i="56"/>
  <c r="AC193" i="56"/>
  <c r="AD193" i="56"/>
  <c r="AE193" i="56"/>
  <c r="AF193" i="56"/>
  <c r="AG193" i="56"/>
  <c r="AH193" i="56"/>
  <c r="AI193" i="56"/>
  <c r="AJ193" i="56"/>
  <c r="AK193" i="56"/>
  <c r="AL193" i="56"/>
  <c r="AM193" i="56"/>
  <c r="D194" i="56"/>
  <c r="E194" i="56"/>
  <c r="F194" i="56"/>
  <c r="G194" i="56"/>
  <c r="H194" i="56"/>
  <c r="I194" i="56"/>
  <c r="J194" i="56"/>
  <c r="K194" i="56"/>
  <c r="L194" i="56"/>
  <c r="M194" i="56"/>
  <c r="N194" i="56"/>
  <c r="O194" i="56"/>
  <c r="P194" i="56"/>
  <c r="Q194" i="56"/>
  <c r="R194" i="56"/>
  <c r="S194" i="56"/>
  <c r="T194" i="56"/>
  <c r="U194" i="56"/>
  <c r="V194" i="56"/>
  <c r="W194" i="56"/>
  <c r="X194" i="56"/>
  <c r="Y194" i="56"/>
  <c r="Z194" i="56"/>
  <c r="AA194" i="56"/>
  <c r="AB194" i="56"/>
  <c r="AC194" i="56"/>
  <c r="AD194" i="56"/>
  <c r="AE194" i="56"/>
  <c r="AF194" i="56"/>
  <c r="AG194" i="56"/>
  <c r="AH194" i="56"/>
  <c r="AI194" i="56"/>
  <c r="AJ194" i="56"/>
  <c r="AK194" i="56"/>
  <c r="AL194" i="56"/>
  <c r="AM194" i="56"/>
  <c r="D195" i="56"/>
  <c r="E195" i="56"/>
  <c r="F195" i="56"/>
  <c r="G195" i="56"/>
  <c r="H195" i="56"/>
  <c r="I195" i="56"/>
  <c r="J195" i="56"/>
  <c r="K195" i="56"/>
  <c r="L195" i="56"/>
  <c r="M195" i="56"/>
  <c r="N195" i="56"/>
  <c r="O195" i="56"/>
  <c r="P195" i="56"/>
  <c r="Q195" i="56"/>
  <c r="R195" i="56"/>
  <c r="S195" i="56"/>
  <c r="T195" i="56"/>
  <c r="U195" i="56"/>
  <c r="V195" i="56"/>
  <c r="W195" i="56"/>
  <c r="X195" i="56"/>
  <c r="Y195" i="56"/>
  <c r="Z195" i="56"/>
  <c r="AA195" i="56"/>
  <c r="AB195" i="56"/>
  <c r="AC195" i="56"/>
  <c r="AD195" i="56"/>
  <c r="AE195" i="56"/>
  <c r="AF195" i="56"/>
  <c r="AG195" i="56"/>
  <c r="AH195" i="56"/>
  <c r="AI195" i="56"/>
  <c r="AJ195" i="56"/>
  <c r="AK195" i="56"/>
  <c r="AL195" i="56"/>
  <c r="AM195" i="56"/>
  <c r="D196" i="56"/>
  <c r="E196" i="56"/>
  <c r="F196" i="56"/>
  <c r="G196" i="56"/>
  <c r="H196" i="56"/>
  <c r="I196" i="56"/>
  <c r="J196" i="56"/>
  <c r="K196" i="56"/>
  <c r="L196" i="56"/>
  <c r="M196" i="56"/>
  <c r="N196" i="56"/>
  <c r="O196" i="56"/>
  <c r="P196" i="56"/>
  <c r="Q196" i="56"/>
  <c r="R196" i="56"/>
  <c r="S196" i="56"/>
  <c r="T196" i="56"/>
  <c r="U196" i="56"/>
  <c r="V196" i="56"/>
  <c r="W196" i="56"/>
  <c r="X196" i="56"/>
  <c r="Y196" i="56"/>
  <c r="Z196" i="56"/>
  <c r="AA196" i="56"/>
  <c r="AB196" i="56"/>
  <c r="AC196" i="56"/>
  <c r="AD196" i="56"/>
  <c r="AE196" i="56"/>
  <c r="AF196" i="56"/>
  <c r="AG196" i="56"/>
  <c r="AH196" i="56"/>
  <c r="AI196" i="56"/>
  <c r="AJ196" i="56"/>
  <c r="AK196" i="56"/>
  <c r="AL196" i="56"/>
  <c r="AM196" i="56"/>
  <c r="D197" i="56"/>
  <c r="E197" i="56"/>
  <c r="F197" i="56"/>
  <c r="G197" i="56"/>
  <c r="H197" i="56"/>
  <c r="I197" i="56"/>
  <c r="J197" i="56"/>
  <c r="K197" i="56"/>
  <c r="L197" i="56"/>
  <c r="M197" i="56"/>
  <c r="N197" i="56"/>
  <c r="O197" i="56"/>
  <c r="P197" i="56"/>
  <c r="Q197" i="56"/>
  <c r="R197" i="56"/>
  <c r="S197" i="56"/>
  <c r="T197" i="56"/>
  <c r="U197" i="56"/>
  <c r="V197" i="56"/>
  <c r="W197" i="56"/>
  <c r="X197" i="56"/>
  <c r="Y197" i="56"/>
  <c r="Z197" i="56"/>
  <c r="AA197" i="56"/>
  <c r="AB197" i="56"/>
  <c r="AC197" i="56"/>
  <c r="AD197" i="56"/>
  <c r="AE197" i="56"/>
  <c r="AF197" i="56"/>
  <c r="AG197" i="56"/>
  <c r="AH197" i="56"/>
  <c r="AI197" i="56"/>
  <c r="AJ197" i="56"/>
  <c r="AK197" i="56"/>
  <c r="AL197" i="56"/>
  <c r="AM197" i="56"/>
  <c r="D198" i="56"/>
  <c r="E198" i="56"/>
  <c r="F198" i="56"/>
  <c r="G198" i="56"/>
  <c r="H198" i="56"/>
  <c r="I198" i="56"/>
  <c r="J198" i="56"/>
  <c r="K198" i="56"/>
  <c r="L198" i="56"/>
  <c r="M198" i="56"/>
  <c r="N198" i="56"/>
  <c r="O198" i="56"/>
  <c r="P198" i="56"/>
  <c r="Q198" i="56"/>
  <c r="R198" i="56"/>
  <c r="S198" i="56"/>
  <c r="T198" i="56"/>
  <c r="U198" i="56"/>
  <c r="V198" i="56"/>
  <c r="W198" i="56"/>
  <c r="X198" i="56"/>
  <c r="Y198" i="56"/>
  <c r="Z198" i="56"/>
  <c r="AA198" i="56"/>
  <c r="AB198" i="56"/>
  <c r="AC198" i="56"/>
  <c r="AD198" i="56"/>
  <c r="AE198" i="56"/>
  <c r="AF198" i="56"/>
  <c r="AG198" i="56"/>
  <c r="AH198" i="56"/>
  <c r="AI198" i="56"/>
  <c r="AJ198" i="56"/>
  <c r="AK198" i="56"/>
  <c r="AL198" i="56"/>
  <c r="AM198" i="56"/>
  <c r="D199" i="56"/>
  <c r="E199" i="56"/>
  <c r="F199" i="56"/>
  <c r="G199" i="56"/>
  <c r="H199" i="56"/>
  <c r="I199" i="56"/>
  <c r="J199" i="56"/>
  <c r="K199" i="56"/>
  <c r="L199" i="56"/>
  <c r="M199" i="56"/>
  <c r="N199" i="56"/>
  <c r="O199" i="56"/>
  <c r="P199" i="56"/>
  <c r="Q199" i="56"/>
  <c r="R199" i="56"/>
  <c r="S199" i="56"/>
  <c r="T199" i="56"/>
  <c r="U199" i="56"/>
  <c r="V199" i="56"/>
  <c r="W199" i="56"/>
  <c r="X199" i="56"/>
  <c r="Y199" i="56"/>
  <c r="Z199" i="56"/>
  <c r="AA199" i="56"/>
  <c r="AB199" i="56"/>
  <c r="AC199" i="56"/>
  <c r="AD199" i="56"/>
  <c r="AE199" i="56"/>
  <c r="AF199" i="56"/>
  <c r="AG199" i="56"/>
  <c r="AH199" i="56"/>
  <c r="AI199" i="56"/>
  <c r="AJ199" i="56"/>
  <c r="AK199" i="56"/>
  <c r="AL199" i="56"/>
  <c r="AM199" i="56"/>
  <c r="D200" i="56"/>
  <c r="E200" i="56"/>
  <c r="F200" i="56"/>
  <c r="G200" i="56"/>
  <c r="H200" i="56"/>
  <c r="I200" i="56"/>
  <c r="J200" i="56"/>
  <c r="K200" i="56"/>
  <c r="L200" i="56"/>
  <c r="M200" i="56"/>
  <c r="N200" i="56"/>
  <c r="O200" i="56"/>
  <c r="P200" i="56"/>
  <c r="Q200" i="56"/>
  <c r="R200" i="56"/>
  <c r="S200" i="56"/>
  <c r="T200" i="56"/>
  <c r="U200" i="56"/>
  <c r="V200" i="56"/>
  <c r="W200" i="56"/>
  <c r="X200" i="56"/>
  <c r="Y200" i="56"/>
  <c r="Z200" i="56"/>
  <c r="AA200" i="56"/>
  <c r="AB200" i="56"/>
  <c r="AC200" i="56"/>
  <c r="AD200" i="56"/>
  <c r="AE200" i="56"/>
  <c r="AF200" i="56"/>
  <c r="AG200" i="56"/>
  <c r="AH200" i="56"/>
  <c r="AI200" i="56"/>
  <c r="AJ200" i="56"/>
  <c r="AK200" i="56"/>
  <c r="AL200" i="56"/>
  <c r="AM200" i="56"/>
  <c r="D201" i="56"/>
  <c r="E201" i="56"/>
  <c r="F201" i="56"/>
  <c r="G201" i="56"/>
  <c r="H201" i="56"/>
  <c r="I201" i="56"/>
  <c r="J201" i="56"/>
  <c r="K201" i="56"/>
  <c r="L201" i="56"/>
  <c r="M201" i="56"/>
  <c r="N201" i="56"/>
  <c r="O201" i="56"/>
  <c r="P201" i="56"/>
  <c r="Q201" i="56"/>
  <c r="R201" i="56"/>
  <c r="S201" i="56"/>
  <c r="T201" i="56"/>
  <c r="U201" i="56"/>
  <c r="V201" i="56"/>
  <c r="W201" i="56"/>
  <c r="X201" i="56"/>
  <c r="Y201" i="56"/>
  <c r="Z201" i="56"/>
  <c r="AA201" i="56"/>
  <c r="AB201" i="56"/>
  <c r="AC201" i="56"/>
  <c r="AD201" i="56"/>
  <c r="AE201" i="56"/>
  <c r="AF201" i="56"/>
  <c r="AG201" i="56"/>
  <c r="AH201" i="56"/>
  <c r="AI201" i="56"/>
  <c r="AJ201" i="56"/>
  <c r="AK201" i="56"/>
  <c r="AL201" i="56"/>
  <c r="AM201" i="56"/>
  <c r="D202" i="56"/>
  <c r="E202" i="56"/>
  <c r="F202" i="56"/>
  <c r="G202" i="56"/>
  <c r="H202" i="56"/>
  <c r="I202" i="56"/>
  <c r="J202" i="56"/>
  <c r="K202" i="56"/>
  <c r="L202" i="56"/>
  <c r="M202" i="56"/>
  <c r="N202" i="56"/>
  <c r="O202" i="56"/>
  <c r="P202" i="56"/>
  <c r="Q202" i="56"/>
  <c r="R202" i="56"/>
  <c r="S202" i="56"/>
  <c r="T202" i="56"/>
  <c r="U202" i="56"/>
  <c r="V202" i="56"/>
  <c r="W202" i="56"/>
  <c r="X202" i="56"/>
  <c r="Y202" i="56"/>
  <c r="Z202" i="56"/>
  <c r="AA202" i="56"/>
  <c r="AB202" i="56"/>
  <c r="AC202" i="56"/>
  <c r="AD202" i="56"/>
  <c r="AE202" i="56"/>
  <c r="AF202" i="56"/>
  <c r="AG202" i="56"/>
  <c r="AH202" i="56"/>
  <c r="AI202" i="56"/>
  <c r="AJ202" i="56"/>
  <c r="AK202" i="56"/>
  <c r="AL202" i="56"/>
  <c r="AM202" i="56"/>
  <c r="D203" i="56"/>
  <c r="E203" i="56"/>
  <c r="F203" i="56"/>
  <c r="G203" i="56"/>
  <c r="H203" i="56"/>
  <c r="I203" i="56"/>
  <c r="J203" i="56"/>
  <c r="K203" i="56"/>
  <c r="L203" i="56"/>
  <c r="M203" i="56"/>
  <c r="N203" i="56"/>
  <c r="O203" i="56"/>
  <c r="P203" i="56"/>
  <c r="Q203" i="56"/>
  <c r="R203" i="56"/>
  <c r="S203" i="56"/>
  <c r="T203" i="56"/>
  <c r="U203" i="56"/>
  <c r="V203" i="56"/>
  <c r="W203" i="56"/>
  <c r="X203" i="56"/>
  <c r="Y203" i="56"/>
  <c r="Z203" i="56"/>
  <c r="AA203" i="56"/>
  <c r="AB203" i="56"/>
  <c r="AC203" i="56"/>
  <c r="AD203" i="56"/>
  <c r="AE203" i="56"/>
  <c r="AF203" i="56"/>
  <c r="AG203" i="56"/>
  <c r="AH203" i="56"/>
  <c r="AI203" i="56"/>
  <c r="AJ203" i="56"/>
  <c r="AK203" i="56"/>
  <c r="AL203" i="56"/>
  <c r="AM203" i="56"/>
  <c r="D205" i="56"/>
  <c r="E205" i="56"/>
  <c r="F205" i="56"/>
  <c r="G205" i="56"/>
  <c r="H205" i="56"/>
  <c r="I205" i="56"/>
  <c r="J205" i="56"/>
  <c r="K205" i="56"/>
  <c r="L205" i="56"/>
  <c r="M205" i="56"/>
  <c r="N205" i="56"/>
  <c r="O205" i="56"/>
  <c r="P205" i="56"/>
  <c r="Q205" i="56"/>
  <c r="R205" i="56"/>
  <c r="S205" i="56"/>
  <c r="T205" i="56"/>
  <c r="U205" i="56"/>
  <c r="V205" i="56"/>
  <c r="W205" i="56"/>
  <c r="X205" i="56"/>
  <c r="Y205" i="56"/>
  <c r="Z205" i="56"/>
  <c r="AA205" i="56"/>
  <c r="AB205" i="56"/>
  <c r="AC205" i="56"/>
  <c r="AD205" i="56"/>
  <c r="AE205" i="56"/>
  <c r="AF205" i="56"/>
  <c r="AG205" i="56"/>
  <c r="AH205" i="56"/>
  <c r="AI205" i="56"/>
  <c r="AJ205" i="56"/>
  <c r="AK205" i="56"/>
  <c r="AL205" i="56"/>
  <c r="AM205" i="56"/>
  <c r="D207" i="56"/>
  <c r="E207" i="56"/>
  <c r="F207" i="56"/>
  <c r="G207" i="56"/>
  <c r="H207" i="56"/>
  <c r="I207" i="56"/>
  <c r="J207" i="56"/>
  <c r="K207" i="56"/>
  <c r="L207" i="56"/>
  <c r="M207" i="56"/>
  <c r="N207" i="56"/>
  <c r="O207" i="56"/>
  <c r="P207" i="56"/>
  <c r="Q207" i="56"/>
  <c r="R207" i="56"/>
  <c r="S207" i="56"/>
  <c r="T207" i="56"/>
  <c r="U207" i="56"/>
  <c r="V207" i="56"/>
  <c r="W207" i="56"/>
  <c r="X207" i="56"/>
  <c r="Y207" i="56"/>
  <c r="Z207" i="56"/>
  <c r="AA207" i="56"/>
  <c r="AB207" i="56"/>
  <c r="AC207" i="56"/>
  <c r="AD207" i="56"/>
  <c r="AE207" i="56"/>
  <c r="AF207" i="56"/>
  <c r="AG207" i="56"/>
  <c r="AH207" i="56"/>
  <c r="AI207" i="56"/>
  <c r="AJ207" i="56"/>
  <c r="AK207" i="56"/>
  <c r="AL207" i="56"/>
  <c r="AM207" i="56"/>
  <c r="D209" i="56"/>
  <c r="E209" i="56"/>
  <c r="F209" i="56"/>
  <c r="G209" i="56"/>
  <c r="H209" i="56"/>
  <c r="I209" i="56"/>
  <c r="J209" i="56"/>
  <c r="K209" i="56"/>
  <c r="L209" i="56"/>
  <c r="M209" i="56"/>
  <c r="N209" i="56"/>
  <c r="O209" i="56"/>
  <c r="P209" i="56"/>
  <c r="Q209" i="56"/>
  <c r="R209" i="56"/>
  <c r="S209" i="56"/>
  <c r="T209" i="56"/>
  <c r="U209" i="56"/>
  <c r="V209" i="56"/>
  <c r="W209" i="56"/>
  <c r="X209" i="56"/>
  <c r="Y209" i="56"/>
  <c r="Z209" i="56"/>
  <c r="AA209" i="56"/>
  <c r="AB209" i="56"/>
  <c r="AC209" i="56"/>
  <c r="AD209" i="56"/>
  <c r="AE209" i="56"/>
  <c r="AF209" i="56"/>
  <c r="AG209" i="56"/>
  <c r="AH209" i="56"/>
  <c r="AI209" i="56"/>
  <c r="AJ209" i="56"/>
  <c r="AK209" i="56"/>
  <c r="AL209" i="56"/>
  <c r="AM209" i="56"/>
  <c r="D211" i="56"/>
  <c r="E211" i="56"/>
  <c r="F211" i="56"/>
  <c r="G211" i="56"/>
  <c r="H211" i="56"/>
  <c r="I211" i="56"/>
  <c r="J211" i="56"/>
  <c r="K211" i="56"/>
  <c r="L211" i="56"/>
  <c r="M211" i="56"/>
  <c r="N211" i="56"/>
  <c r="O211" i="56"/>
  <c r="P211" i="56"/>
  <c r="Q211" i="56"/>
  <c r="D212" i="56"/>
  <c r="E212" i="56"/>
  <c r="F212" i="56"/>
  <c r="G212" i="56"/>
  <c r="H212" i="56"/>
  <c r="I212" i="56"/>
  <c r="J212" i="56"/>
  <c r="K212" i="56"/>
  <c r="L212" i="56"/>
  <c r="M212" i="56"/>
  <c r="N212" i="56"/>
  <c r="O212" i="56"/>
  <c r="P212" i="56"/>
  <c r="Q212" i="56"/>
  <c r="D213" i="56"/>
  <c r="E213" i="56"/>
  <c r="F213" i="56"/>
  <c r="G213" i="56"/>
  <c r="H213" i="56"/>
  <c r="I213" i="56"/>
  <c r="J213" i="56"/>
  <c r="K213" i="56"/>
  <c r="L213" i="56"/>
  <c r="M213" i="56"/>
  <c r="N213" i="56"/>
  <c r="O213" i="56"/>
  <c r="P213" i="56"/>
  <c r="Q213" i="56"/>
  <c r="D214" i="56"/>
  <c r="E214" i="56"/>
  <c r="F214" i="56"/>
  <c r="G214" i="56"/>
  <c r="H214" i="56"/>
  <c r="I214" i="56"/>
  <c r="J214" i="56"/>
  <c r="K214" i="56"/>
  <c r="L214" i="56"/>
  <c r="M214" i="56"/>
  <c r="N214" i="56"/>
  <c r="O214" i="56"/>
  <c r="P214" i="56"/>
  <c r="Q214" i="56"/>
  <c r="D215" i="56"/>
  <c r="E215" i="56"/>
  <c r="F215" i="56"/>
  <c r="G215" i="56"/>
  <c r="H215" i="56"/>
  <c r="I215" i="56"/>
  <c r="J215" i="56"/>
  <c r="K215" i="56"/>
  <c r="L215" i="56"/>
  <c r="M215" i="56"/>
  <c r="N215" i="56"/>
  <c r="O215" i="56"/>
  <c r="P215" i="56"/>
  <c r="Q215" i="56"/>
  <c r="D216" i="56"/>
  <c r="E216" i="56"/>
  <c r="F216" i="56"/>
  <c r="G216" i="56"/>
  <c r="H216" i="56"/>
  <c r="I216" i="56"/>
  <c r="J216" i="56"/>
  <c r="K216" i="56"/>
  <c r="L216" i="56"/>
  <c r="M216" i="56"/>
  <c r="N216" i="56"/>
  <c r="O216" i="56"/>
  <c r="P216" i="56"/>
  <c r="Q216" i="56"/>
  <c r="D217" i="56"/>
  <c r="E217" i="56"/>
  <c r="F217" i="56"/>
  <c r="G217" i="56"/>
  <c r="H217" i="56"/>
  <c r="I217" i="56"/>
  <c r="J217" i="56"/>
  <c r="K217" i="56"/>
  <c r="L217" i="56"/>
  <c r="M217" i="56"/>
  <c r="N217" i="56"/>
  <c r="O217" i="56"/>
  <c r="P217" i="56"/>
  <c r="Q217" i="56"/>
  <c r="D218" i="56"/>
  <c r="E218" i="56"/>
  <c r="F218" i="56"/>
  <c r="G218" i="56"/>
  <c r="H218" i="56"/>
  <c r="I218" i="56"/>
  <c r="J218" i="56"/>
  <c r="K218" i="56"/>
  <c r="L218" i="56"/>
  <c r="M218" i="56"/>
  <c r="N218" i="56"/>
  <c r="O218" i="56"/>
  <c r="P218" i="56"/>
  <c r="Q218" i="56"/>
  <c r="D219" i="56"/>
  <c r="E219" i="56"/>
  <c r="F219" i="56"/>
  <c r="G219" i="56"/>
  <c r="H219" i="56"/>
  <c r="I219" i="56"/>
  <c r="J219" i="56"/>
  <c r="K219" i="56"/>
  <c r="L219" i="56"/>
  <c r="M219" i="56"/>
  <c r="N219" i="56"/>
  <c r="O219" i="56"/>
  <c r="P219" i="56"/>
  <c r="Q219" i="56"/>
  <c r="D220" i="56"/>
  <c r="E220" i="56"/>
  <c r="F220" i="56"/>
  <c r="G220" i="56"/>
  <c r="H220" i="56"/>
  <c r="I220" i="56"/>
  <c r="J220" i="56"/>
  <c r="K220" i="56"/>
  <c r="L220" i="56"/>
  <c r="M220" i="56"/>
  <c r="N220" i="56"/>
  <c r="O220" i="56"/>
  <c r="P220" i="56"/>
  <c r="Q220" i="56"/>
  <c r="D222" i="56"/>
  <c r="E222" i="56"/>
  <c r="F222" i="56"/>
  <c r="G222" i="56"/>
  <c r="H222" i="56"/>
  <c r="I222" i="56"/>
  <c r="J222" i="56"/>
  <c r="K222" i="56"/>
  <c r="L222" i="56"/>
  <c r="M222" i="56"/>
  <c r="N222" i="56"/>
  <c r="O222" i="56"/>
  <c r="P222" i="56"/>
  <c r="Q222" i="56"/>
  <c r="D223" i="56"/>
  <c r="E223" i="56"/>
  <c r="F223" i="56"/>
  <c r="G223" i="56"/>
  <c r="H223" i="56"/>
  <c r="I223" i="56"/>
  <c r="J223" i="56"/>
  <c r="K223" i="56"/>
  <c r="L223" i="56"/>
  <c r="M223" i="56"/>
  <c r="N223" i="56"/>
  <c r="O223" i="56"/>
  <c r="P223" i="56"/>
  <c r="Q223" i="56"/>
  <c r="D224" i="56"/>
  <c r="E224" i="56"/>
  <c r="F224" i="56"/>
  <c r="G224" i="56"/>
  <c r="H224" i="56"/>
  <c r="I224" i="56"/>
  <c r="J224" i="56"/>
  <c r="K224" i="56"/>
  <c r="L224" i="56"/>
  <c r="M224" i="56"/>
  <c r="N224" i="56"/>
  <c r="O224" i="56"/>
  <c r="P224" i="56"/>
  <c r="Q224" i="56"/>
  <c r="D225" i="56"/>
  <c r="E225" i="56"/>
  <c r="F225" i="56"/>
  <c r="G225" i="56"/>
  <c r="H225" i="56"/>
  <c r="I225" i="56"/>
  <c r="J225" i="56"/>
  <c r="K225" i="56"/>
  <c r="L225" i="56"/>
  <c r="M225" i="56"/>
  <c r="N225" i="56"/>
  <c r="O225" i="56"/>
  <c r="P225" i="56"/>
  <c r="Q225" i="56"/>
  <c r="D226" i="56"/>
  <c r="E226" i="56"/>
  <c r="F226" i="56"/>
  <c r="G226" i="56"/>
  <c r="H226" i="56"/>
  <c r="I226" i="56"/>
  <c r="J226" i="56"/>
  <c r="K226" i="56"/>
  <c r="L226" i="56"/>
  <c r="M226" i="56"/>
  <c r="N226" i="56"/>
  <c r="O226" i="56"/>
  <c r="P226" i="56"/>
  <c r="Q226" i="56"/>
  <c r="D227" i="56"/>
  <c r="E227" i="56"/>
  <c r="F227" i="56"/>
  <c r="G227" i="56"/>
  <c r="H227" i="56"/>
  <c r="I227" i="56"/>
  <c r="J227" i="56"/>
  <c r="K227" i="56"/>
  <c r="L227" i="56"/>
  <c r="M227" i="56"/>
  <c r="N227" i="56"/>
  <c r="O227" i="56"/>
  <c r="P227" i="56"/>
  <c r="Q227" i="56"/>
  <c r="D228" i="56"/>
  <c r="E228" i="56"/>
  <c r="F228" i="56"/>
  <c r="G228" i="56"/>
  <c r="H228" i="56"/>
  <c r="I228" i="56"/>
  <c r="J228" i="56"/>
  <c r="K228" i="56"/>
  <c r="L228" i="56"/>
  <c r="M228" i="56"/>
  <c r="N228" i="56"/>
  <c r="O228" i="56"/>
  <c r="P228" i="56"/>
  <c r="Q228" i="56"/>
  <c r="D229" i="56"/>
  <c r="E229" i="56"/>
  <c r="F229" i="56"/>
  <c r="G229" i="56"/>
  <c r="H229" i="56"/>
  <c r="I229" i="56"/>
  <c r="J229" i="56"/>
  <c r="K229" i="56"/>
  <c r="L229" i="56"/>
  <c r="M229" i="56"/>
  <c r="N229" i="56"/>
  <c r="O229" i="56"/>
  <c r="P229" i="56"/>
  <c r="Q229" i="56"/>
  <c r="D230" i="56"/>
  <c r="E230" i="56"/>
  <c r="F230" i="56"/>
  <c r="G230" i="56"/>
  <c r="H230" i="56"/>
  <c r="I230" i="56"/>
  <c r="J230" i="56"/>
  <c r="K230" i="56"/>
  <c r="L230" i="56"/>
  <c r="M230" i="56"/>
  <c r="N230" i="56"/>
  <c r="O230" i="56"/>
  <c r="P230" i="56"/>
  <c r="Q230" i="56"/>
  <c r="D231" i="56"/>
  <c r="E231" i="56"/>
  <c r="F231" i="56"/>
  <c r="G231" i="56"/>
  <c r="H231" i="56"/>
  <c r="I231" i="56"/>
  <c r="J231" i="56"/>
  <c r="K231" i="56"/>
  <c r="L231" i="56"/>
  <c r="M231" i="56"/>
  <c r="N231" i="56"/>
  <c r="O231" i="56"/>
  <c r="P231" i="56"/>
  <c r="Q231" i="56"/>
  <c r="D233" i="56"/>
  <c r="E233" i="56"/>
  <c r="F233" i="56"/>
  <c r="G233" i="56"/>
  <c r="H233" i="56"/>
  <c r="I233" i="56"/>
  <c r="J233" i="56"/>
  <c r="K233" i="56"/>
  <c r="L233" i="56"/>
  <c r="M233" i="56"/>
  <c r="N233" i="56"/>
  <c r="O233" i="56"/>
  <c r="P233" i="56"/>
  <c r="Q233" i="56"/>
  <c r="D234" i="56"/>
  <c r="E234" i="56"/>
  <c r="F234" i="56"/>
  <c r="G234" i="56"/>
  <c r="H234" i="56"/>
  <c r="I234" i="56"/>
  <c r="J234" i="56"/>
  <c r="K234" i="56"/>
  <c r="L234" i="56"/>
  <c r="M234" i="56"/>
  <c r="N234" i="56"/>
  <c r="O234" i="56"/>
  <c r="P234" i="56"/>
  <c r="Q234" i="56"/>
  <c r="D235" i="56"/>
  <c r="E235" i="56"/>
  <c r="F235" i="56"/>
  <c r="G235" i="56"/>
  <c r="H235" i="56"/>
  <c r="I235" i="56"/>
  <c r="J235" i="56"/>
  <c r="K235" i="56"/>
  <c r="L235" i="56"/>
  <c r="M235" i="56"/>
  <c r="N235" i="56"/>
  <c r="O235" i="56"/>
  <c r="P235" i="56"/>
  <c r="Q235" i="56"/>
  <c r="D236" i="56"/>
  <c r="E236" i="56"/>
  <c r="F236" i="56"/>
  <c r="G236" i="56"/>
  <c r="H236" i="56"/>
  <c r="I236" i="56"/>
  <c r="J236" i="56"/>
  <c r="K236" i="56"/>
  <c r="L236" i="56"/>
  <c r="M236" i="56"/>
  <c r="N236" i="56"/>
  <c r="O236" i="56"/>
  <c r="P236" i="56"/>
  <c r="Q236" i="56"/>
  <c r="D237" i="56"/>
  <c r="E237" i="56"/>
  <c r="F237" i="56"/>
  <c r="G237" i="56"/>
  <c r="H237" i="56"/>
  <c r="I237" i="56"/>
  <c r="J237" i="56"/>
  <c r="K237" i="56"/>
  <c r="L237" i="56"/>
  <c r="M237" i="56"/>
  <c r="N237" i="56"/>
  <c r="O237" i="56"/>
  <c r="P237" i="56"/>
  <c r="Q237" i="56"/>
  <c r="D238" i="56"/>
  <c r="E238" i="56"/>
  <c r="F238" i="56"/>
  <c r="G238" i="56"/>
  <c r="H238" i="56"/>
  <c r="I238" i="56"/>
  <c r="J238" i="56"/>
  <c r="K238" i="56"/>
  <c r="L238" i="56"/>
  <c r="M238" i="56"/>
  <c r="N238" i="56"/>
  <c r="O238" i="56"/>
  <c r="P238" i="56"/>
  <c r="Q238" i="56"/>
  <c r="D239" i="56"/>
  <c r="E239" i="56"/>
  <c r="F239" i="56"/>
  <c r="G239" i="56"/>
  <c r="H239" i="56"/>
  <c r="I239" i="56"/>
  <c r="J239" i="56"/>
  <c r="K239" i="56"/>
  <c r="L239" i="56"/>
  <c r="M239" i="56"/>
  <c r="N239" i="56"/>
  <c r="O239" i="56"/>
  <c r="P239" i="56"/>
  <c r="Q239" i="56"/>
  <c r="D240" i="56"/>
  <c r="E240" i="56"/>
  <c r="F240" i="56"/>
  <c r="G240" i="56"/>
  <c r="H240" i="56"/>
  <c r="I240" i="56"/>
  <c r="J240" i="56"/>
  <c r="K240" i="56"/>
  <c r="L240" i="56"/>
  <c r="M240" i="56"/>
  <c r="N240" i="56"/>
  <c r="O240" i="56"/>
  <c r="P240" i="56"/>
  <c r="Q240" i="56"/>
  <c r="D241" i="56"/>
  <c r="E241" i="56"/>
  <c r="F241" i="56"/>
  <c r="G241" i="56"/>
  <c r="H241" i="56"/>
  <c r="I241" i="56"/>
  <c r="J241" i="56"/>
  <c r="K241" i="56"/>
  <c r="L241" i="56"/>
  <c r="M241" i="56"/>
  <c r="N241" i="56"/>
  <c r="O241" i="56"/>
  <c r="P241" i="56"/>
  <c r="Q241" i="56"/>
  <c r="D242" i="56"/>
  <c r="E242" i="56"/>
  <c r="F242" i="56"/>
  <c r="G242" i="56"/>
  <c r="H242" i="56"/>
  <c r="I242" i="56"/>
  <c r="J242" i="56"/>
  <c r="K242" i="56"/>
  <c r="L242" i="56"/>
  <c r="M242" i="56"/>
  <c r="N242" i="56"/>
  <c r="O242" i="56"/>
  <c r="P242" i="56"/>
  <c r="Q242" i="56"/>
  <c r="D4" i="50"/>
  <c r="E4" i="50"/>
  <c r="F4" i="50"/>
  <c r="G4" i="50"/>
  <c r="H4" i="50"/>
  <c r="I4" i="50"/>
  <c r="J4" i="50"/>
  <c r="K4" i="50"/>
  <c r="L4" i="50"/>
  <c r="M4" i="50"/>
  <c r="N4" i="50"/>
  <c r="O4" i="50"/>
  <c r="P4" i="50"/>
  <c r="Q4" i="50"/>
  <c r="R4" i="50"/>
  <c r="S4" i="50"/>
  <c r="T4" i="50"/>
  <c r="U4" i="50"/>
  <c r="V4" i="50"/>
  <c r="W4" i="50"/>
  <c r="X4" i="50"/>
  <c r="Y4" i="50"/>
  <c r="Z4" i="50"/>
  <c r="AA4" i="50"/>
  <c r="AB4" i="50"/>
  <c r="AC4" i="50"/>
  <c r="AD4" i="50"/>
  <c r="AE4" i="50"/>
  <c r="AF4" i="50"/>
  <c r="AG4" i="50"/>
  <c r="AH4" i="50"/>
  <c r="AI4" i="50"/>
  <c r="AJ4" i="50"/>
  <c r="AK4" i="50"/>
  <c r="AL4" i="50"/>
  <c r="AM4" i="50"/>
  <c r="D5" i="50"/>
  <c r="E5" i="50"/>
  <c r="F5" i="50"/>
  <c r="G5" i="50"/>
  <c r="H5" i="50"/>
  <c r="I5" i="50"/>
  <c r="J5" i="50"/>
  <c r="K5" i="50"/>
  <c r="L5" i="50"/>
  <c r="M5" i="50"/>
  <c r="N5" i="50"/>
  <c r="O5" i="50"/>
  <c r="P5" i="50"/>
  <c r="Q5" i="50"/>
  <c r="R5" i="50"/>
  <c r="S5" i="50"/>
  <c r="T5" i="50"/>
  <c r="U5" i="50"/>
  <c r="V5" i="50"/>
  <c r="W5" i="50"/>
  <c r="X5" i="50"/>
  <c r="Y5" i="50"/>
  <c r="Z5" i="50"/>
  <c r="AA5" i="50"/>
  <c r="AB5" i="50"/>
  <c r="AC5" i="50"/>
  <c r="AD5" i="50"/>
  <c r="AE5" i="50"/>
  <c r="AF5" i="50"/>
  <c r="AG5" i="50"/>
  <c r="AH5" i="50"/>
  <c r="AI5" i="50"/>
  <c r="AJ5" i="50"/>
  <c r="AK5" i="50"/>
  <c r="AL5" i="50"/>
  <c r="AM5" i="50"/>
  <c r="D6" i="50"/>
  <c r="E6" i="50"/>
  <c r="F6" i="50"/>
  <c r="G6" i="50"/>
  <c r="H6" i="50"/>
  <c r="I6" i="50"/>
  <c r="J6" i="50"/>
  <c r="K6" i="50"/>
  <c r="L6" i="50"/>
  <c r="M6" i="50"/>
  <c r="N6" i="50"/>
  <c r="O6" i="50"/>
  <c r="P6" i="50"/>
  <c r="Q6" i="50"/>
  <c r="R6" i="50"/>
  <c r="S6" i="50"/>
  <c r="T6" i="50"/>
  <c r="U6" i="50"/>
  <c r="V6" i="50"/>
  <c r="W6" i="50"/>
  <c r="X6" i="50"/>
  <c r="Y6" i="50"/>
  <c r="Z6" i="50"/>
  <c r="AA6" i="50"/>
  <c r="AB6" i="50"/>
  <c r="AC6" i="50"/>
  <c r="AD6" i="50"/>
  <c r="AE6" i="50"/>
  <c r="AF6" i="50"/>
  <c r="AG6" i="50"/>
  <c r="AH6" i="50"/>
  <c r="AI6" i="50"/>
  <c r="AJ6" i="50"/>
  <c r="AK6" i="50"/>
  <c r="AL6" i="50"/>
  <c r="AM6" i="50"/>
  <c r="D7" i="50"/>
  <c r="E7" i="50"/>
  <c r="F7" i="50"/>
  <c r="G7" i="50"/>
  <c r="H7" i="50"/>
  <c r="I7" i="50"/>
  <c r="J7" i="50"/>
  <c r="K7" i="50"/>
  <c r="L7" i="50"/>
  <c r="M7" i="50"/>
  <c r="N7" i="50"/>
  <c r="O7" i="50"/>
  <c r="P7" i="50"/>
  <c r="Q7" i="50"/>
  <c r="R7" i="50"/>
  <c r="S7" i="50"/>
  <c r="T7" i="50"/>
  <c r="U7" i="50"/>
  <c r="V7" i="50"/>
  <c r="W7" i="50"/>
  <c r="X7" i="50"/>
  <c r="Y7" i="50"/>
  <c r="Z7" i="50"/>
  <c r="AA7" i="50"/>
  <c r="AB7" i="50"/>
  <c r="AC7" i="50"/>
  <c r="AD7" i="50"/>
  <c r="AE7" i="50"/>
  <c r="AF7" i="50"/>
  <c r="AG7" i="50"/>
  <c r="AH7" i="50"/>
  <c r="AI7" i="50"/>
  <c r="AJ7" i="50"/>
  <c r="AK7" i="50"/>
  <c r="AL7" i="50"/>
  <c r="AM7" i="50"/>
  <c r="D8" i="50"/>
  <c r="E8" i="50"/>
  <c r="F8" i="50"/>
  <c r="G8" i="50"/>
  <c r="H8" i="50"/>
  <c r="I8" i="50"/>
  <c r="J8" i="50"/>
  <c r="K8" i="50"/>
  <c r="L8" i="50"/>
  <c r="M8" i="50"/>
  <c r="N8" i="50"/>
  <c r="O8" i="50"/>
  <c r="P8" i="50"/>
  <c r="Q8" i="50"/>
  <c r="R8" i="50"/>
  <c r="S8" i="50"/>
  <c r="T8" i="50"/>
  <c r="U8" i="50"/>
  <c r="V8" i="50"/>
  <c r="W8" i="50"/>
  <c r="X8" i="50"/>
  <c r="Y8" i="50"/>
  <c r="Z8" i="50"/>
  <c r="AA8" i="50"/>
  <c r="AB8" i="50"/>
  <c r="AC8" i="50"/>
  <c r="AD8" i="50"/>
  <c r="AE8" i="50"/>
  <c r="AF8" i="50"/>
  <c r="AG8" i="50"/>
  <c r="AH8" i="50"/>
  <c r="AI8" i="50"/>
  <c r="AJ8" i="50"/>
  <c r="AK8" i="50"/>
  <c r="AL8" i="50"/>
  <c r="AM8" i="50"/>
  <c r="D9" i="50"/>
  <c r="E9" i="50"/>
  <c r="F9" i="50"/>
  <c r="G9" i="50"/>
  <c r="H9" i="50"/>
  <c r="I9" i="50"/>
  <c r="J9" i="50"/>
  <c r="K9" i="50"/>
  <c r="L9" i="50"/>
  <c r="M9" i="50"/>
  <c r="N9" i="50"/>
  <c r="O9" i="50"/>
  <c r="P9" i="50"/>
  <c r="Q9" i="50"/>
  <c r="R9" i="50"/>
  <c r="S9" i="50"/>
  <c r="T9" i="50"/>
  <c r="U9" i="50"/>
  <c r="V9" i="50"/>
  <c r="W9" i="50"/>
  <c r="X9" i="50"/>
  <c r="Y9" i="50"/>
  <c r="Z9" i="50"/>
  <c r="AA9" i="50"/>
  <c r="AB9" i="50"/>
  <c r="AC9" i="50"/>
  <c r="AD9" i="50"/>
  <c r="AE9" i="50"/>
  <c r="AF9" i="50"/>
  <c r="AG9" i="50"/>
  <c r="AH9" i="50"/>
  <c r="AI9" i="50"/>
  <c r="AJ9" i="50"/>
  <c r="AK9" i="50"/>
  <c r="AL9" i="50"/>
  <c r="AM9" i="50"/>
  <c r="D10" i="50"/>
  <c r="E10" i="50"/>
  <c r="F10" i="50"/>
  <c r="G10" i="50"/>
  <c r="H10" i="50"/>
  <c r="I10" i="50"/>
  <c r="J10" i="50"/>
  <c r="K10" i="50"/>
  <c r="L10" i="50"/>
  <c r="M10" i="50"/>
  <c r="N10" i="50"/>
  <c r="O10" i="50"/>
  <c r="P10" i="50"/>
  <c r="Q10" i="50"/>
  <c r="R10" i="50"/>
  <c r="S10" i="50"/>
  <c r="T10" i="50"/>
  <c r="U10" i="50"/>
  <c r="V10" i="50"/>
  <c r="W10" i="50"/>
  <c r="X10" i="50"/>
  <c r="Y10" i="50"/>
  <c r="Z10" i="50"/>
  <c r="AA10" i="50"/>
  <c r="AB10" i="50"/>
  <c r="AC10" i="50"/>
  <c r="AD10" i="50"/>
  <c r="AE10" i="50"/>
  <c r="AF10" i="50"/>
  <c r="AG10" i="50"/>
  <c r="AH10" i="50"/>
  <c r="AI10" i="50"/>
  <c r="AJ10" i="50"/>
  <c r="AK10" i="50"/>
  <c r="AL10" i="50"/>
  <c r="AM10" i="50"/>
  <c r="D11" i="50"/>
  <c r="E11" i="50"/>
  <c r="F11" i="50"/>
  <c r="G11" i="50"/>
  <c r="H11" i="50"/>
  <c r="I11" i="50"/>
  <c r="J11" i="50"/>
  <c r="K11" i="50"/>
  <c r="L11" i="50"/>
  <c r="M11" i="50"/>
  <c r="N11" i="50"/>
  <c r="O11" i="50"/>
  <c r="P11" i="50"/>
  <c r="Q11" i="50"/>
  <c r="R11" i="50"/>
  <c r="S11" i="50"/>
  <c r="T11" i="50"/>
  <c r="U11" i="50"/>
  <c r="V11" i="50"/>
  <c r="W11" i="50"/>
  <c r="X11" i="50"/>
  <c r="Y11" i="50"/>
  <c r="Z11" i="50"/>
  <c r="AA11" i="50"/>
  <c r="AB11" i="50"/>
  <c r="AC11" i="50"/>
  <c r="AD11" i="50"/>
  <c r="AE11" i="50"/>
  <c r="AF11" i="50"/>
  <c r="AG11" i="50"/>
  <c r="AH11" i="50"/>
  <c r="AI11" i="50"/>
  <c r="AJ11" i="50"/>
  <c r="AK11" i="50"/>
  <c r="AL11" i="50"/>
  <c r="AM11" i="50"/>
  <c r="D12" i="50"/>
  <c r="E12" i="50"/>
  <c r="F12" i="50"/>
  <c r="G12" i="50"/>
  <c r="H12" i="50"/>
  <c r="I12" i="50"/>
  <c r="J12" i="50"/>
  <c r="K12" i="50"/>
  <c r="L12" i="50"/>
  <c r="M12" i="50"/>
  <c r="N12" i="50"/>
  <c r="O12" i="50"/>
  <c r="P12" i="50"/>
  <c r="Q12" i="50"/>
  <c r="R12" i="50"/>
  <c r="S12" i="50"/>
  <c r="T12" i="50"/>
  <c r="U12" i="50"/>
  <c r="V12" i="50"/>
  <c r="W12" i="50"/>
  <c r="X12" i="50"/>
  <c r="Y12" i="50"/>
  <c r="Z12" i="50"/>
  <c r="AA12" i="50"/>
  <c r="AB12" i="50"/>
  <c r="AC12" i="50"/>
  <c r="AD12" i="50"/>
  <c r="AE12" i="50"/>
  <c r="AF12" i="50"/>
  <c r="AG12" i="50"/>
  <c r="AH12" i="50"/>
  <c r="AI12" i="50"/>
  <c r="AJ12" i="50"/>
  <c r="AK12" i="50"/>
  <c r="AL12" i="50"/>
  <c r="AM12" i="50"/>
  <c r="D13" i="50"/>
  <c r="E13" i="50"/>
  <c r="F13" i="50"/>
  <c r="G13" i="50"/>
  <c r="H13" i="50"/>
  <c r="I13" i="50"/>
  <c r="J13" i="50"/>
  <c r="K13" i="50"/>
  <c r="L13" i="50"/>
  <c r="M13" i="50"/>
  <c r="N13" i="50"/>
  <c r="O13" i="50"/>
  <c r="P13" i="50"/>
  <c r="Q13" i="50"/>
  <c r="R13" i="50"/>
  <c r="S13" i="50"/>
  <c r="T13" i="50"/>
  <c r="U13" i="50"/>
  <c r="V13" i="50"/>
  <c r="W13" i="50"/>
  <c r="X13" i="50"/>
  <c r="Y13" i="50"/>
  <c r="Z13" i="50"/>
  <c r="AA13" i="50"/>
  <c r="AB13" i="50"/>
  <c r="AC13" i="50"/>
  <c r="AD13" i="50"/>
  <c r="AE13" i="50"/>
  <c r="AF13" i="50"/>
  <c r="AG13" i="50"/>
  <c r="AH13" i="50"/>
  <c r="AI13" i="50"/>
  <c r="AJ13" i="50"/>
  <c r="AK13" i="50"/>
  <c r="AL13" i="50"/>
  <c r="AM13" i="50"/>
  <c r="D14" i="50"/>
  <c r="E14" i="50"/>
  <c r="F14" i="50"/>
  <c r="G14" i="50"/>
  <c r="H14" i="50"/>
  <c r="I14" i="50"/>
  <c r="J14" i="50"/>
  <c r="K14" i="50"/>
  <c r="L14" i="50"/>
  <c r="M14" i="50"/>
  <c r="N14" i="50"/>
  <c r="O14" i="50"/>
  <c r="P14" i="50"/>
  <c r="Q14" i="50"/>
  <c r="R14" i="50"/>
  <c r="S14" i="50"/>
  <c r="T14" i="50"/>
  <c r="U14" i="50"/>
  <c r="V14" i="50"/>
  <c r="W14" i="50"/>
  <c r="X14" i="50"/>
  <c r="Y14" i="50"/>
  <c r="Z14" i="50"/>
  <c r="AA14" i="50"/>
  <c r="AB14" i="50"/>
  <c r="AC14" i="50"/>
  <c r="AD14" i="50"/>
  <c r="AE14" i="50"/>
  <c r="AF14" i="50"/>
  <c r="AG14" i="50"/>
  <c r="AH14" i="50"/>
  <c r="AI14" i="50"/>
  <c r="AJ14" i="50"/>
  <c r="AK14" i="50"/>
  <c r="AL14" i="50"/>
  <c r="AM14" i="50"/>
  <c r="D15" i="50"/>
  <c r="E15" i="50"/>
  <c r="F15" i="50"/>
  <c r="G15" i="50"/>
  <c r="H15" i="50"/>
  <c r="I15" i="50"/>
  <c r="J15" i="50"/>
  <c r="K15" i="50"/>
  <c r="L15" i="50"/>
  <c r="M15" i="50"/>
  <c r="N15" i="50"/>
  <c r="O15" i="50"/>
  <c r="P15" i="50"/>
  <c r="Q15" i="50"/>
  <c r="R15" i="50"/>
  <c r="S15" i="50"/>
  <c r="T15" i="50"/>
  <c r="U15" i="50"/>
  <c r="V15" i="50"/>
  <c r="W15" i="50"/>
  <c r="X15" i="50"/>
  <c r="Y15" i="50"/>
  <c r="Z15" i="50"/>
  <c r="AA15" i="50"/>
  <c r="AB15" i="50"/>
  <c r="AC15" i="50"/>
  <c r="AD15" i="50"/>
  <c r="AE15" i="50"/>
  <c r="AF15" i="50"/>
  <c r="AG15" i="50"/>
  <c r="AH15" i="50"/>
  <c r="AI15" i="50"/>
  <c r="AJ15" i="50"/>
  <c r="AK15" i="50"/>
  <c r="AL15" i="50"/>
  <c r="AM15" i="50"/>
  <c r="D16" i="50"/>
  <c r="E16" i="50"/>
  <c r="F16" i="50"/>
  <c r="G16" i="50"/>
  <c r="H16" i="50"/>
  <c r="I16" i="50"/>
  <c r="J16" i="50"/>
  <c r="K16" i="50"/>
  <c r="L16" i="50"/>
  <c r="M16" i="50"/>
  <c r="N16" i="50"/>
  <c r="O16" i="50"/>
  <c r="P16" i="50"/>
  <c r="Q16" i="50"/>
  <c r="R16" i="50"/>
  <c r="S16" i="50"/>
  <c r="T16" i="50"/>
  <c r="U16" i="50"/>
  <c r="V16" i="50"/>
  <c r="W16" i="50"/>
  <c r="X16" i="50"/>
  <c r="Y16" i="50"/>
  <c r="Z16" i="50"/>
  <c r="AA16" i="50"/>
  <c r="AB16" i="50"/>
  <c r="AC16" i="50"/>
  <c r="AD16" i="50"/>
  <c r="AE16" i="50"/>
  <c r="AF16" i="50"/>
  <c r="AG16" i="50"/>
  <c r="AH16" i="50"/>
  <c r="AI16" i="50"/>
  <c r="AJ16" i="50"/>
  <c r="AK16" i="50"/>
  <c r="AL16" i="50"/>
  <c r="AM16" i="50"/>
  <c r="D17" i="50"/>
  <c r="E17" i="50"/>
  <c r="F17" i="50"/>
  <c r="G17" i="50"/>
  <c r="H17" i="50"/>
  <c r="I17" i="50"/>
  <c r="J17" i="50"/>
  <c r="K17" i="50"/>
  <c r="L17" i="50"/>
  <c r="M17" i="50"/>
  <c r="N17" i="50"/>
  <c r="O17" i="50"/>
  <c r="P17" i="50"/>
  <c r="Q17" i="50"/>
  <c r="R17" i="50"/>
  <c r="S17" i="50"/>
  <c r="T17" i="50"/>
  <c r="U17" i="50"/>
  <c r="V17" i="50"/>
  <c r="W17" i="50"/>
  <c r="X17" i="50"/>
  <c r="Y17" i="50"/>
  <c r="Z17" i="50"/>
  <c r="AA17" i="50"/>
  <c r="AB17" i="50"/>
  <c r="AC17" i="50"/>
  <c r="AD17" i="50"/>
  <c r="AE17" i="50"/>
  <c r="AF17" i="50"/>
  <c r="AG17" i="50"/>
  <c r="AH17" i="50"/>
  <c r="AI17" i="50"/>
  <c r="AJ17" i="50"/>
  <c r="AK17" i="50"/>
  <c r="AL17" i="50"/>
  <c r="AM17" i="50"/>
  <c r="D18" i="50"/>
  <c r="E18" i="50"/>
  <c r="F18" i="50"/>
  <c r="G18" i="50"/>
  <c r="H18" i="50"/>
  <c r="I18" i="50"/>
  <c r="J18" i="50"/>
  <c r="K18" i="50"/>
  <c r="L18" i="50"/>
  <c r="M18" i="50"/>
  <c r="N18" i="50"/>
  <c r="O18" i="50"/>
  <c r="P18" i="50"/>
  <c r="Q18" i="50"/>
  <c r="R18" i="50"/>
  <c r="S18" i="50"/>
  <c r="T18" i="50"/>
  <c r="U18" i="50"/>
  <c r="V18" i="50"/>
  <c r="W18" i="50"/>
  <c r="X18" i="50"/>
  <c r="Y18" i="50"/>
  <c r="Z18" i="50"/>
  <c r="AA18" i="50"/>
  <c r="AB18" i="50"/>
  <c r="AC18" i="50"/>
  <c r="AD18" i="50"/>
  <c r="AE18" i="50"/>
  <c r="AF18" i="50"/>
  <c r="AG18" i="50"/>
  <c r="AH18" i="50"/>
  <c r="AI18" i="50"/>
  <c r="AJ18" i="50"/>
  <c r="AK18" i="50"/>
  <c r="AL18" i="50"/>
  <c r="AM18" i="50"/>
  <c r="D19" i="50"/>
  <c r="E19" i="50"/>
  <c r="F19" i="50"/>
  <c r="G19" i="50"/>
  <c r="H19" i="50"/>
  <c r="I19" i="50"/>
  <c r="J19" i="50"/>
  <c r="K19" i="50"/>
  <c r="L19" i="50"/>
  <c r="M19" i="50"/>
  <c r="N19" i="50"/>
  <c r="O19" i="50"/>
  <c r="P19" i="50"/>
  <c r="Q19" i="50"/>
  <c r="R19" i="50"/>
  <c r="S19" i="50"/>
  <c r="T19" i="50"/>
  <c r="U19" i="50"/>
  <c r="V19" i="50"/>
  <c r="W19" i="50"/>
  <c r="X19" i="50"/>
  <c r="Y19" i="50"/>
  <c r="Z19" i="50"/>
  <c r="AA19" i="50"/>
  <c r="AB19" i="50"/>
  <c r="AC19" i="50"/>
  <c r="AD19" i="50"/>
  <c r="AE19" i="50"/>
  <c r="AF19" i="50"/>
  <c r="AG19" i="50"/>
  <c r="AH19" i="50"/>
  <c r="AI19" i="50"/>
  <c r="AJ19" i="50"/>
  <c r="AK19" i="50"/>
  <c r="AL19" i="50"/>
  <c r="AM19" i="50"/>
  <c r="D20" i="50"/>
  <c r="E20" i="50"/>
  <c r="F20" i="50"/>
  <c r="G20" i="50"/>
  <c r="H20" i="50"/>
  <c r="I20" i="50"/>
  <c r="J20" i="50"/>
  <c r="K20" i="50"/>
  <c r="L20" i="50"/>
  <c r="M20" i="50"/>
  <c r="N20" i="50"/>
  <c r="O20" i="50"/>
  <c r="P20" i="50"/>
  <c r="Q20" i="50"/>
  <c r="R20" i="50"/>
  <c r="S20" i="50"/>
  <c r="T20" i="50"/>
  <c r="U20" i="50"/>
  <c r="V20" i="50"/>
  <c r="W20" i="50"/>
  <c r="X20" i="50"/>
  <c r="Y20" i="50"/>
  <c r="Z20" i="50"/>
  <c r="AA20" i="50"/>
  <c r="AB20" i="50"/>
  <c r="AC20" i="50"/>
  <c r="AD20" i="50"/>
  <c r="AE20" i="50"/>
  <c r="AF20" i="50"/>
  <c r="AG20" i="50"/>
  <c r="AH20" i="50"/>
  <c r="AI20" i="50"/>
  <c r="AJ20" i="50"/>
  <c r="AK20" i="50"/>
  <c r="AL20" i="50"/>
  <c r="AM20" i="50"/>
  <c r="D21" i="50"/>
  <c r="E21" i="50"/>
  <c r="F21" i="50"/>
  <c r="G21" i="50"/>
  <c r="H21" i="50"/>
  <c r="I21" i="50"/>
  <c r="J21" i="50"/>
  <c r="K21" i="50"/>
  <c r="L21" i="50"/>
  <c r="M21" i="50"/>
  <c r="N21" i="50"/>
  <c r="O21" i="50"/>
  <c r="P21" i="50"/>
  <c r="Q21" i="50"/>
  <c r="R21" i="50"/>
  <c r="S21" i="50"/>
  <c r="T21" i="50"/>
  <c r="U21" i="50"/>
  <c r="V21" i="50"/>
  <c r="W21" i="50"/>
  <c r="X21" i="50"/>
  <c r="Y21" i="50"/>
  <c r="Z21" i="50"/>
  <c r="AA21" i="50"/>
  <c r="AB21" i="50"/>
  <c r="AC21" i="50"/>
  <c r="AD21" i="50"/>
  <c r="AE21" i="50"/>
  <c r="AF21" i="50"/>
  <c r="AG21" i="50"/>
  <c r="AH21" i="50"/>
  <c r="AI21" i="50"/>
  <c r="AJ21" i="50"/>
  <c r="AK21" i="50"/>
  <c r="AL21" i="50"/>
  <c r="AM21" i="50"/>
  <c r="D22" i="50"/>
  <c r="E22" i="50"/>
  <c r="F22" i="50"/>
  <c r="G22" i="50"/>
  <c r="H22" i="50"/>
  <c r="I22" i="50"/>
  <c r="J22" i="50"/>
  <c r="K22" i="50"/>
  <c r="L22" i="50"/>
  <c r="M22" i="50"/>
  <c r="N22" i="50"/>
  <c r="O22" i="50"/>
  <c r="P22" i="50"/>
  <c r="Q22" i="50"/>
  <c r="R22" i="50"/>
  <c r="S22" i="50"/>
  <c r="T22" i="50"/>
  <c r="U22" i="50"/>
  <c r="V22" i="50"/>
  <c r="W22" i="50"/>
  <c r="X22" i="50"/>
  <c r="Y22" i="50"/>
  <c r="Z22" i="50"/>
  <c r="AA22" i="50"/>
  <c r="AB22" i="50"/>
  <c r="AC22" i="50"/>
  <c r="AD22" i="50"/>
  <c r="AE22" i="50"/>
  <c r="AF22" i="50"/>
  <c r="AG22" i="50"/>
  <c r="AH22" i="50"/>
  <c r="AI22" i="50"/>
  <c r="AJ22" i="50"/>
  <c r="AK22" i="50"/>
  <c r="AL22" i="50"/>
  <c r="AM22" i="50"/>
  <c r="D23" i="50"/>
  <c r="E23" i="50"/>
  <c r="F23" i="50"/>
  <c r="G23" i="50"/>
  <c r="H23" i="50"/>
  <c r="I23" i="50"/>
  <c r="J23" i="50"/>
  <c r="K23" i="50"/>
  <c r="L23" i="50"/>
  <c r="M23" i="50"/>
  <c r="N23" i="50"/>
  <c r="O23" i="50"/>
  <c r="P23" i="50"/>
  <c r="Q23" i="50"/>
  <c r="R23" i="50"/>
  <c r="S23" i="50"/>
  <c r="T23" i="50"/>
  <c r="U23" i="50"/>
  <c r="V23" i="50"/>
  <c r="W23" i="50"/>
  <c r="X23" i="50"/>
  <c r="Y23" i="50"/>
  <c r="Z23" i="50"/>
  <c r="AA23" i="50"/>
  <c r="AB23" i="50"/>
  <c r="AC23" i="50"/>
  <c r="AD23" i="50"/>
  <c r="AE23" i="50"/>
  <c r="AF23" i="50"/>
  <c r="AG23" i="50"/>
  <c r="AH23" i="50"/>
  <c r="AI23" i="50"/>
  <c r="AJ23" i="50"/>
  <c r="AK23" i="50"/>
  <c r="AL23" i="50"/>
  <c r="AM23" i="50"/>
  <c r="D24" i="50"/>
  <c r="E24" i="50"/>
  <c r="F24" i="50"/>
  <c r="G24" i="50"/>
  <c r="H24" i="50"/>
  <c r="I24" i="50"/>
  <c r="J24" i="50"/>
  <c r="K24" i="50"/>
  <c r="L24" i="50"/>
  <c r="M24" i="50"/>
  <c r="N24" i="50"/>
  <c r="O24" i="50"/>
  <c r="P24" i="50"/>
  <c r="Q24" i="50"/>
  <c r="R24" i="50"/>
  <c r="S24" i="50"/>
  <c r="T24" i="50"/>
  <c r="U24" i="50"/>
  <c r="V24" i="50"/>
  <c r="W24" i="50"/>
  <c r="X24" i="50"/>
  <c r="Y24" i="50"/>
  <c r="Z24" i="50"/>
  <c r="AA24" i="50"/>
  <c r="AB24" i="50"/>
  <c r="AC24" i="50"/>
  <c r="AD24" i="50"/>
  <c r="AE24" i="50"/>
  <c r="AF24" i="50"/>
  <c r="AG24" i="50"/>
  <c r="AH24" i="50"/>
  <c r="AI24" i="50"/>
  <c r="AJ24" i="50"/>
  <c r="AK24" i="50"/>
  <c r="AL24" i="50"/>
  <c r="AM24" i="50"/>
  <c r="D25" i="50"/>
  <c r="E25" i="50"/>
  <c r="F25" i="50"/>
  <c r="G25" i="50"/>
  <c r="H25" i="50"/>
  <c r="I25" i="50"/>
  <c r="J25" i="50"/>
  <c r="K25" i="50"/>
  <c r="L25" i="50"/>
  <c r="M25" i="50"/>
  <c r="N25" i="50"/>
  <c r="O25" i="50"/>
  <c r="P25" i="50"/>
  <c r="Q25" i="50"/>
  <c r="R25" i="50"/>
  <c r="S25" i="50"/>
  <c r="T25" i="50"/>
  <c r="U25" i="50"/>
  <c r="V25" i="50"/>
  <c r="W25" i="50"/>
  <c r="X25" i="50"/>
  <c r="Y25" i="50"/>
  <c r="Z25" i="50"/>
  <c r="AA25" i="50"/>
  <c r="AB25" i="50"/>
  <c r="AC25" i="50"/>
  <c r="AD25" i="50"/>
  <c r="AE25" i="50"/>
  <c r="AF25" i="50"/>
  <c r="AG25" i="50"/>
  <c r="AH25" i="50"/>
  <c r="AI25" i="50"/>
  <c r="AJ25" i="50"/>
  <c r="AK25" i="50"/>
  <c r="AL25" i="50"/>
  <c r="AM25" i="50"/>
  <c r="D26" i="50"/>
  <c r="E26" i="50"/>
  <c r="F26" i="50"/>
  <c r="G26" i="50"/>
  <c r="H26" i="50"/>
  <c r="I26" i="50"/>
  <c r="J26" i="50"/>
  <c r="K26" i="50"/>
  <c r="L26" i="50"/>
  <c r="M26" i="50"/>
  <c r="N26" i="50"/>
  <c r="O26" i="50"/>
  <c r="P26" i="50"/>
  <c r="Q26" i="50"/>
  <c r="R26" i="50"/>
  <c r="S26" i="50"/>
  <c r="T26" i="50"/>
  <c r="U26" i="50"/>
  <c r="V26" i="50"/>
  <c r="W26" i="50"/>
  <c r="X26" i="50"/>
  <c r="Y26" i="50"/>
  <c r="Z26" i="50"/>
  <c r="AA26" i="50"/>
  <c r="AB26" i="50"/>
  <c r="AC26" i="50"/>
  <c r="AD26" i="50"/>
  <c r="AE26" i="50"/>
  <c r="AF26" i="50"/>
  <c r="AG26" i="50"/>
  <c r="AH26" i="50"/>
  <c r="AI26" i="50"/>
  <c r="AJ26" i="50"/>
  <c r="AK26" i="50"/>
  <c r="AL26" i="50"/>
  <c r="AM26" i="50"/>
  <c r="D27" i="50"/>
  <c r="E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R27" i="50"/>
  <c r="S27" i="50"/>
  <c r="T27" i="50"/>
  <c r="U27" i="50"/>
  <c r="V27" i="50"/>
  <c r="W27" i="50"/>
  <c r="X27" i="50"/>
  <c r="Y27" i="50"/>
  <c r="Z27" i="50"/>
  <c r="AA27" i="50"/>
  <c r="AB27" i="50"/>
  <c r="AC27" i="50"/>
  <c r="AD27" i="50"/>
  <c r="AE27" i="50"/>
  <c r="AF27" i="50"/>
  <c r="AG27" i="50"/>
  <c r="AH27" i="50"/>
  <c r="AI27" i="50"/>
  <c r="AJ27" i="50"/>
  <c r="AK27" i="50"/>
  <c r="AL27" i="50"/>
  <c r="AM27" i="50"/>
  <c r="D28" i="50"/>
  <c r="E28" i="50"/>
  <c r="F28" i="50"/>
  <c r="G28" i="50"/>
  <c r="H28" i="50"/>
  <c r="I28" i="50"/>
  <c r="J28" i="50"/>
  <c r="K28" i="50"/>
  <c r="L28" i="50"/>
  <c r="M28" i="50"/>
  <c r="N28" i="50"/>
  <c r="O28" i="50"/>
  <c r="P28" i="50"/>
  <c r="Q28" i="50"/>
  <c r="R28" i="50"/>
  <c r="S28" i="50"/>
  <c r="T28" i="50"/>
  <c r="U28" i="50"/>
  <c r="V28" i="50"/>
  <c r="W28" i="50"/>
  <c r="X28" i="50"/>
  <c r="Y28" i="50"/>
  <c r="Z28" i="50"/>
  <c r="AA28" i="50"/>
  <c r="AB28" i="50"/>
  <c r="AC28" i="50"/>
  <c r="AD28" i="50"/>
  <c r="AE28" i="50"/>
  <c r="AF28" i="50"/>
  <c r="AG28" i="50"/>
  <c r="AH28" i="50"/>
  <c r="AI28" i="50"/>
  <c r="AJ28" i="50"/>
  <c r="AK28" i="50"/>
  <c r="AL28" i="50"/>
  <c r="AM28" i="50"/>
  <c r="D29" i="50"/>
  <c r="E29" i="50"/>
  <c r="F29" i="50"/>
  <c r="G29" i="50"/>
  <c r="H29" i="50"/>
  <c r="I29" i="50"/>
  <c r="J29" i="50"/>
  <c r="K29" i="50"/>
  <c r="L29" i="50"/>
  <c r="M29" i="50"/>
  <c r="N29" i="50"/>
  <c r="O29" i="50"/>
  <c r="P29" i="50"/>
  <c r="Q29" i="50"/>
  <c r="R29" i="50"/>
  <c r="S29" i="50"/>
  <c r="T29" i="50"/>
  <c r="U29" i="50"/>
  <c r="V29" i="50"/>
  <c r="W29" i="50"/>
  <c r="X29" i="50"/>
  <c r="Y29" i="50"/>
  <c r="Z29" i="50"/>
  <c r="AA29" i="50"/>
  <c r="AB29" i="50"/>
  <c r="AC29" i="50"/>
  <c r="AD29" i="50"/>
  <c r="AE29" i="50"/>
  <c r="AF29" i="50"/>
  <c r="AG29" i="50"/>
  <c r="AH29" i="50"/>
  <c r="AI29" i="50"/>
  <c r="AJ29" i="50"/>
  <c r="AK29" i="50"/>
  <c r="AL29" i="50"/>
  <c r="AM29" i="50"/>
  <c r="D30" i="50"/>
  <c r="E30" i="50"/>
  <c r="F30" i="50"/>
  <c r="G30" i="50"/>
  <c r="H30" i="50"/>
  <c r="I30" i="50"/>
  <c r="J30" i="50"/>
  <c r="K30" i="50"/>
  <c r="L30" i="50"/>
  <c r="M30" i="50"/>
  <c r="N30" i="50"/>
  <c r="O30" i="50"/>
  <c r="P30" i="50"/>
  <c r="Q30" i="50"/>
  <c r="R30" i="50"/>
  <c r="S30" i="50"/>
  <c r="T30" i="50"/>
  <c r="U30" i="50"/>
  <c r="V30" i="50"/>
  <c r="W30" i="50"/>
  <c r="X30" i="50"/>
  <c r="Y30" i="50"/>
  <c r="Z30" i="50"/>
  <c r="AA30" i="50"/>
  <c r="AB30" i="50"/>
  <c r="AC30" i="50"/>
  <c r="AD30" i="50"/>
  <c r="AE30" i="50"/>
  <c r="AF30" i="50"/>
  <c r="AG30" i="50"/>
  <c r="AH30" i="50"/>
  <c r="AI30" i="50"/>
  <c r="AJ30" i="50"/>
  <c r="AK30" i="50"/>
  <c r="AL30" i="50"/>
  <c r="AM30" i="50"/>
  <c r="D31" i="50"/>
  <c r="E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R31" i="50"/>
  <c r="S31" i="50"/>
  <c r="T31" i="50"/>
  <c r="U31" i="50"/>
  <c r="V31" i="50"/>
  <c r="W31" i="50"/>
  <c r="X31" i="50"/>
  <c r="Y31" i="50"/>
  <c r="Z31" i="50"/>
  <c r="AA31" i="50"/>
  <c r="AB31" i="50"/>
  <c r="AC31" i="50"/>
  <c r="AD31" i="50"/>
  <c r="AE31" i="50"/>
  <c r="AF31" i="50"/>
  <c r="AG31" i="50"/>
  <c r="AH31" i="50"/>
  <c r="AI31" i="50"/>
  <c r="AJ31" i="50"/>
  <c r="AK31" i="50"/>
  <c r="AL31" i="50"/>
  <c r="AM31" i="50"/>
  <c r="D32" i="50"/>
  <c r="E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R32" i="50"/>
  <c r="S32" i="50"/>
  <c r="T32" i="50"/>
  <c r="U32" i="50"/>
  <c r="V32" i="50"/>
  <c r="W32" i="50"/>
  <c r="X32" i="50"/>
  <c r="Y32" i="50"/>
  <c r="Z32" i="50"/>
  <c r="AA32" i="50"/>
  <c r="AB32" i="50"/>
  <c r="AC32" i="50"/>
  <c r="AD32" i="50"/>
  <c r="AE32" i="50"/>
  <c r="AF32" i="50"/>
  <c r="AG32" i="50"/>
  <c r="AH32" i="50"/>
  <c r="AI32" i="50"/>
  <c r="AJ32" i="50"/>
  <c r="AK32" i="50"/>
  <c r="AL32" i="50"/>
  <c r="AM32" i="50"/>
  <c r="D33" i="50"/>
  <c r="E33" i="50"/>
  <c r="F33" i="50"/>
  <c r="G33" i="50"/>
  <c r="H33" i="50"/>
  <c r="I33" i="50"/>
  <c r="J33" i="50"/>
  <c r="K33" i="50"/>
  <c r="L33" i="50"/>
  <c r="M33" i="50"/>
  <c r="N33" i="50"/>
  <c r="O33" i="50"/>
  <c r="P33" i="50"/>
  <c r="Q33" i="50"/>
  <c r="R33" i="50"/>
  <c r="S33" i="50"/>
  <c r="T33" i="50"/>
  <c r="U33" i="50"/>
  <c r="V33" i="50"/>
  <c r="W33" i="50"/>
  <c r="X33" i="50"/>
  <c r="Y33" i="50"/>
  <c r="Z33" i="50"/>
  <c r="AA33" i="50"/>
  <c r="AB33" i="50"/>
  <c r="AC33" i="50"/>
  <c r="AD33" i="50"/>
  <c r="AE33" i="50"/>
  <c r="AF33" i="50"/>
  <c r="AG33" i="50"/>
  <c r="AH33" i="50"/>
  <c r="AI33" i="50"/>
  <c r="AJ33" i="50"/>
  <c r="AK33" i="50"/>
  <c r="AL33" i="50"/>
  <c r="AM33" i="50"/>
  <c r="D34" i="50"/>
  <c r="E34" i="50"/>
  <c r="F34" i="50"/>
  <c r="G34" i="50"/>
  <c r="H34" i="50"/>
  <c r="I34" i="50"/>
  <c r="J34" i="50"/>
  <c r="K34" i="50"/>
  <c r="L34" i="50"/>
  <c r="M34" i="50"/>
  <c r="N34" i="50"/>
  <c r="O34" i="50"/>
  <c r="P34" i="50"/>
  <c r="Q34" i="50"/>
  <c r="R34" i="50"/>
  <c r="S34" i="50"/>
  <c r="T34" i="50"/>
  <c r="U34" i="50"/>
  <c r="V34" i="50"/>
  <c r="W34" i="50"/>
  <c r="X34" i="50"/>
  <c r="Y34" i="50"/>
  <c r="Z34" i="50"/>
  <c r="AA34" i="50"/>
  <c r="AB34" i="50"/>
  <c r="AC34" i="50"/>
  <c r="AD34" i="50"/>
  <c r="AE34" i="50"/>
  <c r="AF34" i="50"/>
  <c r="AG34" i="50"/>
  <c r="AH34" i="50"/>
  <c r="AI34" i="50"/>
  <c r="AJ34" i="50"/>
  <c r="AK34" i="50"/>
  <c r="AL34" i="50"/>
  <c r="AM34" i="50"/>
  <c r="D35" i="50"/>
  <c r="E35" i="50"/>
  <c r="F35" i="50"/>
  <c r="G35" i="50"/>
  <c r="H35" i="50"/>
  <c r="I35" i="50"/>
  <c r="J35" i="50"/>
  <c r="K35" i="50"/>
  <c r="L35" i="50"/>
  <c r="M35" i="50"/>
  <c r="N35" i="50"/>
  <c r="O35" i="50"/>
  <c r="P35" i="50"/>
  <c r="Q35" i="50"/>
  <c r="R35" i="50"/>
  <c r="S35" i="50"/>
  <c r="T35" i="50"/>
  <c r="U35" i="50"/>
  <c r="V35" i="50"/>
  <c r="W35" i="50"/>
  <c r="X35" i="50"/>
  <c r="Y35" i="50"/>
  <c r="Z35" i="50"/>
  <c r="AA35" i="50"/>
  <c r="AB35" i="50"/>
  <c r="AC35" i="50"/>
  <c r="AD35" i="50"/>
  <c r="AE35" i="50"/>
  <c r="AF35" i="50"/>
  <c r="AG35" i="50"/>
  <c r="AH35" i="50"/>
  <c r="AI35" i="50"/>
  <c r="AJ35" i="50"/>
  <c r="AK35" i="50"/>
  <c r="AL35" i="50"/>
  <c r="AM35" i="50"/>
  <c r="D36" i="50"/>
  <c r="E36" i="50"/>
  <c r="F36" i="50"/>
  <c r="G36" i="50"/>
  <c r="H36" i="50"/>
  <c r="I36" i="50"/>
  <c r="J36" i="50"/>
  <c r="K36" i="50"/>
  <c r="L36" i="50"/>
  <c r="M36" i="50"/>
  <c r="N36" i="50"/>
  <c r="O36" i="50"/>
  <c r="P36" i="50"/>
  <c r="Q36" i="50"/>
  <c r="R36" i="50"/>
  <c r="S36" i="50"/>
  <c r="T36" i="50"/>
  <c r="U36" i="50"/>
  <c r="V36" i="50"/>
  <c r="W36" i="50"/>
  <c r="X36" i="50"/>
  <c r="Y36" i="50"/>
  <c r="Z36" i="50"/>
  <c r="AA36" i="50"/>
  <c r="AB36" i="50"/>
  <c r="AC36" i="50"/>
  <c r="AD36" i="50"/>
  <c r="AE36" i="50"/>
  <c r="AF36" i="50"/>
  <c r="AG36" i="50"/>
  <c r="AH36" i="50"/>
  <c r="AI36" i="50"/>
  <c r="AJ36" i="50"/>
  <c r="AK36" i="50"/>
  <c r="AL36" i="50"/>
  <c r="AM36" i="50"/>
  <c r="D37" i="50"/>
  <c r="E37" i="50"/>
  <c r="F37" i="50"/>
  <c r="G37" i="50"/>
  <c r="H37" i="50"/>
  <c r="I37" i="50"/>
  <c r="J37" i="50"/>
  <c r="K37" i="50"/>
  <c r="L37" i="50"/>
  <c r="M37" i="50"/>
  <c r="N37" i="50"/>
  <c r="O37" i="50"/>
  <c r="P37" i="50"/>
  <c r="Q37" i="50"/>
  <c r="R37" i="50"/>
  <c r="S37" i="50"/>
  <c r="T37" i="50"/>
  <c r="U37" i="50"/>
  <c r="V37" i="50"/>
  <c r="W37" i="50"/>
  <c r="X37" i="50"/>
  <c r="Y37" i="50"/>
  <c r="Z37" i="50"/>
  <c r="AA37" i="50"/>
  <c r="AB37" i="50"/>
  <c r="AC37" i="50"/>
  <c r="AD37" i="50"/>
  <c r="AE37" i="50"/>
  <c r="AF37" i="50"/>
  <c r="AG37" i="50"/>
  <c r="AH37" i="50"/>
  <c r="AI37" i="50"/>
  <c r="AJ37" i="50"/>
  <c r="AK37" i="50"/>
  <c r="AL37" i="50"/>
  <c r="AM37" i="50"/>
  <c r="D38" i="50"/>
  <c r="E38" i="50"/>
  <c r="F38" i="50"/>
  <c r="G38" i="50"/>
  <c r="H38" i="50"/>
  <c r="I38" i="50"/>
  <c r="J38" i="50"/>
  <c r="K38" i="50"/>
  <c r="L38" i="50"/>
  <c r="M38" i="50"/>
  <c r="N38" i="50"/>
  <c r="O38" i="50"/>
  <c r="P38" i="50"/>
  <c r="Q38" i="50"/>
  <c r="R38" i="50"/>
  <c r="S38" i="50"/>
  <c r="T38" i="50"/>
  <c r="U38" i="50"/>
  <c r="V38" i="50"/>
  <c r="W38" i="50"/>
  <c r="X38" i="50"/>
  <c r="Y38" i="50"/>
  <c r="Z38" i="50"/>
  <c r="AA38" i="50"/>
  <c r="AB38" i="50"/>
  <c r="AC38" i="50"/>
  <c r="AD38" i="50"/>
  <c r="AE38" i="50"/>
  <c r="AF38" i="50"/>
  <c r="AG38" i="50"/>
  <c r="AH38" i="50"/>
  <c r="AI38" i="50"/>
  <c r="AJ38" i="50"/>
  <c r="AK38" i="50"/>
  <c r="AL38" i="50"/>
  <c r="AM38" i="50"/>
  <c r="D39" i="50"/>
  <c r="E39" i="50"/>
  <c r="F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D40" i="50"/>
  <c r="E40" i="50"/>
  <c r="F40" i="50"/>
  <c r="G40" i="50"/>
  <c r="H40" i="50"/>
  <c r="I40" i="50"/>
  <c r="J40" i="50"/>
  <c r="K40" i="50"/>
  <c r="L40" i="50"/>
  <c r="M40" i="50"/>
  <c r="N40" i="50"/>
  <c r="O40" i="50"/>
  <c r="P40" i="50"/>
  <c r="Q40" i="50"/>
  <c r="R40" i="50"/>
  <c r="S40" i="50"/>
  <c r="T40" i="50"/>
  <c r="U40" i="50"/>
  <c r="V40" i="50"/>
  <c r="W40" i="50"/>
  <c r="X40" i="50"/>
  <c r="Y40" i="50"/>
  <c r="Z40" i="50"/>
  <c r="AA40" i="50"/>
  <c r="AB40" i="50"/>
  <c r="AC40" i="50"/>
  <c r="AD40" i="50"/>
  <c r="AE40" i="50"/>
  <c r="AF40" i="50"/>
  <c r="AG40" i="50"/>
  <c r="AH40" i="50"/>
  <c r="AI40" i="50"/>
  <c r="AJ40" i="50"/>
  <c r="AK40" i="50"/>
  <c r="AL40" i="50"/>
  <c r="AM40" i="50"/>
  <c r="D41" i="50"/>
  <c r="E41" i="50"/>
  <c r="F41" i="50"/>
  <c r="G41" i="50"/>
  <c r="H41" i="50"/>
  <c r="I41" i="50"/>
  <c r="J41" i="50"/>
  <c r="K41" i="50"/>
  <c r="L41" i="50"/>
  <c r="M41" i="50"/>
  <c r="N41" i="50"/>
  <c r="O41" i="50"/>
  <c r="P41" i="50"/>
  <c r="Q41" i="50"/>
  <c r="R41" i="50"/>
  <c r="S41" i="50"/>
  <c r="T41" i="50"/>
  <c r="U41" i="50"/>
  <c r="V41" i="50"/>
  <c r="W41" i="50"/>
  <c r="X41" i="50"/>
  <c r="Y41" i="50"/>
  <c r="Z41" i="50"/>
  <c r="AA41" i="50"/>
  <c r="AB41" i="50"/>
  <c r="AC41" i="50"/>
  <c r="AD41" i="50"/>
  <c r="AE41" i="50"/>
  <c r="AF41" i="50"/>
  <c r="AG41" i="50"/>
  <c r="AH41" i="50"/>
  <c r="AI41" i="50"/>
  <c r="AJ41" i="50"/>
  <c r="AK41" i="50"/>
  <c r="AL41" i="50"/>
  <c r="AM41" i="50"/>
  <c r="D42" i="50"/>
  <c r="E42" i="50"/>
  <c r="F42" i="50"/>
  <c r="G42" i="50"/>
  <c r="H42" i="50"/>
  <c r="I42" i="50"/>
  <c r="J42" i="50"/>
  <c r="K42" i="50"/>
  <c r="L42" i="50"/>
  <c r="M42" i="50"/>
  <c r="N42" i="50"/>
  <c r="O42" i="50"/>
  <c r="P42" i="50"/>
  <c r="Q42" i="50"/>
  <c r="R42" i="50"/>
  <c r="S42" i="50"/>
  <c r="T42" i="50"/>
  <c r="U42" i="50"/>
  <c r="V42" i="50"/>
  <c r="W42" i="50"/>
  <c r="X42" i="50"/>
  <c r="Y42" i="50"/>
  <c r="Z42" i="50"/>
  <c r="AA42" i="50"/>
  <c r="AB42" i="50"/>
  <c r="AC42" i="50"/>
  <c r="AD42" i="50"/>
  <c r="AE42" i="50"/>
  <c r="AF42" i="50"/>
  <c r="AG42" i="50"/>
  <c r="AH42" i="50"/>
  <c r="AI42" i="50"/>
  <c r="AJ42" i="50"/>
  <c r="AK42" i="50"/>
  <c r="AL42" i="50"/>
  <c r="AM42" i="50"/>
  <c r="D43" i="50"/>
  <c r="E43" i="50"/>
  <c r="F43" i="50"/>
  <c r="G43" i="50"/>
  <c r="H43" i="50"/>
  <c r="I43" i="50"/>
  <c r="J43" i="50"/>
  <c r="K43" i="50"/>
  <c r="L43" i="50"/>
  <c r="M43" i="50"/>
  <c r="N43" i="50"/>
  <c r="O43" i="50"/>
  <c r="P43" i="50"/>
  <c r="Q43" i="50"/>
  <c r="R43" i="50"/>
  <c r="S43" i="50"/>
  <c r="T43" i="50"/>
  <c r="U43" i="50"/>
  <c r="V43" i="50"/>
  <c r="W43" i="50"/>
  <c r="X43" i="50"/>
  <c r="Y43" i="50"/>
  <c r="Z43" i="50"/>
  <c r="AA43" i="50"/>
  <c r="AB43" i="50"/>
  <c r="AC43" i="50"/>
  <c r="AD43" i="50"/>
  <c r="AE43" i="50"/>
  <c r="AF43" i="50"/>
  <c r="AG43" i="50"/>
  <c r="AH43" i="50"/>
  <c r="AI43" i="50"/>
  <c r="AJ43" i="50"/>
  <c r="AK43" i="50"/>
  <c r="AL43" i="50"/>
  <c r="AM43" i="50"/>
  <c r="D44" i="50"/>
  <c r="E44" i="50"/>
  <c r="F44" i="50"/>
  <c r="G44" i="50"/>
  <c r="H44" i="50"/>
  <c r="I44" i="50"/>
  <c r="J44" i="50"/>
  <c r="K44" i="50"/>
  <c r="L44" i="50"/>
  <c r="M44" i="50"/>
  <c r="N44" i="50"/>
  <c r="O44" i="50"/>
  <c r="P44" i="50"/>
  <c r="Q44" i="50"/>
  <c r="R44" i="50"/>
  <c r="S44" i="50"/>
  <c r="T44" i="50"/>
  <c r="U44" i="50"/>
  <c r="V44" i="50"/>
  <c r="W44" i="50"/>
  <c r="X44" i="50"/>
  <c r="Y44" i="50"/>
  <c r="Z44" i="50"/>
  <c r="AA44" i="50"/>
  <c r="AB44" i="50"/>
  <c r="AC44" i="50"/>
  <c r="AD44" i="50"/>
  <c r="AE44" i="50"/>
  <c r="AF44" i="50"/>
  <c r="AG44" i="50"/>
  <c r="AH44" i="50"/>
  <c r="AI44" i="50"/>
  <c r="AJ44" i="50"/>
  <c r="AK44" i="50"/>
  <c r="AL44" i="50"/>
  <c r="AM44" i="50"/>
  <c r="D45" i="50"/>
  <c r="E45" i="50"/>
  <c r="F45" i="50"/>
  <c r="G45" i="50"/>
  <c r="H45" i="50"/>
  <c r="I45" i="50"/>
  <c r="J45" i="50"/>
  <c r="K45" i="50"/>
  <c r="L45" i="50"/>
  <c r="M45" i="50"/>
  <c r="N45" i="50"/>
  <c r="O45" i="50"/>
  <c r="P45" i="50"/>
  <c r="Q45" i="50"/>
  <c r="R45" i="50"/>
  <c r="S45" i="50"/>
  <c r="T45" i="50"/>
  <c r="U45" i="50"/>
  <c r="V45" i="50"/>
  <c r="W45" i="50"/>
  <c r="X45" i="50"/>
  <c r="Y45" i="50"/>
  <c r="Z45" i="50"/>
  <c r="AA45" i="50"/>
  <c r="AB45" i="50"/>
  <c r="AC45" i="50"/>
  <c r="AD45" i="50"/>
  <c r="AE45" i="50"/>
  <c r="AF45" i="50"/>
  <c r="AG45" i="50"/>
  <c r="AH45" i="50"/>
  <c r="AI45" i="50"/>
  <c r="AJ45" i="50"/>
  <c r="AK45" i="50"/>
  <c r="AL45" i="50"/>
  <c r="AM45" i="50"/>
  <c r="D46" i="50"/>
  <c r="E46" i="50"/>
  <c r="F46" i="50"/>
  <c r="G46" i="50"/>
  <c r="H46" i="50"/>
  <c r="I46" i="50"/>
  <c r="J46" i="50"/>
  <c r="K46" i="50"/>
  <c r="L46" i="50"/>
  <c r="M46" i="50"/>
  <c r="N46" i="50"/>
  <c r="O46" i="50"/>
  <c r="P46" i="50"/>
  <c r="Q46" i="50"/>
  <c r="R46" i="50"/>
  <c r="S46" i="50"/>
  <c r="T46" i="50"/>
  <c r="U46" i="50"/>
  <c r="V46" i="50"/>
  <c r="W46" i="50"/>
  <c r="X46" i="50"/>
  <c r="Y46" i="50"/>
  <c r="Z46" i="50"/>
  <c r="AA46" i="50"/>
  <c r="AB46" i="50"/>
  <c r="AC46" i="50"/>
  <c r="AD46" i="50"/>
  <c r="AE46" i="50"/>
  <c r="AF46" i="50"/>
  <c r="AG46" i="50"/>
  <c r="AH46" i="50"/>
  <c r="AI46" i="50"/>
  <c r="AJ46" i="50"/>
  <c r="AK46" i="50"/>
  <c r="AL46" i="50"/>
  <c r="AM46" i="50"/>
  <c r="D47" i="50"/>
  <c r="E47" i="50"/>
  <c r="F47" i="50"/>
  <c r="G47" i="50"/>
  <c r="H47" i="50"/>
  <c r="I47" i="50"/>
  <c r="J47" i="50"/>
  <c r="K47" i="50"/>
  <c r="L47" i="50"/>
  <c r="M47" i="50"/>
  <c r="N47" i="50"/>
  <c r="O47" i="50"/>
  <c r="P47" i="50"/>
  <c r="Q47" i="50"/>
  <c r="R47" i="50"/>
  <c r="S47" i="50"/>
  <c r="T47" i="50"/>
  <c r="U47" i="50"/>
  <c r="V47" i="50"/>
  <c r="W47" i="50"/>
  <c r="X47" i="50"/>
  <c r="Y47" i="50"/>
  <c r="Z47" i="50"/>
  <c r="AA47" i="50"/>
  <c r="AB47" i="50"/>
  <c r="AC47" i="50"/>
  <c r="AD47" i="50"/>
  <c r="AE47" i="50"/>
  <c r="AF47" i="50"/>
  <c r="AG47" i="50"/>
  <c r="AH47" i="50"/>
  <c r="AI47" i="50"/>
  <c r="AJ47" i="50"/>
  <c r="AK47" i="50"/>
  <c r="AL47" i="50"/>
  <c r="AM47" i="50"/>
  <c r="D48" i="50"/>
  <c r="E48" i="50"/>
  <c r="F48" i="50"/>
  <c r="G48" i="50"/>
  <c r="H48" i="50"/>
  <c r="I48" i="50"/>
  <c r="J48" i="50"/>
  <c r="K48" i="50"/>
  <c r="L48" i="50"/>
  <c r="M48" i="50"/>
  <c r="N48" i="50"/>
  <c r="O48" i="50"/>
  <c r="P48" i="50"/>
  <c r="Q48" i="50"/>
  <c r="R48" i="50"/>
  <c r="S48" i="50"/>
  <c r="T48" i="50"/>
  <c r="U48" i="50"/>
  <c r="V48" i="50"/>
  <c r="W48" i="50"/>
  <c r="X48" i="50"/>
  <c r="Y48" i="50"/>
  <c r="Z48" i="50"/>
  <c r="AA48" i="50"/>
  <c r="AB48" i="50"/>
  <c r="AC48" i="50"/>
  <c r="AD48" i="50"/>
  <c r="AE48" i="50"/>
  <c r="AF48" i="50"/>
  <c r="AG48" i="50"/>
  <c r="AH48" i="50"/>
  <c r="AI48" i="50"/>
  <c r="AJ48" i="50"/>
  <c r="AK48" i="50"/>
  <c r="AL48" i="50"/>
  <c r="AM48" i="50"/>
  <c r="D49" i="50"/>
  <c r="E49" i="50"/>
  <c r="F49" i="50"/>
  <c r="G49" i="50"/>
  <c r="H49" i="50"/>
  <c r="I49" i="50"/>
  <c r="J49" i="50"/>
  <c r="K49" i="50"/>
  <c r="L49" i="50"/>
  <c r="M49" i="50"/>
  <c r="N49" i="50"/>
  <c r="O49" i="50"/>
  <c r="P49" i="50"/>
  <c r="Q49" i="50"/>
  <c r="R49" i="50"/>
  <c r="S49" i="50"/>
  <c r="T49" i="50"/>
  <c r="U49" i="50"/>
  <c r="V49" i="50"/>
  <c r="W49" i="50"/>
  <c r="X49" i="50"/>
  <c r="Y49" i="50"/>
  <c r="Z49" i="50"/>
  <c r="AA49" i="50"/>
  <c r="AB49" i="50"/>
  <c r="AC49" i="50"/>
  <c r="AD49" i="50"/>
  <c r="AE49" i="50"/>
  <c r="AF49" i="50"/>
  <c r="AG49" i="50"/>
  <c r="AH49" i="50"/>
  <c r="AI49" i="50"/>
  <c r="AJ49" i="50"/>
  <c r="AK49" i="50"/>
  <c r="AL49" i="50"/>
  <c r="AM49" i="50"/>
  <c r="D50" i="50"/>
  <c r="E50" i="50"/>
  <c r="F50" i="50"/>
  <c r="G50" i="50"/>
  <c r="H50" i="50"/>
  <c r="I50" i="50"/>
  <c r="J50" i="50"/>
  <c r="K50" i="50"/>
  <c r="L50" i="50"/>
  <c r="M50" i="50"/>
  <c r="N50" i="50"/>
  <c r="O50" i="50"/>
  <c r="P50" i="50"/>
  <c r="Q50" i="50"/>
  <c r="R50" i="50"/>
  <c r="S50" i="50"/>
  <c r="T50" i="50"/>
  <c r="U50" i="50"/>
  <c r="V50" i="50"/>
  <c r="W50" i="50"/>
  <c r="X50" i="50"/>
  <c r="Y50" i="50"/>
  <c r="Z50" i="50"/>
  <c r="AA50" i="50"/>
  <c r="AB50" i="50"/>
  <c r="AC50" i="50"/>
  <c r="AD50" i="50"/>
  <c r="AE50" i="50"/>
  <c r="AF50" i="50"/>
  <c r="AG50" i="50"/>
  <c r="AH50" i="50"/>
  <c r="AI50" i="50"/>
  <c r="AJ50" i="50"/>
  <c r="AK50" i="50"/>
  <c r="AL50" i="50"/>
  <c r="AM50" i="50"/>
  <c r="D51" i="50"/>
  <c r="E51" i="50"/>
  <c r="F51" i="50"/>
  <c r="G51" i="50"/>
  <c r="H51" i="50"/>
  <c r="I51" i="50"/>
  <c r="J51" i="50"/>
  <c r="K51" i="50"/>
  <c r="L51" i="50"/>
  <c r="M51" i="50"/>
  <c r="N51" i="50"/>
  <c r="O51" i="50"/>
  <c r="P51" i="50"/>
  <c r="Q51" i="50"/>
  <c r="R51" i="50"/>
  <c r="S51" i="50"/>
  <c r="T51" i="50"/>
  <c r="U51" i="50"/>
  <c r="V51" i="50"/>
  <c r="W51" i="50"/>
  <c r="X51" i="50"/>
  <c r="Y51" i="50"/>
  <c r="Z51" i="50"/>
  <c r="AA51" i="50"/>
  <c r="AB51" i="50"/>
  <c r="AC51" i="50"/>
  <c r="AD51" i="50"/>
  <c r="AE51" i="50"/>
  <c r="AF51" i="50"/>
  <c r="AG51" i="50"/>
  <c r="AH51" i="50"/>
  <c r="AI51" i="50"/>
  <c r="AJ51" i="50"/>
  <c r="AK51" i="50"/>
  <c r="AL51" i="50"/>
  <c r="AM51" i="50"/>
  <c r="D52" i="50"/>
  <c r="E52" i="50"/>
  <c r="F52" i="50"/>
  <c r="G52" i="50"/>
  <c r="H52" i="50"/>
  <c r="I52" i="50"/>
  <c r="J52" i="50"/>
  <c r="K52" i="50"/>
  <c r="L52" i="50"/>
  <c r="M52" i="50"/>
  <c r="N52" i="50"/>
  <c r="O52" i="50"/>
  <c r="P52" i="50"/>
  <c r="Q52" i="50"/>
  <c r="R52" i="50"/>
  <c r="S52" i="50"/>
  <c r="T52" i="50"/>
  <c r="U52" i="50"/>
  <c r="V52" i="50"/>
  <c r="W52" i="50"/>
  <c r="X52" i="50"/>
  <c r="Y52" i="50"/>
  <c r="Z52" i="50"/>
  <c r="AA52" i="50"/>
  <c r="AB52" i="50"/>
  <c r="AC52" i="50"/>
  <c r="AD52" i="50"/>
  <c r="AE52" i="50"/>
  <c r="AF52" i="50"/>
  <c r="AG52" i="50"/>
  <c r="AH52" i="50"/>
  <c r="AI52" i="50"/>
  <c r="AJ52" i="50"/>
  <c r="AK52" i="50"/>
  <c r="AL52" i="50"/>
  <c r="AM52" i="50"/>
  <c r="D53" i="50"/>
  <c r="E53" i="50"/>
  <c r="F53" i="50"/>
  <c r="G53" i="50"/>
  <c r="H53" i="50"/>
  <c r="I53" i="50"/>
  <c r="J53" i="50"/>
  <c r="K53" i="50"/>
  <c r="L53" i="50"/>
  <c r="M53" i="50"/>
  <c r="N53" i="50"/>
  <c r="O53" i="50"/>
  <c r="P53" i="50"/>
  <c r="Q53" i="50"/>
  <c r="R53" i="50"/>
  <c r="S53" i="50"/>
  <c r="T53" i="50"/>
  <c r="U53" i="50"/>
  <c r="V53" i="50"/>
  <c r="W53" i="50"/>
  <c r="X53" i="50"/>
  <c r="Y53" i="50"/>
  <c r="Z53" i="50"/>
  <c r="AA53" i="50"/>
  <c r="AB53" i="50"/>
  <c r="AC53" i="50"/>
  <c r="AD53" i="50"/>
  <c r="AE53" i="50"/>
  <c r="AF53" i="50"/>
  <c r="AG53" i="50"/>
  <c r="AH53" i="50"/>
  <c r="AI53" i="50"/>
  <c r="AJ53" i="50"/>
  <c r="AK53" i="50"/>
  <c r="AL53" i="50"/>
  <c r="AM53" i="50"/>
  <c r="D54" i="50"/>
  <c r="E54" i="50"/>
  <c r="F54" i="50"/>
  <c r="G54" i="50"/>
  <c r="H54" i="50"/>
  <c r="I54" i="50"/>
  <c r="J54" i="50"/>
  <c r="K54" i="50"/>
  <c r="L54" i="50"/>
  <c r="M54" i="50"/>
  <c r="N54" i="50"/>
  <c r="O54" i="50"/>
  <c r="P54" i="50"/>
  <c r="Q54" i="50"/>
  <c r="R54" i="50"/>
  <c r="S54" i="50"/>
  <c r="T54" i="50"/>
  <c r="U54" i="50"/>
  <c r="V54" i="50"/>
  <c r="W54" i="50"/>
  <c r="X54" i="50"/>
  <c r="Y54" i="50"/>
  <c r="Z54" i="50"/>
  <c r="AA54" i="50"/>
  <c r="AB54" i="50"/>
  <c r="AC54" i="50"/>
  <c r="AD54" i="50"/>
  <c r="AE54" i="50"/>
  <c r="AF54" i="50"/>
  <c r="AG54" i="50"/>
  <c r="AH54" i="50"/>
  <c r="AI54" i="50"/>
  <c r="AJ54" i="50"/>
  <c r="AK54" i="50"/>
  <c r="AL54" i="50"/>
  <c r="AM54" i="50"/>
  <c r="D55" i="50"/>
  <c r="E55" i="50"/>
  <c r="F55" i="50"/>
  <c r="G55" i="50"/>
  <c r="H55" i="50"/>
  <c r="I55" i="50"/>
  <c r="J55" i="50"/>
  <c r="K55" i="50"/>
  <c r="L55" i="50"/>
  <c r="M55" i="50"/>
  <c r="N55" i="50"/>
  <c r="O55" i="50"/>
  <c r="P55" i="50"/>
  <c r="Q55" i="50"/>
  <c r="R55" i="50"/>
  <c r="S55" i="50"/>
  <c r="T55" i="50"/>
  <c r="U55" i="50"/>
  <c r="V55" i="50"/>
  <c r="W55" i="50"/>
  <c r="X55" i="50"/>
  <c r="Y55" i="50"/>
  <c r="Z55" i="50"/>
  <c r="AA55" i="50"/>
  <c r="AB55" i="50"/>
  <c r="AC55" i="50"/>
  <c r="AD55" i="50"/>
  <c r="AE55" i="50"/>
  <c r="AF55" i="50"/>
  <c r="AG55" i="50"/>
  <c r="AH55" i="50"/>
  <c r="AI55" i="50"/>
  <c r="AJ55" i="50"/>
  <c r="AK55" i="50"/>
  <c r="AL55" i="50"/>
  <c r="AM55" i="50"/>
  <c r="D56" i="50"/>
  <c r="E56" i="50"/>
  <c r="F56" i="50"/>
  <c r="G56" i="50"/>
  <c r="H56" i="50"/>
  <c r="I56" i="50"/>
  <c r="J56" i="50"/>
  <c r="K56" i="50"/>
  <c r="L56" i="50"/>
  <c r="M56" i="50"/>
  <c r="N56" i="50"/>
  <c r="O56" i="50"/>
  <c r="P56" i="50"/>
  <c r="Q56" i="50"/>
  <c r="R56" i="50"/>
  <c r="S56" i="50"/>
  <c r="T56" i="50"/>
  <c r="U56" i="50"/>
  <c r="V56" i="50"/>
  <c r="W56" i="50"/>
  <c r="X56" i="50"/>
  <c r="Y56" i="50"/>
  <c r="Z56" i="50"/>
  <c r="AA56" i="50"/>
  <c r="AB56" i="50"/>
  <c r="AC56" i="50"/>
  <c r="AD56" i="50"/>
  <c r="AE56" i="50"/>
  <c r="AF56" i="50"/>
  <c r="AG56" i="50"/>
  <c r="AH56" i="50"/>
  <c r="AI56" i="50"/>
  <c r="AJ56" i="50"/>
  <c r="AK56" i="50"/>
  <c r="AL56" i="50"/>
  <c r="AM56" i="50"/>
  <c r="D57" i="50"/>
  <c r="E57" i="50"/>
  <c r="F57" i="50"/>
  <c r="G57" i="50"/>
  <c r="H57" i="50"/>
  <c r="I57" i="50"/>
  <c r="J57" i="50"/>
  <c r="K57" i="50"/>
  <c r="L57" i="50"/>
  <c r="M57" i="50"/>
  <c r="N57" i="50"/>
  <c r="O57" i="50"/>
  <c r="P57" i="50"/>
  <c r="Q57" i="50"/>
  <c r="R57" i="50"/>
  <c r="S57" i="50"/>
  <c r="T57" i="50"/>
  <c r="U57" i="50"/>
  <c r="V57" i="50"/>
  <c r="W57" i="50"/>
  <c r="X57" i="50"/>
  <c r="Y57" i="50"/>
  <c r="Z57" i="50"/>
  <c r="AA57" i="50"/>
  <c r="AB57" i="50"/>
  <c r="AC57" i="50"/>
  <c r="AD57" i="50"/>
  <c r="AE57" i="50"/>
  <c r="AF57" i="50"/>
  <c r="AG57" i="50"/>
  <c r="AH57" i="50"/>
  <c r="AI57" i="50"/>
  <c r="AJ57" i="50"/>
  <c r="AK57" i="50"/>
  <c r="AL57" i="50"/>
  <c r="AM57" i="50"/>
  <c r="D58" i="50"/>
  <c r="E58" i="50"/>
  <c r="F58" i="50"/>
  <c r="G58" i="50"/>
  <c r="H58" i="50"/>
  <c r="I58" i="50"/>
  <c r="J58" i="50"/>
  <c r="K58" i="50"/>
  <c r="L58" i="50"/>
  <c r="M58" i="50"/>
  <c r="N58" i="50"/>
  <c r="O58" i="50"/>
  <c r="P58" i="50"/>
  <c r="Q58" i="50"/>
  <c r="R58" i="50"/>
  <c r="S58" i="50"/>
  <c r="T58" i="50"/>
  <c r="U58" i="50"/>
  <c r="V58" i="50"/>
  <c r="W58" i="50"/>
  <c r="X58" i="50"/>
  <c r="Y58" i="50"/>
  <c r="Z58" i="50"/>
  <c r="AA58" i="50"/>
  <c r="AB58" i="50"/>
  <c r="AC58" i="50"/>
  <c r="AD58" i="50"/>
  <c r="AE58" i="50"/>
  <c r="AF58" i="50"/>
  <c r="AG58" i="50"/>
  <c r="AH58" i="50"/>
  <c r="AI58" i="50"/>
  <c r="AJ58" i="50"/>
  <c r="AK58" i="50"/>
  <c r="AL58" i="50"/>
  <c r="AM58" i="50"/>
  <c r="D59" i="50"/>
  <c r="E59" i="50"/>
  <c r="F59" i="50"/>
  <c r="G59" i="50"/>
  <c r="H59" i="50"/>
  <c r="I59" i="50"/>
  <c r="J59" i="50"/>
  <c r="K59" i="50"/>
  <c r="L59" i="50"/>
  <c r="M59" i="50"/>
  <c r="N59" i="50"/>
  <c r="O59" i="50"/>
  <c r="P59" i="50"/>
  <c r="Q59" i="50"/>
  <c r="R59" i="50"/>
  <c r="S59" i="50"/>
  <c r="T59" i="50"/>
  <c r="U59" i="50"/>
  <c r="V59" i="50"/>
  <c r="W59" i="50"/>
  <c r="X59" i="50"/>
  <c r="Y59" i="50"/>
  <c r="Z59" i="50"/>
  <c r="AA59" i="50"/>
  <c r="AB59" i="50"/>
  <c r="AC59" i="50"/>
  <c r="AD59" i="50"/>
  <c r="AE59" i="50"/>
  <c r="AF59" i="50"/>
  <c r="AG59" i="50"/>
  <c r="AH59" i="50"/>
  <c r="AI59" i="50"/>
  <c r="AJ59" i="50"/>
  <c r="AK59" i="50"/>
  <c r="AL59" i="50"/>
  <c r="AM59" i="50"/>
  <c r="D60" i="50"/>
  <c r="E60" i="50"/>
  <c r="F60" i="50"/>
  <c r="G60" i="50"/>
  <c r="H60" i="50"/>
  <c r="I60" i="50"/>
  <c r="J60" i="50"/>
  <c r="K60" i="50"/>
  <c r="L60" i="50"/>
  <c r="M60" i="50"/>
  <c r="N60" i="50"/>
  <c r="O60" i="50"/>
  <c r="P60" i="50"/>
  <c r="Q60" i="50"/>
  <c r="R60" i="50"/>
  <c r="S60" i="50"/>
  <c r="T60" i="50"/>
  <c r="U60" i="50"/>
  <c r="V60" i="50"/>
  <c r="W60" i="50"/>
  <c r="X60" i="50"/>
  <c r="Y60" i="50"/>
  <c r="Z60" i="50"/>
  <c r="AA60" i="50"/>
  <c r="AB60" i="50"/>
  <c r="AC60" i="50"/>
  <c r="AD60" i="50"/>
  <c r="AE60" i="50"/>
  <c r="AF60" i="50"/>
  <c r="AG60" i="50"/>
  <c r="AH60" i="50"/>
  <c r="AI60" i="50"/>
  <c r="AJ60" i="50"/>
  <c r="AK60" i="50"/>
  <c r="AL60" i="50"/>
  <c r="AM60" i="50"/>
  <c r="D61" i="50"/>
  <c r="E61" i="50"/>
  <c r="F61" i="50"/>
  <c r="G61" i="50"/>
  <c r="H61" i="50"/>
  <c r="I61" i="50"/>
  <c r="J61" i="50"/>
  <c r="K61" i="50"/>
  <c r="L61" i="50"/>
  <c r="M61" i="50"/>
  <c r="N61" i="50"/>
  <c r="O61" i="50"/>
  <c r="P61" i="50"/>
  <c r="Q61" i="50"/>
  <c r="R61" i="50"/>
  <c r="S61" i="50"/>
  <c r="T61" i="50"/>
  <c r="U61" i="50"/>
  <c r="V61" i="50"/>
  <c r="W61" i="50"/>
  <c r="X61" i="50"/>
  <c r="Y61" i="50"/>
  <c r="Z61" i="50"/>
  <c r="AA61" i="50"/>
  <c r="AB61" i="50"/>
  <c r="AC61" i="50"/>
  <c r="AD61" i="50"/>
  <c r="AE61" i="50"/>
  <c r="AF61" i="50"/>
  <c r="AG61" i="50"/>
  <c r="AH61" i="50"/>
  <c r="AI61" i="50"/>
  <c r="AJ61" i="50"/>
  <c r="AK61" i="50"/>
  <c r="AL61" i="50"/>
  <c r="AM61" i="50"/>
  <c r="D62" i="50"/>
  <c r="E62" i="50"/>
  <c r="F62" i="50"/>
  <c r="G62" i="50"/>
  <c r="H62" i="50"/>
  <c r="I62" i="50"/>
  <c r="J62" i="50"/>
  <c r="K62" i="50"/>
  <c r="L62" i="50"/>
  <c r="M62" i="50"/>
  <c r="N62" i="50"/>
  <c r="O62" i="50"/>
  <c r="P62" i="50"/>
  <c r="Q62" i="50"/>
  <c r="R62" i="50"/>
  <c r="S62" i="50"/>
  <c r="T62" i="50"/>
  <c r="U62" i="50"/>
  <c r="V62" i="50"/>
  <c r="W62" i="50"/>
  <c r="X62" i="50"/>
  <c r="Y62" i="50"/>
  <c r="Z62" i="50"/>
  <c r="AA62" i="50"/>
  <c r="AB62" i="50"/>
  <c r="AC62" i="50"/>
  <c r="AD62" i="50"/>
  <c r="AE62" i="50"/>
  <c r="AF62" i="50"/>
  <c r="AG62" i="50"/>
  <c r="AH62" i="50"/>
  <c r="AI62" i="50"/>
  <c r="AJ62" i="50"/>
  <c r="AK62" i="50"/>
  <c r="AL62" i="50"/>
  <c r="AM62" i="50"/>
  <c r="D63" i="50"/>
  <c r="E63" i="50"/>
  <c r="F63" i="50"/>
  <c r="G63" i="50"/>
  <c r="H63" i="50"/>
  <c r="I63" i="50"/>
  <c r="J63" i="50"/>
  <c r="K63" i="50"/>
  <c r="L63" i="50"/>
  <c r="M63" i="50"/>
  <c r="N63" i="50"/>
  <c r="O63" i="50"/>
  <c r="P63" i="50"/>
  <c r="Q63" i="50"/>
  <c r="R63" i="50"/>
  <c r="S63" i="50"/>
  <c r="T63" i="50"/>
  <c r="U63" i="50"/>
  <c r="V63" i="50"/>
  <c r="W63" i="50"/>
  <c r="X63" i="50"/>
  <c r="Y63" i="50"/>
  <c r="Z63" i="50"/>
  <c r="AA63" i="50"/>
  <c r="AB63" i="50"/>
  <c r="AC63" i="50"/>
  <c r="AD63" i="50"/>
  <c r="AE63" i="50"/>
  <c r="AF63" i="50"/>
  <c r="AG63" i="50"/>
  <c r="AH63" i="50"/>
  <c r="AI63" i="50"/>
  <c r="AJ63" i="50"/>
  <c r="AK63" i="50"/>
  <c r="AL63" i="50"/>
  <c r="AM63" i="50"/>
  <c r="D64" i="50"/>
  <c r="E64" i="50"/>
  <c r="F64" i="50"/>
  <c r="G64" i="50"/>
  <c r="H64" i="50"/>
  <c r="I64" i="50"/>
  <c r="J64" i="50"/>
  <c r="K64" i="50"/>
  <c r="L64" i="50"/>
  <c r="M64" i="50"/>
  <c r="N64" i="50"/>
  <c r="O64" i="50"/>
  <c r="P64" i="50"/>
  <c r="Q64" i="50"/>
  <c r="R64" i="50"/>
  <c r="S64" i="50"/>
  <c r="T64" i="50"/>
  <c r="U64" i="50"/>
  <c r="V64" i="50"/>
  <c r="W64" i="50"/>
  <c r="X64" i="50"/>
  <c r="Y64" i="50"/>
  <c r="Z64" i="50"/>
  <c r="AA64" i="50"/>
  <c r="AB64" i="50"/>
  <c r="AC64" i="50"/>
  <c r="AD64" i="50"/>
  <c r="AE64" i="50"/>
  <c r="AF64" i="50"/>
  <c r="AG64" i="50"/>
  <c r="AH64" i="50"/>
  <c r="AI64" i="50"/>
  <c r="AJ64" i="50"/>
  <c r="AK64" i="50"/>
  <c r="AL64" i="50"/>
  <c r="AM64" i="50"/>
  <c r="D65" i="50"/>
  <c r="E65" i="50"/>
  <c r="F65" i="50"/>
  <c r="G65" i="50"/>
  <c r="H65" i="50"/>
  <c r="I65" i="50"/>
  <c r="J65" i="50"/>
  <c r="K65" i="50"/>
  <c r="L65" i="50"/>
  <c r="M65" i="50"/>
  <c r="N65" i="50"/>
  <c r="O65" i="50"/>
  <c r="P65" i="50"/>
  <c r="Q65" i="50"/>
  <c r="R65" i="50"/>
  <c r="S65" i="50"/>
  <c r="T65" i="50"/>
  <c r="U65" i="50"/>
  <c r="V65" i="50"/>
  <c r="W65" i="50"/>
  <c r="X65" i="50"/>
  <c r="Y65" i="50"/>
  <c r="Z65" i="50"/>
  <c r="AA65" i="50"/>
  <c r="AB65" i="50"/>
  <c r="AC65" i="50"/>
  <c r="AD65" i="50"/>
  <c r="AE65" i="50"/>
  <c r="AF65" i="50"/>
  <c r="AG65" i="50"/>
  <c r="AH65" i="50"/>
  <c r="AI65" i="50"/>
  <c r="AJ65" i="50"/>
  <c r="AK65" i="50"/>
  <c r="AL65" i="50"/>
  <c r="AM65" i="50"/>
  <c r="D66" i="50"/>
  <c r="E66" i="50"/>
  <c r="F66" i="50"/>
  <c r="G66" i="50"/>
  <c r="H66" i="50"/>
  <c r="I66" i="50"/>
  <c r="J66" i="50"/>
  <c r="K66" i="50"/>
  <c r="L66" i="50"/>
  <c r="M66" i="50"/>
  <c r="N66" i="50"/>
  <c r="O66" i="50"/>
  <c r="P66" i="50"/>
  <c r="Q66" i="50"/>
  <c r="R66" i="50"/>
  <c r="S66" i="50"/>
  <c r="T66" i="50"/>
  <c r="U66" i="50"/>
  <c r="V66" i="50"/>
  <c r="W66" i="50"/>
  <c r="X66" i="50"/>
  <c r="Y66" i="50"/>
  <c r="Z66" i="50"/>
  <c r="AA66" i="50"/>
  <c r="AB66" i="50"/>
  <c r="AC66" i="50"/>
  <c r="AD66" i="50"/>
  <c r="AE66" i="50"/>
  <c r="AF66" i="50"/>
  <c r="AG66" i="50"/>
  <c r="AH66" i="50"/>
  <c r="AI66" i="50"/>
  <c r="AJ66" i="50"/>
  <c r="AK66" i="50"/>
  <c r="AL66" i="50"/>
  <c r="AM66" i="50"/>
  <c r="D67" i="50"/>
  <c r="E67" i="50"/>
  <c r="F67" i="50"/>
  <c r="G67" i="50"/>
  <c r="H67" i="50"/>
  <c r="I67" i="50"/>
  <c r="J67" i="50"/>
  <c r="K67" i="50"/>
  <c r="L67" i="50"/>
  <c r="M67" i="50"/>
  <c r="N67" i="50"/>
  <c r="O67" i="50"/>
  <c r="P67" i="50"/>
  <c r="Q67" i="50"/>
  <c r="R67" i="50"/>
  <c r="S67" i="50"/>
  <c r="T67" i="50"/>
  <c r="U67" i="50"/>
  <c r="V67" i="50"/>
  <c r="W67" i="50"/>
  <c r="X67" i="50"/>
  <c r="Y67" i="50"/>
  <c r="Z67" i="50"/>
  <c r="AA67" i="50"/>
  <c r="AB67" i="50"/>
  <c r="AC67" i="50"/>
  <c r="AD67" i="50"/>
  <c r="AE67" i="50"/>
  <c r="AF67" i="50"/>
  <c r="AG67" i="50"/>
  <c r="AH67" i="50"/>
  <c r="AI67" i="50"/>
  <c r="AJ67" i="50"/>
  <c r="AK67" i="50"/>
  <c r="AL67" i="50"/>
  <c r="AM67" i="50"/>
  <c r="D68" i="50"/>
  <c r="E68" i="50"/>
  <c r="F68" i="50"/>
  <c r="G68" i="50"/>
  <c r="H68" i="50"/>
  <c r="I68" i="50"/>
  <c r="J68" i="50"/>
  <c r="K68" i="50"/>
  <c r="L68" i="50"/>
  <c r="M68" i="50"/>
  <c r="N68" i="50"/>
  <c r="O68" i="50"/>
  <c r="P68" i="50"/>
  <c r="Q68" i="50"/>
  <c r="R68" i="50"/>
  <c r="S68" i="50"/>
  <c r="T68" i="50"/>
  <c r="U68" i="50"/>
  <c r="V68" i="50"/>
  <c r="W68" i="50"/>
  <c r="X68" i="50"/>
  <c r="Y68" i="50"/>
  <c r="Z68" i="50"/>
  <c r="AA68" i="50"/>
  <c r="AB68" i="50"/>
  <c r="AC68" i="50"/>
  <c r="AD68" i="50"/>
  <c r="AE68" i="50"/>
  <c r="AF68" i="50"/>
  <c r="AG68" i="50"/>
  <c r="AH68" i="50"/>
  <c r="AI68" i="50"/>
  <c r="AJ68" i="50"/>
  <c r="AK68" i="50"/>
  <c r="AL68" i="50"/>
  <c r="AM68" i="50"/>
  <c r="D69" i="50"/>
  <c r="E69" i="50"/>
  <c r="F69" i="50"/>
  <c r="G69" i="50"/>
  <c r="H69" i="50"/>
  <c r="I69" i="50"/>
  <c r="J69" i="50"/>
  <c r="K69" i="50"/>
  <c r="L69" i="50"/>
  <c r="M69" i="50"/>
  <c r="N69" i="50"/>
  <c r="O69" i="50"/>
  <c r="P69" i="50"/>
  <c r="Q69" i="50"/>
  <c r="R69" i="50"/>
  <c r="S69" i="50"/>
  <c r="T69" i="50"/>
  <c r="U69" i="50"/>
  <c r="V69" i="50"/>
  <c r="W69" i="50"/>
  <c r="X69" i="50"/>
  <c r="Y69" i="50"/>
  <c r="Z69" i="50"/>
  <c r="AA69" i="50"/>
  <c r="AB69" i="50"/>
  <c r="AC69" i="50"/>
  <c r="AD69" i="50"/>
  <c r="AE69" i="50"/>
  <c r="AF69" i="50"/>
  <c r="AG69" i="50"/>
  <c r="AH69" i="50"/>
  <c r="AI69" i="50"/>
  <c r="AJ69" i="50"/>
  <c r="AK69" i="50"/>
  <c r="AL69" i="50"/>
  <c r="AM69" i="50"/>
  <c r="D70" i="50"/>
  <c r="E70" i="50"/>
  <c r="F70" i="50"/>
  <c r="G70" i="50"/>
  <c r="H70" i="50"/>
  <c r="I70" i="50"/>
  <c r="J70" i="50"/>
  <c r="K70" i="50"/>
  <c r="L70" i="50"/>
  <c r="M70" i="50"/>
  <c r="N70" i="50"/>
  <c r="O70" i="50"/>
  <c r="P70" i="50"/>
  <c r="Q70" i="50"/>
  <c r="R70" i="50"/>
  <c r="S70" i="50"/>
  <c r="T70" i="50"/>
  <c r="U70" i="50"/>
  <c r="V70" i="50"/>
  <c r="W70" i="50"/>
  <c r="X70" i="50"/>
  <c r="Y70" i="50"/>
  <c r="Z70" i="50"/>
  <c r="AA70" i="50"/>
  <c r="AB70" i="50"/>
  <c r="AC70" i="50"/>
  <c r="AD70" i="50"/>
  <c r="AE70" i="50"/>
  <c r="AF70" i="50"/>
  <c r="AG70" i="50"/>
  <c r="AH70" i="50"/>
  <c r="AI70" i="50"/>
  <c r="AJ70" i="50"/>
  <c r="AK70" i="50"/>
  <c r="AL70" i="50"/>
  <c r="AM70" i="50"/>
  <c r="D71" i="50"/>
  <c r="E71" i="50"/>
  <c r="F71" i="50"/>
  <c r="G71" i="50"/>
  <c r="H71" i="50"/>
  <c r="I71" i="50"/>
  <c r="J71" i="50"/>
  <c r="K71" i="50"/>
  <c r="L71" i="50"/>
  <c r="M71" i="50"/>
  <c r="N71" i="50"/>
  <c r="O71" i="50"/>
  <c r="P71" i="50"/>
  <c r="Q71" i="50"/>
  <c r="R71" i="50"/>
  <c r="S71" i="50"/>
  <c r="T71" i="50"/>
  <c r="U71" i="50"/>
  <c r="V71" i="50"/>
  <c r="W71" i="50"/>
  <c r="X71" i="50"/>
  <c r="Y71" i="50"/>
  <c r="Z71" i="50"/>
  <c r="AA71" i="50"/>
  <c r="AB71" i="50"/>
  <c r="AC71" i="50"/>
  <c r="AD71" i="50"/>
  <c r="AE71" i="50"/>
  <c r="AF71" i="50"/>
  <c r="AG71" i="50"/>
  <c r="AH71" i="50"/>
  <c r="AI71" i="50"/>
  <c r="AJ71" i="50"/>
  <c r="AK71" i="50"/>
  <c r="AL71" i="50"/>
  <c r="AM71" i="50"/>
  <c r="D72" i="50"/>
  <c r="E72" i="50"/>
  <c r="F72" i="50"/>
  <c r="G72" i="50"/>
  <c r="H72" i="50"/>
  <c r="I72" i="50"/>
  <c r="J72" i="50"/>
  <c r="K72" i="50"/>
  <c r="L72" i="50"/>
  <c r="M72" i="50"/>
  <c r="N72" i="50"/>
  <c r="O72" i="50"/>
  <c r="P72" i="50"/>
  <c r="Q72" i="50"/>
  <c r="R72" i="50"/>
  <c r="S72" i="50"/>
  <c r="T72" i="50"/>
  <c r="U72" i="50"/>
  <c r="V72" i="50"/>
  <c r="W72" i="50"/>
  <c r="X72" i="50"/>
  <c r="Y72" i="50"/>
  <c r="Z72" i="50"/>
  <c r="AA72" i="50"/>
  <c r="AB72" i="50"/>
  <c r="AC72" i="50"/>
  <c r="AD72" i="50"/>
  <c r="AE72" i="50"/>
  <c r="AF72" i="50"/>
  <c r="AG72" i="50"/>
  <c r="AH72" i="50"/>
  <c r="AI72" i="50"/>
  <c r="AJ72" i="50"/>
  <c r="AK72" i="50"/>
  <c r="AL72" i="50"/>
  <c r="AM72" i="50"/>
  <c r="D73" i="50"/>
  <c r="E73" i="50"/>
  <c r="F73" i="50"/>
  <c r="G73" i="50"/>
  <c r="H73" i="50"/>
  <c r="I73" i="50"/>
  <c r="J73" i="50"/>
  <c r="K73" i="50"/>
  <c r="L73" i="50"/>
  <c r="M73" i="50"/>
  <c r="N73" i="50"/>
  <c r="O73" i="50"/>
  <c r="P73" i="50"/>
  <c r="Q73" i="50"/>
  <c r="R73" i="50"/>
  <c r="S73" i="50"/>
  <c r="T73" i="50"/>
  <c r="U73" i="50"/>
  <c r="V73" i="50"/>
  <c r="W73" i="50"/>
  <c r="X73" i="50"/>
  <c r="Y73" i="50"/>
  <c r="Z73" i="50"/>
  <c r="AA73" i="50"/>
  <c r="AB73" i="50"/>
  <c r="AC73" i="50"/>
  <c r="AD73" i="50"/>
  <c r="AE73" i="50"/>
  <c r="AF73" i="50"/>
  <c r="AG73" i="50"/>
  <c r="AH73" i="50"/>
  <c r="AI73" i="50"/>
  <c r="AJ73" i="50"/>
  <c r="AK73" i="50"/>
  <c r="AL73" i="50"/>
  <c r="AM73" i="50"/>
  <c r="D74" i="50"/>
  <c r="E74" i="50"/>
  <c r="F74" i="50"/>
  <c r="G74" i="50"/>
  <c r="H74" i="50"/>
  <c r="I74" i="50"/>
  <c r="J74" i="50"/>
  <c r="K74" i="50"/>
  <c r="L74" i="50"/>
  <c r="M74" i="50"/>
  <c r="N74" i="50"/>
  <c r="O74" i="50"/>
  <c r="P74" i="50"/>
  <c r="Q74" i="50"/>
  <c r="R74" i="50"/>
  <c r="S74" i="50"/>
  <c r="T74" i="50"/>
  <c r="U74" i="50"/>
  <c r="V74" i="50"/>
  <c r="W74" i="50"/>
  <c r="X74" i="50"/>
  <c r="Y74" i="50"/>
  <c r="Z74" i="50"/>
  <c r="AA74" i="50"/>
  <c r="AB74" i="50"/>
  <c r="AC74" i="50"/>
  <c r="AD74" i="50"/>
  <c r="AE74" i="50"/>
  <c r="AF74" i="50"/>
  <c r="AG74" i="50"/>
  <c r="AH74" i="50"/>
  <c r="AI74" i="50"/>
  <c r="AJ74" i="50"/>
  <c r="AK74" i="50"/>
  <c r="AL74" i="50"/>
  <c r="AM74" i="50"/>
  <c r="D75" i="50"/>
  <c r="E75" i="50"/>
  <c r="F75" i="50"/>
  <c r="G75" i="50"/>
  <c r="H75" i="50"/>
  <c r="I75" i="50"/>
  <c r="J75" i="50"/>
  <c r="K75" i="50"/>
  <c r="L75" i="50"/>
  <c r="M75" i="50"/>
  <c r="N75" i="50"/>
  <c r="O75" i="50"/>
  <c r="P75" i="50"/>
  <c r="Q75" i="50"/>
  <c r="R75" i="50"/>
  <c r="S75" i="50"/>
  <c r="T75" i="50"/>
  <c r="U75" i="50"/>
  <c r="V75" i="50"/>
  <c r="W75" i="50"/>
  <c r="X75" i="50"/>
  <c r="Y75" i="50"/>
  <c r="Z75" i="50"/>
  <c r="AA75" i="50"/>
  <c r="AB75" i="50"/>
  <c r="AC75" i="50"/>
  <c r="AD75" i="50"/>
  <c r="AE75" i="50"/>
  <c r="AF75" i="50"/>
  <c r="AG75" i="50"/>
  <c r="AH75" i="50"/>
  <c r="AI75" i="50"/>
  <c r="AJ75" i="50"/>
  <c r="AK75" i="50"/>
  <c r="AL75" i="50"/>
  <c r="AM75" i="50"/>
  <c r="D76" i="50"/>
  <c r="E76" i="50"/>
  <c r="F76" i="50"/>
  <c r="G76" i="50"/>
  <c r="H76" i="50"/>
  <c r="I76" i="50"/>
  <c r="J76" i="50"/>
  <c r="K76" i="50"/>
  <c r="L76" i="50"/>
  <c r="M76" i="50"/>
  <c r="N76" i="50"/>
  <c r="O76" i="50"/>
  <c r="P76" i="50"/>
  <c r="Q76" i="50"/>
  <c r="R76" i="50"/>
  <c r="S76" i="50"/>
  <c r="T76" i="50"/>
  <c r="U76" i="50"/>
  <c r="V76" i="50"/>
  <c r="W76" i="50"/>
  <c r="X76" i="50"/>
  <c r="Y76" i="50"/>
  <c r="Z76" i="50"/>
  <c r="AA76" i="50"/>
  <c r="AB76" i="50"/>
  <c r="AC76" i="50"/>
  <c r="AD76" i="50"/>
  <c r="AE76" i="50"/>
  <c r="AF76" i="50"/>
  <c r="AG76" i="50"/>
  <c r="AH76" i="50"/>
  <c r="AI76" i="50"/>
  <c r="AJ76" i="50"/>
  <c r="AK76" i="50"/>
  <c r="AL76" i="50"/>
  <c r="AM76" i="50"/>
  <c r="D77" i="50"/>
  <c r="E77" i="50"/>
  <c r="F77" i="50"/>
  <c r="G77" i="50"/>
  <c r="H77" i="50"/>
  <c r="I77" i="50"/>
  <c r="J77" i="50"/>
  <c r="K77" i="50"/>
  <c r="L77" i="50"/>
  <c r="M77" i="50"/>
  <c r="N77" i="50"/>
  <c r="O77" i="50"/>
  <c r="P77" i="50"/>
  <c r="Q77" i="50"/>
  <c r="R77" i="50"/>
  <c r="S77" i="50"/>
  <c r="T77" i="50"/>
  <c r="U77" i="50"/>
  <c r="V77" i="50"/>
  <c r="W77" i="50"/>
  <c r="X77" i="50"/>
  <c r="Y77" i="50"/>
  <c r="Z77" i="50"/>
  <c r="AA77" i="50"/>
  <c r="AB77" i="50"/>
  <c r="AC77" i="50"/>
  <c r="AD77" i="50"/>
  <c r="AE77" i="50"/>
  <c r="AF77" i="50"/>
  <c r="AG77" i="50"/>
  <c r="AH77" i="50"/>
  <c r="AI77" i="50"/>
  <c r="AJ77" i="50"/>
  <c r="AK77" i="50"/>
  <c r="AL77" i="50"/>
  <c r="AM77" i="50"/>
  <c r="D78" i="50"/>
  <c r="E78" i="50"/>
  <c r="F78" i="50"/>
  <c r="G78" i="50"/>
  <c r="H78" i="50"/>
  <c r="I78" i="50"/>
  <c r="J78" i="50"/>
  <c r="K78" i="50"/>
  <c r="L78" i="50"/>
  <c r="M78" i="50"/>
  <c r="N78" i="50"/>
  <c r="O78" i="50"/>
  <c r="P78" i="50"/>
  <c r="Q78" i="50"/>
  <c r="R78" i="50"/>
  <c r="S78" i="50"/>
  <c r="T78" i="50"/>
  <c r="U78" i="50"/>
  <c r="V78" i="50"/>
  <c r="W78" i="50"/>
  <c r="X78" i="50"/>
  <c r="Y78" i="50"/>
  <c r="Z78" i="50"/>
  <c r="AA78" i="50"/>
  <c r="AB78" i="50"/>
  <c r="AC78" i="50"/>
  <c r="AD78" i="50"/>
  <c r="AE78" i="50"/>
  <c r="AF78" i="50"/>
  <c r="AG78" i="50"/>
  <c r="AH78" i="50"/>
  <c r="AI78" i="50"/>
  <c r="AJ78" i="50"/>
  <c r="AK78" i="50"/>
  <c r="AL78" i="50"/>
  <c r="AM78" i="50"/>
  <c r="D79" i="50"/>
  <c r="E79" i="50"/>
  <c r="F79" i="50"/>
  <c r="G79" i="50"/>
  <c r="H79" i="50"/>
  <c r="I79" i="50"/>
  <c r="J79" i="50"/>
  <c r="K79" i="50"/>
  <c r="L79" i="50"/>
  <c r="M79" i="50"/>
  <c r="N79" i="50"/>
  <c r="O79" i="50"/>
  <c r="P79" i="50"/>
  <c r="Q79" i="50"/>
  <c r="R79" i="50"/>
  <c r="S79" i="50"/>
  <c r="T79" i="50"/>
  <c r="U79" i="50"/>
  <c r="V79" i="50"/>
  <c r="W79" i="50"/>
  <c r="X79" i="50"/>
  <c r="Y79" i="50"/>
  <c r="Z79" i="50"/>
  <c r="AA79" i="50"/>
  <c r="AB79" i="50"/>
  <c r="AC79" i="50"/>
  <c r="AD79" i="50"/>
  <c r="AE79" i="50"/>
  <c r="AF79" i="50"/>
  <c r="AG79" i="50"/>
  <c r="AH79" i="50"/>
  <c r="AI79" i="50"/>
  <c r="AJ79" i="50"/>
  <c r="AK79" i="50"/>
  <c r="AL79" i="50"/>
  <c r="AM79" i="50"/>
  <c r="D80" i="50"/>
  <c r="E80" i="50"/>
  <c r="F80" i="50"/>
  <c r="G80" i="50"/>
  <c r="H80" i="50"/>
  <c r="I80" i="50"/>
  <c r="J80" i="50"/>
  <c r="K80" i="50"/>
  <c r="L80" i="50"/>
  <c r="M80" i="50"/>
  <c r="N80" i="50"/>
  <c r="O80" i="50"/>
  <c r="P80" i="50"/>
  <c r="Q80" i="50"/>
  <c r="R80" i="50"/>
  <c r="S80" i="50"/>
  <c r="T80" i="50"/>
  <c r="U80" i="50"/>
  <c r="V80" i="50"/>
  <c r="W80" i="50"/>
  <c r="X80" i="50"/>
  <c r="Y80" i="50"/>
  <c r="Z80" i="50"/>
  <c r="AA80" i="50"/>
  <c r="AB80" i="50"/>
  <c r="AC80" i="50"/>
  <c r="AD80" i="50"/>
  <c r="AE80" i="50"/>
  <c r="AF80" i="50"/>
  <c r="AG80" i="50"/>
  <c r="AH80" i="50"/>
  <c r="AI80" i="50"/>
  <c r="AJ80" i="50"/>
  <c r="AK80" i="50"/>
  <c r="AL80" i="50"/>
  <c r="AM80" i="50"/>
  <c r="D81" i="50"/>
  <c r="E81" i="50"/>
  <c r="F81" i="50"/>
  <c r="G81" i="50"/>
  <c r="H81" i="50"/>
  <c r="I81" i="50"/>
  <c r="J81" i="50"/>
  <c r="K81" i="50"/>
  <c r="L81" i="50"/>
  <c r="M81" i="50"/>
  <c r="N81" i="50"/>
  <c r="O81" i="50"/>
  <c r="P81" i="50"/>
  <c r="Q81" i="50"/>
  <c r="R81" i="50"/>
  <c r="S81" i="50"/>
  <c r="T81" i="50"/>
  <c r="U81" i="50"/>
  <c r="V81" i="50"/>
  <c r="W81" i="50"/>
  <c r="X81" i="50"/>
  <c r="Y81" i="50"/>
  <c r="Z81" i="50"/>
  <c r="AA81" i="50"/>
  <c r="AB81" i="50"/>
  <c r="AC81" i="50"/>
  <c r="AD81" i="50"/>
  <c r="AE81" i="50"/>
  <c r="AF81" i="50"/>
  <c r="AG81" i="50"/>
  <c r="AH81" i="50"/>
  <c r="AI81" i="50"/>
  <c r="AJ81" i="50"/>
  <c r="AK81" i="50"/>
  <c r="AL81" i="50"/>
  <c r="AM81" i="50"/>
  <c r="D82" i="50"/>
  <c r="E82" i="50"/>
  <c r="F82" i="50"/>
  <c r="G82" i="50"/>
  <c r="H82" i="50"/>
  <c r="I82" i="50"/>
  <c r="J82" i="50"/>
  <c r="K82" i="50"/>
  <c r="L82" i="50"/>
  <c r="M82" i="50"/>
  <c r="N82" i="50"/>
  <c r="O82" i="50"/>
  <c r="P82" i="50"/>
  <c r="Q82" i="50"/>
  <c r="R82" i="50"/>
  <c r="S82" i="50"/>
  <c r="T82" i="50"/>
  <c r="U82" i="50"/>
  <c r="V82" i="50"/>
  <c r="W82" i="50"/>
  <c r="X82" i="50"/>
  <c r="Y82" i="50"/>
  <c r="Z82" i="50"/>
  <c r="AA82" i="50"/>
  <c r="AB82" i="50"/>
  <c r="AC82" i="50"/>
  <c r="AD82" i="50"/>
  <c r="AE82" i="50"/>
  <c r="AF82" i="50"/>
  <c r="AG82" i="50"/>
  <c r="AH82" i="50"/>
  <c r="AI82" i="50"/>
  <c r="AJ82" i="50"/>
  <c r="AK82" i="50"/>
  <c r="AL82" i="50"/>
  <c r="AM82" i="50"/>
  <c r="D83" i="50"/>
  <c r="E83" i="50"/>
  <c r="F83" i="50"/>
  <c r="G83" i="50"/>
  <c r="H83" i="50"/>
  <c r="I83" i="50"/>
  <c r="J83" i="50"/>
  <c r="K83" i="50"/>
  <c r="L83" i="50"/>
  <c r="M83" i="50"/>
  <c r="N83" i="50"/>
  <c r="O83" i="50"/>
  <c r="P83" i="50"/>
  <c r="Q83" i="50"/>
  <c r="R83" i="50"/>
  <c r="S83" i="50"/>
  <c r="T83" i="50"/>
  <c r="U83" i="50"/>
  <c r="V83" i="50"/>
  <c r="W83" i="50"/>
  <c r="X83" i="50"/>
  <c r="Y83" i="50"/>
  <c r="Z83" i="50"/>
  <c r="AA83" i="50"/>
  <c r="AB83" i="50"/>
  <c r="AC83" i="50"/>
  <c r="AD83" i="50"/>
  <c r="AE83" i="50"/>
  <c r="AF83" i="50"/>
  <c r="AG83" i="50"/>
  <c r="AH83" i="50"/>
  <c r="AI83" i="50"/>
  <c r="AJ83" i="50"/>
  <c r="AK83" i="50"/>
  <c r="AL83" i="50"/>
  <c r="AM83" i="50"/>
  <c r="D84" i="50"/>
  <c r="E84" i="50"/>
  <c r="F84" i="50"/>
  <c r="G84" i="50"/>
  <c r="H84" i="50"/>
  <c r="I84" i="50"/>
  <c r="J84" i="50"/>
  <c r="K84" i="50"/>
  <c r="L84" i="50"/>
  <c r="M84" i="50"/>
  <c r="N84" i="50"/>
  <c r="O84" i="50"/>
  <c r="P84" i="50"/>
  <c r="Q84" i="50"/>
  <c r="R84" i="50"/>
  <c r="S84" i="50"/>
  <c r="T84" i="50"/>
  <c r="U84" i="50"/>
  <c r="V84" i="50"/>
  <c r="W84" i="50"/>
  <c r="X84" i="50"/>
  <c r="Y84" i="50"/>
  <c r="Z84" i="50"/>
  <c r="AA84" i="50"/>
  <c r="AB84" i="50"/>
  <c r="AC84" i="50"/>
  <c r="AD84" i="50"/>
  <c r="AE84" i="50"/>
  <c r="AF84" i="50"/>
  <c r="AG84" i="50"/>
  <c r="AH84" i="50"/>
  <c r="AI84" i="50"/>
  <c r="AJ84" i="50"/>
  <c r="AK84" i="50"/>
  <c r="AL84" i="50"/>
  <c r="AM84" i="50"/>
  <c r="D85" i="50"/>
  <c r="E85" i="50"/>
  <c r="F85" i="50"/>
  <c r="G85" i="50"/>
  <c r="H85" i="50"/>
  <c r="I85" i="50"/>
  <c r="J85" i="50"/>
  <c r="K85" i="50"/>
  <c r="L85" i="50"/>
  <c r="M85" i="50"/>
  <c r="N85" i="50"/>
  <c r="O85" i="50"/>
  <c r="P85" i="50"/>
  <c r="Q85" i="50"/>
  <c r="R85" i="50"/>
  <c r="S85" i="50"/>
  <c r="T85" i="50"/>
  <c r="U85" i="50"/>
  <c r="V85" i="50"/>
  <c r="W85" i="50"/>
  <c r="X85" i="50"/>
  <c r="Y85" i="50"/>
  <c r="Z85" i="50"/>
  <c r="AA85" i="50"/>
  <c r="AB85" i="50"/>
  <c r="AC85" i="50"/>
  <c r="AD85" i="50"/>
  <c r="AE85" i="50"/>
  <c r="AF85" i="50"/>
  <c r="AG85" i="50"/>
  <c r="AH85" i="50"/>
  <c r="AI85" i="50"/>
  <c r="AJ85" i="50"/>
  <c r="AK85" i="50"/>
  <c r="AL85" i="50"/>
  <c r="AM85" i="50"/>
  <c r="D86" i="50"/>
  <c r="E86" i="50"/>
  <c r="F86" i="50"/>
  <c r="G86" i="50"/>
  <c r="H86" i="50"/>
  <c r="I86" i="50"/>
  <c r="J86" i="50"/>
  <c r="K86" i="50"/>
  <c r="L86" i="50"/>
  <c r="M86" i="50"/>
  <c r="N86" i="50"/>
  <c r="O86" i="50"/>
  <c r="P86" i="50"/>
  <c r="Q86" i="50"/>
  <c r="R86" i="50"/>
  <c r="S86" i="50"/>
  <c r="T86" i="50"/>
  <c r="U86" i="50"/>
  <c r="V86" i="50"/>
  <c r="W86" i="50"/>
  <c r="X86" i="50"/>
  <c r="Y86" i="50"/>
  <c r="Z86" i="50"/>
  <c r="AA86" i="50"/>
  <c r="AB86" i="50"/>
  <c r="AC86" i="50"/>
  <c r="AD86" i="50"/>
  <c r="AE86" i="50"/>
  <c r="AF86" i="50"/>
  <c r="AG86" i="50"/>
  <c r="AH86" i="50"/>
  <c r="AI86" i="50"/>
  <c r="AJ86" i="50"/>
  <c r="AK86" i="50"/>
  <c r="AL86" i="50"/>
  <c r="AM86" i="50"/>
  <c r="D87" i="50"/>
  <c r="E87" i="50"/>
  <c r="F87" i="50"/>
  <c r="G87" i="50"/>
  <c r="H87" i="50"/>
  <c r="I87" i="50"/>
  <c r="J87" i="50"/>
  <c r="K87" i="50"/>
  <c r="L87" i="50"/>
  <c r="M87" i="50"/>
  <c r="N87" i="50"/>
  <c r="O87" i="50"/>
  <c r="P87" i="50"/>
  <c r="Q87" i="50"/>
  <c r="R87" i="50"/>
  <c r="S87" i="50"/>
  <c r="T87" i="50"/>
  <c r="U87" i="50"/>
  <c r="V87" i="50"/>
  <c r="W87" i="50"/>
  <c r="X87" i="50"/>
  <c r="Y87" i="50"/>
  <c r="Z87" i="50"/>
  <c r="AA87" i="50"/>
  <c r="AB87" i="50"/>
  <c r="AC87" i="50"/>
  <c r="AD87" i="50"/>
  <c r="AE87" i="50"/>
  <c r="AF87" i="50"/>
  <c r="AG87" i="50"/>
  <c r="AH87" i="50"/>
  <c r="AI87" i="50"/>
  <c r="AJ87" i="50"/>
  <c r="AK87" i="50"/>
  <c r="AL87" i="50"/>
  <c r="AM87" i="50"/>
  <c r="D88" i="50"/>
  <c r="E88" i="50"/>
  <c r="F88" i="50"/>
  <c r="G88" i="50"/>
  <c r="H88" i="50"/>
  <c r="I88" i="50"/>
  <c r="J88" i="50"/>
  <c r="K88" i="50"/>
  <c r="L88" i="50"/>
  <c r="M88" i="50"/>
  <c r="N88" i="50"/>
  <c r="O88" i="50"/>
  <c r="P88" i="50"/>
  <c r="Q88" i="50"/>
  <c r="R88" i="50"/>
  <c r="S88" i="50"/>
  <c r="T88" i="50"/>
  <c r="U88" i="50"/>
  <c r="V88" i="50"/>
  <c r="W88" i="50"/>
  <c r="X88" i="50"/>
  <c r="Y88" i="50"/>
  <c r="Z88" i="50"/>
  <c r="AA88" i="50"/>
  <c r="AB88" i="50"/>
  <c r="AC88" i="50"/>
  <c r="AD88" i="50"/>
  <c r="AE88" i="50"/>
  <c r="AF88" i="50"/>
  <c r="AG88" i="50"/>
  <c r="AH88" i="50"/>
  <c r="AI88" i="50"/>
  <c r="AJ88" i="50"/>
  <c r="AK88" i="50"/>
  <c r="AL88" i="50"/>
  <c r="AM88" i="50"/>
  <c r="D89" i="50"/>
  <c r="E89" i="50"/>
  <c r="F89" i="50"/>
  <c r="G89" i="50"/>
  <c r="H89" i="50"/>
  <c r="I89" i="50"/>
  <c r="J89" i="50"/>
  <c r="K89" i="50"/>
  <c r="L89" i="50"/>
  <c r="M89" i="50"/>
  <c r="N89" i="50"/>
  <c r="O89" i="50"/>
  <c r="P89" i="50"/>
  <c r="Q89" i="50"/>
  <c r="R89" i="50"/>
  <c r="S89" i="50"/>
  <c r="T89" i="50"/>
  <c r="U89" i="50"/>
  <c r="V89" i="50"/>
  <c r="W89" i="50"/>
  <c r="X89" i="50"/>
  <c r="Y89" i="50"/>
  <c r="Z89" i="50"/>
  <c r="AA89" i="50"/>
  <c r="AB89" i="50"/>
  <c r="AC89" i="50"/>
  <c r="AD89" i="50"/>
  <c r="AE89" i="50"/>
  <c r="AF89" i="50"/>
  <c r="AG89" i="50"/>
  <c r="AH89" i="50"/>
  <c r="AI89" i="50"/>
  <c r="AJ89" i="50"/>
  <c r="AK89" i="50"/>
  <c r="AL89" i="50"/>
  <c r="AM89" i="50"/>
  <c r="D90" i="50"/>
  <c r="E90" i="50"/>
  <c r="F90" i="50"/>
  <c r="G90" i="50"/>
  <c r="H90" i="50"/>
  <c r="I90" i="50"/>
  <c r="J90" i="50"/>
  <c r="K90" i="50"/>
  <c r="L90" i="50"/>
  <c r="M90" i="50"/>
  <c r="N90" i="50"/>
  <c r="O90" i="50"/>
  <c r="P90" i="50"/>
  <c r="Q90" i="50"/>
  <c r="R90" i="50"/>
  <c r="S90" i="50"/>
  <c r="T90" i="50"/>
  <c r="U90" i="50"/>
  <c r="V90" i="50"/>
  <c r="W90" i="50"/>
  <c r="X90" i="50"/>
  <c r="Y90" i="50"/>
  <c r="Z90" i="50"/>
  <c r="AA90" i="50"/>
  <c r="AB90" i="50"/>
  <c r="AC90" i="50"/>
  <c r="AD90" i="50"/>
  <c r="AE90" i="50"/>
  <c r="AF90" i="50"/>
  <c r="AG90" i="50"/>
  <c r="AH90" i="50"/>
  <c r="AI90" i="50"/>
  <c r="AJ90" i="50"/>
  <c r="AK90" i="50"/>
  <c r="AL90" i="50"/>
  <c r="AM90" i="50"/>
  <c r="D91" i="50"/>
  <c r="E91" i="50"/>
  <c r="F91" i="50"/>
  <c r="G91" i="50"/>
  <c r="H91" i="50"/>
  <c r="I91" i="50"/>
  <c r="J91" i="50"/>
  <c r="K91" i="50"/>
  <c r="L91" i="50"/>
  <c r="M91" i="50"/>
  <c r="N91" i="50"/>
  <c r="O91" i="50"/>
  <c r="P91" i="50"/>
  <c r="Q91" i="50"/>
  <c r="R91" i="50"/>
  <c r="S91" i="50"/>
  <c r="T91" i="50"/>
  <c r="U91" i="50"/>
  <c r="V91" i="50"/>
  <c r="W91" i="50"/>
  <c r="X91" i="50"/>
  <c r="Y91" i="50"/>
  <c r="Z91" i="50"/>
  <c r="AA91" i="50"/>
  <c r="AB91" i="50"/>
  <c r="AC91" i="50"/>
  <c r="AD91" i="50"/>
  <c r="AE91" i="50"/>
  <c r="AF91" i="50"/>
  <c r="AG91" i="50"/>
  <c r="AH91" i="50"/>
  <c r="AI91" i="50"/>
  <c r="AJ91" i="50"/>
  <c r="AK91" i="50"/>
  <c r="AL91" i="50"/>
  <c r="AM91" i="50"/>
  <c r="D92" i="50"/>
  <c r="E92" i="50"/>
  <c r="F92" i="50"/>
  <c r="G92" i="50"/>
  <c r="H92" i="50"/>
  <c r="I92" i="50"/>
  <c r="J92" i="50"/>
  <c r="K92" i="50"/>
  <c r="L92" i="50"/>
  <c r="M92" i="50"/>
  <c r="N92" i="50"/>
  <c r="O92" i="50"/>
  <c r="P92" i="50"/>
  <c r="Q92" i="50"/>
  <c r="R92" i="50"/>
  <c r="S92" i="50"/>
  <c r="T92" i="50"/>
  <c r="U92" i="50"/>
  <c r="V92" i="50"/>
  <c r="W92" i="50"/>
  <c r="X92" i="50"/>
  <c r="Y92" i="50"/>
  <c r="Z92" i="50"/>
  <c r="AA92" i="50"/>
  <c r="AB92" i="50"/>
  <c r="AC92" i="50"/>
  <c r="AD92" i="50"/>
  <c r="AE92" i="50"/>
  <c r="AF92" i="50"/>
  <c r="AG92" i="50"/>
  <c r="AH92" i="50"/>
  <c r="AI92" i="50"/>
  <c r="AJ92" i="50"/>
  <c r="AK92" i="50"/>
  <c r="AL92" i="50"/>
  <c r="AM92" i="50"/>
  <c r="D93" i="50"/>
  <c r="E93" i="50"/>
  <c r="F93" i="50"/>
  <c r="G93" i="50"/>
  <c r="H93" i="50"/>
  <c r="I93" i="50"/>
  <c r="J93" i="50"/>
  <c r="K93" i="50"/>
  <c r="L93" i="50"/>
  <c r="M93" i="50"/>
  <c r="N93" i="50"/>
  <c r="O93" i="50"/>
  <c r="P93" i="50"/>
  <c r="Q93" i="50"/>
  <c r="R93" i="50"/>
  <c r="S93" i="50"/>
  <c r="T93" i="50"/>
  <c r="U93" i="50"/>
  <c r="V93" i="50"/>
  <c r="W93" i="50"/>
  <c r="X93" i="50"/>
  <c r="Y93" i="50"/>
  <c r="Z93" i="50"/>
  <c r="AA93" i="50"/>
  <c r="AB93" i="50"/>
  <c r="AC93" i="50"/>
  <c r="AD93" i="50"/>
  <c r="AE93" i="50"/>
  <c r="AF93" i="50"/>
  <c r="AG93" i="50"/>
  <c r="AH93" i="50"/>
  <c r="AI93" i="50"/>
  <c r="AJ93" i="50"/>
  <c r="AK93" i="50"/>
  <c r="AL93" i="50"/>
  <c r="AM93" i="50"/>
  <c r="D94" i="50"/>
  <c r="E94" i="50"/>
  <c r="F94" i="50"/>
  <c r="G94" i="50"/>
  <c r="H94" i="50"/>
  <c r="I94" i="50"/>
  <c r="J94" i="50"/>
  <c r="K94" i="50"/>
  <c r="L94" i="50"/>
  <c r="M94" i="50"/>
  <c r="N94" i="50"/>
  <c r="O94" i="50"/>
  <c r="P94" i="50"/>
  <c r="Q94" i="50"/>
  <c r="R94" i="50"/>
  <c r="S94" i="50"/>
  <c r="T94" i="50"/>
  <c r="U94" i="50"/>
  <c r="V94" i="50"/>
  <c r="W94" i="50"/>
  <c r="X94" i="50"/>
  <c r="Y94" i="50"/>
  <c r="Z94" i="50"/>
  <c r="AA94" i="50"/>
  <c r="AB94" i="50"/>
  <c r="AC94" i="50"/>
  <c r="AD94" i="50"/>
  <c r="AE94" i="50"/>
  <c r="AF94" i="50"/>
  <c r="AG94" i="50"/>
  <c r="AH94" i="50"/>
  <c r="AI94" i="50"/>
  <c r="AJ94" i="50"/>
  <c r="AK94" i="50"/>
  <c r="AL94" i="50"/>
  <c r="AM94" i="50"/>
  <c r="D95" i="50"/>
  <c r="E95" i="50"/>
  <c r="F95" i="50"/>
  <c r="G95" i="50"/>
  <c r="H95" i="50"/>
  <c r="I95" i="50"/>
  <c r="J95" i="50"/>
  <c r="K95" i="50"/>
  <c r="L95" i="50"/>
  <c r="M95" i="50"/>
  <c r="N95" i="50"/>
  <c r="O95" i="50"/>
  <c r="P95" i="50"/>
  <c r="Q95" i="50"/>
  <c r="R95" i="50"/>
  <c r="S95" i="50"/>
  <c r="T95" i="50"/>
  <c r="U95" i="50"/>
  <c r="V95" i="50"/>
  <c r="W95" i="50"/>
  <c r="X95" i="50"/>
  <c r="Y95" i="50"/>
  <c r="Z95" i="50"/>
  <c r="AA95" i="50"/>
  <c r="AB95" i="50"/>
  <c r="AC95" i="50"/>
  <c r="AD95" i="50"/>
  <c r="AE95" i="50"/>
  <c r="AF95" i="50"/>
  <c r="AG95" i="50"/>
  <c r="AH95" i="50"/>
  <c r="AI95" i="50"/>
  <c r="AJ95" i="50"/>
  <c r="AK95" i="50"/>
  <c r="AL95" i="50"/>
  <c r="AM95" i="50"/>
  <c r="D96" i="50"/>
  <c r="E96" i="50"/>
  <c r="F96" i="50"/>
  <c r="G96" i="50"/>
  <c r="H96" i="50"/>
  <c r="I96" i="50"/>
  <c r="J96" i="50"/>
  <c r="K96" i="50"/>
  <c r="L96" i="50"/>
  <c r="M96" i="50"/>
  <c r="N96" i="50"/>
  <c r="O96" i="50"/>
  <c r="P96" i="50"/>
  <c r="Q96" i="50"/>
  <c r="R96" i="50"/>
  <c r="S96" i="50"/>
  <c r="T96" i="50"/>
  <c r="U96" i="50"/>
  <c r="V96" i="50"/>
  <c r="W96" i="50"/>
  <c r="X96" i="50"/>
  <c r="Y96" i="50"/>
  <c r="Z96" i="50"/>
  <c r="AA96" i="50"/>
  <c r="AB96" i="50"/>
  <c r="AC96" i="50"/>
  <c r="AD96" i="50"/>
  <c r="AE96" i="50"/>
  <c r="AF96" i="50"/>
  <c r="AG96" i="50"/>
  <c r="AH96" i="50"/>
  <c r="AI96" i="50"/>
  <c r="AJ96" i="50"/>
  <c r="AK96" i="50"/>
  <c r="AL96" i="50"/>
  <c r="AM96" i="50"/>
  <c r="D97" i="50"/>
  <c r="E97" i="50"/>
  <c r="F97" i="50"/>
  <c r="G97" i="50"/>
  <c r="H97" i="50"/>
  <c r="I97" i="50"/>
  <c r="J97" i="50"/>
  <c r="K97" i="50"/>
  <c r="L97" i="50"/>
  <c r="M97" i="50"/>
  <c r="N97" i="50"/>
  <c r="O97" i="50"/>
  <c r="P97" i="50"/>
  <c r="Q97" i="50"/>
  <c r="R97" i="50"/>
  <c r="S97" i="50"/>
  <c r="T97" i="50"/>
  <c r="U97" i="50"/>
  <c r="V97" i="50"/>
  <c r="W97" i="50"/>
  <c r="X97" i="50"/>
  <c r="Y97" i="50"/>
  <c r="Z97" i="50"/>
  <c r="AA97" i="50"/>
  <c r="AB97" i="50"/>
  <c r="AC97" i="50"/>
  <c r="AD97" i="50"/>
  <c r="AE97" i="50"/>
  <c r="AF97" i="50"/>
  <c r="AG97" i="50"/>
  <c r="AH97" i="50"/>
  <c r="AI97" i="50"/>
  <c r="AJ97" i="50"/>
  <c r="AK97" i="50"/>
  <c r="AL97" i="50"/>
  <c r="AM97" i="50"/>
  <c r="D98" i="50"/>
  <c r="E98" i="50"/>
  <c r="F98" i="50"/>
  <c r="G98" i="50"/>
  <c r="H98" i="50"/>
  <c r="I98" i="50"/>
  <c r="J98" i="50"/>
  <c r="K98" i="50"/>
  <c r="L98" i="50"/>
  <c r="M98" i="50"/>
  <c r="N98" i="50"/>
  <c r="O98" i="50"/>
  <c r="P98" i="50"/>
  <c r="Q98" i="50"/>
  <c r="R98" i="50"/>
  <c r="S98" i="50"/>
  <c r="T98" i="50"/>
  <c r="U98" i="50"/>
  <c r="V98" i="50"/>
  <c r="W98" i="50"/>
  <c r="X98" i="50"/>
  <c r="Y98" i="50"/>
  <c r="Z98" i="50"/>
  <c r="AA98" i="50"/>
  <c r="AB98" i="50"/>
  <c r="AC98" i="50"/>
  <c r="AD98" i="50"/>
  <c r="AE98" i="50"/>
  <c r="AF98" i="50"/>
  <c r="AG98" i="50"/>
  <c r="AH98" i="50"/>
  <c r="AI98" i="50"/>
  <c r="AJ98" i="50"/>
  <c r="AK98" i="50"/>
  <c r="AL98" i="50"/>
  <c r="AM98" i="50"/>
  <c r="D99" i="50"/>
  <c r="E99" i="50"/>
  <c r="F99" i="50"/>
  <c r="G99" i="50"/>
  <c r="H99" i="50"/>
  <c r="I99" i="50"/>
  <c r="J99" i="50"/>
  <c r="K99" i="50"/>
  <c r="L99" i="50"/>
  <c r="M99" i="50"/>
  <c r="N99" i="50"/>
  <c r="O99" i="50"/>
  <c r="P99" i="50"/>
  <c r="Q99" i="50"/>
  <c r="R99" i="50"/>
  <c r="S99" i="50"/>
  <c r="T99" i="50"/>
  <c r="U99" i="50"/>
  <c r="V99" i="50"/>
  <c r="W99" i="50"/>
  <c r="X99" i="50"/>
  <c r="Y99" i="50"/>
  <c r="Z99" i="50"/>
  <c r="AA99" i="50"/>
  <c r="AB99" i="50"/>
  <c r="AC99" i="50"/>
  <c r="AD99" i="50"/>
  <c r="AE99" i="50"/>
  <c r="AF99" i="50"/>
  <c r="AG99" i="50"/>
  <c r="AH99" i="50"/>
  <c r="AI99" i="50"/>
  <c r="AJ99" i="50"/>
  <c r="AK99" i="50"/>
  <c r="AL99" i="50"/>
  <c r="AM99" i="50"/>
  <c r="D100" i="50"/>
  <c r="E100" i="50"/>
  <c r="F100" i="50"/>
  <c r="G100" i="50"/>
  <c r="H100" i="50"/>
  <c r="I100" i="50"/>
  <c r="J100" i="50"/>
  <c r="K100" i="50"/>
  <c r="L100" i="50"/>
  <c r="M100" i="50"/>
  <c r="N100" i="50"/>
  <c r="O100" i="50"/>
  <c r="P100" i="50"/>
  <c r="Q100" i="50"/>
  <c r="R100" i="50"/>
  <c r="S100" i="50"/>
  <c r="T100" i="50"/>
  <c r="U100" i="50"/>
  <c r="V100" i="50"/>
  <c r="W100" i="50"/>
  <c r="X100" i="50"/>
  <c r="Y100" i="50"/>
  <c r="Z100" i="50"/>
  <c r="AA100" i="50"/>
  <c r="AB100" i="50"/>
  <c r="AC100" i="50"/>
  <c r="AD100" i="50"/>
  <c r="AE100" i="50"/>
  <c r="AF100" i="50"/>
  <c r="AG100" i="50"/>
  <c r="AH100" i="50"/>
  <c r="AI100" i="50"/>
  <c r="AJ100" i="50"/>
  <c r="AK100" i="50"/>
  <c r="AL100" i="50"/>
  <c r="AM100" i="50"/>
  <c r="D101" i="50"/>
  <c r="E101" i="50"/>
  <c r="F101" i="50"/>
  <c r="G101" i="50"/>
  <c r="H101" i="50"/>
  <c r="I101" i="50"/>
  <c r="J101" i="50"/>
  <c r="K101" i="50"/>
  <c r="L101" i="50"/>
  <c r="M101" i="50"/>
  <c r="N101" i="50"/>
  <c r="O101" i="50"/>
  <c r="P101" i="50"/>
  <c r="Q101" i="50"/>
  <c r="R101" i="50"/>
  <c r="S101" i="50"/>
  <c r="T101" i="50"/>
  <c r="U101" i="50"/>
  <c r="V101" i="50"/>
  <c r="W101" i="50"/>
  <c r="X101" i="50"/>
  <c r="Y101" i="50"/>
  <c r="Z101" i="50"/>
  <c r="AA101" i="50"/>
  <c r="AB101" i="50"/>
  <c r="AC101" i="50"/>
  <c r="AD101" i="50"/>
  <c r="AE101" i="50"/>
  <c r="AF101" i="50"/>
  <c r="AG101" i="50"/>
  <c r="AH101" i="50"/>
  <c r="AI101" i="50"/>
  <c r="AJ101" i="50"/>
  <c r="AK101" i="50"/>
  <c r="AL101" i="50"/>
  <c r="AM101" i="50"/>
  <c r="D102" i="50"/>
  <c r="E102" i="50"/>
  <c r="F102" i="50"/>
  <c r="G102" i="50"/>
  <c r="H102" i="50"/>
  <c r="I102" i="50"/>
  <c r="J102" i="50"/>
  <c r="K102" i="50"/>
  <c r="L102" i="50"/>
  <c r="M102" i="50"/>
  <c r="N102" i="50"/>
  <c r="O102" i="50"/>
  <c r="P102" i="50"/>
  <c r="Q102" i="50"/>
  <c r="R102" i="50"/>
  <c r="S102" i="50"/>
  <c r="T102" i="50"/>
  <c r="U102" i="50"/>
  <c r="V102" i="50"/>
  <c r="W102" i="50"/>
  <c r="X102" i="50"/>
  <c r="Y102" i="50"/>
  <c r="Z102" i="50"/>
  <c r="AA102" i="50"/>
  <c r="AB102" i="50"/>
  <c r="AC102" i="50"/>
  <c r="AD102" i="50"/>
  <c r="AE102" i="50"/>
  <c r="AF102" i="50"/>
  <c r="AG102" i="50"/>
  <c r="AH102" i="50"/>
  <c r="AI102" i="50"/>
  <c r="AJ102" i="50"/>
  <c r="AK102" i="50"/>
  <c r="AL102" i="50"/>
  <c r="AM102" i="50"/>
  <c r="D103" i="50"/>
  <c r="E103" i="50"/>
  <c r="F103" i="50"/>
  <c r="G103" i="50"/>
  <c r="H103" i="50"/>
  <c r="I103" i="50"/>
  <c r="J103" i="50"/>
  <c r="K103" i="50"/>
  <c r="L103" i="50"/>
  <c r="M103" i="50"/>
  <c r="N103" i="50"/>
  <c r="O103" i="50"/>
  <c r="P103" i="50"/>
  <c r="Q103" i="50"/>
  <c r="R103" i="50"/>
  <c r="S103" i="50"/>
  <c r="T103" i="50"/>
  <c r="U103" i="50"/>
  <c r="V103" i="50"/>
  <c r="W103" i="50"/>
  <c r="X103" i="50"/>
  <c r="Y103" i="50"/>
  <c r="Z103" i="50"/>
  <c r="AA103" i="50"/>
  <c r="AB103" i="50"/>
  <c r="AC103" i="50"/>
  <c r="AD103" i="50"/>
  <c r="AE103" i="50"/>
  <c r="AF103" i="50"/>
  <c r="AG103" i="50"/>
  <c r="AH103" i="50"/>
  <c r="AI103" i="50"/>
  <c r="AJ103" i="50"/>
  <c r="AK103" i="50"/>
  <c r="AL103" i="50"/>
  <c r="AM103" i="50"/>
  <c r="D104" i="50"/>
  <c r="E104" i="50"/>
  <c r="F104" i="50"/>
  <c r="G104" i="50"/>
  <c r="H104" i="50"/>
  <c r="I104" i="50"/>
  <c r="J104" i="50"/>
  <c r="K104" i="50"/>
  <c r="L104" i="50"/>
  <c r="M104" i="50"/>
  <c r="N104" i="50"/>
  <c r="O104" i="50"/>
  <c r="P104" i="50"/>
  <c r="Q104" i="50"/>
  <c r="R104" i="50"/>
  <c r="S104" i="50"/>
  <c r="T104" i="50"/>
  <c r="U104" i="50"/>
  <c r="V104" i="50"/>
  <c r="W104" i="50"/>
  <c r="X104" i="50"/>
  <c r="Y104" i="50"/>
  <c r="Z104" i="50"/>
  <c r="AA104" i="50"/>
  <c r="AB104" i="50"/>
  <c r="AC104" i="50"/>
  <c r="AD104" i="50"/>
  <c r="AE104" i="50"/>
  <c r="AF104" i="50"/>
  <c r="AG104" i="50"/>
  <c r="AH104" i="50"/>
  <c r="AI104" i="50"/>
  <c r="AJ104" i="50"/>
  <c r="AK104" i="50"/>
  <c r="AL104" i="50"/>
  <c r="AM104" i="50"/>
  <c r="D105" i="50"/>
  <c r="E105" i="50"/>
  <c r="F105" i="50"/>
  <c r="G105" i="50"/>
  <c r="H105" i="50"/>
  <c r="I105" i="50"/>
  <c r="J105" i="50"/>
  <c r="K105" i="50"/>
  <c r="L105" i="50"/>
  <c r="M105" i="50"/>
  <c r="N105" i="50"/>
  <c r="O105" i="50"/>
  <c r="P105" i="50"/>
  <c r="Q105" i="50"/>
  <c r="R105" i="50"/>
  <c r="S105" i="50"/>
  <c r="T105" i="50"/>
  <c r="U105" i="50"/>
  <c r="V105" i="50"/>
  <c r="W105" i="50"/>
  <c r="X105" i="50"/>
  <c r="Y105" i="50"/>
  <c r="Z105" i="50"/>
  <c r="AA105" i="50"/>
  <c r="AB105" i="50"/>
  <c r="AC105" i="50"/>
  <c r="AD105" i="50"/>
  <c r="AE105" i="50"/>
  <c r="AF105" i="50"/>
  <c r="AG105" i="50"/>
  <c r="AH105" i="50"/>
  <c r="AI105" i="50"/>
  <c r="AJ105" i="50"/>
  <c r="AK105" i="50"/>
  <c r="AL105" i="50"/>
  <c r="AM105" i="50"/>
  <c r="D106" i="50"/>
  <c r="E106" i="50"/>
  <c r="F106" i="50"/>
  <c r="G106" i="50"/>
  <c r="H106" i="50"/>
  <c r="I106" i="50"/>
  <c r="J106" i="50"/>
  <c r="K106" i="50"/>
  <c r="L106" i="50"/>
  <c r="M106" i="50"/>
  <c r="N106" i="50"/>
  <c r="O106" i="50"/>
  <c r="P106" i="50"/>
  <c r="Q106" i="50"/>
  <c r="R106" i="50"/>
  <c r="S106" i="50"/>
  <c r="T106" i="50"/>
  <c r="U106" i="50"/>
  <c r="V106" i="50"/>
  <c r="W106" i="50"/>
  <c r="X106" i="50"/>
  <c r="Y106" i="50"/>
  <c r="Z106" i="50"/>
  <c r="AA106" i="50"/>
  <c r="AB106" i="50"/>
  <c r="AC106" i="50"/>
  <c r="AD106" i="50"/>
  <c r="AE106" i="50"/>
  <c r="AF106" i="50"/>
  <c r="AG106" i="50"/>
  <c r="AH106" i="50"/>
  <c r="AI106" i="50"/>
  <c r="AJ106" i="50"/>
  <c r="AK106" i="50"/>
  <c r="AL106" i="50"/>
  <c r="AM106" i="50"/>
  <c r="D107" i="50"/>
  <c r="E107" i="50"/>
  <c r="F107" i="50"/>
  <c r="G107" i="50"/>
  <c r="H107" i="50"/>
  <c r="I107" i="50"/>
  <c r="J107" i="50"/>
  <c r="K107" i="50"/>
  <c r="L107" i="50"/>
  <c r="M107" i="50"/>
  <c r="N107" i="50"/>
  <c r="O107" i="50"/>
  <c r="P107" i="50"/>
  <c r="Q107" i="50"/>
  <c r="R107" i="50"/>
  <c r="S107" i="50"/>
  <c r="T107" i="50"/>
  <c r="U107" i="50"/>
  <c r="V107" i="50"/>
  <c r="W107" i="50"/>
  <c r="X107" i="50"/>
  <c r="Y107" i="50"/>
  <c r="Z107" i="50"/>
  <c r="AA107" i="50"/>
  <c r="AB107" i="50"/>
  <c r="AC107" i="50"/>
  <c r="AD107" i="50"/>
  <c r="AE107" i="50"/>
  <c r="AF107" i="50"/>
  <c r="AG107" i="50"/>
  <c r="AH107" i="50"/>
  <c r="AI107" i="50"/>
  <c r="AJ107" i="50"/>
  <c r="AK107" i="50"/>
  <c r="AL107" i="50"/>
  <c r="AM107" i="50"/>
  <c r="D108" i="50"/>
  <c r="E108" i="50"/>
  <c r="F108" i="50"/>
  <c r="G108" i="50"/>
  <c r="H108" i="50"/>
  <c r="I108" i="50"/>
  <c r="J108" i="50"/>
  <c r="K108" i="50"/>
  <c r="L108" i="50"/>
  <c r="M108" i="50"/>
  <c r="N108" i="50"/>
  <c r="O108" i="50"/>
  <c r="P108" i="50"/>
  <c r="Q108" i="50"/>
  <c r="R108" i="50"/>
  <c r="S108" i="50"/>
  <c r="T108" i="50"/>
  <c r="U108" i="50"/>
  <c r="V108" i="50"/>
  <c r="W108" i="50"/>
  <c r="X108" i="50"/>
  <c r="Y108" i="50"/>
  <c r="Z108" i="50"/>
  <c r="AA108" i="50"/>
  <c r="AB108" i="50"/>
  <c r="AC108" i="50"/>
  <c r="AD108" i="50"/>
  <c r="AE108" i="50"/>
  <c r="AF108" i="50"/>
  <c r="AG108" i="50"/>
  <c r="AH108" i="50"/>
  <c r="AI108" i="50"/>
  <c r="AJ108" i="50"/>
  <c r="AK108" i="50"/>
  <c r="AL108" i="50"/>
  <c r="AM108" i="50"/>
  <c r="D109" i="50"/>
  <c r="E109" i="50"/>
  <c r="F109" i="50"/>
  <c r="G109" i="50"/>
  <c r="H109" i="50"/>
  <c r="I109" i="50"/>
  <c r="J109" i="50"/>
  <c r="K109" i="50"/>
  <c r="L109" i="50"/>
  <c r="M109" i="50"/>
  <c r="N109" i="50"/>
  <c r="O109" i="50"/>
  <c r="P109" i="50"/>
  <c r="Q109" i="50"/>
  <c r="R109" i="50"/>
  <c r="S109" i="50"/>
  <c r="T109" i="50"/>
  <c r="U109" i="50"/>
  <c r="V109" i="50"/>
  <c r="W109" i="50"/>
  <c r="X109" i="50"/>
  <c r="Y109" i="50"/>
  <c r="Z109" i="50"/>
  <c r="AA109" i="50"/>
  <c r="AB109" i="50"/>
  <c r="AC109" i="50"/>
  <c r="AD109" i="50"/>
  <c r="AE109" i="50"/>
  <c r="AF109" i="50"/>
  <c r="AG109" i="50"/>
  <c r="AH109" i="50"/>
  <c r="AI109" i="50"/>
  <c r="AJ109" i="50"/>
  <c r="AK109" i="50"/>
  <c r="AL109" i="50"/>
  <c r="AM109" i="50"/>
  <c r="D110" i="50"/>
  <c r="E110" i="50"/>
  <c r="F110" i="50"/>
  <c r="G110" i="50"/>
  <c r="H110" i="50"/>
  <c r="I110" i="50"/>
  <c r="J110" i="50"/>
  <c r="K110" i="50"/>
  <c r="L110" i="50"/>
  <c r="M110" i="50"/>
  <c r="N110" i="50"/>
  <c r="O110" i="50"/>
  <c r="P110" i="50"/>
  <c r="Q110" i="50"/>
  <c r="R110" i="50"/>
  <c r="S110" i="50"/>
  <c r="T110" i="50"/>
  <c r="U110" i="50"/>
  <c r="V110" i="50"/>
  <c r="W110" i="50"/>
  <c r="X110" i="50"/>
  <c r="Y110" i="50"/>
  <c r="Z110" i="50"/>
  <c r="AA110" i="50"/>
  <c r="AB110" i="50"/>
  <c r="AC110" i="50"/>
  <c r="AD110" i="50"/>
  <c r="AE110" i="50"/>
  <c r="AF110" i="50"/>
  <c r="AG110" i="50"/>
  <c r="AH110" i="50"/>
  <c r="AI110" i="50"/>
  <c r="AJ110" i="50"/>
  <c r="AK110" i="50"/>
  <c r="AL110" i="50"/>
  <c r="AM110" i="50"/>
  <c r="D111" i="50"/>
  <c r="E111" i="50"/>
  <c r="F111" i="50"/>
  <c r="G111" i="50"/>
  <c r="H111" i="50"/>
  <c r="I111" i="50"/>
  <c r="J111" i="50"/>
  <c r="K111" i="50"/>
  <c r="L111" i="50"/>
  <c r="M111" i="50"/>
  <c r="N111" i="50"/>
  <c r="O111" i="50"/>
  <c r="P111" i="50"/>
  <c r="Q111" i="50"/>
  <c r="R111" i="50"/>
  <c r="S111" i="50"/>
  <c r="T111" i="50"/>
  <c r="U111" i="50"/>
  <c r="V111" i="50"/>
  <c r="W111" i="50"/>
  <c r="X111" i="50"/>
  <c r="Y111" i="50"/>
  <c r="Z111" i="50"/>
  <c r="AA111" i="50"/>
  <c r="AB111" i="50"/>
  <c r="AC111" i="50"/>
  <c r="AD111" i="50"/>
  <c r="AE111" i="50"/>
  <c r="AF111" i="50"/>
  <c r="AG111" i="50"/>
  <c r="AH111" i="50"/>
  <c r="AI111" i="50"/>
  <c r="AJ111" i="50"/>
  <c r="AK111" i="50"/>
  <c r="AL111" i="50"/>
  <c r="AM111" i="50"/>
  <c r="D112" i="50"/>
  <c r="E112" i="50"/>
  <c r="F112" i="50"/>
  <c r="G112" i="50"/>
  <c r="H112" i="50"/>
  <c r="I112" i="50"/>
  <c r="J112" i="50"/>
  <c r="K112" i="50"/>
  <c r="L112" i="50"/>
  <c r="M112" i="50"/>
  <c r="N112" i="50"/>
  <c r="O112" i="50"/>
  <c r="P112" i="50"/>
  <c r="Q112" i="50"/>
  <c r="R112" i="50"/>
  <c r="S112" i="50"/>
  <c r="T112" i="50"/>
  <c r="U112" i="50"/>
  <c r="V112" i="50"/>
  <c r="W112" i="50"/>
  <c r="X112" i="50"/>
  <c r="Y112" i="50"/>
  <c r="Z112" i="50"/>
  <c r="AA112" i="50"/>
  <c r="AB112" i="50"/>
  <c r="AC112" i="50"/>
  <c r="AD112" i="50"/>
  <c r="AE112" i="50"/>
  <c r="AF112" i="50"/>
  <c r="AG112" i="50"/>
  <c r="AH112" i="50"/>
  <c r="AI112" i="50"/>
  <c r="AJ112" i="50"/>
  <c r="AK112" i="50"/>
  <c r="AL112" i="50"/>
  <c r="AM112" i="50"/>
  <c r="D113" i="50"/>
  <c r="E113" i="50"/>
  <c r="F113" i="50"/>
  <c r="G113" i="50"/>
  <c r="H113" i="50"/>
  <c r="I113" i="50"/>
  <c r="J113" i="50"/>
  <c r="K113" i="50"/>
  <c r="L113" i="50"/>
  <c r="M113" i="50"/>
  <c r="N113" i="50"/>
  <c r="O113" i="50"/>
  <c r="P113" i="50"/>
  <c r="Q113" i="50"/>
  <c r="R113" i="50"/>
  <c r="S113" i="50"/>
  <c r="T113" i="50"/>
  <c r="U113" i="50"/>
  <c r="V113" i="50"/>
  <c r="W113" i="50"/>
  <c r="X113" i="50"/>
  <c r="Y113" i="50"/>
  <c r="Z113" i="50"/>
  <c r="AA113" i="50"/>
  <c r="AB113" i="50"/>
  <c r="AC113" i="50"/>
  <c r="AD113" i="50"/>
  <c r="AE113" i="50"/>
  <c r="AF113" i="50"/>
  <c r="AG113" i="50"/>
  <c r="AH113" i="50"/>
  <c r="AI113" i="50"/>
  <c r="AJ113" i="50"/>
  <c r="AK113" i="50"/>
  <c r="AL113" i="50"/>
  <c r="AM113" i="50"/>
  <c r="D114" i="50"/>
  <c r="E114" i="50"/>
  <c r="F114" i="50"/>
  <c r="G114" i="50"/>
  <c r="H114" i="50"/>
  <c r="I114" i="50"/>
  <c r="J114" i="50"/>
  <c r="K114" i="50"/>
  <c r="L114" i="50"/>
  <c r="M114" i="50"/>
  <c r="N114" i="50"/>
  <c r="O114" i="50"/>
  <c r="P114" i="50"/>
  <c r="Q114" i="50"/>
  <c r="R114" i="50"/>
  <c r="S114" i="50"/>
  <c r="T114" i="50"/>
  <c r="U114" i="50"/>
  <c r="V114" i="50"/>
  <c r="W114" i="50"/>
  <c r="X114" i="50"/>
  <c r="Y114" i="50"/>
  <c r="Z114" i="50"/>
  <c r="AA114" i="50"/>
  <c r="AB114" i="50"/>
  <c r="AC114" i="50"/>
  <c r="AD114" i="50"/>
  <c r="AE114" i="50"/>
  <c r="AF114" i="50"/>
  <c r="AG114" i="50"/>
  <c r="AH114" i="50"/>
  <c r="AI114" i="50"/>
  <c r="AJ114" i="50"/>
  <c r="AK114" i="50"/>
  <c r="AL114" i="50"/>
  <c r="AM114" i="50"/>
  <c r="D115" i="50"/>
  <c r="E115" i="50"/>
  <c r="F115" i="50"/>
  <c r="G115" i="50"/>
  <c r="H115" i="50"/>
  <c r="I115" i="50"/>
  <c r="J115" i="50"/>
  <c r="K115" i="50"/>
  <c r="L115" i="50"/>
  <c r="M115" i="50"/>
  <c r="N115" i="50"/>
  <c r="O115" i="50"/>
  <c r="P115" i="50"/>
  <c r="Q115" i="50"/>
  <c r="R115" i="50"/>
  <c r="S115" i="50"/>
  <c r="T115" i="50"/>
  <c r="U115" i="50"/>
  <c r="V115" i="50"/>
  <c r="W115" i="50"/>
  <c r="X115" i="50"/>
  <c r="Y115" i="50"/>
  <c r="Z115" i="50"/>
  <c r="AA115" i="50"/>
  <c r="AB115" i="50"/>
  <c r="AC115" i="50"/>
  <c r="AD115" i="50"/>
  <c r="AE115" i="50"/>
  <c r="AF115" i="50"/>
  <c r="AG115" i="50"/>
  <c r="AH115" i="50"/>
  <c r="AI115" i="50"/>
  <c r="AJ115" i="50"/>
  <c r="AK115" i="50"/>
  <c r="AL115" i="50"/>
  <c r="AM115" i="50"/>
  <c r="D116" i="50"/>
  <c r="E116" i="50"/>
  <c r="F116" i="50"/>
  <c r="G116" i="50"/>
  <c r="H116" i="50"/>
  <c r="I116" i="50"/>
  <c r="J116" i="50"/>
  <c r="K116" i="50"/>
  <c r="L116" i="50"/>
  <c r="M116" i="50"/>
  <c r="N116" i="50"/>
  <c r="O116" i="50"/>
  <c r="P116" i="50"/>
  <c r="Q116" i="50"/>
  <c r="R116" i="50"/>
  <c r="S116" i="50"/>
  <c r="T116" i="50"/>
  <c r="U116" i="50"/>
  <c r="V116" i="50"/>
  <c r="W116" i="50"/>
  <c r="X116" i="50"/>
  <c r="Y116" i="50"/>
  <c r="Z116" i="50"/>
  <c r="AA116" i="50"/>
  <c r="AB116" i="50"/>
  <c r="AC116" i="50"/>
  <c r="AD116" i="50"/>
  <c r="AE116" i="50"/>
  <c r="AF116" i="50"/>
  <c r="AG116" i="50"/>
  <c r="AH116" i="50"/>
  <c r="AI116" i="50"/>
  <c r="AJ116" i="50"/>
  <c r="AK116" i="50"/>
  <c r="AL116" i="50"/>
  <c r="AM116" i="50"/>
  <c r="D117" i="50"/>
  <c r="E117" i="50"/>
  <c r="F117" i="50"/>
  <c r="G117" i="50"/>
  <c r="H117" i="50"/>
  <c r="I117" i="50"/>
  <c r="J117" i="50"/>
  <c r="K117" i="50"/>
  <c r="L117" i="50"/>
  <c r="M117" i="50"/>
  <c r="N117" i="50"/>
  <c r="O117" i="50"/>
  <c r="P117" i="50"/>
  <c r="Q117" i="50"/>
  <c r="R117" i="50"/>
  <c r="S117" i="50"/>
  <c r="T117" i="50"/>
  <c r="U117" i="50"/>
  <c r="V117" i="50"/>
  <c r="W117" i="50"/>
  <c r="X117" i="50"/>
  <c r="Y117" i="50"/>
  <c r="Z117" i="50"/>
  <c r="AA117" i="50"/>
  <c r="AB117" i="50"/>
  <c r="AC117" i="50"/>
  <c r="AD117" i="50"/>
  <c r="AE117" i="50"/>
  <c r="AF117" i="50"/>
  <c r="AG117" i="50"/>
  <c r="AH117" i="50"/>
  <c r="AI117" i="50"/>
  <c r="AJ117" i="50"/>
  <c r="AK117" i="50"/>
  <c r="AL117" i="50"/>
  <c r="AM117" i="50"/>
  <c r="D118" i="50"/>
  <c r="E118" i="50"/>
  <c r="F118" i="50"/>
  <c r="G118" i="50"/>
  <c r="H118" i="50"/>
  <c r="I118" i="50"/>
  <c r="J118" i="50"/>
  <c r="K118" i="50"/>
  <c r="L118" i="50"/>
  <c r="M118" i="50"/>
  <c r="N118" i="50"/>
  <c r="O118" i="50"/>
  <c r="P118" i="50"/>
  <c r="Q118" i="50"/>
  <c r="R118" i="50"/>
  <c r="S118" i="50"/>
  <c r="T118" i="50"/>
  <c r="U118" i="50"/>
  <c r="V118" i="50"/>
  <c r="W118" i="50"/>
  <c r="X118" i="50"/>
  <c r="Y118" i="50"/>
  <c r="Z118" i="50"/>
  <c r="AA118" i="50"/>
  <c r="AB118" i="50"/>
  <c r="AC118" i="50"/>
  <c r="AD118" i="50"/>
  <c r="AE118" i="50"/>
  <c r="AF118" i="50"/>
  <c r="AG118" i="50"/>
  <c r="AH118" i="50"/>
  <c r="AI118" i="50"/>
  <c r="AJ118" i="50"/>
  <c r="AK118" i="50"/>
  <c r="AL118" i="50"/>
  <c r="AM118" i="50"/>
  <c r="D119" i="50"/>
  <c r="E119" i="50"/>
  <c r="F119" i="50"/>
  <c r="G119" i="50"/>
  <c r="H119" i="50"/>
  <c r="I119" i="50"/>
  <c r="J119" i="50"/>
  <c r="K119" i="50"/>
  <c r="L119" i="50"/>
  <c r="M119" i="50"/>
  <c r="N119" i="50"/>
  <c r="O119" i="50"/>
  <c r="P119" i="50"/>
  <c r="Q119" i="50"/>
  <c r="R119" i="50"/>
  <c r="S119" i="50"/>
  <c r="T119" i="50"/>
  <c r="U119" i="50"/>
  <c r="V119" i="50"/>
  <c r="W119" i="50"/>
  <c r="X119" i="50"/>
  <c r="Y119" i="50"/>
  <c r="Z119" i="50"/>
  <c r="AA119" i="50"/>
  <c r="AB119" i="50"/>
  <c r="AC119" i="50"/>
  <c r="AD119" i="50"/>
  <c r="AE119" i="50"/>
  <c r="AF119" i="50"/>
  <c r="AG119" i="50"/>
  <c r="AH119" i="50"/>
  <c r="AI119" i="50"/>
  <c r="AJ119" i="50"/>
  <c r="AK119" i="50"/>
  <c r="AL119" i="50"/>
  <c r="AM119" i="50"/>
  <c r="D120" i="50"/>
  <c r="E120" i="50"/>
  <c r="F120" i="50"/>
  <c r="G120" i="50"/>
  <c r="H120" i="50"/>
  <c r="I120" i="50"/>
  <c r="J120" i="50"/>
  <c r="K120" i="50"/>
  <c r="L120" i="50"/>
  <c r="M120" i="50"/>
  <c r="N120" i="50"/>
  <c r="O120" i="50"/>
  <c r="P120" i="50"/>
  <c r="Q120" i="50"/>
  <c r="R120" i="50"/>
  <c r="S120" i="50"/>
  <c r="T120" i="50"/>
  <c r="U120" i="50"/>
  <c r="V120" i="50"/>
  <c r="W120" i="50"/>
  <c r="X120" i="50"/>
  <c r="Y120" i="50"/>
  <c r="Z120" i="50"/>
  <c r="AA120" i="50"/>
  <c r="AB120" i="50"/>
  <c r="AC120" i="50"/>
  <c r="AD120" i="50"/>
  <c r="AE120" i="50"/>
  <c r="AF120" i="50"/>
  <c r="AG120" i="50"/>
  <c r="AH120" i="50"/>
  <c r="AI120" i="50"/>
  <c r="AJ120" i="50"/>
  <c r="AK120" i="50"/>
  <c r="AL120" i="50"/>
  <c r="AM120" i="50"/>
  <c r="D121" i="50"/>
  <c r="E121" i="50"/>
  <c r="F121" i="50"/>
  <c r="G121" i="50"/>
  <c r="H121" i="50"/>
  <c r="I121" i="50"/>
  <c r="J121" i="50"/>
  <c r="K121" i="50"/>
  <c r="L121" i="50"/>
  <c r="M121" i="50"/>
  <c r="N121" i="50"/>
  <c r="O121" i="50"/>
  <c r="P121" i="50"/>
  <c r="Q121" i="50"/>
  <c r="R121" i="50"/>
  <c r="S121" i="50"/>
  <c r="T121" i="50"/>
  <c r="U121" i="50"/>
  <c r="V121" i="50"/>
  <c r="W121" i="50"/>
  <c r="X121" i="50"/>
  <c r="Y121" i="50"/>
  <c r="Z121" i="50"/>
  <c r="AA121" i="50"/>
  <c r="AB121" i="50"/>
  <c r="AC121" i="50"/>
  <c r="AD121" i="50"/>
  <c r="AE121" i="50"/>
  <c r="AF121" i="50"/>
  <c r="AG121" i="50"/>
  <c r="AH121" i="50"/>
  <c r="AI121" i="50"/>
  <c r="AJ121" i="50"/>
  <c r="AK121" i="50"/>
  <c r="AL121" i="50"/>
  <c r="AM121" i="50"/>
  <c r="D122" i="50"/>
  <c r="E122" i="50"/>
  <c r="F122" i="50"/>
  <c r="G122" i="50"/>
  <c r="H122" i="50"/>
  <c r="I122" i="50"/>
  <c r="J122" i="50"/>
  <c r="K122" i="50"/>
  <c r="L122" i="50"/>
  <c r="M122" i="50"/>
  <c r="N122" i="50"/>
  <c r="O122" i="50"/>
  <c r="P122" i="50"/>
  <c r="Q122" i="50"/>
  <c r="R122" i="50"/>
  <c r="S122" i="50"/>
  <c r="T122" i="50"/>
  <c r="U122" i="50"/>
  <c r="V122" i="50"/>
  <c r="W122" i="50"/>
  <c r="X122" i="50"/>
  <c r="Y122" i="50"/>
  <c r="Z122" i="50"/>
  <c r="AA122" i="50"/>
  <c r="AB122" i="50"/>
  <c r="AC122" i="50"/>
  <c r="AD122" i="50"/>
  <c r="AE122" i="50"/>
  <c r="AF122" i="50"/>
  <c r="AG122" i="50"/>
  <c r="AH122" i="50"/>
  <c r="AI122" i="50"/>
  <c r="AJ122" i="50"/>
  <c r="AK122" i="50"/>
  <c r="AL122" i="50"/>
  <c r="AM122" i="50"/>
  <c r="D123" i="50"/>
  <c r="E123" i="50"/>
  <c r="F123" i="50"/>
  <c r="G123" i="50"/>
  <c r="H123" i="50"/>
  <c r="I123" i="50"/>
  <c r="J123" i="50"/>
  <c r="K123" i="50"/>
  <c r="L123" i="50"/>
  <c r="M123" i="50"/>
  <c r="N123" i="50"/>
  <c r="O123" i="50"/>
  <c r="P123" i="50"/>
  <c r="Q123" i="50"/>
  <c r="R123" i="50"/>
  <c r="S123" i="50"/>
  <c r="T123" i="50"/>
  <c r="U123" i="50"/>
  <c r="V123" i="50"/>
  <c r="W123" i="50"/>
  <c r="X123" i="50"/>
  <c r="Y123" i="50"/>
  <c r="Z123" i="50"/>
  <c r="AA123" i="50"/>
  <c r="AB123" i="50"/>
  <c r="AC123" i="50"/>
  <c r="AD123" i="50"/>
  <c r="AE123" i="50"/>
  <c r="AF123" i="50"/>
  <c r="AG123" i="50"/>
  <c r="AH123" i="50"/>
  <c r="AI123" i="50"/>
  <c r="AJ123" i="50"/>
  <c r="AK123" i="50"/>
  <c r="AL123" i="50"/>
  <c r="AM123" i="50"/>
  <c r="D124" i="50"/>
  <c r="E124" i="50"/>
  <c r="F124" i="50"/>
  <c r="G124" i="50"/>
  <c r="H124" i="50"/>
  <c r="I124" i="50"/>
  <c r="J124" i="50"/>
  <c r="K124" i="50"/>
  <c r="L124" i="50"/>
  <c r="M124" i="50"/>
  <c r="N124" i="50"/>
  <c r="O124" i="50"/>
  <c r="P124" i="50"/>
  <c r="Q124" i="50"/>
  <c r="R124" i="50"/>
  <c r="S124" i="50"/>
  <c r="T124" i="50"/>
  <c r="U124" i="50"/>
  <c r="V124" i="50"/>
  <c r="W124" i="50"/>
  <c r="X124" i="50"/>
  <c r="Y124" i="50"/>
  <c r="Z124" i="50"/>
  <c r="AA124" i="50"/>
  <c r="AB124" i="50"/>
  <c r="AC124" i="50"/>
  <c r="AD124" i="50"/>
  <c r="AE124" i="50"/>
  <c r="AF124" i="50"/>
  <c r="AG124" i="50"/>
  <c r="AH124" i="50"/>
  <c r="AI124" i="50"/>
  <c r="AJ124" i="50"/>
  <c r="AK124" i="50"/>
  <c r="AL124" i="50"/>
  <c r="AM124" i="50"/>
  <c r="D125" i="50"/>
  <c r="E125" i="50"/>
  <c r="F125" i="50"/>
  <c r="G125" i="50"/>
  <c r="H125" i="50"/>
  <c r="I125" i="50"/>
  <c r="J125" i="50"/>
  <c r="K125" i="50"/>
  <c r="L125" i="50"/>
  <c r="M125" i="50"/>
  <c r="N125" i="50"/>
  <c r="O125" i="50"/>
  <c r="P125" i="50"/>
  <c r="Q125" i="50"/>
  <c r="R125" i="50"/>
  <c r="S125" i="50"/>
  <c r="T125" i="50"/>
  <c r="U125" i="50"/>
  <c r="V125" i="50"/>
  <c r="W125" i="50"/>
  <c r="X125" i="50"/>
  <c r="Y125" i="50"/>
  <c r="Z125" i="50"/>
  <c r="AA125" i="50"/>
  <c r="AB125" i="50"/>
  <c r="AC125" i="50"/>
  <c r="AD125" i="50"/>
  <c r="AE125" i="50"/>
  <c r="AF125" i="50"/>
  <c r="AG125" i="50"/>
  <c r="AH125" i="50"/>
  <c r="AI125" i="50"/>
  <c r="AJ125" i="50"/>
  <c r="AK125" i="50"/>
  <c r="AL125" i="50"/>
  <c r="AM125" i="50"/>
  <c r="D126" i="50"/>
  <c r="E126" i="50"/>
  <c r="F126" i="50"/>
  <c r="G126" i="50"/>
  <c r="H126" i="50"/>
  <c r="I126" i="50"/>
  <c r="J126" i="50"/>
  <c r="K126" i="50"/>
  <c r="L126" i="50"/>
  <c r="M126" i="50"/>
  <c r="N126" i="50"/>
  <c r="O126" i="50"/>
  <c r="P126" i="50"/>
  <c r="Q126" i="50"/>
  <c r="R126" i="50"/>
  <c r="S126" i="50"/>
  <c r="T126" i="50"/>
  <c r="U126" i="50"/>
  <c r="V126" i="50"/>
  <c r="W126" i="50"/>
  <c r="X126" i="50"/>
  <c r="Y126" i="50"/>
  <c r="Z126" i="50"/>
  <c r="AA126" i="50"/>
  <c r="AB126" i="50"/>
  <c r="AC126" i="50"/>
  <c r="AD126" i="50"/>
  <c r="AE126" i="50"/>
  <c r="AF126" i="50"/>
  <c r="AG126" i="50"/>
  <c r="AH126" i="50"/>
  <c r="AI126" i="50"/>
  <c r="AJ126" i="50"/>
  <c r="AK126" i="50"/>
  <c r="AL126" i="50"/>
  <c r="AM126" i="50"/>
  <c r="D127" i="50"/>
  <c r="E127" i="50"/>
  <c r="F127" i="50"/>
  <c r="G127" i="50"/>
  <c r="H127" i="50"/>
  <c r="I127" i="50"/>
  <c r="J127" i="50"/>
  <c r="K127" i="50"/>
  <c r="L127" i="50"/>
  <c r="M127" i="50"/>
  <c r="N127" i="50"/>
  <c r="O127" i="50"/>
  <c r="P127" i="50"/>
  <c r="Q127" i="50"/>
  <c r="R127" i="50"/>
  <c r="S127" i="50"/>
  <c r="T127" i="50"/>
  <c r="U127" i="50"/>
  <c r="V127" i="50"/>
  <c r="W127" i="50"/>
  <c r="X127" i="50"/>
  <c r="Y127" i="50"/>
  <c r="Z127" i="50"/>
  <c r="AA127" i="50"/>
  <c r="AB127" i="50"/>
  <c r="AC127" i="50"/>
  <c r="AD127" i="50"/>
  <c r="AE127" i="50"/>
  <c r="AF127" i="50"/>
  <c r="AG127" i="50"/>
  <c r="AH127" i="50"/>
  <c r="AI127" i="50"/>
  <c r="AJ127" i="50"/>
  <c r="AK127" i="50"/>
  <c r="AL127" i="50"/>
  <c r="AM127" i="50"/>
  <c r="D128" i="50"/>
  <c r="E128" i="50"/>
  <c r="F128" i="50"/>
  <c r="G128" i="50"/>
  <c r="H128" i="50"/>
  <c r="I128" i="50"/>
  <c r="J128" i="50"/>
  <c r="K128" i="50"/>
  <c r="L128" i="50"/>
  <c r="M128" i="50"/>
  <c r="N128" i="50"/>
  <c r="O128" i="50"/>
  <c r="P128" i="50"/>
  <c r="Q128" i="50"/>
  <c r="R128" i="50"/>
  <c r="S128" i="50"/>
  <c r="T128" i="50"/>
  <c r="U128" i="50"/>
  <c r="V128" i="50"/>
  <c r="W128" i="50"/>
  <c r="X128" i="50"/>
  <c r="Y128" i="50"/>
  <c r="Z128" i="50"/>
  <c r="AA128" i="50"/>
  <c r="AB128" i="50"/>
  <c r="AC128" i="50"/>
  <c r="AD128" i="50"/>
  <c r="AE128" i="50"/>
  <c r="AF128" i="50"/>
  <c r="AG128" i="50"/>
  <c r="AH128" i="50"/>
  <c r="AI128" i="50"/>
  <c r="AJ128" i="50"/>
  <c r="AK128" i="50"/>
  <c r="AL128" i="50"/>
  <c r="AM128" i="50"/>
  <c r="D129" i="50"/>
  <c r="E129" i="50"/>
  <c r="F129" i="50"/>
  <c r="G129" i="50"/>
  <c r="H129" i="50"/>
  <c r="I129" i="50"/>
  <c r="J129" i="50"/>
  <c r="K129" i="50"/>
  <c r="L129" i="50"/>
  <c r="M129" i="50"/>
  <c r="N129" i="50"/>
  <c r="O129" i="50"/>
  <c r="P129" i="50"/>
  <c r="Q129" i="50"/>
  <c r="R129" i="50"/>
  <c r="S129" i="50"/>
  <c r="T129" i="50"/>
  <c r="U129" i="50"/>
  <c r="V129" i="50"/>
  <c r="W129" i="50"/>
  <c r="X129" i="50"/>
  <c r="Y129" i="50"/>
  <c r="Z129" i="50"/>
  <c r="AA129" i="50"/>
  <c r="AB129" i="50"/>
  <c r="AC129" i="50"/>
  <c r="AD129" i="50"/>
  <c r="AE129" i="50"/>
  <c r="AF129" i="50"/>
  <c r="AG129" i="50"/>
  <c r="AH129" i="50"/>
  <c r="AI129" i="50"/>
  <c r="AJ129" i="50"/>
  <c r="AK129" i="50"/>
  <c r="AL129" i="50"/>
  <c r="AM129" i="50"/>
  <c r="D130" i="50"/>
  <c r="E130" i="50"/>
  <c r="F130" i="50"/>
  <c r="G130" i="50"/>
  <c r="H130" i="50"/>
  <c r="I130" i="50"/>
  <c r="J130" i="50"/>
  <c r="K130" i="50"/>
  <c r="L130" i="50"/>
  <c r="M130" i="50"/>
  <c r="N130" i="50"/>
  <c r="O130" i="50"/>
  <c r="P130" i="50"/>
  <c r="Q130" i="50"/>
  <c r="R130" i="50"/>
  <c r="S130" i="50"/>
  <c r="T130" i="50"/>
  <c r="U130" i="50"/>
  <c r="V130" i="50"/>
  <c r="W130" i="50"/>
  <c r="X130" i="50"/>
  <c r="Y130" i="50"/>
  <c r="Z130" i="50"/>
  <c r="AA130" i="50"/>
  <c r="AB130" i="50"/>
  <c r="AC130" i="50"/>
  <c r="AD130" i="50"/>
  <c r="AE130" i="50"/>
  <c r="AF130" i="50"/>
  <c r="AG130" i="50"/>
  <c r="AH130" i="50"/>
  <c r="AI130" i="50"/>
  <c r="AJ130" i="50"/>
  <c r="AK130" i="50"/>
  <c r="AL130" i="50"/>
  <c r="AM130" i="50"/>
  <c r="D131" i="50"/>
  <c r="E131" i="50"/>
  <c r="F131" i="50"/>
  <c r="G131" i="50"/>
  <c r="H131" i="50"/>
  <c r="I131" i="50"/>
  <c r="J131" i="50"/>
  <c r="K131" i="50"/>
  <c r="L131" i="50"/>
  <c r="M131" i="50"/>
  <c r="N131" i="50"/>
  <c r="O131" i="50"/>
  <c r="P131" i="50"/>
  <c r="Q131" i="50"/>
  <c r="R131" i="50"/>
  <c r="S131" i="50"/>
  <c r="T131" i="50"/>
  <c r="U131" i="50"/>
  <c r="V131" i="50"/>
  <c r="W131" i="50"/>
  <c r="X131" i="50"/>
  <c r="Y131" i="50"/>
  <c r="Z131" i="50"/>
  <c r="AA131" i="50"/>
  <c r="AB131" i="50"/>
  <c r="AC131" i="50"/>
  <c r="AD131" i="50"/>
  <c r="AE131" i="50"/>
  <c r="AF131" i="50"/>
  <c r="AG131" i="50"/>
  <c r="AH131" i="50"/>
  <c r="AI131" i="50"/>
  <c r="AJ131" i="50"/>
  <c r="AK131" i="50"/>
  <c r="AL131" i="50"/>
  <c r="AM131" i="50"/>
  <c r="D132" i="50"/>
  <c r="E132" i="50"/>
  <c r="F132" i="50"/>
  <c r="G132" i="50"/>
  <c r="H132" i="50"/>
  <c r="I132" i="50"/>
  <c r="J132" i="50"/>
  <c r="K132" i="50"/>
  <c r="L132" i="50"/>
  <c r="M132" i="50"/>
  <c r="N132" i="50"/>
  <c r="O132" i="50"/>
  <c r="P132" i="50"/>
  <c r="Q132" i="50"/>
  <c r="R132" i="50"/>
  <c r="S132" i="50"/>
  <c r="T132" i="50"/>
  <c r="U132" i="50"/>
  <c r="V132" i="50"/>
  <c r="W132" i="50"/>
  <c r="X132" i="50"/>
  <c r="Y132" i="50"/>
  <c r="Z132" i="50"/>
  <c r="AA132" i="50"/>
  <c r="AB132" i="50"/>
  <c r="AC132" i="50"/>
  <c r="AD132" i="50"/>
  <c r="AE132" i="50"/>
  <c r="AF132" i="50"/>
  <c r="AG132" i="50"/>
  <c r="AH132" i="50"/>
  <c r="AI132" i="50"/>
  <c r="AJ132" i="50"/>
  <c r="AK132" i="50"/>
  <c r="AL132" i="50"/>
  <c r="AM132" i="50"/>
  <c r="D133" i="50"/>
  <c r="E133" i="50"/>
  <c r="F133" i="50"/>
  <c r="G133" i="50"/>
  <c r="H133" i="50"/>
  <c r="I133" i="50"/>
  <c r="J133" i="50"/>
  <c r="K133" i="50"/>
  <c r="L133" i="50"/>
  <c r="M133" i="50"/>
  <c r="N133" i="50"/>
  <c r="O133" i="50"/>
  <c r="P133" i="50"/>
  <c r="Q133" i="50"/>
  <c r="R133" i="50"/>
  <c r="S133" i="50"/>
  <c r="T133" i="50"/>
  <c r="U133" i="50"/>
  <c r="V133" i="50"/>
  <c r="W133" i="50"/>
  <c r="X133" i="50"/>
  <c r="Y133" i="50"/>
  <c r="Z133" i="50"/>
  <c r="AA133" i="50"/>
  <c r="AB133" i="50"/>
  <c r="AC133" i="50"/>
  <c r="AD133" i="50"/>
  <c r="AE133" i="50"/>
  <c r="AF133" i="50"/>
  <c r="AG133" i="50"/>
  <c r="AH133" i="50"/>
  <c r="AI133" i="50"/>
  <c r="AJ133" i="50"/>
  <c r="AK133" i="50"/>
  <c r="AL133" i="50"/>
  <c r="AM133" i="50"/>
  <c r="D134" i="50"/>
  <c r="E134" i="50"/>
  <c r="F134" i="50"/>
  <c r="G134" i="50"/>
  <c r="H134" i="50"/>
  <c r="I134" i="50"/>
  <c r="J134" i="50"/>
  <c r="K134" i="50"/>
  <c r="L134" i="50"/>
  <c r="M134" i="50"/>
  <c r="N134" i="50"/>
  <c r="O134" i="50"/>
  <c r="P134" i="50"/>
  <c r="Q134" i="50"/>
  <c r="R134" i="50"/>
  <c r="S134" i="50"/>
  <c r="T134" i="50"/>
  <c r="U134" i="50"/>
  <c r="V134" i="50"/>
  <c r="W134" i="50"/>
  <c r="X134" i="50"/>
  <c r="Y134" i="50"/>
  <c r="Z134" i="50"/>
  <c r="AA134" i="50"/>
  <c r="AB134" i="50"/>
  <c r="AC134" i="50"/>
  <c r="AD134" i="50"/>
  <c r="AE134" i="50"/>
  <c r="AF134" i="50"/>
  <c r="AG134" i="50"/>
  <c r="AH134" i="50"/>
  <c r="AI134" i="50"/>
  <c r="AJ134" i="50"/>
  <c r="AK134" i="50"/>
  <c r="AL134" i="50"/>
  <c r="AM134" i="50"/>
  <c r="D135" i="50"/>
  <c r="E135" i="50"/>
  <c r="F135" i="50"/>
  <c r="G135" i="50"/>
  <c r="H135" i="50"/>
  <c r="I135" i="50"/>
  <c r="J135" i="50"/>
  <c r="K135" i="50"/>
  <c r="L135" i="50"/>
  <c r="M135" i="50"/>
  <c r="N135" i="50"/>
  <c r="O135" i="50"/>
  <c r="P135" i="50"/>
  <c r="Q135" i="50"/>
  <c r="R135" i="50"/>
  <c r="S135" i="50"/>
  <c r="T135" i="50"/>
  <c r="U135" i="50"/>
  <c r="V135" i="50"/>
  <c r="W135" i="50"/>
  <c r="X135" i="50"/>
  <c r="Y135" i="50"/>
  <c r="Z135" i="50"/>
  <c r="AA135" i="50"/>
  <c r="AB135" i="50"/>
  <c r="AC135" i="50"/>
  <c r="AD135" i="50"/>
  <c r="AE135" i="50"/>
  <c r="AF135" i="50"/>
  <c r="AG135" i="50"/>
  <c r="AH135" i="50"/>
  <c r="AI135" i="50"/>
  <c r="AJ135" i="50"/>
  <c r="AK135" i="50"/>
  <c r="AL135" i="50"/>
  <c r="AM135" i="50"/>
  <c r="D136" i="50"/>
  <c r="E136" i="50"/>
  <c r="F136" i="50"/>
  <c r="G136" i="50"/>
  <c r="H136" i="50"/>
  <c r="I136" i="50"/>
  <c r="J136" i="50"/>
  <c r="K136" i="50"/>
  <c r="L136" i="50"/>
  <c r="M136" i="50"/>
  <c r="N136" i="50"/>
  <c r="O136" i="50"/>
  <c r="P136" i="50"/>
  <c r="Q136" i="50"/>
  <c r="R136" i="50"/>
  <c r="S136" i="50"/>
  <c r="T136" i="50"/>
  <c r="U136" i="50"/>
  <c r="V136" i="50"/>
  <c r="W136" i="50"/>
  <c r="X136" i="50"/>
  <c r="Y136" i="50"/>
  <c r="Z136" i="50"/>
  <c r="AA136" i="50"/>
  <c r="AB136" i="50"/>
  <c r="AC136" i="50"/>
  <c r="AD136" i="50"/>
  <c r="AE136" i="50"/>
  <c r="AF136" i="50"/>
  <c r="AG136" i="50"/>
  <c r="AH136" i="50"/>
  <c r="AI136" i="50"/>
  <c r="AJ136" i="50"/>
  <c r="AK136" i="50"/>
  <c r="AL136" i="50"/>
  <c r="AM136" i="50"/>
  <c r="D137" i="50"/>
  <c r="E137" i="50"/>
  <c r="F137" i="50"/>
  <c r="G137" i="50"/>
  <c r="H137" i="50"/>
  <c r="I137" i="50"/>
  <c r="J137" i="50"/>
  <c r="K137" i="50"/>
  <c r="L137" i="50"/>
  <c r="M137" i="50"/>
  <c r="N137" i="50"/>
  <c r="O137" i="50"/>
  <c r="P137" i="50"/>
  <c r="Q137" i="50"/>
  <c r="R137" i="50"/>
  <c r="S137" i="50"/>
  <c r="T137" i="50"/>
  <c r="U137" i="50"/>
  <c r="V137" i="50"/>
  <c r="W137" i="50"/>
  <c r="X137" i="50"/>
  <c r="Y137" i="50"/>
  <c r="Z137" i="50"/>
  <c r="AA137" i="50"/>
  <c r="AB137" i="50"/>
  <c r="AC137" i="50"/>
  <c r="AD137" i="50"/>
  <c r="AE137" i="50"/>
  <c r="AF137" i="50"/>
  <c r="AG137" i="50"/>
  <c r="AH137" i="50"/>
  <c r="AI137" i="50"/>
  <c r="AJ137" i="50"/>
  <c r="AK137" i="50"/>
  <c r="AL137" i="50"/>
  <c r="AM137" i="50"/>
  <c r="D138" i="50"/>
  <c r="E138" i="50"/>
  <c r="F138" i="50"/>
  <c r="G138" i="50"/>
  <c r="H138" i="50"/>
  <c r="I138" i="50"/>
  <c r="J138" i="50"/>
  <c r="K138" i="50"/>
  <c r="L138" i="50"/>
  <c r="M138" i="50"/>
  <c r="N138" i="50"/>
  <c r="O138" i="50"/>
  <c r="P138" i="50"/>
  <c r="Q138" i="50"/>
  <c r="R138" i="50"/>
  <c r="S138" i="50"/>
  <c r="T138" i="50"/>
  <c r="U138" i="50"/>
  <c r="V138" i="50"/>
  <c r="W138" i="50"/>
  <c r="X138" i="50"/>
  <c r="Y138" i="50"/>
  <c r="Z138" i="50"/>
  <c r="AA138" i="50"/>
  <c r="AB138" i="50"/>
  <c r="AC138" i="50"/>
  <c r="AD138" i="50"/>
  <c r="AE138" i="50"/>
  <c r="AF138" i="50"/>
  <c r="AG138" i="50"/>
  <c r="AH138" i="50"/>
  <c r="AI138" i="50"/>
  <c r="AJ138" i="50"/>
  <c r="AK138" i="50"/>
  <c r="AL138" i="50"/>
  <c r="AM138" i="50"/>
  <c r="D139" i="50"/>
  <c r="E139" i="50"/>
  <c r="F139" i="50"/>
  <c r="G139" i="50"/>
  <c r="H139" i="50"/>
  <c r="I139" i="50"/>
  <c r="J139" i="50"/>
  <c r="K139" i="50"/>
  <c r="L139" i="50"/>
  <c r="M139" i="50"/>
  <c r="N139" i="50"/>
  <c r="O139" i="50"/>
  <c r="P139" i="50"/>
  <c r="Q139" i="50"/>
  <c r="R139" i="50"/>
  <c r="S139" i="50"/>
  <c r="T139" i="50"/>
  <c r="U139" i="50"/>
  <c r="V139" i="50"/>
  <c r="W139" i="50"/>
  <c r="X139" i="50"/>
  <c r="Y139" i="50"/>
  <c r="Z139" i="50"/>
  <c r="AA139" i="50"/>
  <c r="AB139" i="50"/>
  <c r="AC139" i="50"/>
  <c r="AD139" i="50"/>
  <c r="AE139" i="50"/>
  <c r="AF139" i="50"/>
  <c r="AG139" i="50"/>
  <c r="AH139" i="50"/>
  <c r="AI139" i="50"/>
  <c r="AJ139" i="50"/>
  <c r="AK139" i="50"/>
  <c r="AL139" i="50"/>
  <c r="AM139" i="50"/>
  <c r="D140" i="50"/>
  <c r="E140" i="50"/>
  <c r="F140" i="50"/>
  <c r="G140" i="50"/>
  <c r="H140" i="50"/>
  <c r="I140" i="50"/>
  <c r="J140" i="50"/>
  <c r="K140" i="50"/>
  <c r="L140" i="50"/>
  <c r="M140" i="50"/>
  <c r="N140" i="50"/>
  <c r="O140" i="50"/>
  <c r="P140" i="50"/>
  <c r="Q140" i="50"/>
  <c r="R140" i="50"/>
  <c r="S140" i="50"/>
  <c r="T140" i="50"/>
  <c r="U140" i="50"/>
  <c r="V140" i="50"/>
  <c r="W140" i="50"/>
  <c r="X140" i="50"/>
  <c r="Y140" i="50"/>
  <c r="Z140" i="50"/>
  <c r="AA140" i="50"/>
  <c r="AB140" i="50"/>
  <c r="AC140" i="50"/>
  <c r="AD140" i="50"/>
  <c r="AE140" i="50"/>
  <c r="AF140" i="50"/>
  <c r="AG140" i="50"/>
  <c r="AH140" i="50"/>
  <c r="AI140" i="50"/>
  <c r="AJ140" i="50"/>
  <c r="AK140" i="50"/>
  <c r="AL140" i="50"/>
  <c r="AM140" i="50"/>
  <c r="D141" i="50"/>
  <c r="E141" i="50"/>
  <c r="F141" i="50"/>
  <c r="G141" i="50"/>
  <c r="H141" i="50"/>
  <c r="I141" i="50"/>
  <c r="J141" i="50"/>
  <c r="K141" i="50"/>
  <c r="L141" i="50"/>
  <c r="M141" i="50"/>
  <c r="N141" i="50"/>
  <c r="O141" i="50"/>
  <c r="P141" i="50"/>
  <c r="Q141" i="50"/>
  <c r="R141" i="50"/>
  <c r="S141" i="50"/>
  <c r="T141" i="50"/>
  <c r="U141" i="50"/>
  <c r="V141" i="50"/>
  <c r="W141" i="50"/>
  <c r="X141" i="50"/>
  <c r="Y141" i="50"/>
  <c r="Z141" i="50"/>
  <c r="AA141" i="50"/>
  <c r="AB141" i="50"/>
  <c r="AC141" i="50"/>
  <c r="AD141" i="50"/>
  <c r="AE141" i="50"/>
  <c r="AF141" i="50"/>
  <c r="AG141" i="50"/>
  <c r="AH141" i="50"/>
  <c r="AI141" i="50"/>
  <c r="AJ141" i="50"/>
  <c r="AK141" i="50"/>
  <c r="AL141" i="50"/>
  <c r="AM141" i="50"/>
  <c r="D142" i="50"/>
  <c r="E142" i="50"/>
  <c r="F142" i="50"/>
  <c r="G142" i="50"/>
  <c r="H142" i="50"/>
  <c r="I142" i="50"/>
  <c r="J142" i="50"/>
  <c r="K142" i="50"/>
  <c r="L142" i="50"/>
  <c r="M142" i="50"/>
  <c r="N142" i="50"/>
  <c r="O142" i="50"/>
  <c r="P142" i="50"/>
  <c r="Q142" i="50"/>
  <c r="R142" i="50"/>
  <c r="S142" i="50"/>
  <c r="T142" i="50"/>
  <c r="U142" i="50"/>
  <c r="V142" i="50"/>
  <c r="W142" i="50"/>
  <c r="X142" i="50"/>
  <c r="Y142" i="50"/>
  <c r="Z142" i="50"/>
  <c r="AA142" i="50"/>
  <c r="AB142" i="50"/>
  <c r="AC142" i="50"/>
  <c r="AD142" i="50"/>
  <c r="AE142" i="50"/>
  <c r="AF142" i="50"/>
  <c r="AG142" i="50"/>
  <c r="AH142" i="50"/>
  <c r="AI142" i="50"/>
  <c r="AJ142" i="50"/>
  <c r="AK142" i="50"/>
  <c r="AL142" i="50"/>
  <c r="AM142" i="50"/>
  <c r="D143" i="50"/>
  <c r="E143" i="50"/>
  <c r="F143" i="50"/>
  <c r="G143" i="50"/>
  <c r="H143" i="50"/>
  <c r="I143" i="50"/>
  <c r="J143" i="50"/>
  <c r="K143" i="50"/>
  <c r="L143" i="50"/>
  <c r="M143" i="50"/>
  <c r="N143" i="50"/>
  <c r="O143" i="50"/>
  <c r="P143" i="50"/>
  <c r="Q143" i="50"/>
  <c r="R143" i="50"/>
  <c r="S143" i="50"/>
  <c r="T143" i="50"/>
  <c r="U143" i="50"/>
  <c r="V143" i="50"/>
  <c r="W143" i="50"/>
  <c r="X143" i="50"/>
  <c r="Y143" i="50"/>
  <c r="Z143" i="50"/>
  <c r="AA143" i="50"/>
  <c r="AB143" i="50"/>
  <c r="AC143" i="50"/>
  <c r="AD143" i="50"/>
  <c r="AE143" i="50"/>
  <c r="AF143" i="50"/>
  <c r="AG143" i="50"/>
  <c r="AH143" i="50"/>
  <c r="AI143" i="50"/>
  <c r="AJ143" i="50"/>
  <c r="AK143" i="50"/>
  <c r="AL143" i="50"/>
  <c r="AM143" i="50"/>
  <c r="D144" i="50"/>
  <c r="E144" i="50"/>
  <c r="F144" i="50"/>
  <c r="G144" i="50"/>
  <c r="H144" i="50"/>
  <c r="I144" i="50"/>
  <c r="J144" i="50"/>
  <c r="K144" i="50"/>
  <c r="L144" i="50"/>
  <c r="M144" i="50"/>
  <c r="N144" i="50"/>
  <c r="O144" i="50"/>
  <c r="P144" i="50"/>
  <c r="Q144" i="50"/>
  <c r="R144" i="50"/>
  <c r="S144" i="50"/>
  <c r="T144" i="50"/>
  <c r="U144" i="50"/>
  <c r="V144" i="50"/>
  <c r="W144" i="50"/>
  <c r="X144" i="50"/>
  <c r="Y144" i="50"/>
  <c r="Z144" i="50"/>
  <c r="AA144" i="50"/>
  <c r="AB144" i="50"/>
  <c r="AC144" i="50"/>
  <c r="AD144" i="50"/>
  <c r="AE144" i="50"/>
  <c r="AF144" i="50"/>
  <c r="AG144" i="50"/>
  <c r="AH144" i="50"/>
  <c r="AI144" i="50"/>
  <c r="AJ144" i="50"/>
  <c r="AK144" i="50"/>
  <c r="AL144" i="50"/>
  <c r="AM144" i="50"/>
  <c r="D145" i="50"/>
  <c r="E145" i="50"/>
  <c r="F145" i="50"/>
  <c r="G145" i="50"/>
  <c r="H145" i="50"/>
  <c r="I145" i="50"/>
  <c r="J145" i="50"/>
  <c r="K145" i="50"/>
  <c r="L145" i="50"/>
  <c r="M145" i="50"/>
  <c r="N145" i="50"/>
  <c r="O145" i="50"/>
  <c r="P145" i="50"/>
  <c r="Q145" i="50"/>
  <c r="R145" i="50"/>
  <c r="S145" i="50"/>
  <c r="T145" i="50"/>
  <c r="U145" i="50"/>
  <c r="V145" i="50"/>
  <c r="W145" i="50"/>
  <c r="X145" i="50"/>
  <c r="Y145" i="50"/>
  <c r="Z145" i="50"/>
  <c r="AA145" i="50"/>
  <c r="AB145" i="50"/>
  <c r="AC145" i="50"/>
  <c r="AD145" i="50"/>
  <c r="AE145" i="50"/>
  <c r="AF145" i="50"/>
  <c r="AG145" i="50"/>
  <c r="AH145" i="50"/>
  <c r="AI145" i="50"/>
  <c r="AJ145" i="50"/>
  <c r="AK145" i="50"/>
  <c r="AL145" i="50"/>
  <c r="AM145" i="50"/>
  <c r="D146" i="50"/>
  <c r="E146" i="50"/>
  <c r="F146" i="50"/>
  <c r="G146" i="50"/>
  <c r="H146" i="50"/>
  <c r="I146" i="50"/>
  <c r="J146" i="50"/>
  <c r="K146" i="50"/>
  <c r="L146" i="50"/>
  <c r="M146" i="50"/>
  <c r="N146" i="50"/>
  <c r="O146" i="50"/>
  <c r="P146" i="50"/>
  <c r="Q146" i="50"/>
  <c r="R146" i="50"/>
  <c r="S146" i="50"/>
  <c r="T146" i="50"/>
  <c r="U146" i="50"/>
  <c r="V146" i="50"/>
  <c r="W146" i="50"/>
  <c r="X146" i="50"/>
  <c r="Y146" i="50"/>
  <c r="Z146" i="50"/>
  <c r="AA146" i="50"/>
  <c r="AB146" i="50"/>
  <c r="AC146" i="50"/>
  <c r="AD146" i="50"/>
  <c r="AE146" i="50"/>
  <c r="AF146" i="50"/>
  <c r="AG146" i="50"/>
  <c r="AH146" i="50"/>
  <c r="AI146" i="50"/>
  <c r="AJ146" i="50"/>
  <c r="AK146" i="50"/>
  <c r="AL146" i="50"/>
  <c r="AM146" i="50"/>
  <c r="D147" i="50"/>
  <c r="E147" i="50"/>
  <c r="F147" i="50"/>
  <c r="G147" i="50"/>
  <c r="H147" i="50"/>
  <c r="I147" i="50"/>
  <c r="J147" i="50"/>
  <c r="K147" i="50"/>
  <c r="L147" i="50"/>
  <c r="M147" i="50"/>
  <c r="N147" i="50"/>
  <c r="O147" i="50"/>
  <c r="P147" i="50"/>
  <c r="Q147" i="50"/>
  <c r="R147" i="50"/>
  <c r="S147" i="50"/>
  <c r="T147" i="50"/>
  <c r="U147" i="50"/>
  <c r="V147" i="50"/>
  <c r="W147" i="50"/>
  <c r="X147" i="50"/>
  <c r="Y147" i="50"/>
  <c r="Z147" i="50"/>
  <c r="AA147" i="50"/>
  <c r="AB147" i="50"/>
  <c r="AC147" i="50"/>
  <c r="AD147" i="50"/>
  <c r="AE147" i="50"/>
  <c r="AF147" i="50"/>
  <c r="AG147" i="50"/>
  <c r="AH147" i="50"/>
  <c r="AI147" i="50"/>
  <c r="AJ147" i="50"/>
  <c r="AK147" i="50"/>
  <c r="AL147" i="50"/>
  <c r="AM147" i="50"/>
  <c r="D148" i="50"/>
  <c r="E148" i="50"/>
  <c r="F148" i="50"/>
  <c r="G148" i="50"/>
  <c r="H148" i="50"/>
  <c r="I148" i="50"/>
  <c r="J148" i="50"/>
  <c r="K148" i="50"/>
  <c r="L148" i="50"/>
  <c r="M148" i="50"/>
  <c r="N148" i="50"/>
  <c r="O148" i="50"/>
  <c r="P148" i="50"/>
  <c r="Q148" i="50"/>
  <c r="R148" i="50"/>
  <c r="S148" i="50"/>
  <c r="T148" i="50"/>
  <c r="U148" i="50"/>
  <c r="V148" i="50"/>
  <c r="W148" i="50"/>
  <c r="X148" i="50"/>
  <c r="Y148" i="50"/>
  <c r="Z148" i="50"/>
  <c r="AA148" i="50"/>
  <c r="AB148" i="50"/>
  <c r="AC148" i="50"/>
  <c r="AD148" i="50"/>
  <c r="AE148" i="50"/>
  <c r="AF148" i="50"/>
  <c r="AG148" i="50"/>
  <c r="AH148" i="50"/>
  <c r="AI148" i="50"/>
  <c r="AJ148" i="50"/>
  <c r="AK148" i="50"/>
  <c r="AL148" i="50"/>
  <c r="AM148" i="50"/>
  <c r="D149" i="50"/>
  <c r="E149" i="50"/>
  <c r="F149" i="50"/>
  <c r="G149" i="50"/>
  <c r="H149" i="50"/>
  <c r="I149" i="50"/>
  <c r="J149" i="50"/>
  <c r="K149" i="50"/>
  <c r="L149" i="50"/>
  <c r="M149" i="50"/>
  <c r="N149" i="50"/>
  <c r="O149" i="50"/>
  <c r="P149" i="50"/>
  <c r="Q149" i="50"/>
  <c r="R149" i="50"/>
  <c r="S149" i="50"/>
  <c r="T149" i="50"/>
  <c r="U149" i="50"/>
  <c r="V149" i="50"/>
  <c r="W149" i="50"/>
  <c r="X149" i="50"/>
  <c r="Y149" i="50"/>
  <c r="Z149" i="50"/>
  <c r="AA149" i="50"/>
  <c r="AB149" i="50"/>
  <c r="AC149" i="50"/>
  <c r="AD149" i="50"/>
  <c r="AE149" i="50"/>
  <c r="AF149" i="50"/>
  <c r="AG149" i="50"/>
  <c r="AH149" i="50"/>
  <c r="AI149" i="50"/>
  <c r="AJ149" i="50"/>
  <c r="AK149" i="50"/>
  <c r="AL149" i="50"/>
  <c r="AM149" i="50"/>
  <c r="D150" i="50"/>
  <c r="E150" i="50"/>
  <c r="F150" i="50"/>
  <c r="G150" i="50"/>
  <c r="H150" i="50"/>
  <c r="I150" i="50"/>
  <c r="J150" i="50"/>
  <c r="K150" i="50"/>
  <c r="L150" i="50"/>
  <c r="M150" i="50"/>
  <c r="N150" i="50"/>
  <c r="O150" i="50"/>
  <c r="P150" i="50"/>
  <c r="Q150" i="50"/>
  <c r="R150" i="50"/>
  <c r="S150" i="50"/>
  <c r="T150" i="50"/>
  <c r="U150" i="50"/>
  <c r="V150" i="50"/>
  <c r="W150" i="50"/>
  <c r="X150" i="50"/>
  <c r="Y150" i="50"/>
  <c r="Z150" i="50"/>
  <c r="AA150" i="50"/>
  <c r="AB150" i="50"/>
  <c r="AC150" i="50"/>
  <c r="AD150" i="50"/>
  <c r="AE150" i="50"/>
  <c r="AF150" i="50"/>
  <c r="AG150" i="50"/>
  <c r="AH150" i="50"/>
  <c r="AI150" i="50"/>
  <c r="AJ150" i="50"/>
  <c r="AK150" i="50"/>
  <c r="AL150" i="50"/>
  <c r="AM150" i="50"/>
  <c r="D151" i="50"/>
  <c r="E151" i="50"/>
  <c r="F151" i="50"/>
  <c r="G151" i="50"/>
  <c r="H151" i="50"/>
  <c r="I151" i="50"/>
  <c r="J151" i="50"/>
  <c r="K151" i="50"/>
  <c r="L151" i="50"/>
  <c r="M151" i="50"/>
  <c r="N151" i="50"/>
  <c r="O151" i="50"/>
  <c r="P151" i="50"/>
  <c r="Q151" i="50"/>
  <c r="R151" i="50"/>
  <c r="S151" i="50"/>
  <c r="T151" i="50"/>
  <c r="U151" i="50"/>
  <c r="V151" i="50"/>
  <c r="W151" i="50"/>
  <c r="X151" i="50"/>
  <c r="Y151" i="50"/>
  <c r="Z151" i="50"/>
  <c r="AA151" i="50"/>
  <c r="AB151" i="50"/>
  <c r="AC151" i="50"/>
  <c r="AD151" i="50"/>
  <c r="AE151" i="50"/>
  <c r="AF151" i="50"/>
  <c r="AG151" i="50"/>
  <c r="AH151" i="50"/>
  <c r="AI151" i="50"/>
  <c r="AJ151" i="50"/>
  <c r="AK151" i="50"/>
  <c r="AL151" i="50"/>
  <c r="AM151" i="50"/>
  <c r="D152" i="50"/>
  <c r="E152" i="50"/>
  <c r="F152" i="50"/>
  <c r="G152" i="50"/>
  <c r="H152" i="50"/>
  <c r="I152" i="50"/>
  <c r="J152" i="50"/>
  <c r="K152" i="50"/>
  <c r="L152" i="50"/>
  <c r="M152" i="50"/>
  <c r="N152" i="50"/>
  <c r="O152" i="50"/>
  <c r="P152" i="50"/>
  <c r="Q152" i="50"/>
  <c r="R152" i="50"/>
  <c r="S152" i="50"/>
  <c r="T152" i="50"/>
  <c r="U152" i="50"/>
  <c r="V152" i="50"/>
  <c r="W152" i="50"/>
  <c r="X152" i="50"/>
  <c r="Y152" i="50"/>
  <c r="Z152" i="50"/>
  <c r="AA152" i="50"/>
  <c r="AB152" i="50"/>
  <c r="AC152" i="50"/>
  <c r="AD152" i="50"/>
  <c r="AE152" i="50"/>
  <c r="AF152" i="50"/>
  <c r="AG152" i="50"/>
  <c r="AH152" i="50"/>
  <c r="AI152" i="50"/>
  <c r="AJ152" i="50"/>
  <c r="AK152" i="50"/>
  <c r="AL152" i="50"/>
  <c r="AM152" i="50"/>
  <c r="D153" i="50"/>
  <c r="E153" i="50"/>
  <c r="F153" i="50"/>
  <c r="G153" i="50"/>
  <c r="H153" i="50"/>
  <c r="I153" i="50"/>
  <c r="J153" i="50"/>
  <c r="K153" i="50"/>
  <c r="L153" i="50"/>
  <c r="M153" i="50"/>
  <c r="N153" i="50"/>
  <c r="O153" i="50"/>
  <c r="P153" i="50"/>
  <c r="Q153" i="50"/>
  <c r="R153" i="50"/>
  <c r="S153" i="50"/>
  <c r="T153" i="50"/>
  <c r="U153" i="50"/>
  <c r="V153" i="50"/>
  <c r="W153" i="50"/>
  <c r="X153" i="50"/>
  <c r="Y153" i="50"/>
  <c r="Z153" i="50"/>
  <c r="AA153" i="50"/>
  <c r="AB153" i="50"/>
  <c r="AC153" i="50"/>
  <c r="AD153" i="50"/>
  <c r="AE153" i="50"/>
  <c r="AF153" i="50"/>
  <c r="AG153" i="50"/>
  <c r="AH153" i="50"/>
  <c r="AI153" i="50"/>
  <c r="AJ153" i="50"/>
  <c r="AK153" i="50"/>
  <c r="AL153" i="50"/>
  <c r="AM153" i="50"/>
  <c r="D154" i="50"/>
  <c r="E154" i="50"/>
  <c r="F154" i="50"/>
  <c r="G154" i="50"/>
  <c r="H154" i="50"/>
  <c r="I154" i="50"/>
  <c r="J154" i="50"/>
  <c r="K154" i="50"/>
  <c r="L154" i="50"/>
  <c r="M154" i="50"/>
  <c r="N154" i="50"/>
  <c r="O154" i="50"/>
  <c r="P154" i="50"/>
  <c r="Q154" i="50"/>
  <c r="R154" i="50"/>
  <c r="S154" i="50"/>
  <c r="T154" i="50"/>
  <c r="U154" i="50"/>
  <c r="V154" i="50"/>
  <c r="W154" i="50"/>
  <c r="X154" i="50"/>
  <c r="Y154" i="50"/>
  <c r="Z154" i="50"/>
  <c r="AA154" i="50"/>
  <c r="AB154" i="50"/>
  <c r="AC154" i="50"/>
  <c r="AD154" i="50"/>
  <c r="AE154" i="50"/>
  <c r="AF154" i="50"/>
  <c r="AG154" i="50"/>
  <c r="AH154" i="50"/>
  <c r="AI154" i="50"/>
  <c r="AJ154" i="50"/>
  <c r="AK154" i="50"/>
  <c r="AL154" i="50"/>
  <c r="AM154" i="50"/>
  <c r="D155" i="50"/>
  <c r="E155" i="50"/>
  <c r="F155" i="50"/>
  <c r="G155" i="50"/>
  <c r="H155" i="50"/>
  <c r="I155" i="50"/>
  <c r="J155" i="50"/>
  <c r="K155" i="50"/>
  <c r="L155" i="50"/>
  <c r="M155" i="50"/>
  <c r="N155" i="50"/>
  <c r="O155" i="50"/>
  <c r="P155" i="50"/>
  <c r="Q155" i="50"/>
  <c r="R155" i="50"/>
  <c r="S155" i="50"/>
  <c r="T155" i="50"/>
  <c r="U155" i="50"/>
  <c r="V155" i="50"/>
  <c r="W155" i="50"/>
  <c r="X155" i="50"/>
  <c r="Y155" i="50"/>
  <c r="Z155" i="50"/>
  <c r="AA155" i="50"/>
  <c r="AB155" i="50"/>
  <c r="AC155" i="50"/>
  <c r="AD155" i="50"/>
  <c r="AE155" i="50"/>
  <c r="AF155" i="50"/>
  <c r="AG155" i="50"/>
  <c r="AH155" i="50"/>
  <c r="AI155" i="50"/>
  <c r="AJ155" i="50"/>
  <c r="AK155" i="50"/>
  <c r="AL155" i="50"/>
  <c r="AM155" i="50"/>
  <c r="D156" i="50"/>
  <c r="E156" i="50"/>
  <c r="F156" i="50"/>
  <c r="G156" i="50"/>
  <c r="H156" i="50"/>
  <c r="I156" i="50"/>
  <c r="J156" i="50"/>
  <c r="K156" i="50"/>
  <c r="L156" i="50"/>
  <c r="M156" i="50"/>
  <c r="N156" i="50"/>
  <c r="O156" i="50"/>
  <c r="P156" i="50"/>
  <c r="Q156" i="50"/>
  <c r="R156" i="50"/>
  <c r="S156" i="50"/>
  <c r="T156" i="50"/>
  <c r="U156" i="50"/>
  <c r="V156" i="50"/>
  <c r="W156" i="50"/>
  <c r="X156" i="50"/>
  <c r="Y156" i="50"/>
  <c r="Z156" i="50"/>
  <c r="AA156" i="50"/>
  <c r="AB156" i="50"/>
  <c r="AC156" i="50"/>
  <c r="AD156" i="50"/>
  <c r="AE156" i="50"/>
  <c r="AF156" i="50"/>
  <c r="AG156" i="50"/>
  <c r="AH156" i="50"/>
  <c r="AI156" i="50"/>
  <c r="AJ156" i="50"/>
  <c r="AK156" i="50"/>
  <c r="AL156" i="50"/>
  <c r="AM156" i="50"/>
  <c r="D157" i="50"/>
  <c r="E157" i="50"/>
  <c r="F157" i="50"/>
  <c r="G157" i="50"/>
  <c r="H157" i="50"/>
  <c r="I157" i="50"/>
  <c r="J157" i="50"/>
  <c r="K157" i="50"/>
  <c r="L157" i="50"/>
  <c r="M157" i="50"/>
  <c r="N157" i="50"/>
  <c r="O157" i="50"/>
  <c r="P157" i="50"/>
  <c r="Q157" i="50"/>
  <c r="R157" i="50"/>
  <c r="S157" i="50"/>
  <c r="T157" i="50"/>
  <c r="U157" i="50"/>
  <c r="V157" i="50"/>
  <c r="W157" i="50"/>
  <c r="X157" i="50"/>
  <c r="Y157" i="50"/>
  <c r="Z157" i="50"/>
  <c r="AA157" i="50"/>
  <c r="AB157" i="50"/>
  <c r="AC157" i="50"/>
  <c r="AD157" i="50"/>
  <c r="AE157" i="50"/>
  <c r="AF157" i="50"/>
  <c r="AG157" i="50"/>
  <c r="AH157" i="50"/>
  <c r="AI157" i="50"/>
  <c r="AJ157" i="50"/>
  <c r="AK157" i="50"/>
  <c r="AL157" i="50"/>
  <c r="AM157" i="50"/>
  <c r="D158" i="50"/>
  <c r="E158" i="50"/>
  <c r="F158" i="50"/>
  <c r="G158" i="50"/>
  <c r="H158" i="50"/>
  <c r="I158" i="50"/>
  <c r="J158" i="50"/>
  <c r="K158" i="50"/>
  <c r="L158" i="50"/>
  <c r="M158" i="50"/>
  <c r="N158" i="50"/>
  <c r="O158" i="50"/>
  <c r="P158" i="50"/>
  <c r="Q158" i="50"/>
  <c r="R158" i="50"/>
  <c r="S158" i="50"/>
  <c r="T158" i="50"/>
  <c r="U158" i="50"/>
  <c r="V158" i="50"/>
  <c r="W158" i="50"/>
  <c r="X158" i="50"/>
  <c r="Y158" i="50"/>
  <c r="Z158" i="50"/>
  <c r="AA158" i="50"/>
  <c r="AB158" i="50"/>
  <c r="AC158" i="50"/>
  <c r="AD158" i="50"/>
  <c r="AE158" i="50"/>
  <c r="AF158" i="50"/>
  <c r="AG158" i="50"/>
  <c r="AH158" i="50"/>
  <c r="AI158" i="50"/>
  <c r="AJ158" i="50"/>
  <c r="AK158" i="50"/>
  <c r="AL158" i="50"/>
  <c r="AM158" i="50"/>
  <c r="D159" i="50"/>
  <c r="E159" i="50"/>
  <c r="F159" i="50"/>
  <c r="G159" i="50"/>
  <c r="H159" i="50"/>
  <c r="I159" i="50"/>
  <c r="J159" i="50"/>
  <c r="K159" i="50"/>
  <c r="L159" i="50"/>
  <c r="M159" i="50"/>
  <c r="N159" i="50"/>
  <c r="O159" i="50"/>
  <c r="P159" i="50"/>
  <c r="Q159" i="50"/>
  <c r="R159" i="50"/>
  <c r="S159" i="50"/>
  <c r="T159" i="50"/>
  <c r="U159" i="50"/>
  <c r="V159" i="50"/>
  <c r="W159" i="50"/>
  <c r="X159" i="50"/>
  <c r="Y159" i="50"/>
  <c r="Z159" i="50"/>
  <c r="AA159" i="50"/>
  <c r="AB159" i="50"/>
  <c r="AC159" i="50"/>
  <c r="AD159" i="50"/>
  <c r="AE159" i="50"/>
  <c r="AF159" i="50"/>
  <c r="AG159" i="50"/>
  <c r="AH159" i="50"/>
  <c r="AI159" i="50"/>
  <c r="AJ159" i="50"/>
  <c r="AK159" i="50"/>
  <c r="AL159" i="50"/>
  <c r="AM159" i="50"/>
  <c r="D160" i="50"/>
  <c r="E160" i="50"/>
  <c r="F160" i="50"/>
  <c r="G160" i="50"/>
  <c r="H160" i="50"/>
  <c r="I160" i="50"/>
  <c r="J160" i="50"/>
  <c r="K160" i="50"/>
  <c r="L160" i="50"/>
  <c r="M160" i="50"/>
  <c r="N160" i="50"/>
  <c r="O160" i="50"/>
  <c r="P160" i="50"/>
  <c r="Q160" i="50"/>
  <c r="R160" i="50"/>
  <c r="S160" i="50"/>
  <c r="T160" i="50"/>
  <c r="U160" i="50"/>
  <c r="V160" i="50"/>
  <c r="W160" i="50"/>
  <c r="X160" i="50"/>
  <c r="Y160" i="50"/>
  <c r="Z160" i="50"/>
  <c r="AA160" i="50"/>
  <c r="AB160" i="50"/>
  <c r="AC160" i="50"/>
  <c r="AD160" i="50"/>
  <c r="AE160" i="50"/>
  <c r="AF160" i="50"/>
  <c r="AG160" i="50"/>
  <c r="AH160" i="50"/>
  <c r="AI160" i="50"/>
  <c r="AJ160" i="50"/>
  <c r="AK160" i="50"/>
  <c r="AL160" i="50"/>
  <c r="AM160" i="50"/>
  <c r="D161" i="50"/>
  <c r="E161" i="50"/>
  <c r="F161" i="50"/>
  <c r="G161" i="50"/>
  <c r="H161" i="50"/>
  <c r="I161" i="50"/>
  <c r="J161" i="50"/>
  <c r="K161" i="50"/>
  <c r="L161" i="50"/>
  <c r="M161" i="50"/>
  <c r="N161" i="50"/>
  <c r="O161" i="50"/>
  <c r="P161" i="50"/>
  <c r="Q161" i="50"/>
  <c r="R161" i="50"/>
  <c r="S161" i="50"/>
  <c r="T161" i="50"/>
  <c r="U161" i="50"/>
  <c r="V161" i="50"/>
  <c r="W161" i="50"/>
  <c r="X161" i="50"/>
  <c r="Y161" i="50"/>
  <c r="Z161" i="50"/>
  <c r="AA161" i="50"/>
  <c r="AB161" i="50"/>
  <c r="AC161" i="50"/>
  <c r="AD161" i="50"/>
  <c r="AE161" i="50"/>
  <c r="AF161" i="50"/>
  <c r="AG161" i="50"/>
  <c r="AH161" i="50"/>
  <c r="AI161" i="50"/>
  <c r="AJ161" i="50"/>
  <c r="AK161" i="50"/>
  <c r="AL161" i="50"/>
  <c r="AM161" i="50"/>
  <c r="D162" i="50"/>
  <c r="E162" i="50"/>
  <c r="F162" i="50"/>
  <c r="G162" i="50"/>
  <c r="H162" i="50"/>
  <c r="I162" i="50"/>
  <c r="J162" i="50"/>
  <c r="K162" i="50"/>
  <c r="L162" i="50"/>
  <c r="M162" i="50"/>
  <c r="N162" i="50"/>
  <c r="O162" i="50"/>
  <c r="P162" i="50"/>
  <c r="Q162" i="50"/>
  <c r="R162" i="50"/>
  <c r="S162" i="50"/>
  <c r="T162" i="50"/>
  <c r="U162" i="50"/>
  <c r="V162" i="50"/>
  <c r="W162" i="50"/>
  <c r="X162" i="50"/>
  <c r="Y162" i="50"/>
  <c r="Z162" i="50"/>
  <c r="AA162" i="50"/>
  <c r="AB162" i="50"/>
  <c r="AC162" i="50"/>
  <c r="AD162" i="50"/>
  <c r="AE162" i="50"/>
  <c r="AF162" i="50"/>
  <c r="AG162" i="50"/>
  <c r="AH162" i="50"/>
  <c r="AI162" i="50"/>
  <c r="AJ162" i="50"/>
  <c r="AK162" i="50"/>
  <c r="AL162" i="50"/>
  <c r="AM162" i="50"/>
  <c r="D163" i="50"/>
  <c r="E163" i="50"/>
  <c r="F163" i="50"/>
  <c r="G163" i="50"/>
  <c r="H163" i="50"/>
  <c r="I163" i="50"/>
  <c r="J163" i="50"/>
  <c r="K163" i="50"/>
  <c r="L163" i="50"/>
  <c r="M163" i="50"/>
  <c r="N163" i="50"/>
  <c r="O163" i="50"/>
  <c r="P163" i="50"/>
  <c r="Q163" i="50"/>
  <c r="R163" i="50"/>
  <c r="S163" i="50"/>
  <c r="T163" i="50"/>
  <c r="U163" i="50"/>
  <c r="V163" i="50"/>
  <c r="W163" i="50"/>
  <c r="X163" i="50"/>
  <c r="Y163" i="50"/>
  <c r="Z163" i="50"/>
  <c r="AA163" i="50"/>
  <c r="AB163" i="50"/>
  <c r="AC163" i="50"/>
  <c r="AD163" i="50"/>
  <c r="AE163" i="50"/>
  <c r="AF163" i="50"/>
  <c r="AG163" i="50"/>
  <c r="AH163" i="50"/>
  <c r="AI163" i="50"/>
  <c r="AJ163" i="50"/>
  <c r="AK163" i="50"/>
  <c r="AL163" i="50"/>
  <c r="AM163" i="50"/>
  <c r="D164" i="50"/>
  <c r="E164" i="50"/>
  <c r="F164" i="50"/>
  <c r="G164" i="50"/>
  <c r="H164" i="50"/>
  <c r="I164" i="50"/>
  <c r="J164" i="50"/>
  <c r="K164" i="50"/>
  <c r="L164" i="50"/>
  <c r="M164" i="50"/>
  <c r="N164" i="50"/>
  <c r="O164" i="50"/>
  <c r="P164" i="50"/>
  <c r="Q164" i="50"/>
  <c r="R164" i="50"/>
  <c r="S164" i="50"/>
  <c r="T164" i="50"/>
  <c r="U164" i="50"/>
  <c r="V164" i="50"/>
  <c r="W164" i="50"/>
  <c r="X164" i="50"/>
  <c r="Y164" i="50"/>
  <c r="Z164" i="50"/>
  <c r="AA164" i="50"/>
  <c r="AB164" i="50"/>
  <c r="AC164" i="50"/>
  <c r="AD164" i="50"/>
  <c r="AE164" i="50"/>
  <c r="AF164" i="50"/>
  <c r="AG164" i="50"/>
  <c r="AH164" i="50"/>
  <c r="AI164" i="50"/>
  <c r="AJ164" i="50"/>
  <c r="AK164" i="50"/>
  <c r="AL164" i="50"/>
  <c r="AM164" i="50"/>
  <c r="D165" i="50"/>
  <c r="E165" i="50"/>
  <c r="F165" i="50"/>
  <c r="G165" i="50"/>
  <c r="H165" i="50"/>
  <c r="I165" i="50"/>
  <c r="J165" i="50"/>
  <c r="K165" i="50"/>
  <c r="L165" i="50"/>
  <c r="M165" i="50"/>
  <c r="N165" i="50"/>
  <c r="O165" i="50"/>
  <c r="P165" i="50"/>
  <c r="Q165" i="50"/>
  <c r="R165" i="50"/>
  <c r="S165" i="50"/>
  <c r="T165" i="50"/>
  <c r="U165" i="50"/>
  <c r="V165" i="50"/>
  <c r="W165" i="50"/>
  <c r="X165" i="50"/>
  <c r="Y165" i="50"/>
  <c r="Z165" i="50"/>
  <c r="AA165" i="50"/>
  <c r="AB165" i="50"/>
  <c r="AC165" i="50"/>
  <c r="AD165" i="50"/>
  <c r="AE165" i="50"/>
  <c r="AF165" i="50"/>
  <c r="AG165" i="50"/>
  <c r="AH165" i="50"/>
  <c r="AI165" i="50"/>
  <c r="AJ165" i="50"/>
  <c r="AK165" i="50"/>
  <c r="AL165" i="50"/>
  <c r="AM165" i="50"/>
  <c r="D166" i="50"/>
  <c r="E166" i="50"/>
  <c r="F166" i="50"/>
  <c r="G166" i="50"/>
  <c r="H166" i="50"/>
  <c r="I166" i="50"/>
  <c r="J166" i="50"/>
  <c r="K166" i="50"/>
  <c r="L166" i="50"/>
  <c r="M166" i="50"/>
  <c r="N166" i="50"/>
  <c r="O166" i="50"/>
  <c r="P166" i="50"/>
  <c r="Q166" i="50"/>
  <c r="R166" i="50"/>
  <c r="S166" i="50"/>
  <c r="T166" i="50"/>
  <c r="U166" i="50"/>
  <c r="V166" i="50"/>
  <c r="W166" i="50"/>
  <c r="X166" i="50"/>
  <c r="Y166" i="50"/>
  <c r="Z166" i="50"/>
  <c r="AA166" i="50"/>
  <c r="AB166" i="50"/>
  <c r="AC166" i="50"/>
  <c r="AD166" i="50"/>
  <c r="AE166" i="50"/>
  <c r="AF166" i="50"/>
  <c r="AG166" i="50"/>
  <c r="AH166" i="50"/>
  <c r="AI166" i="50"/>
  <c r="AJ166" i="50"/>
  <c r="AK166" i="50"/>
  <c r="AL166" i="50"/>
  <c r="AM166" i="50"/>
  <c r="D167" i="50"/>
  <c r="E167" i="50"/>
  <c r="F167" i="50"/>
  <c r="G167" i="50"/>
  <c r="H167" i="50"/>
  <c r="I167" i="50"/>
  <c r="J167" i="50"/>
  <c r="K167" i="50"/>
  <c r="L167" i="50"/>
  <c r="M167" i="50"/>
  <c r="N167" i="50"/>
  <c r="O167" i="50"/>
  <c r="P167" i="50"/>
  <c r="Q167" i="50"/>
  <c r="R167" i="50"/>
  <c r="S167" i="50"/>
  <c r="T167" i="50"/>
  <c r="U167" i="50"/>
  <c r="V167" i="50"/>
  <c r="W167" i="50"/>
  <c r="X167" i="50"/>
  <c r="Y167" i="50"/>
  <c r="Z167" i="50"/>
  <c r="AA167" i="50"/>
  <c r="AB167" i="50"/>
  <c r="AC167" i="50"/>
  <c r="AD167" i="50"/>
  <c r="AE167" i="50"/>
  <c r="AF167" i="50"/>
  <c r="AG167" i="50"/>
  <c r="AH167" i="50"/>
  <c r="AI167" i="50"/>
  <c r="AJ167" i="50"/>
  <c r="AK167" i="50"/>
  <c r="AL167" i="50"/>
  <c r="AM167" i="50"/>
  <c r="D168" i="50"/>
  <c r="E168" i="50"/>
  <c r="F168" i="50"/>
  <c r="G168" i="50"/>
  <c r="H168" i="50"/>
  <c r="I168" i="50"/>
  <c r="J168" i="50"/>
  <c r="K168" i="50"/>
  <c r="L168" i="50"/>
  <c r="M168" i="50"/>
  <c r="N168" i="50"/>
  <c r="O168" i="50"/>
  <c r="P168" i="50"/>
  <c r="Q168" i="50"/>
  <c r="R168" i="50"/>
  <c r="S168" i="50"/>
  <c r="T168" i="50"/>
  <c r="U168" i="50"/>
  <c r="V168" i="50"/>
  <c r="W168" i="50"/>
  <c r="X168" i="50"/>
  <c r="Y168" i="50"/>
  <c r="Z168" i="50"/>
  <c r="AA168" i="50"/>
  <c r="AB168" i="50"/>
  <c r="AC168" i="50"/>
  <c r="AD168" i="50"/>
  <c r="AE168" i="50"/>
  <c r="AF168" i="50"/>
  <c r="AG168" i="50"/>
  <c r="AH168" i="50"/>
  <c r="AI168" i="50"/>
  <c r="AJ168" i="50"/>
  <c r="AK168" i="50"/>
  <c r="AL168" i="50"/>
  <c r="AM168" i="50"/>
  <c r="D169" i="50"/>
  <c r="E169" i="50"/>
  <c r="F169" i="50"/>
  <c r="G169" i="50"/>
  <c r="H169" i="50"/>
  <c r="I169" i="50"/>
  <c r="J169" i="50"/>
  <c r="K169" i="50"/>
  <c r="L169" i="50"/>
  <c r="M169" i="50"/>
  <c r="N169" i="50"/>
  <c r="O169" i="50"/>
  <c r="P169" i="50"/>
  <c r="Q169" i="50"/>
  <c r="R169" i="50"/>
  <c r="S169" i="50"/>
  <c r="T169" i="50"/>
  <c r="U169" i="50"/>
  <c r="V169" i="50"/>
  <c r="W169" i="50"/>
  <c r="X169" i="50"/>
  <c r="Y169" i="50"/>
  <c r="Z169" i="50"/>
  <c r="AA169" i="50"/>
  <c r="AB169" i="50"/>
  <c r="AC169" i="50"/>
  <c r="AD169" i="50"/>
  <c r="AE169" i="50"/>
  <c r="AF169" i="50"/>
  <c r="AG169" i="50"/>
  <c r="AH169" i="50"/>
  <c r="AI169" i="50"/>
  <c r="AJ169" i="50"/>
  <c r="AK169" i="50"/>
  <c r="AL169" i="50"/>
  <c r="AM169" i="50"/>
  <c r="D170" i="50"/>
  <c r="E170" i="50"/>
  <c r="F170" i="50"/>
  <c r="G170" i="50"/>
  <c r="H170" i="50"/>
  <c r="I170" i="50"/>
  <c r="J170" i="50"/>
  <c r="K170" i="50"/>
  <c r="L170" i="50"/>
  <c r="M170" i="50"/>
  <c r="N170" i="50"/>
  <c r="O170" i="50"/>
  <c r="P170" i="50"/>
  <c r="Q170" i="50"/>
  <c r="R170" i="50"/>
  <c r="S170" i="50"/>
  <c r="T170" i="50"/>
  <c r="U170" i="50"/>
  <c r="V170" i="50"/>
  <c r="W170" i="50"/>
  <c r="X170" i="50"/>
  <c r="Y170" i="50"/>
  <c r="Z170" i="50"/>
  <c r="AA170" i="50"/>
  <c r="AB170" i="50"/>
  <c r="AC170" i="50"/>
  <c r="AD170" i="50"/>
  <c r="AE170" i="50"/>
  <c r="AF170" i="50"/>
  <c r="AG170" i="50"/>
  <c r="AH170" i="50"/>
  <c r="AI170" i="50"/>
  <c r="AJ170" i="50"/>
  <c r="AK170" i="50"/>
  <c r="AL170" i="50"/>
  <c r="AM170" i="50"/>
  <c r="D171" i="50"/>
  <c r="E171" i="50"/>
  <c r="F171" i="50"/>
  <c r="G171" i="50"/>
  <c r="H171" i="50"/>
  <c r="I171" i="50"/>
  <c r="J171" i="50"/>
  <c r="K171" i="50"/>
  <c r="L171" i="50"/>
  <c r="M171" i="50"/>
  <c r="N171" i="50"/>
  <c r="O171" i="50"/>
  <c r="P171" i="50"/>
  <c r="Q171" i="50"/>
  <c r="R171" i="50"/>
  <c r="S171" i="50"/>
  <c r="T171" i="50"/>
  <c r="U171" i="50"/>
  <c r="V171" i="50"/>
  <c r="W171" i="50"/>
  <c r="X171" i="50"/>
  <c r="Y171" i="50"/>
  <c r="Z171" i="50"/>
  <c r="AA171" i="50"/>
  <c r="AB171" i="50"/>
  <c r="AC171" i="50"/>
  <c r="AD171" i="50"/>
  <c r="AE171" i="50"/>
  <c r="AF171" i="50"/>
  <c r="AG171" i="50"/>
  <c r="AH171" i="50"/>
  <c r="AI171" i="50"/>
  <c r="AJ171" i="50"/>
  <c r="AK171" i="50"/>
  <c r="AL171" i="50"/>
  <c r="AM171" i="50"/>
  <c r="D172" i="50"/>
  <c r="E172" i="50"/>
  <c r="F172" i="50"/>
  <c r="G172" i="50"/>
  <c r="H172" i="50"/>
  <c r="I172" i="50"/>
  <c r="J172" i="50"/>
  <c r="K172" i="50"/>
  <c r="L172" i="50"/>
  <c r="M172" i="50"/>
  <c r="N172" i="50"/>
  <c r="O172" i="50"/>
  <c r="P172" i="50"/>
  <c r="Q172" i="50"/>
  <c r="R172" i="50"/>
  <c r="S172" i="50"/>
  <c r="T172" i="50"/>
  <c r="U172" i="50"/>
  <c r="V172" i="50"/>
  <c r="W172" i="50"/>
  <c r="X172" i="50"/>
  <c r="Y172" i="50"/>
  <c r="Z172" i="50"/>
  <c r="AA172" i="50"/>
  <c r="AB172" i="50"/>
  <c r="AC172" i="50"/>
  <c r="AD172" i="50"/>
  <c r="AE172" i="50"/>
  <c r="AF172" i="50"/>
  <c r="AG172" i="50"/>
  <c r="AH172" i="50"/>
  <c r="AI172" i="50"/>
  <c r="AJ172" i="50"/>
  <c r="AK172" i="50"/>
  <c r="AL172" i="50"/>
  <c r="AM172" i="50"/>
  <c r="D173" i="50"/>
  <c r="E173" i="50"/>
  <c r="F173" i="50"/>
  <c r="G173" i="50"/>
  <c r="H173" i="50"/>
  <c r="I173" i="50"/>
  <c r="J173" i="50"/>
  <c r="K173" i="50"/>
  <c r="L173" i="50"/>
  <c r="M173" i="50"/>
  <c r="N173" i="50"/>
  <c r="O173" i="50"/>
  <c r="P173" i="50"/>
  <c r="Q173" i="50"/>
  <c r="R173" i="50"/>
  <c r="S173" i="50"/>
  <c r="T173" i="50"/>
  <c r="U173" i="50"/>
  <c r="V173" i="50"/>
  <c r="W173" i="50"/>
  <c r="X173" i="50"/>
  <c r="Y173" i="50"/>
  <c r="Z173" i="50"/>
  <c r="AA173" i="50"/>
  <c r="AB173" i="50"/>
  <c r="AC173" i="50"/>
  <c r="AD173" i="50"/>
  <c r="AE173" i="50"/>
  <c r="AF173" i="50"/>
  <c r="AG173" i="50"/>
  <c r="AH173" i="50"/>
  <c r="AI173" i="50"/>
  <c r="AJ173" i="50"/>
  <c r="AK173" i="50"/>
  <c r="AL173" i="50"/>
  <c r="AM173" i="50"/>
  <c r="D174" i="50"/>
  <c r="E174" i="50"/>
  <c r="F174" i="50"/>
  <c r="G174" i="50"/>
  <c r="H174" i="50"/>
  <c r="I174" i="50"/>
  <c r="J174" i="50"/>
  <c r="K174" i="50"/>
  <c r="L174" i="50"/>
  <c r="M174" i="50"/>
  <c r="N174" i="50"/>
  <c r="O174" i="50"/>
  <c r="P174" i="50"/>
  <c r="Q174" i="50"/>
  <c r="R174" i="50"/>
  <c r="S174" i="50"/>
  <c r="T174" i="50"/>
  <c r="U174" i="50"/>
  <c r="V174" i="50"/>
  <c r="W174" i="50"/>
  <c r="X174" i="50"/>
  <c r="Y174" i="50"/>
  <c r="Z174" i="50"/>
  <c r="AA174" i="50"/>
  <c r="AB174" i="50"/>
  <c r="AC174" i="50"/>
  <c r="AD174" i="50"/>
  <c r="AE174" i="50"/>
  <c r="AF174" i="50"/>
  <c r="AG174" i="50"/>
  <c r="AH174" i="50"/>
  <c r="AI174" i="50"/>
  <c r="AJ174" i="50"/>
  <c r="AK174" i="50"/>
  <c r="AL174" i="50"/>
  <c r="AM174" i="50"/>
  <c r="D175" i="50"/>
  <c r="E175" i="50"/>
  <c r="F175" i="50"/>
  <c r="G175" i="50"/>
  <c r="H175" i="50"/>
  <c r="I175" i="50"/>
  <c r="J175" i="50"/>
  <c r="K175" i="50"/>
  <c r="L175" i="50"/>
  <c r="M175" i="50"/>
  <c r="N175" i="50"/>
  <c r="O175" i="50"/>
  <c r="P175" i="50"/>
  <c r="Q175" i="50"/>
  <c r="R175" i="50"/>
  <c r="S175" i="50"/>
  <c r="T175" i="50"/>
  <c r="U175" i="50"/>
  <c r="V175" i="50"/>
  <c r="W175" i="50"/>
  <c r="X175" i="50"/>
  <c r="Y175" i="50"/>
  <c r="Z175" i="50"/>
  <c r="AA175" i="50"/>
  <c r="AB175" i="50"/>
  <c r="AC175" i="50"/>
  <c r="AD175" i="50"/>
  <c r="AE175" i="50"/>
  <c r="AF175" i="50"/>
  <c r="AG175" i="50"/>
  <c r="AH175" i="50"/>
  <c r="AI175" i="50"/>
  <c r="AJ175" i="50"/>
  <c r="AK175" i="50"/>
  <c r="AL175" i="50"/>
  <c r="AM175" i="50"/>
  <c r="D176" i="50"/>
  <c r="E176" i="50"/>
  <c r="F176" i="50"/>
  <c r="G176" i="50"/>
  <c r="H176" i="50"/>
  <c r="I176" i="50"/>
  <c r="J176" i="50"/>
  <c r="K176" i="50"/>
  <c r="L176" i="50"/>
  <c r="M176" i="50"/>
  <c r="N176" i="50"/>
  <c r="O176" i="50"/>
  <c r="P176" i="50"/>
  <c r="Q176" i="50"/>
  <c r="R176" i="50"/>
  <c r="S176" i="50"/>
  <c r="T176" i="50"/>
  <c r="U176" i="50"/>
  <c r="V176" i="50"/>
  <c r="W176" i="50"/>
  <c r="X176" i="50"/>
  <c r="Y176" i="50"/>
  <c r="Z176" i="50"/>
  <c r="AA176" i="50"/>
  <c r="AB176" i="50"/>
  <c r="AC176" i="50"/>
  <c r="AD176" i="50"/>
  <c r="AE176" i="50"/>
  <c r="AF176" i="50"/>
  <c r="AG176" i="50"/>
  <c r="AH176" i="50"/>
  <c r="AI176" i="50"/>
  <c r="AJ176" i="50"/>
  <c r="AK176" i="50"/>
  <c r="AL176" i="50"/>
  <c r="AM176" i="50"/>
  <c r="D177" i="50"/>
  <c r="E177" i="50"/>
  <c r="F177" i="50"/>
  <c r="G177" i="50"/>
  <c r="H177" i="50"/>
  <c r="I177" i="50"/>
  <c r="J177" i="50"/>
  <c r="K177" i="50"/>
  <c r="L177" i="50"/>
  <c r="M177" i="50"/>
  <c r="N177" i="50"/>
  <c r="O177" i="50"/>
  <c r="P177" i="50"/>
  <c r="Q177" i="50"/>
  <c r="R177" i="50"/>
  <c r="S177" i="50"/>
  <c r="T177" i="50"/>
  <c r="U177" i="50"/>
  <c r="V177" i="50"/>
  <c r="W177" i="50"/>
  <c r="X177" i="50"/>
  <c r="Y177" i="50"/>
  <c r="Z177" i="50"/>
  <c r="AA177" i="50"/>
  <c r="AB177" i="50"/>
  <c r="AC177" i="50"/>
  <c r="AD177" i="50"/>
  <c r="AE177" i="50"/>
  <c r="AF177" i="50"/>
  <c r="AG177" i="50"/>
  <c r="AH177" i="50"/>
  <c r="AI177" i="50"/>
  <c r="AJ177" i="50"/>
  <c r="AK177" i="50"/>
  <c r="AL177" i="50"/>
  <c r="AM177" i="50"/>
  <c r="D178" i="50"/>
  <c r="E178" i="50"/>
  <c r="F178" i="50"/>
  <c r="G178" i="50"/>
  <c r="H178" i="50"/>
  <c r="I178" i="50"/>
  <c r="J178" i="50"/>
  <c r="K178" i="50"/>
  <c r="L178" i="50"/>
  <c r="M178" i="50"/>
  <c r="N178" i="50"/>
  <c r="O178" i="50"/>
  <c r="P178" i="50"/>
  <c r="Q178" i="50"/>
  <c r="R178" i="50"/>
  <c r="S178" i="50"/>
  <c r="T178" i="50"/>
  <c r="U178" i="50"/>
  <c r="V178" i="50"/>
  <c r="W178" i="50"/>
  <c r="X178" i="50"/>
  <c r="Y178" i="50"/>
  <c r="Z178" i="50"/>
  <c r="AA178" i="50"/>
  <c r="AB178" i="50"/>
  <c r="AC178" i="50"/>
  <c r="AD178" i="50"/>
  <c r="AE178" i="50"/>
  <c r="AF178" i="50"/>
  <c r="AG178" i="50"/>
  <c r="AH178" i="50"/>
  <c r="AI178" i="50"/>
  <c r="AJ178" i="50"/>
  <c r="AK178" i="50"/>
  <c r="AL178" i="50"/>
  <c r="AM178" i="50"/>
  <c r="D179" i="50"/>
  <c r="E179" i="50"/>
  <c r="F179" i="50"/>
  <c r="G179" i="50"/>
  <c r="H179" i="50"/>
  <c r="I179" i="50"/>
  <c r="J179" i="50"/>
  <c r="K179" i="50"/>
  <c r="L179" i="50"/>
  <c r="M179" i="50"/>
  <c r="N179" i="50"/>
  <c r="O179" i="50"/>
  <c r="P179" i="50"/>
  <c r="Q179" i="50"/>
  <c r="R179" i="50"/>
  <c r="S179" i="50"/>
  <c r="T179" i="50"/>
  <c r="U179" i="50"/>
  <c r="V179" i="50"/>
  <c r="W179" i="50"/>
  <c r="X179" i="50"/>
  <c r="Y179" i="50"/>
  <c r="Z179" i="50"/>
  <c r="AA179" i="50"/>
  <c r="AB179" i="50"/>
  <c r="AC179" i="50"/>
  <c r="AD179" i="50"/>
  <c r="AE179" i="50"/>
  <c r="AF179" i="50"/>
  <c r="AG179" i="50"/>
  <c r="AH179" i="50"/>
  <c r="AI179" i="50"/>
  <c r="AJ179" i="50"/>
  <c r="AK179" i="50"/>
  <c r="AL179" i="50"/>
  <c r="AM179" i="50"/>
  <c r="D180" i="50"/>
  <c r="E180" i="50"/>
  <c r="F180" i="50"/>
  <c r="G180" i="50"/>
  <c r="H180" i="50"/>
  <c r="I180" i="50"/>
  <c r="J180" i="50"/>
  <c r="K180" i="50"/>
  <c r="L180" i="50"/>
  <c r="M180" i="50"/>
  <c r="N180" i="50"/>
  <c r="O180" i="50"/>
  <c r="P180" i="50"/>
  <c r="Q180" i="50"/>
  <c r="R180" i="50"/>
  <c r="S180" i="50"/>
  <c r="T180" i="50"/>
  <c r="U180" i="50"/>
  <c r="V180" i="50"/>
  <c r="W180" i="50"/>
  <c r="X180" i="50"/>
  <c r="Y180" i="50"/>
  <c r="Z180" i="50"/>
  <c r="AA180" i="50"/>
  <c r="AB180" i="50"/>
  <c r="AC180" i="50"/>
  <c r="AD180" i="50"/>
  <c r="AE180" i="50"/>
  <c r="AF180" i="50"/>
  <c r="AG180" i="50"/>
  <c r="AH180" i="50"/>
  <c r="AI180" i="50"/>
  <c r="AJ180" i="50"/>
  <c r="AK180" i="50"/>
  <c r="AL180" i="50"/>
  <c r="AM180" i="50"/>
  <c r="D181" i="50"/>
  <c r="E181" i="50"/>
  <c r="F181" i="50"/>
  <c r="G181" i="50"/>
  <c r="H181" i="50"/>
  <c r="I181" i="50"/>
  <c r="J181" i="50"/>
  <c r="K181" i="50"/>
  <c r="L181" i="50"/>
  <c r="M181" i="50"/>
  <c r="N181" i="50"/>
  <c r="O181" i="50"/>
  <c r="P181" i="50"/>
  <c r="Q181" i="50"/>
  <c r="R181" i="50"/>
  <c r="S181" i="50"/>
  <c r="T181" i="50"/>
  <c r="U181" i="50"/>
  <c r="V181" i="50"/>
  <c r="W181" i="50"/>
  <c r="X181" i="50"/>
  <c r="Y181" i="50"/>
  <c r="Z181" i="50"/>
  <c r="AA181" i="50"/>
  <c r="AB181" i="50"/>
  <c r="AC181" i="50"/>
  <c r="AD181" i="50"/>
  <c r="AE181" i="50"/>
  <c r="AF181" i="50"/>
  <c r="AG181" i="50"/>
  <c r="AH181" i="50"/>
  <c r="AI181" i="50"/>
  <c r="AJ181" i="50"/>
  <c r="AK181" i="50"/>
  <c r="AL181" i="50"/>
  <c r="AM181" i="50"/>
  <c r="D182" i="50"/>
  <c r="E182" i="50"/>
  <c r="F182" i="50"/>
  <c r="G182" i="50"/>
  <c r="H182" i="50"/>
  <c r="I182" i="50"/>
  <c r="J182" i="50"/>
  <c r="K182" i="50"/>
  <c r="L182" i="50"/>
  <c r="M182" i="50"/>
  <c r="N182" i="50"/>
  <c r="O182" i="50"/>
  <c r="P182" i="50"/>
  <c r="Q182" i="50"/>
  <c r="R182" i="50"/>
  <c r="S182" i="50"/>
  <c r="T182" i="50"/>
  <c r="U182" i="50"/>
  <c r="V182" i="50"/>
  <c r="W182" i="50"/>
  <c r="X182" i="50"/>
  <c r="Y182" i="50"/>
  <c r="Z182" i="50"/>
  <c r="AA182" i="50"/>
  <c r="AB182" i="50"/>
  <c r="AC182" i="50"/>
  <c r="AD182" i="50"/>
  <c r="AE182" i="50"/>
  <c r="AF182" i="50"/>
  <c r="AG182" i="50"/>
  <c r="AH182" i="50"/>
  <c r="AI182" i="50"/>
  <c r="AJ182" i="50"/>
  <c r="AK182" i="50"/>
  <c r="AL182" i="50"/>
  <c r="AM182" i="50"/>
  <c r="D183" i="50"/>
  <c r="E183" i="50"/>
  <c r="F183" i="50"/>
  <c r="G183" i="50"/>
  <c r="H183" i="50"/>
  <c r="I183" i="50"/>
  <c r="J183" i="50"/>
  <c r="K183" i="50"/>
  <c r="L183" i="50"/>
  <c r="M183" i="50"/>
  <c r="N183" i="50"/>
  <c r="O183" i="50"/>
  <c r="P183" i="50"/>
  <c r="Q183" i="50"/>
  <c r="R183" i="50"/>
  <c r="S183" i="50"/>
  <c r="T183" i="50"/>
  <c r="U183" i="50"/>
  <c r="V183" i="50"/>
  <c r="W183" i="50"/>
  <c r="X183" i="50"/>
  <c r="Y183" i="50"/>
  <c r="Z183" i="50"/>
  <c r="AA183" i="50"/>
  <c r="AB183" i="50"/>
  <c r="AC183" i="50"/>
  <c r="AD183" i="50"/>
  <c r="AE183" i="50"/>
  <c r="AF183" i="50"/>
  <c r="AG183" i="50"/>
  <c r="AH183" i="50"/>
  <c r="AI183" i="50"/>
  <c r="AJ183" i="50"/>
  <c r="AK183" i="50"/>
  <c r="AL183" i="50"/>
  <c r="AM183" i="50"/>
  <c r="D184" i="50"/>
  <c r="E184" i="50"/>
  <c r="F184" i="50"/>
  <c r="G184" i="50"/>
  <c r="H184" i="50"/>
  <c r="I184" i="50"/>
  <c r="J184" i="50"/>
  <c r="K184" i="50"/>
  <c r="L184" i="50"/>
  <c r="M184" i="50"/>
  <c r="N184" i="50"/>
  <c r="O184" i="50"/>
  <c r="P184" i="50"/>
  <c r="Q184" i="50"/>
  <c r="R184" i="50"/>
  <c r="S184" i="50"/>
  <c r="T184" i="50"/>
  <c r="U184" i="50"/>
  <c r="V184" i="50"/>
  <c r="W184" i="50"/>
  <c r="X184" i="50"/>
  <c r="Y184" i="50"/>
  <c r="Z184" i="50"/>
  <c r="AA184" i="50"/>
  <c r="AB184" i="50"/>
  <c r="AC184" i="50"/>
  <c r="AD184" i="50"/>
  <c r="AE184" i="50"/>
  <c r="AF184" i="50"/>
  <c r="AG184" i="50"/>
  <c r="AH184" i="50"/>
  <c r="AI184" i="50"/>
  <c r="AJ184" i="50"/>
  <c r="AK184" i="50"/>
  <c r="AL184" i="50"/>
  <c r="AM184" i="50"/>
  <c r="D185" i="50"/>
  <c r="E185" i="50"/>
  <c r="F185" i="50"/>
  <c r="G185" i="50"/>
  <c r="H185" i="50"/>
  <c r="I185" i="50"/>
  <c r="J185" i="50"/>
  <c r="K185" i="50"/>
  <c r="L185" i="50"/>
  <c r="M185" i="50"/>
  <c r="N185" i="50"/>
  <c r="O185" i="50"/>
  <c r="P185" i="50"/>
  <c r="Q185" i="50"/>
  <c r="R185" i="50"/>
  <c r="S185" i="50"/>
  <c r="T185" i="50"/>
  <c r="U185" i="50"/>
  <c r="V185" i="50"/>
  <c r="W185" i="50"/>
  <c r="X185" i="50"/>
  <c r="Y185" i="50"/>
  <c r="Z185" i="50"/>
  <c r="AA185" i="50"/>
  <c r="AB185" i="50"/>
  <c r="AC185" i="50"/>
  <c r="AD185" i="50"/>
  <c r="AE185" i="50"/>
  <c r="AF185" i="50"/>
  <c r="AG185" i="50"/>
  <c r="AH185" i="50"/>
  <c r="AI185" i="50"/>
  <c r="AJ185" i="50"/>
  <c r="AK185" i="50"/>
  <c r="AL185" i="50"/>
  <c r="AM185" i="50"/>
  <c r="D186" i="50"/>
  <c r="E186" i="50"/>
  <c r="F186" i="50"/>
  <c r="G186" i="50"/>
  <c r="H186" i="50"/>
  <c r="I186" i="50"/>
  <c r="J186" i="50"/>
  <c r="K186" i="50"/>
  <c r="L186" i="50"/>
  <c r="M186" i="50"/>
  <c r="N186" i="50"/>
  <c r="O186" i="50"/>
  <c r="P186" i="50"/>
  <c r="Q186" i="50"/>
  <c r="R186" i="50"/>
  <c r="S186" i="50"/>
  <c r="T186" i="50"/>
  <c r="U186" i="50"/>
  <c r="V186" i="50"/>
  <c r="W186" i="50"/>
  <c r="X186" i="50"/>
  <c r="Y186" i="50"/>
  <c r="Z186" i="50"/>
  <c r="AA186" i="50"/>
  <c r="AB186" i="50"/>
  <c r="AC186" i="50"/>
  <c r="AD186" i="50"/>
  <c r="AE186" i="50"/>
  <c r="AF186" i="50"/>
  <c r="AG186" i="50"/>
  <c r="AH186" i="50"/>
  <c r="AI186" i="50"/>
  <c r="AJ186" i="50"/>
  <c r="AK186" i="50"/>
  <c r="AL186" i="50"/>
  <c r="AM186" i="50"/>
  <c r="D187" i="50"/>
  <c r="E187" i="50"/>
  <c r="F187" i="50"/>
  <c r="G187" i="50"/>
  <c r="H187" i="50"/>
  <c r="I187" i="50"/>
  <c r="J187" i="50"/>
  <c r="K187" i="50"/>
  <c r="L187" i="50"/>
  <c r="M187" i="50"/>
  <c r="N187" i="50"/>
  <c r="O187" i="50"/>
  <c r="P187" i="50"/>
  <c r="Q187" i="50"/>
  <c r="R187" i="50"/>
  <c r="S187" i="50"/>
  <c r="T187" i="50"/>
  <c r="U187" i="50"/>
  <c r="V187" i="50"/>
  <c r="W187" i="50"/>
  <c r="X187" i="50"/>
  <c r="Y187" i="50"/>
  <c r="Z187" i="50"/>
  <c r="AA187" i="50"/>
  <c r="AB187" i="50"/>
  <c r="AC187" i="50"/>
  <c r="AD187" i="50"/>
  <c r="AE187" i="50"/>
  <c r="AF187" i="50"/>
  <c r="AG187" i="50"/>
  <c r="AH187" i="50"/>
  <c r="AI187" i="50"/>
  <c r="AJ187" i="50"/>
  <c r="AK187" i="50"/>
  <c r="AL187" i="50"/>
  <c r="AM187" i="50"/>
  <c r="D188" i="50"/>
  <c r="E188" i="50"/>
  <c r="F188" i="50"/>
  <c r="G188" i="50"/>
  <c r="H188" i="50"/>
  <c r="I188" i="50"/>
  <c r="J188" i="50"/>
  <c r="K188" i="50"/>
  <c r="L188" i="50"/>
  <c r="M188" i="50"/>
  <c r="N188" i="50"/>
  <c r="O188" i="50"/>
  <c r="P188" i="50"/>
  <c r="Q188" i="50"/>
  <c r="R188" i="50"/>
  <c r="S188" i="50"/>
  <c r="T188" i="50"/>
  <c r="U188" i="50"/>
  <c r="V188" i="50"/>
  <c r="W188" i="50"/>
  <c r="X188" i="50"/>
  <c r="Y188" i="50"/>
  <c r="Z188" i="50"/>
  <c r="AA188" i="50"/>
  <c r="AB188" i="50"/>
  <c r="AC188" i="50"/>
  <c r="AD188" i="50"/>
  <c r="AE188" i="50"/>
  <c r="AF188" i="50"/>
  <c r="AG188" i="50"/>
  <c r="AH188" i="50"/>
  <c r="AI188" i="50"/>
  <c r="AJ188" i="50"/>
  <c r="AK188" i="50"/>
  <c r="AL188" i="50"/>
  <c r="AM188" i="50"/>
  <c r="D189" i="50"/>
  <c r="E189" i="50"/>
  <c r="F189" i="50"/>
  <c r="G189" i="50"/>
  <c r="H189" i="50"/>
  <c r="I189" i="50"/>
  <c r="J189" i="50"/>
  <c r="K189" i="50"/>
  <c r="L189" i="50"/>
  <c r="M189" i="50"/>
  <c r="N189" i="50"/>
  <c r="O189" i="50"/>
  <c r="P189" i="50"/>
  <c r="Q189" i="50"/>
  <c r="R189" i="50"/>
  <c r="S189" i="50"/>
  <c r="T189" i="50"/>
  <c r="U189" i="50"/>
  <c r="V189" i="50"/>
  <c r="W189" i="50"/>
  <c r="X189" i="50"/>
  <c r="Y189" i="50"/>
  <c r="Z189" i="50"/>
  <c r="AA189" i="50"/>
  <c r="AB189" i="50"/>
  <c r="AC189" i="50"/>
  <c r="AD189" i="50"/>
  <c r="AE189" i="50"/>
  <c r="AF189" i="50"/>
  <c r="AG189" i="50"/>
  <c r="AH189" i="50"/>
  <c r="AI189" i="50"/>
  <c r="AJ189" i="50"/>
  <c r="AK189" i="50"/>
  <c r="AL189" i="50"/>
  <c r="AM189" i="50"/>
  <c r="D190" i="50"/>
  <c r="E190" i="50"/>
  <c r="F190" i="50"/>
  <c r="G190" i="50"/>
  <c r="H190" i="50"/>
  <c r="I190" i="50"/>
  <c r="J190" i="50"/>
  <c r="K190" i="50"/>
  <c r="L190" i="50"/>
  <c r="M190" i="50"/>
  <c r="N190" i="50"/>
  <c r="O190" i="50"/>
  <c r="P190" i="50"/>
  <c r="Q190" i="50"/>
  <c r="R190" i="50"/>
  <c r="S190" i="50"/>
  <c r="T190" i="50"/>
  <c r="U190" i="50"/>
  <c r="V190" i="50"/>
  <c r="W190" i="50"/>
  <c r="X190" i="50"/>
  <c r="Y190" i="50"/>
  <c r="Z190" i="50"/>
  <c r="AA190" i="50"/>
  <c r="AB190" i="50"/>
  <c r="AC190" i="50"/>
  <c r="AD190" i="50"/>
  <c r="AE190" i="50"/>
  <c r="AF190" i="50"/>
  <c r="AG190" i="50"/>
  <c r="AH190" i="50"/>
  <c r="AI190" i="50"/>
  <c r="AJ190" i="50"/>
  <c r="AK190" i="50"/>
  <c r="AL190" i="50"/>
  <c r="AM190" i="50"/>
  <c r="D191" i="50"/>
  <c r="E191" i="50"/>
  <c r="F191" i="50"/>
  <c r="G191" i="50"/>
  <c r="H191" i="50"/>
  <c r="I191" i="50"/>
  <c r="J191" i="50"/>
  <c r="K191" i="50"/>
  <c r="L191" i="50"/>
  <c r="M191" i="50"/>
  <c r="N191" i="50"/>
  <c r="O191" i="50"/>
  <c r="P191" i="50"/>
  <c r="Q191" i="50"/>
  <c r="R191" i="50"/>
  <c r="S191" i="50"/>
  <c r="T191" i="50"/>
  <c r="U191" i="50"/>
  <c r="V191" i="50"/>
  <c r="W191" i="50"/>
  <c r="X191" i="50"/>
  <c r="Y191" i="50"/>
  <c r="Z191" i="50"/>
  <c r="AA191" i="50"/>
  <c r="AB191" i="50"/>
  <c r="AC191" i="50"/>
  <c r="AD191" i="50"/>
  <c r="AE191" i="50"/>
  <c r="AF191" i="50"/>
  <c r="AG191" i="50"/>
  <c r="AH191" i="50"/>
  <c r="AI191" i="50"/>
  <c r="AJ191" i="50"/>
  <c r="AK191" i="50"/>
  <c r="AL191" i="50"/>
  <c r="AM191" i="50"/>
  <c r="D192" i="50"/>
  <c r="E192" i="50"/>
  <c r="F192" i="50"/>
  <c r="G192" i="50"/>
  <c r="H192" i="50"/>
  <c r="I192" i="50"/>
  <c r="J192" i="50"/>
  <c r="K192" i="50"/>
  <c r="L192" i="50"/>
  <c r="M192" i="50"/>
  <c r="N192" i="50"/>
  <c r="O192" i="50"/>
  <c r="P192" i="50"/>
  <c r="Q192" i="50"/>
  <c r="R192" i="50"/>
  <c r="S192" i="50"/>
  <c r="T192" i="50"/>
  <c r="U192" i="50"/>
  <c r="V192" i="50"/>
  <c r="W192" i="50"/>
  <c r="X192" i="50"/>
  <c r="Y192" i="50"/>
  <c r="Z192" i="50"/>
  <c r="AA192" i="50"/>
  <c r="AB192" i="50"/>
  <c r="AC192" i="50"/>
  <c r="AD192" i="50"/>
  <c r="AE192" i="50"/>
  <c r="AF192" i="50"/>
  <c r="AG192" i="50"/>
  <c r="AH192" i="50"/>
  <c r="AI192" i="50"/>
  <c r="AJ192" i="50"/>
  <c r="AK192" i="50"/>
  <c r="AL192" i="50"/>
  <c r="AM192" i="50"/>
  <c r="D193" i="50"/>
  <c r="E193" i="50"/>
  <c r="F193" i="50"/>
  <c r="G193" i="50"/>
  <c r="H193" i="50"/>
  <c r="I193" i="50"/>
  <c r="J193" i="50"/>
  <c r="K193" i="50"/>
  <c r="L193" i="50"/>
  <c r="M193" i="50"/>
  <c r="N193" i="50"/>
  <c r="O193" i="50"/>
  <c r="P193" i="50"/>
  <c r="Q193" i="50"/>
  <c r="R193" i="50"/>
  <c r="S193" i="50"/>
  <c r="T193" i="50"/>
  <c r="U193" i="50"/>
  <c r="V193" i="50"/>
  <c r="W193" i="50"/>
  <c r="X193" i="50"/>
  <c r="Y193" i="50"/>
  <c r="Z193" i="50"/>
  <c r="AA193" i="50"/>
  <c r="AB193" i="50"/>
  <c r="AC193" i="50"/>
  <c r="AD193" i="50"/>
  <c r="AE193" i="50"/>
  <c r="AF193" i="50"/>
  <c r="AG193" i="50"/>
  <c r="AH193" i="50"/>
  <c r="AI193" i="50"/>
  <c r="AJ193" i="50"/>
  <c r="AK193" i="50"/>
  <c r="AL193" i="50"/>
  <c r="AM193" i="50"/>
  <c r="D194" i="50"/>
  <c r="E194" i="50"/>
  <c r="F194" i="50"/>
  <c r="G194" i="50"/>
  <c r="H194" i="50"/>
  <c r="I194" i="50"/>
  <c r="J194" i="50"/>
  <c r="K194" i="50"/>
  <c r="L194" i="50"/>
  <c r="M194" i="50"/>
  <c r="N194" i="50"/>
  <c r="O194" i="50"/>
  <c r="P194" i="50"/>
  <c r="Q194" i="50"/>
  <c r="R194" i="50"/>
  <c r="S194" i="50"/>
  <c r="T194" i="50"/>
  <c r="U194" i="50"/>
  <c r="V194" i="50"/>
  <c r="W194" i="50"/>
  <c r="X194" i="50"/>
  <c r="Y194" i="50"/>
  <c r="Z194" i="50"/>
  <c r="AA194" i="50"/>
  <c r="AB194" i="50"/>
  <c r="AC194" i="50"/>
  <c r="AD194" i="50"/>
  <c r="AE194" i="50"/>
  <c r="AF194" i="50"/>
  <c r="AG194" i="50"/>
  <c r="AH194" i="50"/>
  <c r="AI194" i="50"/>
  <c r="AJ194" i="50"/>
  <c r="AK194" i="50"/>
  <c r="AL194" i="50"/>
  <c r="AM194" i="50"/>
  <c r="D195" i="50"/>
  <c r="E195" i="50"/>
  <c r="F195" i="50"/>
  <c r="G195" i="50"/>
  <c r="H195" i="50"/>
  <c r="I195" i="50"/>
  <c r="J195" i="50"/>
  <c r="K195" i="50"/>
  <c r="L195" i="50"/>
  <c r="M195" i="50"/>
  <c r="N195" i="50"/>
  <c r="O195" i="50"/>
  <c r="P195" i="50"/>
  <c r="Q195" i="50"/>
  <c r="R195" i="50"/>
  <c r="S195" i="50"/>
  <c r="T195" i="50"/>
  <c r="U195" i="50"/>
  <c r="V195" i="50"/>
  <c r="W195" i="50"/>
  <c r="X195" i="50"/>
  <c r="Y195" i="50"/>
  <c r="Z195" i="50"/>
  <c r="AA195" i="50"/>
  <c r="AB195" i="50"/>
  <c r="AC195" i="50"/>
  <c r="AD195" i="50"/>
  <c r="AE195" i="50"/>
  <c r="AF195" i="50"/>
  <c r="AG195" i="50"/>
  <c r="AH195" i="50"/>
  <c r="AI195" i="50"/>
  <c r="AJ195" i="50"/>
  <c r="AK195" i="50"/>
  <c r="AL195" i="50"/>
  <c r="AM195" i="50"/>
  <c r="D196" i="50"/>
  <c r="E196" i="50"/>
  <c r="F196" i="50"/>
  <c r="G196" i="50"/>
  <c r="H196" i="50"/>
  <c r="I196" i="50"/>
  <c r="J196" i="50"/>
  <c r="K196" i="50"/>
  <c r="L196" i="50"/>
  <c r="M196" i="50"/>
  <c r="N196" i="50"/>
  <c r="O196" i="50"/>
  <c r="P196" i="50"/>
  <c r="Q196" i="50"/>
  <c r="R196" i="50"/>
  <c r="S196" i="50"/>
  <c r="T196" i="50"/>
  <c r="U196" i="50"/>
  <c r="V196" i="50"/>
  <c r="W196" i="50"/>
  <c r="X196" i="50"/>
  <c r="Y196" i="50"/>
  <c r="Z196" i="50"/>
  <c r="AA196" i="50"/>
  <c r="AB196" i="50"/>
  <c r="AC196" i="50"/>
  <c r="AD196" i="50"/>
  <c r="AE196" i="50"/>
  <c r="AF196" i="50"/>
  <c r="AG196" i="50"/>
  <c r="AH196" i="50"/>
  <c r="AI196" i="50"/>
  <c r="AJ196" i="50"/>
  <c r="AK196" i="50"/>
  <c r="AL196" i="50"/>
  <c r="AM196" i="50"/>
  <c r="D197" i="50"/>
  <c r="E197" i="50"/>
  <c r="F197" i="50"/>
  <c r="G197" i="50"/>
  <c r="H197" i="50"/>
  <c r="I197" i="50"/>
  <c r="J197" i="50"/>
  <c r="K197" i="50"/>
  <c r="L197" i="50"/>
  <c r="M197" i="50"/>
  <c r="N197" i="50"/>
  <c r="O197" i="50"/>
  <c r="P197" i="50"/>
  <c r="Q197" i="50"/>
  <c r="R197" i="50"/>
  <c r="S197" i="50"/>
  <c r="T197" i="50"/>
  <c r="U197" i="50"/>
  <c r="V197" i="50"/>
  <c r="W197" i="50"/>
  <c r="X197" i="50"/>
  <c r="Y197" i="50"/>
  <c r="Z197" i="50"/>
  <c r="AA197" i="50"/>
  <c r="AB197" i="50"/>
  <c r="AC197" i="50"/>
  <c r="AD197" i="50"/>
  <c r="AE197" i="50"/>
  <c r="AF197" i="50"/>
  <c r="AG197" i="50"/>
  <c r="AH197" i="50"/>
  <c r="AI197" i="50"/>
  <c r="AJ197" i="50"/>
  <c r="AK197" i="50"/>
  <c r="AL197" i="50"/>
  <c r="AM197" i="50"/>
  <c r="D198" i="50"/>
  <c r="E198" i="50"/>
  <c r="F198" i="50"/>
  <c r="G198" i="50"/>
  <c r="H198" i="50"/>
  <c r="I198" i="50"/>
  <c r="J198" i="50"/>
  <c r="K198" i="50"/>
  <c r="L198" i="50"/>
  <c r="M198" i="50"/>
  <c r="N198" i="50"/>
  <c r="O198" i="50"/>
  <c r="P198" i="50"/>
  <c r="Q198" i="50"/>
  <c r="R198" i="50"/>
  <c r="S198" i="50"/>
  <c r="T198" i="50"/>
  <c r="U198" i="50"/>
  <c r="V198" i="50"/>
  <c r="W198" i="50"/>
  <c r="X198" i="50"/>
  <c r="Y198" i="50"/>
  <c r="Z198" i="50"/>
  <c r="AA198" i="50"/>
  <c r="AB198" i="50"/>
  <c r="AC198" i="50"/>
  <c r="AD198" i="50"/>
  <c r="AE198" i="50"/>
  <c r="AF198" i="50"/>
  <c r="AG198" i="50"/>
  <c r="AH198" i="50"/>
  <c r="AI198" i="50"/>
  <c r="AJ198" i="50"/>
  <c r="AK198" i="50"/>
  <c r="AL198" i="50"/>
  <c r="AM198" i="50"/>
  <c r="D199" i="50"/>
  <c r="E199" i="50"/>
  <c r="F199" i="50"/>
  <c r="G199" i="50"/>
  <c r="H199" i="50"/>
  <c r="I199" i="50"/>
  <c r="J199" i="50"/>
  <c r="K199" i="50"/>
  <c r="L199" i="50"/>
  <c r="M199" i="50"/>
  <c r="N199" i="50"/>
  <c r="O199" i="50"/>
  <c r="P199" i="50"/>
  <c r="Q199" i="50"/>
  <c r="R199" i="50"/>
  <c r="S199" i="50"/>
  <c r="T199" i="50"/>
  <c r="U199" i="50"/>
  <c r="V199" i="50"/>
  <c r="W199" i="50"/>
  <c r="X199" i="50"/>
  <c r="Y199" i="50"/>
  <c r="Z199" i="50"/>
  <c r="AA199" i="50"/>
  <c r="AB199" i="50"/>
  <c r="AC199" i="50"/>
  <c r="AD199" i="50"/>
  <c r="AE199" i="50"/>
  <c r="AF199" i="50"/>
  <c r="AG199" i="50"/>
  <c r="AH199" i="50"/>
  <c r="AI199" i="50"/>
  <c r="AJ199" i="50"/>
  <c r="AK199" i="50"/>
  <c r="AL199" i="50"/>
  <c r="AM199" i="50"/>
  <c r="D200" i="50"/>
  <c r="E200" i="50"/>
  <c r="F200" i="50"/>
  <c r="G200" i="50"/>
  <c r="H200" i="50"/>
  <c r="I200" i="50"/>
  <c r="J200" i="50"/>
  <c r="K200" i="50"/>
  <c r="L200" i="50"/>
  <c r="M200" i="50"/>
  <c r="N200" i="50"/>
  <c r="O200" i="50"/>
  <c r="P200" i="50"/>
  <c r="Q200" i="50"/>
  <c r="R200" i="50"/>
  <c r="S200" i="50"/>
  <c r="T200" i="50"/>
  <c r="U200" i="50"/>
  <c r="V200" i="50"/>
  <c r="W200" i="50"/>
  <c r="X200" i="50"/>
  <c r="Y200" i="50"/>
  <c r="Z200" i="50"/>
  <c r="AA200" i="50"/>
  <c r="AB200" i="50"/>
  <c r="AC200" i="50"/>
  <c r="AD200" i="50"/>
  <c r="AE200" i="50"/>
  <c r="AF200" i="50"/>
  <c r="AG200" i="50"/>
  <c r="AH200" i="50"/>
  <c r="AI200" i="50"/>
  <c r="AJ200" i="50"/>
  <c r="AK200" i="50"/>
  <c r="AL200" i="50"/>
  <c r="AM200" i="50"/>
  <c r="D201" i="50"/>
  <c r="E201" i="50"/>
  <c r="F201" i="50"/>
  <c r="G201" i="50"/>
  <c r="H201" i="50"/>
  <c r="I201" i="50"/>
  <c r="J201" i="50"/>
  <c r="K201" i="50"/>
  <c r="L201" i="50"/>
  <c r="M201" i="50"/>
  <c r="N201" i="50"/>
  <c r="O201" i="50"/>
  <c r="P201" i="50"/>
  <c r="Q201" i="50"/>
  <c r="R201" i="50"/>
  <c r="S201" i="50"/>
  <c r="T201" i="50"/>
  <c r="U201" i="50"/>
  <c r="V201" i="50"/>
  <c r="W201" i="50"/>
  <c r="X201" i="50"/>
  <c r="Y201" i="50"/>
  <c r="Z201" i="50"/>
  <c r="AA201" i="50"/>
  <c r="AB201" i="50"/>
  <c r="AC201" i="50"/>
  <c r="AD201" i="50"/>
  <c r="AE201" i="50"/>
  <c r="AF201" i="50"/>
  <c r="AG201" i="50"/>
  <c r="AH201" i="50"/>
  <c r="AI201" i="50"/>
  <c r="AJ201" i="50"/>
  <c r="AK201" i="50"/>
  <c r="AL201" i="50"/>
  <c r="AM201" i="50"/>
  <c r="D202" i="50"/>
  <c r="E202" i="50"/>
  <c r="F202" i="50"/>
  <c r="G202" i="50"/>
  <c r="H202" i="50"/>
  <c r="I202" i="50"/>
  <c r="J202" i="50"/>
  <c r="K202" i="50"/>
  <c r="L202" i="50"/>
  <c r="M202" i="50"/>
  <c r="N202" i="50"/>
  <c r="O202" i="50"/>
  <c r="P202" i="50"/>
  <c r="Q202" i="50"/>
  <c r="R202" i="50"/>
  <c r="S202" i="50"/>
  <c r="T202" i="50"/>
  <c r="U202" i="50"/>
  <c r="V202" i="50"/>
  <c r="W202" i="50"/>
  <c r="X202" i="50"/>
  <c r="Y202" i="50"/>
  <c r="Z202" i="50"/>
  <c r="AA202" i="50"/>
  <c r="AB202" i="50"/>
  <c r="AC202" i="50"/>
  <c r="AD202" i="50"/>
  <c r="AE202" i="50"/>
  <c r="AF202" i="50"/>
  <c r="AG202" i="50"/>
  <c r="AH202" i="50"/>
  <c r="AI202" i="50"/>
  <c r="AJ202" i="50"/>
  <c r="AK202" i="50"/>
  <c r="AL202" i="50"/>
  <c r="AM202" i="50"/>
  <c r="D203" i="50"/>
  <c r="E203" i="50"/>
  <c r="F203" i="50"/>
  <c r="G203" i="50"/>
  <c r="H203" i="50"/>
  <c r="I203" i="50"/>
  <c r="J203" i="50"/>
  <c r="K203" i="50"/>
  <c r="L203" i="50"/>
  <c r="M203" i="50"/>
  <c r="N203" i="50"/>
  <c r="O203" i="50"/>
  <c r="P203" i="50"/>
  <c r="Q203" i="50"/>
  <c r="R203" i="50"/>
  <c r="S203" i="50"/>
  <c r="T203" i="50"/>
  <c r="U203" i="50"/>
  <c r="V203" i="50"/>
  <c r="W203" i="50"/>
  <c r="X203" i="50"/>
  <c r="Y203" i="50"/>
  <c r="Z203" i="50"/>
  <c r="AA203" i="50"/>
  <c r="AB203" i="50"/>
  <c r="AC203" i="50"/>
  <c r="AD203" i="50"/>
  <c r="AE203" i="50"/>
  <c r="AF203" i="50"/>
  <c r="AG203" i="50"/>
  <c r="AH203" i="50"/>
  <c r="AI203" i="50"/>
  <c r="AJ203" i="50"/>
  <c r="AK203" i="50"/>
  <c r="AL203" i="50"/>
  <c r="AM203" i="50"/>
  <c r="D205" i="50"/>
  <c r="E205" i="50"/>
  <c r="F205" i="50"/>
  <c r="G205" i="50"/>
  <c r="H205" i="50"/>
  <c r="I205" i="50"/>
  <c r="J205" i="50"/>
  <c r="K205" i="50"/>
  <c r="L205" i="50"/>
  <c r="M205" i="50"/>
  <c r="N205" i="50"/>
  <c r="O205" i="50"/>
  <c r="P205" i="50"/>
  <c r="Q205" i="50"/>
  <c r="R205" i="50"/>
  <c r="S205" i="50"/>
  <c r="T205" i="50"/>
  <c r="U205" i="50"/>
  <c r="V205" i="50"/>
  <c r="W205" i="50"/>
  <c r="X205" i="50"/>
  <c r="Y205" i="50"/>
  <c r="Z205" i="50"/>
  <c r="AA205" i="50"/>
  <c r="AB205" i="50"/>
  <c r="AC205" i="50"/>
  <c r="AD205" i="50"/>
  <c r="AE205" i="50"/>
  <c r="AF205" i="50"/>
  <c r="AG205" i="50"/>
  <c r="AH205" i="50"/>
  <c r="AI205" i="50"/>
  <c r="AJ205" i="50"/>
  <c r="AK205" i="50"/>
  <c r="AL205" i="50"/>
  <c r="AM205" i="50"/>
  <c r="D207" i="50"/>
  <c r="E207" i="50"/>
  <c r="F207" i="50"/>
  <c r="G207" i="50"/>
  <c r="H207" i="50"/>
  <c r="I207" i="50"/>
  <c r="J207" i="50"/>
  <c r="K207" i="50"/>
  <c r="L207" i="50"/>
  <c r="M207" i="50"/>
  <c r="N207" i="50"/>
  <c r="O207" i="50"/>
  <c r="P207" i="50"/>
  <c r="Q207" i="50"/>
  <c r="R207" i="50"/>
  <c r="S207" i="50"/>
  <c r="T207" i="50"/>
  <c r="U207" i="50"/>
  <c r="V207" i="50"/>
  <c r="W207" i="50"/>
  <c r="X207" i="50"/>
  <c r="Y207" i="50"/>
  <c r="Z207" i="50"/>
  <c r="AA207" i="50"/>
  <c r="AB207" i="50"/>
  <c r="AC207" i="50"/>
  <c r="AD207" i="50"/>
  <c r="AE207" i="50"/>
  <c r="AF207" i="50"/>
  <c r="AG207" i="50"/>
  <c r="AH207" i="50"/>
  <c r="AI207" i="50"/>
  <c r="AJ207" i="50"/>
  <c r="AK207" i="50"/>
  <c r="AL207" i="50"/>
  <c r="AM207" i="50"/>
  <c r="D209" i="50"/>
  <c r="E209" i="50"/>
  <c r="F209" i="50"/>
  <c r="G209" i="50"/>
  <c r="H209" i="50"/>
  <c r="I209" i="50"/>
  <c r="J209" i="50"/>
  <c r="K209" i="50"/>
  <c r="L209" i="50"/>
  <c r="M209" i="50"/>
  <c r="N209" i="50"/>
  <c r="O209" i="50"/>
  <c r="P209" i="50"/>
  <c r="Q209" i="50"/>
  <c r="R209" i="50"/>
  <c r="S209" i="50"/>
  <c r="T209" i="50"/>
  <c r="U209" i="50"/>
  <c r="V209" i="50"/>
  <c r="W209" i="50"/>
  <c r="X209" i="50"/>
  <c r="Y209" i="50"/>
  <c r="Z209" i="50"/>
  <c r="AA209" i="50"/>
  <c r="AB209" i="50"/>
  <c r="AC209" i="50"/>
  <c r="AD209" i="50"/>
  <c r="AE209" i="50"/>
  <c r="AF209" i="50"/>
  <c r="AG209" i="50"/>
  <c r="AH209" i="50"/>
  <c r="AI209" i="50"/>
  <c r="AJ209" i="50"/>
  <c r="AK209" i="50"/>
  <c r="AL209" i="50"/>
  <c r="AM209" i="50"/>
  <c r="D211" i="50"/>
  <c r="E211" i="50"/>
  <c r="F211" i="50"/>
  <c r="G211" i="50"/>
  <c r="H211" i="50"/>
  <c r="I211" i="50"/>
  <c r="J211" i="50"/>
  <c r="K211" i="50"/>
  <c r="L211" i="50"/>
  <c r="M211" i="50"/>
  <c r="N211" i="50"/>
  <c r="O211" i="50"/>
  <c r="P211" i="50"/>
  <c r="Q211" i="50"/>
  <c r="D212" i="50"/>
  <c r="E212" i="50"/>
  <c r="F212" i="50"/>
  <c r="G212" i="50"/>
  <c r="H212" i="50"/>
  <c r="I212" i="50"/>
  <c r="J212" i="50"/>
  <c r="K212" i="50"/>
  <c r="L212" i="50"/>
  <c r="M212" i="50"/>
  <c r="N212" i="50"/>
  <c r="O212" i="50"/>
  <c r="P212" i="50"/>
  <c r="Q212" i="50"/>
  <c r="D213" i="50"/>
  <c r="E213" i="50"/>
  <c r="F213" i="50"/>
  <c r="G213" i="50"/>
  <c r="H213" i="50"/>
  <c r="I213" i="50"/>
  <c r="J213" i="50"/>
  <c r="K213" i="50"/>
  <c r="L213" i="50"/>
  <c r="M213" i="50"/>
  <c r="N213" i="50"/>
  <c r="O213" i="50"/>
  <c r="P213" i="50"/>
  <c r="Q213" i="50"/>
  <c r="D214" i="50"/>
  <c r="E214" i="50"/>
  <c r="F214" i="50"/>
  <c r="G214" i="50"/>
  <c r="H214" i="50"/>
  <c r="I214" i="50"/>
  <c r="J214" i="50"/>
  <c r="K214" i="50"/>
  <c r="L214" i="50"/>
  <c r="M214" i="50"/>
  <c r="N214" i="50"/>
  <c r="O214" i="50"/>
  <c r="P214" i="50"/>
  <c r="Q214" i="50"/>
  <c r="D215" i="50"/>
  <c r="E215" i="50"/>
  <c r="F215" i="50"/>
  <c r="G215" i="50"/>
  <c r="H215" i="50"/>
  <c r="I215" i="50"/>
  <c r="J215" i="50"/>
  <c r="K215" i="50"/>
  <c r="L215" i="50"/>
  <c r="M215" i="50"/>
  <c r="N215" i="50"/>
  <c r="O215" i="50"/>
  <c r="P215" i="50"/>
  <c r="Q215" i="50"/>
  <c r="D216" i="50"/>
  <c r="E216" i="50"/>
  <c r="F216" i="50"/>
  <c r="G216" i="50"/>
  <c r="H216" i="50"/>
  <c r="I216" i="50"/>
  <c r="J216" i="50"/>
  <c r="K216" i="50"/>
  <c r="L216" i="50"/>
  <c r="M216" i="50"/>
  <c r="N216" i="50"/>
  <c r="O216" i="50"/>
  <c r="P216" i="50"/>
  <c r="Q216" i="50"/>
  <c r="D217" i="50"/>
  <c r="E217" i="50"/>
  <c r="F217" i="50"/>
  <c r="G217" i="50"/>
  <c r="H217" i="50"/>
  <c r="I217" i="50"/>
  <c r="J217" i="50"/>
  <c r="K217" i="50"/>
  <c r="L217" i="50"/>
  <c r="M217" i="50"/>
  <c r="N217" i="50"/>
  <c r="O217" i="50"/>
  <c r="P217" i="50"/>
  <c r="Q217" i="50"/>
  <c r="D218" i="50"/>
  <c r="E218" i="50"/>
  <c r="F218" i="50"/>
  <c r="G218" i="50"/>
  <c r="H218" i="50"/>
  <c r="I218" i="50"/>
  <c r="J218" i="50"/>
  <c r="K218" i="50"/>
  <c r="L218" i="50"/>
  <c r="M218" i="50"/>
  <c r="N218" i="50"/>
  <c r="O218" i="50"/>
  <c r="P218" i="50"/>
  <c r="Q218" i="50"/>
  <c r="D219" i="50"/>
  <c r="E219" i="50"/>
  <c r="F219" i="50"/>
  <c r="G219" i="50"/>
  <c r="H219" i="50"/>
  <c r="I219" i="50"/>
  <c r="J219" i="50"/>
  <c r="K219" i="50"/>
  <c r="L219" i="50"/>
  <c r="M219" i="50"/>
  <c r="N219" i="50"/>
  <c r="O219" i="50"/>
  <c r="P219" i="50"/>
  <c r="Q219" i="50"/>
  <c r="D220" i="50"/>
  <c r="E220" i="50"/>
  <c r="F220" i="50"/>
  <c r="G220" i="50"/>
  <c r="H220" i="50"/>
  <c r="I220" i="50"/>
  <c r="J220" i="50"/>
  <c r="K220" i="50"/>
  <c r="L220" i="50"/>
  <c r="M220" i="50"/>
  <c r="N220" i="50"/>
  <c r="O220" i="50"/>
  <c r="P220" i="50"/>
  <c r="Q220" i="50"/>
  <c r="D222" i="50"/>
  <c r="E222" i="50"/>
  <c r="F222" i="50"/>
  <c r="G222" i="50"/>
  <c r="H222" i="50"/>
  <c r="I222" i="50"/>
  <c r="J222" i="50"/>
  <c r="K222" i="50"/>
  <c r="L222" i="50"/>
  <c r="M222" i="50"/>
  <c r="N222" i="50"/>
  <c r="O222" i="50"/>
  <c r="P222" i="50"/>
  <c r="Q222" i="50"/>
  <c r="D223" i="50"/>
  <c r="E223" i="50"/>
  <c r="F223" i="50"/>
  <c r="G223" i="50"/>
  <c r="H223" i="50"/>
  <c r="I223" i="50"/>
  <c r="J223" i="50"/>
  <c r="K223" i="50"/>
  <c r="L223" i="50"/>
  <c r="M223" i="50"/>
  <c r="N223" i="50"/>
  <c r="O223" i="50"/>
  <c r="P223" i="50"/>
  <c r="Q223" i="50"/>
  <c r="D224" i="50"/>
  <c r="E224" i="50"/>
  <c r="F224" i="50"/>
  <c r="G224" i="50"/>
  <c r="H224" i="50"/>
  <c r="I224" i="50"/>
  <c r="J224" i="50"/>
  <c r="K224" i="50"/>
  <c r="L224" i="50"/>
  <c r="M224" i="50"/>
  <c r="N224" i="50"/>
  <c r="O224" i="50"/>
  <c r="P224" i="50"/>
  <c r="Q224" i="50"/>
  <c r="D225" i="50"/>
  <c r="E225" i="50"/>
  <c r="F225" i="50"/>
  <c r="G225" i="50"/>
  <c r="H225" i="50"/>
  <c r="I225" i="50"/>
  <c r="J225" i="50"/>
  <c r="K225" i="50"/>
  <c r="L225" i="50"/>
  <c r="M225" i="50"/>
  <c r="N225" i="50"/>
  <c r="O225" i="50"/>
  <c r="P225" i="50"/>
  <c r="Q225" i="50"/>
  <c r="D226" i="50"/>
  <c r="E226" i="50"/>
  <c r="F226" i="50"/>
  <c r="G226" i="50"/>
  <c r="H226" i="50"/>
  <c r="I226" i="50"/>
  <c r="J226" i="50"/>
  <c r="K226" i="50"/>
  <c r="L226" i="50"/>
  <c r="M226" i="50"/>
  <c r="N226" i="50"/>
  <c r="O226" i="50"/>
  <c r="P226" i="50"/>
  <c r="Q226" i="50"/>
  <c r="D227" i="50"/>
  <c r="E227" i="50"/>
  <c r="F227" i="50"/>
  <c r="G227" i="50"/>
  <c r="H227" i="50"/>
  <c r="I227" i="50"/>
  <c r="J227" i="50"/>
  <c r="K227" i="50"/>
  <c r="L227" i="50"/>
  <c r="M227" i="50"/>
  <c r="N227" i="50"/>
  <c r="O227" i="50"/>
  <c r="P227" i="50"/>
  <c r="Q227" i="50"/>
  <c r="D228" i="50"/>
  <c r="E228" i="50"/>
  <c r="F228" i="50"/>
  <c r="G228" i="50"/>
  <c r="H228" i="50"/>
  <c r="I228" i="50"/>
  <c r="J228" i="50"/>
  <c r="K228" i="50"/>
  <c r="L228" i="50"/>
  <c r="M228" i="50"/>
  <c r="N228" i="50"/>
  <c r="O228" i="50"/>
  <c r="P228" i="50"/>
  <c r="Q228" i="50"/>
  <c r="D229" i="50"/>
  <c r="E229" i="50"/>
  <c r="F229" i="50"/>
  <c r="G229" i="50"/>
  <c r="H229" i="50"/>
  <c r="I229" i="50"/>
  <c r="J229" i="50"/>
  <c r="K229" i="50"/>
  <c r="L229" i="50"/>
  <c r="M229" i="50"/>
  <c r="N229" i="50"/>
  <c r="O229" i="50"/>
  <c r="P229" i="50"/>
  <c r="Q229" i="50"/>
  <c r="D230" i="50"/>
  <c r="E230" i="50"/>
  <c r="F230" i="50"/>
  <c r="G230" i="50"/>
  <c r="H230" i="50"/>
  <c r="I230" i="50"/>
  <c r="J230" i="50"/>
  <c r="K230" i="50"/>
  <c r="L230" i="50"/>
  <c r="M230" i="50"/>
  <c r="N230" i="50"/>
  <c r="O230" i="50"/>
  <c r="P230" i="50"/>
  <c r="Q230" i="50"/>
  <c r="D231" i="50"/>
  <c r="E231" i="50"/>
  <c r="F231" i="50"/>
  <c r="G231" i="50"/>
  <c r="H231" i="50"/>
  <c r="I231" i="50"/>
  <c r="J231" i="50"/>
  <c r="K231" i="50"/>
  <c r="L231" i="50"/>
  <c r="M231" i="50"/>
  <c r="N231" i="50"/>
  <c r="O231" i="50"/>
  <c r="P231" i="50"/>
  <c r="Q231" i="50"/>
  <c r="D233" i="50"/>
  <c r="E233" i="50"/>
  <c r="F233" i="50"/>
  <c r="G233" i="50"/>
  <c r="H233" i="50"/>
  <c r="I233" i="50"/>
  <c r="J233" i="50"/>
  <c r="K233" i="50"/>
  <c r="L233" i="50"/>
  <c r="M233" i="50"/>
  <c r="N233" i="50"/>
  <c r="O233" i="50"/>
  <c r="P233" i="50"/>
  <c r="Q233" i="50"/>
  <c r="D234" i="50"/>
  <c r="E234" i="50"/>
  <c r="F234" i="50"/>
  <c r="G234" i="50"/>
  <c r="H234" i="50"/>
  <c r="I234" i="50"/>
  <c r="J234" i="50"/>
  <c r="K234" i="50"/>
  <c r="L234" i="50"/>
  <c r="M234" i="50"/>
  <c r="N234" i="50"/>
  <c r="O234" i="50"/>
  <c r="P234" i="50"/>
  <c r="Q234" i="50"/>
  <c r="D235" i="50"/>
  <c r="E235" i="50"/>
  <c r="F235" i="50"/>
  <c r="G235" i="50"/>
  <c r="H235" i="50"/>
  <c r="I235" i="50"/>
  <c r="J235" i="50"/>
  <c r="K235" i="50"/>
  <c r="L235" i="50"/>
  <c r="M235" i="50"/>
  <c r="N235" i="50"/>
  <c r="O235" i="50"/>
  <c r="P235" i="50"/>
  <c r="Q235" i="50"/>
  <c r="D236" i="50"/>
  <c r="E236" i="50"/>
  <c r="F236" i="50"/>
  <c r="G236" i="50"/>
  <c r="H236" i="50"/>
  <c r="I236" i="50"/>
  <c r="J236" i="50"/>
  <c r="K236" i="50"/>
  <c r="L236" i="50"/>
  <c r="M236" i="50"/>
  <c r="N236" i="50"/>
  <c r="O236" i="50"/>
  <c r="P236" i="50"/>
  <c r="Q236" i="50"/>
  <c r="D237" i="50"/>
  <c r="E237" i="50"/>
  <c r="F237" i="50"/>
  <c r="G237" i="50"/>
  <c r="H237" i="50"/>
  <c r="I237" i="50"/>
  <c r="J237" i="50"/>
  <c r="K237" i="50"/>
  <c r="L237" i="50"/>
  <c r="M237" i="50"/>
  <c r="N237" i="50"/>
  <c r="O237" i="50"/>
  <c r="P237" i="50"/>
  <c r="Q237" i="50"/>
  <c r="D238" i="50"/>
  <c r="E238" i="50"/>
  <c r="F238" i="50"/>
  <c r="G238" i="50"/>
  <c r="H238" i="50"/>
  <c r="I238" i="50"/>
  <c r="J238" i="50"/>
  <c r="K238" i="50"/>
  <c r="L238" i="50"/>
  <c r="M238" i="50"/>
  <c r="N238" i="50"/>
  <c r="O238" i="50"/>
  <c r="P238" i="50"/>
  <c r="Q238" i="50"/>
  <c r="D239" i="50"/>
  <c r="E239" i="50"/>
  <c r="F239" i="50"/>
  <c r="G239" i="50"/>
  <c r="H239" i="50"/>
  <c r="I239" i="50"/>
  <c r="J239" i="50"/>
  <c r="K239" i="50"/>
  <c r="L239" i="50"/>
  <c r="M239" i="50"/>
  <c r="N239" i="50"/>
  <c r="O239" i="50"/>
  <c r="P239" i="50"/>
  <c r="Q239" i="50"/>
  <c r="D240" i="50"/>
  <c r="E240" i="50"/>
  <c r="F240" i="50"/>
  <c r="G240" i="50"/>
  <c r="H240" i="50"/>
  <c r="I240" i="50"/>
  <c r="J240" i="50"/>
  <c r="K240" i="50"/>
  <c r="L240" i="50"/>
  <c r="M240" i="50"/>
  <c r="N240" i="50"/>
  <c r="O240" i="50"/>
  <c r="P240" i="50"/>
  <c r="Q240" i="50"/>
  <c r="D241" i="50"/>
  <c r="E241" i="50"/>
  <c r="F241" i="50"/>
  <c r="G241" i="50"/>
  <c r="H241" i="50"/>
  <c r="I241" i="50"/>
  <c r="J241" i="50"/>
  <c r="K241" i="50"/>
  <c r="L241" i="50"/>
  <c r="M241" i="50"/>
  <c r="N241" i="50"/>
  <c r="O241" i="50"/>
  <c r="P241" i="50"/>
  <c r="Q241" i="50"/>
  <c r="D242" i="50"/>
  <c r="E242" i="50"/>
  <c r="F242" i="50"/>
  <c r="G242" i="50"/>
  <c r="H242" i="50"/>
  <c r="I242" i="50"/>
  <c r="J242" i="50"/>
  <c r="K242" i="50"/>
  <c r="L242" i="50"/>
  <c r="M242" i="50"/>
  <c r="N242" i="50"/>
  <c r="O242" i="50"/>
  <c r="P242" i="50"/>
  <c r="Q242" i="50"/>
  <c r="D4" i="49"/>
  <c r="E4" i="49"/>
  <c r="F4" i="49"/>
  <c r="G4" i="49"/>
  <c r="H4" i="49"/>
  <c r="I4" i="49"/>
  <c r="J4" i="49"/>
  <c r="K4" i="49"/>
  <c r="L4" i="49"/>
  <c r="M4" i="49"/>
  <c r="N4" i="49"/>
  <c r="O4" i="49"/>
  <c r="P4" i="49"/>
  <c r="Q4" i="49"/>
  <c r="R4" i="49"/>
  <c r="S4" i="49"/>
  <c r="T4" i="49"/>
  <c r="U4" i="49"/>
  <c r="V4" i="49"/>
  <c r="W4" i="49"/>
  <c r="X4" i="49"/>
  <c r="Y4" i="49"/>
  <c r="Z4" i="49"/>
  <c r="AA4" i="49"/>
  <c r="AB4" i="49"/>
  <c r="AC4" i="49"/>
  <c r="AD4" i="49"/>
  <c r="AE4" i="49"/>
  <c r="AF4" i="49"/>
  <c r="AG4" i="49"/>
  <c r="AH4" i="49"/>
  <c r="AI4" i="49"/>
  <c r="AJ4" i="49"/>
  <c r="AK4" i="49"/>
  <c r="AL4" i="49"/>
  <c r="AM4" i="49"/>
  <c r="D5" i="49"/>
  <c r="E5" i="49"/>
  <c r="F5" i="49"/>
  <c r="G5" i="49"/>
  <c r="H5" i="49"/>
  <c r="I5" i="49"/>
  <c r="J5" i="49"/>
  <c r="K5" i="49"/>
  <c r="L5" i="49"/>
  <c r="M5" i="49"/>
  <c r="N5" i="49"/>
  <c r="O5" i="49"/>
  <c r="P5" i="49"/>
  <c r="Q5" i="49"/>
  <c r="R5" i="49"/>
  <c r="S5" i="49"/>
  <c r="T5" i="49"/>
  <c r="U5" i="49"/>
  <c r="V5" i="49"/>
  <c r="W5" i="49"/>
  <c r="X5" i="49"/>
  <c r="Y5" i="49"/>
  <c r="Z5" i="49"/>
  <c r="AA5" i="49"/>
  <c r="AB5" i="49"/>
  <c r="AC5" i="49"/>
  <c r="AD5" i="49"/>
  <c r="AE5" i="49"/>
  <c r="AF5" i="49"/>
  <c r="AG5" i="49"/>
  <c r="AH5" i="49"/>
  <c r="AI5" i="49"/>
  <c r="AJ5" i="49"/>
  <c r="AK5" i="49"/>
  <c r="AL5" i="49"/>
  <c r="AM5" i="49"/>
  <c r="D6" i="49"/>
  <c r="E6" i="49"/>
  <c r="F6" i="49"/>
  <c r="G6" i="49"/>
  <c r="H6" i="49"/>
  <c r="I6" i="49"/>
  <c r="J6" i="49"/>
  <c r="K6" i="49"/>
  <c r="L6" i="49"/>
  <c r="M6" i="49"/>
  <c r="N6" i="49"/>
  <c r="O6" i="49"/>
  <c r="P6" i="49"/>
  <c r="Q6" i="49"/>
  <c r="R6" i="49"/>
  <c r="S6" i="49"/>
  <c r="T6" i="49"/>
  <c r="U6" i="49"/>
  <c r="V6" i="49"/>
  <c r="W6" i="49"/>
  <c r="X6" i="49"/>
  <c r="Y6" i="49"/>
  <c r="Z6" i="49"/>
  <c r="AA6" i="49"/>
  <c r="AB6" i="49"/>
  <c r="AC6" i="49"/>
  <c r="AD6" i="49"/>
  <c r="AE6" i="49"/>
  <c r="AF6" i="49"/>
  <c r="AG6" i="49"/>
  <c r="AH6" i="49"/>
  <c r="AI6" i="49"/>
  <c r="AJ6" i="49"/>
  <c r="AK6" i="49"/>
  <c r="AL6" i="49"/>
  <c r="AM6" i="49"/>
  <c r="D7" i="49"/>
  <c r="E7" i="49"/>
  <c r="F7" i="49"/>
  <c r="G7" i="49"/>
  <c r="H7" i="49"/>
  <c r="I7" i="49"/>
  <c r="J7" i="49"/>
  <c r="K7" i="49"/>
  <c r="L7" i="49"/>
  <c r="M7" i="49"/>
  <c r="N7" i="49"/>
  <c r="O7" i="49"/>
  <c r="P7" i="49"/>
  <c r="Q7" i="49"/>
  <c r="R7" i="49"/>
  <c r="S7" i="49"/>
  <c r="T7" i="49"/>
  <c r="U7" i="49"/>
  <c r="V7" i="49"/>
  <c r="W7" i="49"/>
  <c r="X7" i="49"/>
  <c r="Y7" i="49"/>
  <c r="Z7" i="49"/>
  <c r="AA7" i="49"/>
  <c r="AB7" i="49"/>
  <c r="AC7" i="49"/>
  <c r="AD7" i="49"/>
  <c r="AE7" i="49"/>
  <c r="AF7" i="49"/>
  <c r="AG7" i="49"/>
  <c r="AH7" i="49"/>
  <c r="AI7" i="49"/>
  <c r="AJ7" i="49"/>
  <c r="AK7" i="49"/>
  <c r="AL7" i="49"/>
  <c r="AM7" i="49"/>
  <c r="D8" i="49"/>
  <c r="E8" i="49"/>
  <c r="F8" i="49"/>
  <c r="G8" i="49"/>
  <c r="H8" i="49"/>
  <c r="I8" i="49"/>
  <c r="J8" i="49"/>
  <c r="K8" i="49"/>
  <c r="L8" i="49"/>
  <c r="M8" i="49"/>
  <c r="N8" i="49"/>
  <c r="O8" i="49"/>
  <c r="P8" i="49"/>
  <c r="Q8" i="49"/>
  <c r="R8" i="49"/>
  <c r="S8" i="49"/>
  <c r="T8" i="49"/>
  <c r="U8" i="49"/>
  <c r="V8" i="49"/>
  <c r="W8" i="49"/>
  <c r="X8" i="49"/>
  <c r="Y8" i="49"/>
  <c r="Z8" i="49"/>
  <c r="AA8" i="49"/>
  <c r="AB8" i="49"/>
  <c r="AC8" i="49"/>
  <c r="AD8" i="49"/>
  <c r="AE8" i="49"/>
  <c r="AF8" i="49"/>
  <c r="AG8" i="49"/>
  <c r="AH8" i="49"/>
  <c r="AI8" i="49"/>
  <c r="AJ8" i="49"/>
  <c r="AK8" i="49"/>
  <c r="AL8" i="49"/>
  <c r="AM8" i="49"/>
  <c r="D9" i="49"/>
  <c r="E9" i="49"/>
  <c r="F9" i="49"/>
  <c r="G9" i="49"/>
  <c r="H9" i="49"/>
  <c r="I9" i="49"/>
  <c r="J9" i="49"/>
  <c r="K9" i="49"/>
  <c r="L9" i="49"/>
  <c r="M9" i="49"/>
  <c r="N9" i="49"/>
  <c r="O9" i="49"/>
  <c r="P9" i="49"/>
  <c r="Q9" i="49"/>
  <c r="R9" i="49"/>
  <c r="S9" i="49"/>
  <c r="T9" i="49"/>
  <c r="U9" i="49"/>
  <c r="V9" i="49"/>
  <c r="W9" i="49"/>
  <c r="X9" i="49"/>
  <c r="Y9" i="49"/>
  <c r="Z9" i="49"/>
  <c r="AA9" i="49"/>
  <c r="AB9" i="49"/>
  <c r="AC9" i="49"/>
  <c r="AD9" i="49"/>
  <c r="AE9" i="49"/>
  <c r="AF9" i="49"/>
  <c r="AG9" i="49"/>
  <c r="AH9" i="49"/>
  <c r="AI9" i="49"/>
  <c r="AJ9" i="49"/>
  <c r="AK9" i="49"/>
  <c r="AL9" i="49"/>
  <c r="AM9" i="49"/>
  <c r="D10" i="49"/>
  <c r="E10" i="49"/>
  <c r="F10" i="49"/>
  <c r="G10" i="49"/>
  <c r="H10" i="49"/>
  <c r="I10" i="49"/>
  <c r="J10" i="49"/>
  <c r="K10" i="49"/>
  <c r="L10" i="49"/>
  <c r="M10" i="49"/>
  <c r="N10" i="49"/>
  <c r="O10" i="49"/>
  <c r="P10" i="49"/>
  <c r="Q10" i="49"/>
  <c r="R10" i="49"/>
  <c r="S10" i="49"/>
  <c r="T10" i="49"/>
  <c r="U10" i="49"/>
  <c r="V10" i="49"/>
  <c r="W10" i="49"/>
  <c r="X10" i="49"/>
  <c r="Y10" i="49"/>
  <c r="Z10" i="49"/>
  <c r="AA10" i="49"/>
  <c r="AB10" i="49"/>
  <c r="AC10" i="49"/>
  <c r="AD10" i="49"/>
  <c r="AE10" i="49"/>
  <c r="AF10" i="49"/>
  <c r="AG10" i="49"/>
  <c r="AH10" i="49"/>
  <c r="AI10" i="49"/>
  <c r="AJ10" i="49"/>
  <c r="AK10" i="49"/>
  <c r="AL10" i="49"/>
  <c r="AM10" i="49"/>
  <c r="D11" i="49"/>
  <c r="E11" i="49"/>
  <c r="F11" i="49"/>
  <c r="G11" i="49"/>
  <c r="H11" i="49"/>
  <c r="I11" i="49"/>
  <c r="J11" i="49"/>
  <c r="K11" i="49"/>
  <c r="L11" i="49"/>
  <c r="M11" i="49"/>
  <c r="N11" i="49"/>
  <c r="O11" i="49"/>
  <c r="P11" i="49"/>
  <c r="Q11" i="49"/>
  <c r="R11" i="49"/>
  <c r="S11" i="49"/>
  <c r="T11" i="49"/>
  <c r="U11" i="49"/>
  <c r="V11" i="49"/>
  <c r="W11" i="49"/>
  <c r="X11" i="49"/>
  <c r="Y11" i="49"/>
  <c r="Z11" i="49"/>
  <c r="AA11" i="49"/>
  <c r="AB11" i="49"/>
  <c r="AC11" i="49"/>
  <c r="AD11" i="49"/>
  <c r="AE11" i="49"/>
  <c r="AF11" i="49"/>
  <c r="AG11" i="49"/>
  <c r="AH11" i="49"/>
  <c r="AI11" i="49"/>
  <c r="AJ11" i="49"/>
  <c r="AK11" i="49"/>
  <c r="AL11" i="49"/>
  <c r="AM11" i="49"/>
  <c r="D12" i="49"/>
  <c r="E12" i="49"/>
  <c r="F12" i="49"/>
  <c r="G12" i="49"/>
  <c r="H12" i="49"/>
  <c r="I12" i="49"/>
  <c r="J12" i="49"/>
  <c r="K12" i="49"/>
  <c r="L12" i="49"/>
  <c r="M12" i="49"/>
  <c r="N12" i="49"/>
  <c r="O12" i="49"/>
  <c r="P12" i="49"/>
  <c r="Q12" i="49"/>
  <c r="R12" i="49"/>
  <c r="S12" i="49"/>
  <c r="T12" i="49"/>
  <c r="U12" i="49"/>
  <c r="V12" i="49"/>
  <c r="W12" i="49"/>
  <c r="X12" i="49"/>
  <c r="Y12" i="49"/>
  <c r="Z12" i="49"/>
  <c r="AA12" i="49"/>
  <c r="AB12" i="49"/>
  <c r="AC12" i="49"/>
  <c r="AD12" i="49"/>
  <c r="AE12" i="49"/>
  <c r="AF12" i="49"/>
  <c r="AG12" i="49"/>
  <c r="AH12" i="49"/>
  <c r="AI12" i="49"/>
  <c r="AJ12" i="49"/>
  <c r="AK12" i="49"/>
  <c r="AL12" i="49"/>
  <c r="AM12" i="49"/>
  <c r="D13" i="49"/>
  <c r="E13" i="49"/>
  <c r="F13" i="49"/>
  <c r="G13" i="49"/>
  <c r="H13" i="49"/>
  <c r="I13" i="49"/>
  <c r="J13" i="49"/>
  <c r="K13" i="49"/>
  <c r="L13" i="49"/>
  <c r="M13" i="49"/>
  <c r="N13" i="49"/>
  <c r="O13" i="49"/>
  <c r="P13" i="49"/>
  <c r="Q13" i="49"/>
  <c r="R13" i="49"/>
  <c r="S13" i="49"/>
  <c r="T13" i="49"/>
  <c r="U13" i="49"/>
  <c r="V13" i="49"/>
  <c r="W13" i="49"/>
  <c r="X13" i="49"/>
  <c r="Y13" i="49"/>
  <c r="Z13" i="49"/>
  <c r="AA13" i="49"/>
  <c r="AB13" i="49"/>
  <c r="AC13" i="49"/>
  <c r="AD13" i="49"/>
  <c r="AE13" i="49"/>
  <c r="AF13" i="49"/>
  <c r="AG13" i="49"/>
  <c r="AH13" i="49"/>
  <c r="AI13" i="49"/>
  <c r="AJ13" i="49"/>
  <c r="AK13" i="49"/>
  <c r="AL13" i="49"/>
  <c r="AM13" i="49"/>
  <c r="D14" i="49"/>
  <c r="E14" i="49"/>
  <c r="F14" i="49"/>
  <c r="G14" i="49"/>
  <c r="H14" i="49"/>
  <c r="I14" i="49"/>
  <c r="J14" i="49"/>
  <c r="K14" i="49"/>
  <c r="L14" i="49"/>
  <c r="M14" i="49"/>
  <c r="N14" i="49"/>
  <c r="O14" i="49"/>
  <c r="P14" i="49"/>
  <c r="Q14" i="49"/>
  <c r="R14" i="49"/>
  <c r="S14" i="49"/>
  <c r="T14" i="49"/>
  <c r="U14" i="49"/>
  <c r="V14" i="49"/>
  <c r="W14" i="49"/>
  <c r="X14" i="49"/>
  <c r="Y14" i="49"/>
  <c r="Z14" i="49"/>
  <c r="AA14" i="49"/>
  <c r="AB14" i="49"/>
  <c r="AC14" i="49"/>
  <c r="AD14" i="49"/>
  <c r="AE14" i="49"/>
  <c r="AF14" i="49"/>
  <c r="AG14" i="49"/>
  <c r="AH14" i="49"/>
  <c r="AI14" i="49"/>
  <c r="AJ14" i="49"/>
  <c r="AK14" i="49"/>
  <c r="AL14" i="49"/>
  <c r="AM14" i="49"/>
  <c r="D15" i="49"/>
  <c r="E15" i="49"/>
  <c r="F15" i="49"/>
  <c r="G15" i="49"/>
  <c r="H15" i="49"/>
  <c r="I15" i="49"/>
  <c r="J15" i="49"/>
  <c r="K15" i="49"/>
  <c r="L15" i="49"/>
  <c r="M15" i="49"/>
  <c r="N15" i="49"/>
  <c r="O15" i="49"/>
  <c r="P15" i="49"/>
  <c r="Q15" i="49"/>
  <c r="R15" i="49"/>
  <c r="S15" i="49"/>
  <c r="T15" i="49"/>
  <c r="U15" i="49"/>
  <c r="V15" i="49"/>
  <c r="W15" i="49"/>
  <c r="X15" i="49"/>
  <c r="Y15" i="49"/>
  <c r="Z15" i="49"/>
  <c r="AA15" i="49"/>
  <c r="AB15" i="49"/>
  <c r="AC15" i="49"/>
  <c r="AD15" i="49"/>
  <c r="AE15" i="49"/>
  <c r="AF15" i="49"/>
  <c r="AG15" i="49"/>
  <c r="AH15" i="49"/>
  <c r="AI15" i="49"/>
  <c r="AJ15" i="49"/>
  <c r="AK15" i="49"/>
  <c r="AL15" i="49"/>
  <c r="AM15" i="49"/>
  <c r="D16" i="49"/>
  <c r="E16" i="49"/>
  <c r="F16" i="49"/>
  <c r="G16" i="49"/>
  <c r="H16" i="49"/>
  <c r="I16" i="49"/>
  <c r="J16" i="49"/>
  <c r="K16" i="49"/>
  <c r="L16" i="49"/>
  <c r="M16" i="49"/>
  <c r="N16" i="49"/>
  <c r="O16" i="49"/>
  <c r="P16" i="49"/>
  <c r="Q16" i="49"/>
  <c r="R16" i="49"/>
  <c r="S16" i="49"/>
  <c r="T16" i="49"/>
  <c r="U16" i="49"/>
  <c r="V16" i="49"/>
  <c r="W16" i="49"/>
  <c r="X16" i="49"/>
  <c r="Y16" i="49"/>
  <c r="Z16" i="49"/>
  <c r="AA16" i="49"/>
  <c r="AB16" i="49"/>
  <c r="AC16" i="49"/>
  <c r="AD16" i="49"/>
  <c r="AE16" i="49"/>
  <c r="AF16" i="49"/>
  <c r="AG16" i="49"/>
  <c r="AH16" i="49"/>
  <c r="AI16" i="49"/>
  <c r="AJ16" i="49"/>
  <c r="AK16" i="49"/>
  <c r="AL16" i="49"/>
  <c r="AM16" i="49"/>
  <c r="D17" i="49"/>
  <c r="E17" i="49"/>
  <c r="F17" i="49"/>
  <c r="G17" i="49"/>
  <c r="H17" i="49"/>
  <c r="I17" i="49"/>
  <c r="J17" i="49"/>
  <c r="K17" i="49"/>
  <c r="L17" i="49"/>
  <c r="M17" i="49"/>
  <c r="N17" i="49"/>
  <c r="O17" i="49"/>
  <c r="P17" i="49"/>
  <c r="Q17" i="49"/>
  <c r="R17" i="49"/>
  <c r="S17" i="49"/>
  <c r="T17" i="49"/>
  <c r="U17" i="49"/>
  <c r="V17" i="49"/>
  <c r="W17" i="49"/>
  <c r="X17" i="49"/>
  <c r="Y17" i="49"/>
  <c r="Z17" i="49"/>
  <c r="AA17" i="49"/>
  <c r="AB17" i="49"/>
  <c r="AC17" i="49"/>
  <c r="AD17" i="49"/>
  <c r="AE17" i="49"/>
  <c r="AF17" i="49"/>
  <c r="AG17" i="49"/>
  <c r="AH17" i="49"/>
  <c r="AI17" i="49"/>
  <c r="AJ17" i="49"/>
  <c r="AK17" i="49"/>
  <c r="AL17" i="49"/>
  <c r="AM17" i="49"/>
  <c r="D18" i="49"/>
  <c r="E18" i="49"/>
  <c r="F18" i="49"/>
  <c r="G18" i="49"/>
  <c r="H18" i="49"/>
  <c r="I18" i="49"/>
  <c r="J18" i="49"/>
  <c r="K18" i="49"/>
  <c r="L18" i="49"/>
  <c r="M18" i="49"/>
  <c r="N18" i="49"/>
  <c r="O18" i="49"/>
  <c r="P18" i="49"/>
  <c r="Q18" i="49"/>
  <c r="R18" i="49"/>
  <c r="S18" i="49"/>
  <c r="T18" i="49"/>
  <c r="U18" i="49"/>
  <c r="V18" i="49"/>
  <c r="W18" i="49"/>
  <c r="X18" i="49"/>
  <c r="Y18" i="49"/>
  <c r="Z18" i="49"/>
  <c r="AA18" i="49"/>
  <c r="AB18" i="49"/>
  <c r="AC18" i="49"/>
  <c r="AD18" i="49"/>
  <c r="AE18" i="49"/>
  <c r="AF18" i="49"/>
  <c r="AG18" i="49"/>
  <c r="AH18" i="49"/>
  <c r="AI18" i="49"/>
  <c r="AJ18" i="49"/>
  <c r="AK18" i="49"/>
  <c r="AL18" i="49"/>
  <c r="AM18" i="49"/>
  <c r="D19" i="49"/>
  <c r="E19" i="49"/>
  <c r="F19" i="49"/>
  <c r="G19" i="49"/>
  <c r="H19" i="49"/>
  <c r="I19" i="49"/>
  <c r="J19" i="49"/>
  <c r="K19" i="49"/>
  <c r="L19" i="49"/>
  <c r="M19" i="49"/>
  <c r="N19" i="49"/>
  <c r="O19" i="49"/>
  <c r="P19" i="49"/>
  <c r="Q19" i="49"/>
  <c r="R19" i="49"/>
  <c r="S19" i="49"/>
  <c r="T19" i="49"/>
  <c r="U19" i="49"/>
  <c r="V19" i="49"/>
  <c r="W19" i="49"/>
  <c r="X19" i="49"/>
  <c r="Y19" i="49"/>
  <c r="Z19" i="49"/>
  <c r="AA19" i="49"/>
  <c r="AB19" i="49"/>
  <c r="AC19" i="49"/>
  <c r="AD19" i="49"/>
  <c r="AE19" i="49"/>
  <c r="AF19" i="49"/>
  <c r="AG19" i="49"/>
  <c r="AH19" i="49"/>
  <c r="AI19" i="49"/>
  <c r="AJ19" i="49"/>
  <c r="AK19" i="49"/>
  <c r="AL19" i="49"/>
  <c r="AM19" i="49"/>
  <c r="D20" i="49"/>
  <c r="E20" i="49"/>
  <c r="F20" i="49"/>
  <c r="G20" i="49"/>
  <c r="H20" i="49"/>
  <c r="I20" i="49"/>
  <c r="J20" i="49"/>
  <c r="K20" i="49"/>
  <c r="L20" i="49"/>
  <c r="M20" i="49"/>
  <c r="N20" i="49"/>
  <c r="O20" i="49"/>
  <c r="P20" i="49"/>
  <c r="Q20" i="49"/>
  <c r="R20" i="49"/>
  <c r="S20" i="49"/>
  <c r="T20" i="49"/>
  <c r="U20" i="49"/>
  <c r="V20" i="49"/>
  <c r="W20" i="49"/>
  <c r="X20" i="49"/>
  <c r="Y20" i="49"/>
  <c r="Z20" i="49"/>
  <c r="AA20" i="49"/>
  <c r="AB20" i="49"/>
  <c r="AC20" i="49"/>
  <c r="AD20" i="49"/>
  <c r="AE20" i="49"/>
  <c r="AF20" i="49"/>
  <c r="AG20" i="49"/>
  <c r="AH20" i="49"/>
  <c r="AI20" i="49"/>
  <c r="AJ20" i="49"/>
  <c r="AK20" i="49"/>
  <c r="AL20" i="49"/>
  <c r="AM20" i="49"/>
  <c r="D21" i="49"/>
  <c r="E21" i="49"/>
  <c r="F21" i="49"/>
  <c r="G21" i="49"/>
  <c r="H21" i="49"/>
  <c r="I21" i="49"/>
  <c r="J21" i="49"/>
  <c r="K21" i="49"/>
  <c r="L21" i="49"/>
  <c r="M21" i="49"/>
  <c r="N21" i="49"/>
  <c r="O21" i="49"/>
  <c r="P21" i="49"/>
  <c r="Q21" i="49"/>
  <c r="R21" i="49"/>
  <c r="S21" i="49"/>
  <c r="T21" i="49"/>
  <c r="U21" i="49"/>
  <c r="V21" i="49"/>
  <c r="W21" i="49"/>
  <c r="X21" i="49"/>
  <c r="Y21" i="49"/>
  <c r="Z21" i="49"/>
  <c r="AA21" i="49"/>
  <c r="AB21" i="49"/>
  <c r="AC21" i="49"/>
  <c r="AD21" i="49"/>
  <c r="AE21" i="49"/>
  <c r="AF21" i="49"/>
  <c r="AG21" i="49"/>
  <c r="AH21" i="49"/>
  <c r="AI21" i="49"/>
  <c r="AJ21" i="49"/>
  <c r="AK21" i="49"/>
  <c r="AL21" i="49"/>
  <c r="AM21" i="49"/>
  <c r="D22" i="49"/>
  <c r="E22" i="49"/>
  <c r="F22" i="49"/>
  <c r="G22" i="49"/>
  <c r="H22" i="49"/>
  <c r="I22" i="49"/>
  <c r="J22" i="49"/>
  <c r="K22" i="49"/>
  <c r="L22" i="49"/>
  <c r="M22" i="49"/>
  <c r="N22" i="49"/>
  <c r="O22" i="49"/>
  <c r="P22" i="49"/>
  <c r="Q22" i="49"/>
  <c r="R22" i="49"/>
  <c r="S22" i="49"/>
  <c r="T22" i="49"/>
  <c r="U22" i="49"/>
  <c r="V22" i="49"/>
  <c r="W22" i="49"/>
  <c r="X22" i="49"/>
  <c r="Y22" i="49"/>
  <c r="Z22" i="49"/>
  <c r="AA22" i="49"/>
  <c r="AB22" i="49"/>
  <c r="AC22" i="49"/>
  <c r="AD22" i="49"/>
  <c r="AE22" i="49"/>
  <c r="AF22" i="49"/>
  <c r="AG22" i="49"/>
  <c r="AH22" i="49"/>
  <c r="AI22" i="49"/>
  <c r="AJ22" i="49"/>
  <c r="AK22" i="49"/>
  <c r="AL22" i="49"/>
  <c r="AM22" i="49"/>
  <c r="D23" i="49"/>
  <c r="E23" i="49"/>
  <c r="F23" i="49"/>
  <c r="G23" i="49"/>
  <c r="H23" i="49"/>
  <c r="I23" i="49"/>
  <c r="J23" i="49"/>
  <c r="K23" i="49"/>
  <c r="L23" i="49"/>
  <c r="M23" i="49"/>
  <c r="N23" i="49"/>
  <c r="O23" i="49"/>
  <c r="P23" i="49"/>
  <c r="Q23" i="49"/>
  <c r="R23" i="49"/>
  <c r="S23" i="49"/>
  <c r="T23" i="49"/>
  <c r="U23" i="49"/>
  <c r="V23" i="49"/>
  <c r="W23" i="49"/>
  <c r="X23" i="49"/>
  <c r="Y23" i="49"/>
  <c r="Z23" i="49"/>
  <c r="AA23" i="49"/>
  <c r="AB23" i="49"/>
  <c r="AC23" i="49"/>
  <c r="AD23" i="49"/>
  <c r="AE23" i="49"/>
  <c r="AF23" i="49"/>
  <c r="AG23" i="49"/>
  <c r="AH23" i="49"/>
  <c r="AI23" i="49"/>
  <c r="AJ23" i="49"/>
  <c r="AK23" i="49"/>
  <c r="AL23" i="49"/>
  <c r="AM23" i="49"/>
  <c r="D24" i="49"/>
  <c r="E24" i="49"/>
  <c r="F24" i="49"/>
  <c r="G24" i="49"/>
  <c r="H24" i="49"/>
  <c r="I24" i="49"/>
  <c r="J24" i="49"/>
  <c r="K24" i="49"/>
  <c r="L24" i="49"/>
  <c r="M24" i="49"/>
  <c r="N24" i="49"/>
  <c r="O24" i="49"/>
  <c r="P24" i="49"/>
  <c r="Q24" i="49"/>
  <c r="R24" i="49"/>
  <c r="S24" i="49"/>
  <c r="T24" i="49"/>
  <c r="U24" i="49"/>
  <c r="V24" i="49"/>
  <c r="W24" i="49"/>
  <c r="X24" i="49"/>
  <c r="Y24" i="49"/>
  <c r="Z24" i="49"/>
  <c r="AA24" i="49"/>
  <c r="AB24" i="49"/>
  <c r="AC24" i="49"/>
  <c r="AD24" i="49"/>
  <c r="AE24" i="49"/>
  <c r="AF24" i="49"/>
  <c r="AG24" i="49"/>
  <c r="AH24" i="49"/>
  <c r="AI24" i="49"/>
  <c r="AJ24" i="49"/>
  <c r="AK24" i="49"/>
  <c r="AL24" i="49"/>
  <c r="AM24" i="49"/>
  <c r="D25" i="49"/>
  <c r="E25" i="49"/>
  <c r="F25" i="49"/>
  <c r="G25" i="49"/>
  <c r="H25" i="49"/>
  <c r="I25" i="49"/>
  <c r="J25" i="49"/>
  <c r="K25" i="49"/>
  <c r="L25" i="49"/>
  <c r="M25" i="49"/>
  <c r="N25" i="49"/>
  <c r="O25" i="49"/>
  <c r="P25" i="49"/>
  <c r="Q25" i="49"/>
  <c r="R25" i="49"/>
  <c r="S25" i="49"/>
  <c r="T25" i="49"/>
  <c r="U25" i="49"/>
  <c r="V25" i="49"/>
  <c r="W25" i="49"/>
  <c r="X25" i="49"/>
  <c r="Y25" i="49"/>
  <c r="Z25" i="49"/>
  <c r="AA25" i="49"/>
  <c r="AB25" i="49"/>
  <c r="AC25" i="49"/>
  <c r="AD25" i="49"/>
  <c r="AE25" i="49"/>
  <c r="AF25" i="49"/>
  <c r="AG25" i="49"/>
  <c r="AH25" i="49"/>
  <c r="AI25" i="49"/>
  <c r="AJ25" i="49"/>
  <c r="AK25" i="49"/>
  <c r="AL25" i="49"/>
  <c r="AM25" i="49"/>
  <c r="D26" i="49"/>
  <c r="E26" i="49"/>
  <c r="F26" i="49"/>
  <c r="G26" i="49"/>
  <c r="H26" i="49"/>
  <c r="I26" i="49"/>
  <c r="J26" i="49"/>
  <c r="K26" i="49"/>
  <c r="L26" i="49"/>
  <c r="M26" i="49"/>
  <c r="N26" i="49"/>
  <c r="O26" i="49"/>
  <c r="P26" i="49"/>
  <c r="Q26" i="49"/>
  <c r="R26" i="49"/>
  <c r="S26" i="49"/>
  <c r="T26" i="49"/>
  <c r="U26" i="49"/>
  <c r="V26" i="49"/>
  <c r="W26" i="49"/>
  <c r="X26" i="49"/>
  <c r="Y26" i="49"/>
  <c r="Z26" i="49"/>
  <c r="AA26" i="49"/>
  <c r="AB26" i="49"/>
  <c r="AC26" i="49"/>
  <c r="AD26" i="49"/>
  <c r="AE26" i="49"/>
  <c r="AF26" i="49"/>
  <c r="AG26" i="49"/>
  <c r="AH26" i="49"/>
  <c r="AI26" i="49"/>
  <c r="AJ26" i="49"/>
  <c r="AK26" i="49"/>
  <c r="AL26" i="49"/>
  <c r="AM26" i="49"/>
  <c r="D27" i="49"/>
  <c r="E27" i="49"/>
  <c r="F27" i="49"/>
  <c r="G27" i="49"/>
  <c r="H27" i="49"/>
  <c r="I27" i="49"/>
  <c r="J27" i="49"/>
  <c r="K27" i="49"/>
  <c r="L27" i="49"/>
  <c r="M27" i="49"/>
  <c r="N27" i="49"/>
  <c r="O27" i="49"/>
  <c r="P27" i="49"/>
  <c r="Q27" i="49"/>
  <c r="R27" i="49"/>
  <c r="S27" i="49"/>
  <c r="T27" i="49"/>
  <c r="U27" i="49"/>
  <c r="V27" i="49"/>
  <c r="W27" i="49"/>
  <c r="X27" i="49"/>
  <c r="Y27" i="49"/>
  <c r="Z27" i="49"/>
  <c r="AA27" i="49"/>
  <c r="AB27" i="49"/>
  <c r="AC27" i="49"/>
  <c r="AD27" i="49"/>
  <c r="AE27" i="49"/>
  <c r="AF27" i="49"/>
  <c r="AG27" i="49"/>
  <c r="AH27" i="49"/>
  <c r="AI27" i="49"/>
  <c r="AJ27" i="49"/>
  <c r="AK27" i="49"/>
  <c r="AL27" i="49"/>
  <c r="AM27" i="49"/>
  <c r="D28" i="49"/>
  <c r="E28" i="49"/>
  <c r="F28" i="49"/>
  <c r="G28" i="49"/>
  <c r="H28" i="49"/>
  <c r="I28" i="49"/>
  <c r="J28" i="49"/>
  <c r="K28" i="49"/>
  <c r="L28" i="49"/>
  <c r="M28" i="49"/>
  <c r="N28" i="49"/>
  <c r="O28" i="49"/>
  <c r="P28" i="49"/>
  <c r="Q28" i="49"/>
  <c r="R28" i="49"/>
  <c r="S28" i="49"/>
  <c r="T28" i="49"/>
  <c r="U28" i="49"/>
  <c r="V28" i="49"/>
  <c r="W28" i="49"/>
  <c r="X28" i="49"/>
  <c r="Y28" i="49"/>
  <c r="Z28" i="49"/>
  <c r="AA28" i="49"/>
  <c r="AB28" i="49"/>
  <c r="AC28" i="49"/>
  <c r="AD28" i="49"/>
  <c r="AE28" i="49"/>
  <c r="AF28" i="49"/>
  <c r="AG28" i="49"/>
  <c r="AH28" i="49"/>
  <c r="AI28" i="49"/>
  <c r="AJ28" i="49"/>
  <c r="AK28" i="49"/>
  <c r="AL28" i="49"/>
  <c r="AM28" i="49"/>
  <c r="D29" i="49"/>
  <c r="E29" i="49"/>
  <c r="F29" i="49"/>
  <c r="G29" i="49"/>
  <c r="H29" i="49"/>
  <c r="I29" i="49"/>
  <c r="J29" i="49"/>
  <c r="K29" i="49"/>
  <c r="L29" i="49"/>
  <c r="M29" i="49"/>
  <c r="N29" i="49"/>
  <c r="O29" i="49"/>
  <c r="P29" i="49"/>
  <c r="Q29" i="49"/>
  <c r="R29" i="49"/>
  <c r="S29" i="49"/>
  <c r="T29" i="49"/>
  <c r="U29" i="49"/>
  <c r="V29" i="49"/>
  <c r="W29" i="49"/>
  <c r="X29" i="49"/>
  <c r="Y29" i="49"/>
  <c r="Z29" i="49"/>
  <c r="AA29" i="49"/>
  <c r="AB29" i="49"/>
  <c r="AC29" i="49"/>
  <c r="AD29" i="49"/>
  <c r="AE29" i="49"/>
  <c r="AF29" i="49"/>
  <c r="AG29" i="49"/>
  <c r="AH29" i="49"/>
  <c r="AI29" i="49"/>
  <c r="AJ29" i="49"/>
  <c r="AK29" i="49"/>
  <c r="AL29" i="49"/>
  <c r="AM29" i="49"/>
  <c r="D30" i="49"/>
  <c r="E30" i="49"/>
  <c r="F30" i="49"/>
  <c r="G30" i="49"/>
  <c r="H30" i="49"/>
  <c r="I30" i="49"/>
  <c r="J30" i="49"/>
  <c r="K30" i="49"/>
  <c r="L30" i="49"/>
  <c r="M30" i="49"/>
  <c r="N30" i="49"/>
  <c r="O30" i="49"/>
  <c r="P30" i="49"/>
  <c r="Q30" i="49"/>
  <c r="R30" i="49"/>
  <c r="S30" i="49"/>
  <c r="T30" i="49"/>
  <c r="U30" i="49"/>
  <c r="V30" i="49"/>
  <c r="W30" i="49"/>
  <c r="X30" i="49"/>
  <c r="Y30" i="49"/>
  <c r="Z30" i="49"/>
  <c r="AA30" i="49"/>
  <c r="AB30" i="49"/>
  <c r="AC30" i="49"/>
  <c r="AD30" i="49"/>
  <c r="AE30" i="49"/>
  <c r="AF30" i="49"/>
  <c r="AG30" i="49"/>
  <c r="AH30" i="49"/>
  <c r="AI30" i="49"/>
  <c r="AJ30" i="49"/>
  <c r="AK30" i="49"/>
  <c r="AL30" i="49"/>
  <c r="AM30" i="49"/>
  <c r="D31" i="49"/>
  <c r="E31" i="49"/>
  <c r="F31" i="49"/>
  <c r="G31" i="49"/>
  <c r="H31" i="49"/>
  <c r="I31" i="49"/>
  <c r="J31" i="49"/>
  <c r="K31" i="49"/>
  <c r="L31" i="49"/>
  <c r="M31" i="49"/>
  <c r="N31" i="49"/>
  <c r="O31" i="49"/>
  <c r="P31" i="49"/>
  <c r="Q31" i="49"/>
  <c r="R31" i="49"/>
  <c r="S31" i="49"/>
  <c r="T31" i="49"/>
  <c r="U31" i="49"/>
  <c r="V31" i="49"/>
  <c r="W31" i="49"/>
  <c r="X31" i="49"/>
  <c r="Y31" i="49"/>
  <c r="Z31" i="49"/>
  <c r="AA31" i="49"/>
  <c r="AB31" i="49"/>
  <c r="AC31" i="49"/>
  <c r="AD31" i="49"/>
  <c r="AE31" i="49"/>
  <c r="AF31" i="49"/>
  <c r="AG31" i="49"/>
  <c r="AH31" i="49"/>
  <c r="AI31" i="49"/>
  <c r="AJ31" i="49"/>
  <c r="AK31" i="49"/>
  <c r="AL31" i="49"/>
  <c r="AM31" i="49"/>
  <c r="D32" i="49"/>
  <c r="E32" i="49"/>
  <c r="F32" i="49"/>
  <c r="G32" i="49"/>
  <c r="H32" i="49"/>
  <c r="I32" i="49"/>
  <c r="J32" i="49"/>
  <c r="K32" i="49"/>
  <c r="L32" i="49"/>
  <c r="M32" i="49"/>
  <c r="N32" i="49"/>
  <c r="O32" i="49"/>
  <c r="P32" i="49"/>
  <c r="Q32" i="49"/>
  <c r="R32" i="49"/>
  <c r="S32" i="49"/>
  <c r="T32" i="49"/>
  <c r="U32" i="49"/>
  <c r="V32" i="49"/>
  <c r="W32" i="49"/>
  <c r="X32" i="49"/>
  <c r="Y32" i="49"/>
  <c r="Z32" i="49"/>
  <c r="AA32" i="49"/>
  <c r="AB32" i="49"/>
  <c r="AC32" i="49"/>
  <c r="AD32" i="49"/>
  <c r="AE32" i="49"/>
  <c r="AF32" i="49"/>
  <c r="AG32" i="49"/>
  <c r="AH32" i="49"/>
  <c r="AI32" i="49"/>
  <c r="AJ32" i="49"/>
  <c r="AK32" i="49"/>
  <c r="AL32" i="49"/>
  <c r="AM32" i="49"/>
  <c r="D33" i="49"/>
  <c r="E33" i="49"/>
  <c r="F33" i="49"/>
  <c r="G33" i="49"/>
  <c r="H33" i="49"/>
  <c r="I33" i="49"/>
  <c r="J33" i="49"/>
  <c r="K33" i="49"/>
  <c r="L33" i="49"/>
  <c r="M33" i="49"/>
  <c r="N33" i="49"/>
  <c r="O33" i="49"/>
  <c r="P33" i="49"/>
  <c r="Q33" i="49"/>
  <c r="R33" i="49"/>
  <c r="S33" i="49"/>
  <c r="T33" i="49"/>
  <c r="U33" i="49"/>
  <c r="V33" i="49"/>
  <c r="W33" i="49"/>
  <c r="X33" i="49"/>
  <c r="Y33" i="49"/>
  <c r="Z33" i="49"/>
  <c r="AA33" i="49"/>
  <c r="AB33" i="49"/>
  <c r="AC33" i="49"/>
  <c r="AD33" i="49"/>
  <c r="AE33" i="49"/>
  <c r="AF33" i="49"/>
  <c r="AG33" i="49"/>
  <c r="AH33" i="49"/>
  <c r="AI33" i="49"/>
  <c r="AJ33" i="49"/>
  <c r="AK33" i="49"/>
  <c r="AL33" i="49"/>
  <c r="AM33" i="49"/>
  <c r="D34" i="49"/>
  <c r="E34" i="49"/>
  <c r="F34" i="49"/>
  <c r="G34" i="49"/>
  <c r="H34" i="49"/>
  <c r="I34" i="49"/>
  <c r="J34" i="49"/>
  <c r="K34" i="49"/>
  <c r="L34" i="49"/>
  <c r="M34" i="49"/>
  <c r="N34" i="49"/>
  <c r="O34" i="49"/>
  <c r="P34" i="49"/>
  <c r="Q34" i="49"/>
  <c r="R34" i="49"/>
  <c r="S34" i="49"/>
  <c r="T34" i="49"/>
  <c r="U34" i="49"/>
  <c r="V34" i="49"/>
  <c r="W34" i="49"/>
  <c r="X34" i="49"/>
  <c r="Y34" i="49"/>
  <c r="Z34" i="49"/>
  <c r="AA34" i="49"/>
  <c r="AB34" i="49"/>
  <c r="AC34" i="49"/>
  <c r="AD34" i="49"/>
  <c r="AE34" i="49"/>
  <c r="AF34" i="49"/>
  <c r="AG34" i="49"/>
  <c r="AH34" i="49"/>
  <c r="AI34" i="49"/>
  <c r="AJ34" i="49"/>
  <c r="AK34" i="49"/>
  <c r="AL34" i="49"/>
  <c r="AM34" i="49"/>
  <c r="D35" i="49"/>
  <c r="E35" i="49"/>
  <c r="F35" i="49"/>
  <c r="G35" i="49"/>
  <c r="H35" i="49"/>
  <c r="I35" i="49"/>
  <c r="J35" i="49"/>
  <c r="K35" i="49"/>
  <c r="L35" i="49"/>
  <c r="M35" i="49"/>
  <c r="N35" i="49"/>
  <c r="O35" i="49"/>
  <c r="P35" i="49"/>
  <c r="Q35" i="49"/>
  <c r="R35" i="49"/>
  <c r="S35" i="49"/>
  <c r="T35" i="49"/>
  <c r="U35" i="49"/>
  <c r="V35" i="49"/>
  <c r="W35" i="49"/>
  <c r="X35" i="49"/>
  <c r="Y35" i="49"/>
  <c r="Z35" i="49"/>
  <c r="AA35" i="49"/>
  <c r="AB35" i="49"/>
  <c r="AC35" i="49"/>
  <c r="AD35" i="49"/>
  <c r="AE35" i="49"/>
  <c r="AF35" i="49"/>
  <c r="AG35" i="49"/>
  <c r="AH35" i="49"/>
  <c r="AI35" i="49"/>
  <c r="AJ35" i="49"/>
  <c r="AK35" i="49"/>
  <c r="AL35" i="49"/>
  <c r="AM35" i="49"/>
  <c r="D36" i="49"/>
  <c r="E36" i="49"/>
  <c r="F36" i="49"/>
  <c r="G36" i="49"/>
  <c r="H36" i="49"/>
  <c r="I36" i="49"/>
  <c r="J36" i="49"/>
  <c r="K36" i="49"/>
  <c r="L36" i="49"/>
  <c r="M36" i="49"/>
  <c r="N36" i="49"/>
  <c r="O36" i="49"/>
  <c r="P36" i="49"/>
  <c r="Q36" i="49"/>
  <c r="R36" i="49"/>
  <c r="S36" i="49"/>
  <c r="T36" i="49"/>
  <c r="U36" i="49"/>
  <c r="V36" i="49"/>
  <c r="W36" i="49"/>
  <c r="X36" i="49"/>
  <c r="Y36" i="49"/>
  <c r="Z36" i="49"/>
  <c r="AA36" i="49"/>
  <c r="AB36" i="49"/>
  <c r="AC36" i="49"/>
  <c r="AD36" i="49"/>
  <c r="AE36" i="49"/>
  <c r="AF36" i="49"/>
  <c r="AG36" i="49"/>
  <c r="AH36" i="49"/>
  <c r="AI36" i="49"/>
  <c r="AJ36" i="49"/>
  <c r="AK36" i="49"/>
  <c r="AL36" i="49"/>
  <c r="AM36" i="49"/>
  <c r="D37" i="49"/>
  <c r="E37" i="49"/>
  <c r="F37" i="49"/>
  <c r="G37" i="49"/>
  <c r="H37" i="49"/>
  <c r="I37" i="49"/>
  <c r="J37" i="49"/>
  <c r="K37" i="49"/>
  <c r="L37" i="49"/>
  <c r="M37" i="49"/>
  <c r="N37" i="49"/>
  <c r="O37" i="49"/>
  <c r="P37" i="49"/>
  <c r="Q37" i="49"/>
  <c r="R37" i="49"/>
  <c r="S37" i="49"/>
  <c r="T37" i="49"/>
  <c r="U37" i="49"/>
  <c r="V37" i="49"/>
  <c r="W37" i="49"/>
  <c r="X37" i="49"/>
  <c r="Y37" i="49"/>
  <c r="Z37" i="49"/>
  <c r="AA37" i="49"/>
  <c r="AB37" i="49"/>
  <c r="AC37" i="49"/>
  <c r="AD37" i="49"/>
  <c r="AE37" i="49"/>
  <c r="AF37" i="49"/>
  <c r="AG37" i="49"/>
  <c r="AH37" i="49"/>
  <c r="AI37" i="49"/>
  <c r="AJ37" i="49"/>
  <c r="AK37" i="49"/>
  <c r="AL37" i="49"/>
  <c r="AM37" i="49"/>
  <c r="D38" i="49"/>
  <c r="E38" i="49"/>
  <c r="F38" i="49"/>
  <c r="G38" i="49"/>
  <c r="H38" i="49"/>
  <c r="I38" i="49"/>
  <c r="J38" i="49"/>
  <c r="K38" i="49"/>
  <c r="L38" i="49"/>
  <c r="M38" i="49"/>
  <c r="N38" i="49"/>
  <c r="O38" i="49"/>
  <c r="P38" i="49"/>
  <c r="Q38" i="49"/>
  <c r="R38" i="49"/>
  <c r="S38" i="49"/>
  <c r="T38" i="49"/>
  <c r="U38" i="49"/>
  <c r="V38" i="49"/>
  <c r="W38" i="49"/>
  <c r="X38" i="49"/>
  <c r="Y38" i="49"/>
  <c r="Z38" i="49"/>
  <c r="AA38" i="49"/>
  <c r="AB38" i="49"/>
  <c r="AC38" i="49"/>
  <c r="AD38" i="49"/>
  <c r="AE38" i="49"/>
  <c r="AF38" i="49"/>
  <c r="AG38" i="49"/>
  <c r="AH38" i="49"/>
  <c r="AI38" i="49"/>
  <c r="AJ38" i="49"/>
  <c r="AK38" i="49"/>
  <c r="AL38" i="49"/>
  <c r="AM38" i="49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D40" i="49"/>
  <c r="E40" i="49"/>
  <c r="F40" i="49"/>
  <c r="G40" i="49"/>
  <c r="H40" i="49"/>
  <c r="I40" i="49"/>
  <c r="J40" i="49"/>
  <c r="K40" i="49"/>
  <c r="L40" i="49"/>
  <c r="M40" i="49"/>
  <c r="N40" i="49"/>
  <c r="O40" i="49"/>
  <c r="P40" i="49"/>
  <c r="Q40" i="49"/>
  <c r="R40" i="49"/>
  <c r="S40" i="49"/>
  <c r="T40" i="49"/>
  <c r="U40" i="49"/>
  <c r="V40" i="49"/>
  <c r="W40" i="49"/>
  <c r="X40" i="49"/>
  <c r="Y40" i="49"/>
  <c r="Z40" i="49"/>
  <c r="AA40" i="49"/>
  <c r="AB40" i="49"/>
  <c r="AC40" i="49"/>
  <c r="AD40" i="49"/>
  <c r="AE40" i="49"/>
  <c r="AF40" i="49"/>
  <c r="AG40" i="49"/>
  <c r="AH40" i="49"/>
  <c r="AI40" i="49"/>
  <c r="AJ40" i="49"/>
  <c r="AK40" i="49"/>
  <c r="AL40" i="49"/>
  <c r="AM40" i="49"/>
  <c r="D41" i="49"/>
  <c r="E41" i="49"/>
  <c r="F41" i="49"/>
  <c r="G41" i="49"/>
  <c r="H41" i="49"/>
  <c r="I41" i="49"/>
  <c r="J41" i="49"/>
  <c r="K41" i="49"/>
  <c r="L41" i="49"/>
  <c r="M41" i="49"/>
  <c r="N41" i="49"/>
  <c r="O41" i="49"/>
  <c r="P41" i="49"/>
  <c r="Q41" i="49"/>
  <c r="R41" i="49"/>
  <c r="S41" i="49"/>
  <c r="T41" i="49"/>
  <c r="U41" i="49"/>
  <c r="V41" i="49"/>
  <c r="W41" i="49"/>
  <c r="X41" i="49"/>
  <c r="Y41" i="49"/>
  <c r="Z41" i="49"/>
  <c r="AA41" i="49"/>
  <c r="AB41" i="49"/>
  <c r="AC41" i="49"/>
  <c r="AD41" i="49"/>
  <c r="AE41" i="49"/>
  <c r="AF41" i="49"/>
  <c r="AG41" i="49"/>
  <c r="AH41" i="49"/>
  <c r="AI41" i="49"/>
  <c r="AJ41" i="49"/>
  <c r="AK41" i="49"/>
  <c r="AL41" i="49"/>
  <c r="AM41" i="49"/>
  <c r="D42" i="49"/>
  <c r="E42" i="49"/>
  <c r="F42" i="49"/>
  <c r="G42" i="49"/>
  <c r="H42" i="49"/>
  <c r="I42" i="49"/>
  <c r="J42" i="49"/>
  <c r="K42" i="49"/>
  <c r="L42" i="49"/>
  <c r="M42" i="49"/>
  <c r="N42" i="49"/>
  <c r="O42" i="49"/>
  <c r="P42" i="49"/>
  <c r="Q42" i="49"/>
  <c r="R42" i="49"/>
  <c r="S42" i="49"/>
  <c r="T42" i="49"/>
  <c r="U42" i="49"/>
  <c r="V42" i="49"/>
  <c r="W42" i="49"/>
  <c r="X42" i="49"/>
  <c r="Y42" i="49"/>
  <c r="Z42" i="49"/>
  <c r="AA42" i="49"/>
  <c r="AB42" i="49"/>
  <c r="AC42" i="49"/>
  <c r="AD42" i="49"/>
  <c r="AE42" i="49"/>
  <c r="AF42" i="49"/>
  <c r="AG42" i="49"/>
  <c r="AH42" i="49"/>
  <c r="AI42" i="49"/>
  <c r="AJ42" i="49"/>
  <c r="AK42" i="49"/>
  <c r="AL42" i="49"/>
  <c r="AM42" i="49"/>
  <c r="D43" i="49"/>
  <c r="E43" i="49"/>
  <c r="F43" i="49"/>
  <c r="G43" i="49"/>
  <c r="H43" i="49"/>
  <c r="I43" i="49"/>
  <c r="J43" i="49"/>
  <c r="K43" i="49"/>
  <c r="L43" i="49"/>
  <c r="M43" i="49"/>
  <c r="N43" i="49"/>
  <c r="O43" i="49"/>
  <c r="P43" i="49"/>
  <c r="Q43" i="49"/>
  <c r="R43" i="49"/>
  <c r="S43" i="49"/>
  <c r="T43" i="49"/>
  <c r="U43" i="49"/>
  <c r="V43" i="49"/>
  <c r="W43" i="49"/>
  <c r="X43" i="49"/>
  <c r="Y43" i="49"/>
  <c r="Z43" i="49"/>
  <c r="AA43" i="49"/>
  <c r="AB43" i="49"/>
  <c r="AC43" i="49"/>
  <c r="AD43" i="49"/>
  <c r="AE43" i="49"/>
  <c r="AF43" i="49"/>
  <c r="AG43" i="49"/>
  <c r="AH43" i="49"/>
  <c r="AI43" i="49"/>
  <c r="AJ43" i="49"/>
  <c r="AK43" i="49"/>
  <c r="AL43" i="49"/>
  <c r="AM43" i="49"/>
  <c r="D44" i="49"/>
  <c r="E44" i="49"/>
  <c r="F44" i="49"/>
  <c r="G44" i="49"/>
  <c r="H44" i="49"/>
  <c r="I44" i="49"/>
  <c r="J44" i="49"/>
  <c r="K44" i="49"/>
  <c r="L44" i="49"/>
  <c r="M44" i="49"/>
  <c r="N44" i="49"/>
  <c r="O44" i="49"/>
  <c r="P44" i="49"/>
  <c r="Q44" i="49"/>
  <c r="R44" i="49"/>
  <c r="S44" i="49"/>
  <c r="T44" i="49"/>
  <c r="U44" i="49"/>
  <c r="V44" i="49"/>
  <c r="W44" i="49"/>
  <c r="X44" i="49"/>
  <c r="Y44" i="49"/>
  <c r="Z44" i="49"/>
  <c r="AA44" i="49"/>
  <c r="AB44" i="49"/>
  <c r="AC44" i="49"/>
  <c r="AD44" i="49"/>
  <c r="AE44" i="49"/>
  <c r="AF44" i="49"/>
  <c r="AG44" i="49"/>
  <c r="AH44" i="49"/>
  <c r="AI44" i="49"/>
  <c r="AJ44" i="49"/>
  <c r="AK44" i="49"/>
  <c r="AL44" i="49"/>
  <c r="AM44" i="49"/>
  <c r="D45" i="49"/>
  <c r="E45" i="49"/>
  <c r="F45" i="49"/>
  <c r="G45" i="49"/>
  <c r="H45" i="49"/>
  <c r="I45" i="49"/>
  <c r="J45" i="49"/>
  <c r="K45" i="49"/>
  <c r="L45" i="49"/>
  <c r="M45" i="49"/>
  <c r="N45" i="49"/>
  <c r="O45" i="49"/>
  <c r="P45" i="49"/>
  <c r="Q45" i="49"/>
  <c r="R45" i="49"/>
  <c r="S45" i="49"/>
  <c r="T45" i="49"/>
  <c r="U45" i="49"/>
  <c r="V45" i="49"/>
  <c r="W45" i="49"/>
  <c r="X45" i="49"/>
  <c r="Y45" i="49"/>
  <c r="Z45" i="49"/>
  <c r="AA45" i="49"/>
  <c r="AB45" i="49"/>
  <c r="AC45" i="49"/>
  <c r="AD45" i="49"/>
  <c r="AE45" i="49"/>
  <c r="AF45" i="49"/>
  <c r="AG45" i="49"/>
  <c r="AH45" i="49"/>
  <c r="AI45" i="49"/>
  <c r="AJ45" i="49"/>
  <c r="AK45" i="49"/>
  <c r="AL45" i="49"/>
  <c r="AM45" i="49"/>
  <c r="D46" i="49"/>
  <c r="E46" i="49"/>
  <c r="F46" i="49"/>
  <c r="G46" i="49"/>
  <c r="H46" i="49"/>
  <c r="I46" i="49"/>
  <c r="J46" i="49"/>
  <c r="K46" i="49"/>
  <c r="L46" i="49"/>
  <c r="M46" i="49"/>
  <c r="N46" i="49"/>
  <c r="O46" i="49"/>
  <c r="P46" i="49"/>
  <c r="Q46" i="49"/>
  <c r="R46" i="49"/>
  <c r="S46" i="49"/>
  <c r="T46" i="49"/>
  <c r="U46" i="49"/>
  <c r="V46" i="49"/>
  <c r="W46" i="49"/>
  <c r="X46" i="49"/>
  <c r="Y46" i="49"/>
  <c r="Z46" i="49"/>
  <c r="AA46" i="49"/>
  <c r="AB46" i="49"/>
  <c r="AC46" i="49"/>
  <c r="AD46" i="49"/>
  <c r="AE46" i="49"/>
  <c r="AF46" i="49"/>
  <c r="AG46" i="49"/>
  <c r="AH46" i="49"/>
  <c r="AI46" i="49"/>
  <c r="AJ46" i="49"/>
  <c r="AK46" i="49"/>
  <c r="AL46" i="49"/>
  <c r="AM46" i="49"/>
  <c r="D47" i="49"/>
  <c r="E47" i="49"/>
  <c r="F47" i="49"/>
  <c r="G47" i="49"/>
  <c r="H47" i="49"/>
  <c r="I47" i="49"/>
  <c r="J47" i="49"/>
  <c r="K47" i="49"/>
  <c r="L47" i="49"/>
  <c r="M47" i="49"/>
  <c r="N47" i="49"/>
  <c r="O47" i="49"/>
  <c r="P47" i="49"/>
  <c r="Q47" i="49"/>
  <c r="R47" i="49"/>
  <c r="S47" i="49"/>
  <c r="T47" i="49"/>
  <c r="U47" i="49"/>
  <c r="V47" i="49"/>
  <c r="W47" i="49"/>
  <c r="X47" i="49"/>
  <c r="Y47" i="49"/>
  <c r="Z47" i="49"/>
  <c r="AA47" i="49"/>
  <c r="AB47" i="49"/>
  <c r="AC47" i="49"/>
  <c r="AD47" i="49"/>
  <c r="AE47" i="49"/>
  <c r="AF47" i="49"/>
  <c r="AG47" i="49"/>
  <c r="AH47" i="49"/>
  <c r="AI47" i="49"/>
  <c r="AJ47" i="49"/>
  <c r="AK47" i="49"/>
  <c r="AL47" i="49"/>
  <c r="AM47" i="49"/>
  <c r="D48" i="49"/>
  <c r="E48" i="49"/>
  <c r="F48" i="49"/>
  <c r="G48" i="49"/>
  <c r="H48" i="49"/>
  <c r="I48" i="49"/>
  <c r="J48" i="49"/>
  <c r="K48" i="49"/>
  <c r="L48" i="49"/>
  <c r="M48" i="49"/>
  <c r="N48" i="49"/>
  <c r="O48" i="49"/>
  <c r="P48" i="49"/>
  <c r="Q48" i="49"/>
  <c r="R48" i="49"/>
  <c r="S48" i="49"/>
  <c r="T48" i="49"/>
  <c r="U48" i="49"/>
  <c r="V48" i="49"/>
  <c r="W48" i="49"/>
  <c r="X48" i="49"/>
  <c r="Y48" i="49"/>
  <c r="Z48" i="49"/>
  <c r="AA48" i="49"/>
  <c r="AB48" i="49"/>
  <c r="AC48" i="49"/>
  <c r="AD48" i="49"/>
  <c r="AE48" i="49"/>
  <c r="AF48" i="49"/>
  <c r="AG48" i="49"/>
  <c r="AH48" i="49"/>
  <c r="AI48" i="49"/>
  <c r="AJ48" i="49"/>
  <c r="AK48" i="49"/>
  <c r="AL48" i="49"/>
  <c r="AM48" i="49"/>
  <c r="D49" i="49"/>
  <c r="E49" i="49"/>
  <c r="F49" i="49"/>
  <c r="G49" i="49"/>
  <c r="H49" i="49"/>
  <c r="I49" i="49"/>
  <c r="J49" i="49"/>
  <c r="K49" i="49"/>
  <c r="L49" i="49"/>
  <c r="M49" i="49"/>
  <c r="N49" i="49"/>
  <c r="O49" i="49"/>
  <c r="P49" i="49"/>
  <c r="Q49" i="49"/>
  <c r="R49" i="49"/>
  <c r="S49" i="49"/>
  <c r="T49" i="49"/>
  <c r="U49" i="49"/>
  <c r="V49" i="49"/>
  <c r="W49" i="49"/>
  <c r="X49" i="49"/>
  <c r="Y49" i="49"/>
  <c r="Z49" i="49"/>
  <c r="AA49" i="49"/>
  <c r="AB49" i="49"/>
  <c r="AC49" i="49"/>
  <c r="AD49" i="49"/>
  <c r="AE49" i="49"/>
  <c r="AF49" i="49"/>
  <c r="AG49" i="49"/>
  <c r="AH49" i="49"/>
  <c r="AI49" i="49"/>
  <c r="AJ49" i="49"/>
  <c r="AK49" i="49"/>
  <c r="AL49" i="49"/>
  <c r="AM49" i="49"/>
  <c r="D50" i="49"/>
  <c r="E50" i="49"/>
  <c r="F50" i="49"/>
  <c r="G50" i="49"/>
  <c r="H50" i="49"/>
  <c r="I50" i="49"/>
  <c r="J50" i="49"/>
  <c r="K50" i="49"/>
  <c r="L50" i="49"/>
  <c r="M50" i="49"/>
  <c r="N50" i="49"/>
  <c r="O50" i="49"/>
  <c r="P50" i="49"/>
  <c r="Q50" i="49"/>
  <c r="R50" i="49"/>
  <c r="S50" i="49"/>
  <c r="T50" i="49"/>
  <c r="U50" i="49"/>
  <c r="V50" i="49"/>
  <c r="W50" i="49"/>
  <c r="X50" i="49"/>
  <c r="Y50" i="49"/>
  <c r="Z50" i="49"/>
  <c r="AA50" i="49"/>
  <c r="AB50" i="49"/>
  <c r="AC50" i="49"/>
  <c r="AD50" i="49"/>
  <c r="AE50" i="49"/>
  <c r="AF50" i="49"/>
  <c r="AG50" i="49"/>
  <c r="AH50" i="49"/>
  <c r="AI50" i="49"/>
  <c r="AJ50" i="49"/>
  <c r="AK50" i="49"/>
  <c r="AL50" i="49"/>
  <c r="AM50" i="49"/>
  <c r="D51" i="49"/>
  <c r="E51" i="49"/>
  <c r="F51" i="49"/>
  <c r="G51" i="49"/>
  <c r="H51" i="49"/>
  <c r="I51" i="49"/>
  <c r="J51" i="49"/>
  <c r="K51" i="49"/>
  <c r="L51" i="49"/>
  <c r="M51" i="49"/>
  <c r="N51" i="49"/>
  <c r="O51" i="49"/>
  <c r="P51" i="49"/>
  <c r="Q51" i="49"/>
  <c r="R51" i="49"/>
  <c r="S51" i="49"/>
  <c r="T51" i="49"/>
  <c r="U51" i="49"/>
  <c r="V51" i="49"/>
  <c r="W51" i="49"/>
  <c r="X51" i="49"/>
  <c r="Y51" i="49"/>
  <c r="Z51" i="49"/>
  <c r="AA51" i="49"/>
  <c r="AB51" i="49"/>
  <c r="AC51" i="49"/>
  <c r="AD51" i="49"/>
  <c r="AE51" i="49"/>
  <c r="AF51" i="49"/>
  <c r="AG51" i="49"/>
  <c r="AH51" i="49"/>
  <c r="AI51" i="49"/>
  <c r="AJ51" i="49"/>
  <c r="AK51" i="49"/>
  <c r="AL51" i="49"/>
  <c r="AM51" i="49"/>
  <c r="D52" i="49"/>
  <c r="E52" i="49"/>
  <c r="F52" i="49"/>
  <c r="G52" i="49"/>
  <c r="H52" i="49"/>
  <c r="I52" i="49"/>
  <c r="J52" i="49"/>
  <c r="K52" i="49"/>
  <c r="L52" i="49"/>
  <c r="M52" i="49"/>
  <c r="N52" i="49"/>
  <c r="O52" i="49"/>
  <c r="P52" i="49"/>
  <c r="Q52" i="49"/>
  <c r="R52" i="49"/>
  <c r="S52" i="49"/>
  <c r="T52" i="49"/>
  <c r="U52" i="49"/>
  <c r="V52" i="49"/>
  <c r="W52" i="49"/>
  <c r="X52" i="49"/>
  <c r="Y52" i="49"/>
  <c r="Z52" i="49"/>
  <c r="AA52" i="49"/>
  <c r="AB52" i="49"/>
  <c r="AC52" i="49"/>
  <c r="AD52" i="49"/>
  <c r="AE52" i="49"/>
  <c r="AF52" i="49"/>
  <c r="AG52" i="49"/>
  <c r="AH52" i="49"/>
  <c r="AI52" i="49"/>
  <c r="AJ52" i="49"/>
  <c r="AK52" i="49"/>
  <c r="AL52" i="49"/>
  <c r="AM52" i="49"/>
  <c r="D53" i="49"/>
  <c r="E53" i="49"/>
  <c r="F53" i="49"/>
  <c r="G53" i="49"/>
  <c r="H53" i="49"/>
  <c r="I53" i="49"/>
  <c r="J53" i="49"/>
  <c r="K53" i="49"/>
  <c r="L53" i="49"/>
  <c r="M53" i="49"/>
  <c r="N53" i="49"/>
  <c r="O53" i="49"/>
  <c r="P53" i="49"/>
  <c r="Q53" i="49"/>
  <c r="R53" i="49"/>
  <c r="S53" i="49"/>
  <c r="T53" i="49"/>
  <c r="U53" i="49"/>
  <c r="V53" i="49"/>
  <c r="W53" i="49"/>
  <c r="X53" i="49"/>
  <c r="Y53" i="49"/>
  <c r="Z53" i="49"/>
  <c r="AA53" i="49"/>
  <c r="AB53" i="49"/>
  <c r="AC53" i="49"/>
  <c r="AD53" i="49"/>
  <c r="AE53" i="49"/>
  <c r="AF53" i="49"/>
  <c r="AG53" i="49"/>
  <c r="AH53" i="49"/>
  <c r="AI53" i="49"/>
  <c r="AJ53" i="49"/>
  <c r="AK53" i="49"/>
  <c r="AL53" i="49"/>
  <c r="AM53" i="49"/>
  <c r="D54" i="49"/>
  <c r="E54" i="49"/>
  <c r="F54" i="49"/>
  <c r="G54" i="49"/>
  <c r="H54" i="49"/>
  <c r="I54" i="49"/>
  <c r="J54" i="49"/>
  <c r="K54" i="49"/>
  <c r="L54" i="49"/>
  <c r="M54" i="49"/>
  <c r="N54" i="49"/>
  <c r="O54" i="49"/>
  <c r="P54" i="49"/>
  <c r="Q54" i="49"/>
  <c r="R54" i="49"/>
  <c r="S54" i="49"/>
  <c r="T54" i="49"/>
  <c r="U54" i="49"/>
  <c r="V54" i="49"/>
  <c r="W54" i="49"/>
  <c r="X54" i="49"/>
  <c r="Y54" i="49"/>
  <c r="Z54" i="49"/>
  <c r="AA54" i="49"/>
  <c r="AB54" i="49"/>
  <c r="AC54" i="49"/>
  <c r="AD54" i="49"/>
  <c r="AE54" i="49"/>
  <c r="AF54" i="49"/>
  <c r="AG54" i="49"/>
  <c r="AH54" i="49"/>
  <c r="AI54" i="49"/>
  <c r="AJ54" i="49"/>
  <c r="AK54" i="49"/>
  <c r="AL54" i="49"/>
  <c r="AM54" i="49"/>
  <c r="D55" i="49"/>
  <c r="E55" i="49"/>
  <c r="F55" i="49"/>
  <c r="G55" i="49"/>
  <c r="H55" i="49"/>
  <c r="I55" i="49"/>
  <c r="J55" i="49"/>
  <c r="K55" i="49"/>
  <c r="L55" i="49"/>
  <c r="M55" i="49"/>
  <c r="N55" i="49"/>
  <c r="O55" i="49"/>
  <c r="P55" i="49"/>
  <c r="Q55" i="49"/>
  <c r="R55" i="49"/>
  <c r="S55" i="49"/>
  <c r="T55" i="49"/>
  <c r="U55" i="49"/>
  <c r="V55" i="49"/>
  <c r="W55" i="49"/>
  <c r="X55" i="49"/>
  <c r="Y55" i="49"/>
  <c r="Z55" i="49"/>
  <c r="AA55" i="49"/>
  <c r="AB55" i="49"/>
  <c r="AC55" i="49"/>
  <c r="AD55" i="49"/>
  <c r="AE55" i="49"/>
  <c r="AF55" i="49"/>
  <c r="AG55" i="49"/>
  <c r="AH55" i="49"/>
  <c r="AI55" i="49"/>
  <c r="AJ55" i="49"/>
  <c r="AK55" i="49"/>
  <c r="AL55" i="49"/>
  <c r="AM55" i="49"/>
  <c r="D56" i="49"/>
  <c r="E56" i="49"/>
  <c r="F56" i="49"/>
  <c r="G56" i="49"/>
  <c r="H56" i="49"/>
  <c r="I56" i="49"/>
  <c r="J56" i="49"/>
  <c r="K56" i="49"/>
  <c r="L56" i="49"/>
  <c r="M56" i="49"/>
  <c r="N56" i="49"/>
  <c r="O56" i="49"/>
  <c r="P56" i="49"/>
  <c r="Q56" i="49"/>
  <c r="R56" i="49"/>
  <c r="S56" i="49"/>
  <c r="T56" i="49"/>
  <c r="U56" i="49"/>
  <c r="V56" i="49"/>
  <c r="W56" i="49"/>
  <c r="X56" i="49"/>
  <c r="Y56" i="49"/>
  <c r="Z56" i="49"/>
  <c r="AA56" i="49"/>
  <c r="AB56" i="49"/>
  <c r="AC56" i="49"/>
  <c r="AD56" i="49"/>
  <c r="AE56" i="49"/>
  <c r="AF56" i="49"/>
  <c r="AG56" i="49"/>
  <c r="AH56" i="49"/>
  <c r="AI56" i="49"/>
  <c r="AJ56" i="49"/>
  <c r="AK56" i="49"/>
  <c r="AL56" i="49"/>
  <c r="AM56" i="49"/>
  <c r="D57" i="49"/>
  <c r="E57" i="49"/>
  <c r="F57" i="49"/>
  <c r="G57" i="49"/>
  <c r="H57" i="49"/>
  <c r="I57" i="49"/>
  <c r="J57" i="49"/>
  <c r="K57" i="49"/>
  <c r="L57" i="49"/>
  <c r="M57" i="49"/>
  <c r="N57" i="49"/>
  <c r="O57" i="49"/>
  <c r="P57" i="49"/>
  <c r="Q57" i="49"/>
  <c r="R57" i="49"/>
  <c r="S57" i="49"/>
  <c r="T57" i="49"/>
  <c r="U57" i="49"/>
  <c r="V57" i="49"/>
  <c r="W57" i="49"/>
  <c r="X57" i="49"/>
  <c r="Y57" i="49"/>
  <c r="Z57" i="49"/>
  <c r="AA57" i="49"/>
  <c r="AB57" i="49"/>
  <c r="AC57" i="49"/>
  <c r="AD57" i="49"/>
  <c r="AE57" i="49"/>
  <c r="AF57" i="49"/>
  <c r="AG57" i="49"/>
  <c r="AH57" i="49"/>
  <c r="AI57" i="49"/>
  <c r="AJ57" i="49"/>
  <c r="AK57" i="49"/>
  <c r="AL57" i="49"/>
  <c r="AM57" i="49"/>
  <c r="D58" i="49"/>
  <c r="E58" i="49"/>
  <c r="F58" i="49"/>
  <c r="G58" i="49"/>
  <c r="H58" i="49"/>
  <c r="I58" i="49"/>
  <c r="J58" i="49"/>
  <c r="K58" i="49"/>
  <c r="L58" i="49"/>
  <c r="M58" i="49"/>
  <c r="N58" i="49"/>
  <c r="O58" i="49"/>
  <c r="P58" i="49"/>
  <c r="Q58" i="49"/>
  <c r="R58" i="49"/>
  <c r="S58" i="49"/>
  <c r="T58" i="49"/>
  <c r="U58" i="49"/>
  <c r="V58" i="49"/>
  <c r="W58" i="49"/>
  <c r="X58" i="49"/>
  <c r="Y58" i="49"/>
  <c r="Z58" i="49"/>
  <c r="AA58" i="49"/>
  <c r="AB58" i="49"/>
  <c r="AC58" i="49"/>
  <c r="AD58" i="49"/>
  <c r="AE58" i="49"/>
  <c r="AF58" i="49"/>
  <c r="AG58" i="49"/>
  <c r="AH58" i="49"/>
  <c r="AI58" i="49"/>
  <c r="AJ58" i="49"/>
  <c r="AK58" i="49"/>
  <c r="AL58" i="49"/>
  <c r="AM58" i="49"/>
  <c r="D59" i="49"/>
  <c r="E59" i="49"/>
  <c r="F59" i="49"/>
  <c r="G59" i="49"/>
  <c r="H59" i="49"/>
  <c r="I59" i="49"/>
  <c r="J59" i="49"/>
  <c r="K59" i="49"/>
  <c r="L59" i="49"/>
  <c r="M59" i="49"/>
  <c r="N59" i="49"/>
  <c r="O59" i="49"/>
  <c r="P59" i="49"/>
  <c r="Q59" i="49"/>
  <c r="R59" i="49"/>
  <c r="S59" i="49"/>
  <c r="T59" i="49"/>
  <c r="U59" i="49"/>
  <c r="V59" i="49"/>
  <c r="W59" i="49"/>
  <c r="X59" i="49"/>
  <c r="Y59" i="49"/>
  <c r="Z59" i="49"/>
  <c r="AA59" i="49"/>
  <c r="AB59" i="49"/>
  <c r="AC59" i="49"/>
  <c r="AD59" i="49"/>
  <c r="AE59" i="49"/>
  <c r="AF59" i="49"/>
  <c r="AG59" i="49"/>
  <c r="AH59" i="49"/>
  <c r="AI59" i="49"/>
  <c r="AJ59" i="49"/>
  <c r="AK59" i="49"/>
  <c r="AL59" i="49"/>
  <c r="AM59" i="49"/>
  <c r="D60" i="49"/>
  <c r="E60" i="49"/>
  <c r="F60" i="49"/>
  <c r="G60" i="49"/>
  <c r="H60" i="49"/>
  <c r="I60" i="49"/>
  <c r="J60" i="49"/>
  <c r="K60" i="49"/>
  <c r="L60" i="49"/>
  <c r="M60" i="49"/>
  <c r="N60" i="49"/>
  <c r="O60" i="49"/>
  <c r="P60" i="49"/>
  <c r="Q60" i="49"/>
  <c r="R60" i="49"/>
  <c r="S60" i="49"/>
  <c r="T60" i="49"/>
  <c r="U60" i="49"/>
  <c r="V60" i="49"/>
  <c r="W60" i="49"/>
  <c r="X60" i="49"/>
  <c r="Y60" i="49"/>
  <c r="Z60" i="49"/>
  <c r="AA60" i="49"/>
  <c r="AB60" i="49"/>
  <c r="AC60" i="49"/>
  <c r="AD60" i="49"/>
  <c r="AE60" i="49"/>
  <c r="AF60" i="49"/>
  <c r="AG60" i="49"/>
  <c r="AH60" i="49"/>
  <c r="AI60" i="49"/>
  <c r="AJ60" i="49"/>
  <c r="AK60" i="49"/>
  <c r="AL60" i="49"/>
  <c r="AM60" i="49"/>
  <c r="D61" i="49"/>
  <c r="E61" i="49"/>
  <c r="F61" i="49"/>
  <c r="G61" i="49"/>
  <c r="H61" i="49"/>
  <c r="I61" i="49"/>
  <c r="J61" i="49"/>
  <c r="K61" i="49"/>
  <c r="L61" i="49"/>
  <c r="M61" i="49"/>
  <c r="N61" i="49"/>
  <c r="O61" i="49"/>
  <c r="P61" i="49"/>
  <c r="Q61" i="49"/>
  <c r="R61" i="49"/>
  <c r="S61" i="49"/>
  <c r="T61" i="49"/>
  <c r="U61" i="49"/>
  <c r="V61" i="49"/>
  <c r="W61" i="49"/>
  <c r="X61" i="49"/>
  <c r="Y61" i="49"/>
  <c r="Z61" i="49"/>
  <c r="AA61" i="49"/>
  <c r="AB61" i="49"/>
  <c r="AC61" i="49"/>
  <c r="AD61" i="49"/>
  <c r="AE61" i="49"/>
  <c r="AF61" i="49"/>
  <c r="AG61" i="49"/>
  <c r="AH61" i="49"/>
  <c r="AI61" i="49"/>
  <c r="AJ61" i="49"/>
  <c r="AK61" i="49"/>
  <c r="AL61" i="49"/>
  <c r="AM61" i="49"/>
  <c r="D62" i="49"/>
  <c r="E62" i="49"/>
  <c r="F62" i="49"/>
  <c r="G62" i="49"/>
  <c r="H62" i="49"/>
  <c r="I62" i="49"/>
  <c r="J62" i="49"/>
  <c r="K62" i="49"/>
  <c r="L62" i="49"/>
  <c r="M62" i="49"/>
  <c r="N62" i="49"/>
  <c r="O62" i="49"/>
  <c r="P62" i="49"/>
  <c r="Q62" i="49"/>
  <c r="R62" i="49"/>
  <c r="S62" i="49"/>
  <c r="T62" i="49"/>
  <c r="U62" i="49"/>
  <c r="V62" i="49"/>
  <c r="W62" i="49"/>
  <c r="X62" i="49"/>
  <c r="Y62" i="49"/>
  <c r="Z62" i="49"/>
  <c r="AA62" i="49"/>
  <c r="AB62" i="49"/>
  <c r="AC62" i="49"/>
  <c r="AD62" i="49"/>
  <c r="AE62" i="49"/>
  <c r="AF62" i="49"/>
  <c r="AG62" i="49"/>
  <c r="AH62" i="49"/>
  <c r="AI62" i="49"/>
  <c r="AJ62" i="49"/>
  <c r="AK62" i="49"/>
  <c r="AL62" i="49"/>
  <c r="AM62" i="49"/>
  <c r="D63" i="49"/>
  <c r="E63" i="49"/>
  <c r="F63" i="49"/>
  <c r="G63" i="49"/>
  <c r="H63" i="49"/>
  <c r="I63" i="49"/>
  <c r="J63" i="49"/>
  <c r="K63" i="49"/>
  <c r="L63" i="49"/>
  <c r="M63" i="49"/>
  <c r="N63" i="49"/>
  <c r="O63" i="49"/>
  <c r="P63" i="49"/>
  <c r="Q63" i="49"/>
  <c r="R63" i="49"/>
  <c r="S63" i="49"/>
  <c r="T63" i="49"/>
  <c r="U63" i="49"/>
  <c r="V63" i="49"/>
  <c r="W63" i="49"/>
  <c r="X63" i="49"/>
  <c r="Y63" i="49"/>
  <c r="Z63" i="49"/>
  <c r="AA63" i="49"/>
  <c r="AB63" i="49"/>
  <c r="AC63" i="49"/>
  <c r="AD63" i="49"/>
  <c r="AE63" i="49"/>
  <c r="AF63" i="49"/>
  <c r="AG63" i="49"/>
  <c r="AH63" i="49"/>
  <c r="AI63" i="49"/>
  <c r="AJ63" i="49"/>
  <c r="AK63" i="49"/>
  <c r="AL63" i="49"/>
  <c r="AM63" i="49"/>
  <c r="D64" i="49"/>
  <c r="E64" i="49"/>
  <c r="F64" i="49"/>
  <c r="G64" i="49"/>
  <c r="H64" i="49"/>
  <c r="I64" i="49"/>
  <c r="J64" i="49"/>
  <c r="K64" i="49"/>
  <c r="L64" i="49"/>
  <c r="M64" i="49"/>
  <c r="N64" i="49"/>
  <c r="O64" i="49"/>
  <c r="P64" i="49"/>
  <c r="Q64" i="49"/>
  <c r="R64" i="49"/>
  <c r="S64" i="49"/>
  <c r="T64" i="49"/>
  <c r="U64" i="49"/>
  <c r="V64" i="49"/>
  <c r="W64" i="49"/>
  <c r="X64" i="49"/>
  <c r="Y64" i="49"/>
  <c r="Z64" i="49"/>
  <c r="AA64" i="49"/>
  <c r="AB64" i="49"/>
  <c r="AC64" i="49"/>
  <c r="AD64" i="49"/>
  <c r="AE64" i="49"/>
  <c r="AF64" i="49"/>
  <c r="AG64" i="49"/>
  <c r="AH64" i="49"/>
  <c r="AI64" i="49"/>
  <c r="AJ64" i="49"/>
  <c r="AK64" i="49"/>
  <c r="AL64" i="49"/>
  <c r="AM64" i="49"/>
  <c r="D65" i="49"/>
  <c r="E65" i="49"/>
  <c r="F65" i="49"/>
  <c r="G65" i="49"/>
  <c r="H65" i="49"/>
  <c r="I65" i="49"/>
  <c r="J65" i="49"/>
  <c r="K65" i="49"/>
  <c r="L65" i="49"/>
  <c r="M65" i="49"/>
  <c r="N65" i="49"/>
  <c r="O65" i="49"/>
  <c r="P65" i="49"/>
  <c r="Q65" i="49"/>
  <c r="R65" i="49"/>
  <c r="S65" i="49"/>
  <c r="T65" i="49"/>
  <c r="U65" i="49"/>
  <c r="V65" i="49"/>
  <c r="W65" i="49"/>
  <c r="X65" i="49"/>
  <c r="Y65" i="49"/>
  <c r="Z65" i="49"/>
  <c r="AA65" i="49"/>
  <c r="AB65" i="49"/>
  <c r="AC65" i="49"/>
  <c r="AD65" i="49"/>
  <c r="AE65" i="49"/>
  <c r="AF65" i="49"/>
  <c r="AG65" i="49"/>
  <c r="AH65" i="49"/>
  <c r="AI65" i="49"/>
  <c r="AJ65" i="49"/>
  <c r="AK65" i="49"/>
  <c r="AL65" i="49"/>
  <c r="AM65" i="49"/>
  <c r="D66" i="49"/>
  <c r="E66" i="49"/>
  <c r="F66" i="49"/>
  <c r="G66" i="49"/>
  <c r="H66" i="49"/>
  <c r="I66" i="49"/>
  <c r="J66" i="49"/>
  <c r="K66" i="49"/>
  <c r="L66" i="49"/>
  <c r="M66" i="49"/>
  <c r="N66" i="49"/>
  <c r="O66" i="49"/>
  <c r="P66" i="49"/>
  <c r="Q66" i="49"/>
  <c r="R66" i="49"/>
  <c r="S66" i="49"/>
  <c r="T66" i="49"/>
  <c r="U66" i="49"/>
  <c r="V66" i="49"/>
  <c r="W66" i="49"/>
  <c r="X66" i="49"/>
  <c r="Y66" i="49"/>
  <c r="Z66" i="49"/>
  <c r="AA66" i="49"/>
  <c r="AB66" i="49"/>
  <c r="AC66" i="49"/>
  <c r="AD66" i="49"/>
  <c r="AE66" i="49"/>
  <c r="AF66" i="49"/>
  <c r="AG66" i="49"/>
  <c r="AH66" i="49"/>
  <c r="AI66" i="49"/>
  <c r="AJ66" i="49"/>
  <c r="AK66" i="49"/>
  <c r="AL66" i="49"/>
  <c r="AM66" i="49"/>
  <c r="D67" i="49"/>
  <c r="E67" i="49"/>
  <c r="F67" i="49"/>
  <c r="G67" i="49"/>
  <c r="H67" i="49"/>
  <c r="I67" i="49"/>
  <c r="J67" i="49"/>
  <c r="K67" i="49"/>
  <c r="L67" i="49"/>
  <c r="M67" i="49"/>
  <c r="N67" i="49"/>
  <c r="O67" i="49"/>
  <c r="P67" i="49"/>
  <c r="Q67" i="49"/>
  <c r="R67" i="49"/>
  <c r="S67" i="49"/>
  <c r="T67" i="49"/>
  <c r="U67" i="49"/>
  <c r="V67" i="49"/>
  <c r="W67" i="49"/>
  <c r="X67" i="49"/>
  <c r="Y67" i="49"/>
  <c r="Z67" i="49"/>
  <c r="AA67" i="49"/>
  <c r="AB67" i="49"/>
  <c r="AC67" i="49"/>
  <c r="AD67" i="49"/>
  <c r="AE67" i="49"/>
  <c r="AF67" i="49"/>
  <c r="AG67" i="49"/>
  <c r="AH67" i="49"/>
  <c r="AI67" i="49"/>
  <c r="AJ67" i="49"/>
  <c r="AK67" i="49"/>
  <c r="AL67" i="49"/>
  <c r="AM67" i="49"/>
  <c r="D68" i="49"/>
  <c r="E68" i="49"/>
  <c r="F68" i="49"/>
  <c r="G68" i="49"/>
  <c r="H68" i="49"/>
  <c r="I68" i="49"/>
  <c r="J68" i="49"/>
  <c r="K68" i="49"/>
  <c r="L68" i="49"/>
  <c r="M68" i="49"/>
  <c r="N68" i="49"/>
  <c r="O68" i="49"/>
  <c r="P68" i="49"/>
  <c r="Q68" i="49"/>
  <c r="R68" i="49"/>
  <c r="S68" i="49"/>
  <c r="T68" i="49"/>
  <c r="U68" i="49"/>
  <c r="V68" i="49"/>
  <c r="W68" i="49"/>
  <c r="X68" i="49"/>
  <c r="Y68" i="49"/>
  <c r="Z68" i="49"/>
  <c r="AA68" i="49"/>
  <c r="AB68" i="49"/>
  <c r="AC68" i="49"/>
  <c r="AD68" i="49"/>
  <c r="AE68" i="49"/>
  <c r="AF68" i="49"/>
  <c r="AG68" i="49"/>
  <c r="AH68" i="49"/>
  <c r="AI68" i="49"/>
  <c r="AJ68" i="49"/>
  <c r="AK68" i="49"/>
  <c r="AL68" i="49"/>
  <c r="AM68" i="49"/>
  <c r="D69" i="49"/>
  <c r="E69" i="49"/>
  <c r="F69" i="49"/>
  <c r="G69" i="49"/>
  <c r="H69" i="49"/>
  <c r="I69" i="49"/>
  <c r="J69" i="49"/>
  <c r="K69" i="49"/>
  <c r="L69" i="49"/>
  <c r="M69" i="49"/>
  <c r="N69" i="49"/>
  <c r="O69" i="49"/>
  <c r="P69" i="49"/>
  <c r="Q69" i="49"/>
  <c r="R69" i="49"/>
  <c r="S69" i="49"/>
  <c r="T69" i="49"/>
  <c r="U69" i="49"/>
  <c r="V69" i="49"/>
  <c r="W69" i="49"/>
  <c r="X69" i="49"/>
  <c r="Y69" i="49"/>
  <c r="Z69" i="49"/>
  <c r="AA69" i="49"/>
  <c r="AB69" i="49"/>
  <c r="AC69" i="49"/>
  <c r="AD69" i="49"/>
  <c r="AE69" i="49"/>
  <c r="AF69" i="49"/>
  <c r="AG69" i="49"/>
  <c r="AH69" i="49"/>
  <c r="AI69" i="49"/>
  <c r="AJ69" i="49"/>
  <c r="AK69" i="49"/>
  <c r="AL69" i="49"/>
  <c r="AM69" i="49"/>
  <c r="D70" i="49"/>
  <c r="E70" i="49"/>
  <c r="F70" i="49"/>
  <c r="G70" i="49"/>
  <c r="H70" i="49"/>
  <c r="I70" i="49"/>
  <c r="J70" i="49"/>
  <c r="K70" i="49"/>
  <c r="L70" i="49"/>
  <c r="M70" i="49"/>
  <c r="N70" i="49"/>
  <c r="O70" i="49"/>
  <c r="P70" i="49"/>
  <c r="Q70" i="49"/>
  <c r="R70" i="49"/>
  <c r="S70" i="49"/>
  <c r="T70" i="49"/>
  <c r="U70" i="49"/>
  <c r="V70" i="49"/>
  <c r="W70" i="49"/>
  <c r="X70" i="49"/>
  <c r="Y70" i="49"/>
  <c r="Z70" i="49"/>
  <c r="AA70" i="49"/>
  <c r="AB70" i="49"/>
  <c r="AC70" i="49"/>
  <c r="AD70" i="49"/>
  <c r="AE70" i="49"/>
  <c r="AF70" i="49"/>
  <c r="AG70" i="49"/>
  <c r="AH70" i="49"/>
  <c r="AI70" i="49"/>
  <c r="AJ70" i="49"/>
  <c r="AK70" i="49"/>
  <c r="AL70" i="49"/>
  <c r="AM70" i="49"/>
  <c r="D71" i="49"/>
  <c r="E71" i="49"/>
  <c r="F71" i="49"/>
  <c r="G71" i="49"/>
  <c r="H71" i="49"/>
  <c r="I71" i="49"/>
  <c r="J71" i="49"/>
  <c r="K71" i="49"/>
  <c r="L71" i="49"/>
  <c r="M71" i="49"/>
  <c r="N71" i="49"/>
  <c r="O71" i="49"/>
  <c r="P71" i="49"/>
  <c r="Q71" i="49"/>
  <c r="R71" i="49"/>
  <c r="S71" i="49"/>
  <c r="T71" i="49"/>
  <c r="U71" i="49"/>
  <c r="V71" i="49"/>
  <c r="W71" i="49"/>
  <c r="X71" i="49"/>
  <c r="Y71" i="49"/>
  <c r="Z71" i="49"/>
  <c r="AA71" i="49"/>
  <c r="AB71" i="49"/>
  <c r="AC71" i="49"/>
  <c r="AD71" i="49"/>
  <c r="AE71" i="49"/>
  <c r="AF71" i="49"/>
  <c r="AG71" i="49"/>
  <c r="AH71" i="49"/>
  <c r="AI71" i="49"/>
  <c r="AJ71" i="49"/>
  <c r="AK71" i="49"/>
  <c r="AL71" i="49"/>
  <c r="AM71" i="49"/>
  <c r="D72" i="49"/>
  <c r="E72" i="49"/>
  <c r="F72" i="49"/>
  <c r="G72" i="49"/>
  <c r="H72" i="49"/>
  <c r="I72" i="49"/>
  <c r="J72" i="49"/>
  <c r="K72" i="49"/>
  <c r="L72" i="49"/>
  <c r="M72" i="49"/>
  <c r="N72" i="49"/>
  <c r="O72" i="49"/>
  <c r="P72" i="49"/>
  <c r="Q72" i="49"/>
  <c r="R72" i="49"/>
  <c r="S72" i="49"/>
  <c r="T72" i="49"/>
  <c r="U72" i="49"/>
  <c r="V72" i="49"/>
  <c r="W72" i="49"/>
  <c r="X72" i="49"/>
  <c r="Y72" i="49"/>
  <c r="Z72" i="49"/>
  <c r="AA72" i="49"/>
  <c r="AB72" i="49"/>
  <c r="AC72" i="49"/>
  <c r="AD72" i="49"/>
  <c r="AE72" i="49"/>
  <c r="AF72" i="49"/>
  <c r="AG72" i="49"/>
  <c r="AH72" i="49"/>
  <c r="AI72" i="49"/>
  <c r="AJ72" i="49"/>
  <c r="AK72" i="49"/>
  <c r="AL72" i="49"/>
  <c r="AM72" i="49"/>
  <c r="D73" i="49"/>
  <c r="E73" i="49"/>
  <c r="F73" i="49"/>
  <c r="G73" i="49"/>
  <c r="H73" i="49"/>
  <c r="I73" i="49"/>
  <c r="J73" i="49"/>
  <c r="K73" i="49"/>
  <c r="L73" i="49"/>
  <c r="M73" i="49"/>
  <c r="N73" i="49"/>
  <c r="O73" i="49"/>
  <c r="P73" i="49"/>
  <c r="Q73" i="49"/>
  <c r="R73" i="49"/>
  <c r="S73" i="49"/>
  <c r="T73" i="49"/>
  <c r="U73" i="49"/>
  <c r="V73" i="49"/>
  <c r="W73" i="49"/>
  <c r="X73" i="49"/>
  <c r="Y73" i="49"/>
  <c r="Z73" i="49"/>
  <c r="AA73" i="49"/>
  <c r="AB73" i="49"/>
  <c r="AC73" i="49"/>
  <c r="AD73" i="49"/>
  <c r="AE73" i="49"/>
  <c r="AF73" i="49"/>
  <c r="AG73" i="49"/>
  <c r="AH73" i="49"/>
  <c r="AI73" i="49"/>
  <c r="AJ73" i="49"/>
  <c r="AK73" i="49"/>
  <c r="AL73" i="49"/>
  <c r="AM73" i="49"/>
  <c r="D74" i="49"/>
  <c r="E74" i="49"/>
  <c r="F74" i="49"/>
  <c r="G74" i="49"/>
  <c r="H74" i="49"/>
  <c r="I74" i="49"/>
  <c r="J74" i="49"/>
  <c r="K74" i="49"/>
  <c r="L74" i="49"/>
  <c r="M74" i="49"/>
  <c r="N74" i="49"/>
  <c r="O74" i="49"/>
  <c r="P74" i="49"/>
  <c r="Q74" i="49"/>
  <c r="R74" i="49"/>
  <c r="S74" i="49"/>
  <c r="T74" i="49"/>
  <c r="U74" i="49"/>
  <c r="V74" i="49"/>
  <c r="W74" i="49"/>
  <c r="X74" i="49"/>
  <c r="Y74" i="49"/>
  <c r="Z74" i="49"/>
  <c r="AA74" i="49"/>
  <c r="AB74" i="49"/>
  <c r="AC74" i="49"/>
  <c r="AD74" i="49"/>
  <c r="AE74" i="49"/>
  <c r="AF74" i="49"/>
  <c r="AG74" i="49"/>
  <c r="AH74" i="49"/>
  <c r="AI74" i="49"/>
  <c r="AJ74" i="49"/>
  <c r="AK74" i="49"/>
  <c r="AL74" i="49"/>
  <c r="AM74" i="49"/>
  <c r="D75" i="49"/>
  <c r="E75" i="49"/>
  <c r="F75" i="49"/>
  <c r="G75" i="49"/>
  <c r="H75" i="49"/>
  <c r="I75" i="49"/>
  <c r="J75" i="49"/>
  <c r="K75" i="49"/>
  <c r="L75" i="49"/>
  <c r="M75" i="49"/>
  <c r="N75" i="49"/>
  <c r="O75" i="49"/>
  <c r="P75" i="49"/>
  <c r="Q75" i="49"/>
  <c r="R75" i="49"/>
  <c r="S75" i="49"/>
  <c r="T75" i="49"/>
  <c r="U75" i="49"/>
  <c r="V75" i="49"/>
  <c r="W75" i="49"/>
  <c r="X75" i="49"/>
  <c r="Y75" i="49"/>
  <c r="Z75" i="49"/>
  <c r="AA75" i="49"/>
  <c r="AB75" i="49"/>
  <c r="AC75" i="49"/>
  <c r="AD75" i="49"/>
  <c r="AE75" i="49"/>
  <c r="AF75" i="49"/>
  <c r="AG75" i="49"/>
  <c r="AH75" i="49"/>
  <c r="AI75" i="49"/>
  <c r="AJ75" i="49"/>
  <c r="AK75" i="49"/>
  <c r="AL75" i="49"/>
  <c r="AM75" i="49"/>
  <c r="D76" i="49"/>
  <c r="E76" i="49"/>
  <c r="F76" i="49"/>
  <c r="G76" i="49"/>
  <c r="H76" i="49"/>
  <c r="I76" i="49"/>
  <c r="J76" i="49"/>
  <c r="K76" i="49"/>
  <c r="L76" i="49"/>
  <c r="M76" i="49"/>
  <c r="N76" i="49"/>
  <c r="O76" i="49"/>
  <c r="P76" i="49"/>
  <c r="Q76" i="49"/>
  <c r="R76" i="49"/>
  <c r="S76" i="49"/>
  <c r="T76" i="49"/>
  <c r="U76" i="49"/>
  <c r="V76" i="49"/>
  <c r="W76" i="49"/>
  <c r="X76" i="49"/>
  <c r="Y76" i="49"/>
  <c r="Z76" i="49"/>
  <c r="AA76" i="49"/>
  <c r="AB76" i="49"/>
  <c r="AC76" i="49"/>
  <c r="AD76" i="49"/>
  <c r="AE76" i="49"/>
  <c r="AF76" i="49"/>
  <c r="AG76" i="49"/>
  <c r="AH76" i="49"/>
  <c r="AI76" i="49"/>
  <c r="AJ76" i="49"/>
  <c r="AK76" i="49"/>
  <c r="AL76" i="49"/>
  <c r="AM76" i="49"/>
  <c r="D77" i="49"/>
  <c r="E77" i="49"/>
  <c r="F77" i="49"/>
  <c r="G77" i="49"/>
  <c r="H77" i="49"/>
  <c r="I77" i="49"/>
  <c r="J77" i="49"/>
  <c r="K77" i="49"/>
  <c r="L77" i="49"/>
  <c r="M77" i="49"/>
  <c r="N77" i="49"/>
  <c r="O77" i="49"/>
  <c r="P77" i="49"/>
  <c r="Q77" i="49"/>
  <c r="R77" i="49"/>
  <c r="S77" i="49"/>
  <c r="T77" i="49"/>
  <c r="U77" i="49"/>
  <c r="V77" i="49"/>
  <c r="W77" i="49"/>
  <c r="X77" i="49"/>
  <c r="Y77" i="49"/>
  <c r="Z77" i="49"/>
  <c r="AA77" i="49"/>
  <c r="AB77" i="49"/>
  <c r="AC77" i="49"/>
  <c r="AD77" i="49"/>
  <c r="AE77" i="49"/>
  <c r="AF77" i="49"/>
  <c r="AG77" i="49"/>
  <c r="AH77" i="49"/>
  <c r="AI77" i="49"/>
  <c r="AJ77" i="49"/>
  <c r="AK77" i="49"/>
  <c r="AL77" i="49"/>
  <c r="AM77" i="49"/>
  <c r="D78" i="49"/>
  <c r="E78" i="49"/>
  <c r="F78" i="49"/>
  <c r="G78" i="49"/>
  <c r="H78" i="49"/>
  <c r="I78" i="49"/>
  <c r="J78" i="49"/>
  <c r="K78" i="49"/>
  <c r="L78" i="49"/>
  <c r="M78" i="49"/>
  <c r="N78" i="49"/>
  <c r="O78" i="49"/>
  <c r="P78" i="49"/>
  <c r="Q78" i="49"/>
  <c r="R78" i="49"/>
  <c r="S78" i="49"/>
  <c r="T78" i="49"/>
  <c r="U78" i="49"/>
  <c r="V78" i="49"/>
  <c r="W78" i="49"/>
  <c r="X78" i="49"/>
  <c r="Y78" i="49"/>
  <c r="Z78" i="49"/>
  <c r="AA78" i="49"/>
  <c r="AB78" i="49"/>
  <c r="AC78" i="49"/>
  <c r="AD78" i="49"/>
  <c r="AE78" i="49"/>
  <c r="AF78" i="49"/>
  <c r="AG78" i="49"/>
  <c r="AH78" i="49"/>
  <c r="AI78" i="49"/>
  <c r="AJ78" i="49"/>
  <c r="AK78" i="49"/>
  <c r="AL78" i="49"/>
  <c r="AM78" i="49"/>
  <c r="D79" i="49"/>
  <c r="E79" i="49"/>
  <c r="F79" i="49"/>
  <c r="G79" i="49"/>
  <c r="H79" i="49"/>
  <c r="I79" i="49"/>
  <c r="J79" i="49"/>
  <c r="K79" i="49"/>
  <c r="L79" i="49"/>
  <c r="M79" i="49"/>
  <c r="N79" i="49"/>
  <c r="O79" i="49"/>
  <c r="P79" i="49"/>
  <c r="Q79" i="49"/>
  <c r="R79" i="49"/>
  <c r="S79" i="49"/>
  <c r="T79" i="49"/>
  <c r="U79" i="49"/>
  <c r="V79" i="49"/>
  <c r="W79" i="49"/>
  <c r="X79" i="49"/>
  <c r="Y79" i="49"/>
  <c r="Z79" i="49"/>
  <c r="AA79" i="49"/>
  <c r="AB79" i="49"/>
  <c r="AC79" i="49"/>
  <c r="AD79" i="49"/>
  <c r="AE79" i="49"/>
  <c r="AF79" i="49"/>
  <c r="AG79" i="49"/>
  <c r="AH79" i="49"/>
  <c r="AI79" i="49"/>
  <c r="AJ79" i="49"/>
  <c r="AK79" i="49"/>
  <c r="AL79" i="49"/>
  <c r="AM79" i="49"/>
  <c r="D80" i="49"/>
  <c r="E80" i="49"/>
  <c r="F80" i="49"/>
  <c r="G80" i="49"/>
  <c r="H80" i="49"/>
  <c r="I80" i="49"/>
  <c r="J80" i="49"/>
  <c r="K80" i="49"/>
  <c r="L80" i="49"/>
  <c r="M80" i="49"/>
  <c r="N80" i="49"/>
  <c r="O80" i="49"/>
  <c r="P80" i="49"/>
  <c r="Q80" i="49"/>
  <c r="R80" i="49"/>
  <c r="S80" i="49"/>
  <c r="T80" i="49"/>
  <c r="U80" i="49"/>
  <c r="V80" i="49"/>
  <c r="W80" i="49"/>
  <c r="X80" i="49"/>
  <c r="Y80" i="49"/>
  <c r="Z80" i="49"/>
  <c r="AA80" i="49"/>
  <c r="AB80" i="49"/>
  <c r="AC80" i="49"/>
  <c r="AD80" i="49"/>
  <c r="AE80" i="49"/>
  <c r="AF80" i="49"/>
  <c r="AG80" i="49"/>
  <c r="AH80" i="49"/>
  <c r="AI80" i="49"/>
  <c r="AJ80" i="49"/>
  <c r="AK80" i="49"/>
  <c r="AL80" i="49"/>
  <c r="AM80" i="49"/>
  <c r="D81" i="49"/>
  <c r="E81" i="49"/>
  <c r="F81" i="49"/>
  <c r="G81" i="49"/>
  <c r="H81" i="49"/>
  <c r="I81" i="49"/>
  <c r="J81" i="49"/>
  <c r="K81" i="49"/>
  <c r="L81" i="49"/>
  <c r="M81" i="49"/>
  <c r="N81" i="49"/>
  <c r="O81" i="49"/>
  <c r="P81" i="49"/>
  <c r="Q81" i="49"/>
  <c r="R81" i="49"/>
  <c r="S81" i="49"/>
  <c r="T81" i="49"/>
  <c r="U81" i="49"/>
  <c r="V81" i="49"/>
  <c r="W81" i="49"/>
  <c r="X81" i="49"/>
  <c r="Y81" i="49"/>
  <c r="Z81" i="49"/>
  <c r="AA81" i="49"/>
  <c r="AB81" i="49"/>
  <c r="AC81" i="49"/>
  <c r="AD81" i="49"/>
  <c r="AE81" i="49"/>
  <c r="AF81" i="49"/>
  <c r="AG81" i="49"/>
  <c r="AH81" i="49"/>
  <c r="AI81" i="49"/>
  <c r="AJ81" i="49"/>
  <c r="AK81" i="49"/>
  <c r="AL81" i="49"/>
  <c r="AM81" i="49"/>
  <c r="D82" i="49"/>
  <c r="E82" i="49"/>
  <c r="F82" i="49"/>
  <c r="G82" i="49"/>
  <c r="H82" i="49"/>
  <c r="I82" i="49"/>
  <c r="J82" i="49"/>
  <c r="K82" i="49"/>
  <c r="L82" i="49"/>
  <c r="M82" i="49"/>
  <c r="N82" i="49"/>
  <c r="O82" i="49"/>
  <c r="P82" i="49"/>
  <c r="Q82" i="49"/>
  <c r="R82" i="49"/>
  <c r="S82" i="49"/>
  <c r="T82" i="49"/>
  <c r="U82" i="49"/>
  <c r="V82" i="49"/>
  <c r="W82" i="49"/>
  <c r="X82" i="49"/>
  <c r="Y82" i="49"/>
  <c r="Z82" i="49"/>
  <c r="AA82" i="49"/>
  <c r="AB82" i="49"/>
  <c r="AC82" i="49"/>
  <c r="AD82" i="49"/>
  <c r="AE82" i="49"/>
  <c r="AF82" i="49"/>
  <c r="AG82" i="49"/>
  <c r="AH82" i="49"/>
  <c r="AI82" i="49"/>
  <c r="AJ82" i="49"/>
  <c r="AK82" i="49"/>
  <c r="AL82" i="49"/>
  <c r="AM82" i="49"/>
  <c r="D83" i="49"/>
  <c r="E83" i="49"/>
  <c r="F83" i="49"/>
  <c r="G83" i="49"/>
  <c r="H83" i="49"/>
  <c r="I83" i="49"/>
  <c r="J83" i="49"/>
  <c r="K83" i="49"/>
  <c r="L83" i="49"/>
  <c r="M83" i="49"/>
  <c r="N83" i="49"/>
  <c r="O83" i="49"/>
  <c r="P83" i="49"/>
  <c r="Q83" i="49"/>
  <c r="R83" i="49"/>
  <c r="S83" i="49"/>
  <c r="T83" i="49"/>
  <c r="U83" i="49"/>
  <c r="V83" i="49"/>
  <c r="W83" i="49"/>
  <c r="X83" i="49"/>
  <c r="Y83" i="49"/>
  <c r="Z83" i="49"/>
  <c r="AA83" i="49"/>
  <c r="AB83" i="49"/>
  <c r="AC83" i="49"/>
  <c r="AD83" i="49"/>
  <c r="AE83" i="49"/>
  <c r="AF83" i="49"/>
  <c r="AG83" i="49"/>
  <c r="AH83" i="49"/>
  <c r="AI83" i="49"/>
  <c r="AJ83" i="49"/>
  <c r="AK83" i="49"/>
  <c r="AL83" i="49"/>
  <c r="AM83" i="49"/>
  <c r="D84" i="49"/>
  <c r="E84" i="49"/>
  <c r="F84" i="49"/>
  <c r="G84" i="49"/>
  <c r="H84" i="49"/>
  <c r="I84" i="49"/>
  <c r="J84" i="49"/>
  <c r="K84" i="49"/>
  <c r="L84" i="49"/>
  <c r="M84" i="49"/>
  <c r="N84" i="49"/>
  <c r="O84" i="49"/>
  <c r="P84" i="49"/>
  <c r="Q84" i="49"/>
  <c r="R84" i="49"/>
  <c r="S84" i="49"/>
  <c r="T84" i="49"/>
  <c r="U84" i="49"/>
  <c r="V84" i="49"/>
  <c r="W84" i="49"/>
  <c r="X84" i="49"/>
  <c r="Y84" i="49"/>
  <c r="Z84" i="49"/>
  <c r="AA84" i="49"/>
  <c r="AB84" i="49"/>
  <c r="AC84" i="49"/>
  <c r="AD84" i="49"/>
  <c r="AE84" i="49"/>
  <c r="AF84" i="49"/>
  <c r="AG84" i="49"/>
  <c r="AH84" i="49"/>
  <c r="AI84" i="49"/>
  <c r="AJ84" i="49"/>
  <c r="AK84" i="49"/>
  <c r="AL84" i="49"/>
  <c r="AM84" i="49"/>
  <c r="D85" i="49"/>
  <c r="E85" i="49"/>
  <c r="F85" i="49"/>
  <c r="G85" i="49"/>
  <c r="H85" i="49"/>
  <c r="I85" i="49"/>
  <c r="J85" i="49"/>
  <c r="K85" i="49"/>
  <c r="L85" i="49"/>
  <c r="M85" i="49"/>
  <c r="N85" i="49"/>
  <c r="O85" i="49"/>
  <c r="P85" i="49"/>
  <c r="Q85" i="49"/>
  <c r="R85" i="49"/>
  <c r="S85" i="49"/>
  <c r="T85" i="49"/>
  <c r="U85" i="49"/>
  <c r="V85" i="49"/>
  <c r="W85" i="49"/>
  <c r="X85" i="49"/>
  <c r="Y85" i="49"/>
  <c r="Z85" i="49"/>
  <c r="AA85" i="49"/>
  <c r="AB85" i="49"/>
  <c r="AC85" i="49"/>
  <c r="AD85" i="49"/>
  <c r="AE85" i="49"/>
  <c r="AF85" i="49"/>
  <c r="AG85" i="49"/>
  <c r="AH85" i="49"/>
  <c r="AI85" i="49"/>
  <c r="AJ85" i="49"/>
  <c r="AK85" i="49"/>
  <c r="AL85" i="49"/>
  <c r="AM85" i="49"/>
  <c r="D86" i="49"/>
  <c r="E86" i="49"/>
  <c r="F86" i="49"/>
  <c r="G86" i="49"/>
  <c r="H86" i="49"/>
  <c r="I86" i="49"/>
  <c r="J86" i="49"/>
  <c r="K86" i="49"/>
  <c r="L86" i="49"/>
  <c r="M86" i="49"/>
  <c r="N86" i="49"/>
  <c r="O86" i="49"/>
  <c r="P86" i="49"/>
  <c r="Q86" i="49"/>
  <c r="R86" i="49"/>
  <c r="S86" i="49"/>
  <c r="T86" i="49"/>
  <c r="U86" i="49"/>
  <c r="V86" i="49"/>
  <c r="W86" i="49"/>
  <c r="X86" i="49"/>
  <c r="Y86" i="49"/>
  <c r="Z86" i="49"/>
  <c r="AA86" i="49"/>
  <c r="AB86" i="49"/>
  <c r="AC86" i="49"/>
  <c r="AD86" i="49"/>
  <c r="AE86" i="49"/>
  <c r="AF86" i="49"/>
  <c r="AG86" i="49"/>
  <c r="AH86" i="49"/>
  <c r="AI86" i="49"/>
  <c r="AJ86" i="49"/>
  <c r="AK86" i="49"/>
  <c r="AL86" i="49"/>
  <c r="AM86" i="49"/>
  <c r="D87" i="49"/>
  <c r="E87" i="49"/>
  <c r="F87" i="49"/>
  <c r="G87" i="49"/>
  <c r="H87" i="49"/>
  <c r="I87" i="49"/>
  <c r="J87" i="49"/>
  <c r="K87" i="49"/>
  <c r="L87" i="49"/>
  <c r="M87" i="49"/>
  <c r="N87" i="49"/>
  <c r="O87" i="49"/>
  <c r="P87" i="49"/>
  <c r="Q87" i="49"/>
  <c r="R87" i="49"/>
  <c r="S87" i="49"/>
  <c r="T87" i="49"/>
  <c r="U87" i="49"/>
  <c r="V87" i="49"/>
  <c r="W87" i="49"/>
  <c r="X87" i="49"/>
  <c r="Y87" i="49"/>
  <c r="Z87" i="49"/>
  <c r="AA87" i="49"/>
  <c r="AB87" i="49"/>
  <c r="AC87" i="49"/>
  <c r="AD87" i="49"/>
  <c r="AE87" i="49"/>
  <c r="AF87" i="49"/>
  <c r="AG87" i="49"/>
  <c r="AH87" i="49"/>
  <c r="AI87" i="49"/>
  <c r="AJ87" i="49"/>
  <c r="AK87" i="49"/>
  <c r="AL87" i="49"/>
  <c r="AM87" i="49"/>
  <c r="D88" i="49"/>
  <c r="E88" i="49"/>
  <c r="F88" i="49"/>
  <c r="G88" i="49"/>
  <c r="H88" i="49"/>
  <c r="I88" i="49"/>
  <c r="J88" i="49"/>
  <c r="K88" i="49"/>
  <c r="L88" i="49"/>
  <c r="M88" i="49"/>
  <c r="N88" i="49"/>
  <c r="O88" i="49"/>
  <c r="P88" i="49"/>
  <c r="Q88" i="49"/>
  <c r="R88" i="49"/>
  <c r="S88" i="49"/>
  <c r="T88" i="49"/>
  <c r="U88" i="49"/>
  <c r="V88" i="49"/>
  <c r="W88" i="49"/>
  <c r="X88" i="49"/>
  <c r="Y88" i="49"/>
  <c r="Z88" i="49"/>
  <c r="AA88" i="49"/>
  <c r="AB88" i="49"/>
  <c r="AC88" i="49"/>
  <c r="AD88" i="49"/>
  <c r="AE88" i="49"/>
  <c r="AF88" i="49"/>
  <c r="AG88" i="49"/>
  <c r="AH88" i="49"/>
  <c r="AI88" i="49"/>
  <c r="AJ88" i="49"/>
  <c r="AK88" i="49"/>
  <c r="AL88" i="49"/>
  <c r="AM88" i="49"/>
  <c r="D89" i="49"/>
  <c r="E89" i="49"/>
  <c r="F89" i="49"/>
  <c r="G89" i="49"/>
  <c r="H89" i="49"/>
  <c r="I89" i="49"/>
  <c r="J89" i="49"/>
  <c r="K89" i="49"/>
  <c r="L89" i="49"/>
  <c r="M89" i="49"/>
  <c r="N89" i="49"/>
  <c r="O89" i="49"/>
  <c r="P89" i="49"/>
  <c r="Q89" i="49"/>
  <c r="R89" i="49"/>
  <c r="S89" i="49"/>
  <c r="T89" i="49"/>
  <c r="U89" i="49"/>
  <c r="V89" i="49"/>
  <c r="W89" i="49"/>
  <c r="X89" i="49"/>
  <c r="Y89" i="49"/>
  <c r="Z89" i="49"/>
  <c r="AA89" i="49"/>
  <c r="AB89" i="49"/>
  <c r="AC89" i="49"/>
  <c r="AD89" i="49"/>
  <c r="AE89" i="49"/>
  <c r="AF89" i="49"/>
  <c r="AG89" i="49"/>
  <c r="AH89" i="49"/>
  <c r="AI89" i="49"/>
  <c r="AJ89" i="49"/>
  <c r="AK89" i="49"/>
  <c r="AL89" i="49"/>
  <c r="AM89" i="49"/>
  <c r="D90" i="49"/>
  <c r="E90" i="49"/>
  <c r="F90" i="49"/>
  <c r="G90" i="49"/>
  <c r="H90" i="49"/>
  <c r="I90" i="49"/>
  <c r="J90" i="49"/>
  <c r="K90" i="49"/>
  <c r="L90" i="49"/>
  <c r="M90" i="49"/>
  <c r="N90" i="49"/>
  <c r="O90" i="49"/>
  <c r="P90" i="49"/>
  <c r="Q90" i="49"/>
  <c r="R90" i="49"/>
  <c r="S90" i="49"/>
  <c r="T90" i="49"/>
  <c r="U90" i="49"/>
  <c r="V90" i="49"/>
  <c r="W90" i="49"/>
  <c r="X90" i="49"/>
  <c r="Y90" i="49"/>
  <c r="Z90" i="49"/>
  <c r="AA90" i="49"/>
  <c r="AB90" i="49"/>
  <c r="AC90" i="49"/>
  <c r="AD90" i="49"/>
  <c r="AE90" i="49"/>
  <c r="AF90" i="49"/>
  <c r="AG90" i="49"/>
  <c r="AH90" i="49"/>
  <c r="AI90" i="49"/>
  <c r="AJ90" i="49"/>
  <c r="AK90" i="49"/>
  <c r="AL90" i="49"/>
  <c r="AM90" i="49"/>
  <c r="D91" i="49"/>
  <c r="E91" i="49"/>
  <c r="F91" i="49"/>
  <c r="G91" i="49"/>
  <c r="H91" i="49"/>
  <c r="I91" i="49"/>
  <c r="J91" i="49"/>
  <c r="K91" i="49"/>
  <c r="L91" i="49"/>
  <c r="M91" i="49"/>
  <c r="N91" i="49"/>
  <c r="O91" i="49"/>
  <c r="P91" i="49"/>
  <c r="Q91" i="49"/>
  <c r="R91" i="49"/>
  <c r="S91" i="49"/>
  <c r="T91" i="49"/>
  <c r="U91" i="49"/>
  <c r="V91" i="49"/>
  <c r="W91" i="49"/>
  <c r="X91" i="49"/>
  <c r="Y91" i="49"/>
  <c r="Z91" i="49"/>
  <c r="AA91" i="49"/>
  <c r="AB91" i="49"/>
  <c r="AC91" i="49"/>
  <c r="AD91" i="49"/>
  <c r="AE91" i="49"/>
  <c r="AF91" i="49"/>
  <c r="AG91" i="49"/>
  <c r="AH91" i="49"/>
  <c r="AI91" i="49"/>
  <c r="AJ91" i="49"/>
  <c r="AK91" i="49"/>
  <c r="AL91" i="49"/>
  <c r="AM91" i="49"/>
  <c r="D92" i="49"/>
  <c r="E92" i="49"/>
  <c r="F92" i="49"/>
  <c r="G92" i="49"/>
  <c r="H92" i="49"/>
  <c r="I92" i="49"/>
  <c r="J92" i="49"/>
  <c r="K92" i="49"/>
  <c r="L92" i="49"/>
  <c r="M92" i="49"/>
  <c r="N92" i="49"/>
  <c r="O92" i="49"/>
  <c r="P92" i="49"/>
  <c r="Q92" i="49"/>
  <c r="R92" i="49"/>
  <c r="S92" i="49"/>
  <c r="T92" i="49"/>
  <c r="U92" i="49"/>
  <c r="V92" i="49"/>
  <c r="W92" i="49"/>
  <c r="X92" i="49"/>
  <c r="Y92" i="49"/>
  <c r="Z92" i="49"/>
  <c r="AA92" i="49"/>
  <c r="AB92" i="49"/>
  <c r="AC92" i="49"/>
  <c r="AD92" i="49"/>
  <c r="AE92" i="49"/>
  <c r="AF92" i="49"/>
  <c r="AG92" i="49"/>
  <c r="AH92" i="49"/>
  <c r="AI92" i="49"/>
  <c r="AJ92" i="49"/>
  <c r="AK92" i="49"/>
  <c r="AL92" i="49"/>
  <c r="AM92" i="49"/>
  <c r="D93" i="49"/>
  <c r="E93" i="49"/>
  <c r="F93" i="49"/>
  <c r="G93" i="49"/>
  <c r="H93" i="49"/>
  <c r="I93" i="49"/>
  <c r="J93" i="49"/>
  <c r="K93" i="49"/>
  <c r="L93" i="49"/>
  <c r="M93" i="49"/>
  <c r="N93" i="49"/>
  <c r="O93" i="49"/>
  <c r="P93" i="49"/>
  <c r="Q93" i="49"/>
  <c r="R93" i="49"/>
  <c r="S93" i="49"/>
  <c r="T93" i="49"/>
  <c r="U93" i="49"/>
  <c r="V93" i="49"/>
  <c r="W93" i="49"/>
  <c r="X93" i="49"/>
  <c r="Y93" i="49"/>
  <c r="Z93" i="49"/>
  <c r="AA93" i="49"/>
  <c r="AB93" i="49"/>
  <c r="AC93" i="49"/>
  <c r="AD93" i="49"/>
  <c r="AE93" i="49"/>
  <c r="AF93" i="49"/>
  <c r="AG93" i="49"/>
  <c r="AH93" i="49"/>
  <c r="AI93" i="49"/>
  <c r="AJ93" i="49"/>
  <c r="AK93" i="49"/>
  <c r="AL93" i="49"/>
  <c r="AM93" i="49"/>
  <c r="D94" i="49"/>
  <c r="E94" i="49"/>
  <c r="F94" i="49"/>
  <c r="G94" i="49"/>
  <c r="H94" i="49"/>
  <c r="I94" i="49"/>
  <c r="J94" i="49"/>
  <c r="K94" i="49"/>
  <c r="L94" i="49"/>
  <c r="M94" i="49"/>
  <c r="N94" i="49"/>
  <c r="O94" i="49"/>
  <c r="P94" i="49"/>
  <c r="Q94" i="49"/>
  <c r="R94" i="49"/>
  <c r="S94" i="49"/>
  <c r="T94" i="49"/>
  <c r="U94" i="49"/>
  <c r="V94" i="49"/>
  <c r="W94" i="49"/>
  <c r="X94" i="49"/>
  <c r="Y94" i="49"/>
  <c r="Z94" i="49"/>
  <c r="AA94" i="49"/>
  <c r="AB94" i="49"/>
  <c r="AC94" i="49"/>
  <c r="AD94" i="49"/>
  <c r="AE94" i="49"/>
  <c r="AF94" i="49"/>
  <c r="AG94" i="49"/>
  <c r="AH94" i="49"/>
  <c r="AI94" i="49"/>
  <c r="AJ94" i="49"/>
  <c r="AK94" i="49"/>
  <c r="AL94" i="49"/>
  <c r="AM94" i="49"/>
  <c r="D95" i="49"/>
  <c r="E95" i="49"/>
  <c r="F95" i="49"/>
  <c r="G95" i="49"/>
  <c r="H95" i="49"/>
  <c r="I95" i="49"/>
  <c r="J95" i="49"/>
  <c r="K95" i="49"/>
  <c r="L95" i="49"/>
  <c r="M95" i="49"/>
  <c r="N95" i="49"/>
  <c r="O95" i="49"/>
  <c r="P95" i="49"/>
  <c r="Q95" i="49"/>
  <c r="R95" i="49"/>
  <c r="S95" i="49"/>
  <c r="T95" i="49"/>
  <c r="U95" i="49"/>
  <c r="V95" i="49"/>
  <c r="W95" i="49"/>
  <c r="X95" i="49"/>
  <c r="Y95" i="49"/>
  <c r="Z95" i="49"/>
  <c r="AA95" i="49"/>
  <c r="AB95" i="49"/>
  <c r="AC95" i="49"/>
  <c r="AD95" i="49"/>
  <c r="AE95" i="49"/>
  <c r="AF95" i="49"/>
  <c r="AG95" i="49"/>
  <c r="AH95" i="49"/>
  <c r="AI95" i="49"/>
  <c r="AJ95" i="49"/>
  <c r="AK95" i="49"/>
  <c r="AL95" i="49"/>
  <c r="AM95" i="49"/>
  <c r="D96" i="49"/>
  <c r="E96" i="49"/>
  <c r="F96" i="49"/>
  <c r="G96" i="49"/>
  <c r="H96" i="49"/>
  <c r="I96" i="49"/>
  <c r="J96" i="49"/>
  <c r="K96" i="49"/>
  <c r="L96" i="49"/>
  <c r="M96" i="49"/>
  <c r="N96" i="49"/>
  <c r="O96" i="49"/>
  <c r="P96" i="49"/>
  <c r="Q96" i="49"/>
  <c r="R96" i="49"/>
  <c r="S96" i="49"/>
  <c r="T96" i="49"/>
  <c r="U96" i="49"/>
  <c r="V96" i="49"/>
  <c r="W96" i="49"/>
  <c r="X96" i="49"/>
  <c r="Y96" i="49"/>
  <c r="Z96" i="49"/>
  <c r="AA96" i="49"/>
  <c r="AB96" i="49"/>
  <c r="AC96" i="49"/>
  <c r="AD96" i="49"/>
  <c r="AE96" i="49"/>
  <c r="AF96" i="49"/>
  <c r="AG96" i="49"/>
  <c r="AH96" i="49"/>
  <c r="AI96" i="49"/>
  <c r="AJ96" i="49"/>
  <c r="AK96" i="49"/>
  <c r="AL96" i="49"/>
  <c r="AM96" i="49"/>
  <c r="D97" i="49"/>
  <c r="E97" i="49"/>
  <c r="F97" i="49"/>
  <c r="G97" i="49"/>
  <c r="H97" i="49"/>
  <c r="I97" i="49"/>
  <c r="J97" i="49"/>
  <c r="K97" i="49"/>
  <c r="L97" i="49"/>
  <c r="M97" i="49"/>
  <c r="N97" i="49"/>
  <c r="O97" i="49"/>
  <c r="P97" i="49"/>
  <c r="Q97" i="49"/>
  <c r="R97" i="49"/>
  <c r="S97" i="49"/>
  <c r="T97" i="49"/>
  <c r="U97" i="49"/>
  <c r="V97" i="49"/>
  <c r="W97" i="49"/>
  <c r="X97" i="49"/>
  <c r="Y97" i="49"/>
  <c r="Z97" i="49"/>
  <c r="AA97" i="49"/>
  <c r="AB97" i="49"/>
  <c r="AC97" i="49"/>
  <c r="AD97" i="49"/>
  <c r="AE97" i="49"/>
  <c r="AF97" i="49"/>
  <c r="AG97" i="49"/>
  <c r="AH97" i="49"/>
  <c r="AI97" i="49"/>
  <c r="AJ97" i="49"/>
  <c r="AK97" i="49"/>
  <c r="AL97" i="49"/>
  <c r="AM97" i="49"/>
  <c r="D98" i="49"/>
  <c r="E98" i="49"/>
  <c r="F98" i="49"/>
  <c r="G98" i="49"/>
  <c r="H98" i="49"/>
  <c r="I98" i="49"/>
  <c r="J98" i="49"/>
  <c r="K98" i="49"/>
  <c r="L98" i="49"/>
  <c r="M98" i="49"/>
  <c r="N98" i="49"/>
  <c r="O98" i="49"/>
  <c r="P98" i="49"/>
  <c r="Q98" i="49"/>
  <c r="R98" i="49"/>
  <c r="S98" i="49"/>
  <c r="T98" i="49"/>
  <c r="U98" i="49"/>
  <c r="V98" i="49"/>
  <c r="W98" i="49"/>
  <c r="X98" i="49"/>
  <c r="Y98" i="49"/>
  <c r="Z98" i="49"/>
  <c r="AA98" i="49"/>
  <c r="AB98" i="49"/>
  <c r="AC98" i="49"/>
  <c r="AD98" i="49"/>
  <c r="AE98" i="49"/>
  <c r="AF98" i="49"/>
  <c r="AG98" i="49"/>
  <c r="AH98" i="49"/>
  <c r="AI98" i="49"/>
  <c r="AJ98" i="49"/>
  <c r="AK98" i="49"/>
  <c r="AL98" i="49"/>
  <c r="AM98" i="49"/>
  <c r="D99" i="49"/>
  <c r="E99" i="49"/>
  <c r="F99" i="49"/>
  <c r="G99" i="49"/>
  <c r="H99" i="49"/>
  <c r="I99" i="49"/>
  <c r="J99" i="49"/>
  <c r="K99" i="49"/>
  <c r="L99" i="49"/>
  <c r="M99" i="49"/>
  <c r="N99" i="49"/>
  <c r="O99" i="49"/>
  <c r="P99" i="49"/>
  <c r="Q99" i="49"/>
  <c r="R99" i="49"/>
  <c r="S99" i="49"/>
  <c r="T99" i="49"/>
  <c r="U99" i="49"/>
  <c r="V99" i="49"/>
  <c r="W99" i="49"/>
  <c r="X99" i="49"/>
  <c r="Y99" i="49"/>
  <c r="Z99" i="49"/>
  <c r="AA99" i="49"/>
  <c r="AB99" i="49"/>
  <c r="AC99" i="49"/>
  <c r="AD99" i="49"/>
  <c r="AE99" i="49"/>
  <c r="AF99" i="49"/>
  <c r="AG99" i="49"/>
  <c r="AH99" i="49"/>
  <c r="AI99" i="49"/>
  <c r="AJ99" i="49"/>
  <c r="AK99" i="49"/>
  <c r="AL99" i="49"/>
  <c r="AM99" i="49"/>
  <c r="D100" i="49"/>
  <c r="E100" i="49"/>
  <c r="F100" i="49"/>
  <c r="G100" i="49"/>
  <c r="H100" i="49"/>
  <c r="I100" i="49"/>
  <c r="J100" i="49"/>
  <c r="K100" i="49"/>
  <c r="L100" i="49"/>
  <c r="M100" i="49"/>
  <c r="N100" i="49"/>
  <c r="O100" i="49"/>
  <c r="P100" i="49"/>
  <c r="Q100" i="49"/>
  <c r="R100" i="49"/>
  <c r="S100" i="49"/>
  <c r="T100" i="49"/>
  <c r="U100" i="49"/>
  <c r="V100" i="49"/>
  <c r="W100" i="49"/>
  <c r="X100" i="49"/>
  <c r="Y100" i="49"/>
  <c r="Z100" i="49"/>
  <c r="AA100" i="49"/>
  <c r="AB100" i="49"/>
  <c r="AC100" i="49"/>
  <c r="AD100" i="49"/>
  <c r="AE100" i="49"/>
  <c r="AF100" i="49"/>
  <c r="AG100" i="49"/>
  <c r="AH100" i="49"/>
  <c r="AI100" i="49"/>
  <c r="AJ100" i="49"/>
  <c r="AK100" i="49"/>
  <c r="AL100" i="49"/>
  <c r="AM100" i="49"/>
  <c r="D101" i="49"/>
  <c r="E101" i="49"/>
  <c r="F101" i="49"/>
  <c r="G101" i="49"/>
  <c r="H101" i="49"/>
  <c r="I101" i="49"/>
  <c r="J101" i="49"/>
  <c r="K101" i="49"/>
  <c r="L101" i="49"/>
  <c r="M101" i="49"/>
  <c r="N101" i="49"/>
  <c r="O101" i="49"/>
  <c r="P101" i="49"/>
  <c r="Q101" i="49"/>
  <c r="R101" i="49"/>
  <c r="S101" i="49"/>
  <c r="T101" i="49"/>
  <c r="U101" i="49"/>
  <c r="V101" i="49"/>
  <c r="W101" i="49"/>
  <c r="X101" i="49"/>
  <c r="Y101" i="49"/>
  <c r="Z101" i="49"/>
  <c r="AA101" i="49"/>
  <c r="AB101" i="49"/>
  <c r="AC101" i="49"/>
  <c r="AD101" i="49"/>
  <c r="AE101" i="49"/>
  <c r="AF101" i="49"/>
  <c r="AG101" i="49"/>
  <c r="AH101" i="49"/>
  <c r="AI101" i="49"/>
  <c r="AJ101" i="49"/>
  <c r="AK101" i="49"/>
  <c r="AL101" i="49"/>
  <c r="AM101" i="49"/>
  <c r="D102" i="49"/>
  <c r="E102" i="49"/>
  <c r="F102" i="49"/>
  <c r="G102" i="49"/>
  <c r="H102" i="49"/>
  <c r="I102" i="49"/>
  <c r="J102" i="49"/>
  <c r="K102" i="49"/>
  <c r="L102" i="49"/>
  <c r="M102" i="49"/>
  <c r="N102" i="49"/>
  <c r="O102" i="49"/>
  <c r="P102" i="49"/>
  <c r="Q102" i="49"/>
  <c r="R102" i="49"/>
  <c r="S102" i="49"/>
  <c r="T102" i="49"/>
  <c r="U102" i="49"/>
  <c r="V102" i="49"/>
  <c r="W102" i="49"/>
  <c r="X102" i="49"/>
  <c r="Y102" i="49"/>
  <c r="Z102" i="49"/>
  <c r="AA102" i="49"/>
  <c r="AB102" i="49"/>
  <c r="AC102" i="49"/>
  <c r="AD102" i="49"/>
  <c r="AE102" i="49"/>
  <c r="AF102" i="49"/>
  <c r="AG102" i="49"/>
  <c r="AH102" i="49"/>
  <c r="AI102" i="49"/>
  <c r="AJ102" i="49"/>
  <c r="AK102" i="49"/>
  <c r="AL102" i="49"/>
  <c r="AM102" i="49"/>
  <c r="D103" i="49"/>
  <c r="E103" i="49"/>
  <c r="F103" i="49"/>
  <c r="G103" i="49"/>
  <c r="H103" i="49"/>
  <c r="I103" i="49"/>
  <c r="J103" i="49"/>
  <c r="K103" i="49"/>
  <c r="L103" i="49"/>
  <c r="M103" i="49"/>
  <c r="N103" i="49"/>
  <c r="O103" i="49"/>
  <c r="P103" i="49"/>
  <c r="Q103" i="49"/>
  <c r="R103" i="49"/>
  <c r="S103" i="49"/>
  <c r="T103" i="49"/>
  <c r="U103" i="49"/>
  <c r="V103" i="49"/>
  <c r="W103" i="49"/>
  <c r="X103" i="49"/>
  <c r="Y103" i="49"/>
  <c r="Z103" i="49"/>
  <c r="AA103" i="49"/>
  <c r="AB103" i="49"/>
  <c r="AC103" i="49"/>
  <c r="AD103" i="49"/>
  <c r="AE103" i="49"/>
  <c r="AF103" i="49"/>
  <c r="AG103" i="49"/>
  <c r="AH103" i="49"/>
  <c r="AI103" i="49"/>
  <c r="AJ103" i="49"/>
  <c r="AK103" i="49"/>
  <c r="AL103" i="49"/>
  <c r="AM103" i="49"/>
  <c r="D104" i="49"/>
  <c r="E104" i="49"/>
  <c r="F104" i="49"/>
  <c r="G104" i="49"/>
  <c r="H104" i="49"/>
  <c r="I104" i="49"/>
  <c r="J104" i="49"/>
  <c r="K104" i="49"/>
  <c r="L104" i="49"/>
  <c r="M104" i="49"/>
  <c r="N104" i="49"/>
  <c r="O104" i="49"/>
  <c r="P104" i="49"/>
  <c r="Q104" i="49"/>
  <c r="R104" i="49"/>
  <c r="S104" i="49"/>
  <c r="T104" i="49"/>
  <c r="U104" i="49"/>
  <c r="V104" i="49"/>
  <c r="W104" i="49"/>
  <c r="X104" i="49"/>
  <c r="Y104" i="49"/>
  <c r="Z104" i="49"/>
  <c r="AA104" i="49"/>
  <c r="AB104" i="49"/>
  <c r="AC104" i="49"/>
  <c r="AD104" i="49"/>
  <c r="AE104" i="49"/>
  <c r="AF104" i="49"/>
  <c r="AG104" i="49"/>
  <c r="AH104" i="49"/>
  <c r="AI104" i="49"/>
  <c r="AJ104" i="49"/>
  <c r="AK104" i="49"/>
  <c r="AL104" i="49"/>
  <c r="AM104" i="49"/>
  <c r="D105" i="49"/>
  <c r="E105" i="49"/>
  <c r="F105" i="49"/>
  <c r="G105" i="49"/>
  <c r="H105" i="49"/>
  <c r="I105" i="49"/>
  <c r="J105" i="49"/>
  <c r="K105" i="49"/>
  <c r="L105" i="49"/>
  <c r="M105" i="49"/>
  <c r="N105" i="49"/>
  <c r="O105" i="49"/>
  <c r="P105" i="49"/>
  <c r="Q105" i="49"/>
  <c r="R105" i="49"/>
  <c r="S105" i="49"/>
  <c r="T105" i="49"/>
  <c r="U105" i="49"/>
  <c r="V105" i="49"/>
  <c r="W105" i="49"/>
  <c r="X105" i="49"/>
  <c r="Y105" i="49"/>
  <c r="Z105" i="49"/>
  <c r="AA105" i="49"/>
  <c r="AB105" i="49"/>
  <c r="AC105" i="49"/>
  <c r="AD105" i="49"/>
  <c r="AE105" i="49"/>
  <c r="AF105" i="49"/>
  <c r="AG105" i="49"/>
  <c r="AH105" i="49"/>
  <c r="AI105" i="49"/>
  <c r="AJ105" i="49"/>
  <c r="AK105" i="49"/>
  <c r="AL105" i="49"/>
  <c r="AM105" i="49"/>
  <c r="D106" i="49"/>
  <c r="E106" i="49"/>
  <c r="F106" i="49"/>
  <c r="G106" i="49"/>
  <c r="H106" i="49"/>
  <c r="I106" i="49"/>
  <c r="J106" i="49"/>
  <c r="K106" i="49"/>
  <c r="L106" i="49"/>
  <c r="M106" i="49"/>
  <c r="N106" i="49"/>
  <c r="O106" i="49"/>
  <c r="P106" i="49"/>
  <c r="Q106" i="49"/>
  <c r="R106" i="49"/>
  <c r="S106" i="49"/>
  <c r="T106" i="49"/>
  <c r="U106" i="49"/>
  <c r="V106" i="49"/>
  <c r="W106" i="49"/>
  <c r="X106" i="49"/>
  <c r="Y106" i="49"/>
  <c r="Z106" i="49"/>
  <c r="AA106" i="49"/>
  <c r="AB106" i="49"/>
  <c r="AC106" i="49"/>
  <c r="AD106" i="49"/>
  <c r="AE106" i="49"/>
  <c r="AF106" i="49"/>
  <c r="AG106" i="49"/>
  <c r="AH106" i="49"/>
  <c r="AI106" i="49"/>
  <c r="AJ106" i="49"/>
  <c r="AK106" i="49"/>
  <c r="AL106" i="49"/>
  <c r="AM106" i="49"/>
  <c r="D107" i="49"/>
  <c r="E107" i="49"/>
  <c r="F107" i="49"/>
  <c r="G107" i="49"/>
  <c r="H107" i="49"/>
  <c r="I107" i="49"/>
  <c r="J107" i="49"/>
  <c r="K107" i="49"/>
  <c r="L107" i="49"/>
  <c r="M107" i="49"/>
  <c r="N107" i="49"/>
  <c r="O107" i="49"/>
  <c r="P107" i="49"/>
  <c r="Q107" i="49"/>
  <c r="R107" i="49"/>
  <c r="S107" i="49"/>
  <c r="T107" i="49"/>
  <c r="U107" i="49"/>
  <c r="V107" i="49"/>
  <c r="W107" i="49"/>
  <c r="X107" i="49"/>
  <c r="Y107" i="49"/>
  <c r="Z107" i="49"/>
  <c r="AA107" i="49"/>
  <c r="AB107" i="49"/>
  <c r="AC107" i="49"/>
  <c r="AD107" i="49"/>
  <c r="AE107" i="49"/>
  <c r="AF107" i="49"/>
  <c r="AG107" i="49"/>
  <c r="AH107" i="49"/>
  <c r="AI107" i="49"/>
  <c r="AJ107" i="49"/>
  <c r="AK107" i="49"/>
  <c r="AL107" i="49"/>
  <c r="AM107" i="49"/>
  <c r="D108" i="49"/>
  <c r="E108" i="49"/>
  <c r="F108" i="49"/>
  <c r="G108" i="49"/>
  <c r="H108" i="49"/>
  <c r="I108" i="49"/>
  <c r="J108" i="49"/>
  <c r="K108" i="49"/>
  <c r="L108" i="49"/>
  <c r="M108" i="49"/>
  <c r="N108" i="49"/>
  <c r="O108" i="49"/>
  <c r="P108" i="49"/>
  <c r="Q108" i="49"/>
  <c r="R108" i="49"/>
  <c r="S108" i="49"/>
  <c r="T108" i="49"/>
  <c r="U108" i="49"/>
  <c r="V108" i="49"/>
  <c r="W108" i="49"/>
  <c r="X108" i="49"/>
  <c r="Y108" i="49"/>
  <c r="Z108" i="49"/>
  <c r="AA108" i="49"/>
  <c r="AB108" i="49"/>
  <c r="AC108" i="49"/>
  <c r="AD108" i="49"/>
  <c r="AE108" i="49"/>
  <c r="AF108" i="49"/>
  <c r="AG108" i="49"/>
  <c r="AH108" i="49"/>
  <c r="AI108" i="49"/>
  <c r="AJ108" i="49"/>
  <c r="AK108" i="49"/>
  <c r="AL108" i="49"/>
  <c r="AM108" i="49"/>
  <c r="D109" i="49"/>
  <c r="E109" i="49"/>
  <c r="F109" i="49"/>
  <c r="G109" i="49"/>
  <c r="H109" i="49"/>
  <c r="I109" i="49"/>
  <c r="J109" i="49"/>
  <c r="K109" i="49"/>
  <c r="L109" i="49"/>
  <c r="M109" i="49"/>
  <c r="N109" i="49"/>
  <c r="O109" i="49"/>
  <c r="P109" i="49"/>
  <c r="Q109" i="49"/>
  <c r="R109" i="49"/>
  <c r="S109" i="49"/>
  <c r="T109" i="49"/>
  <c r="U109" i="49"/>
  <c r="V109" i="49"/>
  <c r="W109" i="49"/>
  <c r="X109" i="49"/>
  <c r="Y109" i="49"/>
  <c r="Z109" i="49"/>
  <c r="AA109" i="49"/>
  <c r="AB109" i="49"/>
  <c r="AC109" i="49"/>
  <c r="AD109" i="49"/>
  <c r="AE109" i="49"/>
  <c r="AF109" i="49"/>
  <c r="AG109" i="49"/>
  <c r="AH109" i="49"/>
  <c r="AI109" i="49"/>
  <c r="AJ109" i="49"/>
  <c r="AK109" i="49"/>
  <c r="AL109" i="49"/>
  <c r="AM109" i="49"/>
  <c r="D110" i="49"/>
  <c r="E110" i="49"/>
  <c r="F110" i="49"/>
  <c r="G110" i="49"/>
  <c r="H110" i="49"/>
  <c r="I110" i="49"/>
  <c r="J110" i="49"/>
  <c r="K110" i="49"/>
  <c r="L110" i="49"/>
  <c r="M110" i="49"/>
  <c r="N110" i="49"/>
  <c r="O110" i="49"/>
  <c r="P110" i="49"/>
  <c r="Q110" i="49"/>
  <c r="R110" i="49"/>
  <c r="S110" i="49"/>
  <c r="T110" i="49"/>
  <c r="U110" i="49"/>
  <c r="V110" i="49"/>
  <c r="W110" i="49"/>
  <c r="X110" i="49"/>
  <c r="Y110" i="49"/>
  <c r="Z110" i="49"/>
  <c r="AA110" i="49"/>
  <c r="AB110" i="49"/>
  <c r="AC110" i="49"/>
  <c r="AD110" i="49"/>
  <c r="AE110" i="49"/>
  <c r="AF110" i="49"/>
  <c r="AG110" i="49"/>
  <c r="AH110" i="49"/>
  <c r="AI110" i="49"/>
  <c r="AJ110" i="49"/>
  <c r="AK110" i="49"/>
  <c r="AL110" i="49"/>
  <c r="AM110" i="49"/>
  <c r="D111" i="49"/>
  <c r="E111" i="49"/>
  <c r="F111" i="49"/>
  <c r="G111" i="49"/>
  <c r="H111" i="49"/>
  <c r="I111" i="49"/>
  <c r="J111" i="49"/>
  <c r="K111" i="49"/>
  <c r="L111" i="49"/>
  <c r="M111" i="49"/>
  <c r="N111" i="49"/>
  <c r="O111" i="49"/>
  <c r="P111" i="49"/>
  <c r="Q111" i="49"/>
  <c r="R111" i="49"/>
  <c r="S111" i="49"/>
  <c r="T111" i="49"/>
  <c r="U111" i="49"/>
  <c r="V111" i="49"/>
  <c r="W111" i="49"/>
  <c r="X111" i="49"/>
  <c r="Y111" i="49"/>
  <c r="Z111" i="49"/>
  <c r="AA111" i="49"/>
  <c r="AB111" i="49"/>
  <c r="AC111" i="49"/>
  <c r="AD111" i="49"/>
  <c r="AE111" i="49"/>
  <c r="AF111" i="49"/>
  <c r="AG111" i="49"/>
  <c r="AH111" i="49"/>
  <c r="AI111" i="49"/>
  <c r="AJ111" i="49"/>
  <c r="AK111" i="49"/>
  <c r="AL111" i="49"/>
  <c r="AM111" i="49"/>
  <c r="D112" i="49"/>
  <c r="E112" i="49"/>
  <c r="F112" i="49"/>
  <c r="G112" i="49"/>
  <c r="H112" i="49"/>
  <c r="I112" i="49"/>
  <c r="J112" i="49"/>
  <c r="K112" i="49"/>
  <c r="L112" i="49"/>
  <c r="M112" i="49"/>
  <c r="N112" i="49"/>
  <c r="O112" i="49"/>
  <c r="P112" i="49"/>
  <c r="Q112" i="49"/>
  <c r="R112" i="49"/>
  <c r="S112" i="49"/>
  <c r="T112" i="49"/>
  <c r="U112" i="49"/>
  <c r="V112" i="49"/>
  <c r="W112" i="49"/>
  <c r="X112" i="49"/>
  <c r="Y112" i="49"/>
  <c r="Z112" i="49"/>
  <c r="AA112" i="49"/>
  <c r="AB112" i="49"/>
  <c r="AC112" i="49"/>
  <c r="AD112" i="49"/>
  <c r="AE112" i="49"/>
  <c r="AF112" i="49"/>
  <c r="AG112" i="49"/>
  <c r="AH112" i="49"/>
  <c r="AI112" i="49"/>
  <c r="AJ112" i="49"/>
  <c r="AK112" i="49"/>
  <c r="AL112" i="49"/>
  <c r="AM112" i="49"/>
  <c r="D113" i="49"/>
  <c r="E113" i="49"/>
  <c r="F113" i="49"/>
  <c r="G113" i="49"/>
  <c r="H113" i="49"/>
  <c r="I113" i="49"/>
  <c r="J113" i="49"/>
  <c r="K113" i="49"/>
  <c r="L113" i="49"/>
  <c r="M113" i="49"/>
  <c r="N113" i="49"/>
  <c r="O113" i="49"/>
  <c r="P113" i="49"/>
  <c r="Q113" i="49"/>
  <c r="R113" i="49"/>
  <c r="S113" i="49"/>
  <c r="T113" i="49"/>
  <c r="U113" i="49"/>
  <c r="V113" i="49"/>
  <c r="W113" i="49"/>
  <c r="X113" i="49"/>
  <c r="Y113" i="49"/>
  <c r="Z113" i="49"/>
  <c r="AA113" i="49"/>
  <c r="AB113" i="49"/>
  <c r="AC113" i="49"/>
  <c r="AD113" i="49"/>
  <c r="AE113" i="49"/>
  <c r="AF113" i="49"/>
  <c r="AG113" i="49"/>
  <c r="AH113" i="49"/>
  <c r="AI113" i="49"/>
  <c r="AJ113" i="49"/>
  <c r="AK113" i="49"/>
  <c r="AL113" i="49"/>
  <c r="AM113" i="49"/>
  <c r="D114" i="49"/>
  <c r="E114" i="49"/>
  <c r="F114" i="49"/>
  <c r="G114" i="49"/>
  <c r="H114" i="49"/>
  <c r="I114" i="49"/>
  <c r="J114" i="49"/>
  <c r="K114" i="49"/>
  <c r="L114" i="49"/>
  <c r="M114" i="49"/>
  <c r="N114" i="49"/>
  <c r="O114" i="49"/>
  <c r="P114" i="49"/>
  <c r="Q114" i="49"/>
  <c r="R114" i="49"/>
  <c r="S114" i="49"/>
  <c r="T114" i="49"/>
  <c r="U114" i="49"/>
  <c r="V114" i="49"/>
  <c r="W114" i="49"/>
  <c r="X114" i="49"/>
  <c r="Y114" i="49"/>
  <c r="Z114" i="49"/>
  <c r="AA114" i="49"/>
  <c r="AB114" i="49"/>
  <c r="AC114" i="49"/>
  <c r="AD114" i="49"/>
  <c r="AE114" i="49"/>
  <c r="AF114" i="49"/>
  <c r="AG114" i="49"/>
  <c r="AH114" i="49"/>
  <c r="AI114" i="49"/>
  <c r="AJ114" i="49"/>
  <c r="AK114" i="49"/>
  <c r="AL114" i="49"/>
  <c r="AM114" i="49"/>
  <c r="D115" i="49"/>
  <c r="E115" i="49"/>
  <c r="F115" i="49"/>
  <c r="G115" i="49"/>
  <c r="H115" i="49"/>
  <c r="I115" i="49"/>
  <c r="J115" i="49"/>
  <c r="K115" i="49"/>
  <c r="L115" i="49"/>
  <c r="M115" i="49"/>
  <c r="N115" i="49"/>
  <c r="O115" i="49"/>
  <c r="P115" i="49"/>
  <c r="Q115" i="49"/>
  <c r="R115" i="49"/>
  <c r="S115" i="49"/>
  <c r="T115" i="49"/>
  <c r="U115" i="49"/>
  <c r="V115" i="49"/>
  <c r="W115" i="49"/>
  <c r="X115" i="49"/>
  <c r="Y115" i="49"/>
  <c r="Z115" i="49"/>
  <c r="AA115" i="49"/>
  <c r="AB115" i="49"/>
  <c r="AC115" i="49"/>
  <c r="AD115" i="49"/>
  <c r="AE115" i="49"/>
  <c r="AF115" i="49"/>
  <c r="AG115" i="49"/>
  <c r="AH115" i="49"/>
  <c r="AI115" i="49"/>
  <c r="AJ115" i="49"/>
  <c r="AK115" i="49"/>
  <c r="AL115" i="49"/>
  <c r="AM115" i="49"/>
  <c r="D116" i="49"/>
  <c r="E116" i="49"/>
  <c r="F116" i="49"/>
  <c r="G116" i="49"/>
  <c r="H116" i="49"/>
  <c r="I116" i="49"/>
  <c r="J116" i="49"/>
  <c r="K116" i="49"/>
  <c r="L116" i="49"/>
  <c r="M116" i="49"/>
  <c r="N116" i="49"/>
  <c r="O116" i="49"/>
  <c r="P116" i="49"/>
  <c r="Q116" i="49"/>
  <c r="R116" i="49"/>
  <c r="S116" i="49"/>
  <c r="T116" i="49"/>
  <c r="U116" i="49"/>
  <c r="V116" i="49"/>
  <c r="W116" i="49"/>
  <c r="X116" i="49"/>
  <c r="Y116" i="49"/>
  <c r="Z116" i="49"/>
  <c r="AA116" i="49"/>
  <c r="AB116" i="49"/>
  <c r="AC116" i="49"/>
  <c r="AD116" i="49"/>
  <c r="AE116" i="49"/>
  <c r="AF116" i="49"/>
  <c r="AG116" i="49"/>
  <c r="AH116" i="49"/>
  <c r="AI116" i="49"/>
  <c r="AJ116" i="49"/>
  <c r="AK116" i="49"/>
  <c r="AL116" i="49"/>
  <c r="AM116" i="49"/>
  <c r="D117" i="49"/>
  <c r="E117" i="49"/>
  <c r="F117" i="49"/>
  <c r="G117" i="49"/>
  <c r="H117" i="49"/>
  <c r="I117" i="49"/>
  <c r="J117" i="49"/>
  <c r="K117" i="49"/>
  <c r="L117" i="49"/>
  <c r="M117" i="49"/>
  <c r="N117" i="49"/>
  <c r="O117" i="49"/>
  <c r="P117" i="49"/>
  <c r="Q117" i="49"/>
  <c r="R117" i="49"/>
  <c r="S117" i="49"/>
  <c r="T117" i="49"/>
  <c r="U117" i="49"/>
  <c r="V117" i="49"/>
  <c r="W117" i="49"/>
  <c r="X117" i="49"/>
  <c r="Y117" i="49"/>
  <c r="Z117" i="49"/>
  <c r="AA117" i="49"/>
  <c r="AB117" i="49"/>
  <c r="AC117" i="49"/>
  <c r="AD117" i="49"/>
  <c r="AE117" i="49"/>
  <c r="AF117" i="49"/>
  <c r="AG117" i="49"/>
  <c r="AH117" i="49"/>
  <c r="AI117" i="49"/>
  <c r="AJ117" i="49"/>
  <c r="AK117" i="49"/>
  <c r="AL117" i="49"/>
  <c r="AM117" i="49"/>
  <c r="D118" i="49"/>
  <c r="E118" i="49"/>
  <c r="F118" i="49"/>
  <c r="G118" i="49"/>
  <c r="H118" i="49"/>
  <c r="I118" i="49"/>
  <c r="J118" i="49"/>
  <c r="K118" i="49"/>
  <c r="L118" i="49"/>
  <c r="M118" i="49"/>
  <c r="N118" i="49"/>
  <c r="O118" i="49"/>
  <c r="P118" i="49"/>
  <c r="Q118" i="49"/>
  <c r="R118" i="49"/>
  <c r="S118" i="49"/>
  <c r="T118" i="49"/>
  <c r="U118" i="49"/>
  <c r="V118" i="49"/>
  <c r="W118" i="49"/>
  <c r="X118" i="49"/>
  <c r="Y118" i="49"/>
  <c r="Z118" i="49"/>
  <c r="AA118" i="49"/>
  <c r="AB118" i="49"/>
  <c r="AC118" i="49"/>
  <c r="AD118" i="49"/>
  <c r="AE118" i="49"/>
  <c r="AF118" i="49"/>
  <c r="AG118" i="49"/>
  <c r="AH118" i="49"/>
  <c r="AI118" i="49"/>
  <c r="AJ118" i="49"/>
  <c r="AK118" i="49"/>
  <c r="AL118" i="49"/>
  <c r="AM118" i="49"/>
  <c r="D119" i="49"/>
  <c r="E119" i="49"/>
  <c r="F119" i="49"/>
  <c r="G119" i="49"/>
  <c r="H119" i="49"/>
  <c r="I119" i="49"/>
  <c r="J119" i="49"/>
  <c r="K119" i="49"/>
  <c r="L119" i="49"/>
  <c r="M119" i="49"/>
  <c r="N119" i="49"/>
  <c r="O119" i="49"/>
  <c r="P119" i="49"/>
  <c r="Q119" i="49"/>
  <c r="R119" i="49"/>
  <c r="S119" i="49"/>
  <c r="T119" i="49"/>
  <c r="U119" i="49"/>
  <c r="V119" i="49"/>
  <c r="W119" i="49"/>
  <c r="X119" i="49"/>
  <c r="Y119" i="49"/>
  <c r="Z119" i="49"/>
  <c r="AA119" i="49"/>
  <c r="AB119" i="49"/>
  <c r="AC119" i="49"/>
  <c r="AD119" i="49"/>
  <c r="AE119" i="49"/>
  <c r="AF119" i="49"/>
  <c r="AG119" i="49"/>
  <c r="AH119" i="49"/>
  <c r="AI119" i="49"/>
  <c r="AJ119" i="49"/>
  <c r="AK119" i="49"/>
  <c r="AL119" i="49"/>
  <c r="AM119" i="49"/>
  <c r="D120" i="49"/>
  <c r="E120" i="49"/>
  <c r="F120" i="49"/>
  <c r="G120" i="49"/>
  <c r="H120" i="49"/>
  <c r="I120" i="49"/>
  <c r="J120" i="49"/>
  <c r="K120" i="49"/>
  <c r="L120" i="49"/>
  <c r="M120" i="49"/>
  <c r="N120" i="49"/>
  <c r="O120" i="49"/>
  <c r="P120" i="49"/>
  <c r="Q120" i="49"/>
  <c r="R120" i="49"/>
  <c r="S120" i="49"/>
  <c r="T120" i="49"/>
  <c r="U120" i="49"/>
  <c r="V120" i="49"/>
  <c r="W120" i="49"/>
  <c r="X120" i="49"/>
  <c r="Y120" i="49"/>
  <c r="Z120" i="49"/>
  <c r="AA120" i="49"/>
  <c r="AB120" i="49"/>
  <c r="AC120" i="49"/>
  <c r="AD120" i="49"/>
  <c r="AE120" i="49"/>
  <c r="AF120" i="49"/>
  <c r="AG120" i="49"/>
  <c r="AH120" i="49"/>
  <c r="AI120" i="49"/>
  <c r="AJ120" i="49"/>
  <c r="AK120" i="49"/>
  <c r="AL120" i="49"/>
  <c r="AM120" i="49"/>
  <c r="D121" i="49"/>
  <c r="E121" i="49"/>
  <c r="F121" i="49"/>
  <c r="G121" i="49"/>
  <c r="H121" i="49"/>
  <c r="I121" i="49"/>
  <c r="J121" i="49"/>
  <c r="K121" i="49"/>
  <c r="L121" i="49"/>
  <c r="M121" i="49"/>
  <c r="N121" i="49"/>
  <c r="O121" i="49"/>
  <c r="P121" i="49"/>
  <c r="Q121" i="49"/>
  <c r="R121" i="49"/>
  <c r="S121" i="49"/>
  <c r="T121" i="49"/>
  <c r="U121" i="49"/>
  <c r="V121" i="49"/>
  <c r="W121" i="49"/>
  <c r="X121" i="49"/>
  <c r="Y121" i="49"/>
  <c r="Z121" i="49"/>
  <c r="AA121" i="49"/>
  <c r="AB121" i="49"/>
  <c r="AC121" i="49"/>
  <c r="AD121" i="49"/>
  <c r="AE121" i="49"/>
  <c r="AF121" i="49"/>
  <c r="AG121" i="49"/>
  <c r="AH121" i="49"/>
  <c r="AI121" i="49"/>
  <c r="AJ121" i="49"/>
  <c r="AK121" i="49"/>
  <c r="AL121" i="49"/>
  <c r="AM121" i="49"/>
  <c r="D122" i="49"/>
  <c r="E122" i="49"/>
  <c r="F122" i="49"/>
  <c r="G122" i="49"/>
  <c r="H122" i="49"/>
  <c r="I122" i="49"/>
  <c r="J122" i="49"/>
  <c r="K122" i="49"/>
  <c r="L122" i="49"/>
  <c r="M122" i="49"/>
  <c r="N122" i="49"/>
  <c r="O122" i="49"/>
  <c r="P122" i="49"/>
  <c r="Q122" i="49"/>
  <c r="R122" i="49"/>
  <c r="S122" i="49"/>
  <c r="T122" i="49"/>
  <c r="U122" i="49"/>
  <c r="V122" i="49"/>
  <c r="W122" i="49"/>
  <c r="X122" i="49"/>
  <c r="Y122" i="49"/>
  <c r="Z122" i="49"/>
  <c r="AA122" i="49"/>
  <c r="AB122" i="49"/>
  <c r="AC122" i="49"/>
  <c r="AD122" i="49"/>
  <c r="AE122" i="49"/>
  <c r="AF122" i="49"/>
  <c r="AG122" i="49"/>
  <c r="AH122" i="49"/>
  <c r="AI122" i="49"/>
  <c r="AJ122" i="49"/>
  <c r="AK122" i="49"/>
  <c r="AL122" i="49"/>
  <c r="AM122" i="49"/>
  <c r="D123" i="49"/>
  <c r="E123" i="49"/>
  <c r="F123" i="49"/>
  <c r="G123" i="49"/>
  <c r="H123" i="49"/>
  <c r="I123" i="49"/>
  <c r="J123" i="49"/>
  <c r="K123" i="49"/>
  <c r="L123" i="49"/>
  <c r="M123" i="49"/>
  <c r="N123" i="49"/>
  <c r="O123" i="49"/>
  <c r="P123" i="49"/>
  <c r="Q123" i="49"/>
  <c r="R123" i="49"/>
  <c r="S123" i="49"/>
  <c r="T123" i="49"/>
  <c r="U123" i="49"/>
  <c r="V123" i="49"/>
  <c r="W123" i="49"/>
  <c r="X123" i="49"/>
  <c r="Y123" i="49"/>
  <c r="Z123" i="49"/>
  <c r="AA123" i="49"/>
  <c r="AB123" i="49"/>
  <c r="AC123" i="49"/>
  <c r="AD123" i="49"/>
  <c r="AE123" i="49"/>
  <c r="AF123" i="49"/>
  <c r="AG123" i="49"/>
  <c r="AH123" i="49"/>
  <c r="AI123" i="49"/>
  <c r="AJ123" i="49"/>
  <c r="AK123" i="49"/>
  <c r="AL123" i="49"/>
  <c r="AM123" i="49"/>
  <c r="F124" i="49"/>
  <c r="H124" i="49"/>
  <c r="I124" i="49"/>
  <c r="J124" i="49"/>
  <c r="K124" i="49"/>
  <c r="L124" i="49"/>
  <c r="M124" i="49"/>
  <c r="N124" i="49"/>
  <c r="O124" i="49"/>
  <c r="P124" i="49"/>
  <c r="Q124" i="49"/>
  <c r="R124" i="49"/>
  <c r="S124" i="49"/>
  <c r="T124" i="49"/>
  <c r="U124" i="49"/>
  <c r="V124" i="49"/>
  <c r="W124" i="49"/>
  <c r="X124" i="49"/>
  <c r="Y124" i="49"/>
  <c r="Z124" i="49"/>
  <c r="AA124" i="49"/>
  <c r="AB124" i="49"/>
  <c r="AC124" i="49"/>
  <c r="AD124" i="49"/>
  <c r="AG124" i="49"/>
  <c r="AH124" i="49"/>
  <c r="AI124" i="49"/>
  <c r="AJ124" i="49"/>
  <c r="AK124" i="49"/>
  <c r="AL124" i="49"/>
  <c r="AM124" i="49"/>
  <c r="F125" i="49"/>
  <c r="H125" i="49"/>
  <c r="I125" i="49"/>
  <c r="J125" i="49"/>
  <c r="K125" i="49"/>
  <c r="L125" i="49"/>
  <c r="M125" i="49"/>
  <c r="N125" i="49"/>
  <c r="O125" i="49"/>
  <c r="P125" i="49"/>
  <c r="Q125" i="49"/>
  <c r="R125" i="49"/>
  <c r="S125" i="49"/>
  <c r="T125" i="49"/>
  <c r="U125" i="49"/>
  <c r="V125" i="49"/>
  <c r="W125" i="49"/>
  <c r="X125" i="49"/>
  <c r="Y125" i="49"/>
  <c r="Z125" i="49"/>
  <c r="AA125" i="49"/>
  <c r="AB125" i="49"/>
  <c r="AC125" i="49"/>
  <c r="AD125" i="49"/>
  <c r="AG125" i="49"/>
  <c r="AH125" i="49"/>
  <c r="AI125" i="49"/>
  <c r="AJ125" i="49"/>
  <c r="AK125" i="49"/>
  <c r="AL125" i="49"/>
  <c r="AM125" i="49"/>
  <c r="F126" i="49"/>
  <c r="H126" i="49"/>
  <c r="I126" i="49"/>
  <c r="J126" i="49"/>
  <c r="K126" i="49"/>
  <c r="L126" i="49"/>
  <c r="M126" i="49"/>
  <c r="N126" i="49"/>
  <c r="O126" i="49"/>
  <c r="P126" i="49"/>
  <c r="Q126" i="49"/>
  <c r="R126" i="49"/>
  <c r="S126" i="49"/>
  <c r="T126" i="49"/>
  <c r="U126" i="49"/>
  <c r="V126" i="49"/>
  <c r="W126" i="49"/>
  <c r="X126" i="49"/>
  <c r="Y126" i="49"/>
  <c r="Z126" i="49"/>
  <c r="AA126" i="49"/>
  <c r="AB126" i="49"/>
  <c r="AC126" i="49"/>
  <c r="AD126" i="49"/>
  <c r="AG126" i="49"/>
  <c r="AH126" i="49"/>
  <c r="AI126" i="49"/>
  <c r="AJ126" i="49"/>
  <c r="AK126" i="49"/>
  <c r="AL126" i="49"/>
  <c r="AM126" i="49"/>
  <c r="F127" i="49"/>
  <c r="H127" i="49"/>
  <c r="I127" i="49"/>
  <c r="J127" i="49"/>
  <c r="K127" i="49"/>
  <c r="L127" i="49"/>
  <c r="M127" i="49"/>
  <c r="N127" i="49"/>
  <c r="O127" i="49"/>
  <c r="P127" i="49"/>
  <c r="Q127" i="49"/>
  <c r="R127" i="49"/>
  <c r="S127" i="49"/>
  <c r="T127" i="49"/>
  <c r="U127" i="49"/>
  <c r="V127" i="49"/>
  <c r="W127" i="49"/>
  <c r="X127" i="49"/>
  <c r="Y127" i="49"/>
  <c r="Z127" i="49"/>
  <c r="AA127" i="49"/>
  <c r="AB127" i="49"/>
  <c r="AC127" i="49"/>
  <c r="AD127" i="49"/>
  <c r="AG127" i="49"/>
  <c r="AH127" i="49"/>
  <c r="AI127" i="49"/>
  <c r="AJ127" i="49"/>
  <c r="AK127" i="49"/>
  <c r="AL127" i="49"/>
  <c r="AM127" i="49"/>
  <c r="F128" i="49"/>
  <c r="H128" i="49"/>
  <c r="I128" i="49"/>
  <c r="J128" i="49"/>
  <c r="K128" i="49"/>
  <c r="L128" i="49"/>
  <c r="M128" i="49"/>
  <c r="N128" i="49"/>
  <c r="O128" i="49"/>
  <c r="P128" i="49"/>
  <c r="Q128" i="49"/>
  <c r="R128" i="49"/>
  <c r="S128" i="49"/>
  <c r="T128" i="49"/>
  <c r="U128" i="49"/>
  <c r="V128" i="49"/>
  <c r="W128" i="49"/>
  <c r="X128" i="49"/>
  <c r="Y128" i="49"/>
  <c r="Z128" i="49"/>
  <c r="AA128" i="49"/>
  <c r="AB128" i="49"/>
  <c r="AC128" i="49"/>
  <c r="AD128" i="49"/>
  <c r="AG128" i="49"/>
  <c r="AH128" i="49"/>
  <c r="AI128" i="49"/>
  <c r="AJ128" i="49"/>
  <c r="AK128" i="49"/>
  <c r="AL128" i="49"/>
  <c r="AM128" i="49"/>
  <c r="F129" i="49"/>
  <c r="H129" i="49"/>
  <c r="I129" i="49"/>
  <c r="J129" i="49"/>
  <c r="K129" i="49"/>
  <c r="L129" i="49"/>
  <c r="M129" i="49"/>
  <c r="N129" i="49"/>
  <c r="O129" i="49"/>
  <c r="P129" i="49"/>
  <c r="Q129" i="49"/>
  <c r="R129" i="49"/>
  <c r="S129" i="49"/>
  <c r="T129" i="49"/>
  <c r="U129" i="49"/>
  <c r="V129" i="49"/>
  <c r="W129" i="49"/>
  <c r="X129" i="49"/>
  <c r="Y129" i="49"/>
  <c r="Z129" i="49"/>
  <c r="AA129" i="49"/>
  <c r="AB129" i="49"/>
  <c r="AC129" i="49"/>
  <c r="AD129" i="49"/>
  <c r="AG129" i="49"/>
  <c r="AH129" i="49"/>
  <c r="AI129" i="49"/>
  <c r="AJ129" i="49"/>
  <c r="AK129" i="49"/>
  <c r="AL129" i="49"/>
  <c r="AM129" i="49"/>
  <c r="F130" i="49"/>
  <c r="H130" i="49"/>
  <c r="I130" i="49"/>
  <c r="J130" i="49"/>
  <c r="K130" i="49"/>
  <c r="L130" i="49"/>
  <c r="M130" i="49"/>
  <c r="N130" i="49"/>
  <c r="O130" i="49"/>
  <c r="P130" i="49"/>
  <c r="Q130" i="49"/>
  <c r="R130" i="49"/>
  <c r="S130" i="49"/>
  <c r="T130" i="49"/>
  <c r="U130" i="49"/>
  <c r="V130" i="49"/>
  <c r="W130" i="49"/>
  <c r="X130" i="49"/>
  <c r="Y130" i="49"/>
  <c r="Z130" i="49"/>
  <c r="AA130" i="49"/>
  <c r="AB130" i="49"/>
  <c r="AC130" i="49"/>
  <c r="AD130" i="49"/>
  <c r="AG130" i="49"/>
  <c r="AH130" i="49"/>
  <c r="AI130" i="49"/>
  <c r="AJ130" i="49"/>
  <c r="AK130" i="49"/>
  <c r="AL130" i="49"/>
  <c r="AM130" i="49"/>
  <c r="F131" i="49"/>
  <c r="H131" i="49"/>
  <c r="I131" i="49"/>
  <c r="J131" i="49"/>
  <c r="K131" i="49"/>
  <c r="L131" i="49"/>
  <c r="M131" i="49"/>
  <c r="N131" i="49"/>
  <c r="O131" i="49"/>
  <c r="P131" i="49"/>
  <c r="Q131" i="49"/>
  <c r="R131" i="49"/>
  <c r="S131" i="49"/>
  <c r="T131" i="49"/>
  <c r="U131" i="49"/>
  <c r="V131" i="49"/>
  <c r="W131" i="49"/>
  <c r="X131" i="49"/>
  <c r="Y131" i="49"/>
  <c r="Z131" i="49"/>
  <c r="AA131" i="49"/>
  <c r="AB131" i="49"/>
  <c r="AC131" i="49"/>
  <c r="AD131" i="49"/>
  <c r="AG131" i="49"/>
  <c r="AH131" i="49"/>
  <c r="AI131" i="49"/>
  <c r="AJ131" i="49"/>
  <c r="AK131" i="49"/>
  <c r="AL131" i="49"/>
  <c r="AM131" i="49"/>
  <c r="F132" i="49"/>
  <c r="H132" i="49"/>
  <c r="I132" i="49"/>
  <c r="J132" i="49"/>
  <c r="K132" i="49"/>
  <c r="L132" i="49"/>
  <c r="M132" i="49"/>
  <c r="N132" i="49"/>
  <c r="O132" i="49"/>
  <c r="P132" i="49"/>
  <c r="Q132" i="49"/>
  <c r="R132" i="49"/>
  <c r="S132" i="49"/>
  <c r="T132" i="49"/>
  <c r="U132" i="49"/>
  <c r="V132" i="49"/>
  <c r="W132" i="49"/>
  <c r="X132" i="49"/>
  <c r="Y132" i="49"/>
  <c r="Z132" i="49"/>
  <c r="AA132" i="49"/>
  <c r="AB132" i="49"/>
  <c r="AC132" i="49"/>
  <c r="AD132" i="49"/>
  <c r="AG132" i="49"/>
  <c r="AH132" i="49"/>
  <c r="AI132" i="49"/>
  <c r="AJ132" i="49"/>
  <c r="AK132" i="49"/>
  <c r="AL132" i="49"/>
  <c r="AM132" i="49"/>
  <c r="F133" i="49"/>
  <c r="H133" i="49"/>
  <c r="I133" i="49"/>
  <c r="J133" i="49"/>
  <c r="K133" i="49"/>
  <c r="L133" i="49"/>
  <c r="M133" i="49"/>
  <c r="N133" i="49"/>
  <c r="O133" i="49"/>
  <c r="P133" i="49"/>
  <c r="Q133" i="49"/>
  <c r="R133" i="49"/>
  <c r="S133" i="49"/>
  <c r="T133" i="49"/>
  <c r="U133" i="49"/>
  <c r="V133" i="49"/>
  <c r="W133" i="49"/>
  <c r="X133" i="49"/>
  <c r="Y133" i="49"/>
  <c r="Z133" i="49"/>
  <c r="AA133" i="49"/>
  <c r="AB133" i="49"/>
  <c r="AC133" i="49"/>
  <c r="AD133" i="49"/>
  <c r="AG133" i="49"/>
  <c r="AH133" i="49"/>
  <c r="AI133" i="49"/>
  <c r="AJ133" i="49"/>
  <c r="AK133" i="49"/>
  <c r="AL133" i="49"/>
  <c r="AM133" i="49"/>
  <c r="F134" i="49"/>
  <c r="H134" i="49"/>
  <c r="I134" i="49"/>
  <c r="J134" i="49"/>
  <c r="K134" i="49"/>
  <c r="L134" i="49"/>
  <c r="M134" i="49"/>
  <c r="N134" i="49"/>
  <c r="O134" i="49"/>
  <c r="P134" i="49"/>
  <c r="Q134" i="49"/>
  <c r="R134" i="49"/>
  <c r="S134" i="49"/>
  <c r="T134" i="49"/>
  <c r="U134" i="49"/>
  <c r="V134" i="49"/>
  <c r="W134" i="49"/>
  <c r="X134" i="49"/>
  <c r="Y134" i="49"/>
  <c r="Z134" i="49"/>
  <c r="AA134" i="49"/>
  <c r="AB134" i="49"/>
  <c r="AC134" i="49"/>
  <c r="AD134" i="49"/>
  <c r="AG134" i="49"/>
  <c r="AH134" i="49"/>
  <c r="AI134" i="49"/>
  <c r="AJ134" i="49"/>
  <c r="AK134" i="49"/>
  <c r="AL134" i="49"/>
  <c r="AM134" i="49"/>
  <c r="F135" i="49"/>
  <c r="H135" i="49"/>
  <c r="I135" i="49"/>
  <c r="J135" i="49"/>
  <c r="K135" i="49"/>
  <c r="L135" i="49"/>
  <c r="M135" i="49"/>
  <c r="N135" i="49"/>
  <c r="O135" i="49"/>
  <c r="P135" i="49"/>
  <c r="Q135" i="49"/>
  <c r="R135" i="49"/>
  <c r="S135" i="49"/>
  <c r="T135" i="49"/>
  <c r="U135" i="49"/>
  <c r="V135" i="49"/>
  <c r="W135" i="49"/>
  <c r="X135" i="49"/>
  <c r="Y135" i="49"/>
  <c r="Z135" i="49"/>
  <c r="AA135" i="49"/>
  <c r="AB135" i="49"/>
  <c r="AC135" i="49"/>
  <c r="AD135" i="49"/>
  <c r="AG135" i="49"/>
  <c r="AH135" i="49"/>
  <c r="AI135" i="49"/>
  <c r="AJ135" i="49"/>
  <c r="AK135" i="49"/>
  <c r="AL135" i="49"/>
  <c r="AM135" i="49"/>
  <c r="F136" i="49"/>
  <c r="H136" i="49"/>
  <c r="I136" i="49"/>
  <c r="J136" i="49"/>
  <c r="K136" i="49"/>
  <c r="L136" i="49"/>
  <c r="M136" i="49"/>
  <c r="N136" i="49"/>
  <c r="O136" i="49"/>
  <c r="P136" i="49"/>
  <c r="Q136" i="49"/>
  <c r="R136" i="49"/>
  <c r="S136" i="49"/>
  <c r="T136" i="49"/>
  <c r="U136" i="49"/>
  <c r="V136" i="49"/>
  <c r="W136" i="49"/>
  <c r="X136" i="49"/>
  <c r="Y136" i="49"/>
  <c r="Z136" i="49"/>
  <c r="AA136" i="49"/>
  <c r="AB136" i="49"/>
  <c r="AC136" i="49"/>
  <c r="AD136" i="49"/>
  <c r="AG136" i="49"/>
  <c r="AH136" i="49"/>
  <c r="AI136" i="49"/>
  <c r="AJ136" i="49"/>
  <c r="AK136" i="49"/>
  <c r="AL136" i="49"/>
  <c r="AM136" i="49"/>
  <c r="F137" i="49"/>
  <c r="H137" i="49"/>
  <c r="I137" i="49"/>
  <c r="J137" i="49"/>
  <c r="K137" i="49"/>
  <c r="L137" i="49"/>
  <c r="M137" i="49"/>
  <c r="N137" i="49"/>
  <c r="O137" i="49"/>
  <c r="P137" i="49"/>
  <c r="Q137" i="49"/>
  <c r="R137" i="49"/>
  <c r="S137" i="49"/>
  <c r="T137" i="49"/>
  <c r="U137" i="49"/>
  <c r="V137" i="49"/>
  <c r="W137" i="49"/>
  <c r="X137" i="49"/>
  <c r="Y137" i="49"/>
  <c r="Z137" i="49"/>
  <c r="AA137" i="49"/>
  <c r="AB137" i="49"/>
  <c r="AC137" i="49"/>
  <c r="AD137" i="49"/>
  <c r="AG137" i="49"/>
  <c r="AH137" i="49"/>
  <c r="AI137" i="49"/>
  <c r="AJ137" i="49"/>
  <c r="AK137" i="49"/>
  <c r="AL137" i="49"/>
  <c r="AM137" i="49"/>
  <c r="F138" i="49"/>
  <c r="H138" i="49"/>
  <c r="I138" i="49"/>
  <c r="J138" i="49"/>
  <c r="K138" i="49"/>
  <c r="L138" i="49"/>
  <c r="M138" i="49"/>
  <c r="N138" i="49"/>
  <c r="O138" i="49"/>
  <c r="P138" i="49"/>
  <c r="Q138" i="49"/>
  <c r="R138" i="49"/>
  <c r="S138" i="49"/>
  <c r="T138" i="49"/>
  <c r="U138" i="49"/>
  <c r="V138" i="49"/>
  <c r="W138" i="49"/>
  <c r="X138" i="49"/>
  <c r="Y138" i="49"/>
  <c r="Z138" i="49"/>
  <c r="AA138" i="49"/>
  <c r="AB138" i="49"/>
  <c r="AC138" i="49"/>
  <c r="AD138" i="49"/>
  <c r="AG138" i="49"/>
  <c r="AH138" i="49"/>
  <c r="AI138" i="49"/>
  <c r="AJ138" i="49"/>
  <c r="AK138" i="49"/>
  <c r="AL138" i="49"/>
  <c r="AM138" i="49"/>
  <c r="F139" i="49"/>
  <c r="H139" i="49"/>
  <c r="I139" i="49"/>
  <c r="J139" i="49"/>
  <c r="K139" i="49"/>
  <c r="L139" i="49"/>
  <c r="M139" i="49"/>
  <c r="N139" i="49"/>
  <c r="O139" i="49"/>
  <c r="P139" i="49"/>
  <c r="Q139" i="49"/>
  <c r="R139" i="49"/>
  <c r="S139" i="49"/>
  <c r="T139" i="49"/>
  <c r="U139" i="49"/>
  <c r="V139" i="49"/>
  <c r="W139" i="49"/>
  <c r="X139" i="49"/>
  <c r="Y139" i="49"/>
  <c r="Z139" i="49"/>
  <c r="AA139" i="49"/>
  <c r="AB139" i="49"/>
  <c r="AC139" i="49"/>
  <c r="AD139" i="49"/>
  <c r="AG139" i="49"/>
  <c r="AH139" i="49"/>
  <c r="AI139" i="49"/>
  <c r="AJ139" i="49"/>
  <c r="AK139" i="49"/>
  <c r="AL139" i="49"/>
  <c r="AM139" i="49"/>
  <c r="F140" i="49"/>
  <c r="H140" i="49"/>
  <c r="I140" i="49"/>
  <c r="J140" i="49"/>
  <c r="K140" i="49"/>
  <c r="L140" i="49"/>
  <c r="M140" i="49"/>
  <c r="N140" i="49"/>
  <c r="O140" i="49"/>
  <c r="P140" i="49"/>
  <c r="Q140" i="49"/>
  <c r="R140" i="49"/>
  <c r="S140" i="49"/>
  <c r="T140" i="49"/>
  <c r="U140" i="49"/>
  <c r="V140" i="49"/>
  <c r="W140" i="49"/>
  <c r="X140" i="49"/>
  <c r="Y140" i="49"/>
  <c r="Z140" i="49"/>
  <c r="AA140" i="49"/>
  <c r="AB140" i="49"/>
  <c r="AC140" i="49"/>
  <c r="AD140" i="49"/>
  <c r="AG140" i="49"/>
  <c r="AH140" i="49"/>
  <c r="AI140" i="49"/>
  <c r="AJ140" i="49"/>
  <c r="AK140" i="49"/>
  <c r="AL140" i="49"/>
  <c r="AM140" i="49"/>
  <c r="F141" i="49"/>
  <c r="H141" i="49"/>
  <c r="I141" i="49"/>
  <c r="J141" i="49"/>
  <c r="K141" i="49"/>
  <c r="L141" i="49"/>
  <c r="M141" i="49"/>
  <c r="N141" i="49"/>
  <c r="O141" i="49"/>
  <c r="P141" i="49"/>
  <c r="Q141" i="49"/>
  <c r="R141" i="49"/>
  <c r="S141" i="49"/>
  <c r="T141" i="49"/>
  <c r="U141" i="49"/>
  <c r="V141" i="49"/>
  <c r="W141" i="49"/>
  <c r="X141" i="49"/>
  <c r="Y141" i="49"/>
  <c r="Z141" i="49"/>
  <c r="AA141" i="49"/>
  <c r="AB141" i="49"/>
  <c r="AC141" i="49"/>
  <c r="AD141" i="49"/>
  <c r="AG141" i="49"/>
  <c r="AH141" i="49"/>
  <c r="AI141" i="49"/>
  <c r="AJ141" i="49"/>
  <c r="AK141" i="49"/>
  <c r="AL141" i="49"/>
  <c r="AM141" i="49"/>
  <c r="F142" i="49"/>
  <c r="H142" i="49"/>
  <c r="I142" i="49"/>
  <c r="J142" i="49"/>
  <c r="K142" i="49"/>
  <c r="L142" i="49"/>
  <c r="M142" i="49"/>
  <c r="N142" i="49"/>
  <c r="O142" i="49"/>
  <c r="P142" i="49"/>
  <c r="Q142" i="49"/>
  <c r="R142" i="49"/>
  <c r="S142" i="49"/>
  <c r="T142" i="49"/>
  <c r="U142" i="49"/>
  <c r="V142" i="49"/>
  <c r="W142" i="49"/>
  <c r="X142" i="49"/>
  <c r="Y142" i="49"/>
  <c r="Z142" i="49"/>
  <c r="AA142" i="49"/>
  <c r="AB142" i="49"/>
  <c r="AC142" i="49"/>
  <c r="AD142" i="49"/>
  <c r="AG142" i="49"/>
  <c r="AH142" i="49"/>
  <c r="AI142" i="49"/>
  <c r="AJ142" i="49"/>
  <c r="AK142" i="49"/>
  <c r="AL142" i="49"/>
  <c r="AM142" i="49"/>
  <c r="F143" i="49"/>
  <c r="H143" i="49"/>
  <c r="I143" i="49"/>
  <c r="J143" i="49"/>
  <c r="K143" i="49"/>
  <c r="L143" i="49"/>
  <c r="M143" i="49"/>
  <c r="N143" i="49"/>
  <c r="O143" i="49"/>
  <c r="P143" i="49"/>
  <c r="Q143" i="49"/>
  <c r="R143" i="49"/>
  <c r="S143" i="49"/>
  <c r="T143" i="49"/>
  <c r="U143" i="49"/>
  <c r="V143" i="49"/>
  <c r="W143" i="49"/>
  <c r="X143" i="49"/>
  <c r="Y143" i="49"/>
  <c r="Z143" i="49"/>
  <c r="AA143" i="49"/>
  <c r="AB143" i="49"/>
  <c r="AC143" i="49"/>
  <c r="AD143" i="49"/>
  <c r="AG143" i="49"/>
  <c r="AH143" i="49"/>
  <c r="AI143" i="49"/>
  <c r="AJ143" i="49"/>
  <c r="AK143" i="49"/>
  <c r="AL143" i="49"/>
  <c r="AM143" i="49"/>
  <c r="D144" i="49"/>
  <c r="E144" i="49"/>
  <c r="F144" i="49"/>
  <c r="G144" i="49"/>
  <c r="H144" i="49"/>
  <c r="I144" i="49"/>
  <c r="J144" i="49"/>
  <c r="K144" i="49"/>
  <c r="L144" i="49"/>
  <c r="M144" i="49"/>
  <c r="N144" i="49"/>
  <c r="O144" i="49"/>
  <c r="P144" i="49"/>
  <c r="Q144" i="49"/>
  <c r="R144" i="49"/>
  <c r="S144" i="49"/>
  <c r="T144" i="49"/>
  <c r="U144" i="49"/>
  <c r="V144" i="49"/>
  <c r="W144" i="49"/>
  <c r="X144" i="49"/>
  <c r="Y144" i="49"/>
  <c r="Z144" i="49"/>
  <c r="AA144" i="49"/>
  <c r="AB144" i="49"/>
  <c r="AC144" i="49"/>
  <c r="AD144" i="49"/>
  <c r="AE144" i="49"/>
  <c r="AF144" i="49"/>
  <c r="AG144" i="49"/>
  <c r="AH144" i="49"/>
  <c r="AI144" i="49"/>
  <c r="AJ144" i="49"/>
  <c r="AK144" i="49"/>
  <c r="AL144" i="49"/>
  <c r="AM144" i="49"/>
  <c r="D145" i="49"/>
  <c r="E145" i="49"/>
  <c r="F145" i="49"/>
  <c r="G145" i="49"/>
  <c r="H145" i="49"/>
  <c r="I145" i="49"/>
  <c r="J145" i="49"/>
  <c r="K145" i="49"/>
  <c r="L145" i="49"/>
  <c r="M145" i="49"/>
  <c r="N145" i="49"/>
  <c r="O145" i="49"/>
  <c r="P145" i="49"/>
  <c r="Q145" i="49"/>
  <c r="R145" i="49"/>
  <c r="S145" i="49"/>
  <c r="T145" i="49"/>
  <c r="U145" i="49"/>
  <c r="V145" i="49"/>
  <c r="W145" i="49"/>
  <c r="X145" i="49"/>
  <c r="Y145" i="49"/>
  <c r="Z145" i="49"/>
  <c r="AA145" i="49"/>
  <c r="AB145" i="49"/>
  <c r="AC145" i="49"/>
  <c r="AD145" i="49"/>
  <c r="AE145" i="49"/>
  <c r="AF145" i="49"/>
  <c r="AG145" i="49"/>
  <c r="AH145" i="49"/>
  <c r="AI145" i="49"/>
  <c r="AJ145" i="49"/>
  <c r="AK145" i="49"/>
  <c r="AL145" i="49"/>
  <c r="AM145" i="49"/>
  <c r="D146" i="49"/>
  <c r="E146" i="49"/>
  <c r="F146" i="49"/>
  <c r="G146" i="49"/>
  <c r="H146" i="49"/>
  <c r="I146" i="49"/>
  <c r="J146" i="49"/>
  <c r="K146" i="49"/>
  <c r="L146" i="49"/>
  <c r="M146" i="49"/>
  <c r="N146" i="49"/>
  <c r="O146" i="49"/>
  <c r="P146" i="49"/>
  <c r="Q146" i="49"/>
  <c r="R146" i="49"/>
  <c r="S146" i="49"/>
  <c r="T146" i="49"/>
  <c r="U146" i="49"/>
  <c r="V146" i="49"/>
  <c r="W146" i="49"/>
  <c r="X146" i="49"/>
  <c r="Y146" i="49"/>
  <c r="Z146" i="49"/>
  <c r="AA146" i="49"/>
  <c r="AB146" i="49"/>
  <c r="AC146" i="49"/>
  <c r="AD146" i="49"/>
  <c r="AE146" i="49"/>
  <c r="AF146" i="49"/>
  <c r="AG146" i="49"/>
  <c r="AH146" i="49"/>
  <c r="AI146" i="49"/>
  <c r="AJ146" i="49"/>
  <c r="AK146" i="49"/>
  <c r="AL146" i="49"/>
  <c r="AM146" i="49"/>
  <c r="D147" i="49"/>
  <c r="E147" i="49"/>
  <c r="F147" i="49"/>
  <c r="G147" i="49"/>
  <c r="H147" i="49"/>
  <c r="I147" i="49"/>
  <c r="J147" i="49"/>
  <c r="K147" i="49"/>
  <c r="L147" i="49"/>
  <c r="M147" i="49"/>
  <c r="N147" i="49"/>
  <c r="O147" i="49"/>
  <c r="P147" i="49"/>
  <c r="Q147" i="49"/>
  <c r="R147" i="49"/>
  <c r="S147" i="49"/>
  <c r="T147" i="49"/>
  <c r="U147" i="49"/>
  <c r="V147" i="49"/>
  <c r="W147" i="49"/>
  <c r="X147" i="49"/>
  <c r="Y147" i="49"/>
  <c r="Z147" i="49"/>
  <c r="AA147" i="49"/>
  <c r="AB147" i="49"/>
  <c r="AC147" i="49"/>
  <c r="AD147" i="49"/>
  <c r="AE147" i="49"/>
  <c r="AF147" i="49"/>
  <c r="AG147" i="49"/>
  <c r="AH147" i="49"/>
  <c r="AI147" i="49"/>
  <c r="AJ147" i="49"/>
  <c r="AK147" i="49"/>
  <c r="AL147" i="49"/>
  <c r="AM147" i="49"/>
  <c r="D148" i="49"/>
  <c r="E148" i="49"/>
  <c r="F148" i="49"/>
  <c r="G148" i="49"/>
  <c r="H148" i="49"/>
  <c r="I148" i="49"/>
  <c r="J148" i="49"/>
  <c r="K148" i="49"/>
  <c r="L148" i="49"/>
  <c r="M148" i="49"/>
  <c r="N148" i="49"/>
  <c r="O148" i="49"/>
  <c r="P148" i="49"/>
  <c r="Q148" i="49"/>
  <c r="R148" i="49"/>
  <c r="S148" i="49"/>
  <c r="T148" i="49"/>
  <c r="U148" i="49"/>
  <c r="V148" i="49"/>
  <c r="W148" i="49"/>
  <c r="X148" i="49"/>
  <c r="Y148" i="49"/>
  <c r="Z148" i="49"/>
  <c r="AA148" i="49"/>
  <c r="AB148" i="49"/>
  <c r="AC148" i="49"/>
  <c r="AD148" i="49"/>
  <c r="AE148" i="49"/>
  <c r="AF148" i="49"/>
  <c r="AG148" i="49"/>
  <c r="AH148" i="49"/>
  <c r="AI148" i="49"/>
  <c r="AJ148" i="49"/>
  <c r="AK148" i="49"/>
  <c r="AL148" i="49"/>
  <c r="AM148" i="49"/>
  <c r="D149" i="49"/>
  <c r="E149" i="49"/>
  <c r="F149" i="49"/>
  <c r="G149" i="49"/>
  <c r="H149" i="49"/>
  <c r="I149" i="49"/>
  <c r="J149" i="49"/>
  <c r="K149" i="49"/>
  <c r="L149" i="49"/>
  <c r="M149" i="49"/>
  <c r="N149" i="49"/>
  <c r="O149" i="49"/>
  <c r="P149" i="49"/>
  <c r="Q149" i="49"/>
  <c r="R149" i="49"/>
  <c r="S149" i="49"/>
  <c r="T149" i="49"/>
  <c r="U149" i="49"/>
  <c r="V149" i="49"/>
  <c r="W149" i="49"/>
  <c r="X149" i="49"/>
  <c r="Y149" i="49"/>
  <c r="Z149" i="49"/>
  <c r="AA149" i="49"/>
  <c r="AB149" i="49"/>
  <c r="AC149" i="49"/>
  <c r="AD149" i="49"/>
  <c r="AE149" i="49"/>
  <c r="AF149" i="49"/>
  <c r="AG149" i="49"/>
  <c r="AH149" i="49"/>
  <c r="AI149" i="49"/>
  <c r="AJ149" i="49"/>
  <c r="AK149" i="49"/>
  <c r="AL149" i="49"/>
  <c r="AM149" i="49"/>
  <c r="D150" i="49"/>
  <c r="E150" i="49"/>
  <c r="F150" i="49"/>
  <c r="G150" i="49"/>
  <c r="H150" i="49"/>
  <c r="I150" i="49"/>
  <c r="J150" i="49"/>
  <c r="K150" i="49"/>
  <c r="L150" i="49"/>
  <c r="M150" i="49"/>
  <c r="N150" i="49"/>
  <c r="O150" i="49"/>
  <c r="P150" i="49"/>
  <c r="Q150" i="49"/>
  <c r="R150" i="49"/>
  <c r="S150" i="49"/>
  <c r="T150" i="49"/>
  <c r="U150" i="49"/>
  <c r="V150" i="49"/>
  <c r="W150" i="49"/>
  <c r="X150" i="49"/>
  <c r="Y150" i="49"/>
  <c r="Z150" i="49"/>
  <c r="AA150" i="49"/>
  <c r="AB150" i="49"/>
  <c r="AC150" i="49"/>
  <c r="AD150" i="49"/>
  <c r="AE150" i="49"/>
  <c r="AF150" i="49"/>
  <c r="AG150" i="49"/>
  <c r="AH150" i="49"/>
  <c r="AI150" i="49"/>
  <c r="AJ150" i="49"/>
  <c r="AK150" i="49"/>
  <c r="AL150" i="49"/>
  <c r="AM150" i="49"/>
  <c r="D151" i="49"/>
  <c r="E151" i="49"/>
  <c r="F151" i="49"/>
  <c r="G151" i="49"/>
  <c r="H151" i="49"/>
  <c r="I151" i="49"/>
  <c r="J151" i="49"/>
  <c r="K151" i="49"/>
  <c r="L151" i="49"/>
  <c r="M151" i="49"/>
  <c r="N151" i="49"/>
  <c r="O151" i="49"/>
  <c r="P151" i="49"/>
  <c r="Q151" i="49"/>
  <c r="R151" i="49"/>
  <c r="S151" i="49"/>
  <c r="T151" i="49"/>
  <c r="U151" i="49"/>
  <c r="V151" i="49"/>
  <c r="W151" i="49"/>
  <c r="X151" i="49"/>
  <c r="Y151" i="49"/>
  <c r="Z151" i="49"/>
  <c r="AA151" i="49"/>
  <c r="AB151" i="49"/>
  <c r="AC151" i="49"/>
  <c r="AD151" i="49"/>
  <c r="AE151" i="49"/>
  <c r="AF151" i="49"/>
  <c r="AG151" i="49"/>
  <c r="AH151" i="49"/>
  <c r="AI151" i="49"/>
  <c r="AJ151" i="49"/>
  <c r="AK151" i="49"/>
  <c r="AL151" i="49"/>
  <c r="AM151" i="49"/>
  <c r="D152" i="49"/>
  <c r="E152" i="49"/>
  <c r="F152" i="49"/>
  <c r="G152" i="49"/>
  <c r="H152" i="49"/>
  <c r="I152" i="49"/>
  <c r="J152" i="49"/>
  <c r="K152" i="49"/>
  <c r="L152" i="49"/>
  <c r="M152" i="49"/>
  <c r="N152" i="49"/>
  <c r="O152" i="49"/>
  <c r="P152" i="49"/>
  <c r="Q152" i="49"/>
  <c r="R152" i="49"/>
  <c r="S152" i="49"/>
  <c r="T152" i="49"/>
  <c r="U152" i="49"/>
  <c r="V152" i="49"/>
  <c r="W152" i="49"/>
  <c r="X152" i="49"/>
  <c r="Y152" i="49"/>
  <c r="Z152" i="49"/>
  <c r="AA152" i="49"/>
  <c r="AB152" i="49"/>
  <c r="AC152" i="49"/>
  <c r="AD152" i="49"/>
  <c r="AE152" i="49"/>
  <c r="AF152" i="49"/>
  <c r="AG152" i="49"/>
  <c r="AH152" i="49"/>
  <c r="AI152" i="49"/>
  <c r="AJ152" i="49"/>
  <c r="AK152" i="49"/>
  <c r="AL152" i="49"/>
  <c r="AM152" i="49"/>
  <c r="D153" i="49"/>
  <c r="E153" i="49"/>
  <c r="F153" i="49"/>
  <c r="G153" i="49"/>
  <c r="H153" i="49"/>
  <c r="I153" i="49"/>
  <c r="J153" i="49"/>
  <c r="K153" i="49"/>
  <c r="L153" i="49"/>
  <c r="M153" i="49"/>
  <c r="N153" i="49"/>
  <c r="O153" i="49"/>
  <c r="P153" i="49"/>
  <c r="Q153" i="49"/>
  <c r="R153" i="49"/>
  <c r="S153" i="49"/>
  <c r="T153" i="49"/>
  <c r="U153" i="49"/>
  <c r="V153" i="49"/>
  <c r="W153" i="49"/>
  <c r="X153" i="49"/>
  <c r="Y153" i="49"/>
  <c r="Z153" i="49"/>
  <c r="AA153" i="49"/>
  <c r="AB153" i="49"/>
  <c r="AC153" i="49"/>
  <c r="AD153" i="49"/>
  <c r="AE153" i="49"/>
  <c r="AF153" i="49"/>
  <c r="AG153" i="49"/>
  <c r="AH153" i="49"/>
  <c r="AI153" i="49"/>
  <c r="AJ153" i="49"/>
  <c r="AK153" i="49"/>
  <c r="AL153" i="49"/>
  <c r="AM153" i="49"/>
  <c r="D154" i="49"/>
  <c r="E154" i="49"/>
  <c r="F154" i="49"/>
  <c r="G154" i="49"/>
  <c r="H154" i="49"/>
  <c r="I154" i="49"/>
  <c r="J154" i="49"/>
  <c r="K154" i="49"/>
  <c r="L154" i="49"/>
  <c r="M154" i="49"/>
  <c r="N154" i="49"/>
  <c r="O154" i="49"/>
  <c r="P154" i="49"/>
  <c r="Q154" i="49"/>
  <c r="R154" i="49"/>
  <c r="S154" i="49"/>
  <c r="T154" i="49"/>
  <c r="U154" i="49"/>
  <c r="V154" i="49"/>
  <c r="W154" i="49"/>
  <c r="X154" i="49"/>
  <c r="Y154" i="49"/>
  <c r="Z154" i="49"/>
  <c r="AA154" i="49"/>
  <c r="AB154" i="49"/>
  <c r="AC154" i="49"/>
  <c r="AD154" i="49"/>
  <c r="AE154" i="49"/>
  <c r="AF154" i="49"/>
  <c r="AG154" i="49"/>
  <c r="AH154" i="49"/>
  <c r="AI154" i="49"/>
  <c r="AJ154" i="49"/>
  <c r="AK154" i="49"/>
  <c r="AL154" i="49"/>
  <c r="AM154" i="49"/>
  <c r="D155" i="49"/>
  <c r="E155" i="49"/>
  <c r="F155" i="49"/>
  <c r="G155" i="49"/>
  <c r="H155" i="49"/>
  <c r="I155" i="49"/>
  <c r="J155" i="49"/>
  <c r="K155" i="49"/>
  <c r="L155" i="49"/>
  <c r="M155" i="49"/>
  <c r="N155" i="49"/>
  <c r="O155" i="49"/>
  <c r="P155" i="49"/>
  <c r="Q155" i="49"/>
  <c r="R155" i="49"/>
  <c r="S155" i="49"/>
  <c r="T155" i="49"/>
  <c r="U155" i="49"/>
  <c r="V155" i="49"/>
  <c r="W155" i="49"/>
  <c r="X155" i="49"/>
  <c r="Y155" i="49"/>
  <c r="Z155" i="49"/>
  <c r="AA155" i="49"/>
  <c r="AB155" i="49"/>
  <c r="AC155" i="49"/>
  <c r="AD155" i="49"/>
  <c r="AE155" i="49"/>
  <c r="AF155" i="49"/>
  <c r="AG155" i="49"/>
  <c r="AH155" i="49"/>
  <c r="AI155" i="49"/>
  <c r="AJ155" i="49"/>
  <c r="AK155" i="49"/>
  <c r="AL155" i="49"/>
  <c r="AM155" i="49"/>
  <c r="D156" i="49"/>
  <c r="E156" i="49"/>
  <c r="F156" i="49"/>
  <c r="G156" i="49"/>
  <c r="H156" i="49"/>
  <c r="I156" i="49"/>
  <c r="J156" i="49"/>
  <c r="K156" i="49"/>
  <c r="L156" i="49"/>
  <c r="M156" i="49"/>
  <c r="N156" i="49"/>
  <c r="O156" i="49"/>
  <c r="P156" i="49"/>
  <c r="Q156" i="49"/>
  <c r="R156" i="49"/>
  <c r="S156" i="49"/>
  <c r="T156" i="49"/>
  <c r="U156" i="49"/>
  <c r="V156" i="49"/>
  <c r="W156" i="49"/>
  <c r="X156" i="49"/>
  <c r="Y156" i="49"/>
  <c r="Z156" i="49"/>
  <c r="AA156" i="49"/>
  <c r="AB156" i="49"/>
  <c r="AC156" i="49"/>
  <c r="AD156" i="49"/>
  <c r="AE156" i="49"/>
  <c r="AF156" i="49"/>
  <c r="AG156" i="49"/>
  <c r="AH156" i="49"/>
  <c r="AI156" i="49"/>
  <c r="AJ156" i="49"/>
  <c r="AK156" i="49"/>
  <c r="AL156" i="49"/>
  <c r="AM156" i="49"/>
  <c r="D157" i="49"/>
  <c r="E157" i="49"/>
  <c r="F157" i="49"/>
  <c r="G157" i="49"/>
  <c r="H157" i="49"/>
  <c r="I157" i="49"/>
  <c r="J157" i="49"/>
  <c r="K157" i="49"/>
  <c r="L157" i="49"/>
  <c r="M157" i="49"/>
  <c r="N157" i="49"/>
  <c r="O157" i="49"/>
  <c r="P157" i="49"/>
  <c r="Q157" i="49"/>
  <c r="R157" i="49"/>
  <c r="S157" i="49"/>
  <c r="T157" i="49"/>
  <c r="U157" i="49"/>
  <c r="V157" i="49"/>
  <c r="W157" i="49"/>
  <c r="X157" i="49"/>
  <c r="Y157" i="49"/>
  <c r="Z157" i="49"/>
  <c r="AA157" i="49"/>
  <c r="AB157" i="49"/>
  <c r="AC157" i="49"/>
  <c r="AD157" i="49"/>
  <c r="AE157" i="49"/>
  <c r="AF157" i="49"/>
  <c r="AG157" i="49"/>
  <c r="AH157" i="49"/>
  <c r="AI157" i="49"/>
  <c r="AJ157" i="49"/>
  <c r="AK157" i="49"/>
  <c r="AL157" i="49"/>
  <c r="AM157" i="49"/>
  <c r="D158" i="49"/>
  <c r="E158" i="49"/>
  <c r="F158" i="49"/>
  <c r="G158" i="49"/>
  <c r="H158" i="49"/>
  <c r="I158" i="49"/>
  <c r="J158" i="49"/>
  <c r="K158" i="49"/>
  <c r="L158" i="49"/>
  <c r="M158" i="49"/>
  <c r="N158" i="49"/>
  <c r="O158" i="49"/>
  <c r="P158" i="49"/>
  <c r="Q158" i="49"/>
  <c r="R158" i="49"/>
  <c r="S158" i="49"/>
  <c r="T158" i="49"/>
  <c r="U158" i="49"/>
  <c r="V158" i="49"/>
  <c r="W158" i="49"/>
  <c r="X158" i="49"/>
  <c r="Y158" i="49"/>
  <c r="Z158" i="49"/>
  <c r="AA158" i="49"/>
  <c r="AB158" i="49"/>
  <c r="AC158" i="49"/>
  <c r="AD158" i="49"/>
  <c r="AE158" i="49"/>
  <c r="AF158" i="49"/>
  <c r="AG158" i="49"/>
  <c r="AH158" i="49"/>
  <c r="AI158" i="49"/>
  <c r="AJ158" i="49"/>
  <c r="AK158" i="49"/>
  <c r="AL158" i="49"/>
  <c r="AM158" i="49"/>
  <c r="D159" i="49"/>
  <c r="E159" i="49"/>
  <c r="F159" i="49"/>
  <c r="G159" i="49"/>
  <c r="H159" i="49"/>
  <c r="I159" i="49"/>
  <c r="J159" i="49"/>
  <c r="K159" i="49"/>
  <c r="L159" i="49"/>
  <c r="M159" i="49"/>
  <c r="N159" i="49"/>
  <c r="O159" i="49"/>
  <c r="P159" i="49"/>
  <c r="Q159" i="49"/>
  <c r="R159" i="49"/>
  <c r="S159" i="49"/>
  <c r="T159" i="49"/>
  <c r="U159" i="49"/>
  <c r="V159" i="49"/>
  <c r="W159" i="49"/>
  <c r="X159" i="49"/>
  <c r="Y159" i="49"/>
  <c r="Z159" i="49"/>
  <c r="AA159" i="49"/>
  <c r="AB159" i="49"/>
  <c r="AC159" i="49"/>
  <c r="AD159" i="49"/>
  <c r="AE159" i="49"/>
  <c r="AF159" i="49"/>
  <c r="AG159" i="49"/>
  <c r="AH159" i="49"/>
  <c r="AI159" i="49"/>
  <c r="AJ159" i="49"/>
  <c r="AK159" i="49"/>
  <c r="AL159" i="49"/>
  <c r="AM159" i="49"/>
  <c r="D160" i="49"/>
  <c r="E160" i="49"/>
  <c r="F160" i="49"/>
  <c r="G160" i="49"/>
  <c r="H160" i="49"/>
  <c r="I160" i="49"/>
  <c r="J160" i="49"/>
  <c r="K160" i="49"/>
  <c r="L160" i="49"/>
  <c r="M160" i="49"/>
  <c r="N160" i="49"/>
  <c r="O160" i="49"/>
  <c r="P160" i="49"/>
  <c r="Q160" i="49"/>
  <c r="R160" i="49"/>
  <c r="S160" i="49"/>
  <c r="T160" i="49"/>
  <c r="U160" i="49"/>
  <c r="V160" i="49"/>
  <c r="W160" i="49"/>
  <c r="X160" i="49"/>
  <c r="Y160" i="49"/>
  <c r="Z160" i="49"/>
  <c r="AA160" i="49"/>
  <c r="AB160" i="49"/>
  <c r="AC160" i="49"/>
  <c r="AD160" i="49"/>
  <c r="AE160" i="49"/>
  <c r="AF160" i="49"/>
  <c r="AG160" i="49"/>
  <c r="AH160" i="49"/>
  <c r="AI160" i="49"/>
  <c r="AJ160" i="49"/>
  <c r="AK160" i="49"/>
  <c r="AL160" i="49"/>
  <c r="AM160" i="49"/>
  <c r="D161" i="49"/>
  <c r="E161" i="49"/>
  <c r="F161" i="49"/>
  <c r="G161" i="49"/>
  <c r="H161" i="49"/>
  <c r="I161" i="49"/>
  <c r="J161" i="49"/>
  <c r="K161" i="49"/>
  <c r="L161" i="49"/>
  <c r="M161" i="49"/>
  <c r="N161" i="49"/>
  <c r="O161" i="49"/>
  <c r="P161" i="49"/>
  <c r="Q161" i="49"/>
  <c r="R161" i="49"/>
  <c r="S161" i="49"/>
  <c r="T161" i="49"/>
  <c r="U161" i="49"/>
  <c r="V161" i="49"/>
  <c r="W161" i="49"/>
  <c r="X161" i="49"/>
  <c r="Y161" i="49"/>
  <c r="Z161" i="49"/>
  <c r="AA161" i="49"/>
  <c r="AB161" i="49"/>
  <c r="AC161" i="49"/>
  <c r="AD161" i="49"/>
  <c r="AE161" i="49"/>
  <c r="AF161" i="49"/>
  <c r="AG161" i="49"/>
  <c r="AH161" i="49"/>
  <c r="AI161" i="49"/>
  <c r="AJ161" i="49"/>
  <c r="AK161" i="49"/>
  <c r="AL161" i="49"/>
  <c r="AM161" i="49"/>
  <c r="D162" i="49"/>
  <c r="E162" i="49"/>
  <c r="F162" i="49"/>
  <c r="G162" i="49"/>
  <c r="H162" i="49"/>
  <c r="I162" i="49"/>
  <c r="J162" i="49"/>
  <c r="K162" i="49"/>
  <c r="L162" i="49"/>
  <c r="M162" i="49"/>
  <c r="N162" i="49"/>
  <c r="O162" i="49"/>
  <c r="P162" i="49"/>
  <c r="Q162" i="49"/>
  <c r="R162" i="49"/>
  <c r="S162" i="49"/>
  <c r="T162" i="49"/>
  <c r="U162" i="49"/>
  <c r="V162" i="49"/>
  <c r="W162" i="49"/>
  <c r="X162" i="49"/>
  <c r="Y162" i="49"/>
  <c r="Z162" i="49"/>
  <c r="AA162" i="49"/>
  <c r="AB162" i="49"/>
  <c r="AC162" i="49"/>
  <c r="AD162" i="49"/>
  <c r="AE162" i="49"/>
  <c r="AF162" i="49"/>
  <c r="AG162" i="49"/>
  <c r="AH162" i="49"/>
  <c r="AI162" i="49"/>
  <c r="AJ162" i="49"/>
  <c r="AK162" i="49"/>
  <c r="AL162" i="49"/>
  <c r="AM162" i="49"/>
  <c r="D163" i="49"/>
  <c r="E163" i="49"/>
  <c r="F163" i="49"/>
  <c r="G163" i="49"/>
  <c r="H163" i="49"/>
  <c r="I163" i="49"/>
  <c r="J163" i="49"/>
  <c r="K163" i="49"/>
  <c r="L163" i="49"/>
  <c r="M163" i="49"/>
  <c r="N163" i="49"/>
  <c r="O163" i="49"/>
  <c r="P163" i="49"/>
  <c r="Q163" i="49"/>
  <c r="R163" i="49"/>
  <c r="S163" i="49"/>
  <c r="T163" i="49"/>
  <c r="U163" i="49"/>
  <c r="V163" i="49"/>
  <c r="W163" i="49"/>
  <c r="X163" i="49"/>
  <c r="Y163" i="49"/>
  <c r="Z163" i="49"/>
  <c r="AA163" i="49"/>
  <c r="AB163" i="49"/>
  <c r="AC163" i="49"/>
  <c r="AD163" i="49"/>
  <c r="AE163" i="49"/>
  <c r="AF163" i="49"/>
  <c r="AG163" i="49"/>
  <c r="AH163" i="49"/>
  <c r="AI163" i="49"/>
  <c r="AJ163" i="49"/>
  <c r="AK163" i="49"/>
  <c r="AL163" i="49"/>
  <c r="AM163" i="49"/>
  <c r="D164" i="49"/>
  <c r="E164" i="49"/>
  <c r="F164" i="49"/>
  <c r="G164" i="49"/>
  <c r="H164" i="49"/>
  <c r="I164" i="49"/>
  <c r="J164" i="49"/>
  <c r="K164" i="49"/>
  <c r="L164" i="49"/>
  <c r="M164" i="49"/>
  <c r="N164" i="49"/>
  <c r="O164" i="49"/>
  <c r="P164" i="49"/>
  <c r="Q164" i="49"/>
  <c r="R164" i="49"/>
  <c r="S164" i="49"/>
  <c r="T164" i="49"/>
  <c r="U164" i="49"/>
  <c r="V164" i="49"/>
  <c r="W164" i="49"/>
  <c r="X164" i="49"/>
  <c r="Y164" i="49"/>
  <c r="Z164" i="49"/>
  <c r="AA164" i="49"/>
  <c r="AB164" i="49"/>
  <c r="AC164" i="49"/>
  <c r="AD164" i="49"/>
  <c r="AE164" i="49"/>
  <c r="AF164" i="49"/>
  <c r="AG164" i="49"/>
  <c r="AH164" i="49"/>
  <c r="AI164" i="49"/>
  <c r="AJ164" i="49"/>
  <c r="AK164" i="49"/>
  <c r="AL164" i="49"/>
  <c r="AM164" i="49"/>
  <c r="D165" i="49"/>
  <c r="E165" i="49"/>
  <c r="F165" i="49"/>
  <c r="G165" i="49"/>
  <c r="H165" i="49"/>
  <c r="I165" i="49"/>
  <c r="J165" i="49"/>
  <c r="K165" i="49"/>
  <c r="L165" i="49"/>
  <c r="M165" i="49"/>
  <c r="N165" i="49"/>
  <c r="O165" i="49"/>
  <c r="P165" i="49"/>
  <c r="Q165" i="49"/>
  <c r="R165" i="49"/>
  <c r="S165" i="49"/>
  <c r="T165" i="49"/>
  <c r="U165" i="49"/>
  <c r="V165" i="49"/>
  <c r="W165" i="49"/>
  <c r="X165" i="49"/>
  <c r="Y165" i="49"/>
  <c r="Z165" i="49"/>
  <c r="AA165" i="49"/>
  <c r="AB165" i="49"/>
  <c r="AC165" i="49"/>
  <c r="AD165" i="49"/>
  <c r="AE165" i="49"/>
  <c r="AF165" i="49"/>
  <c r="AG165" i="49"/>
  <c r="AH165" i="49"/>
  <c r="AI165" i="49"/>
  <c r="AJ165" i="49"/>
  <c r="AK165" i="49"/>
  <c r="AL165" i="49"/>
  <c r="AM165" i="49"/>
  <c r="D166" i="49"/>
  <c r="E166" i="49"/>
  <c r="F166" i="49"/>
  <c r="G166" i="49"/>
  <c r="H166" i="49"/>
  <c r="I166" i="49"/>
  <c r="J166" i="49"/>
  <c r="K166" i="49"/>
  <c r="L166" i="49"/>
  <c r="M166" i="49"/>
  <c r="N166" i="49"/>
  <c r="O166" i="49"/>
  <c r="P166" i="49"/>
  <c r="Q166" i="49"/>
  <c r="R166" i="49"/>
  <c r="S166" i="49"/>
  <c r="T166" i="49"/>
  <c r="U166" i="49"/>
  <c r="V166" i="49"/>
  <c r="W166" i="49"/>
  <c r="X166" i="49"/>
  <c r="Y166" i="49"/>
  <c r="Z166" i="49"/>
  <c r="AA166" i="49"/>
  <c r="AB166" i="49"/>
  <c r="AC166" i="49"/>
  <c r="AD166" i="49"/>
  <c r="AE166" i="49"/>
  <c r="AF166" i="49"/>
  <c r="AG166" i="49"/>
  <c r="AH166" i="49"/>
  <c r="AI166" i="49"/>
  <c r="AJ166" i="49"/>
  <c r="AK166" i="49"/>
  <c r="AL166" i="49"/>
  <c r="AM166" i="49"/>
  <c r="D167" i="49"/>
  <c r="E167" i="49"/>
  <c r="F167" i="49"/>
  <c r="G167" i="49"/>
  <c r="H167" i="49"/>
  <c r="I167" i="49"/>
  <c r="J167" i="49"/>
  <c r="K167" i="49"/>
  <c r="L167" i="49"/>
  <c r="M167" i="49"/>
  <c r="N167" i="49"/>
  <c r="O167" i="49"/>
  <c r="P167" i="49"/>
  <c r="Q167" i="49"/>
  <c r="R167" i="49"/>
  <c r="S167" i="49"/>
  <c r="T167" i="49"/>
  <c r="U167" i="49"/>
  <c r="V167" i="49"/>
  <c r="W167" i="49"/>
  <c r="X167" i="49"/>
  <c r="Y167" i="49"/>
  <c r="Z167" i="49"/>
  <c r="AA167" i="49"/>
  <c r="AB167" i="49"/>
  <c r="AC167" i="49"/>
  <c r="AD167" i="49"/>
  <c r="AE167" i="49"/>
  <c r="AF167" i="49"/>
  <c r="AG167" i="49"/>
  <c r="AH167" i="49"/>
  <c r="AI167" i="49"/>
  <c r="AJ167" i="49"/>
  <c r="AK167" i="49"/>
  <c r="AL167" i="49"/>
  <c r="AM167" i="49"/>
  <c r="D168" i="49"/>
  <c r="E168" i="49"/>
  <c r="F168" i="49"/>
  <c r="G168" i="49"/>
  <c r="H168" i="49"/>
  <c r="I168" i="49"/>
  <c r="J168" i="49"/>
  <c r="K168" i="49"/>
  <c r="L168" i="49"/>
  <c r="M168" i="49"/>
  <c r="N168" i="49"/>
  <c r="O168" i="49"/>
  <c r="P168" i="49"/>
  <c r="Q168" i="49"/>
  <c r="R168" i="49"/>
  <c r="S168" i="49"/>
  <c r="T168" i="49"/>
  <c r="U168" i="49"/>
  <c r="V168" i="49"/>
  <c r="W168" i="49"/>
  <c r="X168" i="49"/>
  <c r="Y168" i="49"/>
  <c r="Z168" i="49"/>
  <c r="AA168" i="49"/>
  <c r="AB168" i="49"/>
  <c r="AC168" i="49"/>
  <c r="AD168" i="49"/>
  <c r="AE168" i="49"/>
  <c r="AF168" i="49"/>
  <c r="AG168" i="49"/>
  <c r="AH168" i="49"/>
  <c r="AI168" i="49"/>
  <c r="AJ168" i="49"/>
  <c r="AK168" i="49"/>
  <c r="AL168" i="49"/>
  <c r="AM168" i="49"/>
  <c r="D169" i="49"/>
  <c r="E169" i="49"/>
  <c r="F169" i="49"/>
  <c r="G169" i="49"/>
  <c r="H169" i="49"/>
  <c r="I169" i="49"/>
  <c r="J169" i="49"/>
  <c r="K169" i="49"/>
  <c r="L169" i="49"/>
  <c r="M169" i="49"/>
  <c r="N169" i="49"/>
  <c r="O169" i="49"/>
  <c r="P169" i="49"/>
  <c r="Q169" i="49"/>
  <c r="R169" i="49"/>
  <c r="S169" i="49"/>
  <c r="T169" i="49"/>
  <c r="U169" i="49"/>
  <c r="V169" i="49"/>
  <c r="W169" i="49"/>
  <c r="X169" i="49"/>
  <c r="Y169" i="49"/>
  <c r="Z169" i="49"/>
  <c r="AA169" i="49"/>
  <c r="AB169" i="49"/>
  <c r="AC169" i="49"/>
  <c r="AD169" i="49"/>
  <c r="AE169" i="49"/>
  <c r="AF169" i="49"/>
  <c r="AG169" i="49"/>
  <c r="AH169" i="49"/>
  <c r="AI169" i="49"/>
  <c r="AJ169" i="49"/>
  <c r="AK169" i="49"/>
  <c r="AL169" i="49"/>
  <c r="AM169" i="49"/>
  <c r="D170" i="49"/>
  <c r="E170" i="49"/>
  <c r="F170" i="49"/>
  <c r="G170" i="49"/>
  <c r="H170" i="49"/>
  <c r="I170" i="49"/>
  <c r="J170" i="49"/>
  <c r="K170" i="49"/>
  <c r="L170" i="49"/>
  <c r="M170" i="49"/>
  <c r="N170" i="49"/>
  <c r="O170" i="49"/>
  <c r="P170" i="49"/>
  <c r="Q170" i="49"/>
  <c r="R170" i="49"/>
  <c r="S170" i="49"/>
  <c r="T170" i="49"/>
  <c r="U170" i="49"/>
  <c r="V170" i="49"/>
  <c r="W170" i="49"/>
  <c r="X170" i="49"/>
  <c r="Y170" i="49"/>
  <c r="Z170" i="49"/>
  <c r="AA170" i="49"/>
  <c r="AB170" i="49"/>
  <c r="AC170" i="49"/>
  <c r="AD170" i="49"/>
  <c r="AE170" i="49"/>
  <c r="AF170" i="49"/>
  <c r="AG170" i="49"/>
  <c r="AH170" i="49"/>
  <c r="AI170" i="49"/>
  <c r="AJ170" i="49"/>
  <c r="AK170" i="49"/>
  <c r="AL170" i="49"/>
  <c r="AM170" i="49"/>
  <c r="D171" i="49"/>
  <c r="E171" i="49"/>
  <c r="F171" i="49"/>
  <c r="G171" i="49"/>
  <c r="H171" i="49"/>
  <c r="I171" i="49"/>
  <c r="J171" i="49"/>
  <c r="K171" i="49"/>
  <c r="L171" i="49"/>
  <c r="M171" i="49"/>
  <c r="N171" i="49"/>
  <c r="O171" i="49"/>
  <c r="P171" i="49"/>
  <c r="Q171" i="49"/>
  <c r="R171" i="49"/>
  <c r="S171" i="49"/>
  <c r="T171" i="49"/>
  <c r="U171" i="49"/>
  <c r="V171" i="49"/>
  <c r="W171" i="49"/>
  <c r="X171" i="49"/>
  <c r="Y171" i="49"/>
  <c r="Z171" i="49"/>
  <c r="AA171" i="49"/>
  <c r="AB171" i="49"/>
  <c r="AC171" i="49"/>
  <c r="AD171" i="49"/>
  <c r="AE171" i="49"/>
  <c r="AF171" i="49"/>
  <c r="AG171" i="49"/>
  <c r="AH171" i="49"/>
  <c r="AI171" i="49"/>
  <c r="AJ171" i="49"/>
  <c r="AK171" i="49"/>
  <c r="AL171" i="49"/>
  <c r="AM171" i="49"/>
  <c r="D172" i="49"/>
  <c r="E172" i="49"/>
  <c r="F172" i="49"/>
  <c r="G172" i="49"/>
  <c r="H172" i="49"/>
  <c r="I172" i="49"/>
  <c r="J172" i="49"/>
  <c r="K172" i="49"/>
  <c r="L172" i="49"/>
  <c r="M172" i="49"/>
  <c r="N172" i="49"/>
  <c r="O172" i="49"/>
  <c r="P172" i="49"/>
  <c r="Q172" i="49"/>
  <c r="R172" i="49"/>
  <c r="S172" i="49"/>
  <c r="T172" i="49"/>
  <c r="U172" i="49"/>
  <c r="V172" i="49"/>
  <c r="W172" i="49"/>
  <c r="X172" i="49"/>
  <c r="Y172" i="49"/>
  <c r="Z172" i="49"/>
  <c r="AA172" i="49"/>
  <c r="AB172" i="49"/>
  <c r="AC172" i="49"/>
  <c r="AD172" i="49"/>
  <c r="AE172" i="49"/>
  <c r="AF172" i="49"/>
  <c r="AG172" i="49"/>
  <c r="AH172" i="49"/>
  <c r="AI172" i="49"/>
  <c r="AJ172" i="49"/>
  <c r="AK172" i="49"/>
  <c r="AL172" i="49"/>
  <c r="AM172" i="49"/>
  <c r="D173" i="49"/>
  <c r="E173" i="49"/>
  <c r="F173" i="49"/>
  <c r="G173" i="49"/>
  <c r="H173" i="49"/>
  <c r="I173" i="49"/>
  <c r="J173" i="49"/>
  <c r="K173" i="49"/>
  <c r="L173" i="49"/>
  <c r="M173" i="49"/>
  <c r="N173" i="49"/>
  <c r="O173" i="49"/>
  <c r="P173" i="49"/>
  <c r="Q173" i="49"/>
  <c r="R173" i="49"/>
  <c r="S173" i="49"/>
  <c r="T173" i="49"/>
  <c r="U173" i="49"/>
  <c r="V173" i="49"/>
  <c r="W173" i="49"/>
  <c r="X173" i="49"/>
  <c r="Y173" i="49"/>
  <c r="Z173" i="49"/>
  <c r="AA173" i="49"/>
  <c r="AB173" i="49"/>
  <c r="AC173" i="49"/>
  <c r="AD173" i="49"/>
  <c r="AE173" i="49"/>
  <c r="AF173" i="49"/>
  <c r="AG173" i="49"/>
  <c r="AH173" i="49"/>
  <c r="AI173" i="49"/>
  <c r="AJ173" i="49"/>
  <c r="AK173" i="49"/>
  <c r="AL173" i="49"/>
  <c r="AM173" i="49"/>
  <c r="D174" i="49"/>
  <c r="E174" i="49"/>
  <c r="F174" i="49"/>
  <c r="G174" i="49"/>
  <c r="H174" i="49"/>
  <c r="I174" i="49"/>
  <c r="J174" i="49"/>
  <c r="K174" i="49"/>
  <c r="L174" i="49"/>
  <c r="M174" i="49"/>
  <c r="N174" i="49"/>
  <c r="O174" i="49"/>
  <c r="P174" i="49"/>
  <c r="Q174" i="49"/>
  <c r="R174" i="49"/>
  <c r="S174" i="49"/>
  <c r="T174" i="49"/>
  <c r="U174" i="49"/>
  <c r="V174" i="49"/>
  <c r="W174" i="49"/>
  <c r="X174" i="49"/>
  <c r="Y174" i="49"/>
  <c r="Z174" i="49"/>
  <c r="AA174" i="49"/>
  <c r="AB174" i="49"/>
  <c r="AC174" i="49"/>
  <c r="AD174" i="49"/>
  <c r="AE174" i="49"/>
  <c r="AF174" i="49"/>
  <c r="AG174" i="49"/>
  <c r="AH174" i="49"/>
  <c r="AI174" i="49"/>
  <c r="AJ174" i="49"/>
  <c r="AK174" i="49"/>
  <c r="AL174" i="49"/>
  <c r="AM174" i="49"/>
  <c r="D175" i="49"/>
  <c r="E175" i="49"/>
  <c r="F175" i="49"/>
  <c r="G175" i="49"/>
  <c r="H175" i="49"/>
  <c r="I175" i="49"/>
  <c r="J175" i="49"/>
  <c r="K175" i="49"/>
  <c r="L175" i="49"/>
  <c r="M175" i="49"/>
  <c r="N175" i="49"/>
  <c r="O175" i="49"/>
  <c r="P175" i="49"/>
  <c r="Q175" i="49"/>
  <c r="R175" i="49"/>
  <c r="S175" i="49"/>
  <c r="T175" i="49"/>
  <c r="U175" i="49"/>
  <c r="V175" i="49"/>
  <c r="W175" i="49"/>
  <c r="X175" i="49"/>
  <c r="Y175" i="49"/>
  <c r="Z175" i="49"/>
  <c r="AA175" i="49"/>
  <c r="AB175" i="49"/>
  <c r="AC175" i="49"/>
  <c r="AD175" i="49"/>
  <c r="AE175" i="49"/>
  <c r="AF175" i="49"/>
  <c r="AG175" i="49"/>
  <c r="AH175" i="49"/>
  <c r="AI175" i="49"/>
  <c r="AJ175" i="49"/>
  <c r="AK175" i="49"/>
  <c r="AL175" i="49"/>
  <c r="AM175" i="49"/>
  <c r="D176" i="49"/>
  <c r="E176" i="49"/>
  <c r="F176" i="49"/>
  <c r="G176" i="49"/>
  <c r="H176" i="49"/>
  <c r="I176" i="49"/>
  <c r="J176" i="49"/>
  <c r="K176" i="49"/>
  <c r="L176" i="49"/>
  <c r="M176" i="49"/>
  <c r="N176" i="49"/>
  <c r="O176" i="49"/>
  <c r="P176" i="49"/>
  <c r="Q176" i="49"/>
  <c r="R176" i="49"/>
  <c r="S176" i="49"/>
  <c r="T176" i="49"/>
  <c r="U176" i="49"/>
  <c r="V176" i="49"/>
  <c r="W176" i="49"/>
  <c r="X176" i="49"/>
  <c r="Y176" i="49"/>
  <c r="Z176" i="49"/>
  <c r="AA176" i="49"/>
  <c r="AB176" i="49"/>
  <c r="AC176" i="49"/>
  <c r="AD176" i="49"/>
  <c r="AE176" i="49"/>
  <c r="AF176" i="49"/>
  <c r="AG176" i="49"/>
  <c r="AH176" i="49"/>
  <c r="AI176" i="49"/>
  <c r="AJ176" i="49"/>
  <c r="AK176" i="49"/>
  <c r="AL176" i="49"/>
  <c r="AM176" i="49"/>
  <c r="D177" i="49"/>
  <c r="E177" i="49"/>
  <c r="F177" i="49"/>
  <c r="G177" i="49"/>
  <c r="H177" i="49"/>
  <c r="I177" i="49"/>
  <c r="J177" i="49"/>
  <c r="K177" i="49"/>
  <c r="L177" i="49"/>
  <c r="M177" i="49"/>
  <c r="N177" i="49"/>
  <c r="O177" i="49"/>
  <c r="P177" i="49"/>
  <c r="Q177" i="49"/>
  <c r="R177" i="49"/>
  <c r="S177" i="49"/>
  <c r="T177" i="49"/>
  <c r="U177" i="49"/>
  <c r="V177" i="49"/>
  <c r="W177" i="49"/>
  <c r="X177" i="49"/>
  <c r="Y177" i="49"/>
  <c r="Z177" i="49"/>
  <c r="AA177" i="49"/>
  <c r="AB177" i="49"/>
  <c r="AC177" i="49"/>
  <c r="AD177" i="49"/>
  <c r="AE177" i="49"/>
  <c r="AF177" i="49"/>
  <c r="AG177" i="49"/>
  <c r="AH177" i="49"/>
  <c r="AI177" i="49"/>
  <c r="AJ177" i="49"/>
  <c r="AK177" i="49"/>
  <c r="AL177" i="49"/>
  <c r="AM177" i="49"/>
  <c r="D178" i="49"/>
  <c r="E178" i="49"/>
  <c r="F178" i="49"/>
  <c r="G178" i="49"/>
  <c r="H178" i="49"/>
  <c r="I178" i="49"/>
  <c r="J178" i="49"/>
  <c r="K178" i="49"/>
  <c r="L178" i="49"/>
  <c r="M178" i="49"/>
  <c r="N178" i="49"/>
  <c r="O178" i="49"/>
  <c r="P178" i="49"/>
  <c r="Q178" i="49"/>
  <c r="R178" i="49"/>
  <c r="S178" i="49"/>
  <c r="T178" i="49"/>
  <c r="U178" i="49"/>
  <c r="V178" i="49"/>
  <c r="W178" i="49"/>
  <c r="X178" i="49"/>
  <c r="Y178" i="49"/>
  <c r="Z178" i="49"/>
  <c r="AA178" i="49"/>
  <c r="AB178" i="49"/>
  <c r="AC178" i="49"/>
  <c r="AD178" i="49"/>
  <c r="AE178" i="49"/>
  <c r="AF178" i="49"/>
  <c r="AG178" i="49"/>
  <c r="AH178" i="49"/>
  <c r="AI178" i="49"/>
  <c r="AJ178" i="49"/>
  <c r="AK178" i="49"/>
  <c r="AL178" i="49"/>
  <c r="AM178" i="49"/>
  <c r="D179" i="49"/>
  <c r="E179" i="49"/>
  <c r="F179" i="49"/>
  <c r="G179" i="49"/>
  <c r="H179" i="49"/>
  <c r="I179" i="49"/>
  <c r="J179" i="49"/>
  <c r="K179" i="49"/>
  <c r="L179" i="49"/>
  <c r="M179" i="49"/>
  <c r="N179" i="49"/>
  <c r="O179" i="49"/>
  <c r="P179" i="49"/>
  <c r="Q179" i="49"/>
  <c r="R179" i="49"/>
  <c r="S179" i="49"/>
  <c r="T179" i="49"/>
  <c r="U179" i="49"/>
  <c r="V179" i="49"/>
  <c r="W179" i="49"/>
  <c r="X179" i="49"/>
  <c r="Y179" i="49"/>
  <c r="Z179" i="49"/>
  <c r="AA179" i="49"/>
  <c r="AB179" i="49"/>
  <c r="AC179" i="49"/>
  <c r="AD179" i="49"/>
  <c r="AE179" i="49"/>
  <c r="AF179" i="49"/>
  <c r="AG179" i="49"/>
  <c r="AH179" i="49"/>
  <c r="AI179" i="49"/>
  <c r="AJ179" i="49"/>
  <c r="AK179" i="49"/>
  <c r="AL179" i="49"/>
  <c r="AM179" i="49"/>
  <c r="D180" i="49"/>
  <c r="E180" i="49"/>
  <c r="F180" i="49"/>
  <c r="G180" i="49"/>
  <c r="H180" i="49"/>
  <c r="I180" i="49"/>
  <c r="J180" i="49"/>
  <c r="K180" i="49"/>
  <c r="L180" i="49"/>
  <c r="M180" i="49"/>
  <c r="N180" i="49"/>
  <c r="O180" i="49"/>
  <c r="P180" i="49"/>
  <c r="Q180" i="49"/>
  <c r="R180" i="49"/>
  <c r="S180" i="49"/>
  <c r="T180" i="49"/>
  <c r="U180" i="49"/>
  <c r="V180" i="49"/>
  <c r="W180" i="49"/>
  <c r="X180" i="49"/>
  <c r="Y180" i="49"/>
  <c r="Z180" i="49"/>
  <c r="AA180" i="49"/>
  <c r="AB180" i="49"/>
  <c r="AC180" i="49"/>
  <c r="AD180" i="49"/>
  <c r="AE180" i="49"/>
  <c r="AF180" i="49"/>
  <c r="AG180" i="49"/>
  <c r="AH180" i="49"/>
  <c r="AI180" i="49"/>
  <c r="AJ180" i="49"/>
  <c r="AK180" i="49"/>
  <c r="AL180" i="49"/>
  <c r="AM180" i="49"/>
  <c r="D181" i="49"/>
  <c r="E181" i="49"/>
  <c r="F181" i="49"/>
  <c r="G181" i="49"/>
  <c r="H181" i="49"/>
  <c r="I181" i="49"/>
  <c r="J181" i="49"/>
  <c r="K181" i="49"/>
  <c r="L181" i="49"/>
  <c r="M181" i="49"/>
  <c r="N181" i="49"/>
  <c r="O181" i="49"/>
  <c r="P181" i="49"/>
  <c r="Q181" i="49"/>
  <c r="R181" i="49"/>
  <c r="S181" i="49"/>
  <c r="T181" i="49"/>
  <c r="U181" i="49"/>
  <c r="V181" i="49"/>
  <c r="W181" i="49"/>
  <c r="X181" i="49"/>
  <c r="Y181" i="49"/>
  <c r="Z181" i="49"/>
  <c r="AA181" i="49"/>
  <c r="AB181" i="49"/>
  <c r="AC181" i="49"/>
  <c r="AD181" i="49"/>
  <c r="AE181" i="49"/>
  <c r="AF181" i="49"/>
  <c r="AG181" i="49"/>
  <c r="AH181" i="49"/>
  <c r="AI181" i="49"/>
  <c r="AJ181" i="49"/>
  <c r="AK181" i="49"/>
  <c r="AL181" i="49"/>
  <c r="AM181" i="49"/>
  <c r="D182" i="49"/>
  <c r="E182" i="49"/>
  <c r="F182" i="49"/>
  <c r="G182" i="49"/>
  <c r="H182" i="49"/>
  <c r="I182" i="49"/>
  <c r="J182" i="49"/>
  <c r="K182" i="49"/>
  <c r="L182" i="49"/>
  <c r="M182" i="49"/>
  <c r="N182" i="49"/>
  <c r="O182" i="49"/>
  <c r="P182" i="49"/>
  <c r="Q182" i="49"/>
  <c r="R182" i="49"/>
  <c r="S182" i="49"/>
  <c r="T182" i="49"/>
  <c r="U182" i="49"/>
  <c r="V182" i="49"/>
  <c r="W182" i="49"/>
  <c r="X182" i="49"/>
  <c r="Y182" i="49"/>
  <c r="Z182" i="49"/>
  <c r="AA182" i="49"/>
  <c r="AB182" i="49"/>
  <c r="AC182" i="49"/>
  <c r="AD182" i="49"/>
  <c r="AE182" i="49"/>
  <c r="AF182" i="49"/>
  <c r="AG182" i="49"/>
  <c r="AH182" i="49"/>
  <c r="AI182" i="49"/>
  <c r="AJ182" i="49"/>
  <c r="AK182" i="49"/>
  <c r="AL182" i="49"/>
  <c r="AM182" i="49"/>
  <c r="D183" i="49"/>
  <c r="E183" i="49"/>
  <c r="F183" i="49"/>
  <c r="G183" i="49"/>
  <c r="H183" i="49"/>
  <c r="I183" i="49"/>
  <c r="J183" i="49"/>
  <c r="K183" i="49"/>
  <c r="L183" i="49"/>
  <c r="M183" i="49"/>
  <c r="N183" i="49"/>
  <c r="O183" i="49"/>
  <c r="P183" i="49"/>
  <c r="Q183" i="49"/>
  <c r="R183" i="49"/>
  <c r="S183" i="49"/>
  <c r="T183" i="49"/>
  <c r="U183" i="49"/>
  <c r="V183" i="49"/>
  <c r="W183" i="49"/>
  <c r="X183" i="49"/>
  <c r="Y183" i="49"/>
  <c r="Z183" i="49"/>
  <c r="AA183" i="49"/>
  <c r="AB183" i="49"/>
  <c r="AC183" i="49"/>
  <c r="AD183" i="49"/>
  <c r="AE183" i="49"/>
  <c r="AF183" i="49"/>
  <c r="AG183" i="49"/>
  <c r="AH183" i="49"/>
  <c r="AI183" i="49"/>
  <c r="AJ183" i="49"/>
  <c r="AK183" i="49"/>
  <c r="AL183" i="49"/>
  <c r="AM183" i="49"/>
  <c r="D184" i="49"/>
  <c r="E184" i="49"/>
  <c r="F184" i="49"/>
  <c r="G184" i="49"/>
  <c r="H184" i="49"/>
  <c r="I184" i="49"/>
  <c r="J184" i="49"/>
  <c r="K184" i="49"/>
  <c r="L184" i="49"/>
  <c r="M184" i="49"/>
  <c r="N184" i="49"/>
  <c r="O184" i="49"/>
  <c r="P184" i="49"/>
  <c r="Q184" i="49"/>
  <c r="R184" i="49"/>
  <c r="S184" i="49"/>
  <c r="T184" i="49"/>
  <c r="U184" i="49"/>
  <c r="V184" i="49"/>
  <c r="W184" i="49"/>
  <c r="X184" i="49"/>
  <c r="Y184" i="49"/>
  <c r="Z184" i="49"/>
  <c r="AA184" i="49"/>
  <c r="AB184" i="49"/>
  <c r="AC184" i="49"/>
  <c r="AD184" i="49"/>
  <c r="AE184" i="49"/>
  <c r="AF184" i="49"/>
  <c r="AG184" i="49"/>
  <c r="AH184" i="49"/>
  <c r="AI184" i="49"/>
  <c r="AJ184" i="49"/>
  <c r="AK184" i="49"/>
  <c r="AL184" i="49"/>
  <c r="AM184" i="49"/>
  <c r="D185" i="49"/>
  <c r="E185" i="49"/>
  <c r="F185" i="49"/>
  <c r="G185" i="49"/>
  <c r="H185" i="49"/>
  <c r="I185" i="49"/>
  <c r="J185" i="49"/>
  <c r="K185" i="49"/>
  <c r="L185" i="49"/>
  <c r="M185" i="49"/>
  <c r="N185" i="49"/>
  <c r="O185" i="49"/>
  <c r="P185" i="49"/>
  <c r="Q185" i="49"/>
  <c r="R185" i="49"/>
  <c r="S185" i="49"/>
  <c r="T185" i="49"/>
  <c r="U185" i="49"/>
  <c r="V185" i="49"/>
  <c r="W185" i="49"/>
  <c r="X185" i="49"/>
  <c r="Y185" i="49"/>
  <c r="Z185" i="49"/>
  <c r="AA185" i="49"/>
  <c r="AB185" i="49"/>
  <c r="AC185" i="49"/>
  <c r="AD185" i="49"/>
  <c r="AE185" i="49"/>
  <c r="AF185" i="49"/>
  <c r="AG185" i="49"/>
  <c r="AH185" i="49"/>
  <c r="AI185" i="49"/>
  <c r="AJ185" i="49"/>
  <c r="AK185" i="49"/>
  <c r="AL185" i="49"/>
  <c r="AM185" i="49"/>
  <c r="D186" i="49"/>
  <c r="E186" i="49"/>
  <c r="F186" i="49"/>
  <c r="G186" i="49"/>
  <c r="H186" i="49"/>
  <c r="I186" i="49"/>
  <c r="J186" i="49"/>
  <c r="K186" i="49"/>
  <c r="L186" i="49"/>
  <c r="M186" i="49"/>
  <c r="N186" i="49"/>
  <c r="O186" i="49"/>
  <c r="P186" i="49"/>
  <c r="Q186" i="49"/>
  <c r="R186" i="49"/>
  <c r="S186" i="49"/>
  <c r="T186" i="49"/>
  <c r="U186" i="49"/>
  <c r="V186" i="49"/>
  <c r="W186" i="49"/>
  <c r="X186" i="49"/>
  <c r="Y186" i="49"/>
  <c r="Z186" i="49"/>
  <c r="AA186" i="49"/>
  <c r="AB186" i="49"/>
  <c r="AC186" i="49"/>
  <c r="AD186" i="49"/>
  <c r="AE186" i="49"/>
  <c r="AF186" i="49"/>
  <c r="AG186" i="49"/>
  <c r="AH186" i="49"/>
  <c r="AI186" i="49"/>
  <c r="AJ186" i="49"/>
  <c r="AK186" i="49"/>
  <c r="AL186" i="49"/>
  <c r="AM186" i="49"/>
  <c r="D187" i="49"/>
  <c r="E187" i="49"/>
  <c r="F187" i="49"/>
  <c r="G187" i="49"/>
  <c r="H187" i="49"/>
  <c r="I187" i="49"/>
  <c r="J187" i="49"/>
  <c r="K187" i="49"/>
  <c r="L187" i="49"/>
  <c r="M187" i="49"/>
  <c r="N187" i="49"/>
  <c r="O187" i="49"/>
  <c r="P187" i="49"/>
  <c r="Q187" i="49"/>
  <c r="R187" i="49"/>
  <c r="S187" i="49"/>
  <c r="T187" i="49"/>
  <c r="U187" i="49"/>
  <c r="V187" i="49"/>
  <c r="W187" i="49"/>
  <c r="X187" i="49"/>
  <c r="Y187" i="49"/>
  <c r="Z187" i="49"/>
  <c r="AA187" i="49"/>
  <c r="AB187" i="49"/>
  <c r="AC187" i="49"/>
  <c r="AD187" i="49"/>
  <c r="AE187" i="49"/>
  <c r="AF187" i="49"/>
  <c r="AG187" i="49"/>
  <c r="AH187" i="49"/>
  <c r="AI187" i="49"/>
  <c r="AJ187" i="49"/>
  <c r="AK187" i="49"/>
  <c r="AL187" i="49"/>
  <c r="AM187" i="49"/>
  <c r="D188" i="49"/>
  <c r="E188" i="49"/>
  <c r="F188" i="49"/>
  <c r="G188" i="49"/>
  <c r="H188" i="49"/>
  <c r="I188" i="49"/>
  <c r="J188" i="49"/>
  <c r="K188" i="49"/>
  <c r="L188" i="49"/>
  <c r="M188" i="49"/>
  <c r="N188" i="49"/>
  <c r="O188" i="49"/>
  <c r="P188" i="49"/>
  <c r="Q188" i="49"/>
  <c r="R188" i="49"/>
  <c r="S188" i="49"/>
  <c r="T188" i="49"/>
  <c r="U188" i="49"/>
  <c r="V188" i="49"/>
  <c r="W188" i="49"/>
  <c r="X188" i="49"/>
  <c r="Y188" i="49"/>
  <c r="Z188" i="49"/>
  <c r="AA188" i="49"/>
  <c r="AB188" i="49"/>
  <c r="AC188" i="49"/>
  <c r="AD188" i="49"/>
  <c r="AE188" i="49"/>
  <c r="AF188" i="49"/>
  <c r="AG188" i="49"/>
  <c r="AH188" i="49"/>
  <c r="AI188" i="49"/>
  <c r="AJ188" i="49"/>
  <c r="AK188" i="49"/>
  <c r="AL188" i="49"/>
  <c r="AM188" i="49"/>
  <c r="D189" i="49"/>
  <c r="E189" i="49"/>
  <c r="F189" i="49"/>
  <c r="G189" i="49"/>
  <c r="H189" i="49"/>
  <c r="I189" i="49"/>
  <c r="J189" i="49"/>
  <c r="K189" i="49"/>
  <c r="L189" i="49"/>
  <c r="M189" i="49"/>
  <c r="N189" i="49"/>
  <c r="O189" i="49"/>
  <c r="P189" i="49"/>
  <c r="Q189" i="49"/>
  <c r="R189" i="49"/>
  <c r="S189" i="49"/>
  <c r="T189" i="49"/>
  <c r="U189" i="49"/>
  <c r="V189" i="49"/>
  <c r="W189" i="49"/>
  <c r="X189" i="49"/>
  <c r="Y189" i="49"/>
  <c r="Z189" i="49"/>
  <c r="AA189" i="49"/>
  <c r="AB189" i="49"/>
  <c r="AC189" i="49"/>
  <c r="AD189" i="49"/>
  <c r="AE189" i="49"/>
  <c r="AF189" i="49"/>
  <c r="AG189" i="49"/>
  <c r="AH189" i="49"/>
  <c r="AI189" i="49"/>
  <c r="AJ189" i="49"/>
  <c r="AK189" i="49"/>
  <c r="AL189" i="49"/>
  <c r="AM189" i="49"/>
  <c r="D190" i="49"/>
  <c r="E190" i="49"/>
  <c r="F190" i="49"/>
  <c r="G190" i="49"/>
  <c r="H190" i="49"/>
  <c r="I190" i="49"/>
  <c r="J190" i="49"/>
  <c r="K190" i="49"/>
  <c r="L190" i="49"/>
  <c r="M190" i="49"/>
  <c r="N190" i="49"/>
  <c r="O190" i="49"/>
  <c r="P190" i="49"/>
  <c r="Q190" i="49"/>
  <c r="R190" i="49"/>
  <c r="S190" i="49"/>
  <c r="T190" i="49"/>
  <c r="U190" i="49"/>
  <c r="V190" i="49"/>
  <c r="W190" i="49"/>
  <c r="X190" i="49"/>
  <c r="Y190" i="49"/>
  <c r="Z190" i="49"/>
  <c r="AA190" i="49"/>
  <c r="AB190" i="49"/>
  <c r="AC190" i="49"/>
  <c r="AD190" i="49"/>
  <c r="AE190" i="49"/>
  <c r="AF190" i="49"/>
  <c r="AG190" i="49"/>
  <c r="AH190" i="49"/>
  <c r="AI190" i="49"/>
  <c r="AJ190" i="49"/>
  <c r="AK190" i="49"/>
  <c r="AL190" i="49"/>
  <c r="AM190" i="49"/>
  <c r="D191" i="49"/>
  <c r="E191" i="49"/>
  <c r="F191" i="49"/>
  <c r="G191" i="49"/>
  <c r="H191" i="49"/>
  <c r="I191" i="49"/>
  <c r="J191" i="49"/>
  <c r="K191" i="49"/>
  <c r="L191" i="49"/>
  <c r="M191" i="49"/>
  <c r="N191" i="49"/>
  <c r="O191" i="49"/>
  <c r="P191" i="49"/>
  <c r="Q191" i="49"/>
  <c r="R191" i="49"/>
  <c r="S191" i="49"/>
  <c r="T191" i="49"/>
  <c r="U191" i="49"/>
  <c r="V191" i="49"/>
  <c r="W191" i="49"/>
  <c r="X191" i="49"/>
  <c r="Y191" i="49"/>
  <c r="Z191" i="49"/>
  <c r="AA191" i="49"/>
  <c r="AB191" i="49"/>
  <c r="AC191" i="49"/>
  <c r="AD191" i="49"/>
  <c r="AE191" i="49"/>
  <c r="AF191" i="49"/>
  <c r="AG191" i="49"/>
  <c r="AH191" i="49"/>
  <c r="AI191" i="49"/>
  <c r="AJ191" i="49"/>
  <c r="AK191" i="49"/>
  <c r="AL191" i="49"/>
  <c r="AM191" i="49"/>
  <c r="D192" i="49"/>
  <c r="E192" i="49"/>
  <c r="F192" i="49"/>
  <c r="G192" i="49"/>
  <c r="H192" i="49"/>
  <c r="I192" i="49"/>
  <c r="J192" i="49"/>
  <c r="K192" i="49"/>
  <c r="L192" i="49"/>
  <c r="M192" i="49"/>
  <c r="N192" i="49"/>
  <c r="O192" i="49"/>
  <c r="P192" i="49"/>
  <c r="Q192" i="49"/>
  <c r="R192" i="49"/>
  <c r="S192" i="49"/>
  <c r="T192" i="49"/>
  <c r="U192" i="49"/>
  <c r="V192" i="49"/>
  <c r="W192" i="49"/>
  <c r="X192" i="49"/>
  <c r="Y192" i="49"/>
  <c r="Z192" i="49"/>
  <c r="AA192" i="49"/>
  <c r="AB192" i="49"/>
  <c r="AC192" i="49"/>
  <c r="AD192" i="49"/>
  <c r="AE192" i="49"/>
  <c r="AF192" i="49"/>
  <c r="AG192" i="49"/>
  <c r="AH192" i="49"/>
  <c r="AI192" i="49"/>
  <c r="AJ192" i="49"/>
  <c r="AK192" i="49"/>
  <c r="AL192" i="49"/>
  <c r="AM192" i="49"/>
  <c r="D193" i="49"/>
  <c r="E193" i="49"/>
  <c r="F193" i="49"/>
  <c r="G193" i="49"/>
  <c r="H193" i="49"/>
  <c r="I193" i="49"/>
  <c r="J193" i="49"/>
  <c r="K193" i="49"/>
  <c r="L193" i="49"/>
  <c r="M193" i="49"/>
  <c r="N193" i="49"/>
  <c r="O193" i="49"/>
  <c r="P193" i="49"/>
  <c r="Q193" i="49"/>
  <c r="R193" i="49"/>
  <c r="S193" i="49"/>
  <c r="T193" i="49"/>
  <c r="U193" i="49"/>
  <c r="V193" i="49"/>
  <c r="W193" i="49"/>
  <c r="X193" i="49"/>
  <c r="Y193" i="49"/>
  <c r="Z193" i="49"/>
  <c r="AA193" i="49"/>
  <c r="AB193" i="49"/>
  <c r="AC193" i="49"/>
  <c r="AD193" i="49"/>
  <c r="AE193" i="49"/>
  <c r="AF193" i="49"/>
  <c r="AG193" i="49"/>
  <c r="AH193" i="49"/>
  <c r="AI193" i="49"/>
  <c r="AJ193" i="49"/>
  <c r="AK193" i="49"/>
  <c r="AL193" i="49"/>
  <c r="AM193" i="49"/>
  <c r="D194" i="49"/>
  <c r="E194" i="49"/>
  <c r="F194" i="49"/>
  <c r="G194" i="49"/>
  <c r="H194" i="49"/>
  <c r="I194" i="49"/>
  <c r="J194" i="49"/>
  <c r="K194" i="49"/>
  <c r="L194" i="49"/>
  <c r="M194" i="49"/>
  <c r="N194" i="49"/>
  <c r="O194" i="49"/>
  <c r="P194" i="49"/>
  <c r="Q194" i="49"/>
  <c r="R194" i="49"/>
  <c r="S194" i="49"/>
  <c r="T194" i="49"/>
  <c r="U194" i="49"/>
  <c r="V194" i="49"/>
  <c r="W194" i="49"/>
  <c r="X194" i="49"/>
  <c r="Y194" i="49"/>
  <c r="Z194" i="49"/>
  <c r="AA194" i="49"/>
  <c r="AB194" i="49"/>
  <c r="AC194" i="49"/>
  <c r="AD194" i="49"/>
  <c r="AE194" i="49"/>
  <c r="AF194" i="49"/>
  <c r="AG194" i="49"/>
  <c r="AH194" i="49"/>
  <c r="AI194" i="49"/>
  <c r="AJ194" i="49"/>
  <c r="AK194" i="49"/>
  <c r="AL194" i="49"/>
  <c r="AM194" i="49"/>
  <c r="D195" i="49"/>
  <c r="E195" i="49"/>
  <c r="F195" i="49"/>
  <c r="G195" i="49"/>
  <c r="H195" i="49"/>
  <c r="I195" i="49"/>
  <c r="J195" i="49"/>
  <c r="K195" i="49"/>
  <c r="L195" i="49"/>
  <c r="M195" i="49"/>
  <c r="N195" i="49"/>
  <c r="O195" i="49"/>
  <c r="P195" i="49"/>
  <c r="Q195" i="49"/>
  <c r="R195" i="49"/>
  <c r="S195" i="49"/>
  <c r="T195" i="49"/>
  <c r="U195" i="49"/>
  <c r="V195" i="49"/>
  <c r="W195" i="49"/>
  <c r="X195" i="49"/>
  <c r="Y195" i="49"/>
  <c r="Z195" i="49"/>
  <c r="AA195" i="49"/>
  <c r="AB195" i="49"/>
  <c r="AC195" i="49"/>
  <c r="AD195" i="49"/>
  <c r="AE195" i="49"/>
  <c r="AF195" i="49"/>
  <c r="AG195" i="49"/>
  <c r="AH195" i="49"/>
  <c r="AI195" i="49"/>
  <c r="AJ195" i="49"/>
  <c r="AK195" i="49"/>
  <c r="AL195" i="49"/>
  <c r="AM195" i="49"/>
  <c r="D196" i="49"/>
  <c r="E196" i="49"/>
  <c r="F196" i="49"/>
  <c r="G196" i="49"/>
  <c r="H196" i="49"/>
  <c r="I196" i="49"/>
  <c r="J196" i="49"/>
  <c r="K196" i="49"/>
  <c r="L196" i="49"/>
  <c r="M196" i="49"/>
  <c r="N196" i="49"/>
  <c r="O196" i="49"/>
  <c r="P196" i="49"/>
  <c r="Q196" i="49"/>
  <c r="R196" i="49"/>
  <c r="S196" i="49"/>
  <c r="T196" i="49"/>
  <c r="U196" i="49"/>
  <c r="V196" i="49"/>
  <c r="W196" i="49"/>
  <c r="X196" i="49"/>
  <c r="Y196" i="49"/>
  <c r="Z196" i="49"/>
  <c r="AA196" i="49"/>
  <c r="AB196" i="49"/>
  <c r="AC196" i="49"/>
  <c r="AD196" i="49"/>
  <c r="AE196" i="49"/>
  <c r="AF196" i="49"/>
  <c r="AG196" i="49"/>
  <c r="AH196" i="49"/>
  <c r="AI196" i="49"/>
  <c r="AJ196" i="49"/>
  <c r="AK196" i="49"/>
  <c r="AL196" i="49"/>
  <c r="AM196" i="49"/>
  <c r="D197" i="49"/>
  <c r="E197" i="49"/>
  <c r="F197" i="49"/>
  <c r="G197" i="49"/>
  <c r="H197" i="49"/>
  <c r="I197" i="49"/>
  <c r="J197" i="49"/>
  <c r="K197" i="49"/>
  <c r="L197" i="49"/>
  <c r="M197" i="49"/>
  <c r="N197" i="49"/>
  <c r="O197" i="49"/>
  <c r="P197" i="49"/>
  <c r="Q197" i="49"/>
  <c r="R197" i="49"/>
  <c r="S197" i="49"/>
  <c r="T197" i="49"/>
  <c r="U197" i="49"/>
  <c r="V197" i="49"/>
  <c r="W197" i="49"/>
  <c r="X197" i="49"/>
  <c r="Y197" i="49"/>
  <c r="Z197" i="49"/>
  <c r="AA197" i="49"/>
  <c r="AB197" i="49"/>
  <c r="AC197" i="49"/>
  <c r="AD197" i="49"/>
  <c r="AE197" i="49"/>
  <c r="AF197" i="49"/>
  <c r="AG197" i="49"/>
  <c r="AH197" i="49"/>
  <c r="AI197" i="49"/>
  <c r="AJ197" i="49"/>
  <c r="AK197" i="49"/>
  <c r="AL197" i="49"/>
  <c r="AM197" i="49"/>
  <c r="D198" i="49"/>
  <c r="E198" i="49"/>
  <c r="F198" i="49"/>
  <c r="G198" i="49"/>
  <c r="H198" i="49"/>
  <c r="I198" i="49"/>
  <c r="J198" i="49"/>
  <c r="K198" i="49"/>
  <c r="L198" i="49"/>
  <c r="M198" i="49"/>
  <c r="N198" i="49"/>
  <c r="O198" i="49"/>
  <c r="P198" i="49"/>
  <c r="Q198" i="49"/>
  <c r="R198" i="49"/>
  <c r="S198" i="49"/>
  <c r="T198" i="49"/>
  <c r="U198" i="49"/>
  <c r="V198" i="49"/>
  <c r="W198" i="49"/>
  <c r="X198" i="49"/>
  <c r="Y198" i="49"/>
  <c r="Z198" i="49"/>
  <c r="AA198" i="49"/>
  <c r="AB198" i="49"/>
  <c r="AC198" i="49"/>
  <c r="AD198" i="49"/>
  <c r="AE198" i="49"/>
  <c r="AF198" i="49"/>
  <c r="AG198" i="49"/>
  <c r="AH198" i="49"/>
  <c r="AI198" i="49"/>
  <c r="AJ198" i="49"/>
  <c r="AK198" i="49"/>
  <c r="AL198" i="49"/>
  <c r="AM198" i="49"/>
  <c r="D199" i="49"/>
  <c r="E199" i="49"/>
  <c r="F199" i="49"/>
  <c r="G199" i="49"/>
  <c r="H199" i="49"/>
  <c r="I199" i="49"/>
  <c r="J199" i="49"/>
  <c r="K199" i="49"/>
  <c r="L199" i="49"/>
  <c r="M199" i="49"/>
  <c r="N199" i="49"/>
  <c r="O199" i="49"/>
  <c r="P199" i="49"/>
  <c r="Q199" i="49"/>
  <c r="R199" i="49"/>
  <c r="S199" i="49"/>
  <c r="T199" i="49"/>
  <c r="U199" i="49"/>
  <c r="V199" i="49"/>
  <c r="W199" i="49"/>
  <c r="X199" i="49"/>
  <c r="Y199" i="49"/>
  <c r="Z199" i="49"/>
  <c r="AA199" i="49"/>
  <c r="AB199" i="49"/>
  <c r="AC199" i="49"/>
  <c r="AD199" i="49"/>
  <c r="AE199" i="49"/>
  <c r="AF199" i="49"/>
  <c r="AG199" i="49"/>
  <c r="AH199" i="49"/>
  <c r="AI199" i="49"/>
  <c r="AJ199" i="49"/>
  <c r="AK199" i="49"/>
  <c r="AL199" i="49"/>
  <c r="AM199" i="49"/>
  <c r="D200" i="49"/>
  <c r="E200" i="49"/>
  <c r="F200" i="49"/>
  <c r="G200" i="49"/>
  <c r="H200" i="49"/>
  <c r="I200" i="49"/>
  <c r="J200" i="49"/>
  <c r="K200" i="49"/>
  <c r="L200" i="49"/>
  <c r="M200" i="49"/>
  <c r="N200" i="49"/>
  <c r="O200" i="49"/>
  <c r="P200" i="49"/>
  <c r="Q200" i="49"/>
  <c r="R200" i="49"/>
  <c r="S200" i="49"/>
  <c r="T200" i="49"/>
  <c r="U200" i="49"/>
  <c r="V200" i="49"/>
  <c r="W200" i="49"/>
  <c r="X200" i="49"/>
  <c r="Y200" i="49"/>
  <c r="Z200" i="49"/>
  <c r="AA200" i="49"/>
  <c r="AB200" i="49"/>
  <c r="AC200" i="49"/>
  <c r="AD200" i="49"/>
  <c r="AE200" i="49"/>
  <c r="AF200" i="49"/>
  <c r="AG200" i="49"/>
  <c r="AH200" i="49"/>
  <c r="AI200" i="49"/>
  <c r="AJ200" i="49"/>
  <c r="AK200" i="49"/>
  <c r="AL200" i="49"/>
  <c r="AM200" i="49"/>
  <c r="D201" i="49"/>
  <c r="E201" i="49"/>
  <c r="F201" i="49"/>
  <c r="G201" i="49"/>
  <c r="H201" i="49"/>
  <c r="I201" i="49"/>
  <c r="J201" i="49"/>
  <c r="K201" i="49"/>
  <c r="L201" i="49"/>
  <c r="M201" i="49"/>
  <c r="N201" i="49"/>
  <c r="O201" i="49"/>
  <c r="P201" i="49"/>
  <c r="Q201" i="49"/>
  <c r="R201" i="49"/>
  <c r="S201" i="49"/>
  <c r="T201" i="49"/>
  <c r="U201" i="49"/>
  <c r="V201" i="49"/>
  <c r="W201" i="49"/>
  <c r="X201" i="49"/>
  <c r="Y201" i="49"/>
  <c r="Z201" i="49"/>
  <c r="AA201" i="49"/>
  <c r="AB201" i="49"/>
  <c r="AC201" i="49"/>
  <c r="AD201" i="49"/>
  <c r="AE201" i="49"/>
  <c r="AF201" i="49"/>
  <c r="AG201" i="49"/>
  <c r="AH201" i="49"/>
  <c r="AI201" i="49"/>
  <c r="AJ201" i="49"/>
  <c r="AK201" i="49"/>
  <c r="AL201" i="49"/>
  <c r="AM201" i="49"/>
  <c r="D202" i="49"/>
  <c r="E202" i="49"/>
  <c r="F202" i="49"/>
  <c r="G202" i="49"/>
  <c r="H202" i="49"/>
  <c r="I202" i="49"/>
  <c r="J202" i="49"/>
  <c r="K202" i="49"/>
  <c r="L202" i="49"/>
  <c r="M202" i="49"/>
  <c r="N202" i="49"/>
  <c r="O202" i="49"/>
  <c r="P202" i="49"/>
  <c r="Q202" i="49"/>
  <c r="R202" i="49"/>
  <c r="S202" i="49"/>
  <c r="T202" i="49"/>
  <c r="U202" i="49"/>
  <c r="V202" i="49"/>
  <c r="W202" i="49"/>
  <c r="X202" i="49"/>
  <c r="Y202" i="49"/>
  <c r="Z202" i="49"/>
  <c r="AA202" i="49"/>
  <c r="AB202" i="49"/>
  <c r="AC202" i="49"/>
  <c r="AD202" i="49"/>
  <c r="AE202" i="49"/>
  <c r="AF202" i="49"/>
  <c r="AG202" i="49"/>
  <c r="AH202" i="49"/>
  <c r="AI202" i="49"/>
  <c r="AJ202" i="49"/>
  <c r="AK202" i="49"/>
  <c r="AL202" i="49"/>
  <c r="AM202" i="49"/>
  <c r="D203" i="49"/>
  <c r="E203" i="49"/>
  <c r="F203" i="49"/>
  <c r="G203" i="49"/>
  <c r="H203" i="49"/>
  <c r="I203" i="49"/>
  <c r="J203" i="49"/>
  <c r="K203" i="49"/>
  <c r="L203" i="49"/>
  <c r="M203" i="49"/>
  <c r="N203" i="49"/>
  <c r="O203" i="49"/>
  <c r="P203" i="49"/>
  <c r="Q203" i="49"/>
  <c r="R203" i="49"/>
  <c r="S203" i="49"/>
  <c r="T203" i="49"/>
  <c r="U203" i="49"/>
  <c r="V203" i="49"/>
  <c r="W203" i="49"/>
  <c r="X203" i="49"/>
  <c r="Y203" i="49"/>
  <c r="Z203" i="49"/>
  <c r="AA203" i="49"/>
  <c r="AB203" i="49"/>
  <c r="AC203" i="49"/>
  <c r="AD203" i="49"/>
  <c r="AE203" i="49"/>
  <c r="AF203" i="49"/>
  <c r="AG203" i="49"/>
  <c r="AH203" i="49"/>
  <c r="AI203" i="49"/>
  <c r="AJ203" i="49"/>
  <c r="AK203" i="49"/>
  <c r="AL203" i="49"/>
  <c r="AM203" i="49"/>
  <c r="D205" i="49"/>
  <c r="E205" i="49"/>
  <c r="F205" i="49"/>
  <c r="G205" i="49"/>
  <c r="H205" i="49"/>
  <c r="I205" i="49"/>
  <c r="J205" i="49"/>
  <c r="K205" i="49"/>
  <c r="L205" i="49"/>
  <c r="M205" i="49"/>
  <c r="N205" i="49"/>
  <c r="O205" i="49"/>
  <c r="P205" i="49"/>
  <c r="Q205" i="49"/>
  <c r="R205" i="49"/>
  <c r="S205" i="49"/>
  <c r="T205" i="49"/>
  <c r="U205" i="49"/>
  <c r="V205" i="49"/>
  <c r="W205" i="49"/>
  <c r="X205" i="49"/>
  <c r="Y205" i="49"/>
  <c r="Z205" i="49"/>
  <c r="AA205" i="49"/>
  <c r="AB205" i="49"/>
  <c r="AC205" i="49"/>
  <c r="AD205" i="49"/>
  <c r="AE205" i="49"/>
  <c r="AF205" i="49"/>
  <c r="AG205" i="49"/>
  <c r="AH205" i="49"/>
  <c r="AI205" i="49"/>
  <c r="AJ205" i="49"/>
  <c r="AK205" i="49"/>
  <c r="AL205" i="49"/>
  <c r="AM205" i="49"/>
  <c r="D207" i="49"/>
  <c r="E207" i="49"/>
  <c r="F207" i="49"/>
  <c r="G207" i="49"/>
  <c r="H207" i="49"/>
  <c r="I207" i="49"/>
  <c r="J207" i="49"/>
  <c r="K207" i="49"/>
  <c r="L207" i="49"/>
  <c r="M207" i="49"/>
  <c r="N207" i="49"/>
  <c r="O207" i="49"/>
  <c r="P207" i="49"/>
  <c r="Q207" i="49"/>
  <c r="R207" i="49"/>
  <c r="S207" i="49"/>
  <c r="T207" i="49"/>
  <c r="U207" i="49"/>
  <c r="V207" i="49"/>
  <c r="W207" i="49"/>
  <c r="X207" i="49"/>
  <c r="Y207" i="49"/>
  <c r="Z207" i="49"/>
  <c r="AA207" i="49"/>
  <c r="AB207" i="49"/>
  <c r="AC207" i="49"/>
  <c r="AD207" i="49"/>
  <c r="AE207" i="49"/>
  <c r="AF207" i="49"/>
  <c r="AG207" i="49"/>
  <c r="AH207" i="49"/>
  <c r="AI207" i="49"/>
  <c r="AJ207" i="49"/>
  <c r="AK207" i="49"/>
  <c r="AL207" i="49"/>
  <c r="AM207" i="49"/>
  <c r="D209" i="49"/>
  <c r="E209" i="49"/>
  <c r="F209" i="49"/>
  <c r="G209" i="49"/>
  <c r="H209" i="49"/>
  <c r="I209" i="49"/>
  <c r="J209" i="49"/>
  <c r="K209" i="49"/>
  <c r="L209" i="49"/>
  <c r="M209" i="49"/>
  <c r="N209" i="49"/>
  <c r="O209" i="49"/>
  <c r="P209" i="49"/>
  <c r="Q209" i="49"/>
  <c r="R209" i="49"/>
  <c r="S209" i="49"/>
  <c r="T209" i="49"/>
  <c r="U209" i="49"/>
  <c r="V209" i="49"/>
  <c r="W209" i="49"/>
  <c r="X209" i="49"/>
  <c r="Y209" i="49"/>
  <c r="Z209" i="49"/>
  <c r="AA209" i="49"/>
  <c r="AB209" i="49"/>
  <c r="AC209" i="49"/>
  <c r="AD209" i="49"/>
  <c r="AE209" i="49"/>
  <c r="AF209" i="49"/>
  <c r="AG209" i="49"/>
  <c r="AH209" i="49"/>
  <c r="AI209" i="49"/>
  <c r="AJ209" i="49"/>
  <c r="AK209" i="49"/>
  <c r="AL209" i="49"/>
  <c r="AM209" i="49"/>
  <c r="D211" i="49"/>
  <c r="E211" i="49"/>
  <c r="F211" i="49"/>
  <c r="G211" i="49"/>
  <c r="H211" i="49"/>
  <c r="I211" i="49"/>
  <c r="J211" i="49"/>
  <c r="K211" i="49"/>
  <c r="L211" i="49"/>
  <c r="M211" i="49"/>
  <c r="N211" i="49"/>
  <c r="O211" i="49"/>
  <c r="P211" i="49"/>
  <c r="Q211" i="49"/>
  <c r="D212" i="49"/>
  <c r="E212" i="49"/>
  <c r="F212" i="49"/>
  <c r="G212" i="49"/>
  <c r="H212" i="49"/>
  <c r="I212" i="49"/>
  <c r="J212" i="49"/>
  <c r="K212" i="49"/>
  <c r="L212" i="49"/>
  <c r="M212" i="49"/>
  <c r="N212" i="49"/>
  <c r="O212" i="49"/>
  <c r="P212" i="49"/>
  <c r="Q212" i="49"/>
  <c r="D213" i="49"/>
  <c r="E213" i="49"/>
  <c r="F213" i="49"/>
  <c r="G213" i="49"/>
  <c r="H213" i="49"/>
  <c r="I213" i="49"/>
  <c r="J213" i="49"/>
  <c r="K213" i="49"/>
  <c r="L213" i="49"/>
  <c r="M213" i="49"/>
  <c r="N213" i="49"/>
  <c r="O213" i="49"/>
  <c r="P213" i="49"/>
  <c r="Q213" i="49"/>
  <c r="D214" i="49"/>
  <c r="E214" i="49"/>
  <c r="F214" i="49"/>
  <c r="G214" i="49"/>
  <c r="H214" i="49"/>
  <c r="I214" i="49"/>
  <c r="J214" i="49"/>
  <c r="K214" i="49"/>
  <c r="L214" i="49"/>
  <c r="M214" i="49"/>
  <c r="N214" i="49"/>
  <c r="O214" i="49"/>
  <c r="P214" i="49"/>
  <c r="Q214" i="49"/>
  <c r="D215" i="49"/>
  <c r="E215" i="49"/>
  <c r="F215" i="49"/>
  <c r="G215" i="49"/>
  <c r="H215" i="49"/>
  <c r="I215" i="49"/>
  <c r="J215" i="49"/>
  <c r="K215" i="49"/>
  <c r="L215" i="49"/>
  <c r="M215" i="49"/>
  <c r="N215" i="49"/>
  <c r="O215" i="49"/>
  <c r="P215" i="49"/>
  <c r="Q215" i="49"/>
  <c r="D216" i="49"/>
  <c r="E216" i="49"/>
  <c r="F216" i="49"/>
  <c r="G216" i="49"/>
  <c r="H216" i="49"/>
  <c r="I216" i="49"/>
  <c r="J216" i="49"/>
  <c r="K216" i="49"/>
  <c r="L216" i="49"/>
  <c r="M216" i="49"/>
  <c r="N216" i="49"/>
  <c r="O216" i="49"/>
  <c r="P216" i="49"/>
  <c r="Q216" i="49"/>
  <c r="D217" i="49"/>
  <c r="E217" i="49"/>
  <c r="F217" i="49"/>
  <c r="G217" i="49"/>
  <c r="H217" i="49"/>
  <c r="I217" i="49"/>
  <c r="J217" i="49"/>
  <c r="K217" i="49"/>
  <c r="L217" i="49"/>
  <c r="M217" i="49"/>
  <c r="N217" i="49"/>
  <c r="O217" i="49"/>
  <c r="P217" i="49"/>
  <c r="Q217" i="49"/>
  <c r="D218" i="49"/>
  <c r="E218" i="49"/>
  <c r="F218" i="49"/>
  <c r="G218" i="49"/>
  <c r="H218" i="49"/>
  <c r="I218" i="49"/>
  <c r="J218" i="49"/>
  <c r="K218" i="49"/>
  <c r="L218" i="49"/>
  <c r="M218" i="49"/>
  <c r="N218" i="49"/>
  <c r="O218" i="49"/>
  <c r="P218" i="49"/>
  <c r="Q218" i="49"/>
  <c r="D219" i="49"/>
  <c r="E219" i="49"/>
  <c r="F219" i="49"/>
  <c r="G219" i="49"/>
  <c r="H219" i="49"/>
  <c r="I219" i="49"/>
  <c r="J219" i="49"/>
  <c r="K219" i="49"/>
  <c r="L219" i="49"/>
  <c r="M219" i="49"/>
  <c r="N219" i="49"/>
  <c r="O219" i="49"/>
  <c r="P219" i="49"/>
  <c r="Q219" i="49"/>
  <c r="D220" i="49"/>
  <c r="E220" i="49"/>
  <c r="F220" i="49"/>
  <c r="G220" i="49"/>
  <c r="H220" i="49"/>
  <c r="I220" i="49"/>
  <c r="J220" i="49"/>
  <c r="K220" i="49"/>
  <c r="L220" i="49"/>
  <c r="M220" i="49"/>
  <c r="N220" i="49"/>
  <c r="O220" i="49"/>
  <c r="P220" i="49"/>
  <c r="Q220" i="49"/>
  <c r="D222" i="49"/>
  <c r="E222" i="49"/>
  <c r="F222" i="49"/>
  <c r="G222" i="49"/>
  <c r="H222" i="49"/>
  <c r="I222" i="49"/>
  <c r="J222" i="49"/>
  <c r="K222" i="49"/>
  <c r="L222" i="49"/>
  <c r="M222" i="49"/>
  <c r="N222" i="49"/>
  <c r="O222" i="49"/>
  <c r="P222" i="49"/>
  <c r="Q222" i="49"/>
  <c r="D223" i="49"/>
  <c r="E223" i="49"/>
  <c r="F223" i="49"/>
  <c r="G223" i="49"/>
  <c r="H223" i="49"/>
  <c r="I223" i="49"/>
  <c r="J223" i="49"/>
  <c r="K223" i="49"/>
  <c r="L223" i="49"/>
  <c r="M223" i="49"/>
  <c r="N223" i="49"/>
  <c r="O223" i="49"/>
  <c r="P223" i="49"/>
  <c r="Q223" i="49"/>
  <c r="D224" i="49"/>
  <c r="E224" i="49"/>
  <c r="F224" i="49"/>
  <c r="G224" i="49"/>
  <c r="H224" i="49"/>
  <c r="I224" i="49"/>
  <c r="J224" i="49"/>
  <c r="K224" i="49"/>
  <c r="L224" i="49"/>
  <c r="M224" i="49"/>
  <c r="N224" i="49"/>
  <c r="O224" i="49"/>
  <c r="P224" i="49"/>
  <c r="Q224" i="49"/>
  <c r="D225" i="49"/>
  <c r="E225" i="49"/>
  <c r="F225" i="49"/>
  <c r="G225" i="49"/>
  <c r="H225" i="49"/>
  <c r="I225" i="49"/>
  <c r="J225" i="49"/>
  <c r="K225" i="49"/>
  <c r="L225" i="49"/>
  <c r="M225" i="49"/>
  <c r="N225" i="49"/>
  <c r="O225" i="49"/>
  <c r="P225" i="49"/>
  <c r="Q225" i="49"/>
  <c r="D226" i="49"/>
  <c r="E226" i="49"/>
  <c r="F226" i="49"/>
  <c r="G226" i="49"/>
  <c r="H226" i="49"/>
  <c r="I226" i="49"/>
  <c r="J226" i="49"/>
  <c r="K226" i="49"/>
  <c r="L226" i="49"/>
  <c r="M226" i="49"/>
  <c r="N226" i="49"/>
  <c r="O226" i="49"/>
  <c r="P226" i="49"/>
  <c r="Q226" i="49"/>
  <c r="D227" i="49"/>
  <c r="E227" i="49"/>
  <c r="F227" i="49"/>
  <c r="G227" i="49"/>
  <c r="H227" i="49"/>
  <c r="I227" i="49"/>
  <c r="J227" i="49"/>
  <c r="K227" i="49"/>
  <c r="L227" i="49"/>
  <c r="M227" i="49"/>
  <c r="N227" i="49"/>
  <c r="O227" i="49"/>
  <c r="P227" i="49"/>
  <c r="Q227" i="49"/>
  <c r="D228" i="49"/>
  <c r="E228" i="49"/>
  <c r="F228" i="49"/>
  <c r="G228" i="49"/>
  <c r="H228" i="49"/>
  <c r="I228" i="49"/>
  <c r="J228" i="49"/>
  <c r="K228" i="49"/>
  <c r="L228" i="49"/>
  <c r="M228" i="49"/>
  <c r="N228" i="49"/>
  <c r="O228" i="49"/>
  <c r="P228" i="49"/>
  <c r="Q228" i="49"/>
  <c r="D229" i="49"/>
  <c r="E229" i="49"/>
  <c r="F229" i="49"/>
  <c r="G229" i="49"/>
  <c r="H229" i="49"/>
  <c r="I229" i="49"/>
  <c r="J229" i="49"/>
  <c r="K229" i="49"/>
  <c r="L229" i="49"/>
  <c r="M229" i="49"/>
  <c r="N229" i="49"/>
  <c r="O229" i="49"/>
  <c r="P229" i="49"/>
  <c r="Q229" i="49"/>
  <c r="D230" i="49"/>
  <c r="E230" i="49"/>
  <c r="F230" i="49"/>
  <c r="G230" i="49"/>
  <c r="H230" i="49"/>
  <c r="I230" i="49"/>
  <c r="J230" i="49"/>
  <c r="K230" i="49"/>
  <c r="L230" i="49"/>
  <c r="M230" i="49"/>
  <c r="N230" i="49"/>
  <c r="O230" i="49"/>
  <c r="P230" i="49"/>
  <c r="Q230" i="49"/>
  <c r="D231" i="49"/>
  <c r="E231" i="49"/>
  <c r="F231" i="49"/>
  <c r="G231" i="49"/>
  <c r="H231" i="49"/>
  <c r="I231" i="49"/>
  <c r="J231" i="49"/>
  <c r="K231" i="49"/>
  <c r="L231" i="49"/>
  <c r="M231" i="49"/>
  <c r="N231" i="49"/>
  <c r="O231" i="49"/>
  <c r="P231" i="49"/>
  <c r="Q231" i="49"/>
  <c r="D233" i="49"/>
  <c r="E233" i="49"/>
  <c r="F233" i="49"/>
  <c r="G233" i="49"/>
  <c r="H233" i="49"/>
  <c r="I233" i="49"/>
  <c r="J233" i="49"/>
  <c r="K233" i="49"/>
  <c r="L233" i="49"/>
  <c r="M233" i="49"/>
  <c r="N233" i="49"/>
  <c r="O233" i="49"/>
  <c r="P233" i="49"/>
  <c r="Q233" i="49"/>
  <c r="D234" i="49"/>
  <c r="E234" i="49"/>
  <c r="F234" i="49"/>
  <c r="G234" i="49"/>
  <c r="H234" i="49"/>
  <c r="I234" i="49"/>
  <c r="J234" i="49"/>
  <c r="K234" i="49"/>
  <c r="L234" i="49"/>
  <c r="M234" i="49"/>
  <c r="N234" i="49"/>
  <c r="O234" i="49"/>
  <c r="P234" i="49"/>
  <c r="Q234" i="49"/>
  <c r="D235" i="49"/>
  <c r="E235" i="49"/>
  <c r="F235" i="49"/>
  <c r="G235" i="49"/>
  <c r="H235" i="49"/>
  <c r="I235" i="49"/>
  <c r="J235" i="49"/>
  <c r="K235" i="49"/>
  <c r="L235" i="49"/>
  <c r="M235" i="49"/>
  <c r="N235" i="49"/>
  <c r="O235" i="49"/>
  <c r="P235" i="49"/>
  <c r="Q235" i="49"/>
  <c r="D236" i="49"/>
  <c r="E236" i="49"/>
  <c r="F236" i="49"/>
  <c r="G236" i="49"/>
  <c r="H236" i="49"/>
  <c r="I236" i="49"/>
  <c r="J236" i="49"/>
  <c r="K236" i="49"/>
  <c r="L236" i="49"/>
  <c r="M236" i="49"/>
  <c r="N236" i="49"/>
  <c r="O236" i="49"/>
  <c r="P236" i="49"/>
  <c r="Q236" i="49"/>
  <c r="D237" i="49"/>
  <c r="E237" i="49"/>
  <c r="F237" i="49"/>
  <c r="G237" i="49"/>
  <c r="H237" i="49"/>
  <c r="I237" i="49"/>
  <c r="J237" i="49"/>
  <c r="K237" i="49"/>
  <c r="L237" i="49"/>
  <c r="M237" i="49"/>
  <c r="N237" i="49"/>
  <c r="O237" i="49"/>
  <c r="P237" i="49"/>
  <c r="Q237" i="49"/>
  <c r="D238" i="49"/>
  <c r="E238" i="49"/>
  <c r="F238" i="49"/>
  <c r="G238" i="49"/>
  <c r="H238" i="49"/>
  <c r="I238" i="49"/>
  <c r="J238" i="49"/>
  <c r="K238" i="49"/>
  <c r="L238" i="49"/>
  <c r="M238" i="49"/>
  <c r="N238" i="49"/>
  <c r="O238" i="49"/>
  <c r="P238" i="49"/>
  <c r="Q238" i="49"/>
  <c r="D239" i="49"/>
  <c r="E239" i="49"/>
  <c r="F239" i="49"/>
  <c r="G239" i="49"/>
  <c r="H239" i="49"/>
  <c r="I239" i="49"/>
  <c r="J239" i="49"/>
  <c r="K239" i="49"/>
  <c r="L239" i="49"/>
  <c r="M239" i="49"/>
  <c r="N239" i="49"/>
  <c r="O239" i="49"/>
  <c r="P239" i="49"/>
  <c r="Q239" i="49"/>
  <c r="D240" i="49"/>
  <c r="E240" i="49"/>
  <c r="F240" i="49"/>
  <c r="G240" i="49"/>
  <c r="H240" i="49"/>
  <c r="I240" i="49"/>
  <c r="J240" i="49"/>
  <c r="K240" i="49"/>
  <c r="L240" i="49"/>
  <c r="M240" i="49"/>
  <c r="N240" i="49"/>
  <c r="O240" i="49"/>
  <c r="P240" i="49"/>
  <c r="Q240" i="49"/>
  <c r="D241" i="49"/>
  <c r="E241" i="49"/>
  <c r="F241" i="49"/>
  <c r="G241" i="49"/>
  <c r="H241" i="49"/>
  <c r="I241" i="49"/>
  <c r="J241" i="49"/>
  <c r="K241" i="49"/>
  <c r="L241" i="49"/>
  <c r="M241" i="49"/>
  <c r="N241" i="49"/>
  <c r="O241" i="49"/>
  <c r="P241" i="49"/>
  <c r="Q241" i="49"/>
  <c r="D242" i="49"/>
  <c r="E242" i="49"/>
  <c r="F242" i="49"/>
  <c r="G242" i="49"/>
  <c r="H242" i="49"/>
  <c r="I242" i="49"/>
  <c r="J242" i="49"/>
  <c r="K242" i="49"/>
  <c r="L242" i="49"/>
  <c r="M242" i="49"/>
  <c r="N242" i="49"/>
  <c r="O242" i="49"/>
  <c r="P242" i="49"/>
  <c r="Q242" i="49"/>
  <c r="H21" i="26"/>
  <c r="J21" i="26"/>
  <c r="K21" i="26"/>
  <c r="L21" i="26"/>
  <c r="N21" i="26"/>
  <c r="O21" i="26"/>
  <c r="P21" i="26"/>
  <c r="Q21" i="26"/>
  <c r="R21" i="26"/>
  <c r="S21" i="26"/>
  <c r="U21" i="26"/>
  <c r="V21" i="26"/>
  <c r="W21" i="26"/>
  <c r="X21" i="26"/>
  <c r="Z21" i="26"/>
  <c r="AB21" i="26"/>
  <c r="AC21" i="26"/>
  <c r="AD21" i="26"/>
  <c r="H22" i="26"/>
  <c r="J22" i="26"/>
  <c r="K22" i="26"/>
  <c r="L22" i="26"/>
  <c r="N22" i="26"/>
  <c r="O22" i="26"/>
  <c r="P22" i="26"/>
  <c r="Q22" i="26"/>
  <c r="R22" i="26"/>
  <c r="S22" i="26"/>
  <c r="U22" i="26"/>
  <c r="V22" i="26"/>
  <c r="W22" i="26"/>
  <c r="X22" i="26"/>
  <c r="Z22" i="26"/>
  <c r="AB22" i="26"/>
  <c r="AC22" i="26"/>
  <c r="AD22" i="26"/>
  <c r="H23" i="26"/>
  <c r="J23" i="26"/>
  <c r="K23" i="26"/>
  <c r="L23" i="26"/>
  <c r="N23" i="26"/>
  <c r="O23" i="26"/>
  <c r="P23" i="26"/>
  <c r="Q23" i="26"/>
  <c r="R23" i="26"/>
  <c r="S23" i="26"/>
  <c r="U23" i="26"/>
  <c r="V23" i="26"/>
  <c r="W23" i="26"/>
  <c r="X23" i="26"/>
  <c r="Z23" i="26"/>
  <c r="AB23" i="26"/>
  <c r="AC23" i="26"/>
  <c r="AD23" i="26"/>
  <c r="H24" i="26"/>
  <c r="J24" i="26"/>
  <c r="K24" i="26"/>
  <c r="L24" i="26"/>
  <c r="N24" i="26"/>
  <c r="O24" i="26"/>
  <c r="P24" i="26"/>
  <c r="Q24" i="26"/>
  <c r="R24" i="26"/>
  <c r="S24" i="26"/>
  <c r="U24" i="26"/>
  <c r="V24" i="26"/>
  <c r="W24" i="26"/>
  <c r="X24" i="26"/>
  <c r="Z24" i="26"/>
  <c r="AB24" i="26"/>
  <c r="AC24" i="26"/>
  <c r="AD24" i="26"/>
  <c r="H25" i="26"/>
  <c r="J25" i="26"/>
  <c r="K25" i="26"/>
  <c r="L25" i="26"/>
  <c r="N25" i="26"/>
  <c r="O25" i="26"/>
  <c r="P25" i="26"/>
  <c r="Q25" i="26"/>
  <c r="R25" i="26"/>
  <c r="S25" i="26"/>
  <c r="U25" i="26"/>
  <c r="V25" i="26"/>
  <c r="W25" i="26"/>
  <c r="X25" i="26"/>
  <c r="Z25" i="26"/>
  <c r="AB25" i="26"/>
  <c r="AC25" i="26"/>
  <c r="AD25" i="26"/>
  <c r="H26" i="26"/>
  <c r="J26" i="26"/>
  <c r="K26" i="26"/>
  <c r="L26" i="26"/>
  <c r="N26" i="26"/>
  <c r="O26" i="26"/>
  <c r="P26" i="26"/>
  <c r="Q26" i="26"/>
  <c r="R26" i="26"/>
  <c r="S26" i="26"/>
  <c r="U26" i="26"/>
  <c r="V26" i="26"/>
  <c r="W26" i="26"/>
  <c r="X26" i="26"/>
  <c r="Z26" i="26"/>
  <c r="AB26" i="26"/>
  <c r="AC26" i="26"/>
  <c r="AD26" i="26"/>
  <c r="H27" i="26"/>
  <c r="J27" i="26"/>
  <c r="K27" i="26"/>
  <c r="L27" i="26"/>
  <c r="N27" i="26"/>
  <c r="O27" i="26"/>
  <c r="P27" i="26"/>
  <c r="Q27" i="26"/>
  <c r="R27" i="26"/>
  <c r="S27" i="26"/>
  <c r="U27" i="26"/>
  <c r="V27" i="26"/>
  <c r="W27" i="26"/>
  <c r="X27" i="26"/>
  <c r="Z27" i="26"/>
  <c r="AB27" i="26"/>
  <c r="AC27" i="26"/>
  <c r="AD27" i="26"/>
  <c r="H28" i="26"/>
  <c r="J28" i="26"/>
  <c r="K28" i="26"/>
  <c r="L28" i="26"/>
  <c r="N28" i="26"/>
  <c r="O28" i="26"/>
  <c r="P28" i="26"/>
  <c r="Q28" i="26"/>
  <c r="R28" i="26"/>
  <c r="S28" i="26"/>
  <c r="U28" i="26"/>
  <c r="V28" i="26"/>
  <c r="W28" i="26"/>
  <c r="X28" i="26"/>
  <c r="Z28" i="26"/>
  <c r="AB28" i="26"/>
  <c r="AC28" i="26"/>
  <c r="AD28" i="26"/>
  <c r="H29" i="26"/>
  <c r="J29" i="26"/>
  <c r="K29" i="26"/>
  <c r="L29" i="26"/>
  <c r="N29" i="26"/>
  <c r="O29" i="26"/>
  <c r="P29" i="26"/>
  <c r="Q29" i="26"/>
  <c r="R29" i="26"/>
  <c r="S29" i="26"/>
  <c r="U29" i="26"/>
  <c r="V29" i="26"/>
  <c r="W29" i="26"/>
  <c r="X29" i="26"/>
  <c r="Z29" i="26"/>
  <c r="AB29" i="26"/>
  <c r="AC29" i="26"/>
  <c r="AD29" i="26"/>
  <c r="H30" i="26"/>
  <c r="J30" i="26"/>
  <c r="K30" i="26"/>
  <c r="L30" i="26"/>
  <c r="N30" i="26"/>
  <c r="O30" i="26"/>
  <c r="P30" i="26"/>
  <c r="Q30" i="26"/>
  <c r="R30" i="26"/>
  <c r="S30" i="26"/>
  <c r="U30" i="26"/>
  <c r="V30" i="26"/>
  <c r="W30" i="26"/>
  <c r="X30" i="26"/>
  <c r="Z30" i="26"/>
  <c r="AB30" i="26"/>
  <c r="AC30" i="26"/>
  <c r="AD30" i="26"/>
  <c r="H31" i="26"/>
  <c r="J31" i="26"/>
  <c r="K31" i="26"/>
  <c r="L31" i="26"/>
  <c r="N31" i="26"/>
  <c r="O31" i="26"/>
  <c r="P31" i="26"/>
  <c r="Q31" i="26"/>
  <c r="R31" i="26"/>
  <c r="S31" i="26"/>
  <c r="U31" i="26"/>
  <c r="V31" i="26"/>
  <c r="W31" i="26"/>
  <c r="X31" i="26"/>
  <c r="Z31" i="26"/>
  <c r="AB31" i="26"/>
  <c r="AC31" i="26"/>
  <c r="AD31" i="26"/>
  <c r="H32" i="26"/>
  <c r="J32" i="26"/>
  <c r="K32" i="26"/>
  <c r="L32" i="26"/>
  <c r="N32" i="26"/>
  <c r="O32" i="26"/>
  <c r="P32" i="26"/>
  <c r="Q32" i="26"/>
  <c r="R32" i="26"/>
  <c r="S32" i="26"/>
  <c r="U32" i="26"/>
  <c r="V32" i="26"/>
  <c r="W32" i="26"/>
  <c r="X32" i="26"/>
  <c r="Z32" i="26"/>
  <c r="AB32" i="26"/>
  <c r="AC32" i="26"/>
  <c r="AD32" i="26"/>
  <c r="H33" i="26"/>
  <c r="J33" i="26"/>
  <c r="K33" i="26"/>
  <c r="L33" i="26"/>
  <c r="N33" i="26"/>
  <c r="O33" i="26"/>
  <c r="P33" i="26"/>
  <c r="Q33" i="26"/>
  <c r="R33" i="26"/>
  <c r="S33" i="26"/>
  <c r="U33" i="26"/>
  <c r="V33" i="26"/>
  <c r="W33" i="26"/>
  <c r="X33" i="26"/>
  <c r="Z33" i="26"/>
  <c r="AB33" i="26"/>
  <c r="AC33" i="26"/>
  <c r="AD33" i="26"/>
  <c r="H34" i="26"/>
  <c r="J34" i="26"/>
  <c r="K34" i="26"/>
  <c r="L34" i="26"/>
  <c r="N34" i="26"/>
  <c r="O34" i="26"/>
  <c r="P34" i="26"/>
  <c r="Q34" i="26"/>
  <c r="R34" i="26"/>
  <c r="S34" i="26"/>
  <c r="U34" i="26"/>
  <c r="V34" i="26"/>
  <c r="W34" i="26"/>
  <c r="X34" i="26"/>
  <c r="Z34" i="26"/>
  <c r="AB34" i="26"/>
  <c r="AC34" i="26"/>
  <c r="AD34" i="26"/>
  <c r="H35" i="26"/>
  <c r="J35" i="26"/>
  <c r="K35" i="26"/>
  <c r="L35" i="26"/>
  <c r="N35" i="26"/>
  <c r="O35" i="26"/>
  <c r="P35" i="26"/>
  <c r="Q35" i="26"/>
  <c r="R35" i="26"/>
  <c r="S35" i="26"/>
  <c r="U35" i="26"/>
  <c r="V35" i="26"/>
  <c r="W35" i="26"/>
  <c r="X35" i="26"/>
  <c r="Z35" i="26"/>
  <c r="AB35" i="26"/>
  <c r="AC35" i="26"/>
  <c r="AD35" i="26"/>
  <c r="H36" i="26"/>
  <c r="J36" i="26"/>
  <c r="K36" i="26"/>
  <c r="L36" i="26"/>
  <c r="N36" i="26"/>
  <c r="O36" i="26"/>
  <c r="P36" i="26"/>
  <c r="Q36" i="26"/>
  <c r="R36" i="26"/>
  <c r="S36" i="26"/>
  <c r="U36" i="26"/>
  <c r="V36" i="26"/>
  <c r="W36" i="26"/>
  <c r="X36" i="26"/>
  <c r="Z36" i="26"/>
  <c r="AB36" i="26"/>
  <c r="AC36" i="26"/>
  <c r="AD36" i="26"/>
  <c r="H37" i="26"/>
  <c r="J37" i="26"/>
  <c r="K37" i="26"/>
  <c r="L37" i="26"/>
  <c r="N37" i="26"/>
  <c r="O37" i="26"/>
  <c r="P37" i="26"/>
  <c r="Q37" i="26"/>
  <c r="R37" i="26"/>
  <c r="S37" i="26"/>
  <c r="U37" i="26"/>
  <c r="V37" i="26"/>
  <c r="W37" i="26"/>
  <c r="X37" i="26"/>
  <c r="Z37" i="26"/>
  <c r="AB37" i="26"/>
  <c r="AC37" i="26"/>
  <c r="AD37" i="26"/>
  <c r="H38" i="26"/>
  <c r="J38" i="26"/>
  <c r="K38" i="26"/>
  <c r="L38" i="26"/>
  <c r="N38" i="26"/>
  <c r="O38" i="26"/>
  <c r="P38" i="26"/>
  <c r="Q38" i="26"/>
  <c r="R38" i="26"/>
  <c r="S38" i="26"/>
  <c r="U38" i="26"/>
  <c r="V38" i="26"/>
  <c r="W38" i="26"/>
  <c r="X38" i="26"/>
  <c r="Z38" i="26"/>
  <c r="AB38" i="26"/>
  <c r="AC38" i="26"/>
  <c r="AD38" i="26"/>
  <c r="H39" i="26"/>
  <c r="J39" i="26"/>
  <c r="K39" i="26"/>
  <c r="L39" i="26"/>
  <c r="N39" i="26"/>
  <c r="O39" i="26"/>
  <c r="P39" i="26"/>
  <c r="Q39" i="26"/>
  <c r="R39" i="26"/>
  <c r="S39" i="26"/>
  <c r="U39" i="26"/>
  <c r="V39" i="26"/>
  <c r="W39" i="26"/>
  <c r="X39" i="26"/>
  <c r="Z39" i="26"/>
  <c r="AB39" i="26"/>
  <c r="AC39" i="26"/>
  <c r="AD39" i="26"/>
  <c r="H40" i="26"/>
  <c r="J40" i="26"/>
  <c r="K40" i="26"/>
  <c r="L40" i="26"/>
  <c r="N40" i="26"/>
  <c r="O40" i="26"/>
  <c r="P40" i="26"/>
  <c r="Q40" i="26"/>
  <c r="R40" i="26"/>
  <c r="S40" i="26"/>
  <c r="U40" i="26"/>
  <c r="V40" i="26"/>
  <c r="W40" i="26"/>
  <c r="X40" i="26"/>
  <c r="Z40" i="26"/>
  <c r="AB40" i="26"/>
  <c r="AC40" i="26"/>
  <c r="AD40" i="26"/>
  <c r="I21" i="2"/>
  <c r="J21" i="2"/>
  <c r="L21" i="2"/>
  <c r="N21" i="2"/>
  <c r="O21" i="2"/>
  <c r="P21" i="2"/>
  <c r="Q21" i="2"/>
  <c r="R21" i="2"/>
  <c r="S21" i="2"/>
  <c r="U21" i="2"/>
  <c r="V21" i="2"/>
  <c r="W21" i="2"/>
  <c r="Y21" i="2"/>
  <c r="Z21" i="2"/>
  <c r="AA21" i="2"/>
  <c r="AB21" i="2"/>
  <c r="AC21" i="2"/>
  <c r="AD21" i="2"/>
  <c r="AE21" i="2"/>
  <c r="I22" i="2"/>
  <c r="J22" i="2"/>
  <c r="L22" i="2"/>
  <c r="N22" i="2"/>
  <c r="O22" i="2"/>
  <c r="P22" i="2"/>
  <c r="Q22" i="2"/>
  <c r="R22" i="2"/>
  <c r="S22" i="2"/>
  <c r="U22" i="2"/>
  <c r="V22" i="2"/>
  <c r="W22" i="2"/>
  <c r="Y22" i="2"/>
  <c r="Z22" i="2"/>
  <c r="AA22" i="2"/>
  <c r="AB22" i="2"/>
  <c r="AC22" i="2"/>
  <c r="AD22" i="2"/>
  <c r="AE22" i="2"/>
  <c r="I23" i="2"/>
  <c r="J23" i="2"/>
  <c r="L23" i="2"/>
  <c r="N23" i="2"/>
  <c r="O23" i="2"/>
  <c r="P23" i="2"/>
  <c r="Q23" i="2"/>
  <c r="R23" i="2"/>
  <c r="S23" i="2"/>
  <c r="U23" i="2"/>
  <c r="V23" i="2"/>
  <c r="W23" i="2"/>
  <c r="Y23" i="2"/>
  <c r="Z23" i="2"/>
  <c r="AA23" i="2"/>
  <c r="AB23" i="2"/>
  <c r="AC23" i="2"/>
  <c r="AD23" i="2"/>
  <c r="AE23" i="2"/>
  <c r="I24" i="2"/>
  <c r="J24" i="2"/>
  <c r="L24" i="2"/>
  <c r="N24" i="2"/>
  <c r="O24" i="2"/>
  <c r="P24" i="2"/>
  <c r="Q24" i="2"/>
  <c r="R24" i="2"/>
  <c r="S24" i="2"/>
  <c r="U24" i="2"/>
  <c r="V24" i="2"/>
  <c r="W24" i="2"/>
  <c r="Y24" i="2"/>
  <c r="Z24" i="2"/>
  <c r="AA24" i="2"/>
  <c r="AB24" i="2"/>
  <c r="AC24" i="2"/>
  <c r="AD24" i="2"/>
  <c r="AE24" i="2"/>
  <c r="I25" i="2"/>
  <c r="J25" i="2"/>
  <c r="L25" i="2"/>
  <c r="N25" i="2"/>
  <c r="O25" i="2"/>
  <c r="P25" i="2"/>
  <c r="Q25" i="2"/>
  <c r="R25" i="2"/>
  <c r="S25" i="2"/>
  <c r="U25" i="2"/>
  <c r="V25" i="2"/>
  <c r="W25" i="2"/>
  <c r="Y25" i="2"/>
  <c r="Z25" i="2"/>
  <c r="AA25" i="2"/>
  <c r="AB25" i="2"/>
  <c r="AC25" i="2"/>
  <c r="AD25" i="2"/>
  <c r="AE25" i="2"/>
  <c r="I26" i="2"/>
  <c r="J26" i="2"/>
  <c r="L26" i="2"/>
  <c r="N26" i="2"/>
  <c r="O26" i="2"/>
  <c r="P26" i="2"/>
  <c r="Q26" i="2"/>
  <c r="R26" i="2"/>
  <c r="S26" i="2"/>
  <c r="U26" i="2"/>
  <c r="V26" i="2"/>
  <c r="W26" i="2"/>
  <c r="Y26" i="2"/>
  <c r="Z26" i="2"/>
  <c r="AA26" i="2"/>
  <c r="AB26" i="2"/>
  <c r="AC26" i="2"/>
  <c r="AD26" i="2"/>
  <c r="AE26" i="2"/>
  <c r="I27" i="2"/>
  <c r="J27" i="2"/>
  <c r="L27" i="2"/>
  <c r="N27" i="2"/>
  <c r="O27" i="2"/>
  <c r="P27" i="2"/>
  <c r="Q27" i="2"/>
  <c r="R27" i="2"/>
  <c r="S27" i="2"/>
  <c r="U27" i="2"/>
  <c r="V27" i="2"/>
  <c r="W27" i="2"/>
  <c r="Y27" i="2"/>
  <c r="Z27" i="2"/>
  <c r="AA27" i="2"/>
  <c r="AB27" i="2"/>
  <c r="AC27" i="2"/>
  <c r="AD27" i="2"/>
  <c r="AE27" i="2"/>
  <c r="I28" i="2"/>
  <c r="J28" i="2"/>
  <c r="L28" i="2"/>
  <c r="N28" i="2"/>
  <c r="O28" i="2"/>
  <c r="P28" i="2"/>
  <c r="Q28" i="2"/>
  <c r="R28" i="2"/>
  <c r="S28" i="2"/>
  <c r="U28" i="2"/>
  <c r="V28" i="2"/>
  <c r="W28" i="2"/>
  <c r="Y28" i="2"/>
  <c r="Z28" i="2"/>
  <c r="AA28" i="2"/>
  <c r="AB28" i="2"/>
  <c r="AC28" i="2"/>
  <c r="AD28" i="2"/>
  <c r="AE28" i="2"/>
  <c r="I29" i="2"/>
  <c r="J29" i="2"/>
  <c r="L29" i="2"/>
  <c r="N29" i="2"/>
  <c r="O29" i="2"/>
  <c r="P29" i="2"/>
  <c r="Q29" i="2"/>
  <c r="R29" i="2"/>
  <c r="S29" i="2"/>
  <c r="U29" i="2"/>
  <c r="V29" i="2"/>
  <c r="W29" i="2"/>
  <c r="Y29" i="2"/>
  <c r="Z29" i="2"/>
  <c r="AA29" i="2"/>
  <c r="AB29" i="2"/>
  <c r="AC29" i="2"/>
  <c r="AD29" i="2"/>
  <c r="AE29" i="2"/>
  <c r="I30" i="2"/>
  <c r="J30" i="2"/>
  <c r="L30" i="2"/>
  <c r="N30" i="2"/>
  <c r="O30" i="2"/>
  <c r="P30" i="2"/>
  <c r="Q30" i="2"/>
  <c r="R30" i="2"/>
  <c r="S30" i="2"/>
  <c r="U30" i="2"/>
  <c r="V30" i="2"/>
  <c r="W30" i="2"/>
  <c r="Y30" i="2"/>
  <c r="Z30" i="2"/>
  <c r="AA30" i="2"/>
  <c r="AB30" i="2"/>
  <c r="AC30" i="2"/>
  <c r="AD30" i="2"/>
  <c r="AE30" i="2"/>
  <c r="I31" i="2"/>
  <c r="J31" i="2"/>
  <c r="L31" i="2"/>
  <c r="N31" i="2"/>
  <c r="O31" i="2"/>
  <c r="P31" i="2"/>
  <c r="Q31" i="2"/>
  <c r="R31" i="2"/>
  <c r="S31" i="2"/>
  <c r="U31" i="2"/>
  <c r="V31" i="2"/>
  <c r="W31" i="2"/>
  <c r="Y31" i="2"/>
  <c r="Z31" i="2"/>
  <c r="AA31" i="2"/>
  <c r="AB31" i="2"/>
  <c r="AC31" i="2"/>
  <c r="AD31" i="2"/>
  <c r="AE31" i="2"/>
  <c r="I32" i="2"/>
  <c r="J32" i="2"/>
  <c r="L32" i="2"/>
  <c r="N32" i="2"/>
  <c r="O32" i="2"/>
  <c r="P32" i="2"/>
  <c r="Q32" i="2"/>
  <c r="R32" i="2"/>
  <c r="S32" i="2"/>
  <c r="U32" i="2"/>
  <c r="V32" i="2"/>
  <c r="W32" i="2"/>
  <c r="Y32" i="2"/>
  <c r="Z32" i="2"/>
  <c r="AA32" i="2"/>
  <c r="AB32" i="2"/>
  <c r="AC32" i="2"/>
  <c r="AD32" i="2"/>
  <c r="AE32" i="2"/>
  <c r="I33" i="2"/>
  <c r="J33" i="2"/>
  <c r="L33" i="2"/>
  <c r="N33" i="2"/>
  <c r="O33" i="2"/>
  <c r="P33" i="2"/>
  <c r="Q33" i="2"/>
  <c r="R33" i="2"/>
  <c r="S33" i="2"/>
  <c r="U33" i="2"/>
  <c r="V33" i="2"/>
  <c r="W33" i="2"/>
  <c r="Y33" i="2"/>
  <c r="Z33" i="2"/>
  <c r="AA33" i="2"/>
  <c r="AB33" i="2"/>
  <c r="AC33" i="2"/>
  <c r="AD33" i="2"/>
  <c r="AE33" i="2"/>
  <c r="I34" i="2"/>
  <c r="J34" i="2"/>
  <c r="L34" i="2"/>
  <c r="N34" i="2"/>
  <c r="O34" i="2"/>
  <c r="P34" i="2"/>
  <c r="Q34" i="2"/>
  <c r="R34" i="2"/>
  <c r="S34" i="2"/>
  <c r="U34" i="2"/>
  <c r="V34" i="2"/>
  <c r="W34" i="2"/>
  <c r="Y34" i="2"/>
  <c r="Z34" i="2"/>
  <c r="AA34" i="2"/>
  <c r="AB34" i="2"/>
  <c r="AC34" i="2"/>
  <c r="AD34" i="2"/>
  <c r="AE34" i="2"/>
  <c r="I35" i="2"/>
  <c r="J35" i="2"/>
  <c r="L35" i="2"/>
  <c r="N35" i="2"/>
  <c r="O35" i="2"/>
  <c r="P35" i="2"/>
  <c r="Q35" i="2"/>
  <c r="R35" i="2"/>
  <c r="S35" i="2"/>
  <c r="U35" i="2"/>
  <c r="V35" i="2"/>
  <c r="W35" i="2"/>
  <c r="Y35" i="2"/>
  <c r="Z35" i="2"/>
  <c r="AA35" i="2"/>
  <c r="AB35" i="2"/>
  <c r="AC35" i="2"/>
  <c r="AD35" i="2"/>
  <c r="AE35" i="2"/>
  <c r="I36" i="2"/>
  <c r="J36" i="2"/>
  <c r="L36" i="2"/>
  <c r="N36" i="2"/>
  <c r="O36" i="2"/>
  <c r="P36" i="2"/>
  <c r="Q36" i="2"/>
  <c r="R36" i="2"/>
  <c r="S36" i="2"/>
  <c r="U36" i="2"/>
  <c r="V36" i="2"/>
  <c r="W36" i="2"/>
  <c r="Y36" i="2"/>
  <c r="Z36" i="2"/>
  <c r="AA36" i="2"/>
  <c r="AB36" i="2"/>
  <c r="AC36" i="2"/>
  <c r="AD36" i="2"/>
  <c r="AE36" i="2"/>
  <c r="I37" i="2"/>
  <c r="J37" i="2"/>
  <c r="L37" i="2"/>
  <c r="N37" i="2"/>
  <c r="O37" i="2"/>
  <c r="P37" i="2"/>
  <c r="Q37" i="2"/>
  <c r="R37" i="2"/>
  <c r="S37" i="2"/>
  <c r="U37" i="2"/>
  <c r="V37" i="2"/>
  <c r="W37" i="2"/>
  <c r="Y37" i="2"/>
  <c r="Z37" i="2"/>
  <c r="AA37" i="2"/>
  <c r="AB37" i="2"/>
  <c r="AC37" i="2"/>
  <c r="AD37" i="2"/>
  <c r="AE37" i="2"/>
  <c r="I38" i="2"/>
  <c r="J38" i="2"/>
  <c r="L38" i="2"/>
  <c r="N38" i="2"/>
  <c r="O38" i="2"/>
  <c r="P38" i="2"/>
  <c r="Q38" i="2"/>
  <c r="R38" i="2"/>
  <c r="S38" i="2"/>
  <c r="U38" i="2"/>
  <c r="V38" i="2"/>
  <c r="W38" i="2"/>
  <c r="Y38" i="2"/>
  <c r="Z38" i="2"/>
  <c r="AA38" i="2"/>
  <c r="AB38" i="2"/>
  <c r="AC38" i="2"/>
  <c r="AD38" i="2"/>
  <c r="AE38" i="2"/>
  <c r="I39" i="2"/>
  <c r="J39" i="2"/>
  <c r="L39" i="2"/>
  <c r="N39" i="2"/>
  <c r="O39" i="2"/>
  <c r="P39" i="2"/>
  <c r="Q39" i="2"/>
  <c r="R39" i="2"/>
  <c r="S39" i="2"/>
  <c r="U39" i="2"/>
  <c r="V39" i="2"/>
  <c r="W39" i="2"/>
  <c r="Y39" i="2"/>
  <c r="Z39" i="2"/>
  <c r="AA39" i="2"/>
  <c r="AB39" i="2"/>
  <c r="AC39" i="2"/>
  <c r="AD39" i="2"/>
  <c r="AE39" i="2"/>
  <c r="I40" i="2"/>
  <c r="J40" i="2"/>
  <c r="L40" i="2"/>
  <c r="N40" i="2"/>
  <c r="O40" i="2"/>
  <c r="P40" i="2"/>
  <c r="Q40" i="2"/>
  <c r="R40" i="2"/>
  <c r="S40" i="2"/>
  <c r="U40" i="2"/>
  <c r="V40" i="2"/>
  <c r="W40" i="2"/>
  <c r="Y40" i="2"/>
  <c r="Z40" i="2"/>
  <c r="AA40" i="2"/>
  <c r="AB40" i="2"/>
  <c r="AC40" i="2"/>
  <c r="AD40" i="2"/>
  <c r="AE40" i="2"/>
</calcChain>
</file>

<file path=xl/sharedStrings.xml><?xml version="1.0" encoding="utf-8"?>
<sst xmlns="http://schemas.openxmlformats.org/spreadsheetml/2006/main" count="3999" uniqueCount="811">
  <si>
    <t>K</t>
  </si>
  <si>
    <t>m/s</t>
  </si>
  <si>
    <t>kg/ms</t>
  </si>
  <si>
    <t>altitude</t>
  </si>
  <si>
    <t>m</t>
  </si>
  <si>
    <t>T</t>
  </si>
  <si>
    <t>p</t>
  </si>
  <si>
    <t>r</t>
  </si>
  <si>
    <t>a</t>
  </si>
  <si>
    <r>
      <t>g</t>
    </r>
    <r>
      <rPr>
        <vertAlign val="subscript"/>
        <sz val="10"/>
        <rFont val="Arial"/>
        <family val="2"/>
      </rPr>
      <t>0</t>
    </r>
  </si>
  <si>
    <r>
      <t>m/s</t>
    </r>
    <r>
      <rPr>
        <vertAlign val="superscript"/>
        <sz val="10"/>
        <rFont val="Arial"/>
        <family val="2"/>
      </rPr>
      <t>2</t>
    </r>
  </si>
  <si>
    <r>
      <t>T</t>
    </r>
    <r>
      <rPr>
        <vertAlign val="subscript"/>
        <sz val="10"/>
        <rFont val="Arial"/>
        <family val="2"/>
      </rPr>
      <t>0</t>
    </r>
  </si>
  <si>
    <r>
      <t>T</t>
    </r>
    <r>
      <rPr>
        <vertAlign val="subscript"/>
        <sz val="10"/>
        <rFont val="Arial"/>
        <family val="2"/>
      </rPr>
      <t>11</t>
    </r>
  </si>
  <si>
    <r>
      <t>T</t>
    </r>
    <r>
      <rPr>
        <vertAlign val="subscript"/>
        <sz val="10"/>
        <rFont val="Arial"/>
        <family val="2"/>
      </rPr>
      <t>20</t>
    </r>
  </si>
  <si>
    <r>
      <t>p</t>
    </r>
    <r>
      <rPr>
        <vertAlign val="subscript"/>
        <sz val="10"/>
        <rFont val="Arial"/>
        <family val="2"/>
      </rPr>
      <t>0</t>
    </r>
  </si>
  <si>
    <r>
      <t>p</t>
    </r>
    <r>
      <rPr>
        <vertAlign val="subscript"/>
        <sz val="10"/>
        <rFont val="Arial"/>
        <family val="2"/>
      </rPr>
      <t>11</t>
    </r>
  </si>
  <si>
    <r>
      <t>p</t>
    </r>
    <r>
      <rPr>
        <vertAlign val="subscript"/>
        <sz val="10"/>
        <rFont val="Arial"/>
        <family val="2"/>
      </rPr>
      <t>20</t>
    </r>
  </si>
  <si>
    <r>
      <t>r</t>
    </r>
    <r>
      <rPr>
        <vertAlign val="subscript"/>
        <sz val="10"/>
        <rFont val="Arial"/>
        <family val="2"/>
      </rPr>
      <t>0</t>
    </r>
  </si>
  <si>
    <r>
      <t>kg/m</t>
    </r>
    <r>
      <rPr>
        <vertAlign val="superscript"/>
        <sz val="10"/>
        <rFont val="Arial"/>
        <family val="2"/>
      </rPr>
      <t>3</t>
    </r>
  </si>
  <si>
    <r>
      <t>r</t>
    </r>
    <r>
      <rPr>
        <vertAlign val="subscript"/>
        <sz val="10"/>
        <rFont val="Arial"/>
        <family val="2"/>
      </rPr>
      <t>11</t>
    </r>
  </si>
  <si>
    <r>
      <t>r</t>
    </r>
    <r>
      <rPr>
        <vertAlign val="subscript"/>
        <sz val="10"/>
        <rFont val="Arial"/>
        <family val="2"/>
      </rPr>
      <t>20</t>
    </r>
  </si>
  <si>
    <r>
      <t>a</t>
    </r>
    <r>
      <rPr>
        <vertAlign val="subscript"/>
        <sz val="10"/>
        <rFont val="Arial"/>
        <family val="2"/>
      </rPr>
      <t>0</t>
    </r>
  </si>
  <si>
    <r>
      <t>a</t>
    </r>
    <r>
      <rPr>
        <vertAlign val="subscript"/>
        <sz val="10"/>
        <rFont val="Arial"/>
        <family val="2"/>
      </rPr>
      <t>11</t>
    </r>
  </si>
  <si>
    <r>
      <t>a</t>
    </r>
    <r>
      <rPr>
        <vertAlign val="subscript"/>
        <sz val="10"/>
        <rFont val="Arial"/>
        <family val="2"/>
      </rPr>
      <t>20</t>
    </r>
  </si>
  <si>
    <r>
      <t>m</t>
    </r>
    <r>
      <rPr>
        <vertAlign val="subscript"/>
        <sz val="10"/>
        <rFont val="Symbol"/>
        <family val="1"/>
        <charset val="2"/>
      </rPr>
      <t>0</t>
    </r>
  </si>
  <si>
    <r>
      <t>m</t>
    </r>
    <r>
      <rPr>
        <vertAlign val="subscript"/>
        <sz val="10"/>
        <rFont val="Symbol"/>
        <family val="1"/>
        <charset val="2"/>
      </rPr>
      <t>11</t>
    </r>
  </si>
  <si>
    <r>
      <t>m</t>
    </r>
    <r>
      <rPr>
        <vertAlign val="subscript"/>
        <sz val="10"/>
        <rFont val="Symbol"/>
        <family val="1"/>
        <charset val="2"/>
      </rPr>
      <t>20</t>
    </r>
  </si>
  <si>
    <t>Atmosfera ISA</t>
  </si>
  <si>
    <t>h</t>
  </si>
  <si>
    <t>rho</t>
  </si>
  <si>
    <t>kg/m3</t>
  </si>
  <si>
    <t>miu</t>
  </si>
  <si>
    <t>kg/m/s</t>
  </si>
  <si>
    <t>Atmosfera</t>
  </si>
  <si>
    <t>W</t>
  </si>
  <si>
    <t>N</t>
  </si>
  <si>
    <t>Geometria</t>
  </si>
  <si>
    <t>ca</t>
  </si>
  <si>
    <t>ba</t>
  </si>
  <si>
    <t>Voo</t>
  </si>
  <si>
    <t>V</t>
  </si>
  <si>
    <t>Asa</t>
  </si>
  <si>
    <t>Sa</t>
  </si>
  <si>
    <t>m2</t>
  </si>
  <si>
    <t>EH</t>
  </si>
  <si>
    <t>Sh</t>
  </si>
  <si>
    <t>EV</t>
  </si>
  <si>
    <t>Sv</t>
  </si>
  <si>
    <t>ha</t>
  </si>
  <si>
    <t>hh</t>
  </si>
  <si>
    <t>Re</t>
  </si>
  <si>
    <t>Cdp</t>
  </si>
  <si>
    <t>Cl</t>
  </si>
  <si>
    <t>Cm</t>
  </si>
  <si>
    <t>CL</t>
  </si>
  <si>
    <t>CD</t>
  </si>
  <si>
    <t>L</t>
  </si>
  <si>
    <t>D</t>
  </si>
  <si>
    <t>L/D</t>
  </si>
  <si>
    <t>Preq</t>
  </si>
  <si>
    <t>CLa</t>
  </si>
  <si>
    <t>CDia</t>
  </si>
  <si>
    <t>ea</t>
  </si>
  <si>
    <t>tau</t>
  </si>
  <si>
    <t>CLh</t>
  </si>
  <si>
    <t>CDpa</t>
  </si>
  <si>
    <t>CMa</t>
  </si>
  <si>
    <t>CDa</t>
  </si>
  <si>
    <t>eh</t>
  </si>
  <si>
    <t>Ah</t>
  </si>
  <si>
    <t>CDih</t>
  </si>
  <si>
    <t>CDph</t>
  </si>
  <si>
    <t>CDpv</t>
  </si>
  <si>
    <t>CDpresto</t>
  </si>
  <si>
    <t>Modelo 1</t>
  </si>
  <si>
    <t>Wcarga</t>
  </si>
  <si>
    <t>Wenergia</t>
  </si>
  <si>
    <t>Wvazioref</t>
  </si>
  <si>
    <t>baref</t>
  </si>
  <si>
    <t>Constantes</t>
  </si>
  <si>
    <t>caref</t>
  </si>
  <si>
    <t>Peso</t>
  </si>
  <si>
    <t>Total</t>
  </si>
  <si>
    <t>kb</t>
  </si>
  <si>
    <t>kc</t>
  </si>
  <si>
    <t>Modelo 2</t>
  </si>
  <si>
    <t>DWa</t>
  </si>
  <si>
    <t>DWh</t>
  </si>
  <si>
    <t>DWv</t>
  </si>
  <si>
    <t>Ka</t>
  </si>
  <si>
    <t>Kh</t>
  </si>
  <si>
    <t>Kv</t>
  </si>
  <si>
    <t>Wref</t>
  </si>
  <si>
    <t>Vh</t>
  </si>
  <si>
    <t>Vv</t>
  </si>
  <si>
    <t>hv</t>
  </si>
  <si>
    <t>Pa</t>
  </si>
  <si>
    <t>rpm/V</t>
  </si>
  <si>
    <t>rpm</t>
  </si>
  <si>
    <t>I0</t>
  </si>
  <si>
    <t>A</t>
  </si>
  <si>
    <t>R</t>
  </si>
  <si>
    <t>ohm</t>
  </si>
  <si>
    <t>U</t>
  </si>
  <si>
    <t>I</t>
  </si>
  <si>
    <t>Parâmetros</t>
  </si>
  <si>
    <t>Ui</t>
  </si>
  <si>
    <t>Nm</t>
  </si>
  <si>
    <t>sfc0</t>
  </si>
  <si>
    <t>N/W/s</t>
  </si>
  <si>
    <t>f</t>
  </si>
  <si>
    <t>Pmot</t>
  </si>
  <si>
    <t>Hélice</t>
  </si>
  <si>
    <t>pol</t>
  </si>
  <si>
    <t>P</t>
  </si>
  <si>
    <t>Cp</t>
  </si>
  <si>
    <t>J</t>
  </si>
  <si>
    <t>eta</t>
  </si>
  <si>
    <t>Cpmot</t>
  </si>
  <si>
    <t>Cpmot-Cp</t>
  </si>
  <si>
    <t>acertar a 0</t>
  </si>
  <si>
    <t>ctrl+b</t>
  </si>
  <si>
    <t>Pdis</t>
  </si>
  <si>
    <t>Ieff</t>
  </si>
  <si>
    <t>etamot</t>
  </si>
  <si>
    <t>acertar</t>
  </si>
  <si>
    <t>Propulsão</t>
  </si>
  <si>
    <t>Estrutura</t>
  </si>
  <si>
    <t>Fuselagem</t>
  </si>
  <si>
    <t>lfus</t>
  </si>
  <si>
    <t>Correcções</t>
  </si>
  <si>
    <t>Jfactor</t>
  </si>
  <si>
    <t>Swetfus</t>
  </si>
  <si>
    <t>Refus</t>
  </si>
  <si>
    <t>Cffus</t>
  </si>
  <si>
    <t>etafactor</t>
  </si>
  <si>
    <t>Vcor</t>
  </si>
  <si>
    <t>etap</t>
  </si>
  <si>
    <t>Vi</t>
  </si>
  <si>
    <t>hcg</t>
  </si>
  <si>
    <t>W_est</t>
  </si>
  <si>
    <t>Pprop</t>
  </si>
  <si>
    <t>Tprop</t>
  </si>
  <si>
    <t>D =</t>
  </si>
  <si>
    <t>ba =</t>
  </si>
  <si>
    <t>l'h</t>
  </si>
  <si>
    <t>l'v</t>
  </si>
  <si>
    <t>Axfus</t>
  </si>
  <si>
    <t>CDh</t>
  </si>
  <si>
    <t>CDp</t>
  </si>
  <si>
    <t>CDi</t>
  </si>
  <si>
    <t>%</t>
  </si>
  <si>
    <t>Função objectivo</t>
  </si>
  <si>
    <t>Variável</t>
  </si>
  <si>
    <t>1 para ca</t>
  </si>
  <si>
    <t>2 para ba</t>
  </si>
  <si>
    <t>3 para Cl</t>
  </si>
  <si>
    <t>min</t>
  </si>
  <si>
    <t>max</t>
  </si>
  <si>
    <t xml:space="preserve">Estudo   </t>
  </si>
  <si>
    <t>1 para uma variável</t>
  </si>
  <si>
    <t>2 para duas variáveis</t>
  </si>
  <si>
    <t>1/rad</t>
  </si>
  <si>
    <t>a0</t>
  </si>
  <si>
    <t>a0h</t>
  </si>
  <si>
    <t>a1h</t>
  </si>
  <si>
    <t>a2h</t>
  </si>
  <si>
    <t>tauh</t>
  </si>
  <si>
    <t>cdh/ch</t>
  </si>
  <si>
    <t>cdv/cv</t>
  </si>
  <si>
    <t>a0v</t>
  </si>
  <si>
    <t>a1v</t>
  </si>
  <si>
    <t>a2v</t>
  </si>
  <si>
    <t>Av</t>
  </si>
  <si>
    <t>ev</t>
  </si>
  <si>
    <t>tauv</t>
  </si>
  <si>
    <t>Sdh</t>
  </si>
  <si>
    <t>Sdv</t>
  </si>
  <si>
    <t>zh/ca</t>
  </si>
  <si>
    <t>de/da</t>
  </si>
  <si>
    <t>ia</t>
  </si>
  <si>
    <t>ih</t>
  </si>
  <si>
    <t>e</t>
  </si>
  <si>
    <t>hn</t>
  </si>
  <si>
    <t>Kn</t>
  </si>
  <si>
    <t>hm</t>
  </si>
  <si>
    <t>&gt;</t>
  </si>
  <si>
    <t>&lt;</t>
  </si>
  <si>
    <t>Km</t>
  </si>
  <si>
    <t>miuh</t>
  </si>
  <si>
    <t>hf</t>
  </si>
  <si>
    <t>ht</t>
  </si>
  <si>
    <t>CLamax</t>
  </si>
  <si>
    <t>Downwash</t>
  </si>
  <si>
    <t>Estudo 1</t>
  </si>
  <si>
    <t>Estudo 2</t>
  </si>
  <si>
    <t>1 para Cl</t>
  </si>
  <si>
    <t>2 para D</t>
  </si>
  <si>
    <t>VS</t>
  </si>
  <si>
    <t>V/VS</t>
  </si>
  <si>
    <t>Motor</t>
  </si>
  <si>
    <t>Wmotesp</t>
  </si>
  <si>
    <t>N/W</t>
  </si>
  <si>
    <t>Desempenho</t>
  </si>
  <si>
    <t>E</t>
  </si>
  <si>
    <t>Modelo</t>
  </si>
  <si>
    <t>Wmot</t>
  </si>
  <si>
    <t>Cnba</t>
  </si>
  <si>
    <t>Cnbfus</t>
  </si>
  <si>
    <t>Vfus</t>
  </si>
  <si>
    <t>Dfus</t>
  </si>
  <si>
    <t>Wfus</t>
  </si>
  <si>
    <t>m3</t>
  </si>
  <si>
    <t>CLba</t>
  </si>
  <si>
    <t>CLb0</t>
  </si>
  <si>
    <t>zfus</t>
  </si>
  <si>
    <t>CLbv</t>
  </si>
  <si>
    <t>zv</t>
  </si>
  <si>
    <t>AXI 2820/10 GOLD LINE - 11.1V</t>
  </si>
  <si>
    <t>modelo</t>
  </si>
  <si>
    <t>Pmotor</t>
  </si>
  <si>
    <t>Qmotor</t>
  </si>
  <si>
    <t>Cp1</t>
  </si>
  <si>
    <t>Cp2</t>
  </si>
  <si>
    <t>fsuggested</t>
  </si>
  <si>
    <t>motor</t>
  </si>
  <si>
    <t>prop</t>
  </si>
  <si>
    <t>Pe</t>
  </si>
  <si>
    <t>Isuggested</t>
  </si>
  <si>
    <t>'General 2-blade Prop 12x6'</t>
  </si>
  <si>
    <t>Cp =</t>
  </si>
  <si>
    <t>J2</t>
  </si>
  <si>
    <t>J3</t>
  </si>
  <si>
    <t>J4</t>
  </si>
  <si>
    <t>J5</t>
  </si>
  <si>
    <t>J6</t>
  </si>
  <si>
    <t>etap =</t>
  </si>
  <si>
    <t>Ubat</t>
  </si>
  <si>
    <t>1 para disco actuador</t>
  </si>
  <si>
    <t>2 para propulsão a combustão</t>
  </si>
  <si>
    <t>3 para propulsão eléctrica</t>
  </si>
  <si>
    <t>Imax</t>
  </si>
  <si>
    <t>knmin</t>
  </si>
  <si>
    <t>Kmmin</t>
  </si>
  <si>
    <t>CNb</t>
  </si>
  <si>
    <t>CLb</t>
  </si>
  <si>
    <t>Cl/Cdp</t>
  </si>
  <si>
    <t>etamotor</t>
  </si>
  <si>
    <t>etap/etadiscoactuador</t>
  </si>
  <si>
    <t>Wh/N</t>
  </si>
  <si>
    <t>km</t>
  </si>
  <si>
    <t>Eesp</t>
  </si>
  <si>
    <t>Propulsão Combustão</t>
  </si>
  <si>
    <t>Nmax</t>
  </si>
  <si>
    <t>Q0</t>
  </si>
  <si>
    <t>Nsuggested</t>
  </si>
  <si>
    <t>Nmin</t>
  </si>
  <si>
    <t>Pmax</t>
  </si>
  <si>
    <t>Wenergiaesp</t>
  </si>
  <si>
    <t>N/W/h</t>
  </si>
  <si>
    <t>kPa</t>
  </si>
  <si>
    <t>Takeoff</t>
  </si>
  <si>
    <t>Rate of Climb</t>
  </si>
  <si>
    <t>Sustained Turn</t>
  </si>
  <si>
    <t>Endurance</t>
  </si>
  <si>
    <t>Main</t>
  </si>
  <si>
    <t>Propeller</t>
  </si>
  <si>
    <t>Electric Motor</t>
  </si>
  <si>
    <t>Propulsion</t>
  </si>
  <si>
    <t>Battery</t>
  </si>
  <si>
    <t>Constants</t>
  </si>
  <si>
    <t>model</t>
  </si>
  <si>
    <t>Propulsion-Variable Throttle</t>
  </si>
  <si>
    <t>Atmosphere</t>
  </si>
  <si>
    <t>Propulsion-Fixed Throttle</t>
  </si>
  <si>
    <t>Propulsion-Takeoff-Fixed Throttle</t>
  </si>
  <si>
    <t>Sacel</t>
  </si>
  <si>
    <t>Weight</t>
  </si>
  <si>
    <t>Aerodynamics</t>
  </si>
  <si>
    <t>Geometry</t>
  </si>
  <si>
    <t>b</t>
  </si>
  <si>
    <t>c</t>
  </si>
  <si>
    <t>S</t>
  </si>
  <si>
    <t>CLmax</t>
  </si>
  <si>
    <t>CD0</t>
  </si>
  <si>
    <t>K1</t>
  </si>
  <si>
    <t>Speeds</t>
  </si>
  <si>
    <t>VLO</t>
  </si>
  <si>
    <t>Results</t>
  </si>
  <si>
    <t>Farm</t>
  </si>
  <si>
    <t>maximum</t>
  </si>
  <si>
    <t>Pengine</t>
  </si>
  <si>
    <t>dh</t>
  </si>
  <si>
    <t>RC</t>
  </si>
  <si>
    <t>minimum</t>
  </si>
  <si>
    <t>VRC</t>
  </si>
  <si>
    <t>Propulsion-Rate of Climb-Fixed Throttle</t>
  </si>
  <si>
    <t>comes from RC</t>
  </si>
  <si>
    <t>CLRC</t>
  </si>
  <si>
    <t>Propulsion-Sustained Turn-Variable Throttle</t>
  </si>
  <si>
    <t>comes from Turn</t>
  </si>
  <si>
    <t>comes from Takeoff</t>
  </si>
  <si>
    <t>phi</t>
  </si>
  <si>
    <t>deg</t>
  </si>
  <si>
    <t>n</t>
  </si>
  <si>
    <t>CLD</t>
  </si>
  <si>
    <t>VD</t>
  </si>
  <si>
    <t>Cruise</t>
  </si>
  <si>
    <t>Propulsion-Cruise-Variable Throttle</t>
  </si>
  <si>
    <t>comes from Cruise</t>
  </si>
  <si>
    <t>Cbat</t>
  </si>
  <si>
    <t>Wbat</t>
  </si>
  <si>
    <t>Ebat</t>
  </si>
  <si>
    <t>Wh</t>
  </si>
  <si>
    <t>Pbat</t>
  </si>
  <si>
    <t>t</t>
  </si>
  <si>
    <t>s</t>
  </si>
  <si>
    <t>Speed Controller</t>
  </si>
  <si>
    <t>etac</t>
  </si>
  <si>
    <t>m/s2</t>
  </si>
  <si>
    <t>Turn</t>
  </si>
  <si>
    <t>Laps</t>
  </si>
  <si>
    <t>Wpay</t>
  </si>
  <si>
    <t>Check</t>
  </si>
  <si>
    <t>thickness to chord ratio</t>
  </si>
  <si>
    <t>t/c</t>
  </si>
  <si>
    <t>Reynolds number</t>
  </si>
  <si>
    <t>maximum lift coefficient</t>
  </si>
  <si>
    <r>
      <t>C</t>
    </r>
    <r>
      <rPr>
        <vertAlign val="subscript"/>
        <sz val="10"/>
        <rFont val="Arial"/>
        <family val="2"/>
      </rPr>
      <t>lmax</t>
    </r>
  </si>
  <si>
    <t>lift-curve slope</t>
  </si>
  <si>
    <r>
      <t>rad</t>
    </r>
    <r>
      <rPr>
        <vertAlign val="superscript"/>
        <sz val="10"/>
        <rFont val="Arial"/>
        <family val="2"/>
      </rPr>
      <t>-1</t>
    </r>
  </si>
  <si>
    <t>zero-lift angle of attack</t>
  </si>
  <si>
    <t>minimum drag coefficient</t>
  </si>
  <si>
    <t>minimum drag lift coefficient</t>
  </si>
  <si>
    <t>drag polars</t>
  </si>
  <si>
    <t>Clmax</t>
  </si>
  <si>
    <t>alpha0</t>
  </si>
  <si>
    <t>Cd1</t>
  </si>
  <si>
    <t>Cd2</t>
  </si>
  <si>
    <t>Cd3</t>
  </si>
  <si>
    <t>Cl2</t>
  </si>
  <si>
    <t>name</t>
  </si>
  <si>
    <t>Cd1 =</t>
  </si>
  <si>
    <t>Cl3</t>
  </si>
  <si>
    <t>Cl4</t>
  </si>
  <si>
    <t>Cl5</t>
  </si>
  <si>
    <t>Cl6</t>
  </si>
  <si>
    <t>Airfoil-Takeoff</t>
  </si>
  <si>
    <t>X</t>
  </si>
  <si>
    <t>Y</t>
  </si>
  <si>
    <r>
      <t>X</t>
    </r>
    <r>
      <rPr>
        <vertAlign val="superscript"/>
        <sz val="10"/>
        <rFont val="Arial"/>
        <family val="2"/>
      </rPr>
      <t>2</t>
    </r>
  </si>
  <si>
    <t>XY</t>
  </si>
  <si>
    <t>log(Re)</t>
  </si>
  <si>
    <r>
      <t>[rad</t>
    </r>
    <r>
      <rPr>
        <vertAlign val="superscript"/>
        <sz val="10"/>
        <rFont val="Arial"/>
        <family val="2"/>
      </rPr>
      <t>-1</t>
    </r>
    <r>
      <rPr>
        <sz val="10"/>
        <rFont val="Arial"/>
        <family val="2"/>
      </rPr>
      <t>]</t>
    </r>
  </si>
  <si>
    <t>[graus]</t>
  </si>
  <si>
    <t>Soma =</t>
  </si>
  <si>
    <r>
      <t>log(C</t>
    </r>
    <r>
      <rPr>
        <vertAlign val="subscript"/>
        <sz val="10"/>
        <rFont val="Arial"/>
        <family val="2"/>
      </rPr>
      <t>lmax</t>
    </r>
    <r>
      <rPr>
        <sz val="10"/>
        <rFont val="Arial"/>
        <family val="2"/>
      </rPr>
      <t>)</t>
    </r>
  </si>
  <si>
    <r>
      <t>C</t>
    </r>
    <r>
      <rPr>
        <vertAlign val="subscript"/>
        <sz val="10"/>
        <rFont val="Arial"/>
        <family val="2"/>
      </rPr>
      <t>lmax</t>
    </r>
    <r>
      <rPr>
        <sz val="10"/>
        <rFont val="Arial"/>
        <family val="2"/>
      </rPr>
      <t xml:space="preserve"> =</t>
    </r>
  </si>
  <si>
    <r>
      <t>log(a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>)</t>
    </r>
  </si>
  <si>
    <r>
      <t>a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</si>
  <si>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log(</t>
    </r>
    <r>
      <rPr>
        <sz val="10"/>
        <rFont val="Symbol"/>
        <family val="1"/>
        <charset val="2"/>
      </rPr>
      <t>a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>)</t>
    </r>
  </si>
  <si>
    <t>C</t>
  </si>
  <si>
    <t>Airfoil 1</t>
  </si>
  <si>
    <t>Airfoil 2</t>
  </si>
  <si>
    <t>rad-1</t>
  </si>
  <si>
    <r>
      <t>log(C</t>
    </r>
    <r>
      <rPr>
        <sz val="10"/>
        <rFont val="Arial"/>
        <family val="2"/>
      </rPr>
      <t>d</t>
    </r>
    <r>
      <rPr>
        <sz val="10"/>
        <rFont val="Arial"/>
        <family val="2"/>
      </rPr>
      <t>)</t>
    </r>
  </si>
  <si>
    <t>Cd</t>
  </si>
  <si>
    <t>Wing</t>
  </si>
  <si>
    <t>Aerodynamics-Takeoff</t>
  </si>
  <si>
    <t>alphai_est</t>
  </si>
  <si>
    <t>alphai</t>
  </si>
  <si>
    <t>Cd2 =</t>
  </si>
  <si>
    <t>Cd3 =</t>
  </si>
  <si>
    <t>Aerodynamics-RC</t>
  </si>
  <si>
    <t>(l/d)max</t>
  </si>
  <si>
    <t>Cl(l/d)max</t>
  </si>
  <si>
    <r>
      <t>log(Cl</t>
    </r>
    <r>
      <rPr>
        <sz val="10"/>
        <rFont val="Arial"/>
        <family val="2"/>
      </rPr>
      <t>)</t>
    </r>
  </si>
  <si>
    <r>
      <t>C</t>
    </r>
    <r>
      <rPr>
        <vertAlign val="subscript"/>
        <sz val="10"/>
        <rFont val="Arial"/>
        <family val="2"/>
      </rPr>
      <t>l(l/d)max</t>
    </r>
    <r>
      <rPr>
        <sz val="10"/>
        <rFont val="Arial"/>
        <family val="2"/>
      </rPr>
      <t xml:space="preserve"> =</t>
    </r>
  </si>
  <si>
    <t>alpha</t>
  </si>
  <si>
    <t>Re1</t>
  </si>
  <si>
    <t>Cl/Cd</t>
  </si>
  <si>
    <t>Re2</t>
  </si>
  <si>
    <t>Re3</t>
  </si>
  <si>
    <t>moment polars</t>
  </si>
  <si>
    <t>Cm1 =</t>
  </si>
  <si>
    <t>Cm2 =</t>
  </si>
  <si>
    <t>Cm3 =</t>
  </si>
  <si>
    <t>Cm1</t>
  </si>
  <si>
    <t>Cm2</t>
  </si>
  <si>
    <t>Cm3</t>
  </si>
  <si>
    <r>
      <t>log(C</t>
    </r>
    <r>
      <rPr>
        <sz val="10"/>
        <rFont val="Arial"/>
        <family val="2"/>
      </rPr>
      <t>m</t>
    </r>
    <r>
      <rPr>
        <sz val="10"/>
        <rFont val="Arial"/>
        <family val="2"/>
      </rPr>
      <t>)</t>
    </r>
  </si>
  <si>
    <t>Aircraft</t>
  </si>
  <si>
    <t>Aerodynamics-Constants</t>
  </si>
  <si>
    <t>Fuselage</t>
  </si>
  <si>
    <t>lF</t>
  </si>
  <si>
    <t>bF</t>
  </si>
  <si>
    <t>k</t>
  </si>
  <si>
    <t>hF</t>
  </si>
  <si>
    <t>DF</t>
  </si>
  <si>
    <t>SwetF</t>
  </si>
  <si>
    <t>RecoffF</t>
  </si>
  <si>
    <t>FF</t>
  </si>
  <si>
    <t>Q</t>
  </si>
  <si>
    <t>Amax</t>
  </si>
  <si>
    <t>u</t>
  </si>
  <si>
    <t>DCDu</t>
  </si>
  <si>
    <t>CfF</t>
  </si>
  <si>
    <t>ch</t>
  </si>
  <si>
    <t>bh</t>
  </si>
  <si>
    <t>Sweth</t>
  </si>
  <si>
    <t>CDpF</t>
  </si>
  <si>
    <t>Cfh</t>
  </si>
  <si>
    <t>cv</t>
  </si>
  <si>
    <t>bv</t>
  </si>
  <si>
    <t>Swetv</t>
  </si>
  <si>
    <t>Recoffh</t>
  </si>
  <si>
    <t>Recoffv</t>
  </si>
  <si>
    <t>All</t>
  </si>
  <si>
    <t>fcor</t>
  </si>
  <si>
    <t>Model</t>
  </si>
  <si>
    <t>Structure</t>
  </si>
  <si>
    <t>Wpayload</t>
  </si>
  <si>
    <t>Wenergy</t>
  </si>
  <si>
    <t>Wsystems</t>
  </si>
  <si>
    <t>Wstructureref</t>
  </si>
  <si>
    <t>Wesc</t>
  </si>
  <si>
    <t>Electric wires</t>
  </si>
  <si>
    <t>Wwire</t>
  </si>
  <si>
    <t>Wprop</t>
  </si>
  <si>
    <t>Model 2</t>
  </si>
  <si>
    <t>Model 1</t>
  </si>
  <si>
    <t>nref</t>
  </si>
  <si>
    <t>Wstructure</t>
  </si>
  <si>
    <t>Wpay_guess</t>
  </si>
  <si>
    <t>Airfoil-RC</t>
  </si>
  <si>
    <t>Aerodynamics-Cruise</t>
  </si>
  <si>
    <t>Airfoil-Cruise</t>
  </si>
  <si>
    <t>Airfoil-Turn</t>
  </si>
  <si>
    <t>Aerodynamics-Turn</t>
  </si>
  <si>
    <t>Kf</t>
  </si>
  <si>
    <t>Load factor</t>
  </si>
  <si>
    <t>W/S</t>
  </si>
  <si>
    <t>N/m2</t>
  </si>
  <si>
    <t>ngust</t>
  </si>
  <si>
    <t>nCLmax</t>
  </si>
  <si>
    <t>Wempty</t>
  </si>
  <si>
    <t>Stability</t>
  </si>
  <si>
    <t>Longitudinal static stability</t>
  </si>
  <si>
    <t>Neutral point</t>
  </si>
  <si>
    <t>Manoeuvre point</t>
  </si>
  <si>
    <t>Limits</t>
  </si>
  <si>
    <t>alpha0a</t>
  </si>
  <si>
    <t>alphaa</t>
  </si>
  <si>
    <t>alpha0h</t>
  </si>
  <si>
    <t>alphah</t>
  </si>
  <si>
    <t>Incidences</t>
  </si>
  <si>
    <t>margin</t>
  </si>
  <si>
    <t>Vh_est</t>
  </si>
  <si>
    <t>kg</t>
  </si>
  <si>
    <t>Wpay_max =</t>
  </si>
  <si>
    <t>c =</t>
  </si>
  <si>
    <t>Wstructure =</t>
  </si>
  <si>
    <t>Remin =</t>
  </si>
  <si>
    <t>Remax =</t>
  </si>
  <si>
    <t>b =</t>
  </si>
  <si>
    <t>Cl =</t>
  </si>
  <si>
    <t>Optimum</t>
  </si>
  <si>
    <t>Descent</t>
  </si>
  <si>
    <t>Aerodynamics-Descent</t>
  </si>
  <si>
    <t>Airfoil-Descent</t>
  </si>
  <si>
    <t>gamma</t>
  </si>
  <si>
    <t>Propulsion-Descent-Variable Throttle</t>
  </si>
  <si>
    <t>comes from Descent</t>
  </si>
  <si>
    <t>RD</t>
  </si>
  <si>
    <t>Jmax</t>
  </si>
  <si>
    <t>etapJmax</t>
  </si>
  <si>
    <t>Re4</t>
  </si>
  <si>
    <t>hend/bwing</t>
  </si>
  <si>
    <t>end plate height/wing span</t>
  </si>
  <si>
    <t>Aeff</t>
  </si>
  <si>
    <t>Aeff/A</t>
  </si>
  <si>
    <t>S_wet_end</t>
  </si>
  <si>
    <t>Recoffend</t>
  </si>
  <si>
    <t>Cfend</t>
  </si>
  <si>
    <t>Wempty =</t>
  </si>
  <si>
    <t>CDpend</t>
  </si>
  <si>
    <t xml:space="preserve"> =</t>
  </si>
  <si>
    <t>Ww/Wstructure</t>
  </si>
  <si>
    <t>Wh/Wstructure</t>
  </si>
  <si>
    <t>Wv/Wstructure</t>
  </si>
  <si>
    <t>Wf/Wstructure</t>
  </si>
  <si>
    <t>Wreceiver</t>
  </si>
  <si>
    <t>Servos</t>
  </si>
  <si>
    <t>Wservos</t>
  </si>
  <si>
    <t>V2/VS</t>
  </si>
  <si>
    <t>alphaTO</t>
  </si>
  <si>
    <t>Vwind</t>
  </si>
  <si>
    <t>heightca</t>
  </si>
  <si>
    <t>dhmax-ve</t>
  </si>
  <si>
    <t>gRC</t>
  </si>
  <si>
    <t>#</t>
  </si>
  <si>
    <t>QPROP</t>
  </si>
  <si>
    <t>Version</t>
  </si>
  <si>
    <t>APC</t>
  </si>
  <si>
    <t>12x6e</t>
  </si>
  <si>
    <t>Axi</t>
  </si>
  <si>
    <t>2820/10</t>
  </si>
  <si>
    <t>Rmotor</t>
  </si>
  <si>
    <t>(Ohms)</t>
  </si>
  <si>
    <t>Io</t>
  </si>
  <si>
    <t>(Amps)</t>
  </si>
  <si>
    <t>(rpm/Volt)</t>
  </si>
  <si>
    <t>=</t>
  </si>
  <si>
    <t>kg/m^3</t>
  </si>
  <si>
    <t>mu</t>
  </si>
  <si>
    <t>kg/m-s</t>
  </si>
  <si>
    <t>V(m/s)</t>
  </si>
  <si>
    <t>Dbeta</t>
  </si>
  <si>
    <t>T(N)</t>
  </si>
  <si>
    <t>Q(N-m)</t>
  </si>
  <si>
    <t>Pshaft(W)</t>
  </si>
  <si>
    <t>Volts</t>
  </si>
  <si>
    <t>Amps</t>
  </si>
  <si>
    <t>effmot</t>
  </si>
  <si>
    <t>effprop</t>
  </si>
  <si>
    <t>adv</t>
  </si>
  <si>
    <t>CT</t>
  </si>
  <si>
    <t>CP</t>
  </si>
  <si>
    <t>DV(m/s)</t>
  </si>
  <si>
    <t>eff</t>
  </si>
  <si>
    <t>Pelec</t>
  </si>
  <si>
    <t>cl_avg</t>
  </si>
  <si>
    <t>cd_avg</t>
  </si>
  <si>
    <t xml:space="preserve"> -5.3095232E+02x6 + 6.7394341E+02x5 - 3.2636235E+02x4 + 7.4091876E+01x3 - 1.1928450E+01x2 + 3.7337273E+00x</t>
  </si>
  <si>
    <t>3.1545190E-02x4 - 1.2301037E-01x3 - 8.2939109E-03x2 + 2.2389396E-03x + 2.3680477E-02</t>
  </si>
  <si>
    <t>Vav</t>
  </si>
  <si>
    <t>Select type of flight mission (1 for Air Cargo Challenge type of mission; 2 for surveillance mission)</t>
  </si>
  <si>
    <t>Sum =</t>
  </si>
  <si>
    <t>Cl^2</t>
  </si>
  <si>
    <t>cend/cwing</t>
  </si>
  <si>
    <t>end plate chord/wing chord</t>
  </si>
  <si>
    <t>in</t>
  </si>
  <si>
    <t>J^2</t>
  </si>
  <si>
    <t>J^3</t>
  </si>
  <si>
    <t>J^4</t>
  </si>
  <si>
    <t>J^5</t>
  </si>
  <si>
    <t>J^6</t>
  </si>
  <si>
    <t>Latero-direccional static stability</t>
  </si>
  <si>
    <t>lamda</t>
  </si>
  <si>
    <t>sweep</t>
  </si>
  <si>
    <t>Vv_est</t>
  </si>
  <si>
    <t>Vvmin</t>
  </si>
  <si>
    <t>npacks</t>
  </si>
  <si>
    <t>Solar Power</t>
  </si>
  <si>
    <t>nc</t>
  </si>
  <si>
    <t>nb</t>
  </si>
  <si>
    <t>Sun factor</t>
  </si>
  <si>
    <t>nS</t>
  </si>
  <si>
    <t>nP</t>
  </si>
  <si>
    <t>Regulator</t>
  </si>
  <si>
    <t>Wreg</t>
  </si>
  <si>
    <t>Solar Cell</t>
  </si>
  <si>
    <t>Ucell</t>
  </si>
  <si>
    <t>Icell</t>
  </si>
  <si>
    <t>Wcell</t>
  </si>
  <si>
    <t>hcell</t>
  </si>
  <si>
    <t>bcell</t>
  </si>
  <si>
    <t>Scell</t>
  </si>
  <si>
    <t>Pcell</t>
  </si>
  <si>
    <t>Select type of extra energy (0 for nothing; 1 for Solar Cells; 2 for Fuell Cell; 3 for Piston/Alternator)</t>
  </si>
  <si>
    <t>Piston/Alternator</t>
  </si>
  <si>
    <t>Piston Engine</t>
  </si>
  <si>
    <t>Alternator</t>
  </si>
  <si>
    <t>Weng</t>
  </si>
  <si>
    <t>Walt</t>
  </si>
  <si>
    <t>etaalt</t>
  </si>
  <si>
    <t>kg/Ws</t>
  </si>
  <si>
    <t>rho fuel</t>
  </si>
  <si>
    <t>Palt</t>
  </si>
  <si>
    <t>Preg</t>
  </si>
  <si>
    <t>Peng</t>
  </si>
  <si>
    <t>mfuel</t>
  </si>
  <si>
    <t>Wfuel</t>
  </si>
  <si>
    <t>Vfuel</t>
  </si>
  <si>
    <t>l</t>
  </si>
  <si>
    <t>kg/l</t>
  </si>
  <si>
    <t>ncell</t>
  </si>
  <si>
    <t>Emission</t>
  </si>
  <si>
    <t>Discharge</t>
  </si>
  <si>
    <t>nPsuggested</t>
  </si>
  <si>
    <t>Energy</t>
  </si>
  <si>
    <t>B</t>
  </si>
  <si>
    <t>Sellected</t>
  </si>
  <si>
    <t>ccell</t>
  </si>
  <si>
    <t>Scellsuggested</t>
  </si>
  <si>
    <t>We</t>
  </si>
  <si>
    <t xml:space="preserve">c = </t>
  </si>
  <si>
    <t>Mínimo</t>
  </si>
  <si>
    <t>TITLE = "Parametric Study"</t>
  </si>
  <si>
    <t>VARIABLES =</t>
  </si>
  <si>
    <t>objective,</t>
  </si>
  <si>
    <t>W,</t>
  </si>
  <si>
    <t>L/D,</t>
  </si>
  <si>
    <t>ZONE T=</t>
  </si>
  <si>
    <t>"</t>
  </si>
  <si>
    <t>I=</t>
  </si>
  <si>
    <t>J=</t>
  </si>
  <si>
    <t>"Optimum"</t>
  </si>
  <si>
    <t>"Maximum L/D"</t>
  </si>
  <si>
    <t>"V constraint"</t>
  </si>
  <si>
    <t>"VS constraint"</t>
  </si>
  <si>
    <t>"W constraint"</t>
  </si>
  <si>
    <t>"Minimum Prequired"</t>
  </si>
  <si>
    <t>b,</t>
  </si>
  <si>
    <t>c,</t>
  </si>
  <si>
    <t>materials factor</t>
  </si>
  <si>
    <t>(t/c)ref</t>
  </si>
  <si>
    <t>4 for Energy</t>
  </si>
  <si>
    <t>3 for W</t>
  </si>
  <si>
    <t>2 for L/D</t>
  </si>
  <si>
    <t>1 for Pelectric</t>
  </si>
  <si>
    <t>Solar</t>
  </si>
  <si>
    <t>Hybrid</t>
  </si>
  <si>
    <t>(cost/E)bat</t>
  </si>
  <si>
    <t>euro/Wh</t>
  </si>
  <si>
    <t>Price</t>
  </si>
  <si>
    <t>euro</t>
  </si>
  <si>
    <t>Cost</t>
  </si>
  <si>
    <t>euro/l</t>
  </si>
  <si>
    <t>System Cost</t>
  </si>
  <si>
    <t>Fuel Cost</t>
  </si>
  <si>
    <t>Energy,</t>
  </si>
  <si>
    <t>Initialize f (0=no; 1=yes)</t>
  </si>
  <si>
    <t>(cost/S)cell</t>
  </si>
  <si>
    <t>euro/m2</t>
  </si>
  <si>
    <t>lfref</t>
  </si>
  <si>
    <t>lf</t>
  </si>
  <si>
    <t>DWf</t>
  </si>
  <si>
    <t>Cdprest</t>
  </si>
  <si>
    <t>etareg</t>
  </si>
  <si>
    <t>Price fuel</t>
  </si>
  <si>
    <t>(E/N)bat</t>
  </si>
  <si>
    <t>L^(3/2)/D,</t>
  </si>
  <si>
    <t>airfoil factor</t>
  </si>
  <si>
    <t>W_payload,</t>
  </si>
  <si>
    <t>W_structure,</t>
  </si>
  <si>
    <t>W_empty,</t>
  </si>
  <si>
    <t>W_energy,</t>
  </si>
  <si>
    <t>L_cruise,</t>
  </si>
  <si>
    <t>D_cruise,</t>
  </si>
  <si>
    <t>V_cruise,</t>
  </si>
  <si>
    <t>V_stall,</t>
  </si>
  <si>
    <t>Cl_cruise,</t>
  </si>
  <si>
    <t>P_required,</t>
  </si>
  <si>
    <t>P_electric,</t>
  </si>
  <si>
    <t>Re_cruise,</t>
  </si>
  <si>
    <t>Cost_energy,</t>
  </si>
  <si>
    <t>Re_takeoff,</t>
  </si>
  <si>
    <t>RC,</t>
  </si>
  <si>
    <t>f_cruise,</t>
  </si>
  <si>
    <t>S,</t>
  </si>
  <si>
    <t>A,</t>
  </si>
  <si>
    <t>I_cruise,</t>
  </si>
  <si>
    <t>I_takeoff,</t>
  </si>
  <si>
    <t>n,</t>
  </si>
  <si>
    <t>Vh,</t>
  </si>
  <si>
    <t>Vv,</t>
  </si>
  <si>
    <t>CLh,</t>
  </si>
  <si>
    <t>S_accel,</t>
  </si>
  <si>
    <t>S_cell,</t>
  </si>
  <si>
    <t>S_cell</t>
  </si>
  <si>
    <t>Av Sun factor</t>
  </si>
  <si>
    <t>Min sun factor</t>
  </si>
  <si>
    <t>t_balance</t>
  </si>
  <si>
    <t>t_guess</t>
  </si>
  <si>
    <t>E_climb</t>
  </si>
  <si>
    <t>E_cruise</t>
  </si>
  <si>
    <t>P_cruise</t>
  </si>
  <si>
    <t>Solar Energy</t>
  </si>
  <si>
    <t>Climb</t>
  </si>
  <si>
    <t>NOAA Solar Calculations - Change any of the highlighted cells to get solar position data for that location and date.</t>
  </si>
  <si>
    <t>Date</t>
  </si>
  <si>
    <t>Time (past local midnight)</t>
  </si>
  <si>
    <t>Julian Day</t>
  </si>
  <si>
    <t>Julian Century</t>
  </si>
  <si>
    <t>Geom Mean Long Sun (deg)</t>
  </si>
  <si>
    <t>Geom Mean Anom Sun (deg)</t>
  </si>
  <si>
    <t>Eccent Earth Orbit</t>
  </si>
  <si>
    <t>Sun Eq of Ctr</t>
  </si>
  <si>
    <t>Sun True Long (deg)</t>
  </si>
  <si>
    <t>Sun True Anom (deg)</t>
  </si>
  <si>
    <t>Sun Rad Vector (AUs)</t>
  </si>
  <si>
    <t>Sun App Long (deg)</t>
  </si>
  <si>
    <t>Mean Obliq Ecliptic (deg)</t>
  </si>
  <si>
    <t>Obliq Corr (deg)</t>
  </si>
  <si>
    <t>Sun Rt Ascen (deg)</t>
  </si>
  <si>
    <t>Sun Declin (deg)</t>
  </si>
  <si>
    <t>var y</t>
  </si>
  <si>
    <t>Eq of Time (minutes)</t>
  </si>
  <si>
    <t>HA Sunrise (deg)</t>
  </si>
  <si>
    <t>Solar Noon (LST)</t>
  </si>
  <si>
    <t>Sunrise Time (LST)</t>
  </si>
  <si>
    <t>Sunset Time (LST)</t>
  </si>
  <si>
    <t>Sunlight Duration (minutes)</t>
  </si>
  <si>
    <t>True Solar Time (min)</t>
  </si>
  <si>
    <t>Hour Angle (deg)</t>
  </si>
  <si>
    <t>Solar Zenith Angle (deg)</t>
  </si>
  <si>
    <t>Solar Elevation Angle (deg)</t>
  </si>
  <si>
    <t>Approx Atmospheric Refraction (deg)</t>
  </si>
  <si>
    <t>Solar Elevation corrected for atm refraction (deg)</t>
  </si>
  <si>
    <t>Solar Azimuth Angle (deg cw from N)</t>
  </si>
  <si>
    <t>Time, day (past local midnight)</t>
  </si>
  <si>
    <t>Sun power index</t>
  </si>
  <si>
    <t>Sun Power index accumulated, h</t>
  </si>
  <si>
    <t>Latitude (+ to N)</t>
  </si>
  <si>
    <t>Longitude (+ to E)</t>
  </si>
  <si>
    <t>Time Zone (+ to E)</t>
  </si>
  <si>
    <t>Time, h</t>
  </si>
  <si>
    <t>Energy used</t>
  </si>
  <si>
    <t>Fuell Cell</t>
  </si>
  <si>
    <t>Fuel Cell</t>
  </si>
  <si>
    <t>(cost/W)cell</t>
  </si>
  <si>
    <t>Ccell</t>
  </si>
  <si>
    <t>(E/N)cell</t>
  </si>
  <si>
    <t>comes from Aerodynamics-RC</t>
  </si>
  <si>
    <t>Propulsion-RC-Variable Throttle</t>
  </si>
  <si>
    <t>Airfoil-Rcmax</t>
  </si>
  <si>
    <t>Aerodynamics-Rcmax</t>
  </si>
  <si>
    <t>euro/N</t>
  </si>
  <si>
    <t>PFCell</t>
  </si>
  <si>
    <t>E/W</t>
  </si>
  <si>
    <t>Fav</t>
  </si>
  <si>
    <t>aav</t>
  </si>
  <si>
    <t>Cl factor</t>
  </si>
  <si>
    <t>A11</t>
  </si>
  <si>
    <t>A12</t>
  </si>
  <si>
    <t>A13</t>
  </si>
  <si>
    <t>A14</t>
  </si>
  <si>
    <t>A21</t>
  </si>
  <si>
    <t>A22</t>
  </si>
  <si>
    <t>A23</t>
  </si>
  <si>
    <t>A24</t>
  </si>
  <si>
    <t>A31</t>
  </si>
  <si>
    <t>A32</t>
  </si>
  <si>
    <t>A33</t>
  </si>
  <si>
    <t>X^2</t>
  </si>
  <si>
    <t>X^3</t>
  </si>
  <si>
    <t>X^2Y</t>
  </si>
  <si>
    <t>X^3Y</t>
  </si>
  <si>
    <t>X^4</t>
  </si>
  <si>
    <t>X^5</t>
  </si>
  <si>
    <t>X^6</t>
  </si>
  <si>
    <t>d</t>
  </si>
  <si>
    <t>B11</t>
  </si>
  <si>
    <t>B12</t>
  </si>
  <si>
    <t>B13</t>
  </si>
  <si>
    <t>B21</t>
  </si>
  <si>
    <t>B22</t>
  </si>
  <si>
    <t>B23</t>
  </si>
  <si>
    <t>A34</t>
  </si>
  <si>
    <t>Ereq</t>
  </si>
  <si>
    <t>Eava</t>
  </si>
  <si>
    <t>Eext</t>
  </si>
  <si>
    <t>tbal</t>
  </si>
  <si>
    <t>Ebal</t>
  </si>
  <si>
    <t>Balance</t>
  </si>
  <si>
    <t>Systems</t>
  </si>
  <si>
    <t>Pservos</t>
  </si>
  <si>
    <t>Video System</t>
  </si>
  <si>
    <t>Preceiver</t>
  </si>
  <si>
    <t>Wvideo</t>
  </si>
  <si>
    <t>Pvideo</t>
  </si>
  <si>
    <t>RC System</t>
  </si>
  <si>
    <t>Wlongrange</t>
  </si>
  <si>
    <t>Plongrange</t>
  </si>
  <si>
    <t>Wantenna</t>
  </si>
  <si>
    <t>Pantenna</t>
  </si>
  <si>
    <t>AutoPilot System</t>
  </si>
  <si>
    <t>Wauto</t>
  </si>
  <si>
    <t>Pauto</t>
  </si>
  <si>
    <t>nbat</t>
  </si>
  <si>
    <t>Airfoil-Speed</t>
  </si>
  <si>
    <t>Aerodynamics-Speed</t>
  </si>
  <si>
    <t>Propulsion-Speed-Fixed Throttle</t>
  </si>
  <si>
    <t>Vsuggested</t>
  </si>
  <si>
    <t>Cl_estimate</t>
  </si>
  <si>
    <t>V_max,</t>
  </si>
  <si>
    <t>Re_max,</t>
  </si>
  <si>
    <t>Cl^(3/2)/Cd</t>
  </si>
  <si>
    <t>dCd/dCl</t>
  </si>
  <si>
    <t>dCm/dCl</t>
  </si>
  <si>
    <t>alphaClmax</t>
  </si>
  <si>
    <t>Cl-Cl1</t>
  </si>
  <si>
    <t>Cl-Cl2</t>
  </si>
  <si>
    <t>Cl2_line</t>
  </si>
  <si>
    <t>Cl1_line</t>
  </si>
  <si>
    <t>Cl-Cl3</t>
  </si>
  <si>
    <t>Cl3_line</t>
  </si>
  <si>
    <t>Selected</t>
  </si>
  <si>
    <t>SG 6043 spline11-1 DVmin</t>
  </si>
  <si>
    <t>Cd_cor</t>
  </si>
  <si>
    <t>Cd_factor</t>
  </si>
  <si>
    <t>Energy_bat,</t>
  </si>
  <si>
    <t>KA</t>
  </si>
  <si>
    <t>Klamda</t>
  </si>
  <si>
    <t>Cnb0</t>
  </si>
  <si>
    <t>Cnbv</t>
  </si>
  <si>
    <t>CNb_req</t>
  </si>
  <si>
    <t>CLb_req</t>
  </si>
  <si>
    <t>dihedral_est</t>
  </si>
  <si>
    <t>dihedral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</si>
</sst>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"/>
    <numFmt numFmtId="165" formatCode="0.00000"/>
    <numFmt numFmtId="166" formatCode="0.0000"/>
    <numFmt numFmtId="167" formatCode="0.000"/>
    <numFmt numFmtId="168" formatCode="0.0.E+00"/>
    <numFmt numFmtId="169" formatCode="0.0E+00"/>
    <numFmt numFmtId="170" formatCode="0.00000000"/>
    <numFmt numFmtId="171" formatCode="h:mm:ss;@"/>
  </numFmts>
  <fonts count="38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sz val="10"/>
      <name val="Symbol"/>
      <family val="1"/>
      <charset val="2"/>
    </font>
    <font>
      <vertAlign val="subscript"/>
      <sz val="10"/>
      <name val="Symbol"/>
      <family val="1"/>
      <charset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name val="Czcionka tekstu podstawowego"/>
      <family val="2"/>
      <charset val="238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b/>
      <sz val="14"/>
      <color indexed="8"/>
      <name val="Calibri"/>
      <family val="2"/>
    </font>
    <font>
      <sz val="11"/>
      <color theme="1"/>
      <name val="Calibri"/>
      <family val="2"/>
      <scheme val="minor"/>
    </font>
    <font>
      <sz val="9.3000000000000007"/>
      <color rgb="FF00000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3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16" borderId="4" applyNumberFormat="0" applyAlignment="0" applyProtection="0"/>
    <xf numFmtId="0" fontId="8" fillId="0" borderId="5" applyNumberFormat="0" applyFill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0" borderId="0" applyNumberFormat="0" applyBorder="0" applyAlignment="0" applyProtection="0"/>
    <xf numFmtId="0" fontId="9" fillId="4" borderId="0" applyNumberFormat="0" applyBorder="0" applyAlignment="0" applyProtection="0"/>
    <xf numFmtId="0" fontId="10" fillId="7" borderId="4" applyNumberFormat="0" applyAlignment="0" applyProtection="0"/>
    <xf numFmtId="0" fontId="11" fillId="3" borderId="0" applyNumberFormat="0" applyBorder="0" applyAlignment="0" applyProtection="0"/>
    <xf numFmtId="0" fontId="12" fillId="21" borderId="0" applyNumberFormat="0" applyBorder="0" applyAlignment="0" applyProtection="0"/>
    <xf numFmtId="0" fontId="36" fillId="0" borderId="0"/>
    <xf numFmtId="0" fontId="1" fillId="22" borderId="6" applyNumberFormat="0" applyFont="0" applyAlignment="0" applyProtection="0"/>
    <xf numFmtId="0" fontId="13" fillId="16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8" applyNumberFormat="0" applyFill="0" applyAlignment="0" applyProtection="0"/>
    <xf numFmtId="0" fontId="18" fillId="23" borderId="9" applyNumberFormat="0" applyAlignment="0" applyProtection="0"/>
  </cellStyleXfs>
  <cellXfs count="141">
    <xf numFmtId="0" fontId="0" fillId="0" borderId="0" xfId="0"/>
    <xf numFmtId="167" fontId="0" fillId="0" borderId="0" xfId="0" applyNumberFormat="1"/>
    <xf numFmtId="0" fontId="22" fillId="0" borderId="0" xfId="0" applyFont="1"/>
    <xf numFmtId="0" fontId="0" fillId="0" borderId="0" xfId="0" applyAlignment="1">
      <alignment horizontal="left"/>
    </xf>
    <xf numFmtId="11" fontId="0" fillId="0" borderId="0" xfId="0" applyNumberFormat="1"/>
    <xf numFmtId="1" fontId="0" fillId="0" borderId="0" xfId="0" applyNumberFormat="1" applyFill="1"/>
    <xf numFmtId="0" fontId="0" fillId="0" borderId="0" xfId="0" applyFill="1"/>
    <xf numFmtId="0" fontId="0" fillId="24" borderId="0" xfId="0" applyFill="1"/>
    <xf numFmtId="0" fontId="0" fillId="25" borderId="0" xfId="0" applyFill="1"/>
    <xf numFmtId="0" fontId="0" fillId="0" borderId="0" xfId="0" applyAlignment="1">
      <alignment horizontal="center"/>
    </xf>
    <xf numFmtId="166" fontId="0" fillId="0" borderId="0" xfId="0" applyNumberFormat="1"/>
    <xf numFmtId="164" fontId="0" fillId="25" borderId="0" xfId="0" applyNumberFormat="1" applyFill="1"/>
    <xf numFmtId="167" fontId="0" fillId="25" borderId="0" xfId="0" applyNumberFormat="1" applyFill="1"/>
    <xf numFmtId="2" fontId="0" fillId="0" borderId="0" xfId="0" applyNumberFormat="1"/>
    <xf numFmtId="164" fontId="0" fillId="0" borderId="0" xfId="0" applyNumberFormat="1"/>
    <xf numFmtId="166" fontId="0" fillId="25" borderId="0" xfId="0" applyNumberFormat="1" applyFill="1"/>
    <xf numFmtId="167" fontId="0" fillId="0" borderId="0" xfId="0" applyNumberFormat="1" applyFill="1"/>
    <xf numFmtId="0" fontId="24" fillId="0" borderId="0" xfId="0" applyFont="1"/>
    <xf numFmtId="2" fontId="0" fillId="25" borderId="0" xfId="0" applyNumberFormat="1" applyFill="1"/>
    <xf numFmtId="164" fontId="0" fillId="0" borderId="0" xfId="0" applyNumberFormat="1" applyFill="1"/>
    <xf numFmtId="2" fontId="0" fillId="0" borderId="0" xfId="0" applyNumberFormat="1" applyFill="1"/>
    <xf numFmtId="1" fontId="0" fillId="25" borderId="0" xfId="0" applyNumberFormat="1" applyFill="1"/>
    <xf numFmtId="168" fontId="0" fillId="25" borderId="0" xfId="0" applyNumberFormat="1" applyFill="1"/>
    <xf numFmtId="0" fontId="0" fillId="0" borderId="0" xfId="0" applyFill="1" applyAlignment="1">
      <alignment horizontal="center"/>
    </xf>
    <xf numFmtId="0" fontId="25" fillId="0" borderId="0" xfId="0" applyFont="1" applyAlignment="1">
      <alignment horizontal="center"/>
    </xf>
    <xf numFmtId="167" fontId="25" fillId="0" borderId="0" xfId="0" applyNumberFormat="1" applyFont="1"/>
    <xf numFmtId="1" fontId="25" fillId="25" borderId="0" xfId="0" applyNumberFormat="1" applyFont="1" applyFill="1"/>
    <xf numFmtId="169" fontId="0" fillId="0" borderId="0" xfId="0" applyNumberFormat="1"/>
    <xf numFmtId="0" fontId="24" fillId="0" borderId="0" xfId="0" applyFont="1" applyFill="1"/>
    <xf numFmtId="164" fontId="0" fillId="26" borderId="0" xfId="0" applyNumberFormat="1" applyFill="1"/>
    <xf numFmtId="2" fontId="0" fillId="26" borderId="0" xfId="0" applyNumberFormat="1" applyFill="1"/>
    <xf numFmtId="167" fontId="0" fillId="27" borderId="0" xfId="0" applyNumberFormat="1" applyFill="1"/>
    <xf numFmtId="2" fontId="0" fillId="27" borderId="0" xfId="0" applyNumberFormat="1" applyFill="1"/>
    <xf numFmtId="0" fontId="0" fillId="0" borderId="0" xfId="0" applyNumberFormat="1"/>
    <xf numFmtId="2" fontId="0" fillId="0" borderId="0" xfId="0" applyNumberFormat="1" applyAlignment="1">
      <alignment horizontal="center"/>
    </xf>
    <xf numFmtId="0" fontId="1" fillId="0" borderId="0" xfId="0" applyFont="1" applyFill="1"/>
    <xf numFmtId="167" fontId="1" fillId="0" borderId="0" xfId="0" applyNumberFormat="1" applyFont="1" applyFill="1"/>
    <xf numFmtId="0" fontId="1" fillId="0" borderId="0" xfId="0" applyFont="1" applyFill="1" applyAlignment="1">
      <alignment horizontal="center"/>
    </xf>
    <xf numFmtId="2" fontId="1" fillId="0" borderId="0" xfId="0" applyNumberFormat="1" applyFont="1" applyFill="1"/>
    <xf numFmtId="166" fontId="1" fillId="0" borderId="0" xfId="0" applyNumberFormat="1" applyFont="1" applyFill="1"/>
    <xf numFmtId="164" fontId="1" fillId="0" borderId="0" xfId="0" applyNumberFormat="1" applyFont="1" applyFill="1"/>
    <xf numFmtId="1" fontId="1" fillId="0" borderId="0" xfId="0" applyNumberFormat="1" applyFont="1" applyFill="1"/>
    <xf numFmtId="166" fontId="0" fillId="0" borderId="0" xfId="0" applyNumberFormat="1" applyFill="1"/>
    <xf numFmtId="0" fontId="0" fillId="0" borderId="0" xfId="0" applyNumberFormat="1" applyFill="1"/>
    <xf numFmtId="165" fontId="0" fillId="25" borderId="0" xfId="0" applyNumberFormat="1" applyFill="1"/>
    <xf numFmtId="166" fontId="25" fillId="0" borderId="0" xfId="0" applyNumberFormat="1" applyFont="1"/>
    <xf numFmtId="0" fontId="26" fillId="0" borderId="0" xfId="0" applyFont="1"/>
    <xf numFmtId="0" fontId="2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67" fontId="0" fillId="26" borderId="0" xfId="0" applyNumberFormat="1" applyFill="1"/>
    <xf numFmtId="0" fontId="25" fillId="0" borderId="0" xfId="0" applyFont="1"/>
    <xf numFmtId="164" fontId="1" fillId="26" borderId="0" xfId="0" applyNumberFormat="1" applyFont="1" applyFill="1"/>
    <xf numFmtId="169" fontId="0" fillId="25" borderId="0" xfId="0" applyNumberFormat="1" applyFill="1"/>
    <xf numFmtId="0" fontId="25" fillId="0" borderId="0" xfId="0" applyFont="1" applyFill="1"/>
    <xf numFmtId="164" fontId="0" fillId="0" borderId="0" xfId="0" applyNumberFormat="1" applyAlignment="1">
      <alignment horizontal="center"/>
    </xf>
    <xf numFmtId="167" fontId="1" fillId="0" borderId="0" xfId="0" applyNumberFormat="1" applyFont="1" applyFill="1" applyAlignment="1">
      <alignment horizontal="center"/>
    </xf>
    <xf numFmtId="169" fontId="0" fillId="0" borderId="0" xfId="0" applyNumberFormat="1" applyFill="1"/>
    <xf numFmtId="167" fontId="25" fillId="0" borderId="0" xfId="0" applyNumberFormat="1" applyFont="1" applyFill="1"/>
    <xf numFmtId="0" fontId="26" fillId="0" borderId="0" xfId="0" applyFont="1" applyFill="1"/>
    <xf numFmtId="164" fontId="0" fillId="28" borderId="0" xfId="0" applyNumberFormat="1" applyFill="1"/>
    <xf numFmtId="169" fontId="1" fillId="0" borderId="0" xfId="0" applyNumberFormat="1" applyFont="1" applyFill="1"/>
    <xf numFmtId="167" fontId="1" fillId="25" borderId="0" xfId="0" applyNumberFormat="1" applyFont="1" applyFill="1"/>
    <xf numFmtId="2" fontId="0" fillId="29" borderId="0" xfId="0" applyNumberFormat="1" applyFill="1"/>
    <xf numFmtId="167" fontId="0" fillId="29" borderId="0" xfId="0" applyNumberFormat="1" applyFill="1"/>
    <xf numFmtId="0" fontId="26" fillId="0" borderId="0" xfId="0" applyFont="1" applyAlignment="1">
      <alignment horizontal="left"/>
    </xf>
    <xf numFmtId="0" fontId="1" fillId="0" borderId="0" xfId="0" applyFont="1" applyFill="1" applyAlignment="1">
      <alignment horizontal="left"/>
    </xf>
    <xf numFmtId="167" fontId="0" fillId="28" borderId="0" xfId="0" applyNumberFormat="1" applyFill="1"/>
    <xf numFmtId="0" fontId="0" fillId="0" borderId="0" xfId="0" applyFill="1" applyAlignment="1">
      <alignment horizontal="left"/>
    </xf>
    <xf numFmtId="0" fontId="26" fillId="0" borderId="0" xfId="0" applyFont="1" applyFill="1" applyAlignment="1">
      <alignment horizontal="center"/>
    </xf>
    <xf numFmtId="0" fontId="27" fillId="0" borderId="0" xfId="0" applyFont="1"/>
    <xf numFmtId="0" fontId="0" fillId="0" borderId="0" xfId="0" applyFont="1" applyFill="1" applyAlignment="1">
      <alignment horizontal="center"/>
    </xf>
    <xf numFmtId="0" fontId="26" fillId="0" borderId="0" xfId="0" applyFont="1" applyFill="1" applyAlignment="1">
      <alignment horizontal="left"/>
    </xf>
    <xf numFmtId="167" fontId="26" fillId="0" borderId="0" xfId="0" applyNumberFormat="1" applyFont="1" applyFill="1"/>
    <xf numFmtId="167" fontId="27" fillId="0" borderId="0" xfId="0" applyNumberFormat="1" applyFont="1"/>
    <xf numFmtId="11" fontId="0" fillId="0" borderId="0" xfId="0" applyNumberFormat="1" applyFill="1"/>
    <xf numFmtId="0" fontId="22" fillId="0" borderId="0" xfId="0" applyFont="1" applyAlignment="1">
      <alignment horizontal="center"/>
    </xf>
    <xf numFmtId="1" fontId="0" fillId="0" borderId="0" xfId="0" applyNumberFormat="1" applyFill="1" applyAlignment="1">
      <alignment horizontal="center"/>
    </xf>
    <xf numFmtId="0" fontId="0" fillId="0" borderId="0" xfId="0" applyFill="1" applyAlignment="1">
      <alignment horizontal="right"/>
    </xf>
    <xf numFmtId="166" fontId="0" fillId="0" borderId="0" xfId="0" applyNumberFormat="1" applyFill="1" applyAlignment="1">
      <alignment horizontal="right"/>
    </xf>
    <xf numFmtId="0" fontId="22" fillId="0" borderId="0" xfId="0" applyFont="1" applyFill="1" applyAlignment="1">
      <alignment horizontal="right"/>
    </xf>
    <xf numFmtId="0" fontId="0" fillId="30" borderId="0" xfId="0" applyFill="1"/>
    <xf numFmtId="1" fontId="0" fillId="0" borderId="0" xfId="0" applyNumberFormat="1"/>
    <xf numFmtId="165" fontId="0" fillId="0" borderId="0" xfId="0" applyNumberFormat="1" applyFill="1"/>
    <xf numFmtId="0" fontId="26" fillId="0" borderId="0" xfId="0" applyFont="1" applyFill="1" applyAlignment="1">
      <alignment horizontal="right"/>
    </xf>
    <xf numFmtId="166" fontId="0" fillId="30" borderId="0" xfId="0" applyNumberFormat="1" applyFill="1"/>
    <xf numFmtId="167" fontId="1" fillId="29" borderId="0" xfId="0" applyNumberFormat="1" applyFont="1" applyFill="1"/>
    <xf numFmtId="2" fontId="1" fillId="29" borderId="0" xfId="0" applyNumberFormat="1" applyFont="1" applyFill="1"/>
    <xf numFmtId="2" fontId="0" fillId="30" borderId="0" xfId="0" applyNumberFormat="1" applyFill="1"/>
    <xf numFmtId="167" fontId="0" fillId="30" borderId="0" xfId="0" applyNumberFormat="1" applyFill="1"/>
    <xf numFmtId="0" fontId="26" fillId="25" borderId="0" xfId="0" applyFont="1" applyFill="1"/>
    <xf numFmtId="164" fontId="0" fillId="29" borderId="0" xfId="0" applyNumberFormat="1" applyFill="1"/>
    <xf numFmtId="167" fontId="1" fillId="0" borderId="0" xfId="0" applyNumberFormat="1" applyFont="1" applyFill="1" applyAlignment="1"/>
    <xf numFmtId="0" fontId="0" fillId="30" borderId="0" xfId="0" applyFill="1" applyAlignment="1">
      <alignment horizontal="center"/>
    </xf>
    <xf numFmtId="167" fontId="26" fillId="25" borderId="0" xfId="0" applyNumberFormat="1" applyFont="1" applyFill="1"/>
    <xf numFmtId="0" fontId="28" fillId="0" borderId="0" xfId="0" applyFont="1"/>
    <xf numFmtId="0" fontId="28" fillId="0" borderId="0" xfId="0" applyFont="1" applyAlignment="1">
      <alignment horizontal="center"/>
    </xf>
    <xf numFmtId="2" fontId="26" fillId="25" borderId="0" xfId="0" applyNumberFormat="1" applyFont="1" applyFill="1"/>
    <xf numFmtId="2" fontId="30" fillId="0" borderId="0" xfId="0" applyNumberFormat="1" applyFont="1" applyFill="1"/>
    <xf numFmtId="164" fontId="26" fillId="0" borderId="0" xfId="0" applyNumberFormat="1" applyFont="1" applyFill="1"/>
    <xf numFmtId="167" fontId="0" fillId="0" borderId="0" xfId="0" applyNumberFormat="1" applyAlignment="1">
      <alignment horizontal="center"/>
    </xf>
    <xf numFmtId="0" fontId="31" fillId="0" borderId="0" xfId="0" applyFont="1" applyFill="1"/>
    <xf numFmtId="164" fontId="31" fillId="0" borderId="0" xfId="0" applyNumberFormat="1" applyFont="1" applyFill="1"/>
    <xf numFmtId="1" fontId="31" fillId="0" borderId="0" xfId="0" applyNumberFormat="1" applyFont="1" applyFill="1"/>
    <xf numFmtId="167" fontId="31" fillId="0" borderId="0" xfId="0" applyNumberFormat="1" applyFont="1" applyFill="1"/>
    <xf numFmtId="0" fontId="31" fillId="0" borderId="0" xfId="0" applyFont="1" applyFill="1" applyAlignment="1">
      <alignment horizontal="center"/>
    </xf>
    <xf numFmtId="2" fontId="31" fillId="0" borderId="0" xfId="0" applyNumberFormat="1" applyFont="1" applyFill="1"/>
    <xf numFmtId="167" fontId="0" fillId="31" borderId="0" xfId="0" applyNumberFormat="1" applyFill="1"/>
    <xf numFmtId="167" fontId="31" fillId="31" borderId="0" xfId="0" applyNumberFormat="1" applyFont="1" applyFill="1"/>
    <xf numFmtId="0" fontId="1" fillId="24" borderId="0" xfId="0" applyFont="1" applyFill="1"/>
    <xf numFmtId="0" fontId="0" fillId="0" borderId="0" xfId="0" applyFill="1" applyAlignment="1"/>
    <xf numFmtId="0" fontId="26" fillId="0" borderId="0" xfId="0" applyFont="1" applyFill="1" applyAlignment="1"/>
    <xf numFmtId="0" fontId="36" fillId="0" borderId="0" xfId="35" applyAlignment="1">
      <alignment wrapText="1"/>
    </xf>
    <xf numFmtId="0" fontId="36" fillId="0" borderId="0" xfId="35"/>
    <xf numFmtId="0" fontId="36" fillId="0" borderId="0" xfId="35" applyFill="1"/>
    <xf numFmtId="14" fontId="36" fillId="0" borderId="0" xfId="35" applyNumberFormat="1"/>
    <xf numFmtId="171" fontId="36" fillId="0" borderId="0" xfId="35" applyNumberFormat="1"/>
    <xf numFmtId="2" fontId="36" fillId="0" borderId="0" xfId="35" applyNumberFormat="1"/>
    <xf numFmtId="170" fontId="36" fillId="0" borderId="0" xfId="35" applyNumberFormat="1"/>
    <xf numFmtId="0" fontId="36" fillId="0" borderId="0" xfId="35" applyNumberFormat="1"/>
    <xf numFmtId="166" fontId="36" fillId="0" borderId="0" xfId="35" applyNumberFormat="1"/>
    <xf numFmtId="0" fontId="36" fillId="31" borderId="0" xfId="35" applyFill="1"/>
    <xf numFmtId="167" fontId="36" fillId="0" borderId="0" xfId="35" applyNumberFormat="1"/>
    <xf numFmtId="14" fontId="36" fillId="31" borderId="0" xfId="35" applyNumberFormat="1" applyFill="1"/>
    <xf numFmtId="2" fontId="36" fillId="0" borderId="0" xfId="35" applyNumberFormat="1" applyFill="1"/>
    <xf numFmtId="0" fontId="1" fillId="25" borderId="0" xfId="0" applyFont="1" applyFill="1"/>
    <xf numFmtId="11" fontId="0" fillId="25" borderId="0" xfId="0" applyNumberFormat="1" applyFill="1"/>
    <xf numFmtId="1" fontId="26" fillId="0" borderId="0" xfId="0" applyNumberFormat="1" applyFont="1" applyFill="1"/>
    <xf numFmtId="2" fontId="26" fillId="0" borderId="0" xfId="0" applyNumberFormat="1" applyFont="1" applyFill="1"/>
    <xf numFmtId="167" fontId="26" fillId="31" borderId="0" xfId="0" applyNumberFormat="1" applyFont="1" applyFill="1"/>
    <xf numFmtId="2" fontId="1" fillId="26" borderId="0" xfId="0" applyNumberFormat="1" applyFont="1" applyFill="1"/>
    <xf numFmtId="0" fontId="34" fillId="0" borderId="0" xfId="35" applyFont="1"/>
    <xf numFmtId="164" fontId="36" fillId="0" borderId="0" xfId="35" applyNumberFormat="1"/>
    <xf numFmtId="1" fontId="0" fillId="30" borderId="0" xfId="0" applyNumberFormat="1" applyFill="1"/>
    <xf numFmtId="166" fontId="0" fillId="32" borderId="0" xfId="0" applyNumberFormat="1" applyFill="1"/>
    <xf numFmtId="0" fontId="37" fillId="0" borderId="0" xfId="0" applyFont="1" applyFill="1" applyAlignment="1">
      <alignment horizontal="center" readingOrder="1"/>
    </xf>
    <xf numFmtId="169" fontId="26" fillId="0" borderId="0" xfId="0" applyNumberFormat="1" applyFont="1" applyFill="1"/>
    <xf numFmtId="167" fontId="0" fillId="32" borderId="0" xfId="0" applyNumberFormat="1" applyFill="1"/>
    <xf numFmtId="0" fontId="0" fillId="32" borderId="0" xfId="0" applyFill="1"/>
    <xf numFmtId="167" fontId="0" fillId="33" borderId="0" xfId="0" applyNumberFormat="1" applyFill="1"/>
    <xf numFmtId="0" fontId="35" fillId="0" borderId="0" xfId="35" applyFont="1" applyFill="1" applyAlignment="1">
      <alignment vertical="top" wrapText="1"/>
    </xf>
    <xf numFmtId="0" fontId="36" fillId="0" borderId="0" xfId="35" applyAlignment="1"/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25" builtinId="29" customBuiltin="1"/>
    <cellStyle name="Accent2" xfId="26" builtinId="33" customBuiltin="1"/>
    <cellStyle name="Accent3" xfId="27" builtinId="37" customBuiltin="1"/>
    <cellStyle name="Accent4" xfId="28" builtinId="41" customBuiltin="1"/>
    <cellStyle name="Accent5" xfId="29" builtinId="45" customBuiltin="1"/>
    <cellStyle name="Accent6" xfId="30" builtinId="49" customBuiltin="1"/>
    <cellStyle name="Bad" xfId="33" builtinId="27" customBuiltin="1"/>
    <cellStyle name="Calculation" xfId="23" builtinId="22" customBuiltin="1"/>
    <cellStyle name="Check Cell" xfId="42" builtinId="23" customBuiltin="1"/>
    <cellStyle name="Explanatory Text" xfId="39" builtinId="53" customBuiltin="1"/>
    <cellStyle name="Good" xfId="31" builtinId="26" customBuiltin="1"/>
    <cellStyle name="Heading 1" xfId="19" builtinId="16" customBuiltin="1"/>
    <cellStyle name="Heading 2" xfId="20" builtinId="17" customBuiltin="1"/>
    <cellStyle name="Heading 3" xfId="21" builtinId="18" customBuiltin="1"/>
    <cellStyle name="Heading 4" xfId="22" builtinId="19" customBuiltin="1"/>
    <cellStyle name="Input" xfId="32" builtinId="20" customBuiltin="1"/>
    <cellStyle name="Linked Cell" xfId="24" builtinId="24" customBuiltin="1"/>
    <cellStyle name="Neutral" xfId="34" builtinId="28" customBuiltin="1"/>
    <cellStyle name="Normal" xfId="0" builtinId="0"/>
    <cellStyle name="Normal 2" xfId="35"/>
    <cellStyle name="Note" xfId="36" builtinId="10" customBuiltin="1"/>
    <cellStyle name="Output" xfId="37" builtinId="21" customBuiltin="1"/>
    <cellStyle name="Title" xfId="40" builtinId="15" customBuiltin="1"/>
    <cellStyle name="Total" xfId="41" builtinId="25" customBuiltin="1"/>
    <cellStyle name="Warning Text" xfId="38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2.xml"/><Relationship Id="rId18" Type="http://schemas.openxmlformats.org/officeDocument/2006/relationships/worksheet" Target="worksheets/sheet17.xml"/><Relationship Id="rId26" Type="http://schemas.openxmlformats.org/officeDocument/2006/relationships/worksheet" Target="worksheets/sheet25.xml"/><Relationship Id="rId39" Type="http://schemas.openxmlformats.org/officeDocument/2006/relationships/worksheet" Target="worksheets/sheet38.xml"/><Relationship Id="rId21" Type="http://schemas.openxmlformats.org/officeDocument/2006/relationships/worksheet" Target="worksheets/sheet20.xml"/><Relationship Id="rId34" Type="http://schemas.openxmlformats.org/officeDocument/2006/relationships/worksheet" Target="worksheets/sheet33.xml"/><Relationship Id="rId42" Type="http://schemas.openxmlformats.org/officeDocument/2006/relationships/worksheet" Target="worksheets/sheet41.xml"/><Relationship Id="rId47" Type="http://schemas.openxmlformats.org/officeDocument/2006/relationships/worksheet" Target="worksheets/sheet46.xml"/><Relationship Id="rId50" Type="http://schemas.openxmlformats.org/officeDocument/2006/relationships/worksheet" Target="worksheets/sheet49.xml"/><Relationship Id="rId55" Type="http://schemas.openxmlformats.org/officeDocument/2006/relationships/sharedStrings" Target="sharedStrings.xml"/><Relationship Id="rId7" Type="http://schemas.openxmlformats.org/officeDocument/2006/relationships/chartsheet" Target="chartsheets/sheet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5.xml"/><Relationship Id="rId29" Type="http://schemas.openxmlformats.org/officeDocument/2006/relationships/worksheet" Target="worksheets/sheet28.xml"/><Relationship Id="rId11" Type="http://schemas.openxmlformats.org/officeDocument/2006/relationships/worksheet" Target="worksheets/sheet10.xml"/><Relationship Id="rId24" Type="http://schemas.openxmlformats.org/officeDocument/2006/relationships/worksheet" Target="worksheets/sheet23.xml"/><Relationship Id="rId32" Type="http://schemas.openxmlformats.org/officeDocument/2006/relationships/worksheet" Target="worksheets/sheet31.xml"/><Relationship Id="rId37" Type="http://schemas.openxmlformats.org/officeDocument/2006/relationships/worksheet" Target="worksheets/sheet36.xml"/><Relationship Id="rId40" Type="http://schemas.openxmlformats.org/officeDocument/2006/relationships/worksheet" Target="worksheets/sheet39.xml"/><Relationship Id="rId45" Type="http://schemas.openxmlformats.org/officeDocument/2006/relationships/worksheet" Target="worksheets/sheet44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9.xml"/><Relationship Id="rId19" Type="http://schemas.openxmlformats.org/officeDocument/2006/relationships/worksheet" Target="worksheets/sheet18.xml"/><Relationship Id="rId31" Type="http://schemas.openxmlformats.org/officeDocument/2006/relationships/worksheet" Target="worksheets/sheet30.xml"/><Relationship Id="rId44" Type="http://schemas.openxmlformats.org/officeDocument/2006/relationships/worksheet" Target="worksheets/sheet43.xml"/><Relationship Id="rId52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Relationship Id="rId22" Type="http://schemas.openxmlformats.org/officeDocument/2006/relationships/worksheet" Target="worksheets/sheet21.xml"/><Relationship Id="rId27" Type="http://schemas.openxmlformats.org/officeDocument/2006/relationships/worksheet" Target="worksheets/sheet26.xml"/><Relationship Id="rId30" Type="http://schemas.openxmlformats.org/officeDocument/2006/relationships/worksheet" Target="worksheets/sheet29.xml"/><Relationship Id="rId35" Type="http://schemas.openxmlformats.org/officeDocument/2006/relationships/worksheet" Target="worksheets/sheet34.xml"/><Relationship Id="rId43" Type="http://schemas.openxmlformats.org/officeDocument/2006/relationships/worksheet" Target="worksheets/sheet42.xml"/><Relationship Id="rId48" Type="http://schemas.openxmlformats.org/officeDocument/2006/relationships/worksheet" Target="worksheets/sheet47.xml"/><Relationship Id="rId56" Type="http://schemas.openxmlformats.org/officeDocument/2006/relationships/calcChain" Target="calcChain.xml"/><Relationship Id="rId8" Type="http://schemas.openxmlformats.org/officeDocument/2006/relationships/worksheet" Target="worksheets/sheet7.xml"/><Relationship Id="rId51" Type="http://schemas.openxmlformats.org/officeDocument/2006/relationships/worksheet" Target="worksheets/sheet5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6.xml"/><Relationship Id="rId25" Type="http://schemas.openxmlformats.org/officeDocument/2006/relationships/worksheet" Target="worksheets/sheet24.xml"/><Relationship Id="rId33" Type="http://schemas.openxmlformats.org/officeDocument/2006/relationships/worksheet" Target="worksheets/sheet32.xml"/><Relationship Id="rId38" Type="http://schemas.openxmlformats.org/officeDocument/2006/relationships/worksheet" Target="worksheets/sheet37.xml"/><Relationship Id="rId46" Type="http://schemas.openxmlformats.org/officeDocument/2006/relationships/worksheet" Target="worksheets/sheet45.xml"/><Relationship Id="rId20" Type="http://schemas.openxmlformats.org/officeDocument/2006/relationships/worksheet" Target="worksheets/sheet19.xml"/><Relationship Id="rId41" Type="http://schemas.openxmlformats.org/officeDocument/2006/relationships/worksheet" Target="worksheets/sheet40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4.xml"/><Relationship Id="rId23" Type="http://schemas.openxmlformats.org/officeDocument/2006/relationships/worksheet" Target="worksheets/sheet22.xml"/><Relationship Id="rId28" Type="http://schemas.openxmlformats.org/officeDocument/2006/relationships/worksheet" Target="worksheets/sheet27.xml"/><Relationship Id="rId36" Type="http://schemas.openxmlformats.org/officeDocument/2006/relationships/worksheet" Target="worksheets/sheet35.xml"/><Relationship Id="rId49" Type="http://schemas.openxmlformats.org/officeDocument/2006/relationships/worksheet" Target="worksheets/sheet4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52730886111469"/>
          <c:y val="4.3854899837574443E-2"/>
          <c:w val="0.62429180365333159"/>
          <c:h val="0.89009204114780727"/>
        </c:manualLayout>
      </c:layout>
      <c:scatterChart>
        <c:scatterStyle val="lineMarker"/>
        <c:varyColors val="0"/>
        <c:ser>
          <c:idx val="0"/>
          <c:order val="0"/>
          <c:tx>
            <c:strRef>
              <c:f>Main!$AB$18:$AB$19</c:f>
              <c:strCache>
                <c:ptCount val="1"/>
                <c:pt idx="0">
                  <c:v>Wpay 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Main!$Z$21:$Z$40</c:f>
              <c:numCache>
                <c:formatCode>0,000</c:formatCode>
                <c:ptCount val="20"/>
                <c:pt idx="0">
                  <c:v>1.5</c:v>
                </c:pt>
                <c:pt idx="1">
                  <c:v>1.5789473684210527</c:v>
                </c:pt>
                <c:pt idx="2">
                  <c:v>1.6578947368421053</c:v>
                </c:pt>
                <c:pt idx="3">
                  <c:v>1.736842105263158</c:v>
                </c:pt>
                <c:pt idx="4">
                  <c:v>1.8157894736842106</c:v>
                </c:pt>
                <c:pt idx="5">
                  <c:v>1.8947368421052633</c:v>
                </c:pt>
                <c:pt idx="6">
                  <c:v>1.9736842105263159</c:v>
                </c:pt>
                <c:pt idx="7">
                  <c:v>2.0526315789473686</c:v>
                </c:pt>
                <c:pt idx="8">
                  <c:v>2.1315789473684212</c:v>
                </c:pt>
                <c:pt idx="9">
                  <c:v>2.2105263157894739</c:v>
                </c:pt>
                <c:pt idx="10">
                  <c:v>2.2894736842105265</c:v>
                </c:pt>
                <c:pt idx="11">
                  <c:v>2.3684210526315792</c:v>
                </c:pt>
                <c:pt idx="12">
                  <c:v>2.4473684210526319</c:v>
                </c:pt>
                <c:pt idx="13">
                  <c:v>2.5263157894736845</c:v>
                </c:pt>
                <c:pt idx="14">
                  <c:v>2.6052631578947372</c:v>
                </c:pt>
                <c:pt idx="15">
                  <c:v>2.6842105263157898</c:v>
                </c:pt>
                <c:pt idx="16">
                  <c:v>2.7631578947368425</c:v>
                </c:pt>
                <c:pt idx="17">
                  <c:v>2.8421052631578951</c:v>
                </c:pt>
                <c:pt idx="18">
                  <c:v>2.9210526315789478</c:v>
                </c:pt>
                <c:pt idx="19">
                  <c:v>3</c:v>
                </c:pt>
              </c:numCache>
            </c:numRef>
          </c:xVal>
          <c:yVal>
            <c:numRef>
              <c:f>Main!$AB$21:$AB$40</c:f>
              <c:numCache>
                <c:formatCode>0.00</c:formatCode>
                <c:ptCount val="20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</c:numCache>
            </c:numRef>
          </c:yVal>
          <c:smooth val="0"/>
        </c:ser>
        <c:ser>
          <c:idx val="2"/>
          <c:order val="1"/>
          <c:tx>
            <c:v>Wpaymax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</c:spPr>
          </c:marker>
          <c:xVal>
            <c:numRef>
              <c:f>Main!$Z$42</c:f>
              <c:numCache>
                <c:formatCode>0,000</c:formatCode>
                <c:ptCount val="1"/>
                <c:pt idx="0">
                  <c:v>1.5</c:v>
                </c:pt>
              </c:numCache>
            </c:numRef>
          </c:xVal>
          <c:yVal>
            <c:numRef>
              <c:f>Main!$P$43</c:f>
              <c:numCache>
                <c:formatCode>0.00</c:formatCode>
                <c:ptCount val="1"/>
                <c:pt idx="0">
                  <c:v>10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Main!$P$15:$P$16</c:f>
              <c:strCache>
                <c:ptCount val="1"/>
                <c:pt idx="0">
                  <c:v>Wstructure N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Main!$Z$21:$Z$40</c:f>
              <c:numCache>
                <c:formatCode>0,000</c:formatCode>
                <c:ptCount val="20"/>
                <c:pt idx="0">
                  <c:v>1.5</c:v>
                </c:pt>
                <c:pt idx="1">
                  <c:v>1.5789473684210527</c:v>
                </c:pt>
                <c:pt idx="2">
                  <c:v>1.6578947368421053</c:v>
                </c:pt>
                <c:pt idx="3">
                  <c:v>1.736842105263158</c:v>
                </c:pt>
                <c:pt idx="4">
                  <c:v>1.8157894736842106</c:v>
                </c:pt>
                <c:pt idx="5">
                  <c:v>1.8947368421052633</c:v>
                </c:pt>
                <c:pt idx="6">
                  <c:v>1.9736842105263159</c:v>
                </c:pt>
                <c:pt idx="7">
                  <c:v>2.0526315789473686</c:v>
                </c:pt>
                <c:pt idx="8">
                  <c:v>2.1315789473684212</c:v>
                </c:pt>
                <c:pt idx="9">
                  <c:v>2.2105263157894739</c:v>
                </c:pt>
                <c:pt idx="10">
                  <c:v>2.2894736842105265</c:v>
                </c:pt>
                <c:pt idx="11">
                  <c:v>2.3684210526315792</c:v>
                </c:pt>
                <c:pt idx="12">
                  <c:v>2.4473684210526319</c:v>
                </c:pt>
                <c:pt idx="13">
                  <c:v>2.5263157894736845</c:v>
                </c:pt>
                <c:pt idx="14">
                  <c:v>2.6052631578947372</c:v>
                </c:pt>
                <c:pt idx="15">
                  <c:v>2.6842105263157898</c:v>
                </c:pt>
                <c:pt idx="16">
                  <c:v>2.7631578947368425</c:v>
                </c:pt>
                <c:pt idx="17">
                  <c:v>2.8421052631578951</c:v>
                </c:pt>
                <c:pt idx="18">
                  <c:v>2.9210526315789478</c:v>
                </c:pt>
                <c:pt idx="19">
                  <c:v>3</c:v>
                </c:pt>
              </c:numCache>
            </c:numRef>
          </c:xVal>
          <c:yVal>
            <c:numRef>
              <c:f>Main!$P$21:$P$40</c:f>
              <c:numCache>
                <c:formatCode>0.00</c:formatCode>
                <c:ptCount val="20"/>
                <c:pt idx="0">
                  <c:v>12.936304787762779</c:v>
                </c:pt>
                <c:pt idx="1">
                  <c:v>13.331749770175321</c:v>
                </c:pt>
                <c:pt idx="2">
                  <c:v>13.728526792350607</c:v>
                </c:pt>
                <c:pt idx="3">
                  <c:v>13.606633496805074</c:v>
                </c:pt>
                <c:pt idx="4">
                  <c:v>13.991561787663755</c:v>
                </c:pt>
                <c:pt idx="5">
                  <c:v>14.378844052331161</c:v>
                </c:pt>
                <c:pt idx="6">
                  <c:v>14.768727993481406</c:v>
                </c:pt>
                <c:pt idx="7">
                  <c:v>15.124613703568272</c:v>
                </c:pt>
                <c:pt idx="8">
                  <c:v>15.416722860522214</c:v>
                </c:pt>
                <c:pt idx="9">
                  <c:v>15.716563898319222</c:v>
                </c:pt>
                <c:pt idx="10">
                  <c:v>16.023675886546343</c:v>
                </c:pt>
                <c:pt idx="11">
                  <c:v>16.33767874810853</c:v>
                </c:pt>
                <c:pt idx="12">
                  <c:v>16.658255827899268</c:v>
                </c:pt>
                <c:pt idx="13">
                  <c:v>16.985063575430246</c:v>
                </c:pt>
                <c:pt idx="14">
                  <c:v>17.317573760430506</c:v>
                </c:pt>
                <c:pt idx="15">
                  <c:v>17.656010351910766</c:v>
                </c:pt>
                <c:pt idx="16">
                  <c:v>18.000202945947677</c:v>
                </c:pt>
                <c:pt idx="17">
                  <c:v>18.350004457882292</c:v>
                </c:pt>
                <c:pt idx="18">
                  <c:v>18.705287293859811</c:v>
                </c:pt>
                <c:pt idx="19">
                  <c:v>17.381810212025215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Weight!$V$18:$V$19</c:f>
              <c:strCache>
                <c:ptCount val="1"/>
                <c:pt idx="0">
                  <c:v>Wempty N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Main!$Z$21:$Z$40</c:f>
              <c:numCache>
                <c:formatCode>0,000</c:formatCode>
                <c:ptCount val="20"/>
                <c:pt idx="0">
                  <c:v>1.5</c:v>
                </c:pt>
                <c:pt idx="1">
                  <c:v>1.5789473684210527</c:v>
                </c:pt>
                <c:pt idx="2">
                  <c:v>1.6578947368421053</c:v>
                </c:pt>
                <c:pt idx="3">
                  <c:v>1.736842105263158</c:v>
                </c:pt>
                <c:pt idx="4">
                  <c:v>1.8157894736842106</c:v>
                </c:pt>
                <c:pt idx="5">
                  <c:v>1.8947368421052633</c:v>
                </c:pt>
                <c:pt idx="6">
                  <c:v>1.9736842105263159</c:v>
                </c:pt>
                <c:pt idx="7">
                  <c:v>2.0526315789473686</c:v>
                </c:pt>
                <c:pt idx="8">
                  <c:v>2.1315789473684212</c:v>
                </c:pt>
                <c:pt idx="9">
                  <c:v>2.2105263157894739</c:v>
                </c:pt>
                <c:pt idx="10">
                  <c:v>2.2894736842105265</c:v>
                </c:pt>
                <c:pt idx="11">
                  <c:v>2.3684210526315792</c:v>
                </c:pt>
                <c:pt idx="12">
                  <c:v>2.4473684210526319</c:v>
                </c:pt>
                <c:pt idx="13">
                  <c:v>2.5263157894736845</c:v>
                </c:pt>
                <c:pt idx="14">
                  <c:v>2.6052631578947372</c:v>
                </c:pt>
                <c:pt idx="15">
                  <c:v>2.6842105263157898</c:v>
                </c:pt>
                <c:pt idx="16">
                  <c:v>2.7631578947368425</c:v>
                </c:pt>
                <c:pt idx="17">
                  <c:v>2.8421052631578951</c:v>
                </c:pt>
                <c:pt idx="18">
                  <c:v>2.9210526315789478</c:v>
                </c:pt>
                <c:pt idx="19">
                  <c:v>3</c:v>
                </c:pt>
              </c:numCache>
            </c:numRef>
          </c:xVal>
          <c:yVal>
            <c:numRef>
              <c:f>Weight!$V$21:$V$40</c:f>
              <c:numCache>
                <c:formatCode>0.00</c:formatCode>
                <c:ptCount val="20"/>
                <c:pt idx="0">
                  <c:v>119.60277124897891</c:v>
                </c:pt>
                <c:pt idx="1">
                  <c:v>121.99424477474008</c:v>
                </c:pt>
                <c:pt idx="2">
                  <c:v>124.24051129311465</c:v>
                </c:pt>
                <c:pt idx="3">
                  <c:v>116.40792205792529</c:v>
                </c:pt>
                <c:pt idx="4">
                  <c:v>118.23739388388455</c:v>
                </c:pt>
                <c:pt idx="5">
                  <c:v>119.96953292057736</c:v>
                </c:pt>
                <c:pt idx="6">
                  <c:v>121.61371211431475</c:v>
                </c:pt>
                <c:pt idx="7">
                  <c:v>122.52501256805863</c:v>
                </c:pt>
                <c:pt idx="8">
                  <c:v>122.22241873545346</c:v>
                </c:pt>
                <c:pt idx="9">
                  <c:v>121.99460630452538</c:v>
                </c:pt>
                <c:pt idx="10">
                  <c:v>121.83112185391033</c:v>
                </c:pt>
                <c:pt idx="11">
                  <c:v>121.72349764097771</c:v>
                </c:pt>
                <c:pt idx="12">
                  <c:v>121.66480106713556</c:v>
                </c:pt>
                <c:pt idx="13">
                  <c:v>121.64808624850315</c:v>
                </c:pt>
                <c:pt idx="14">
                  <c:v>121.66397514878656</c:v>
                </c:pt>
                <c:pt idx="15">
                  <c:v>121.71508343629725</c:v>
                </c:pt>
                <c:pt idx="16">
                  <c:v>121.79789717068391</c:v>
                </c:pt>
                <c:pt idx="17">
                  <c:v>121.9094250607543</c:v>
                </c:pt>
                <c:pt idx="18">
                  <c:v>122.04710507719955</c:v>
                </c:pt>
                <c:pt idx="19">
                  <c:v>99.477974996605568</c:v>
                </c:pt>
              </c:numCache>
            </c:numRef>
          </c:yVal>
          <c:smooth val="0"/>
        </c:ser>
        <c:ser>
          <c:idx val="1"/>
          <c:order val="4"/>
          <c:tx>
            <c:strRef>
              <c:f>Main!$AC$18:$AC$19</c:f>
              <c:strCache>
                <c:ptCount val="1"/>
                <c:pt idx="0">
                  <c:v>W N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Main!$Z$21:$Z$40</c:f>
              <c:numCache>
                <c:formatCode>0,000</c:formatCode>
                <c:ptCount val="20"/>
                <c:pt idx="0">
                  <c:v>1.5</c:v>
                </c:pt>
                <c:pt idx="1">
                  <c:v>1.5789473684210527</c:v>
                </c:pt>
                <c:pt idx="2">
                  <c:v>1.6578947368421053</c:v>
                </c:pt>
                <c:pt idx="3">
                  <c:v>1.736842105263158</c:v>
                </c:pt>
                <c:pt idx="4">
                  <c:v>1.8157894736842106</c:v>
                </c:pt>
                <c:pt idx="5">
                  <c:v>1.8947368421052633</c:v>
                </c:pt>
                <c:pt idx="6">
                  <c:v>1.9736842105263159</c:v>
                </c:pt>
                <c:pt idx="7">
                  <c:v>2.0526315789473686</c:v>
                </c:pt>
                <c:pt idx="8">
                  <c:v>2.1315789473684212</c:v>
                </c:pt>
                <c:pt idx="9">
                  <c:v>2.2105263157894739</c:v>
                </c:pt>
                <c:pt idx="10">
                  <c:v>2.2894736842105265</c:v>
                </c:pt>
                <c:pt idx="11">
                  <c:v>2.3684210526315792</c:v>
                </c:pt>
                <c:pt idx="12">
                  <c:v>2.4473684210526319</c:v>
                </c:pt>
                <c:pt idx="13">
                  <c:v>2.5263157894736845</c:v>
                </c:pt>
                <c:pt idx="14">
                  <c:v>2.6052631578947372</c:v>
                </c:pt>
                <c:pt idx="15">
                  <c:v>2.6842105263157898</c:v>
                </c:pt>
                <c:pt idx="16">
                  <c:v>2.7631578947368425</c:v>
                </c:pt>
                <c:pt idx="17">
                  <c:v>2.8421052631578951</c:v>
                </c:pt>
                <c:pt idx="18">
                  <c:v>2.9210526315789478</c:v>
                </c:pt>
                <c:pt idx="19">
                  <c:v>3</c:v>
                </c:pt>
              </c:numCache>
            </c:numRef>
          </c:xVal>
          <c:yVal>
            <c:numRef>
              <c:f>Main!$AC$21:$AC$40</c:f>
              <c:numCache>
                <c:formatCode>0.00</c:formatCode>
                <c:ptCount val="20"/>
                <c:pt idx="0">
                  <c:v>129.60277124897891</c:v>
                </c:pt>
                <c:pt idx="1">
                  <c:v>131.99424477474008</c:v>
                </c:pt>
                <c:pt idx="2">
                  <c:v>134.24051129311465</c:v>
                </c:pt>
                <c:pt idx="3">
                  <c:v>126.40792205792529</c:v>
                </c:pt>
                <c:pt idx="4">
                  <c:v>128.23739388388455</c:v>
                </c:pt>
                <c:pt idx="5">
                  <c:v>129.96953292057736</c:v>
                </c:pt>
                <c:pt idx="6">
                  <c:v>131.61371211431475</c:v>
                </c:pt>
                <c:pt idx="7">
                  <c:v>132.52501256805863</c:v>
                </c:pt>
                <c:pt idx="8">
                  <c:v>132.22241873545346</c:v>
                </c:pt>
                <c:pt idx="9">
                  <c:v>131.99460630452538</c:v>
                </c:pt>
                <c:pt idx="10">
                  <c:v>131.83112185391033</c:v>
                </c:pt>
                <c:pt idx="11">
                  <c:v>131.72349764097771</c:v>
                </c:pt>
                <c:pt idx="12">
                  <c:v>131.66480106713556</c:v>
                </c:pt>
                <c:pt idx="13">
                  <c:v>131.64808624850315</c:v>
                </c:pt>
                <c:pt idx="14">
                  <c:v>131.66397514878656</c:v>
                </c:pt>
                <c:pt idx="15">
                  <c:v>131.71508343629725</c:v>
                </c:pt>
                <c:pt idx="16">
                  <c:v>131.79789717068391</c:v>
                </c:pt>
                <c:pt idx="17">
                  <c:v>131.9094250607543</c:v>
                </c:pt>
                <c:pt idx="18">
                  <c:v>132.04710507719955</c:v>
                </c:pt>
                <c:pt idx="19">
                  <c:v>109.47797499660557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Weight!$I$18:$I$19</c:f>
              <c:strCache>
                <c:ptCount val="1"/>
                <c:pt idx="0">
                  <c:v>Wenergy N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xVal>
            <c:numRef>
              <c:f>Main!$Z$21:$Z$40</c:f>
              <c:numCache>
                <c:formatCode>0,000</c:formatCode>
                <c:ptCount val="20"/>
                <c:pt idx="0">
                  <c:v>1.5</c:v>
                </c:pt>
                <c:pt idx="1">
                  <c:v>1.5789473684210527</c:v>
                </c:pt>
                <c:pt idx="2">
                  <c:v>1.6578947368421053</c:v>
                </c:pt>
                <c:pt idx="3">
                  <c:v>1.736842105263158</c:v>
                </c:pt>
                <c:pt idx="4">
                  <c:v>1.8157894736842106</c:v>
                </c:pt>
                <c:pt idx="5">
                  <c:v>1.8947368421052633</c:v>
                </c:pt>
                <c:pt idx="6">
                  <c:v>1.9736842105263159</c:v>
                </c:pt>
                <c:pt idx="7">
                  <c:v>2.0526315789473686</c:v>
                </c:pt>
                <c:pt idx="8">
                  <c:v>2.1315789473684212</c:v>
                </c:pt>
                <c:pt idx="9">
                  <c:v>2.2105263157894739</c:v>
                </c:pt>
                <c:pt idx="10">
                  <c:v>2.2894736842105265</c:v>
                </c:pt>
                <c:pt idx="11">
                  <c:v>2.3684210526315792</c:v>
                </c:pt>
                <c:pt idx="12">
                  <c:v>2.4473684210526319</c:v>
                </c:pt>
                <c:pt idx="13">
                  <c:v>2.5263157894736845</c:v>
                </c:pt>
                <c:pt idx="14">
                  <c:v>2.6052631578947372</c:v>
                </c:pt>
                <c:pt idx="15">
                  <c:v>2.6842105263157898</c:v>
                </c:pt>
                <c:pt idx="16">
                  <c:v>2.7631578947368425</c:v>
                </c:pt>
                <c:pt idx="17">
                  <c:v>2.8421052631578951</c:v>
                </c:pt>
                <c:pt idx="18">
                  <c:v>2.9210526315789478</c:v>
                </c:pt>
                <c:pt idx="19">
                  <c:v>3</c:v>
                </c:pt>
              </c:numCache>
            </c:numRef>
          </c:xVal>
          <c:yVal>
            <c:numRef>
              <c:f>Weight!$I$21:$I$40</c:f>
              <c:numCache>
                <c:formatCode>0.00</c:formatCode>
                <c:ptCount val="20"/>
                <c:pt idx="0">
                  <c:v>96.606108186222428</c:v>
                </c:pt>
                <c:pt idx="1">
                  <c:v>98.602136729572237</c:v>
                </c:pt>
                <c:pt idx="2">
                  <c:v>100.45162622577277</c:v>
                </c:pt>
                <c:pt idx="3">
                  <c:v>92.740930286131501</c:v>
                </c:pt>
                <c:pt idx="4">
                  <c:v>94.185473821233572</c:v>
                </c:pt>
                <c:pt idx="5">
                  <c:v>95.530330593260601</c:v>
                </c:pt>
                <c:pt idx="6">
                  <c:v>96.784625845849192</c:v>
                </c:pt>
                <c:pt idx="7">
                  <c:v>97.340040589559038</c:v>
                </c:pt>
                <c:pt idx="8">
                  <c:v>96.745337600002586</c:v>
                </c:pt>
                <c:pt idx="9">
                  <c:v>96.217684131280151</c:v>
                </c:pt>
                <c:pt idx="10">
                  <c:v>95.747087692440758</c:v>
                </c:pt>
                <c:pt idx="11">
                  <c:v>95.325460617948707</c:v>
                </c:pt>
                <c:pt idx="12">
                  <c:v>94.946186964318969</c:v>
                </c:pt>
                <c:pt idx="13">
                  <c:v>94.602664398159263</c:v>
                </c:pt>
                <c:pt idx="14">
                  <c:v>94.286043113445729</c:v>
                </c:pt>
                <c:pt idx="15">
                  <c:v>93.99871480947948</c:v>
                </c:pt>
                <c:pt idx="16">
                  <c:v>93.737335949832584</c:v>
                </c:pt>
                <c:pt idx="17">
                  <c:v>93.499062327971714</c:v>
                </c:pt>
                <c:pt idx="18">
                  <c:v>93.281459508442836</c:v>
                </c:pt>
                <c:pt idx="19">
                  <c:v>72.035994676904664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329472"/>
        <c:axId val="72330048"/>
      </c:scatterChart>
      <c:scatterChart>
        <c:scatterStyle val="lineMarker"/>
        <c:varyColors val="0"/>
        <c:ser>
          <c:idx val="5"/>
          <c:order val="5"/>
          <c:tx>
            <c:strRef>
              <c:f>'Propulsion-Cruise'!$M$18:$M$19</c:f>
              <c:strCache>
                <c:ptCount val="1"/>
                <c:pt idx="0">
                  <c:v>Pe W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Main!$Z$21:$Z$40</c:f>
              <c:numCache>
                <c:formatCode>0,000</c:formatCode>
                <c:ptCount val="20"/>
                <c:pt idx="0">
                  <c:v>1.5</c:v>
                </c:pt>
                <c:pt idx="1">
                  <c:v>1.5789473684210527</c:v>
                </c:pt>
                <c:pt idx="2">
                  <c:v>1.6578947368421053</c:v>
                </c:pt>
                <c:pt idx="3">
                  <c:v>1.736842105263158</c:v>
                </c:pt>
                <c:pt idx="4">
                  <c:v>1.8157894736842106</c:v>
                </c:pt>
                <c:pt idx="5">
                  <c:v>1.8947368421052633</c:v>
                </c:pt>
                <c:pt idx="6">
                  <c:v>1.9736842105263159</c:v>
                </c:pt>
                <c:pt idx="7">
                  <c:v>2.0526315789473686</c:v>
                </c:pt>
                <c:pt idx="8">
                  <c:v>2.1315789473684212</c:v>
                </c:pt>
                <c:pt idx="9">
                  <c:v>2.2105263157894739</c:v>
                </c:pt>
                <c:pt idx="10">
                  <c:v>2.2894736842105265</c:v>
                </c:pt>
                <c:pt idx="11">
                  <c:v>2.3684210526315792</c:v>
                </c:pt>
                <c:pt idx="12">
                  <c:v>2.4473684210526319</c:v>
                </c:pt>
                <c:pt idx="13">
                  <c:v>2.5263157894736845</c:v>
                </c:pt>
                <c:pt idx="14">
                  <c:v>2.6052631578947372</c:v>
                </c:pt>
                <c:pt idx="15">
                  <c:v>2.6842105263157898</c:v>
                </c:pt>
                <c:pt idx="16">
                  <c:v>2.7631578947368425</c:v>
                </c:pt>
                <c:pt idx="17">
                  <c:v>2.8421052631578951</c:v>
                </c:pt>
                <c:pt idx="18">
                  <c:v>2.9210526315789478</c:v>
                </c:pt>
                <c:pt idx="19">
                  <c:v>3</c:v>
                </c:pt>
              </c:numCache>
            </c:numRef>
          </c:xVal>
          <c:yVal>
            <c:numRef>
              <c:f>'Propulsion-Cruise'!$M$21:$M$40</c:f>
              <c:numCache>
                <c:formatCode>#,#00</c:formatCode>
                <c:ptCount val="20"/>
                <c:pt idx="0">
                  <c:v>299.87269139340134</c:v>
                </c:pt>
                <c:pt idx="1">
                  <c:v>306.53258489662142</c:v>
                </c:pt>
                <c:pt idx="2">
                  <c:v>312.70357364434722</c:v>
                </c:pt>
                <c:pt idx="3">
                  <c:v>331.50896534803536</c:v>
                </c:pt>
                <c:pt idx="4">
                  <c:v>336.36288602539298</c:v>
                </c:pt>
                <c:pt idx="5">
                  <c:v>340.88322226642504</c:v>
                </c:pt>
                <c:pt idx="6">
                  <c:v>345.10044605700836</c:v>
                </c:pt>
                <c:pt idx="7">
                  <c:v>342.3989551550377</c:v>
                </c:pt>
                <c:pt idx="8">
                  <c:v>328.0650685706737</c:v>
                </c:pt>
                <c:pt idx="9">
                  <c:v>315.21082261284903</c:v>
                </c:pt>
                <c:pt idx="10">
                  <c:v>303.6280002552229</c:v>
                </c:pt>
                <c:pt idx="11">
                  <c:v>293.14588953447145</c:v>
                </c:pt>
                <c:pt idx="12">
                  <c:v>283.62314525468543</c:v>
                </c:pt>
                <c:pt idx="13">
                  <c:v>274.9382688323771</c:v>
                </c:pt>
                <c:pt idx="14">
                  <c:v>266.97961279681891</c:v>
                </c:pt>
                <c:pt idx="15">
                  <c:v>259.68185977899549</c:v>
                </c:pt>
                <c:pt idx="16">
                  <c:v>252.9724106949962</c:v>
                </c:pt>
                <c:pt idx="17">
                  <c:v>246.78894735585047</c:v>
                </c:pt>
                <c:pt idx="18">
                  <c:v>241.07767372733406</c:v>
                </c:pt>
                <c:pt idx="19">
                  <c:v>184.02858008731991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330624"/>
        <c:axId val="72331200"/>
      </c:scatterChart>
      <c:valAx>
        <c:axId val="72329472"/>
        <c:scaling>
          <c:orientation val="minMax"/>
        </c:scaling>
        <c:delete val="0"/>
        <c:axPos val="b"/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2330048"/>
        <c:crosses val="autoZero"/>
        <c:crossBetween val="midCat"/>
      </c:valAx>
      <c:valAx>
        <c:axId val="723300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2329472"/>
        <c:crosses val="autoZero"/>
        <c:crossBetween val="midCat"/>
      </c:valAx>
      <c:valAx>
        <c:axId val="72330624"/>
        <c:scaling>
          <c:orientation val="minMax"/>
        </c:scaling>
        <c:delete val="1"/>
        <c:axPos val="b"/>
        <c:numFmt formatCode="0,000" sourceLinked="1"/>
        <c:majorTickMark val="out"/>
        <c:minorTickMark val="none"/>
        <c:tickLblPos val="none"/>
        <c:crossAx val="72331200"/>
        <c:crosses val="autoZero"/>
        <c:crossBetween val="midCat"/>
      </c:valAx>
      <c:valAx>
        <c:axId val="72331200"/>
        <c:scaling>
          <c:orientation val="minMax"/>
        </c:scaling>
        <c:delete val="0"/>
        <c:axPos val="r"/>
        <c:numFmt formatCode="#,#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2330624"/>
        <c:crosses val="max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349783243386749"/>
          <c:y val="0.42197485664610396"/>
          <c:w val="0.21748869031820464"/>
          <c:h val="0.2101912499791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/>
              <a:t>Variação do Cl(l/d)max com o Re</a:t>
            </a:r>
          </a:p>
        </c:rich>
      </c:tx>
      <c:layout>
        <c:manualLayout>
          <c:xMode val="edge"/>
          <c:yMode val="edge"/>
          <c:x val="0.32967027559055129"/>
          <c:y val="3.57004475160029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0390625"/>
          <c:y val="0.2769784172661871"/>
          <c:w val="0.77929687500000011"/>
          <c:h val="0.4676258992805755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wer"/>
            <c:dispRSqr val="0"/>
            <c:dispEq val="1"/>
            <c:trendlineLbl>
              <c:layout>
                <c:manualLayout>
                  <c:x val="9.414914392467337E-2"/>
                  <c:y val="0.31267639715767248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</c:trendlineLbl>
          </c:trendline>
          <c:xVal>
            <c:numRef>
              <c:f>'Airfoil 2'!$B$7:$B$10</c:f>
              <c:numCache>
                <c:formatCode>General</c:formatCode>
                <c:ptCount val="4"/>
                <c:pt idx="0">
                  <c:v>75000</c:v>
                </c:pt>
                <c:pt idx="1">
                  <c:v>100000</c:v>
                </c:pt>
                <c:pt idx="2">
                  <c:v>200000</c:v>
                </c:pt>
                <c:pt idx="3">
                  <c:v>250000</c:v>
                </c:pt>
              </c:numCache>
            </c:numRef>
          </c:xVal>
          <c:yVal>
            <c:numRef>
              <c:f>'Airfoil 2'!$F$7:$F$10</c:f>
              <c:numCache>
                <c:formatCode>0,000</c:formatCode>
                <c:ptCount val="4"/>
                <c:pt idx="0">
                  <c:v>1.3635999999999999</c:v>
                </c:pt>
                <c:pt idx="1">
                  <c:v>1.3777999999999999</c:v>
                </c:pt>
                <c:pt idx="2">
                  <c:v>1.2938000000000001</c:v>
                </c:pt>
                <c:pt idx="3">
                  <c:v>1.294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577600"/>
        <c:axId val="141578176"/>
      </c:scatterChart>
      <c:valAx>
        <c:axId val="1415776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Re</a:t>
                </a:r>
              </a:p>
            </c:rich>
          </c:tx>
          <c:layout>
            <c:manualLayout>
              <c:xMode val="edge"/>
              <c:yMode val="edge"/>
              <c:x val="0.5235939550524934"/>
              <c:y val="0.867516380596310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1578176"/>
        <c:crosses val="autoZero"/>
        <c:crossBetween val="midCat"/>
      </c:valAx>
      <c:valAx>
        <c:axId val="141578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Cl(l/d)max</a:t>
                </a:r>
              </a:p>
            </c:rich>
          </c:tx>
          <c:layout>
            <c:manualLayout>
              <c:xMode val="edge"/>
              <c:yMode val="edge"/>
              <c:x val="3.1027723097112866E-2"/>
              <c:y val="0.46410317415359054"/>
            </c:manualLayout>
          </c:layout>
          <c:overlay val="0"/>
          <c:spPr>
            <a:noFill/>
            <a:ln w="25400">
              <a:noFill/>
            </a:ln>
          </c:spPr>
        </c:title>
        <c:numFmt formatCode="0,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15776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33" r="0.75000000000000033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178300663779541"/>
          <c:y val="7.5225677031093299E-2"/>
          <c:w val="0.5961592984324241"/>
          <c:h val="0.80040120361083256"/>
        </c:manualLayout>
      </c:layout>
      <c:scatterChart>
        <c:scatterStyle val="lineMarker"/>
        <c:varyColors val="0"/>
        <c:ser>
          <c:idx val="0"/>
          <c:order val="0"/>
          <c:tx>
            <c:strRef>
              <c:f>Propulsão!$AC$14:$AC$16</c:f>
              <c:strCache>
                <c:ptCount val="1"/>
                <c:pt idx="0">
                  <c:v>D = 0.305 m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Propulsão!$AA$21:$AA$40</c:f>
              <c:numCache>
                <c:formatCode>0,000</c:formatCode>
                <c:ptCount val="20"/>
                <c:pt idx="0">
                  <c:v>0.33333333333333326</c:v>
                </c:pt>
                <c:pt idx="1">
                  <c:v>0.33333333333333326</c:v>
                </c:pt>
                <c:pt idx="2">
                  <c:v>0.33333333333333326</c:v>
                </c:pt>
                <c:pt idx="3">
                  <c:v>0.33333333333333326</c:v>
                </c:pt>
                <c:pt idx="4">
                  <c:v>0.33333333333333326</c:v>
                </c:pt>
                <c:pt idx="5">
                  <c:v>0.33333333333333326</c:v>
                </c:pt>
                <c:pt idx="6">
                  <c:v>0.33333333333333326</c:v>
                </c:pt>
                <c:pt idx="7">
                  <c:v>0.33333333333333326</c:v>
                </c:pt>
                <c:pt idx="8">
                  <c:v>0.33333333333333326</c:v>
                </c:pt>
                <c:pt idx="9">
                  <c:v>0.33333333333333326</c:v>
                </c:pt>
                <c:pt idx="10">
                  <c:v>0.33333333333333326</c:v>
                </c:pt>
                <c:pt idx="11">
                  <c:v>0.33333333333333326</c:v>
                </c:pt>
                <c:pt idx="12">
                  <c:v>0.33333333333333326</c:v>
                </c:pt>
                <c:pt idx="13">
                  <c:v>0.33333333333333326</c:v>
                </c:pt>
                <c:pt idx="14">
                  <c:v>0.33333333333333326</c:v>
                </c:pt>
                <c:pt idx="15">
                  <c:v>0.33333333333333326</c:v>
                </c:pt>
                <c:pt idx="16">
                  <c:v>0.33333333333333326</c:v>
                </c:pt>
                <c:pt idx="17">
                  <c:v>0.33333333333333326</c:v>
                </c:pt>
                <c:pt idx="18">
                  <c:v>0.33333333333333326</c:v>
                </c:pt>
                <c:pt idx="19">
                  <c:v>0.33333333333333326</c:v>
                </c:pt>
              </c:numCache>
            </c:numRef>
          </c:xVal>
          <c:yVal>
            <c:numRef>
              <c:f>Propulsão!$AC$21:$AC$40</c:f>
              <c:numCache>
                <c:formatCode>#,#00</c:formatCode>
                <c:ptCount val="20"/>
                <c:pt idx="0">
                  <c:v>64.743770848289572</c:v>
                </c:pt>
                <c:pt idx="1">
                  <c:v>62.813814055055595</c:v>
                </c:pt>
                <c:pt idx="2">
                  <c:v>61.414204619266435</c:v>
                </c:pt>
                <c:pt idx="3">
                  <c:v>60.4398316784293</c:v>
                </c:pt>
                <c:pt idx="4">
                  <c:v>59.816979248025191</c:v>
                </c:pt>
                <c:pt idx="5">
                  <c:v>59.492938276316266</c:v>
                </c:pt>
                <c:pt idx="6">
                  <c:v>59.429643970674022</c:v>
                </c:pt>
                <c:pt idx="7">
                  <c:v>59.599636844052753</c:v>
                </c:pt>
                <c:pt idx="8">
                  <c:v>59.983434152243426</c:v>
                </c:pt>
                <c:pt idx="9">
                  <c:v>60.567798010231179</c:v>
                </c:pt>
                <c:pt idx="10">
                  <c:v>61.344601308227823</c:v>
                </c:pt>
                <c:pt idx="11">
                  <c:v>62.310114599950133</c:v>
                </c:pt>
                <c:pt idx="12">
                  <c:v>63.464610808766231</c:v>
                </c:pt>
                <c:pt idx="13">
                  <c:v>64.812232803379757</c:v>
                </c:pt>
                <c:pt idx="14">
                  <c:v>66.361104524789766</c:v>
                </c:pt>
                <c:pt idx="15">
                  <c:v>68.123697786322808</c:v>
                </c:pt>
                <c:pt idx="16">
                  <c:v>70.117501116072333</c:v>
                </c:pt>
                <c:pt idx="17">
                  <c:v>72.366082115107801</c:v>
                </c:pt>
                <c:pt idx="18">
                  <c:v>74.900702884866675</c:v>
                </c:pt>
                <c:pt idx="19">
                  <c:v>77.762760624917732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Propulsão!$AD$14:$AD$16</c:f>
              <c:strCache>
                <c:ptCount val="1"/>
                <c:pt idx="0">
                  <c:v>D = 0.313 m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Propulsão!$AA$21:$AA$40</c:f>
              <c:numCache>
                <c:formatCode>0,000</c:formatCode>
                <c:ptCount val="20"/>
                <c:pt idx="0">
                  <c:v>0.33333333333333326</c:v>
                </c:pt>
                <c:pt idx="1">
                  <c:v>0.33333333333333326</c:v>
                </c:pt>
                <c:pt idx="2">
                  <c:v>0.33333333333333326</c:v>
                </c:pt>
                <c:pt idx="3">
                  <c:v>0.33333333333333326</c:v>
                </c:pt>
                <c:pt idx="4">
                  <c:v>0.33333333333333326</c:v>
                </c:pt>
                <c:pt idx="5">
                  <c:v>0.33333333333333326</c:v>
                </c:pt>
                <c:pt idx="6">
                  <c:v>0.33333333333333326</c:v>
                </c:pt>
                <c:pt idx="7">
                  <c:v>0.33333333333333326</c:v>
                </c:pt>
                <c:pt idx="8">
                  <c:v>0.33333333333333326</c:v>
                </c:pt>
                <c:pt idx="9">
                  <c:v>0.33333333333333326</c:v>
                </c:pt>
                <c:pt idx="10">
                  <c:v>0.33333333333333326</c:v>
                </c:pt>
                <c:pt idx="11">
                  <c:v>0.33333333333333326</c:v>
                </c:pt>
                <c:pt idx="12">
                  <c:v>0.33333333333333326</c:v>
                </c:pt>
                <c:pt idx="13">
                  <c:v>0.33333333333333326</c:v>
                </c:pt>
                <c:pt idx="14">
                  <c:v>0.33333333333333326</c:v>
                </c:pt>
                <c:pt idx="15">
                  <c:v>0.33333333333333326</c:v>
                </c:pt>
                <c:pt idx="16">
                  <c:v>0.33333333333333326</c:v>
                </c:pt>
                <c:pt idx="17">
                  <c:v>0.33333333333333326</c:v>
                </c:pt>
                <c:pt idx="18">
                  <c:v>0.33333333333333326</c:v>
                </c:pt>
                <c:pt idx="19">
                  <c:v>0.33333333333333326</c:v>
                </c:pt>
              </c:numCache>
            </c:numRef>
          </c:xVal>
          <c:yVal>
            <c:numRef>
              <c:f>Propulsão!$AD$21:$AD$40</c:f>
              <c:numCache>
                <c:formatCode>#,#00</c:formatCode>
                <c:ptCount val="20"/>
                <c:pt idx="0">
                  <c:v>624.07015723928748</c:v>
                </c:pt>
                <c:pt idx="1">
                  <c:v>598.61584923303053</c:v>
                </c:pt>
                <c:pt idx="2">
                  <c:v>576.57157120473948</c:v>
                </c:pt>
                <c:pt idx="3">
                  <c:v>557.40200919158679</c:v>
                </c:pt>
                <c:pt idx="4">
                  <c:v>540.67507361559547</c:v>
                </c:pt>
                <c:pt idx="5">
                  <c:v>526.03857947589779</c:v>
                </c:pt>
                <c:pt idx="6">
                  <c:v>513.20290819876595</c:v>
                </c:pt>
                <c:pt idx="7">
                  <c:v>501.9279475393941</c:v>
                </c:pt>
                <c:pt idx="8">
                  <c:v>492.0131358410203</c:v>
                </c:pt>
                <c:pt idx="9">
                  <c:v>483.28978911863203</c:v>
                </c:pt>
                <c:pt idx="10">
                  <c:v>475.61512750833322</c:v>
                </c:pt>
                <c:pt idx="11">
                  <c:v>468.86758112058135</c:v>
                </c:pt>
                <c:pt idx="12">
                  <c:v>462.94306925753023</c:v>
                </c:pt>
                <c:pt idx="13">
                  <c:v>457.75202740704299</c:v>
                </c:pt>
                <c:pt idx="14">
                  <c:v>453.21701395563809</c:v>
                </c:pt>
                <c:pt idx="15">
                  <c:v>449.27077018371864</c:v>
                </c:pt>
                <c:pt idx="16">
                  <c:v>445.85463755054559</c:v>
                </c:pt>
                <c:pt idx="17">
                  <c:v>442.91725877917372</c:v>
                </c:pt>
                <c:pt idx="18">
                  <c:v>440.4135060545949</c:v>
                </c:pt>
                <c:pt idx="19">
                  <c:v>438.30359232540422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Propulsão!$AE$14:$AE$16</c:f>
              <c:strCache>
                <c:ptCount val="1"/>
                <c:pt idx="0">
                  <c:v>D = 0.375 m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Propulsão!$AA$21:$AA$40</c:f>
              <c:numCache>
                <c:formatCode>0,000</c:formatCode>
                <c:ptCount val="20"/>
                <c:pt idx="0">
                  <c:v>0.33333333333333326</c:v>
                </c:pt>
                <c:pt idx="1">
                  <c:v>0.33333333333333326</c:v>
                </c:pt>
                <c:pt idx="2">
                  <c:v>0.33333333333333326</c:v>
                </c:pt>
                <c:pt idx="3">
                  <c:v>0.33333333333333326</c:v>
                </c:pt>
                <c:pt idx="4">
                  <c:v>0.33333333333333326</c:v>
                </c:pt>
                <c:pt idx="5">
                  <c:v>0.33333333333333326</c:v>
                </c:pt>
                <c:pt idx="6">
                  <c:v>0.33333333333333326</c:v>
                </c:pt>
                <c:pt idx="7">
                  <c:v>0.33333333333333326</c:v>
                </c:pt>
                <c:pt idx="8">
                  <c:v>0.33333333333333326</c:v>
                </c:pt>
                <c:pt idx="9">
                  <c:v>0.33333333333333326</c:v>
                </c:pt>
                <c:pt idx="10">
                  <c:v>0.33333333333333326</c:v>
                </c:pt>
                <c:pt idx="11">
                  <c:v>0.33333333333333326</c:v>
                </c:pt>
                <c:pt idx="12">
                  <c:v>0.33333333333333326</c:v>
                </c:pt>
                <c:pt idx="13">
                  <c:v>0.33333333333333326</c:v>
                </c:pt>
                <c:pt idx="14">
                  <c:v>0.33333333333333326</c:v>
                </c:pt>
                <c:pt idx="15">
                  <c:v>0.33333333333333326</c:v>
                </c:pt>
                <c:pt idx="16">
                  <c:v>0.33333333333333326</c:v>
                </c:pt>
                <c:pt idx="17">
                  <c:v>0.33333333333333326</c:v>
                </c:pt>
                <c:pt idx="18">
                  <c:v>0.33333333333333326</c:v>
                </c:pt>
                <c:pt idx="19">
                  <c:v>0.33333333333333326</c:v>
                </c:pt>
              </c:numCache>
            </c:numRef>
          </c:xVal>
          <c:yVal>
            <c:numRef>
              <c:f>Propulsão!$AE$21:$AE$40</c:f>
              <c:numCache>
                <c:formatCode>#,#00</c:formatCode>
                <c:ptCount val="20"/>
                <c:pt idx="0">
                  <c:v>611.98688206699467</c:v>
                </c:pt>
                <c:pt idx="1">
                  <c:v>586.90107619867672</c:v>
                </c:pt>
                <c:pt idx="2">
                  <c:v>565.16139724466291</c:v>
                </c:pt>
                <c:pt idx="3">
                  <c:v>546.24206121182829</c:v>
                </c:pt>
                <c:pt idx="4">
                  <c:v>529.71864563199904</c:v>
                </c:pt>
                <c:pt idx="5">
                  <c:v>515.24519519441037</c:v>
                </c:pt>
                <c:pt idx="6">
                  <c:v>502.53719911381137</c:v>
                </c:pt>
                <c:pt idx="7">
                  <c:v>491.35876811786227</c:v>
                </c:pt>
                <c:pt idx="8">
                  <c:v>481.5128590041648</c:v>
                </c:pt>
                <c:pt idx="9">
                  <c:v>472.8337403510269</c:v>
                </c:pt>
                <c:pt idx="10">
                  <c:v>465.18112663628222</c:v>
                </c:pt>
                <c:pt idx="11">
                  <c:v>458.43556849762592</c:v>
                </c:pt>
                <c:pt idx="12">
                  <c:v>452.49479869117403</c:v>
                </c:pt>
                <c:pt idx="13">
                  <c:v>447.27081227780496</c:v>
                </c:pt>
                <c:pt idx="14">
                  <c:v>442.68751604038027</c:v>
                </c:pt>
                <c:pt idx="15">
                  <c:v>438.67882299300868</c:v>
                </c:pt>
                <c:pt idx="16">
                  <c:v>435.1870977301063</c:v>
                </c:pt>
                <c:pt idx="17">
                  <c:v>432.16188045379994</c:v>
                </c:pt>
                <c:pt idx="18">
                  <c:v>429.55883401332773</c:v>
                </c:pt>
                <c:pt idx="19">
                  <c:v>427.33887073402582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Propulsão!$AF$14:$AF$16</c:f>
              <c:strCache>
                <c:ptCount val="1"/>
                <c:pt idx="0">
                  <c:v>D = 0.438 m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Propulsão!$AA$21:$AA$40</c:f>
              <c:numCache>
                <c:formatCode>0,000</c:formatCode>
                <c:ptCount val="20"/>
                <c:pt idx="0">
                  <c:v>0.33333333333333326</c:v>
                </c:pt>
                <c:pt idx="1">
                  <c:v>0.33333333333333326</c:v>
                </c:pt>
                <c:pt idx="2">
                  <c:v>0.33333333333333326</c:v>
                </c:pt>
                <c:pt idx="3">
                  <c:v>0.33333333333333326</c:v>
                </c:pt>
                <c:pt idx="4">
                  <c:v>0.33333333333333326</c:v>
                </c:pt>
                <c:pt idx="5">
                  <c:v>0.33333333333333326</c:v>
                </c:pt>
                <c:pt idx="6">
                  <c:v>0.33333333333333326</c:v>
                </c:pt>
                <c:pt idx="7">
                  <c:v>0.33333333333333326</c:v>
                </c:pt>
                <c:pt idx="8">
                  <c:v>0.33333333333333326</c:v>
                </c:pt>
                <c:pt idx="9">
                  <c:v>0.33333333333333326</c:v>
                </c:pt>
                <c:pt idx="10">
                  <c:v>0.33333333333333326</c:v>
                </c:pt>
                <c:pt idx="11">
                  <c:v>0.33333333333333326</c:v>
                </c:pt>
                <c:pt idx="12">
                  <c:v>0.33333333333333326</c:v>
                </c:pt>
                <c:pt idx="13">
                  <c:v>0.33333333333333326</c:v>
                </c:pt>
                <c:pt idx="14">
                  <c:v>0.33333333333333326</c:v>
                </c:pt>
                <c:pt idx="15">
                  <c:v>0.33333333333333326</c:v>
                </c:pt>
                <c:pt idx="16">
                  <c:v>0.33333333333333326</c:v>
                </c:pt>
                <c:pt idx="17">
                  <c:v>0.33333333333333326</c:v>
                </c:pt>
                <c:pt idx="18">
                  <c:v>0.33333333333333326</c:v>
                </c:pt>
                <c:pt idx="19">
                  <c:v>0.33333333333333326</c:v>
                </c:pt>
              </c:numCache>
            </c:numRef>
          </c:xVal>
          <c:yVal>
            <c:numRef>
              <c:f>Propulsão!$AF$21:$AF$40</c:f>
              <c:numCache>
                <c:formatCode>#,#00</c:formatCode>
                <c:ptCount val="20"/>
                <c:pt idx="0">
                  <c:v>604.88566165598922</c:v>
                </c:pt>
                <c:pt idx="1">
                  <c:v>580.01569262124417</c:v>
                </c:pt>
                <c:pt idx="2">
                  <c:v>558.45426993260526</c:v>
                </c:pt>
                <c:pt idx="3">
                  <c:v>539.68119837483653</c:v>
                </c:pt>
                <c:pt idx="4">
                  <c:v>523.2765509068438</c:v>
                </c:pt>
                <c:pt idx="5">
                  <c:v>508.89802392741927</c:v>
                </c:pt>
                <c:pt idx="6">
                  <c:v>496.26409979109928</c:v>
                </c:pt>
                <c:pt idx="7">
                  <c:v>485.1413629288985</c:v>
                </c:pt>
                <c:pt idx="8">
                  <c:v>475.33483022117906</c:v>
                </c:pt>
                <c:pt idx="9">
                  <c:v>466.6804980747666</c:v>
                </c:pt>
                <c:pt idx="10">
                  <c:v>459.0395397436011</c:v>
                </c:pt>
                <c:pt idx="11">
                  <c:v>452.29374514100135</c:v>
                </c:pt>
                <c:pt idx="12">
                  <c:v>446.34190598366712</c:v>
                </c:pt>
                <c:pt idx="13">
                  <c:v>441.09692721245545</c:v>
                </c:pt>
                <c:pt idx="14">
                  <c:v>436.48350148887761</c:v>
                </c:pt>
                <c:pt idx="15">
                  <c:v>432.43622397666849</c:v>
                </c:pt>
                <c:pt idx="16">
                  <c:v>428.89805417723022</c:v>
                </c:pt>
                <c:pt idx="17">
                  <c:v>425.81905343682496</c:v>
                </c:pt>
                <c:pt idx="18">
                  <c:v>423.15534305777396</c:v>
                </c:pt>
                <c:pt idx="19">
                  <c:v>420.86824025300581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Propulsão!$AG$14:$AG$16</c:f>
              <c:strCache>
                <c:ptCount val="1"/>
                <c:pt idx="0">
                  <c:v>D = 0.500 m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Propulsão!$AA$21:$AA$40</c:f>
              <c:numCache>
                <c:formatCode>0,000</c:formatCode>
                <c:ptCount val="20"/>
                <c:pt idx="0">
                  <c:v>0.33333333333333326</c:v>
                </c:pt>
                <c:pt idx="1">
                  <c:v>0.33333333333333326</c:v>
                </c:pt>
                <c:pt idx="2">
                  <c:v>0.33333333333333326</c:v>
                </c:pt>
                <c:pt idx="3">
                  <c:v>0.33333333333333326</c:v>
                </c:pt>
                <c:pt idx="4">
                  <c:v>0.33333333333333326</c:v>
                </c:pt>
                <c:pt idx="5">
                  <c:v>0.33333333333333326</c:v>
                </c:pt>
                <c:pt idx="6">
                  <c:v>0.33333333333333326</c:v>
                </c:pt>
                <c:pt idx="7">
                  <c:v>0.33333333333333326</c:v>
                </c:pt>
                <c:pt idx="8">
                  <c:v>0.33333333333333326</c:v>
                </c:pt>
                <c:pt idx="9">
                  <c:v>0.33333333333333326</c:v>
                </c:pt>
                <c:pt idx="10">
                  <c:v>0.33333333333333326</c:v>
                </c:pt>
                <c:pt idx="11">
                  <c:v>0.33333333333333326</c:v>
                </c:pt>
                <c:pt idx="12">
                  <c:v>0.33333333333333326</c:v>
                </c:pt>
                <c:pt idx="13">
                  <c:v>0.33333333333333326</c:v>
                </c:pt>
                <c:pt idx="14">
                  <c:v>0.33333333333333326</c:v>
                </c:pt>
                <c:pt idx="15">
                  <c:v>0.33333333333333326</c:v>
                </c:pt>
                <c:pt idx="16">
                  <c:v>0.33333333333333326</c:v>
                </c:pt>
                <c:pt idx="17">
                  <c:v>0.33333333333333326</c:v>
                </c:pt>
                <c:pt idx="18">
                  <c:v>0.33333333333333326</c:v>
                </c:pt>
                <c:pt idx="19">
                  <c:v>0.33333333333333326</c:v>
                </c:pt>
              </c:numCache>
            </c:numRef>
          </c:xVal>
          <c:yVal>
            <c:numRef>
              <c:f>Propulsão!$AG$21:$AG$40</c:f>
              <c:numCache>
                <c:formatCode>#,#00</c:formatCode>
                <c:ptCount val="20"/>
                <c:pt idx="0">
                  <c:v>600.34900601409015</c:v>
                </c:pt>
                <c:pt idx="1">
                  <c:v>575.61663507768628</c:v>
                </c:pt>
                <c:pt idx="2">
                  <c:v>554.16879037043782</c:v>
                </c:pt>
                <c:pt idx="3">
                  <c:v>535.48884228873408</c:v>
                </c:pt>
                <c:pt idx="4">
                  <c:v>519.15973144664633</c:v>
                </c:pt>
                <c:pt idx="5">
                  <c:v>504.84148326832963</c:v>
                </c:pt>
                <c:pt idx="6">
                  <c:v>492.25448867800583</c:v>
                </c:pt>
                <c:pt idx="7">
                  <c:v>481.16690902911108</c:v>
                </c:pt>
                <c:pt idx="8">
                  <c:v>471.38507402227339</c:v>
                </c:pt>
                <c:pt idx="9">
                  <c:v>462.74608072341277</c:v>
                </c:pt>
                <c:pt idx="10">
                  <c:v>455.11203123214926</c:v>
                </c:pt>
                <c:pt idx="11">
                  <c:v>448.36550412976777</c:v>
                </c:pt>
                <c:pt idx="12">
                  <c:v>442.40596464233164</c:v>
                </c:pt>
                <c:pt idx="13">
                  <c:v>437.14689600556954</c:v>
                </c:pt>
                <c:pt idx="14">
                  <c:v>432.51348997661341</c:v>
                </c:pt>
                <c:pt idx="15">
                  <c:v>428.44077456237852</c:v>
                </c:pt>
                <c:pt idx="16">
                  <c:v>424.87208638503404</c:v>
                </c:pt>
                <c:pt idx="17">
                  <c:v>421.75781679979144</c:v>
                </c:pt>
                <c:pt idx="18">
                  <c:v>419.05437707927075</c:v>
                </c:pt>
                <c:pt idx="19">
                  <c:v>416.72334019840866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579904"/>
        <c:axId val="141580480"/>
      </c:scatterChart>
      <c:valAx>
        <c:axId val="141579904"/>
        <c:scaling>
          <c:orientation val="minMax"/>
        </c:scaling>
        <c:delete val="0"/>
        <c:axPos val="b"/>
        <c:numFmt formatCode="0,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1580480"/>
        <c:crosses val="autoZero"/>
        <c:crossBetween val="midCat"/>
      </c:valAx>
      <c:valAx>
        <c:axId val="141580480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Pmotor, W</a:t>
                </a:r>
              </a:p>
            </c:rich>
          </c:tx>
          <c:layout>
            <c:manualLayout>
              <c:xMode val="edge"/>
              <c:yMode val="edge"/>
              <c:x val="3.5459317585301853E-2"/>
              <c:y val="0.37913734234548119"/>
            </c:manualLayout>
          </c:layout>
          <c:overlay val="0"/>
          <c:spPr>
            <a:noFill/>
            <a:ln w="25400">
              <a:noFill/>
            </a:ln>
          </c:spPr>
        </c:title>
        <c:numFmt formatCode="#,#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15799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464379452568434"/>
          <c:y val="0.29793603233224181"/>
          <c:w val="0.16741094863142103"/>
          <c:h val="0.312685294869114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178300663779541"/>
          <c:y val="7.4975252309296359E-2"/>
          <c:w val="0.5961592984324241"/>
          <c:h val="0.8007356946632852"/>
        </c:manualLayout>
      </c:layout>
      <c:scatterChart>
        <c:scatterStyle val="lineMarker"/>
        <c:varyColors val="0"/>
        <c:ser>
          <c:idx val="0"/>
          <c:order val="0"/>
          <c:tx>
            <c:strRef>
              <c:f>Propulsão!$AK$14:$AK$16</c:f>
              <c:strCache>
                <c:ptCount val="1"/>
                <c:pt idx="0">
                  <c:v>D = 0.305 m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Propulsão!$AI$21:$AI$40</c:f>
              <c:numCache>
                <c:formatCode>0,000</c:formatCode>
                <c:ptCount val="20"/>
                <c:pt idx="0">
                  <c:v>0.33333333333333326</c:v>
                </c:pt>
                <c:pt idx="1">
                  <c:v>0.33333333333333326</c:v>
                </c:pt>
                <c:pt idx="2">
                  <c:v>0.33333333333333326</c:v>
                </c:pt>
                <c:pt idx="3">
                  <c:v>0.33333333333333326</c:v>
                </c:pt>
                <c:pt idx="4">
                  <c:v>0.33333333333333326</c:v>
                </c:pt>
                <c:pt idx="5">
                  <c:v>0.33333333333333326</c:v>
                </c:pt>
                <c:pt idx="6">
                  <c:v>0.33333333333333326</c:v>
                </c:pt>
                <c:pt idx="7">
                  <c:v>0.33333333333333326</c:v>
                </c:pt>
                <c:pt idx="8">
                  <c:v>0.33333333333333326</c:v>
                </c:pt>
                <c:pt idx="9">
                  <c:v>0.33333333333333326</c:v>
                </c:pt>
                <c:pt idx="10">
                  <c:v>0.33333333333333326</c:v>
                </c:pt>
                <c:pt idx="11">
                  <c:v>0.33333333333333326</c:v>
                </c:pt>
                <c:pt idx="12">
                  <c:v>0.33333333333333326</c:v>
                </c:pt>
                <c:pt idx="13">
                  <c:v>0.33333333333333326</c:v>
                </c:pt>
                <c:pt idx="14">
                  <c:v>0.33333333333333326</c:v>
                </c:pt>
                <c:pt idx="15">
                  <c:v>0.33333333333333326</c:v>
                </c:pt>
                <c:pt idx="16">
                  <c:v>0.33333333333333326</c:v>
                </c:pt>
                <c:pt idx="17">
                  <c:v>0.33333333333333326</c:v>
                </c:pt>
                <c:pt idx="18">
                  <c:v>0.33333333333333326</c:v>
                </c:pt>
                <c:pt idx="19">
                  <c:v>0.33333333333333326</c:v>
                </c:pt>
              </c:numCache>
            </c:numRef>
          </c:xVal>
          <c:yVal>
            <c:numRef>
              <c:f>Propulsão!$AK$21:$AK$40</c:f>
              <c:numCache>
                <c:formatCode>#,#00</c:formatCode>
                <c:ptCount val="20"/>
                <c:pt idx="0">
                  <c:v>61.467113197725915</c:v>
                </c:pt>
                <c:pt idx="1">
                  <c:v>59.857453023015758</c:v>
                </c:pt>
                <c:pt idx="2">
                  <c:v>58.707993017723688</c:v>
                </c:pt>
                <c:pt idx="3">
                  <c:v>57.932649803669747</c:v>
                </c:pt>
                <c:pt idx="4">
                  <c:v>57.470348146146328</c:v>
                </c:pt>
                <c:pt idx="5">
                  <c:v>57.277080119753592</c:v>
                </c:pt>
                <c:pt idx="6">
                  <c:v>57.320941692820391</c:v>
                </c:pt>
                <c:pt idx="7">
                  <c:v>57.578932781688557</c:v>
                </c:pt>
                <c:pt idx="8">
                  <c:v>58.03485155148126</c:v>
                </c:pt>
                <c:pt idx="9">
                  <c:v>58.677898556864186</c:v>
                </c:pt>
                <c:pt idx="10">
                  <c:v>59.501763577833195</c:v>
                </c:pt>
                <c:pt idx="11">
                  <c:v>60.50405960061083</c:v>
                </c:pt>
                <c:pt idx="12">
                  <c:v>61.686025135006204</c:v>
                </c:pt>
                <c:pt idx="13">
                  <c:v>63.052454344105691</c:v>
                </c:pt>
                <c:pt idx="14">
                  <c:v>64.611843859715918</c:v>
                </c:pt>
                <c:pt idx="15">
                  <c:v>66.376772215899649</c:v>
                </c:pt>
                <c:pt idx="16">
                  <c:v>68.364558369158672</c:v>
                </c:pt>
                <c:pt idx="17">
                  <c:v>70.598286826279406</c:v>
                </c:pt>
                <c:pt idx="18">
                  <c:v>73.108349321909856</c:v>
                </c:pt>
                <c:pt idx="19">
                  <c:v>75.934756102942899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Propulsão!$AL$14:$AL$16</c:f>
              <c:strCache>
                <c:ptCount val="1"/>
                <c:pt idx="0">
                  <c:v>D = 0.313 m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Propulsão!$AI$21:$AI$40</c:f>
              <c:numCache>
                <c:formatCode>0,000</c:formatCode>
                <c:ptCount val="20"/>
                <c:pt idx="0">
                  <c:v>0.33333333333333326</c:v>
                </c:pt>
                <c:pt idx="1">
                  <c:v>0.33333333333333326</c:v>
                </c:pt>
                <c:pt idx="2">
                  <c:v>0.33333333333333326</c:v>
                </c:pt>
                <c:pt idx="3">
                  <c:v>0.33333333333333326</c:v>
                </c:pt>
                <c:pt idx="4">
                  <c:v>0.33333333333333326</c:v>
                </c:pt>
                <c:pt idx="5">
                  <c:v>0.33333333333333326</c:v>
                </c:pt>
                <c:pt idx="6">
                  <c:v>0.33333333333333326</c:v>
                </c:pt>
                <c:pt idx="7">
                  <c:v>0.33333333333333326</c:v>
                </c:pt>
                <c:pt idx="8">
                  <c:v>0.33333333333333326</c:v>
                </c:pt>
                <c:pt idx="9">
                  <c:v>0.33333333333333326</c:v>
                </c:pt>
                <c:pt idx="10">
                  <c:v>0.33333333333333326</c:v>
                </c:pt>
                <c:pt idx="11">
                  <c:v>0.33333333333333326</c:v>
                </c:pt>
                <c:pt idx="12">
                  <c:v>0.33333333333333326</c:v>
                </c:pt>
                <c:pt idx="13">
                  <c:v>0.33333333333333326</c:v>
                </c:pt>
                <c:pt idx="14">
                  <c:v>0.33333333333333326</c:v>
                </c:pt>
                <c:pt idx="15">
                  <c:v>0.33333333333333326</c:v>
                </c:pt>
                <c:pt idx="16">
                  <c:v>0.33333333333333326</c:v>
                </c:pt>
                <c:pt idx="17">
                  <c:v>0.33333333333333326</c:v>
                </c:pt>
                <c:pt idx="18">
                  <c:v>0.33333333333333326</c:v>
                </c:pt>
                <c:pt idx="19">
                  <c:v>0.33333333333333326</c:v>
                </c:pt>
              </c:numCache>
            </c:numRef>
          </c:xVal>
          <c:yVal>
            <c:numRef>
              <c:f>Propulsão!$AL$21:$AL$40</c:f>
              <c:numCache>
                <c:formatCode>#,#00</c:formatCode>
                <c:ptCount val="20"/>
                <c:pt idx="0">
                  <c:v>468.14656312918322</c:v>
                </c:pt>
                <c:pt idx="1">
                  <c:v>449.49005164682319</c:v>
                </c:pt>
                <c:pt idx="2">
                  <c:v>433.3384152661086</c:v>
                </c:pt>
                <c:pt idx="3">
                  <c:v>419.30026990654306</c:v>
                </c:pt>
                <c:pt idx="4">
                  <c:v>407.05954712276446</c:v>
                </c:pt>
                <c:pt idx="5">
                  <c:v>396.35850516754778</c:v>
                </c:pt>
                <c:pt idx="6">
                  <c:v>386.98509289729543</c:v>
                </c:pt>
                <c:pt idx="7">
                  <c:v>378.76342790133833</c:v>
                </c:pt>
                <c:pt idx="8">
                  <c:v>371.54653524077804</c:v>
                </c:pt>
                <c:pt idx="9">
                  <c:v>365.21074911941878</c:v>
                </c:pt>
                <c:pt idx="10">
                  <c:v>359.65135288224019</c:v>
                </c:pt>
                <c:pt idx="11">
                  <c:v>354.77915162895192</c:v>
                </c:pt>
                <c:pt idx="12">
                  <c:v>350.5177545960633</c:v>
                </c:pt>
                <c:pt idx="13">
                  <c:v>346.80140299821886</c:v>
                </c:pt>
                <c:pt idx="14">
                  <c:v>343.57322089092543</c:v>
                </c:pt>
                <c:pt idx="15">
                  <c:v>340.78379691929524</c:v>
                </c:pt>
                <c:pt idx="16">
                  <c:v>338.3900269907088</c:v>
                </c:pt>
                <c:pt idx="17">
                  <c:v>336.35416430629249</c:v>
                </c:pt>
                <c:pt idx="18">
                  <c:v>334.64303543798235</c:v>
                </c:pt>
                <c:pt idx="19">
                  <c:v>333.22739039100787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Propulsão!$AM$14:$AM$16</c:f>
              <c:strCache>
                <c:ptCount val="1"/>
                <c:pt idx="0">
                  <c:v>D = 0.375 m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Propulsão!$AI$21:$AI$40</c:f>
              <c:numCache>
                <c:formatCode>0,000</c:formatCode>
                <c:ptCount val="20"/>
                <c:pt idx="0">
                  <c:v>0.33333333333333326</c:v>
                </c:pt>
                <c:pt idx="1">
                  <c:v>0.33333333333333326</c:v>
                </c:pt>
                <c:pt idx="2">
                  <c:v>0.33333333333333326</c:v>
                </c:pt>
                <c:pt idx="3">
                  <c:v>0.33333333333333326</c:v>
                </c:pt>
                <c:pt idx="4">
                  <c:v>0.33333333333333326</c:v>
                </c:pt>
                <c:pt idx="5">
                  <c:v>0.33333333333333326</c:v>
                </c:pt>
                <c:pt idx="6">
                  <c:v>0.33333333333333326</c:v>
                </c:pt>
                <c:pt idx="7">
                  <c:v>0.33333333333333326</c:v>
                </c:pt>
                <c:pt idx="8">
                  <c:v>0.33333333333333326</c:v>
                </c:pt>
                <c:pt idx="9">
                  <c:v>0.33333333333333326</c:v>
                </c:pt>
                <c:pt idx="10">
                  <c:v>0.33333333333333326</c:v>
                </c:pt>
                <c:pt idx="11">
                  <c:v>0.33333333333333326</c:v>
                </c:pt>
                <c:pt idx="12">
                  <c:v>0.33333333333333326</c:v>
                </c:pt>
                <c:pt idx="13">
                  <c:v>0.33333333333333326</c:v>
                </c:pt>
                <c:pt idx="14">
                  <c:v>0.33333333333333326</c:v>
                </c:pt>
                <c:pt idx="15">
                  <c:v>0.33333333333333326</c:v>
                </c:pt>
                <c:pt idx="16">
                  <c:v>0.33333333333333326</c:v>
                </c:pt>
                <c:pt idx="17">
                  <c:v>0.33333333333333326</c:v>
                </c:pt>
                <c:pt idx="18">
                  <c:v>0.33333333333333326</c:v>
                </c:pt>
                <c:pt idx="19">
                  <c:v>0.33333333333333326</c:v>
                </c:pt>
              </c:numCache>
            </c:numRef>
          </c:xVal>
          <c:yVal>
            <c:numRef>
              <c:f>Propulsão!$AM$21:$AM$40</c:f>
              <c:numCache>
                <c:formatCode>#,#00</c:formatCode>
                <c:ptCount val="20"/>
                <c:pt idx="0">
                  <c:v>458.92808810926397</c:v>
                </c:pt>
                <c:pt idx="1">
                  <c:v>440.54296998671958</c:v>
                </c:pt>
                <c:pt idx="2">
                  <c:v>424.6148652642284</c:v>
                </c:pt>
                <c:pt idx="3">
                  <c:v>410.75945950769074</c:v>
                </c:pt>
                <c:pt idx="4">
                  <c:v>398.66637242660772</c:v>
                </c:pt>
                <c:pt idx="5">
                  <c:v>388.08248394336107</c:v>
                </c:pt>
                <c:pt idx="6">
                  <c:v>378.7995318021666</c:v>
                </c:pt>
                <c:pt idx="7">
                  <c:v>370.64476537257985</c:v>
                </c:pt>
                <c:pt idx="8">
                  <c:v>363.47381803475776</c:v>
                </c:pt>
                <c:pt idx="9">
                  <c:v>357.1652116474167</c:v>
                </c:pt>
                <c:pt idx="10">
                  <c:v>351.61607641798611</c:v>
                </c:pt>
                <c:pt idx="11">
                  <c:v>346.73878615563763</c:v>
                </c:pt>
                <c:pt idx="12">
                  <c:v>342.45829020194782</c:v>
                </c:pt>
                <c:pt idx="13">
                  <c:v>338.70998077706162</c:v>
                </c:pt>
                <c:pt idx="14">
                  <c:v>335.43797556921442</c:v>
                </c:pt>
                <c:pt idx="15">
                  <c:v>332.59372513326554</c:v>
                </c:pt>
                <c:pt idx="16">
                  <c:v>330.13487642431005</c:v>
                </c:pt>
                <c:pt idx="17">
                  <c:v>328.02433988412571</c:v>
                </c:pt>
                <c:pt idx="18">
                  <c:v>326.2295195215724</c:v>
                </c:pt>
                <c:pt idx="19">
                  <c:v>324.72167450767557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Propulsão!$AN$14:$AN$16</c:f>
              <c:strCache>
                <c:ptCount val="1"/>
                <c:pt idx="0">
                  <c:v>D = 0.438 m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Propulsão!$AI$21:$AI$40</c:f>
              <c:numCache>
                <c:formatCode>0,000</c:formatCode>
                <c:ptCount val="20"/>
                <c:pt idx="0">
                  <c:v>0.33333333333333326</c:v>
                </c:pt>
                <c:pt idx="1">
                  <c:v>0.33333333333333326</c:v>
                </c:pt>
                <c:pt idx="2">
                  <c:v>0.33333333333333326</c:v>
                </c:pt>
                <c:pt idx="3">
                  <c:v>0.33333333333333326</c:v>
                </c:pt>
                <c:pt idx="4">
                  <c:v>0.33333333333333326</c:v>
                </c:pt>
                <c:pt idx="5">
                  <c:v>0.33333333333333326</c:v>
                </c:pt>
                <c:pt idx="6">
                  <c:v>0.33333333333333326</c:v>
                </c:pt>
                <c:pt idx="7">
                  <c:v>0.33333333333333326</c:v>
                </c:pt>
                <c:pt idx="8">
                  <c:v>0.33333333333333326</c:v>
                </c:pt>
                <c:pt idx="9">
                  <c:v>0.33333333333333326</c:v>
                </c:pt>
                <c:pt idx="10">
                  <c:v>0.33333333333333326</c:v>
                </c:pt>
                <c:pt idx="11">
                  <c:v>0.33333333333333326</c:v>
                </c:pt>
                <c:pt idx="12">
                  <c:v>0.33333333333333326</c:v>
                </c:pt>
                <c:pt idx="13">
                  <c:v>0.33333333333333326</c:v>
                </c:pt>
                <c:pt idx="14">
                  <c:v>0.33333333333333326</c:v>
                </c:pt>
                <c:pt idx="15">
                  <c:v>0.33333333333333326</c:v>
                </c:pt>
                <c:pt idx="16">
                  <c:v>0.33333333333333326</c:v>
                </c:pt>
                <c:pt idx="17">
                  <c:v>0.33333333333333326</c:v>
                </c:pt>
                <c:pt idx="18">
                  <c:v>0.33333333333333326</c:v>
                </c:pt>
                <c:pt idx="19">
                  <c:v>0.33333333333333326</c:v>
                </c:pt>
              </c:numCache>
            </c:numRef>
          </c:xVal>
          <c:yVal>
            <c:numRef>
              <c:f>Propulsão!$AN$21:$AN$40</c:f>
              <c:numCache>
                <c:formatCode>#,#00</c:formatCode>
                <c:ptCount val="20"/>
                <c:pt idx="0">
                  <c:v>453.51158730560473</c:v>
                </c:pt>
                <c:pt idx="1">
                  <c:v>435.28533623371465</c:v>
                </c:pt>
                <c:pt idx="2">
                  <c:v>419.48795607722457</c:v>
                </c:pt>
                <c:pt idx="3">
                  <c:v>405.73927664694116</c:v>
                </c:pt>
                <c:pt idx="4">
                  <c:v>393.73225130417029</c:v>
                </c:pt>
                <c:pt idx="5">
                  <c:v>383.21646780223665</c:v>
                </c:pt>
                <c:pt idx="6">
                  <c:v>373.98588298780732</c:v>
                </c:pt>
                <c:pt idx="7">
                  <c:v>365.86957966392305</c:v>
                </c:pt>
                <c:pt idx="8">
                  <c:v>358.72471738527048</c:v>
                </c:pt>
                <c:pt idx="9">
                  <c:v>352.4310972420011</c:v>
                </c:pt>
                <c:pt idx="10">
                  <c:v>346.88692859870247</c:v>
                </c:pt>
                <c:pt idx="11">
                  <c:v>342.00550110811673</c:v>
                </c:pt>
                <c:pt idx="12">
                  <c:v>337.71254572324273</c:v>
                </c:pt>
                <c:pt idx="13">
                  <c:v>333.94412523286741</c:v>
                </c:pt>
                <c:pt idx="14">
                  <c:v>330.64493547729586</c:v>
                </c:pt>
                <c:pt idx="15">
                  <c:v>327.7669278076234</c:v>
                </c:pt>
                <c:pt idx="16">
                  <c:v>325.26818487014475</c:v>
                </c:pt>
                <c:pt idx="17">
                  <c:v>323.11199771008205</c:v>
                </c:pt>
                <c:pt idx="18">
                  <c:v>321.26610407809488</c:v>
                </c:pt>
                <c:pt idx="19">
                  <c:v>319.70205680084888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Propulsão!$AO$14:$AO$16</c:f>
              <c:strCache>
                <c:ptCount val="1"/>
                <c:pt idx="0">
                  <c:v>D = 0.500 m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Propulsão!$AI$21:$AI$40</c:f>
              <c:numCache>
                <c:formatCode>0,000</c:formatCode>
                <c:ptCount val="20"/>
                <c:pt idx="0">
                  <c:v>0.33333333333333326</c:v>
                </c:pt>
                <c:pt idx="1">
                  <c:v>0.33333333333333326</c:v>
                </c:pt>
                <c:pt idx="2">
                  <c:v>0.33333333333333326</c:v>
                </c:pt>
                <c:pt idx="3">
                  <c:v>0.33333333333333326</c:v>
                </c:pt>
                <c:pt idx="4">
                  <c:v>0.33333333333333326</c:v>
                </c:pt>
                <c:pt idx="5">
                  <c:v>0.33333333333333326</c:v>
                </c:pt>
                <c:pt idx="6">
                  <c:v>0.33333333333333326</c:v>
                </c:pt>
                <c:pt idx="7">
                  <c:v>0.33333333333333326</c:v>
                </c:pt>
                <c:pt idx="8">
                  <c:v>0.33333333333333326</c:v>
                </c:pt>
                <c:pt idx="9">
                  <c:v>0.33333333333333326</c:v>
                </c:pt>
                <c:pt idx="10">
                  <c:v>0.33333333333333326</c:v>
                </c:pt>
                <c:pt idx="11">
                  <c:v>0.33333333333333326</c:v>
                </c:pt>
                <c:pt idx="12">
                  <c:v>0.33333333333333326</c:v>
                </c:pt>
                <c:pt idx="13">
                  <c:v>0.33333333333333326</c:v>
                </c:pt>
                <c:pt idx="14">
                  <c:v>0.33333333333333326</c:v>
                </c:pt>
                <c:pt idx="15">
                  <c:v>0.33333333333333326</c:v>
                </c:pt>
                <c:pt idx="16">
                  <c:v>0.33333333333333326</c:v>
                </c:pt>
                <c:pt idx="17">
                  <c:v>0.33333333333333326</c:v>
                </c:pt>
                <c:pt idx="18">
                  <c:v>0.33333333333333326</c:v>
                </c:pt>
                <c:pt idx="19">
                  <c:v>0.33333333333333326</c:v>
                </c:pt>
              </c:numCache>
            </c:numRef>
          </c:xVal>
          <c:yVal>
            <c:numRef>
              <c:f>Propulsão!$AO$21:$AO$40</c:f>
              <c:numCache>
                <c:formatCode>#,#00</c:formatCode>
                <c:ptCount val="20"/>
                <c:pt idx="0">
                  <c:v>450.05165278242623</c:v>
                </c:pt>
                <c:pt idx="1">
                  <c:v>431.92664436694997</c:v>
                </c:pt>
                <c:pt idx="2">
                  <c:v>416.21252080254527</c:v>
                </c:pt>
                <c:pt idx="3">
                  <c:v>402.53175522836034</c:v>
                </c:pt>
                <c:pt idx="4">
                  <c:v>390.57942696848022</c:v>
                </c:pt>
                <c:pt idx="5">
                  <c:v>380.1068502785896</c:v>
                </c:pt>
                <c:pt idx="6">
                  <c:v>370.90939653102788</c:v>
                </c:pt>
                <c:pt idx="7">
                  <c:v>362.81731684676089</c:v>
                </c:pt>
                <c:pt idx="8">
                  <c:v>355.68874293143557</c:v>
                </c:pt>
                <c:pt idx="9">
                  <c:v>349.40429035431117</c:v>
                </c:pt>
                <c:pt idx="10">
                  <c:v>343.86285520172129</c:v>
                </c:pt>
                <c:pt idx="11">
                  <c:v>338.97830955507953</c:v>
                </c:pt>
                <c:pt idx="12">
                  <c:v>334.67688106686217</c:v>
                </c:pt>
                <c:pt idx="13">
                  <c:v>330.89505829997563</c:v>
                </c:pt>
                <c:pt idx="14">
                  <c:v>327.57790383523763</c:v>
                </c:pt>
                <c:pt idx="15">
                  <c:v>324.67768634692999</c:v>
                </c:pt>
                <c:pt idx="16">
                  <c:v>322.15276421010191</c:v>
                </c:pt>
                <c:pt idx="17">
                  <c:v>319.96666900159113</c:v>
                </c:pt>
                <c:pt idx="18">
                  <c:v>318.08734906043651</c:v>
                </c:pt>
                <c:pt idx="19">
                  <c:v>316.48654218618384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071680"/>
        <c:axId val="162072256"/>
      </c:scatterChart>
      <c:valAx>
        <c:axId val="162071680"/>
        <c:scaling>
          <c:orientation val="minMax"/>
        </c:scaling>
        <c:delete val="0"/>
        <c:axPos val="b"/>
        <c:numFmt formatCode="0,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2072256"/>
        <c:crosses val="autoZero"/>
        <c:crossBetween val="midCat"/>
      </c:valAx>
      <c:valAx>
        <c:axId val="162072256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Pmotor, W</a:t>
                </a:r>
              </a:p>
            </c:rich>
          </c:tx>
          <c:layout>
            <c:manualLayout>
              <c:xMode val="edge"/>
              <c:yMode val="edge"/>
              <c:x val="3.5459317585301853E-2"/>
              <c:y val="0.37787525088775675"/>
            </c:manualLayout>
          </c:layout>
          <c:overlay val="0"/>
          <c:spPr>
            <a:noFill/>
            <a:ln w="25400">
              <a:noFill/>
            </a:ln>
          </c:spPr>
        </c:title>
        <c:numFmt formatCode="#,#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20716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79464379452568434"/>
          <c:y val="0.29705913231434311"/>
          <c:w val="0.96205474315710537"/>
          <c:h val="0.60294179404045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178300663779541"/>
          <c:y val="7.4975252309296359E-2"/>
          <c:w val="0.5961592984324241"/>
          <c:h val="0.8007356946632852"/>
        </c:manualLayout>
      </c:layout>
      <c:scatterChart>
        <c:scatterStyle val="lineMarker"/>
        <c:varyColors val="0"/>
        <c:ser>
          <c:idx val="0"/>
          <c:order val="0"/>
          <c:tx>
            <c:strRef>
              <c:f>Propulsão!$AS$14:$AS$16</c:f>
              <c:strCache>
                <c:ptCount val="1"/>
                <c:pt idx="0">
                  <c:v>D = 0.305 m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Propulsão!$AQ$21:$AQ$40</c:f>
              <c:numCache>
                <c:formatCode>0,000</c:formatCode>
                <c:ptCount val="20"/>
                <c:pt idx="0">
                  <c:v>0.33333333333333326</c:v>
                </c:pt>
                <c:pt idx="1">
                  <c:v>0.33333333333333326</c:v>
                </c:pt>
                <c:pt idx="2">
                  <c:v>0.33333333333333326</c:v>
                </c:pt>
                <c:pt idx="3">
                  <c:v>0.33333333333333326</c:v>
                </c:pt>
                <c:pt idx="4">
                  <c:v>0.33333333333333326</c:v>
                </c:pt>
                <c:pt idx="5">
                  <c:v>0.33333333333333326</c:v>
                </c:pt>
                <c:pt idx="6">
                  <c:v>0.33333333333333326</c:v>
                </c:pt>
                <c:pt idx="7">
                  <c:v>0.33333333333333326</c:v>
                </c:pt>
                <c:pt idx="8">
                  <c:v>0.33333333333333326</c:v>
                </c:pt>
                <c:pt idx="9">
                  <c:v>0.33333333333333326</c:v>
                </c:pt>
                <c:pt idx="10">
                  <c:v>0.33333333333333326</c:v>
                </c:pt>
                <c:pt idx="11">
                  <c:v>0.33333333333333326</c:v>
                </c:pt>
                <c:pt idx="12">
                  <c:v>0.33333333333333326</c:v>
                </c:pt>
                <c:pt idx="13">
                  <c:v>0.33333333333333326</c:v>
                </c:pt>
                <c:pt idx="14">
                  <c:v>0.33333333333333326</c:v>
                </c:pt>
                <c:pt idx="15">
                  <c:v>0.33333333333333326</c:v>
                </c:pt>
                <c:pt idx="16">
                  <c:v>0.33333333333333326</c:v>
                </c:pt>
                <c:pt idx="17">
                  <c:v>0.33333333333333326</c:v>
                </c:pt>
                <c:pt idx="18">
                  <c:v>0.33333333333333326</c:v>
                </c:pt>
                <c:pt idx="19">
                  <c:v>0.33333333333333326</c:v>
                </c:pt>
              </c:numCache>
            </c:numRef>
          </c:xVal>
          <c:yVal>
            <c:numRef>
              <c:f>Propulsão!$AS$21:$AS$40</c:f>
              <c:numCache>
                <c:formatCode>#,#00</c:formatCode>
                <c:ptCount val="20"/>
                <c:pt idx="0">
                  <c:v>58.944490907540008</c:v>
                </c:pt>
                <c:pt idx="1">
                  <c:v>57.582418824321387</c:v>
                </c:pt>
                <c:pt idx="2">
                  <c:v>56.629690584423848</c:v>
                </c:pt>
                <c:pt idx="3">
                  <c:v>56.013569724563887</c:v>
                </c:pt>
                <c:pt idx="4">
                  <c:v>55.682033191310289</c:v>
                </c:pt>
                <c:pt idx="5">
                  <c:v>55.597418928955996</c:v>
                </c:pt>
                <c:pt idx="6">
                  <c:v>55.732394520495262</c:v>
                </c:pt>
                <c:pt idx="7">
                  <c:v>56.067328606698666</c:v>
                </c:pt>
                <c:pt idx="8">
                  <c:v>56.58854846420752</c:v>
                </c:pt>
                <c:pt idx="9">
                  <c:v>57.287182297805209</c:v>
                </c:pt>
                <c:pt idx="10">
                  <c:v>58.158406214090363</c:v>
                </c:pt>
                <c:pt idx="11">
                  <c:v>59.200988077261997</c:v>
                </c:pt>
                <c:pt idx="12">
                  <c:v>60.417066276515648</c:v>
                </c:pt>
                <c:pt idx="13">
                  <c:v>61.812133314457931</c:v>
                </c:pt>
                <c:pt idx="14">
                  <c:v>63.395219595207678</c:v>
                </c:pt>
                <c:pt idx="15">
                  <c:v>65.179297291572524</c:v>
                </c:pt>
                <c:pt idx="16">
                  <c:v>67.18195286490807</c:v>
                </c:pt>
                <c:pt idx="17">
                  <c:v>69.426416282923384</c:v>
                </c:pt>
                <c:pt idx="18">
                  <c:v>71.943095651270212</c:v>
                </c:pt>
                <c:pt idx="19">
                  <c:v>74.77186656674904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Propulsão!$AT$14:$AT$16</c:f>
              <c:strCache>
                <c:ptCount val="1"/>
                <c:pt idx="0">
                  <c:v>D = 0.313 m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Propulsão!$AQ$21:$AQ$40</c:f>
              <c:numCache>
                <c:formatCode>0,000</c:formatCode>
                <c:ptCount val="20"/>
                <c:pt idx="0">
                  <c:v>0.33333333333333326</c:v>
                </c:pt>
                <c:pt idx="1">
                  <c:v>0.33333333333333326</c:v>
                </c:pt>
                <c:pt idx="2">
                  <c:v>0.33333333333333326</c:v>
                </c:pt>
                <c:pt idx="3">
                  <c:v>0.33333333333333326</c:v>
                </c:pt>
                <c:pt idx="4">
                  <c:v>0.33333333333333326</c:v>
                </c:pt>
                <c:pt idx="5">
                  <c:v>0.33333333333333326</c:v>
                </c:pt>
                <c:pt idx="6">
                  <c:v>0.33333333333333326</c:v>
                </c:pt>
                <c:pt idx="7">
                  <c:v>0.33333333333333326</c:v>
                </c:pt>
                <c:pt idx="8">
                  <c:v>0.33333333333333326</c:v>
                </c:pt>
                <c:pt idx="9">
                  <c:v>0.33333333333333326</c:v>
                </c:pt>
                <c:pt idx="10">
                  <c:v>0.33333333333333326</c:v>
                </c:pt>
                <c:pt idx="11">
                  <c:v>0.33333333333333326</c:v>
                </c:pt>
                <c:pt idx="12">
                  <c:v>0.33333333333333326</c:v>
                </c:pt>
                <c:pt idx="13">
                  <c:v>0.33333333333333326</c:v>
                </c:pt>
                <c:pt idx="14">
                  <c:v>0.33333333333333326</c:v>
                </c:pt>
                <c:pt idx="15">
                  <c:v>0.33333333333333326</c:v>
                </c:pt>
                <c:pt idx="16">
                  <c:v>0.33333333333333326</c:v>
                </c:pt>
                <c:pt idx="17">
                  <c:v>0.33333333333333326</c:v>
                </c:pt>
                <c:pt idx="18">
                  <c:v>0.33333333333333326</c:v>
                </c:pt>
                <c:pt idx="19">
                  <c:v>0.33333333333333326</c:v>
                </c:pt>
              </c:numCache>
            </c:numRef>
          </c:xVal>
          <c:yVal>
            <c:numRef>
              <c:f>Propulsão!$AT$21:$AT$40</c:f>
              <c:numCache>
                <c:formatCode>#,#00</c:formatCode>
                <c:ptCount val="20"/>
                <c:pt idx="0">
                  <c:v>373.30708523513903</c:v>
                </c:pt>
                <c:pt idx="1">
                  <c:v>358.77609233070547</c:v>
                </c:pt>
                <c:pt idx="2">
                  <c:v>346.20014560200497</c:v>
                </c:pt>
                <c:pt idx="3">
                  <c:v>335.27506894345413</c:v>
                </c:pt>
                <c:pt idx="4">
                  <c:v>325.7551021957143</c:v>
                </c:pt>
                <c:pt idx="5">
                  <c:v>317.43974380013969</c:v>
                </c:pt>
                <c:pt idx="6">
                  <c:v>310.1639608909984</c:v>
                </c:pt>
                <c:pt idx="7">
                  <c:v>303.7908094293133</c:v>
                </c:pt>
                <c:pt idx="8">
                  <c:v>298.20580436928697</c:v>
                </c:pt>
                <c:pt idx="9">
                  <c:v>293.3125775971169</c:v>
                </c:pt>
                <c:pt idx="10">
                  <c:v>289.02949514417804</c:v>
                </c:pt>
                <c:pt idx="11">
                  <c:v>285.28699709004076</c:v>
                </c:pt>
                <c:pt idx="12">
                  <c:v>282.02548765102387</c:v>
                </c:pt>
                <c:pt idx="13">
                  <c:v>279.19364822977849</c:v>
                </c:pt>
                <c:pt idx="14">
                  <c:v>276.74707859931931</c:v>
                </c:pt>
                <c:pt idx="15">
                  <c:v>274.64719484894181</c:v>
                </c:pt>
                <c:pt idx="16">
                  <c:v>272.8603298878607</c:v>
                </c:pt>
                <c:pt idx="17">
                  <c:v>271.35699500435453</c:v>
                </c:pt>
                <c:pt idx="18">
                  <c:v>270.11127047558489</c:v>
                </c:pt>
                <c:pt idx="19">
                  <c:v>269.10030040384834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Propulsão!$AU$14:$AU$16</c:f>
              <c:strCache>
                <c:ptCount val="1"/>
                <c:pt idx="0">
                  <c:v>D = 0.375 m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Propulsão!$AQ$21:$AQ$40</c:f>
              <c:numCache>
                <c:formatCode>0,000</c:formatCode>
                <c:ptCount val="20"/>
                <c:pt idx="0">
                  <c:v>0.33333333333333326</c:v>
                </c:pt>
                <c:pt idx="1">
                  <c:v>0.33333333333333326</c:v>
                </c:pt>
                <c:pt idx="2">
                  <c:v>0.33333333333333326</c:v>
                </c:pt>
                <c:pt idx="3">
                  <c:v>0.33333333333333326</c:v>
                </c:pt>
                <c:pt idx="4">
                  <c:v>0.33333333333333326</c:v>
                </c:pt>
                <c:pt idx="5">
                  <c:v>0.33333333333333326</c:v>
                </c:pt>
                <c:pt idx="6">
                  <c:v>0.33333333333333326</c:v>
                </c:pt>
                <c:pt idx="7">
                  <c:v>0.33333333333333326</c:v>
                </c:pt>
                <c:pt idx="8">
                  <c:v>0.33333333333333326</c:v>
                </c:pt>
                <c:pt idx="9">
                  <c:v>0.33333333333333326</c:v>
                </c:pt>
                <c:pt idx="10">
                  <c:v>0.33333333333333326</c:v>
                </c:pt>
                <c:pt idx="11">
                  <c:v>0.33333333333333326</c:v>
                </c:pt>
                <c:pt idx="12">
                  <c:v>0.33333333333333326</c:v>
                </c:pt>
                <c:pt idx="13">
                  <c:v>0.33333333333333326</c:v>
                </c:pt>
                <c:pt idx="14">
                  <c:v>0.33333333333333326</c:v>
                </c:pt>
                <c:pt idx="15">
                  <c:v>0.33333333333333326</c:v>
                </c:pt>
                <c:pt idx="16">
                  <c:v>0.33333333333333326</c:v>
                </c:pt>
                <c:pt idx="17">
                  <c:v>0.33333333333333326</c:v>
                </c:pt>
                <c:pt idx="18">
                  <c:v>0.33333333333333326</c:v>
                </c:pt>
                <c:pt idx="19">
                  <c:v>0.33333333333333326</c:v>
                </c:pt>
              </c:numCache>
            </c:numRef>
          </c:xVal>
          <c:yVal>
            <c:numRef>
              <c:f>Propulsão!$AU$21:$AU$40</c:f>
              <c:numCache>
                <c:formatCode>#,#00</c:formatCode>
                <c:ptCount val="20"/>
                <c:pt idx="0">
                  <c:v>365.8485222074342</c:v>
                </c:pt>
                <c:pt idx="1">
                  <c:v>351.52943650160751</c:v>
                </c:pt>
                <c:pt idx="2">
                  <c:v>339.12742459149433</c:v>
                </c:pt>
                <c:pt idx="3">
                  <c:v>328.34387307394968</c:v>
                </c:pt>
                <c:pt idx="4">
                  <c:v>318.93749836859536</c:v>
                </c:pt>
                <c:pt idx="5">
                  <c:v>310.71143665048123</c:v>
                </c:pt>
                <c:pt idx="6">
                  <c:v>303.50363746401229</c:v>
                </c:pt>
                <c:pt idx="7">
                  <c:v>297.17962185879873</c:v>
                </c:pt>
                <c:pt idx="8">
                  <c:v>291.62695758024194</c:v>
                </c:pt>
                <c:pt idx="9">
                  <c:v>286.75099781851088</c:v>
                </c:pt>
                <c:pt idx="10">
                  <c:v>282.47156123190797</c:v>
                </c:pt>
                <c:pt idx="11">
                  <c:v>278.72032112573589</c:v>
                </c:pt>
                <c:pt idx="12">
                  <c:v>275.43873453151122</c:v>
                </c:pt>
                <c:pt idx="13">
                  <c:v>272.57638635315277</c:v>
                </c:pt>
                <c:pt idx="14">
                  <c:v>270.0896555317924</c:v>
                </c:pt>
                <c:pt idx="15">
                  <c:v>267.94063319173404</c:v>
                </c:pt>
                <c:pt idx="16">
                  <c:v>266.0962395743357</c:v>
                </c:pt>
                <c:pt idx="17">
                  <c:v>264.52749902862115</c:v>
                </c:pt>
                <c:pt idx="18">
                  <c:v>263.20894164497651</c:v>
                </c:pt>
                <c:pt idx="19">
                  <c:v>262.11810716202638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Propulsão!$AV$14:$AV$16</c:f>
              <c:strCache>
                <c:ptCount val="1"/>
                <c:pt idx="0">
                  <c:v>D = 0.438 m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Propulsão!$AQ$21:$AQ$40</c:f>
              <c:numCache>
                <c:formatCode>0,000</c:formatCode>
                <c:ptCount val="20"/>
                <c:pt idx="0">
                  <c:v>0.33333333333333326</c:v>
                </c:pt>
                <c:pt idx="1">
                  <c:v>0.33333333333333326</c:v>
                </c:pt>
                <c:pt idx="2">
                  <c:v>0.33333333333333326</c:v>
                </c:pt>
                <c:pt idx="3">
                  <c:v>0.33333333333333326</c:v>
                </c:pt>
                <c:pt idx="4">
                  <c:v>0.33333333333333326</c:v>
                </c:pt>
                <c:pt idx="5">
                  <c:v>0.33333333333333326</c:v>
                </c:pt>
                <c:pt idx="6">
                  <c:v>0.33333333333333326</c:v>
                </c:pt>
                <c:pt idx="7">
                  <c:v>0.33333333333333326</c:v>
                </c:pt>
                <c:pt idx="8">
                  <c:v>0.33333333333333326</c:v>
                </c:pt>
                <c:pt idx="9">
                  <c:v>0.33333333333333326</c:v>
                </c:pt>
                <c:pt idx="10">
                  <c:v>0.33333333333333326</c:v>
                </c:pt>
                <c:pt idx="11">
                  <c:v>0.33333333333333326</c:v>
                </c:pt>
                <c:pt idx="12">
                  <c:v>0.33333333333333326</c:v>
                </c:pt>
                <c:pt idx="13">
                  <c:v>0.33333333333333326</c:v>
                </c:pt>
                <c:pt idx="14">
                  <c:v>0.33333333333333326</c:v>
                </c:pt>
                <c:pt idx="15">
                  <c:v>0.33333333333333326</c:v>
                </c:pt>
                <c:pt idx="16">
                  <c:v>0.33333333333333326</c:v>
                </c:pt>
                <c:pt idx="17">
                  <c:v>0.33333333333333326</c:v>
                </c:pt>
                <c:pt idx="18">
                  <c:v>0.33333333333333326</c:v>
                </c:pt>
                <c:pt idx="19">
                  <c:v>0.33333333333333326</c:v>
                </c:pt>
              </c:numCache>
            </c:numRef>
          </c:xVal>
          <c:yVal>
            <c:numRef>
              <c:f>Propulsão!$AV$21:$AV$40</c:f>
              <c:numCache>
                <c:formatCode>#,#00</c:formatCode>
                <c:ptCount val="20"/>
                <c:pt idx="0">
                  <c:v>361.46680193398322</c:v>
                </c:pt>
                <c:pt idx="1">
                  <c:v>347.27169326735407</c:v>
                </c:pt>
                <c:pt idx="2">
                  <c:v>334.97133335454589</c:v>
                </c:pt>
                <c:pt idx="3">
                  <c:v>324.27036853205158</c:v>
                </c:pt>
                <c:pt idx="4">
                  <c:v>314.93013783135137</c:v>
                </c:pt>
                <c:pt idx="5">
                  <c:v>306.75590791569641</c:v>
                </c:pt>
                <c:pt idx="6">
                  <c:v>299.5873743189934</c:v>
                </c:pt>
                <c:pt idx="7">
                  <c:v>293.29150051793124</c:v>
                </c:pt>
                <c:pt idx="8">
                  <c:v>287.75705472263019</c:v>
                </c:pt>
                <c:pt idx="9">
                  <c:v>282.8903960273957</c:v>
                </c:pt>
                <c:pt idx="10">
                  <c:v>278.61219128078858</c:v>
                </c:pt>
                <c:pt idx="11">
                  <c:v>274.85483317439611</c:v>
                </c:pt>
                <c:pt idx="12">
                  <c:v>271.56039220022609</c:v>
                </c:pt>
                <c:pt idx="13">
                  <c:v>268.67897904539785</c:v>
                </c:pt>
                <c:pt idx="14">
                  <c:v>266.16742541845133</c:v>
                </c:pt>
                <c:pt idx="15">
                  <c:v>263.98821405264147</c:v>
                </c:pt>
                <c:pt idx="16">
                  <c:v>262.10860528574273</c:v>
                </c:pt>
                <c:pt idx="17">
                  <c:v>260.49991993721204</c:v>
                </c:pt>
                <c:pt idx="18">
                  <c:v>259.13694741560948</c:v>
                </c:pt>
                <c:pt idx="19">
                  <c:v>257.99745495260692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Propulsão!$AW$14:$AW$16</c:f>
              <c:strCache>
                <c:ptCount val="1"/>
                <c:pt idx="0">
                  <c:v>D = 0.500 m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Propulsão!$AQ$21:$AQ$40</c:f>
              <c:numCache>
                <c:formatCode>0,000</c:formatCode>
                <c:ptCount val="20"/>
                <c:pt idx="0">
                  <c:v>0.33333333333333326</c:v>
                </c:pt>
                <c:pt idx="1">
                  <c:v>0.33333333333333326</c:v>
                </c:pt>
                <c:pt idx="2">
                  <c:v>0.33333333333333326</c:v>
                </c:pt>
                <c:pt idx="3">
                  <c:v>0.33333333333333326</c:v>
                </c:pt>
                <c:pt idx="4">
                  <c:v>0.33333333333333326</c:v>
                </c:pt>
                <c:pt idx="5">
                  <c:v>0.33333333333333326</c:v>
                </c:pt>
                <c:pt idx="6">
                  <c:v>0.33333333333333326</c:v>
                </c:pt>
                <c:pt idx="7">
                  <c:v>0.33333333333333326</c:v>
                </c:pt>
                <c:pt idx="8">
                  <c:v>0.33333333333333326</c:v>
                </c:pt>
                <c:pt idx="9">
                  <c:v>0.33333333333333326</c:v>
                </c:pt>
                <c:pt idx="10">
                  <c:v>0.33333333333333326</c:v>
                </c:pt>
                <c:pt idx="11">
                  <c:v>0.33333333333333326</c:v>
                </c:pt>
                <c:pt idx="12">
                  <c:v>0.33333333333333326</c:v>
                </c:pt>
                <c:pt idx="13">
                  <c:v>0.33333333333333326</c:v>
                </c:pt>
                <c:pt idx="14">
                  <c:v>0.33333333333333326</c:v>
                </c:pt>
                <c:pt idx="15">
                  <c:v>0.33333333333333326</c:v>
                </c:pt>
                <c:pt idx="16">
                  <c:v>0.33333333333333326</c:v>
                </c:pt>
                <c:pt idx="17">
                  <c:v>0.33333333333333326</c:v>
                </c:pt>
                <c:pt idx="18">
                  <c:v>0.33333333333333326</c:v>
                </c:pt>
                <c:pt idx="19">
                  <c:v>0.33333333333333326</c:v>
                </c:pt>
              </c:numCache>
            </c:numRef>
          </c:xVal>
          <c:yVal>
            <c:numRef>
              <c:f>Propulsão!$AW$21:$AW$40</c:f>
              <c:numCache>
                <c:formatCode>#,#00</c:formatCode>
                <c:ptCount val="20"/>
                <c:pt idx="0">
                  <c:v>358.66813512416769</c:v>
                </c:pt>
                <c:pt idx="1">
                  <c:v>344.55200710174677</c:v>
                </c:pt>
                <c:pt idx="2">
                  <c:v>332.31636063822577</c:v>
                </c:pt>
                <c:pt idx="3">
                  <c:v>321.66792077960235</c:v>
                </c:pt>
                <c:pt idx="4">
                  <c:v>312.36969867634633</c:v>
                </c:pt>
                <c:pt idx="5">
                  <c:v>304.22831903279604</c:v>
                </c:pt>
                <c:pt idx="6">
                  <c:v>297.0845900136016</c:v>
                </c:pt>
                <c:pt idx="7">
                  <c:v>290.80639395753968</c:v>
                </c:pt>
                <c:pt idx="8">
                  <c:v>285.28326347408137</c:v>
                </c:pt>
                <c:pt idx="9">
                  <c:v>280.42219784184664</c:v>
                </c:pt>
                <c:pt idx="10">
                  <c:v>276.14440339228275</c:v>
                </c:pt>
                <c:pt idx="11">
                  <c:v>272.38273004826436</c:v>
                </c:pt>
                <c:pt idx="12">
                  <c:v>269.07963788290823</c:v>
                </c:pt>
                <c:pt idx="13">
                  <c:v>266.1855711617348</c:v>
                </c:pt>
                <c:pt idx="14">
                  <c:v>263.6576485277028</c:v>
                </c:pt>
                <c:pt idx="15">
                  <c:v>261.45860057391508</c:v>
                </c:pt>
                <c:pt idx="16">
                  <c:v>259.55590258167069</c:v>
                </c:pt>
                <c:pt idx="17">
                  <c:v>257.92106243307904</c:v>
                </c:pt>
                <c:pt idx="18">
                  <c:v>256.5290328521757</c:v>
                </c:pt>
                <c:pt idx="19">
                  <c:v>255.35772404064505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073984"/>
        <c:axId val="162074560"/>
      </c:scatterChart>
      <c:valAx>
        <c:axId val="162073984"/>
        <c:scaling>
          <c:orientation val="minMax"/>
        </c:scaling>
        <c:delete val="0"/>
        <c:axPos val="b"/>
        <c:numFmt formatCode="0,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2074560"/>
        <c:crosses val="autoZero"/>
        <c:crossBetween val="midCat"/>
      </c:valAx>
      <c:valAx>
        <c:axId val="162074560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Pmotor, W</a:t>
                </a:r>
              </a:p>
            </c:rich>
          </c:tx>
          <c:layout>
            <c:manualLayout>
              <c:xMode val="edge"/>
              <c:yMode val="edge"/>
              <c:x val="3.5459317585301853E-2"/>
              <c:y val="0.37787525088775675"/>
            </c:manualLayout>
          </c:layout>
          <c:overlay val="0"/>
          <c:spPr>
            <a:noFill/>
            <a:ln w="25400">
              <a:noFill/>
            </a:ln>
          </c:spPr>
        </c:title>
        <c:numFmt formatCode="#,#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20739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79464379452568434"/>
          <c:y val="0.29705913231434311"/>
          <c:w val="0.96205474315710537"/>
          <c:h val="0.60294179404045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2454160789845"/>
          <c:y val="4.908109054888405E-2"/>
          <c:w val="0.64739069111424552"/>
          <c:h val="0.80892908497234806"/>
        </c:manualLayout>
      </c:layout>
      <c:scatterChart>
        <c:scatterStyle val="lineMarker"/>
        <c:varyColors val="0"/>
        <c:ser>
          <c:idx val="0"/>
          <c:order val="0"/>
          <c:tx>
            <c:strRef>
              <c:f>PropulsãoCombustão!$AM$18:$AM$19</c:f>
              <c:strCache>
                <c:ptCount val="1"/>
                <c:pt idx="0">
                  <c:v>Pdis W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PropulsãoCombustão!$AC$21:$AC$52</c:f>
              <c:numCache>
                <c:formatCode>0.00</c:formatCode>
                <c:ptCount val="32"/>
                <c:pt idx="0">
                  <c:v>7.7191871700199744E-3</c:v>
                </c:pt>
                <c:pt idx="1">
                  <c:v>3.8170441198694691</c:v>
                </c:pt>
                <c:pt idx="2">
                  <c:v>7.6744330726747432</c:v>
                </c:pt>
                <c:pt idx="3">
                  <c:v>11.472252190552107</c:v>
                </c:pt>
                <c:pt idx="4">
                  <c:v>15.296336254072653</c:v>
                </c:pt>
                <c:pt idx="5">
                  <c:v>19.313555876354659</c:v>
                </c:pt>
                <c:pt idx="6">
                  <c:v>23.176267051625942</c:v>
                </c:pt>
                <c:pt idx="7">
                  <c:v>27.038978226897346</c:v>
                </c:pt>
                <c:pt idx="8">
                  <c:v>30.901689402168852</c:v>
                </c:pt>
                <c:pt idx="9">
                  <c:v>35.112044583214868</c:v>
                </c:pt>
                <c:pt idx="10">
                  <c:v>40.253699820927032</c:v>
                </c:pt>
                <c:pt idx="11">
                  <c:v>45.357874523821899</c:v>
                </c:pt>
                <c:pt idx="12">
                  <c:v>51.18306592809941</c:v>
                </c:pt>
                <c:pt idx="13">
                  <c:v>56.833924134449774</c:v>
                </c:pt>
                <c:pt idx="14">
                  <c:v>63.640163664542271</c:v>
                </c:pt>
                <c:pt idx="15">
                  <c:v>71.659078459469313</c:v>
                </c:pt>
                <c:pt idx="16">
                  <c:v>82.137089319320154</c:v>
                </c:pt>
                <c:pt idx="17">
                  <c:v>94.991996631065533</c:v>
                </c:pt>
                <c:pt idx="18">
                  <c:v>113.45091923948229</c:v>
                </c:pt>
                <c:pt idx="19">
                  <c:v>117.89022180450296</c:v>
                </c:pt>
                <c:pt idx="20">
                  <c:v>122.69054242247942</c:v>
                </c:pt>
                <c:pt idx="21">
                  <c:v>127.88324041201433</c:v>
                </c:pt>
                <c:pt idx="22">
                  <c:v>133.51993318699772</c:v>
                </c:pt>
                <c:pt idx="23">
                  <c:v>139.64195058635917</c:v>
                </c:pt>
                <c:pt idx="24">
                  <c:v>150.1488534602548</c:v>
                </c:pt>
                <c:pt idx="25">
                  <c:v>159.67027219808836</c:v>
                </c:pt>
                <c:pt idx="26">
                  <c:v>168.76197960057294</c:v>
                </c:pt>
                <c:pt idx="27">
                  <c:v>181.76503577693052</c:v>
                </c:pt>
                <c:pt idx="28">
                  <c:v>199.33116659247648</c:v>
                </c:pt>
                <c:pt idx="29">
                  <c:v>216.6596237581484</c:v>
                </c:pt>
                <c:pt idx="30">
                  <c:v>246.58477573217561</c:v>
                </c:pt>
                <c:pt idx="31">
                  <c:v>276.29628977829395</c:v>
                </c:pt>
              </c:numCache>
            </c:numRef>
          </c:xVal>
          <c:yVal>
            <c:numRef>
              <c:f>PropulsãoCombustão!$AM$21:$AM$52</c:f>
              <c:numCache>
                <c:formatCode>#,#00</c:formatCode>
                <c:ptCount val="32"/>
                <c:pt idx="0">
                  <c:v>0</c:v>
                </c:pt>
                <c:pt idx="1">
                  <c:v>18.664623361669861</c:v>
                </c:pt>
                <c:pt idx="2">
                  <c:v>37.157961233067674</c:v>
                </c:pt>
                <c:pt idx="3">
                  <c:v>54.828278133769004</c:v>
                </c:pt>
                <c:pt idx="4">
                  <c:v>72.058114624054838</c:v>
                </c:pt>
                <c:pt idx="5">
                  <c:v>89.346638600614227</c:v>
                </c:pt>
                <c:pt idx="6">
                  <c:v>105.09782026406876</c:v>
                </c:pt>
                <c:pt idx="7">
                  <c:v>119.23003678866776</c:v>
                </c:pt>
                <c:pt idx="8">
                  <c:v>132.35040010148211</c:v>
                </c:pt>
                <c:pt idx="9">
                  <c:v>147.60678554437499</c:v>
                </c:pt>
                <c:pt idx="10">
                  <c:v>174.54866945941603</c:v>
                </c:pt>
                <c:pt idx="11">
                  <c:v>202.74472389377803</c:v>
                </c:pt>
                <c:pt idx="12">
                  <c:v>234.63328675682209</c:v>
                </c:pt>
                <c:pt idx="13">
                  <c:v>260.30889290792163</c:v>
                </c:pt>
                <c:pt idx="14">
                  <c:v>282.41137179384856</c:v>
                </c:pt>
                <c:pt idx="15">
                  <c:v>304.97256147534335</c:v>
                </c:pt>
                <c:pt idx="16">
                  <c:v>333.41069275082475</c:v>
                </c:pt>
                <c:pt idx="17">
                  <c:v>364.66594858000161</c:v>
                </c:pt>
                <c:pt idx="18">
                  <c:v>404.28763779720657</c:v>
                </c:pt>
                <c:pt idx="19">
                  <c:v>412.15368780462092</c:v>
                </c:pt>
                <c:pt idx="20">
                  <c:v>419.84867102895765</c:v>
                </c:pt>
                <c:pt idx="21">
                  <c:v>427.14921859520615</c:v>
                </c:pt>
                <c:pt idx="22">
                  <c:v>433.66643425644304</c:v>
                </c:pt>
                <c:pt idx="23">
                  <c:v>438.82910681107285</c:v>
                </c:pt>
                <c:pt idx="24">
                  <c:v>453.48016456619035</c:v>
                </c:pt>
                <c:pt idx="25">
                  <c:v>458.86745972946767</c:v>
                </c:pt>
                <c:pt idx="26">
                  <c:v>454.86020016185728</c:v>
                </c:pt>
                <c:pt idx="27">
                  <c:v>448.96734301810847</c:v>
                </c:pt>
                <c:pt idx="28">
                  <c:v>433.21564167601514</c:v>
                </c:pt>
                <c:pt idx="29">
                  <c:v>380.80094131070069</c:v>
                </c:pt>
                <c:pt idx="30">
                  <c:v>279.27364652568622</c:v>
                </c:pt>
                <c:pt idx="31">
                  <c:v>20.612208377660128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076864"/>
        <c:axId val="162077440"/>
      </c:scatterChart>
      <c:scatterChart>
        <c:scatterStyle val="lineMarker"/>
        <c:varyColors val="0"/>
        <c:ser>
          <c:idx val="1"/>
          <c:order val="1"/>
          <c:tx>
            <c:strRef>
              <c:f>PropulsãoCombustão!$AN$18:$AN$19</c:f>
              <c:strCache>
                <c:ptCount val="1"/>
                <c:pt idx="0">
                  <c:v>T N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PropulsãoCombustão!$AC$21:$AC$52</c:f>
              <c:numCache>
                <c:formatCode>0.00</c:formatCode>
                <c:ptCount val="32"/>
                <c:pt idx="0">
                  <c:v>7.7191871700199744E-3</c:v>
                </c:pt>
                <c:pt idx="1">
                  <c:v>3.8170441198694691</c:v>
                </c:pt>
                <c:pt idx="2">
                  <c:v>7.6744330726747432</c:v>
                </c:pt>
                <c:pt idx="3">
                  <c:v>11.472252190552107</c:v>
                </c:pt>
                <c:pt idx="4">
                  <c:v>15.296336254072653</c:v>
                </c:pt>
                <c:pt idx="5">
                  <c:v>19.313555876354659</c:v>
                </c:pt>
                <c:pt idx="6">
                  <c:v>23.176267051625942</c:v>
                </c:pt>
                <c:pt idx="7">
                  <c:v>27.038978226897346</c:v>
                </c:pt>
                <c:pt idx="8">
                  <c:v>30.901689402168852</c:v>
                </c:pt>
                <c:pt idx="9">
                  <c:v>35.112044583214868</c:v>
                </c:pt>
                <c:pt idx="10">
                  <c:v>40.253699820927032</c:v>
                </c:pt>
                <c:pt idx="11">
                  <c:v>45.357874523821899</c:v>
                </c:pt>
                <c:pt idx="12">
                  <c:v>51.18306592809941</c:v>
                </c:pt>
                <c:pt idx="13">
                  <c:v>56.833924134449774</c:v>
                </c:pt>
                <c:pt idx="14">
                  <c:v>63.640163664542271</c:v>
                </c:pt>
                <c:pt idx="15">
                  <c:v>71.659078459469313</c:v>
                </c:pt>
                <c:pt idx="16">
                  <c:v>82.137089319320154</c:v>
                </c:pt>
                <c:pt idx="17">
                  <c:v>94.991996631065533</c:v>
                </c:pt>
                <c:pt idx="18">
                  <c:v>113.45091923948229</c:v>
                </c:pt>
                <c:pt idx="19">
                  <c:v>117.89022180450296</c:v>
                </c:pt>
                <c:pt idx="20">
                  <c:v>122.69054242247942</c:v>
                </c:pt>
                <c:pt idx="21">
                  <c:v>127.88324041201433</c:v>
                </c:pt>
                <c:pt idx="22">
                  <c:v>133.51993318699772</c:v>
                </c:pt>
                <c:pt idx="23">
                  <c:v>139.64195058635917</c:v>
                </c:pt>
                <c:pt idx="24">
                  <c:v>150.1488534602548</c:v>
                </c:pt>
                <c:pt idx="25">
                  <c:v>159.67027219808836</c:v>
                </c:pt>
                <c:pt idx="26">
                  <c:v>168.76197960057294</c:v>
                </c:pt>
                <c:pt idx="27">
                  <c:v>181.76503577693052</c:v>
                </c:pt>
                <c:pt idx="28">
                  <c:v>199.33116659247648</c:v>
                </c:pt>
                <c:pt idx="29">
                  <c:v>216.6596237581484</c:v>
                </c:pt>
                <c:pt idx="30">
                  <c:v>246.58477573217561</c:v>
                </c:pt>
                <c:pt idx="31">
                  <c:v>276.29628977829395</c:v>
                </c:pt>
              </c:numCache>
            </c:numRef>
          </c:xVal>
          <c:yVal>
            <c:numRef>
              <c:f>PropulsãoCombustão!$AN$21:$AN$52</c:f>
              <c:numCache>
                <c:formatCode>0.00</c:formatCode>
                <c:ptCount val="32"/>
                <c:pt idx="0">
                  <c:v>4.8896826463833163</c:v>
                </c:pt>
                <c:pt idx="1">
                  <c:v>4.8896826463833163</c:v>
                </c:pt>
                <c:pt idx="2">
                  <c:v>4.8417227316889146</c:v>
                </c:pt>
                <c:pt idx="3">
                  <c:v>4.7791662270377353</c:v>
                </c:pt>
                <c:pt idx="4">
                  <c:v>4.7107779503130658</c:v>
                </c:pt>
                <c:pt idx="5">
                  <c:v>4.6260862869571788</c:v>
                </c:pt>
                <c:pt idx="6">
                  <c:v>4.5346977820104728</c:v>
                </c:pt>
                <c:pt idx="7">
                  <c:v>4.4095451697041472</c:v>
                </c:pt>
                <c:pt idx="8">
                  <c:v>4.2829364467868984</c:v>
                </c:pt>
                <c:pt idx="9">
                  <c:v>4.2038669895127239</c:v>
                </c:pt>
                <c:pt idx="10">
                  <c:v>4.3362035444085487</c:v>
                </c:pt>
                <c:pt idx="11">
                  <c:v>4.4698804570141677</c:v>
                </c:pt>
                <c:pt idx="12">
                  <c:v>4.5841886194853192</c:v>
                </c:pt>
                <c:pt idx="13">
                  <c:v>4.5801594532901664</c:v>
                </c:pt>
                <c:pt idx="14">
                  <c:v>4.4376210205929194</c:v>
                </c:pt>
                <c:pt idx="15">
                  <c:v>4.2558757723944174</c:v>
                </c:pt>
                <c:pt idx="16">
                  <c:v>4.0591928639613251</c:v>
                </c:pt>
                <c:pt idx="17">
                  <c:v>3.8389083040908885</c:v>
                </c:pt>
                <c:pt idx="18">
                  <c:v>3.5635434613751773</c:v>
                </c:pt>
                <c:pt idx="19">
                  <c:v>3.4960773835878887</c:v>
                </c:pt>
                <c:pt idx="20">
                  <c:v>3.422010535923584</c:v>
                </c:pt>
                <c:pt idx="21">
                  <c:v>3.3401474908226318</c:v>
                </c:pt>
                <c:pt idx="22">
                  <c:v>3.247950318055147</c:v>
                </c:pt>
                <c:pt idx="23">
                  <c:v>3.1425283785824005</c:v>
                </c:pt>
                <c:pt idx="24">
                  <c:v>3.0202019668836977</c:v>
                </c:pt>
                <c:pt idx="25">
                  <c:v>2.8738422376832253</c:v>
                </c:pt>
                <c:pt idx="26">
                  <c:v>2.6952749174365653</c:v>
                </c:pt>
                <c:pt idx="27">
                  <c:v>2.4700410290403503</c:v>
                </c:pt>
                <c:pt idx="28">
                  <c:v>2.1733451509225814</c:v>
                </c:pt>
                <c:pt idx="29">
                  <c:v>1.7575991268953099</c:v>
                </c:pt>
                <c:pt idx="30">
                  <c:v>1.1325660006375047</c:v>
                </c:pt>
                <c:pt idx="31">
                  <c:v>7.4601801327189979E-2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078016"/>
        <c:axId val="163725312"/>
      </c:scatterChart>
      <c:valAx>
        <c:axId val="16207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V, m/s</a:t>
                </a:r>
              </a:p>
            </c:rich>
          </c:tx>
          <c:layout>
            <c:manualLayout>
              <c:xMode val="edge"/>
              <c:yMode val="edge"/>
              <c:x val="0.40620585779050344"/>
              <c:y val="0.92163375300012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2077440"/>
        <c:crosses val="autoZero"/>
        <c:crossBetween val="midCat"/>
      </c:valAx>
      <c:valAx>
        <c:axId val="162077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Pprop, W</a:t>
                </a:r>
              </a:p>
            </c:rich>
          </c:tx>
          <c:layout>
            <c:manualLayout>
              <c:xMode val="edge"/>
              <c:yMode val="edge"/>
              <c:x val="2.2566958959675493E-2"/>
              <c:y val="0.3871953438975208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2076864"/>
        <c:crosses val="autoZero"/>
        <c:crossBetween val="midCat"/>
      </c:valAx>
      <c:valAx>
        <c:axId val="16207801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163725312"/>
        <c:crosses val="autoZero"/>
        <c:crossBetween val="midCat"/>
      </c:valAx>
      <c:valAx>
        <c:axId val="16372531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T, N</a:t>
                </a:r>
              </a:p>
            </c:rich>
          </c:tx>
          <c:layout>
            <c:manualLayout>
              <c:xMode val="edge"/>
              <c:yMode val="edge"/>
              <c:x val="0.80959093891672629"/>
              <c:y val="0.42173378060362776"/>
            </c:manualLayout>
          </c:layout>
          <c:overlay val="0"/>
          <c:spPr>
            <a:noFill/>
            <a:ln w="25400">
              <a:noFill/>
            </a:ln>
          </c:spPr>
        </c:title>
        <c:numFmt formatCode="#.#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2078016"/>
        <c:crosses val="max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6363636363636354"/>
          <c:y val="0.40107026728610795"/>
          <c:w val="0.98721590909090895"/>
          <c:h val="0.486631951754693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2089552238806"/>
          <c:y val="8.1967213114754078E-2"/>
          <c:w val="0.68283582089552253"/>
          <c:h val="0.7836065573770492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Energy!$BE$43:$BE$44</c:f>
              <c:strCache>
                <c:ptCount val="1"/>
                <c:pt idx="0">
                  <c:v>Ereq Wh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Energy!$BD$46:$BD$58</c:f>
              <c:numCache>
                <c:formatCode>0,000</c:formatCode>
                <c:ptCount val="13"/>
                <c:pt idx="0">
                  <c:v>0</c:v>
                </c:pt>
                <c:pt idx="1">
                  <c:v>1.7615012196223032E-3</c:v>
                </c:pt>
                <c:pt idx="2">
                  <c:v>3.3333333333333335</c:v>
                </c:pt>
                <c:pt idx="3">
                  <c:v>3.1</c:v>
                </c:pt>
                <c:pt idx="4">
                  <c:v>2.8666666666666667</c:v>
                </c:pt>
                <c:pt idx="5">
                  <c:v>2.6333333333333333</c:v>
                </c:pt>
                <c:pt idx="6">
                  <c:v>2.4</c:v>
                </c:pt>
                <c:pt idx="7">
                  <c:v>2.1666666666666665</c:v>
                </c:pt>
                <c:pt idx="8">
                  <c:v>1.9333333333333331</c:v>
                </c:pt>
                <c:pt idx="9">
                  <c:v>1.6999999999999997</c:v>
                </c:pt>
                <c:pt idx="10">
                  <c:v>1.4666666666666663</c:v>
                </c:pt>
                <c:pt idx="11">
                  <c:v>1.2333333333333329</c:v>
                </c:pt>
                <c:pt idx="12">
                  <c:v>1</c:v>
                </c:pt>
              </c:numCache>
            </c:numRef>
          </c:xVal>
          <c:yVal>
            <c:numRef>
              <c:f>Energy!$BE$46:$BE$58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1053.1234673480055</c:v>
                </c:pt>
                <c:pt idx="3">
                  <c:v>979.47052560230031</c:v>
                </c:pt>
                <c:pt idx="4">
                  <c:v>905.81758385659509</c:v>
                </c:pt>
                <c:pt idx="5">
                  <c:v>832.16464211088987</c:v>
                </c:pt>
                <c:pt idx="6">
                  <c:v>758.51170036518465</c:v>
                </c:pt>
                <c:pt idx="7">
                  <c:v>684.85875861947943</c:v>
                </c:pt>
                <c:pt idx="8">
                  <c:v>611.20581687377421</c:v>
                </c:pt>
                <c:pt idx="9">
                  <c:v>537.55287512806899</c:v>
                </c:pt>
                <c:pt idx="10">
                  <c:v>463.89993338236371</c:v>
                </c:pt>
                <c:pt idx="11">
                  <c:v>390.24699163665844</c:v>
                </c:pt>
                <c:pt idx="12">
                  <c:v>316.59404989095333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Energy!$BF$43:$BF$44</c:f>
              <c:strCache>
                <c:ptCount val="1"/>
                <c:pt idx="0">
                  <c:v>Eava Wh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Energy!$BD$46:$BD$58</c:f>
              <c:numCache>
                <c:formatCode>0,000</c:formatCode>
                <c:ptCount val="13"/>
                <c:pt idx="0">
                  <c:v>0</c:v>
                </c:pt>
                <c:pt idx="1">
                  <c:v>1.7615012196223032E-3</c:v>
                </c:pt>
                <c:pt idx="2">
                  <c:v>3.3333333333333335</c:v>
                </c:pt>
                <c:pt idx="3">
                  <c:v>3.1</c:v>
                </c:pt>
                <c:pt idx="4">
                  <c:v>2.8666666666666667</c:v>
                </c:pt>
                <c:pt idx="5">
                  <c:v>2.6333333333333333</c:v>
                </c:pt>
                <c:pt idx="6">
                  <c:v>2.4</c:v>
                </c:pt>
                <c:pt idx="7">
                  <c:v>2.1666666666666665</c:v>
                </c:pt>
                <c:pt idx="8">
                  <c:v>1.9333333333333331</c:v>
                </c:pt>
                <c:pt idx="9">
                  <c:v>1.6999999999999997</c:v>
                </c:pt>
                <c:pt idx="10">
                  <c:v>1.4666666666666663</c:v>
                </c:pt>
                <c:pt idx="11">
                  <c:v>1.2333333333333329</c:v>
                </c:pt>
                <c:pt idx="12">
                  <c:v>1</c:v>
                </c:pt>
              </c:numCache>
            </c:numRef>
          </c:xVal>
          <c:yVal>
            <c:numRef>
              <c:f>Energy!$BF$46:$BF$58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Energy!$BG$43:$BG$44</c:f>
              <c:strCache>
                <c:ptCount val="1"/>
                <c:pt idx="0">
                  <c:v>Eext Wh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Energy!$BD$46:$BD$58</c:f>
              <c:numCache>
                <c:formatCode>0,000</c:formatCode>
                <c:ptCount val="13"/>
                <c:pt idx="0">
                  <c:v>0</c:v>
                </c:pt>
                <c:pt idx="1">
                  <c:v>1.7615012196223032E-3</c:v>
                </c:pt>
                <c:pt idx="2">
                  <c:v>3.3333333333333335</c:v>
                </c:pt>
                <c:pt idx="3">
                  <c:v>3.1</c:v>
                </c:pt>
                <c:pt idx="4">
                  <c:v>2.8666666666666667</c:v>
                </c:pt>
                <c:pt idx="5">
                  <c:v>2.6333333333333333</c:v>
                </c:pt>
                <c:pt idx="6">
                  <c:v>2.4</c:v>
                </c:pt>
                <c:pt idx="7">
                  <c:v>2.1666666666666665</c:v>
                </c:pt>
                <c:pt idx="8">
                  <c:v>1.9333333333333331</c:v>
                </c:pt>
                <c:pt idx="9">
                  <c:v>1.6999999999999997</c:v>
                </c:pt>
                <c:pt idx="10">
                  <c:v>1.4666666666666663</c:v>
                </c:pt>
                <c:pt idx="11">
                  <c:v>1.2333333333333329</c:v>
                </c:pt>
                <c:pt idx="12">
                  <c:v>1</c:v>
                </c:pt>
              </c:numCache>
            </c:numRef>
          </c:xVal>
          <c:yVal>
            <c:numRef>
              <c:f>Energy!$BG$46:$BG$58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727616"/>
        <c:axId val="163728192"/>
      </c:scatterChart>
      <c:valAx>
        <c:axId val="163727616"/>
        <c:scaling>
          <c:orientation val="minMax"/>
        </c:scaling>
        <c:delete val="0"/>
        <c:axPos val="b"/>
        <c:numFmt formatCode="0,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3728192"/>
        <c:crosses val="autoZero"/>
        <c:crossBetween val="midCat"/>
      </c:valAx>
      <c:valAx>
        <c:axId val="163728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37276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955223880597019"/>
          <c:y val="0.38032786885245917"/>
          <c:w val="0.14552238805970155"/>
          <c:h val="0.190163934426229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27271418781001E-2"/>
          <c:y val="6.4598982529976631E-2"/>
          <c:w val="0.71367065759696746"/>
          <c:h val="0.81902281421934642"/>
        </c:manualLayout>
      </c:layout>
      <c:scatterChart>
        <c:scatterStyle val="lineMarker"/>
        <c:varyColors val="0"/>
        <c:ser>
          <c:idx val="1"/>
          <c:order val="1"/>
          <c:tx>
            <c:strRef>
              <c:f>Propeller!$M$6</c:f>
              <c:strCache>
                <c:ptCount val="1"/>
                <c:pt idx="0">
                  <c:v>etap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forward val="0.1"/>
            <c:intercept val="0"/>
            <c:dispRSqr val="0"/>
            <c:dispEq val="1"/>
            <c:trendlineLbl>
              <c:layout>
                <c:manualLayout>
                  <c:x val="9.3087477077865313E-2"/>
                  <c:y val="-0.19651081421764335"/>
                </c:manualLayout>
              </c:layout>
              <c:numFmt formatCode="00.000.000E+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00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</c:trendlineLbl>
          </c:trendline>
          <c:xVal>
            <c:numRef>
              <c:f>Propeller!$K$9:$K$19</c:f>
              <c:numCache>
                <c:formatCode>00,000</c:formatCode>
                <c:ptCount val="11"/>
                <c:pt idx="0">
                  <c:v>2.8121484814398204E-2</c:v>
                </c:pt>
                <c:pt idx="1">
                  <c:v>8.4364454443194611E-2</c:v>
                </c:pt>
                <c:pt idx="2">
                  <c:v>0.16872890888638922</c:v>
                </c:pt>
                <c:pt idx="3">
                  <c:v>0.25309336332958382</c:v>
                </c:pt>
                <c:pt idx="4">
                  <c:v>0.33745781777277845</c:v>
                </c:pt>
                <c:pt idx="5">
                  <c:v>0.42182227221597307</c:v>
                </c:pt>
                <c:pt idx="6">
                  <c:v>0.44994375703037126</c:v>
                </c:pt>
                <c:pt idx="7">
                  <c:v>0.50618672665916764</c:v>
                </c:pt>
                <c:pt idx="8">
                  <c:v>0.56242969628796413</c:v>
                </c:pt>
                <c:pt idx="9">
                  <c:v>0.59055118110236227</c:v>
                </c:pt>
                <c:pt idx="10">
                  <c:v>0.61867266591676051</c:v>
                </c:pt>
              </c:numCache>
            </c:numRef>
          </c:xVal>
          <c:yVal>
            <c:numRef>
              <c:f>Propeller!$M$9:$M$19</c:f>
              <c:numCache>
                <c:formatCode>00,000</c:formatCode>
                <c:ptCount val="11"/>
                <c:pt idx="0">
                  <c:v>7.1265746850629877E-2</c:v>
                </c:pt>
                <c:pt idx="1">
                  <c:v>0.20938063740228502</c:v>
                </c:pt>
                <c:pt idx="2">
                  <c:v>0.39642224800048848</c:v>
                </c:pt>
                <c:pt idx="3">
                  <c:v>0.55040923799251307</c:v>
                </c:pt>
                <c:pt idx="4">
                  <c:v>0.66331829984966506</c:v>
                </c:pt>
                <c:pt idx="5">
                  <c:v>0.72213586196175972</c:v>
                </c:pt>
                <c:pt idx="6">
                  <c:v>0.7249236357632296</c:v>
                </c:pt>
                <c:pt idx="7">
                  <c:v>0.69144405729771585</c:v>
                </c:pt>
                <c:pt idx="8">
                  <c:v>0.56596370769985282</c:v>
                </c:pt>
                <c:pt idx="9">
                  <c:v>0.43314037626628077</c:v>
                </c:pt>
                <c:pt idx="10">
                  <c:v>0.20140515222482436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730496"/>
        <c:axId val="163731072"/>
      </c:scatterChart>
      <c:scatterChart>
        <c:scatterStyle val="lineMarker"/>
        <c:varyColors val="0"/>
        <c:ser>
          <c:idx val="0"/>
          <c:order val="0"/>
          <c:tx>
            <c:strRef>
              <c:f>Propeller!$L$6</c:f>
              <c:strCache>
                <c:ptCount val="1"/>
                <c:pt idx="0">
                  <c:v>Cp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4"/>
            <c:forward val="0.2"/>
            <c:dispRSqr val="0"/>
            <c:dispEq val="1"/>
            <c:trendlineLbl>
              <c:layout>
                <c:manualLayout>
                  <c:x val="9.1536019126567586E-2"/>
                  <c:y val="-0.39126883305378574"/>
                </c:manualLayout>
              </c:layout>
              <c:numFmt formatCode="00.000.000E+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8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</c:trendlineLbl>
          </c:trendline>
          <c:xVal>
            <c:numRef>
              <c:f>Propeller!$K$9:$K$19</c:f>
              <c:numCache>
                <c:formatCode>00,000</c:formatCode>
                <c:ptCount val="11"/>
                <c:pt idx="0">
                  <c:v>2.8121484814398204E-2</c:v>
                </c:pt>
                <c:pt idx="1">
                  <c:v>8.4364454443194611E-2</c:v>
                </c:pt>
                <c:pt idx="2">
                  <c:v>0.16872890888638922</c:v>
                </c:pt>
                <c:pt idx="3">
                  <c:v>0.25309336332958382</c:v>
                </c:pt>
                <c:pt idx="4">
                  <c:v>0.33745781777277845</c:v>
                </c:pt>
                <c:pt idx="5">
                  <c:v>0.42182227221597307</c:v>
                </c:pt>
                <c:pt idx="6">
                  <c:v>0.44994375703037126</c:v>
                </c:pt>
                <c:pt idx="7">
                  <c:v>0.50618672665916764</c:v>
                </c:pt>
                <c:pt idx="8">
                  <c:v>0.56242969628796413</c:v>
                </c:pt>
                <c:pt idx="9">
                  <c:v>0.59055118110236227</c:v>
                </c:pt>
                <c:pt idx="10">
                  <c:v>0.61867266591676051</c:v>
                </c:pt>
              </c:numCache>
            </c:numRef>
          </c:xVal>
          <c:yVal>
            <c:numRef>
              <c:f>Propeller!$L$9:$L$19</c:f>
              <c:numCache>
                <c:formatCode>00,000</c:formatCode>
                <c:ptCount val="11"/>
                <c:pt idx="0">
                  <c:v>3.2574992837848468E-2</c:v>
                </c:pt>
                <c:pt idx="1">
                  <c:v>3.2496828487907622E-2</c:v>
                </c:pt>
                <c:pt idx="2">
                  <c:v>3.20063471920288E-2</c:v>
                </c:pt>
                <c:pt idx="3">
                  <c:v>3.0798707985442698E-2</c:v>
                </c:pt>
                <c:pt idx="4">
                  <c:v>2.85964274258593E-2</c:v>
                </c:pt>
                <c:pt idx="5">
                  <c:v>2.5141563158473809E-2</c:v>
                </c:pt>
                <c:pt idx="6">
                  <c:v>2.3670119270837342E-2</c:v>
                </c:pt>
                <c:pt idx="7">
                  <c:v>2.0189851589721079E-2</c:v>
                </c:pt>
                <c:pt idx="8">
                  <c:v>1.593771095293894E-2</c:v>
                </c:pt>
                <c:pt idx="9">
                  <c:v>1.3502891452281517E-2</c:v>
                </c:pt>
                <c:pt idx="10">
                  <c:v>1.0847257663041203E-2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731648"/>
        <c:axId val="163732224"/>
      </c:scatterChart>
      <c:valAx>
        <c:axId val="163730496"/>
        <c:scaling>
          <c:orientation val="minMax"/>
        </c:scaling>
        <c:delete val="0"/>
        <c:axPos val="b"/>
        <c:numFmt formatCode="#.#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3731072"/>
        <c:crosses val="autoZero"/>
        <c:crossBetween val="midCat"/>
      </c:valAx>
      <c:valAx>
        <c:axId val="1637310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.#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3730496"/>
        <c:crosses val="autoZero"/>
        <c:crossBetween val="midCat"/>
      </c:valAx>
      <c:valAx>
        <c:axId val="163731648"/>
        <c:scaling>
          <c:orientation val="minMax"/>
        </c:scaling>
        <c:delete val="1"/>
        <c:axPos val="b"/>
        <c:numFmt formatCode="00,000" sourceLinked="1"/>
        <c:majorTickMark val="out"/>
        <c:minorTickMark val="none"/>
        <c:tickLblPos val="none"/>
        <c:crossAx val="163732224"/>
        <c:crosses val="autoZero"/>
        <c:crossBetween val="midCat"/>
      </c:valAx>
      <c:valAx>
        <c:axId val="163732224"/>
        <c:scaling>
          <c:orientation val="minMax"/>
        </c:scaling>
        <c:delete val="0"/>
        <c:axPos val="r"/>
        <c:numFmt formatCode="0.0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3731648"/>
        <c:crosses val="max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9531315616797891"/>
          <c:y val="0.40497785061935132"/>
          <c:w val="8.5937500000000014E-2"/>
          <c:h val="0.110859966033657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11" r="0.75000000000000011" t="1" header="0.5" footer="0.5"/>
    <c:pageSetup paperSize="9" orientation="landscape" horizontalDpi="-3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Folha1!$E$17</c:f>
              <c:strCache>
                <c:ptCount val="1"/>
                <c:pt idx="0">
                  <c:v>T(N)</c:v>
                </c:pt>
              </c:strCache>
            </c:strRef>
          </c:tx>
          <c:xVal>
            <c:numRef>
              <c:f>Folha1!$B$18:$B$48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xVal>
          <c:yVal>
            <c:numRef>
              <c:f>Folha1!$E$18:$E$48</c:f>
              <c:numCache>
                <c:formatCode>General</c:formatCode>
                <c:ptCount val="31"/>
                <c:pt idx="0">
                  <c:v>25.18</c:v>
                </c:pt>
                <c:pt idx="1">
                  <c:v>24.59</c:v>
                </c:pt>
                <c:pt idx="2">
                  <c:v>23.98</c:v>
                </c:pt>
                <c:pt idx="3">
                  <c:v>23.36</c:v>
                </c:pt>
                <c:pt idx="4">
                  <c:v>22.72</c:v>
                </c:pt>
                <c:pt idx="5">
                  <c:v>22.07</c:v>
                </c:pt>
                <c:pt idx="6">
                  <c:v>21.4</c:v>
                </c:pt>
                <c:pt idx="7">
                  <c:v>20.72</c:v>
                </c:pt>
                <c:pt idx="8">
                  <c:v>20.03</c:v>
                </c:pt>
                <c:pt idx="9">
                  <c:v>19.329999999999998</c:v>
                </c:pt>
                <c:pt idx="10">
                  <c:v>18.62</c:v>
                </c:pt>
                <c:pt idx="11">
                  <c:v>17.89</c:v>
                </c:pt>
                <c:pt idx="12">
                  <c:v>17.149999999999999</c:v>
                </c:pt>
                <c:pt idx="13">
                  <c:v>16.41</c:v>
                </c:pt>
                <c:pt idx="14">
                  <c:v>15.65</c:v>
                </c:pt>
                <c:pt idx="15">
                  <c:v>14.89</c:v>
                </c:pt>
                <c:pt idx="16">
                  <c:v>14.11</c:v>
                </c:pt>
                <c:pt idx="17">
                  <c:v>13.33</c:v>
                </c:pt>
                <c:pt idx="18">
                  <c:v>12.53</c:v>
                </c:pt>
                <c:pt idx="19">
                  <c:v>11.73</c:v>
                </c:pt>
                <c:pt idx="20">
                  <c:v>10.92</c:v>
                </c:pt>
                <c:pt idx="21">
                  <c:v>10.1</c:v>
                </c:pt>
                <c:pt idx="22">
                  <c:v>9.2750000000000004</c:v>
                </c:pt>
                <c:pt idx="23">
                  <c:v>8.4390000000000001</c:v>
                </c:pt>
                <c:pt idx="24">
                  <c:v>7.5940000000000003</c:v>
                </c:pt>
                <c:pt idx="25">
                  <c:v>6.74</c:v>
                </c:pt>
                <c:pt idx="26">
                  <c:v>5.8780000000000001</c:v>
                </c:pt>
                <c:pt idx="27">
                  <c:v>4.9960000000000004</c:v>
                </c:pt>
                <c:pt idx="28">
                  <c:v>4.1230000000000002</c:v>
                </c:pt>
                <c:pt idx="29">
                  <c:v>3.24</c:v>
                </c:pt>
                <c:pt idx="30">
                  <c:v>2.3319999999999999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Propulsion1!$Z$18</c:f>
              <c:strCache>
                <c:ptCount val="1"/>
              </c:strCache>
            </c:strRef>
          </c:tx>
          <c:xVal>
            <c:numRef>
              <c:f>Propulsion1!$E$21:$E$40</c:f>
              <c:numCache>
                <c:formatCode>#,#00</c:formatCode>
                <c:ptCount val="20"/>
                <c:pt idx="0">
                  <c:v>1E-4</c:v>
                </c:pt>
                <c:pt idx="1">
                  <c:v>1.5790421052631578</c:v>
                </c:pt>
                <c:pt idx="2">
                  <c:v>3.1579842105263154</c:v>
                </c:pt>
                <c:pt idx="3">
                  <c:v>4.7369263157894732</c:v>
                </c:pt>
                <c:pt idx="4">
                  <c:v>6.315868421052631</c:v>
                </c:pt>
                <c:pt idx="5">
                  <c:v>7.8948105263157888</c:v>
                </c:pt>
                <c:pt idx="6">
                  <c:v>9.4737526315789466</c:v>
                </c:pt>
                <c:pt idx="7">
                  <c:v>11.052694736842104</c:v>
                </c:pt>
                <c:pt idx="8">
                  <c:v>12.631636842105262</c:v>
                </c:pt>
                <c:pt idx="9">
                  <c:v>14.21057894736842</c:v>
                </c:pt>
                <c:pt idx="10">
                  <c:v>15.789521052631578</c:v>
                </c:pt>
                <c:pt idx="11">
                  <c:v>17.368463157894737</c:v>
                </c:pt>
                <c:pt idx="12">
                  <c:v>18.947405263157897</c:v>
                </c:pt>
                <c:pt idx="13">
                  <c:v>20.526347368421057</c:v>
                </c:pt>
                <c:pt idx="14">
                  <c:v>22.105289473684216</c:v>
                </c:pt>
                <c:pt idx="15">
                  <c:v>23.684231578947376</c:v>
                </c:pt>
                <c:pt idx="16">
                  <c:v>25.263173684210535</c:v>
                </c:pt>
                <c:pt idx="17">
                  <c:v>26.842115789473695</c:v>
                </c:pt>
                <c:pt idx="18">
                  <c:v>28.421057894736855</c:v>
                </c:pt>
                <c:pt idx="19">
                  <c:v>30</c:v>
                </c:pt>
              </c:numCache>
            </c:numRef>
          </c:xVal>
          <c:yVal>
            <c:numRef>
              <c:f>Propulsion1!$Z$21:$Z$40</c:f>
              <c:numCache>
                <c:formatCode>0,000</c:formatCode>
                <c:ptCount val="20"/>
                <c:pt idx="0">
                  <c:v>25.439036033818873</c:v>
                </c:pt>
                <c:pt idx="1">
                  <c:v>23.439727440661422</c:v>
                </c:pt>
                <c:pt idx="2">
                  <c:v>22.013758189926609</c:v>
                </c:pt>
                <c:pt idx="3">
                  <c:v>20.935194431792038</c:v>
                </c:pt>
                <c:pt idx="4">
                  <c:v>20.055306821200613</c:v>
                </c:pt>
                <c:pt idx="5">
                  <c:v>19.262966608556336</c:v>
                </c:pt>
                <c:pt idx="6">
                  <c:v>18.498577102042812</c:v>
                </c:pt>
                <c:pt idx="7">
                  <c:v>17.737678636325178</c:v>
                </c:pt>
                <c:pt idx="8">
                  <c:v>16.979642923336421</c:v>
                </c:pt>
                <c:pt idx="9">
                  <c:v>16.236949632657705</c:v>
                </c:pt>
                <c:pt idx="10">
                  <c:v>15.526392535030052</c:v>
                </c:pt>
                <c:pt idx="11">
                  <c:v>14.853750637688133</c:v>
                </c:pt>
                <c:pt idx="12">
                  <c:v>14.442479850007254</c:v>
                </c:pt>
                <c:pt idx="13">
                  <c:v>13.805015620812423</c:v>
                </c:pt>
                <c:pt idx="14">
                  <c:v>13.118247008660116</c:v>
                </c:pt>
                <c:pt idx="15">
                  <c:v>12.615473671614728</c:v>
                </c:pt>
                <c:pt idx="16">
                  <c:v>11.518210076999237</c:v>
                </c:pt>
                <c:pt idx="17">
                  <c:v>10.242334015605403</c:v>
                </c:pt>
                <c:pt idx="18">
                  <c:v>8.932462234328451</c:v>
                </c:pt>
                <c:pt idx="19">
                  <c:v>7.5797147398635589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71328"/>
        <c:axId val="168371904"/>
      </c:scatterChart>
      <c:valAx>
        <c:axId val="16837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168371904"/>
        <c:crosses val="autoZero"/>
        <c:crossBetween val="midCat"/>
      </c:valAx>
      <c:valAx>
        <c:axId val="168371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1683713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8023952095808389"/>
          <c:y val="0.44420177237145136"/>
          <c:w val="9.4311377245509198E-2"/>
          <c:h val="0.1050328227571116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PT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436060089576837E-2"/>
          <c:y val="2.8384279475982536E-2"/>
          <c:w val="0.71282170276058843"/>
          <c:h val="0.8733624454148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Folha1!$W$17</c:f>
              <c:strCache>
                <c:ptCount val="1"/>
                <c:pt idx="0">
                  <c:v>CP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4"/>
            <c:forward val="0.5"/>
            <c:dispRSqr val="0"/>
            <c:dispEq val="1"/>
            <c:trendlineLbl>
              <c:layout>
                <c:manualLayout>
                  <c:x val="9.4017250963626744E-2"/>
                  <c:y val="-0.7280831309876491"/>
                </c:manualLayout>
              </c:layout>
              <c:numFmt formatCode="00.000.000E+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PT"/>
                </a:p>
              </c:txPr>
            </c:trendlineLbl>
          </c:trendline>
          <c:xVal>
            <c:numRef>
              <c:f>Folha1!$V$18:$V$48</c:f>
              <c:numCache>
                <c:formatCode>0,000</c:formatCode>
                <c:ptCount val="31"/>
                <c:pt idx="0">
                  <c:v>0</c:v>
                </c:pt>
                <c:pt idx="1">
                  <c:v>1.9317997419115544E-2</c:v>
                </c:pt>
                <c:pt idx="2">
                  <c:v>3.8635994838231089E-2</c:v>
                </c:pt>
                <c:pt idx="3">
                  <c:v>5.7953992257346633E-2</c:v>
                </c:pt>
                <c:pt idx="4">
                  <c:v>7.7271989676462177E-2</c:v>
                </c:pt>
                <c:pt idx="5">
                  <c:v>9.6589987095577728E-2</c:v>
                </c:pt>
                <c:pt idx="6">
                  <c:v>0.11590798451469327</c:v>
                </c:pt>
                <c:pt idx="7">
                  <c:v>0.13509340744171686</c:v>
                </c:pt>
                <c:pt idx="8">
                  <c:v>0.15424124873714978</c:v>
                </c:pt>
                <c:pt idx="9">
                  <c:v>0.17335161871889301</c:v>
                </c:pt>
                <c:pt idx="10">
                  <c:v>0.1922367125984252</c:v>
                </c:pt>
                <c:pt idx="11">
                  <c:v>0.21125408104474747</c:v>
                </c:pt>
                <c:pt idx="12">
                  <c:v>0.22978645179080243</c:v>
                </c:pt>
                <c:pt idx="13">
                  <c:v>0.24845195321458605</c:v>
                </c:pt>
                <c:pt idx="14">
                  <c:v>0.2667865935925483</c:v>
                </c:pt>
                <c:pt idx="15">
                  <c:v>0.28501504879457634</c:v>
                </c:pt>
                <c:pt idx="16">
                  <c:v>0.30284675953967294</c:v>
                </c:pt>
                <c:pt idx="17">
                  <c:v>0.32054182882312127</c:v>
                </c:pt>
                <c:pt idx="18">
                  <c:v>0.33777951254663235</c:v>
                </c:pt>
                <c:pt idx="19">
                  <c:v>0.35485365088377235</c:v>
                </c:pt>
                <c:pt idx="20">
                  <c:v>0.37176656034143041</c:v>
                </c:pt>
                <c:pt idx="21">
                  <c:v>0.3881557058888766</c:v>
                </c:pt>
                <c:pt idx="22">
                  <c:v>0.40398401692325775</c:v>
                </c:pt>
                <c:pt idx="23">
                  <c:v>0.41960695598870351</c:v>
                </c:pt>
                <c:pt idx="24">
                  <c:v>0.43502849436638102</c:v>
                </c:pt>
                <c:pt idx="25">
                  <c:v>0.44984093624494381</c:v>
                </c:pt>
                <c:pt idx="26">
                  <c:v>0.46443831544650382</c:v>
                </c:pt>
                <c:pt idx="27">
                  <c:v>0.47839429612252565</c:v>
                </c:pt>
                <c:pt idx="28">
                  <c:v>0.49212598425196852</c:v>
                </c:pt>
                <c:pt idx="29">
                  <c:v>0.50519127586927748</c:v>
                </c:pt>
                <c:pt idx="30">
                  <c:v>0.51802735184417736</c:v>
                </c:pt>
              </c:numCache>
            </c:numRef>
          </c:xVal>
          <c:yVal>
            <c:numRef>
              <c:f>Folha1!$W$18:$W$48</c:f>
              <c:numCache>
                <c:formatCode>General</c:formatCode>
                <c:ptCount val="31"/>
                <c:pt idx="0">
                  <c:v>2.3691464042072171E-2</c:v>
                </c:pt>
                <c:pt idx="1">
                  <c:v>2.3716802506288288E-2</c:v>
                </c:pt>
                <c:pt idx="2">
                  <c:v>2.373580635445038E-2</c:v>
                </c:pt>
                <c:pt idx="3">
                  <c:v>2.3742140970504411E-2</c:v>
                </c:pt>
                <c:pt idx="4">
                  <c:v>2.3742140970504411E-2</c:v>
                </c:pt>
                <c:pt idx="5">
                  <c:v>2.3716802506288288E-2</c:v>
                </c:pt>
                <c:pt idx="6">
                  <c:v>2.3678794809964109E-2</c:v>
                </c:pt>
                <c:pt idx="7">
                  <c:v>2.3546059520556367E-2</c:v>
                </c:pt>
                <c:pt idx="8">
                  <c:v>2.3395074954506167E-2</c:v>
                </c:pt>
                <c:pt idx="9">
                  <c:v>2.321344582397071E-2</c:v>
                </c:pt>
                <c:pt idx="10">
                  <c:v>2.2940364947819068E-2</c:v>
                </c:pt>
                <c:pt idx="11">
                  <c:v>2.2711463277994257E-2</c:v>
                </c:pt>
                <c:pt idx="12">
                  <c:v>2.2315777051939198E-2</c:v>
                </c:pt>
                <c:pt idx="13">
                  <c:v>2.1959083070694947E-2</c:v>
                </c:pt>
                <c:pt idx="14">
                  <c:v>2.150685684626084E-2</c:v>
                </c:pt>
                <c:pt idx="15">
                  <c:v>2.101916842935463E-2</c:v>
                </c:pt>
                <c:pt idx="16">
                  <c:v>2.0443890646766664E-2</c:v>
                </c:pt>
                <c:pt idx="17">
                  <c:v>1.9838710316957657E-2</c:v>
                </c:pt>
                <c:pt idx="18">
                  <c:v>1.9144116640929309E-2</c:v>
                </c:pt>
                <c:pt idx="19">
                  <c:v>1.842646358246891E-2</c:v>
                </c:pt>
                <c:pt idx="20">
                  <c:v>1.7675704080815025E-2</c:v>
                </c:pt>
                <c:pt idx="21">
                  <c:v>1.6845961080993416E-2</c:v>
                </c:pt>
                <c:pt idx="22">
                  <c:v>1.5952268800142416E-2</c:v>
                </c:pt>
                <c:pt idx="23">
                  <c:v>1.5030220850351609E-2</c:v>
                </c:pt>
                <c:pt idx="24">
                  <c:v>1.4092554620947001E-2</c:v>
                </c:pt>
                <c:pt idx="25">
                  <c:v>1.3094575476896001E-2</c:v>
                </c:pt>
                <c:pt idx="26">
                  <c:v>1.2080234616723858E-2</c:v>
                </c:pt>
                <c:pt idx="27">
                  <c:v>1.1031440613802195E-2</c:v>
                </c:pt>
                <c:pt idx="28">
                  <c:v>9.970916221702434E-3</c:v>
                </c:pt>
                <c:pt idx="29">
                  <c:v>8.8723953575251483E-3</c:v>
                </c:pt>
                <c:pt idx="30">
                  <c:v>7.7994783447575024E-3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73632"/>
        <c:axId val="168374208"/>
      </c:scatterChart>
      <c:scatterChart>
        <c:scatterStyle val="lineMarker"/>
        <c:varyColors val="0"/>
        <c:ser>
          <c:idx val="1"/>
          <c:order val="1"/>
          <c:tx>
            <c:strRef>
              <c:f>Folha1!$K$17</c:f>
              <c:strCache>
                <c:ptCount val="1"/>
                <c:pt idx="0">
                  <c:v>effprop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forward val="0.5"/>
            <c:intercept val="0"/>
            <c:dispRSqr val="0"/>
            <c:dispEq val="1"/>
            <c:trendlineLbl>
              <c:layout>
                <c:manualLayout>
                  <c:x val="0.11770523830477328"/>
                  <c:y val="6.6676694339861745E-2"/>
                </c:manualLayout>
              </c:layout>
              <c:numFmt formatCode="00.000.000E+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PT"/>
                </a:p>
              </c:txPr>
            </c:trendlineLbl>
          </c:trendline>
          <c:xVal>
            <c:numRef>
              <c:f>Folha1!$V$18:$V$48</c:f>
              <c:numCache>
                <c:formatCode>0,000</c:formatCode>
                <c:ptCount val="31"/>
                <c:pt idx="0">
                  <c:v>0</c:v>
                </c:pt>
                <c:pt idx="1">
                  <c:v>1.9317997419115544E-2</c:v>
                </c:pt>
                <c:pt idx="2">
                  <c:v>3.8635994838231089E-2</c:v>
                </c:pt>
                <c:pt idx="3">
                  <c:v>5.7953992257346633E-2</c:v>
                </c:pt>
                <c:pt idx="4">
                  <c:v>7.7271989676462177E-2</c:v>
                </c:pt>
                <c:pt idx="5">
                  <c:v>9.6589987095577728E-2</c:v>
                </c:pt>
                <c:pt idx="6">
                  <c:v>0.11590798451469327</c:v>
                </c:pt>
                <c:pt idx="7">
                  <c:v>0.13509340744171686</c:v>
                </c:pt>
                <c:pt idx="8">
                  <c:v>0.15424124873714978</c:v>
                </c:pt>
                <c:pt idx="9">
                  <c:v>0.17335161871889301</c:v>
                </c:pt>
                <c:pt idx="10">
                  <c:v>0.1922367125984252</c:v>
                </c:pt>
                <c:pt idx="11">
                  <c:v>0.21125408104474747</c:v>
                </c:pt>
                <c:pt idx="12">
                  <c:v>0.22978645179080243</c:v>
                </c:pt>
                <c:pt idx="13">
                  <c:v>0.24845195321458605</c:v>
                </c:pt>
                <c:pt idx="14">
                  <c:v>0.2667865935925483</c:v>
                </c:pt>
                <c:pt idx="15">
                  <c:v>0.28501504879457634</c:v>
                </c:pt>
                <c:pt idx="16">
                  <c:v>0.30284675953967294</c:v>
                </c:pt>
                <c:pt idx="17">
                  <c:v>0.32054182882312127</c:v>
                </c:pt>
                <c:pt idx="18">
                  <c:v>0.33777951254663235</c:v>
                </c:pt>
                <c:pt idx="19">
                  <c:v>0.35485365088377235</c:v>
                </c:pt>
                <c:pt idx="20">
                  <c:v>0.37176656034143041</c:v>
                </c:pt>
                <c:pt idx="21">
                  <c:v>0.3881557058888766</c:v>
                </c:pt>
                <c:pt idx="22">
                  <c:v>0.40398401692325775</c:v>
                </c:pt>
                <c:pt idx="23">
                  <c:v>0.41960695598870351</c:v>
                </c:pt>
                <c:pt idx="24">
                  <c:v>0.43502849436638102</c:v>
                </c:pt>
                <c:pt idx="25">
                  <c:v>0.44984093624494381</c:v>
                </c:pt>
                <c:pt idx="26">
                  <c:v>0.46443831544650382</c:v>
                </c:pt>
                <c:pt idx="27">
                  <c:v>0.47839429612252565</c:v>
                </c:pt>
                <c:pt idx="28">
                  <c:v>0.49212598425196852</c:v>
                </c:pt>
                <c:pt idx="29">
                  <c:v>0.50519127586927748</c:v>
                </c:pt>
                <c:pt idx="30">
                  <c:v>0.51802735184417736</c:v>
                </c:pt>
              </c:numCache>
            </c:numRef>
          </c:xVal>
          <c:yVal>
            <c:numRef>
              <c:f>Folha1!$K$18:$K$48</c:f>
              <c:numCache>
                <c:formatCode>General</c:formatCode>
                <c:ptCount val="31"/>
                <c:pt idx="0">
                  <c:v>0</c:v>
                </c:pt>
                <c:pt idx="1">
                  <c:v>6.5699999999999995E-2</c:v>
                </c:pt>
                <c:pt idx="2">
                  <c:v>0.128</c:v>
                </c:pt>
                <c:pt idx="3">
                  <c:v>0.18690000000000001</c:v>
                </c:pt>
                <c:pt idx="4">
                  <c:v>0.24249999999999999</c:v>
                </c:pt>
                <c:pt idx="5">
                  <c:v>0.29470000000000002</c:v>
                </c:pt>
                <c:pt idx="6">
                  <c:v>0.34350000000000003</c:v>
                </c:pt>
                <c:pt idx="7">
                  <c:v>0.3891</c:v>
                </c:pt>
                <c:pt idx="8">
                  <c:v>0.43140000000000001</c:v>
                </c:pt>
                <c:pt idx="9">
                  <c:v>0.47049999999999997</c:v>
                </c:pt>
                <c:pt idx="10">
                  <c:v>0.50649999999999995</c:v>
                </c:pt>
                <c:pt idx="11">
                  <c:v>0.5393</c:v>
                </c:pt>
                <c:pt idx="12">
                  <c:v>0.56910000000000005</c:v>
                </c:pt>
                <c:pt idx="13">
                  <c:v>0.59589999999999999</c:v>
                </c:pt>
                <c:pt idx="14">
                  <c:v>0.61960000000000004</c:v>
                </c:pt>
                <c:pt idx="15">
                  <c:v>0.64029999999999998</c:v>
                </c:pt>
                <c:pt idx="16">
                  <c:v>0.65800000000000003</c:v>
                </c:pt>
                <c:pt idx="17">
                  <c:v>0.67259999999999998</c:v>
                </c:pt>
                <c:pt idx="18">
                  <c:v>0.68420000000000003</c:v>
                </c:pt>
                <c:pt idx="19">
                  <c:v>0.6925</c:v>
                </c:pt>
                <c:pt idx="20">
                  <c:v>0.69740000000000002</c:v>
                </c:pt>
                <c:pt idx="21">
                  <c:v>0.6986</c:v>
                </c:pt>
                <c:pt idx="22">
                  <c:v>0.69599999999999995</c:v>
                </c:pt>
                <c:pt idx="23">
                  <c:v>0.68889999999999996</c:v>
                </c:pt>
                <c:pt idx="24">
                  <c:v>0.67679999999999996</c:v>
                </c:pt>
                <c:pt idx="25">
                  <c:v>0.65880000000000005</c:v>
                </c:pt>
                <c:pt idx="26">
                  <c:v>0.63370000000000004</c:v>
                </c:pt>
                <c:pt idx="27">
                  <c:v>0.59760000000000002</c:v>
                </c:pt>
                <c:pt idx="28">
                  <c:v>0.5524</c:v>
                </c:pt>
                <c:pt idx="29">
                  <c:v>0.49180000000000001</c:v>
                </c:pt>
                <c:pt idx="30">
                  <c:v>0.40579999999999999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74784"/>
        <c:axId val="168375360"/>
      </c:scatterChart>
      <c:valAx>
        <c:axId val="168373632"/>
        <c:scaling>
          <c:orientation val="minMax"/>
        </c:scaling>
        <c:delete val="0"/>
        <c:axPos val="b"/>
        <c:numFmt formatCode="0,0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168374208"/>
        <c:crosses val="autoZero"/>
        <c:crossBetween val="midCat"/>
      </c:valAx>
      <c:valAx>
        <c:axId val="168374208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168373632"/>
        <c:crosses val="autoZero"/>
        <c:crossBetween val="midCat"/>
      </c:valAx>
      <c:valAx>
        <c:axId val="168374784"/>
        <c:scaling>
          <c:orientation val="minMax"/>
        </c:scaling>
        <c:delete val="1"/>
        <c:axPos val="b"/>
        <c:numFmt formatCode="0,000" sourceLinked="1"/>
        <c:majorTickMark val="out"/>
        <c:minorTickMark val="none"/>
        <c:tickLblPos val="none"/>
        <c:crossAx val="168375360"/>
        <c:crosses val="autoZero"/>
        <c:crossBetween val="midCat"/>
      </c:valAx>
      <c:valAx>
        <c:axId val="168375360"/>
        <c:scaling>
          <c:orientation val="minMax"/>
          <c:min val="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168374784"/>
        <c:crosses val="max"/>
        <c:crossBetween val="midCat"/>
      </c:valAx>
    </c:plotArea>
    <c:legend>
      <c:legendPos val="r"/>
      <c:layout>
        <c:manualLayout>
          <c:xMode val="edge"/>
          <c:yMode val="edge"/>
          <c:x val="0.87521511093164628"/>
          <c:y val="0.44541484716157209"/>
          <c:w val="0.10769248715705404"/>
          <c:h val="0.10480349344978146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PT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1" l="0.75000000000000011" r="0.75000000000000011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Solar Azimuth vs. Elevation</a:t>
            </a:r>
            <a:r>
              <a:rPr lang="en-US" baseline="0"/>
              <a:t> Angle</a:t>
            </a:r>
            <a:endParaRPr lang="en-US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Sun!$AH$1</c:f>
              <c:strCache>
                <c:ptCount val="1"/>
                <c:pt idx="0">
                  <c:v>Solar Azimuth Angle (deg cw from N)</c:v>
                </c:pt>
              </c:strCache>
            </c:strRef>
          </c:tx>
          <c:marker>
            <c:symbol val="none"/>
          </c:marker>
          <c:xVal>
            <c:numRef>
              <c:f>Sun!$AG$2:$AG$241</c:f>
              <c:numCache>
                <c:formatCode>General</c:formatCode>
                <c:ptCount val="240"/>
                <c:pt idx="0">
                  <c:v>-51.210925612379128</c:v>
                </c:pt>
                <c:pt idx="1">
                  <c:v>-51.312429074467403</c:v>
                </c:pt>
                <c:pt idx="2">
                  <c:v>-51.364575466308096</c:v>
                </c:pt>
                <c:pt idx="3">
                  <c:v>-51.36716166150606</c:v>
                </c:pt>
                <c:pt idx="4">
                  <c:v>-51.320178569747711</c:v>
                </c:pt>
                <c:pt idx="5">
                  <c:v>-51.223811317119562</c:v>
                </c:pt>
                <c:pt idx="6">
                  <c:v>-51.078435734160593</c:v>
                </c:pt>
                <c:pt idx="7">
                  <c:v>-50.884611301462897</c:v>
                </c:pt>
                <c:pt idx="8">
                  <c:v>-50.643070865513558</c:v>
                </c:pt>
                <c:pt idx="9">
                  <c:v>-50.354707553884637</c:v>
                </c:pt>
                <c:pt idx="10">
                  <c:v>-50.02055942558539</c:v>
                </c:pt>
                <c:pt idx="11">
                  <c:v>-49.641792439598746</c:v>
                </c:pt>
                <c:pt idx="12">
                  <c:v>-49.219682355657724</c:v>
                </c:pt>
                <c:pt idx="13">
                  <c:v>-48.755596155008909</c:v>
                </c:pt>
                <c:pt idx="14">
                  <c:v>-48.250973533902993</c:v>
                </c:pt>
                <c:pt idx="15">
                  <c:v>-47.707308943787467</c:v>
                </c:pt>
                <c:pt idx="16">
                  <c:v>-47.126134578083423</c:v>
                </c:pt>
                <c:pt idx="17">
                  <c:v>-46.509004609710374</c:v>
                </c:pt>
                <c:pt idx="18">
                  <c:v>-45.857480893841341</c:v>
                </c:pt>
                <c:pt idx="19">
                  <c:v>-45.173120271225066</c:v>
                </c:pt>
                <c:pt idx="20">
                  <c:v>-44.4574635243494</c:v>
                </c:pt>
                <c:pt idx="21">
                  <c:v>-43.712025984988813</c:v>
                </c:pt>
                <c:pt idx="22">
                  <c:v>-42.938289732363536</c:v>
                </c:pt>
                <c:pt idx="23">
                  <c:v>-42.137697292595064</c:v>
                </c:pt>
                <c:pt idx="24">
                  <c:v>-41.311646715449527</c:v>
                </c:pt>
                <c:pt idx="25">
                  <c:v>-40.461487897290823</c:v>
                </c:pt>
                <c:pt idx="26">
                  <c:v>-39.588520003476901</c:v>
                </c:pt>
                <c:pt idx="27">
                  <c:v>-38.693989851203192</c:v>
                </c:pt>
                <c:pt idx="28">
                  <c:v>-37.779091110213344</c:v>
                </c:pt>
                <c:pt idx="29">
                  <c:v>-36.844964194831356</c:v>
                </c:pt>
                <c:pt idx="30">
                  <c:v>-35.89269672346645</c:v>
                </c:pt>
                <c:pt idx="31">
                  <c:v>-34.923324440113973</c:v>
                </c:pt>
                <c:pt idx="32">
                  <c:v>-33.937832500231778</c:v>
                </c:pt>
                <c:pt idx="33">
                  <c:v>-32.937157035467436</c:v>
                </c:pt>
                <c:pt idx="34">
                  <c:v>-31.922186926850095</c:v>
                </c:pt>
                <c:pt idx="35">
                  <c:v>-30.893765720367213</c:v>
                </c:pt>
                <c:pt idx="36">
                  <c:v>-29.852693634978511</c:v>
                </c:pt>
                <c:pt idx="37">
                  <c:v>-28.79972961444571</c:v>
                </c:pt>
                <c:pt idx="38">
                  <c:v>-27.735593387796705</c:v>
                </c:pt>
                <c:pt idx="39">
                  <c:v>-26.660967502072506</c:v>
                </c:pt>
                <c:pt idx="40">
                  <c:v>-25.576499301298309</c:v>
                </c:pt>
                <c:pt idx="41">
                  <c:v>-24.48280282140955</c:v>
                </c:pt>
                <c:pt idx="42">
                  <c:v>-23.380460577186806</c:v>
                </c:pt>
                <c:pt idx="43">
                  <c:v>-22.270025208558199</c:v>
                </c:pt>
                <c:pt idx="44">
                  <c:v>-21.152020953539481</c:v>
                </c:pt>
                <c:pt idx="45">
                  <c:v>-20.026944897812669</c:v>
                </c:pt>
                <c:pt idx="46">
                  <c:v>-18.895267936642846</c:v>
                </c:pt>
                <c:pt idx="47">
                  <c:v>-17.757435349070256</c:v>
                </c:pt>
                <c:pt idx="48">
                  <c:v>-16.613866830028513</c:v>
                </c:pt>
                <c:pt idx="49">
                  <c:v>-15.464955736593087</c:v>
                </c:pt>
                <c:pt idx="50">
                  <c:v>-14.311067138223654</c:v>
                </c:pt>
                <c:pt idx="51">
                  <c:v>-13.152533974675741</c:v>
                </c:pt>
                <c:pt idx="52">
                  <c:v>-11.989650070917323</c:v>
                </c:pt>
                <c:pt idx="53">
                  <c:v>-10.822657679284111</c:v>
                </c:pt>
                <c:pt idx="54">
                  <c:v>-9.6517249428401826</c:v>
                </c:pt>
                <c:pt idx="55">
                  <c:v>-8.4769035813827323</c:v>
                </c:pt>
                <c:pt idx="56">
                  <c:v>-7.2980446342742349</c:v>
                </c:pt>
                <c:pt idx="57">
                  <c:v>-6.1146161945019797</c:v>
                </c:pt>
                <c:pt idx="58">
                  <c:v>-4.9252610287805156</c:v>
                </c:pt>
                <c:pt idx="59">
                  <c:v>-3.7265305467481342</c:v>
                </c:pt>
                <c:pt idx="60">
                  <c:v>-2.5082103822122317</c:v>
                </c:pt>
                <c:pt idx="61">
                  <c:v>-1.2258489004859487</c:v>
                </c:pt>
                <c:pt idx="62">
                  <c:v>0.25103273152561689</c:v>
                </c:pt>
                <c:pt idx="63">
                  <c:v>1.281255131971802</c:v>
                </c:pt>
                <c:pt idx="64">
                  <c:v>2.3680856953278071</c:v>
                </c:pt>
                <c:pt idx="65">
                  <c:v>3.4878072415507719</c:v>
                </c:pt>
                <c:pt idx="66">
                  <c:v>4.6259156189212378</c:v>
                </c:pt>
                <c:pt idx="67">
                  <c:v>5.7767354364963062</c:v>
                </c:pt>
                <c:pt idx="68">
                  <c:v>6.9335803468821835</c:v>
                </c:pt>
                <c:pt idx="69">
                  <c:v>8.0937969573459387</c:v>
                </c:pt>
                <c:pt idx="70">
                  <c:v>9.2556160642744523</c:v>
                </c:pt>
                <c:pt idx="71">
                  <c:v>10.417733462768377</c:v>
                </c:pt>
                <c:pt idx="72">
                  <c:v>11.579146801801592</c:v>
                </c:pt>
                <c:pt idx="73">
                  <c:v>12.739048467921894</c:v>
                </c:pt>
                <c:pt idx="74">
                  <c:v>13.89675555365662</c:v>
                </c:pt>
                <c:pt idx="75">
                  <c:v>15.051664460348865</c:v>
                </c:pt>
                <c:pt idx="76">
                  <c:v>16.203221142386909</c:v>
                </c:pt>
                <c:pt idx="77">
                  <c:v>17.35090114834728</c:v>
                </c:pt>
                <c:pt idx="78">
                  <c:v>18.494195823002666</c:v>
                </c:pt>
                <c:pt idx="79">
                  <c:v>19.63260242574254</c:v>
                </c:pt>
                <c:pt idx="80">
                  <c:v>20.765616775723139</c:v>
                </c:pt>
                <c:pt idx="81">
                  <c:v>21.89272754410511</c:v>
                </c:pt>
                <c:pt idx="82">
                  <c:v>23.013411634246435</c:v>
                </c:pt>
                <c:pt idx="83">
                  <c:v>24.127130280598575</c:v>
                </c:pt>
                <c:pt idx="84">
                  <c:v>25.233325626090156</c:v>
                </c:pt>
                <c:pt idx="85">
                  <c:v>26.331417611708797</c:v>
                </c:pt>
                <c:pt idx="86">
                  <c:v>27.420801070286249</c:v>
                </c:pt>
                <c:pt idx="87">
                  <c:v>28.500842946345308</c:v>
                </c:pt>
                <c:pt idx="88">
                  <c:v>29.570879594812912</c:v>
                </c:pt>
                <c:pt idx="89">
                  <c:v>30.630214123819993</c:v>
                </c:pt>
                <c:pt idx="90">
                  <c:v>31.678113767017027</c:v>
                </c:pt>
                <c:pt idx="91">
                  <c:v>32.713807277285198</c:v>
                </c:pt>
                <c:pt idx="92">
                  <c:v>33.736482347507753</c:v>
                </c:pt>
                <c:pt idx="93">
                  <c:v>34.745283074124877</c:v>
                </c:pt>
                <c:pt idx="94">
                  <c:v>35.739307485506636</c:v>
                </c:pt>
                <c:pt idx="95">
                  <c:v>36.717605173364241</c:v>
                </c:pt>
                <c:pt idx="96">
                  <c:v>37.679175069899749</c:v>
                </c:pt>
                <c:pt idx="97">
                  <c:v>38.622963432215407</c:v>
                </c:pt>
                <c:pt idx="98">
                  <c:v>39.547862101489784</c:v>
                </c:pt>
                <c:pt idx="99">
                  <c:v>40.452707125403833</c:v>
                </c:pt>
                <c:pt idx="100">
                  <c:v>41.336277839653611</c:v>
                </c:pt>
                <c:pt idx="101">
                  <c:v>42.19729652678032</c:v>
                </c:pt>
                <c:pt idx="102">
                  <c:v>43.034428777775545</c:v>
                </c:pt>
                <c:pt idx="103">
                  <c:v>43.846284703444489</c:v>
                </c:pt>
                <c:pt idx="104">
                  <c:v>44.631421146312768</c:v>
                </c:pt>
                <c:pt idx="105">
                  <c:v>45.388345059997533</c:v>
                </c:pt>
                <c:pt idx="106">
                  <c:v>46.115518218846027</c:v>
                </c:pt>
                <c:pt idx="107">
                  <c:v>46.811363420931052</c:v>
                </c:pt>
                <c:pt idx="108">
                  <c:v>47.474272334257606</c:v>
                </c:pt>
                <c:pt idx="109">
                  <c:v>48.102615106125839</c:v>
                </c:pt>
                <c:pt idx="110">
                  <c:v>48.694751824991634</c:v>
                </c:pt>
                <c:pt idx="111">
                  <c:v>49.249045861695045</c:v>
                </c:pt>
                <c:pt idx="112">
                  <c:v>49.763879057034089</c:v>
                </c:pt>
                <c:pt idx="113">
                  <c:v>50.237668628902902</c:v>
                </c:pt>
                <c:pt idx="114">
                  <c:v>50.668885584815307</c:v>
                </c:pt>
                <c:pt idx="115">
                  <c:v>51.056074310105686</c:v>
                </c:pt>
                <c:pt idx="116">
                  <c:v>51.397872904232152</c:v>
                </c:pt>
                <c:pt idx="117">
                  <c:v>51.693033725421522</c:v>
                </c:pt>
                <c:pt idx="118">
                  <c:v>51.940443527980733</c:v>
                </c:pt>
                <c:pt idx="119">
                  <c:v>52.139142505483221</c:v>
                </c:pt>
                <c:pt idx="120">
                  <c:v>52.288341538321703</c:v>
                </c:pt>
                <c:pt idx="121">
                  <c:v>52.387436951944018</c:v>
                </c:pt>
                <c:pt idx="122">
                  <c:v>52.436022161772179</c:v>
                </c:pt>
                <c:pt idx="123">
                  <c:v>52.433895690536012</c:v>
                </c:pt>
                <c:pt idx="124">
                  <c:v>52.381065187110806</c:v>
                </c:pt>
                <c:pt idx="125">
                  <c:v>52.277747265283629</c:v>
                </c:pt>
                <c:pt idx="126">
                  <c:v>52.124363164316527</c:v>
                </c:pt>
                <c:pt idx="127">
                  <c:v>51.921530438948913</c:v>
                </c:pt>
                <c:pt idx="128">
                  <c:v>51.670051052246649</c:v>
                </c:pt>
                <c:pt idx="129">
                  <c:v>51.370896403324004</c:v>
                </c:pt>
                <c:pt idx="130">
                  <c:v>51.02518991627732</c:v>
                </c:pt>
                <c:pt idx="131">
                  <c:v>50.634187888648469</c:v>
                </c:pt>
                <c:pt idx="132">
                  <c:v>50.199259299668633</c:v>
                </c:pt>
                <c:pt idx="133">
                  <c:v>49.72186526209142</c:v>
                </c:pt>
                <c:pt idx="134">
                  <c:v>49.203538726641476</c:v>
                </c:pt>
                <c:pt idx="135">
                  <c:v>48.645864971901588</c:v>
                </c:pt>
                <c:pt idx="136">
                  <c:v>48.050463299348195</c:v>
                </c:pt>
                <c:pt idx="137">
                  <c:v>47.418970251729846</c:v>
                </c:pt>
                <c:pt idx="138">
                  <c:v>46.75302456774287</c:v>
                </c:pt>
                <c:pt idx="139">
                  <c:v>46.054253983405147</c:v>
                </c:pt>
                <c:pt idx="140">
                  <c:v>45.324263917554468</c:v>
                </c:pt>
                <c:pt idx="141">
                  <c:v>44.564627999545181</c:v>
                </c:pt>
                <c:pt idx="142">
                  <c:v>43.776880356419404</c:v>
                </c:pt>
                <c:pt idx="143">
                  <c:v>42.962509528055158</c:v>
                </c:pt>
                <c:pt idx="144">
                  <c:v>42.122953866141451</c:v>
                </c:pt>
                <c:pt idx="145">
                  <c:v>41.259598248920177</c:v>
                </c:pt>
                <c:pt idx="146">
                  <c:v>40.373771951300974</c:v>
                </c:pt>
                <c:pt idx="147">
                  <c:v>39.466747502338769</c:v>
                </c:pt>
                <c:pt idx="148">
                  <c:v>38.53974038162675</c:v>
                </c:pt>
                <c:pt idx="149">
                  <c:v>37.59390940712052</c:v>
                </c:pt>
                <c:pt idx="150">
                  <c:v>36.630357691499796</c:v>
                </c:pt>
                <c:pt idx="151">
                  <c:v>35.650134049570106</c:v>
                </c:pt>
                <c:pt idx="152">
                  <c:v>34.654234760079078</c:v>
                </c:pt>
                <c:pt idx="153">
                  <c:v>33.643605599807067</c:v>
                </c:pt>
                <c:pt idx="154">
                  <c:v>32.619144075899065</c:v>
                </c:pt>
                <c:pt idx="155">
                  <c:v>31.581701804411548</c:v>
                </c:pt>
                <c:pt idx="156">
                  <c:v>30.532086984768227</c:v>
                </c:pt>
                <c:pt idx="157">
                  <c:v>29.47106694115465</c:v>
                </c:pt>
                <c:pt idx="158">
                  <c:v>28.399370702019485</c:v>
                </c:pt>
                <c:pt idx="159">
                  <c:v>27.317691608972822</c:v>
                </c:pt>
                <c:pt idx="160">
                  <c:v>26.22668994628383</c:v>
                </c:pt>
                <c:pt idx="161">
                  <c:v>25.12699560281219</c:v>
                </c:pt>
                <c:pt idx="162">
                  <c:v>24.019210780293118</c:v>
                </c:pt>
                <c:pt idx="163">
                  <c:v>22.903912786473477</c:v>
                </c:pt>
                <c:pt idx="164">
                  <c:v>21.781656960805865</c:v>
                </c:pt>
                <c:pt idx="165">
                  <c:v>20.652979816141364</c:v>
                </c:pt>
                <c:pt idx="166">
                  <c:v>19.518402508663197</c:v>
                </c:pt>
                <c:pt idx="167">
                  <c:v>18.378434808814816</c:v>
                </c:pt>
                <c:pt idx="168">
                  <c:v>17.233579829776101</c:v>
                </c:pt>
                <c:pt idx="169">
                  <c:v>16.08433989524136</c:v>
                </c:pt>
                <c:pt idx="170">
                  <c:v>14.931224143553528</c:v>
                </c:pt>
                <c:pt idx="171">
                  <c:v>13.774758790373062</c:v>
                </c:pt>
                <c:pt idx="172">
                  <c:v>12.615501529770484</c:v>
                </c:pt>
                <c:pt idx="173">
                  <c:v>11.45406244947039</c:v>
                </c:pt>
                <c:pt idx="174">
                  <c:v>10.291135328963051</c:v>
                </c:pt>
                <c:pt idx="175">
                  <c:v>9.1275455156547451</c:v>
                </c:pt>
                <c:pt idx="176">
                  <c:v>7.9643238525484827</c:v>
                </c:pt>
                <c:pt idx="177">
                  <c:v>6.8028196063749498</c:v>
                </c:pt>
                <c:pt idx="178">
                  <c:v>5.6448740502160968</c:v>
                </c:pt>
                <c:pt idx="179">
                  <c:v>4.4935243388889221</c:v>
                </c:pt>
                <c:pt idx="180">
                  <c:v>3.3553801350094785</c:v>
                </c:pt>
                <c:pt idx="181">
                  <c:v>2.236839225976742</c:v>
                </c:pt>
                <c:pt idx="182">
                  <c:v>1.1535705243842016</c:v>
                </c:pt>
                <c:pt idx="183">
                  <c:v>0.13052090073017486</c:v>
                </c:pt>
                <c:pt idx="184">
                  <c:v>-1.3930644135725652</c:v>
                </c:pt>
                <c:pt idx="185">
                  <c:v>-2.6634162082891422</c:v>
                </c:pt>
                <c:pt idx="186">
                  <c:v>-3.8804914785819795</c:v>
                </c:pt>
                <c:pt idx="187">
                  <c:v>-5.0801093368884969</c:v>
                </c:pt>
                <c:pt idx="188">
                  <c:v>-6.2710830093897503</c:v>
                </c:pt>
                <c:pt idx="189">
                  <c:v>-7.4564734261687002</c:v>
                </c:pt>
                <c:pt idx="190">
                  <c:v>-8.6374971153041997</c:v>
                </c:pt>
                <c:pt idx="191">
                  <c:v>-9.8146259821093729</c:v>
                </c:pt>
                <c:pt idx="192">
                  <c:v>-10.987980807538666</c:v>
                </c:pt>
                <c:pt idx="193">
                  <c:v>-12.157496017559467</c:v>
                </c:pt>
                <c:pt idx="194">
                  <c:v>-13.322996740537416</c:v>
                </c:pt>
                <c:pt idx="195">
                  <c:v>-14.484237829069242</c:v>
                </c:pt>
                <c:pt idx="196">
                  <c:v>-15.640924761425133</c:v>
                </c:pt>
                <c:pt idx="197">
                  <c:v>-16.792725231248383</c:v>
                </c:pt>
                <c:pt idx="198">
                  <c:v>-17.939275640861943</c:v>
                </c:pt>
                <c:pt idx="199">
                  <c:v>-19.080184653683503</c:v>
                </c:pt>
                <c:pt idx="200">
                  <c:v>-20.215034959150817</c:v>
                </c:pt>
                <c:pt idx="201">
                  <c:v>-21.343383906748528</c:v>
                </c:pt>
                <c:pt idx="202">
                  <c:v>-22.464763385724073</c:v>
                </c:pt>
                <c:pt idx="203">
                  <c:v>-23.578679186233778</c:v>
                </c:pt>
                <c:pt idx="204">
                  <c:v>-24.684609981506249</c:v>
                </c:pt>
                <c:pt idx="205">
                  <c:v>-25.782006029246812</c:v>
                </c:pt>
                <c:pt idx="206">
                  <c:v>-26.870287650181321</c:v>
                </c:pt>
                <c:pt idx="207">
                  <c:v>-27.948843533069304</c:v>
                </c:pt>
                <c:pt idx="208">
                  <c:v>-29.017028894967584</c:v>
                </c:pt>
                <c:pt idx="209">
                  <c:v>-30.074163529684409</c:v>
                </c:pt>
                <c:pt idx="210">
                  <c:v>-31.119529765304126</c:v>
                </c:pt>
                <c:pt idx="211">
                  <c:v>-32.152370360647772</c:v>
                </c:pt>
                <c:pt idx="212">
                  <c:v>-33.171886367371414</c:v>
                </c:pt>
                <c:pt idx="213">
                  <c:v>-34.177234988299809</c:v>
                </c:pt>
                <c:pt idx="214">
                  <c:v>-35.167527473771351</c:v>
                </c:pt>
                <c:pt idx="215">
                  <c:v>-36.141827095738044</c:v>
                </c:pt>
                <c:pt idx="216">
                  <c:v>-37.099147257899403</c:v>
                </c:pt>
                <c:pt idx="217">
                  <c:v>-38.038449799410628</c:v>
                </c:pt>
                <c:pt idx="218">
                  <c:v>-38.958643571053209</c:v>
                </c:pt>
                <c:pt idx="219">
                  <c:v>-39.858583364087337</c:v>
                </c:pt>
                <c:pt idx="220">
                  <c:v>-40.737069295251786</c:v>
                </c:pt>
                <c:pt idx="221">
                  <c:v>-41.592846753584539</c:v>
                </c:pt>
                <c:pt idx="222">
                  <c:v>-42.42460703817698</c:v>
                </c:pt>
                <c:pt idx="223">
                  <c:v>-43.230988816598618</c:v>
                </c:pt>
                <c:pt idx="224">
                  <c:v>-44.010580554069243</c:v>
                </c:pt>
                <c:pt idx="225">
                  <c:v>-44.761924058449068</c:v>
                </c:pt>
                <c:pt idx="226">
                  <c:v>-45.48351929668241</c:v>
                </c:pt>
                <c:pt idx="227">
                  <c:v>-46.173830626293025</c:v>
                </c:pt>
                <c:pt idx="228">
                  <c:v>-46.831294570766055</c:v>
                </c:pt>
                <c:pt idx="229">
                  <c:v>-47.454329248661033</c:v>
                </c:pt>
                <c:pt idx="230">
                  <c:v>-48.041345518721002</c:v>
                </c:pt>
                <c:pt idx="231">
                  <c:v>-48.590759863642312</c:v>
                </c:pt>
                <c:pt idx="232">
                  <c:v>-49.101008958779957</c:v>
                </c:pt>
                <c:pt idx="233">
                  <c:v>-49.570565805965174</c:v>
                </c:pt>
                <c:pt idx="234">
                  <c:v>-49.99795721233523</c:v>
                </c:pt>
                <c:pt idx="235">
                  <c:v>-50.38178231051792</c:v>
                </c:pt>
                <c:pt idx="236">
                  <c:v>-50.720731708343337</c:v>
                </c:pt>
                <c:pt idx="237">
                  <c:v>-51.013606778034379</c:v>
                </c:pt>
                <c:pt idx="238">
                  <c:v>-51.259338507674123</c:v>
                </c:pt>
                <c:pt idx="239">
                  <c:v>-51.4570052979157</c:v>
                </c:pt>
              </c:numCache>
            </c:numRef>
          </c:xVal>
          <c:yVal>
            <c:numRef>
              <c:f>Sun!$AH$2:$AH$241</c:f>
              <c:numCache>
                <c:formatCode>General</c:formatCode>
                <c:ptCount val="240"/>
                <c:pt idx="0">
                  <c:v>353.95874167393174</c:v>
                </c:pt>
                <c:pt idx="1">
                  <c:v>356.35111385938717</c:v>
                </c:pt>
                <c:pt idx="2">
                  <c:v>358.75154460799047</c:v>
                </c:pt>
                <c:pt idx="3">
                  <c:v>1.154858268382327</c:v>
                </c:pt>
                <c:pt idx="4">
                  <c:v>3.5558342935815972</c:v>
                </c:pt>
                <c:pt idx="5">
                  <c:v>5.9492889806160747</c:v>
                </c:pt>
                <c:pt idx="6">
                  <c:v>8.3301558044945523</c:v>
                </c:pt>
                <c:pt idx="7">
                  <c:v>10.693561322760559</c:v>
                </c:pt>
                <c:pt idx="8">
                  <c:v>13.034893940873701</c:v>
                </c:pt>
                <c:pt idx="9">
                  <c:v>15.349863307256328</c:v>
                </c:pt>
                <c:pt idx="10">
                  <c:v>17.634548721051601</c:v>
                </c:pt>
                <c:pt idx="11">
                  <c:v>19.885435599163316</c:v>
                </c:pt>
                <c:pt idx="12">
                  <c:v>22.099439726971411</c:v>
                </c:pt>
                <c:pt idx="13">
                  <c:v>24.273919624832956</c:v>
                </c:pt>
                <c:pt idx="14">
                  <c:v>26.40667788891642</c:v>
                </c:pt>
                <c:pt idx="15">
                  <c:v>28.49595275079912</c:v>
                </c:pt>
                <c:pt idx="16">
                  <c:v>30.540401368603966</c:v>
                </c:pt>
                <c:pt idx="17">
                  <c:v>32.539076488290902</c:v>
                </c:pt>
                <c:pt idx="18">
                  <c:v>34.491398129253923</c:v>
                </c:pt>
                <c:pt idx="19">
                  <c:v>36.397121877110294</c:v>
                </c:pt>
                <c:pt idx="20">
                  <c:v>38.256305212217512</c:v>
                </c:pt>
                <c:pt idx="21">
                  <c:v>40.069273124036897</c:v>
                </c:pt>
                <c:pt idx="22">
                  <c:v>41.836584040228331</c:v>
                </c:pt>
                <c:pt idx="23">
                  <c:v>43.558996896241126</c:v>
                </c:pt>
                <c:pt idx="24">
                  <c:v>45.237439955955438</c:v>
                </c:pt>
                <c:pt idx="25">
                  <c:v>46.872981820239715</c:v>
                </c:pt>
                <c:pt idx="26">
                  <c:v>48.466804888522006</c:v>
                </c:pt>
                <c:pt idx="27">
                  <c:v>50.020181416213859</c:v>
                </c:pt>
                <c:pt idx="28">
                  <c:v>51.534452192205265</c:v>
                </c:pt>
                <c:pt idx="29">
                  <c:v>53.011007789898201</c:v>
                </c:pt>
                <c:pt idx="30">
                  <c:v>54.451272273630934</c:v>
                </c:pt>
                <c:pt idx="31">
                  <c:v>55.856689211195942</c:v>
                </c:pt>
                <c:pt idx="32">
                  <c:v>57.228709811072974</c:v>
                </c:pt>
                <c:pt idx="33">
                  <c:v>58.568782989679619</c:v>
                </c:pt>
                <c:pt idx="34">
                  <c:v>59.87834717658211</c:v>
                </c:pt>
                <c:pt idx="35">
                  <c:v>61.158823658788663</c:v>
                </c:pt>
                <c:pt idx="36">
                  <c:v>62.411611285020911</c:v>
                </c:pt>
                <c:pt idx="37">
                  <c:v>63.638082350988498</c:v>
                </c:pt>
                <c:pt idx="38">
                  <c:v>64.839579511890747</c:v>
                </c:pt>
                <c:pt idx="39">
                  <c:v>66.01741357150911</c:v>
                </c:pt>
                <c:pt idx="40">
                  <c:v>67.172862023595883</c:v>
                </c:pt>
                <c:pt idx="41">
                  <c:v>68.307168224344991</c:v>
                </c:pt>
                <c:pt idx="42">
                  <c:v>69.42154110000024</c:v>
                </c:pt>
                <c:pt idx="43">
                  <c:v>70.517155295188104</c:v>
                </c:pt>
                <c:pt idx="44">
                  <c:v>71.595151690766613</c:v>
                </c:pt>
                <c:pt idx="45">
                  <c:v>72.65663821962039</c:v>
                </c:pt>
                <c:pt idx="46">
                  <c:v>73.702690928342349</c:v>
                </c:pt>
                <c:pt idx="47">
                  <c:v>74.734355235138992</c:v>
                </c:pt>
                <c:pt idx="48">
                  <c:v>75.752647341911256</c:v>
                </c:pt>
                <c:pt idx="49">
                  <c:v>76.758555771138845</c:v>
                </c:pt>
                <c:pt idx="50">
                  <c:v>77.753042994259999</c:v>
                </c:pt>
                <c:pt idx="51">
                  <c:v>78.737047134127693</c:v>
                </c:pt>
                <c:pt idx="52">
                  <c:v>79.711483717395708</c:v>
                </c:pt>
                <c:pt idx="53">
                  <c:v>80.677247467372922</c:v>
                </c:pt>
                <c:pt idx="54">
                  <c:v>81.635214120087142</c:v>
                </c:pt>
                <c:pt idx="55">
                  <c:v>82.586242259899564</c:v>
                </c:pt>
                <c:pt idx="56">
                  <c:v>83.53117516239746</c:v>
                </c:pt>
                <c:pt idx="57">
                  <c:v>84.470842645069069</c:v>
                </c:pt>
                <c:pt idx="58">
                  <c:v>85.406062917020279</c:v>
                </c:pt>
                <c:pt idx="59">
                  <c:v>86.337644431156264</c:v>
                </c:pt>
                <c:pt idx="60">
                  <c:v>87.266387732694568</c:v>
                </c:pt>
                <c:pt idx="61">
                  <c:v>88.193087308225586</c:v>
                </c:pt>
                <c:pt idx="62">
                  <c:v>89.118533434323808</c:v>
                </c:pt>
                <c:pt idx="63">
                  <c:v>90.043514025269701</c:v>
                </c:pt>
                <c:pt idx="64">
                  <c:v>90.968816485709112</c:v>
                </c:pt>
                <c:pt idx="65">
                  <c:v>91.89522956491885</c:v>
                </c:pt>
                <c:pt idx="66">
                  <c:v>92.823545220051926</c:v>
                </c:pt>
                <c:pt idx="67">
                  <c:v>93.754560484962099</c:v>
                </c:pt>
                <c:pt idx="68">
                  <c:v>94.689079351825285</c:v>
                </c:pt>
                <c:pt idx="69">
                  <c:v>95.627914661719501</c:v>
                </c:pt>
                <c:pt idx="70">
                  <c:v>96.571890010667175</c:v>
                </c:pt>
                <c:pt idx="71">
                  <c:v>97.521841666248861</c:v>
                </c:pt>
                <c:pt idx="72">
                  <c:v>98.478620499918122</c:v>
                </c:pt>
                <c:pt idx="73">
                  <c:v>99.443093928330427</c:v>
                </c:pt>
                <c:pt idx="74">
                  <c:v>100.41614786660216</c:v>
                </c:pt>
                <c:pt idx="75">
                  <c:v>101.39868868419899</c:v>
                </c:pt>
                <c:pt idx="76">
                  <c:v>102.39164516184911</c:v>
                </c:pt>
                <c:pt idx="77">
                  <c:v>103.39597043971384</c:v>
                </c:pt>
                <c:pt idx="78">
                  <c:v>104.41264394436462</c:v>
                </c:pt>
                <c:pt idx="79">
                  <c:v>105.44267328502588</c:v>
                </c:pt>
                <c:pt idx="80">
                  <c:v>106.48709609614264</c:v>
                </c:pt>
                <c:pt idx="81">
                  <c:v>107.54698180988731</c:v>
                </c:pt>
                <c:pt idx="82">
                  <c:v>108.6234333259452</c:v>
                </c:pt>
                <c:pt idx="83">
                  <c:v>109.71758855111591</c:v>
                </c:pt>
                <c:pt idx="84">
                  <c:v>110.83062176310114</c:v>
                </c:pt>
                <c:pt idx="85">
                  <c:v>111.96374475611771</c:v>
                </c:pt>
                <c:pt idx="86">
                  <c:v>113.11820770546393</c:v>
                </c:pt>
                <c:pt idx="87">
                  <c:v>114.29529968907548</c:v>
                </c:pt>
                <c:pt idx="88">
                  <c:v>115.49634878090018</c:v>
                </c:pt>
                <c:pt idx="89">
                  <c:v>116.72272162915908</c:v>
                </c:pt>
                <c:pt idx="90">
                  <c:v>117.97582240666742</c:v>
                </c:pt>
                <c:pt idx="91">
                  <c:v>119.25709101453901</c:v>
                </c:pt>
                <c:pt idx="92">
                  <c:v>120.56800039725272</c:v>
                </c:pt>
                <c:pt idx="93">
                  <c:v>121.91005280912947</c:v>
                </c:pt>
                <c:pt idx="94">
                  <c:v>123.28477486047376</c:v>
                </c:pt>
                <c:pt idx="95">
                  <c:v>124.69371114357926</c:v>
                </c:pt>
                <c:pt idx="96">
                  <c:v>126.13841623401271</c:v>
                </c:pt>
                <c:pt idx="97">
                  <c:v>127.62044483729005</c:v>
                </c:pt>
                <c:pt idx="98">
                  <c:v>129.14133985400736</c:v>
                </c:pt>
                <c:pt idx="99">
                  <c:v>130.70261812275675</c:v>
                </c:pt>
                <c:pt idx="100">
                  <c:v>132.30575361990481</c:v>
                </c:pt>
                <c:pt idx="101">
                  <c:v>133.95215790446804</c:v>
                </c:pt>
                <c:pt idx="102">
                  <c:v>135.64315764621125</c:v>
                </c:pt>
                <c:pt idx="103">
                  <c:v>137.37996912237332</c:v>
                </c:pt>
                <c:pt idx="104">
                  <c:v>139.16366966482201</c:v>
                </c:pt>
                <c:pt idx="105">
                  <c:v>140.9951661417</c:v>
                </c:pt>
                <c:pt idx="106">
                  <c:v>142.87516071419736</c:v>
                </c:pt>
                <c:pt idx="107">
                  <c:v>144.80411428266711</c:v>
                </c:pt>
                <c:pt idx="108">
                  <c:v>146.78220824908766</c:v>
                </c:pt>
                <c:pt idx="109">
                  <c:v>148.80930546941329</c:v>
                </c:pt>
                <c:pt idx="110">
                  <c:v>150.88491151827213</c:v>
                </c:pt>
                <c:pt idx="111">
                  <c:v>153.00813766132262</c:v>
                </c:pt>
                <c:pt idx="112">
                  <c:v>155.17766716401013</c:v>
                </c:pt>
                <c:pt idx="113">
                  <c:v>157.39172677619069</c:v>
                </c:pt>
                <c:pt idx="114">
                  <c:v>159.64806534688466</c:v>
                </c:pt>
                <c:pt idx="115">
                  <c:v>161.94394155152111</c:v>
                </c:pt>
                <c:pt idx="116">
                  <c:v>164.27612258541171</c:v>
                </c:pt>
                <c:pt idx="117">
                  <c:v>166.64089540854945</c:v>
                </c:pt>
                <c:pt idx="118">
                  <c:v>169.03409167143036</c:v>
                </c:pt>
                <c:pt idx="119">
                  <c:v>171.4511268539502</c:v>
                </c:pt>
                <c:pt idx="120">
                  <c:v>173.88705340530828</c:v>
                </c:pt>
                <c:pt idx="121">
                  <c:v>176.33662686463322</c:v>
                </c:pt>
                <c:pt idx="122">
                  <c:v>178.79438311275806</c:v>
                </c:pt>
                <c:pt idx="123">
                  <c:v>181.25472415090078</c:v>
                </c:pt>
                <c:pt idx="124">
                  <c:v>183.71200919826259</c:v>
                </c:pt>
                <c:pt idx="125">
                  <c:v>186.16064750658012</c:v>
                </c:pt>
                <c:pt idx="126">
                  <c:v>188.59518916641915</c:v>
                </c:pt>
                <c:pt idx="127">
                  <c:v>191.010410325321</c:v>
                </c:pt>
                <c:pt idx="128">
                  <c:v>193.40138964989566</c:v>
                </c:pt>
                <c:pt idx="129">
                  <c:v>195.76357348204073</c:v>
                </c:pt>
                <c:pt idx="130">
                  <c:v>198.0928279053243</c:v>
                </c:pt>
                <c:pt idx="131">
                  <c:v>200.38547676310506</c:v>
                </c:pt>
                <c:pt idx="132">
                  <c:v>202.63832548187156</c:v>
                </c:pt>
                <c:pt idx="133">
                  <c:v>204.84867128064741</c:v>
                </c:pt>
                <c:pt idx="134">
                  <c:v>207.0143009412896</c:v>
                </c:pt>
                <c:pt idx="135">
                  <c:v>209.13347774870314</c:v>
                </c:pt>
                <c:pt idx="136">
                  <c:v>211.20491947380984</c:v>
                </c:pt>
                <c:pt idx="137">
                  <c:v>213.22776937995403</c:v>
                </c:pt>
                <c:pt idx="138">
                  <c:v>215.20156220644765</c:v>
                </c:pt>
                <c:pt idx="139">
                  <c:v>217.12618694863841</c:v>
                </c:pt>
                <c:pt idx="140">
                  <c:v>219.00184805244561</c:v>
                </c:pt>
                <c:pt idx="141">
                  <c:v>220.82902639090833</c:v>
                </c:pt>
                <c:pt idx="142">
                  <c:v>222.60844113211985</c:v>
                </c:pt>
                <c:pt idx="143">
                  <c:v>224.34101334562092</c:v>
                </c:pt>
                <c:pt idx="144">
                  <c:v>226.02783196069285</c:v>
                </c:pt>
                <c:pt idx="145">
                  <c:v>227.67012247461892</c:v>
                </c:pt>
                <c:pt idx="146">
                  <c:v>229.26921863702341</c:v>
                </c:pt>
                <c:pt idx="147">
                  <c:v>230.82653718706564</c:v>
                </c:pt>
                <c:pt idx="148">
                  <c:v>232.34355561472603</c:v>
                </c:pt>
                <c:pt idx="149">
                  <c:v>233.82179282890706</c:v>
                </c:pt>
                <c:pt idx="150">
                  <c:v>235.26279256391592</c:v>
                </c:pt>
                <c:pt idx="151">
                  <c:v>236.66810931378467</c:v>
                </c:pt>
                <c:pt idx="152">
                  <c:v>238.03929656748986</c:v>
                </c:pt>
                <c:pt idx="153">
                  <c:v>239.37789711129648</c:v>
                </c:pt>
                <c:pt idx="154">
                  <c:v>240.68543516312934</c:v>
                </c:pt>
                <c:pt idx="155">
                  <c:v>241.96341011930338</c:v>
                </c:pt>
                <c:pt idx="156">
                  <c:v>243.21329170081606</c:v>
                </c:pt>
                <c:pt idx="157">
                  <c:v>244.43651631002516</c:v>
                </c:pt>
                <c:pt idx="158">
                  <c:v>245.63448441921989</c:v>
                </c:pt>
                <c:pt idx="159">
                  <c:v>246.80855883803866</c:v>
                </c:pt>
                <c:pt idx="160">
                  <c:v>247.96006371723132</c:v>
                </c:pt>
                <c:pt idx="161">
                  <c:v>249.09028417057465</c:v>
                </c:pt>
                <c:pt idx="162">
                  <c:v>250.20046640519286</c:v>
                </c:pt>
                <c:pt idx="163">
                  <c:v>251.29181827243434</c:v>
                </c:pt>
                <c:pt idx="164">
                  <c:v>252.36551015711478</c:v>
                </c:pt>
                <c:pt idx="165">
                  <c:v>253.42267614197416</c:v>
                </c:pt>
                <c:pt idx="166">
                  <c:v>254.46441538801832</c:v>
                </c:pt>
                <c:pt idx="167">
                  <c:v>255.49179368458488</c:v>
                </c:pt>
                <c:pt idx="168">
                  <c:v>256.50584513092053</c:v>
                </c:pt>
                <c:pt idx="169">
                  <c:v>257.50757391379784</c:v>
                </c:pt>
                <c:pt idx="170">
                  <c:v>258.49795615820699</c:v>
                </c:pt>
                <c:pt idx="171">
                  <c:v>259.47794182581003</c:v>
                </c:pt>
                <c:pt idx="172">
                  <c:v>260.44845664771185</c:v>
                </c:pt>
                <c:pt idx="173">
                  <c:v>261.41040407423395</c:v>
                </c:pt>
                <c:pt idx="174">
                  <c:v>262.36466723502559</c:v>
                </c:pt>
                <c:pt idx="175">
                  <c:v>263.31211089791623</c:v>
                </c:pt>
                <c:pt idx="176">
                  <c:v>264.25358342463954</c:v>
                </c:pt>
                <c:pt idx="177">
                  <c:v>265.18991871584365</c:v>
                </c:pt>
                <c:pt idx="178">
                  <c:v>266.12193814684099</c:v>
                </c:pt>
                <c:pt idx="179">
                  <c:v>267.05045248923687</c:v>
                </c:pt>
                <c:pt idx="180">
                  <c:v>267.9762638219936</c:v>
                </c:pt>
                <c:pt idx="181">
                  <c:v>268.90016742967674</c:v>
                </c:pt>
                <c:pt idx="182">
                  <c:v>269.82295369035495</c:v>
                </c:pt>
                <c:pt idx="183">
                  <c:v>270.74540995606299</c:v>
                </c:pt>
                <c:pt idx="184">
                  <c:v>271.66832242492069</c:v>
                </c:pt>
                <c:pt idx="185">
                  <c:v>272.59247801073872</c:v>
                </c:pt>
                <c:pt idx="186">
                  <c:v>273.51866620857362</c:v>
                </c:pt>
                <c:pt idx="187">
                  <c:v>274.44768096210595</c:v>
                </c:pt>
                <c:pt idx="188">
                  <c:v>275.38032253096878</c:v>
                </c:pt>
                <c:pt idx="189">
                  <c:v>276.31739936330359</c:v>
                </c:pt>
                <c:pt idx="190">
                  <c:v>277.25972997079248</c:v>
                </c:pt>
                <c:pt idx="191">
                  <c:v>278.20814481024672</c:v>
                </c:pt>
                <c:pt idx="192">
                  <c:v>279.1634881674637</c:v>
                </c:pt>
                <c:pt idx="193">
                  <c:v>280.12662004550737</c:v>
                </c:pt>
                <c:pt idx="194">
                  <c:v>281.09841805076383</c:v>
                </c:pt>
                <c:pt idx="195">
                  <c:v>282.07977927593322</c:v>
                </c:pt>
                <c:pt idx="196">
                  <c:v>283.07162217066985</c:v>
                </c:pt>
                <c:pt idx="197">
                  <c:v>284.07488839244365</c:v>
                </c:pt>
                <c:pt idx="198">
                  <c:v>285.09054462752908</c:v>
                </c:pt>
                <c:pt idx="199">
                  <c:v>286.11958436478358</c:v>
                </c:pt>
                <c:pt idx="200">
                  <c:v>287.16302960775073</c:v>
                </c:pt>
                <c:pt idx="201">
                  <c:v>288.22193249892791</c:v>
                </c:pt>
                <c:pt idx="202">
                  <c:v>289.29737683250005</c:v>
                </c:pt>
                <c:pt idx="203">
                  <c:v>290.39047941853596</c:v>
                </c:pt>
                <c:pt idx="204">
                  <c:v>291.50239126239615</c:v>
                </c:pt>
                <c:pt idx="205">
                  <c:v>292.63429850794995</c:v>
                </c:pt>
                <c:pt idx="206">
                  <c:v>293.78742309187237</c:v>
                </c:pt>
                <c:pt idx="207">
                  <c:v>294.963023038958</c:v>
                </c:pt>
                <c:pt idx="208">
                  <c:v>296.16239232468729</c:v>
                </c:pt>
                <c:pt idx="209">
                  <c:v>297.38686021159151</c:v>
                </c:pt>
                <c:pt idx="210">
                  <c:v>298.6377899596925</c:v>
                </c:pt>
                <c:pt idx="211">
                  <c:v>299.91657679032659</c:v>
                </c:pt>
                <c:pt idx="212">
                  <c:v>301.22464497125065</c:v>
                </c:pt>
                <c:pt idx="213">
                  <c:v>302.56344387492561</c:v>
                </c:pt>
                <c:pt idx="214">
                  <c:v>303.93444284208169</c:v>
                </c:pt>
                <c:pt idx="215">
                  <c:v>305.33912467365627</c:v>
                </c:pt>
                <c:pt idx="216">
                  <c:v>306.77897755388994</c:v>
                </c:pt>
                <c:pt idx="217">
                  <c:v>308.25548520396615</c:v>
                </c:pt>
                <c:pt idx="218">
                  <c:v>309.77011505329142</c:v>
                </c:pt>
                <c:pt idx="219">
                  <c:v>311.3243042237209</c:v>
                </c:pt>
                <c:pt idx="220">
                  <c:v>312.9194431265305</c:v>
                </c:pt>
                <c:pt idx="221">
                  <c:v>314.55685650207352</c:v>
                </c:pt>
                <c:pt idx="222">
                  <c:v>316.23778176540702</c:v>
                </c:pt>
                <c:pt idx="223">
                  <c:v>317.963344586586</c:v>
                </c:pt>
                <c:pt idx="224">
                  <c:v>319.73453171078074</c:v>
                </c:pt>
                <c:pt idx="225">
                  <c:v>321.55216113783052</c:v>
                </c:pt>
                <c:pt idx="226">
                  <c:v>323.41684991324644</c:v>
                </c:pt>
                <c:pt idx="227">
                  <c:v>325.32897995237113</c:v>
                </c:pt>
                <c:pt idx="228">
                  <c:v>327.28866251303714</c:v>
                </c:pt>
                <c:pt idx="229">
                  <c:v>329.2957021460918</c:v>
                </c:pt>
                <c:pt idx="230">
                  <c:v>331.34956118642947</c:v>
                </c:pt>
                <c:pt idx="231">
                  <c:v>333.44932607193414</c:v>
                </c:pt>
                <c:pt idx="232">
                  <c:v>335.59367699050949</c:v>
                </c:pt>
                <c:pt idx="233">
                  <c:v>337.78086251801938</c:v>
                </c:pt>
                <c:pt idx="234">
                  <c:v>340.00868100905484</c:v>
                </c:pt>
                <c:pt idx="235">
                  <c:v>342.27447049913735</c:v>
                </c:pt>
                <c:pt idx="236">
                  <c:v>344.57510875623723</c:v>
                </c:pt>
                <c:pt idx="237">
                  <c:v>346.90702485585905</c:v>
                </c:pt>
                <c:pt idx="238">
                  <c:v>349.26622324686321</c:v>
                </c:pt>
                <c:pt idx="239">
                  <c:v>351.64832073022257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77664"/>
        <c:axId val="168411136"/>
      </c:scatterChart>
      <c:valAx>
        <c:axId val="168377664"/>
        <c:scaling>
          <c:orientation val="minMax"/>
          <c:max val="90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168411136"/>
        <c:crosses val="autoZero"/>
        <c:crossBetween val="midCat"/>
        <c:majorUnit val="10"/>
      </c:valAx>
      <c:valAx>
        <c:axId val="168411136"/>
        <c:scaling>
          <c:orientation val="minMax"/>
          <c:max val="36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8377664"/>
        <c:crosses val="autoZero"/>
        <c:crossBetween val="midCat"/>
        <c:majorUnit val="45"/>
        <c:minorUnit val="10"/>
      </c:valAx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52730886111469"/>
          <c:y val="4.3854899837574443E-2"/>
          <c:w val="0.62429180365333214"/>
          <c:h val="0.89009204114780727"/>
        </c:manualLayout>
      </c:layout>
      <c:scatterChart>
        <c:scatterStyle val="lineMarker"/>
        <c:varyColors val="0"/>
        <c:ser>
          <c:idx val="0"/>
          <c:order val="0"/>
          <c:tx>
            <c:strRef>
              <c:f>Main!$B$57:$B$59</c:f>
              <c:strCache>
                <c:ptCount val="1"/>
                <c:pt idx="0">
                  <c:v>c =  0.200 m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Main!$B$64:$B$83</c:f>
              <c:numCache>
                <c:formatCode>0,000</c:formatCode>
                <c:ptCount val="20"/>
                <c:pt idx="0">
                  <c:v>3.5</c:v>
                </c:pt>
                <c:pt idx="1">
                  <c:v>3.6578947368421053</c:v>
                </c:pt>
                <c:pt idx="2">
                  <c:v>3.8157894736842106</c:v>
                </c:pt>
                <c:pt idx="3">
                  <c:v>3.9736842105263159</c:v>
                </c:pt>
                <c:pt idx="4">
                  <c:v>4.1315789473684212</c:v>
                </c:pt>
                <c:pt idx="5">
                  <c:v>4.2894736842105265</c:v>
                </c:pt>
                <c:pt idx="6">
                  <c:v>4.4473684210526319</c:v>
                </c:pt>
                <c:pt idx="7">
                  <c:v>4.6052631578947372</c:v>
                </c:pt>
                <c:pt idx="8">
                  <c:v>4.7631578947368425</c:v>
                </c:pt>
                <c:pt idx="9">
                  <c:v>4.9210526315789478</c:v>
                </c:pt>
                <c:pt idx="10">
                  <c:v>5.0789473684210531</c:v>
                </c:pt>
                <c:pt idx="11">
                  <c:v>5.2368421052631584</c:v>
                </c:pt>
                <c:pt idx="12">
                  <c:v>5.3947368421052637</c:v>
                </c:pt>
                <c:pt idx="13">
                  <c:v>5.552631578947369</c:v>
                </c:pt>
                <c:pt idx="14">
                  <c:v>5.7105263157894743</c:v>
                </c:pt>
                <c:pt idx="15">
                  <c:v>5.8684210526315796</c:v>
                </c:pt>
                <c:pt idx="16">
                  <c:v>6.026315789473685</c:v>
                </c:pt>
                <c:pt idx="17">
                  <c:v>6.1842105263157903</c:v>
                </c:pt>
                <c:pt idx="18">
                  <c:v>6.3421052631578956</c:v>
                </c:pt>
                <c:pt idx="19">
                  <c:v>6.5</c:v>
                </c:pt>
              </c:numCache>
            </c:numRef>
          </c:xVal>
          <c:yVal>
            <c:numRef>
              <c:f>Main!$C$64:$C$83</c:f>
              <c:numCache>
                <c:formatCode>0.00</c:formatCode>
                <c:ptCount val="20"/>
                <c:pt idx="0">
                  <c:v>13.511011945328713</c:v>
                </c:pt>
                <c:pt idx="1">
                  <c:v>12.985140069013392</c:v>
                </c:pt>
                <c:pt idx="2">
                  <c:v>12.562167846145746</c:v>
                </c:pt>
                <c:pt idx="3">
                  <c:v>12.225962518378804</c:v>
                </c:pt>
                <c:pt idx="4">
                  <c:v>11.963965844544111</c:v>
                </c:pt>
                <c:pt idx="5">
                  <c:v>11.766257523223761</c:v>
                </c:pt>
                <c:pt idx="6">
                  <c:v>11.624957290486829</c:v>
                </c:pt>
                <c:pt idx="7">
                  <c:v>11.53375646186271</c:v>
                </c:pt>
                <c:pt idx="8">
                  <c:v>11.487576225154303</c:v>
                </c:pt>
                <c:pt idx="9">
                  <c:v>11.482752932644555</c:v>
                </c:pt>
                <c:pt idx="10">
                  <c:v>11.515630595679676</c:v>
                </c:pt>
                <c:pt idx="11">
                  <c:v>11.583402335684314</c:v>
                </c:pt>
                <c:pt idx="12">
                  <c:v>11.683930197831195</c:v>
                </c:pt>
                <c:pt idx="13">
                  <c:v>11.815520959649087</c:v>
                </c:pt>
                <c:pt idx="14">
                  <c:v>11.976859667793516</c:v>
                </c:pt>
                <c:pt idx="15">
                  <c:v>12.166958105128224</c:v>
                </c:pt>
                <c:pt idx="16">
                  <c:v>12.385114993461602</c:v>
                </c:pt>
                <c:pt idx="17">
                  <c:v>12.630885577349609</c:v>
                </c:pt>
                <c:pt idx="18">
                  <c:v>12.904058851252197</c:v>
                </c:pt>
                <c:pt idx="19">
                  <c:v>13.20464115350277</c:v>
                </c:pt>
              </c:numCache>
            </c:numRef>
          </c:yVal>
          <c:smooth val="0"/>
        </c:ser>
        <c:ser>
          <c:idx val="3"/>
          <c:order val="1"/>
          <c:tx>
            <c:strRef>
              <c:f>Main!$D$57:$D$59</c:f>
              <c:strCache>
                <c:ptCount val="1"/>
                <c:pt idx="0">
                  <c:v>c =  0.244 m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Main!$B$64:$B$83</c:f>
              <c:numCache>
                <c:formatCode>0,000</c:formatCode>
                <c:ptCount val="20"/>
                <c:pt idx="0">
                  <c:v>3.5</c:v>
                </c:pt>
                <c:pt idx="1">
                  <c:v>3.6578947368421053</c:v>
                </c:pt>
                <c:pt idx="2">
                  <c:v>3.8157894736842106</c:v>
                </c:pt>
                <c:pt idx="3">
                  <c:v>3.9736842105263159</c:v>
                </c:pt>
                <c:pt idx="4">
                  <c:v>4.1315789473684212</c:v>
                </c:pt>
                <c:pt idx="5">
                  <c:v>4.2894736842105265</c:v>
                </c:pt>
                <c:pt idx="6">
                  <c:v>4.4473684210526319</c:v>
                </c:pt>
                <c:pt idx="7">
                  <c:v>4.6052631578947372</c:v>
                </c:pt>
                <c:pt idx="8">
                  <c:v>4.7631578947368425</c:v>
                </c:pt>
                <c:pt idx="9">
                  <c:v>4.9210526315789478</c:v>
                </c:pt>
                <c:pt idx="10">
                  <c:v>5.0789473684210531</c:v>
                </c:pt>
                <c:pt idx="11">
                  <c:v>5.2368421052631584</c:v>
                </c:pt>
                <c:pt idx="12">
                  <c:v>5.3947368421052637</c:v>
                </c:pt>
                <c:pt idx="13">
                  <c:v>5.552631578947369</c:v>
                </c:pt>
                <c:pt idx="14">
                  <c:v>5.7105263157894743</c:v>
                </c:pt>
                <c:pt idx="15">
                  <c:v>5.8684210526315796</c:v>
                </c:pt>
                <c:pt idx="16">
                  <c:v>6.026315789473685</c:v>
                </c:pt>
                <c:pt idx="17">
                  <c:v>6.1842105263157903</c:v>
                </c:pt>
                <c:pt idx="18">
                  <c:v>6.3421052631578956</c:v>
                </c:pt>
                <c:pt idx="19">
                  <c:v>6.5</c:v>
                </c:pt>
              </c:numCache>
            </c:numRef>
          </c:xVal>
          <c:yVal>
            <c:numRef>
              <c:f>Main!$E$64:$E$83</c:f>
              <c:numCache>
                <c:formatCode>0.00</c:formatCode>
                <c:ptCount val="20"/>
                <c:pt idx="0">
                  <c:v>14.599397519662249</c:v>
                </c:pt>
                <c:pt idx="1">
                  <c:v>13.648110770945301</c:v>
                </c:pt>
                <c:pt idx="2">
                  <c:v>12.908588367627203</c:v>
                </c:pt>
                <c:pt idx="3">
                  <c:v>12.330520338429231</c:v>
                </c:pt>
                <c:pt idx="4">
                  <c:v>11.879220025965385</c:v>
                </c:pt>
                <c:pt idx="5">
                  <c:v>11.530010385920068</c:v>
                </c:pt>
                <c:pt idx="6">
                  <c:v>11.26487350340707</c:v>
                </c:pt>
                <c:pt idx="7">
                  <c:v>11.070367806629942</c:v>
                </c:pt>
                <c:pt idx="8">
                  <c:v>10.936286803918463</c:v>
                </c:pt>
                <c:pt idx="9">
                  <c:v>10.855163641084424</c:v>
                </c:pt>
                <c:pt idx="10">
                  <c:v>10.82057200195252</c:v>
                </c:pt>
                <c:pt idx="11">
                  <c:v>10.827587228400402</c:v>
                </c:pt>
                <c:pt idx="12">
                  <c:v>10.872422445341504</c:v>
                </c:pt>
                <c:pt idx="13">
                  <c:v>10.952086772351674</c:v>
                </c:pt>
                <c:pt idx="14">
                  <c:v>11.064225925254805</c:v>
                </c:pt>
                <c:pt idx="15">
                  <c:v>11.207003931530572</c:v>
                </c:pt>
                <c:pt idx="16">
                  <c:v>11.379014665238852</c:v>
                </c:pt>
                <c:pt idx="17">
                  <c:v>11.579215443650117</c:v>
                </c:pt>
                <c:pt idx="18">
                  <c:v>11.806877286763186</c:v>
                </c:pt>
                <c:pt idx="19">
                  <c:v>12.061548050056492</c:v>
                </c:pt>
              </c:numCache>
            </c:numRef>
          </c:yVal>
          <c:smooth val="0"/>
        </c:ser>
        <c:ser>
          <c:idx val="4"/>
          <c:order val="2"/>
          <c:tx>
            <c:strRef>
              <c:f>Main!$F$57:$F$59</c:f>
              <c:strCache>
                <c:ptCount val="1"/>
                <c:pt idx="0">
                  <c:v>c =  0.289 m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Main!$B$64:$B$83</c:f>
              <c:numCache>
                <c:formatCode>0,000</c:formatCode>
                <c:ptCount val="20"/>
                <c:pt idx="0">
                  <c:v>3.5</c:v>
                </c:pt>
                <c:pt idx="1">
                  <c:v>3.6578947368421053</c:v>
                </c:pt>
                <c:pt idx="2">
                  <c:v>3.8157894736842106</c:v>
                </c:pt>
                <c:pt idx="3">
                  <c:v>3.9736842105263159</c:v>
                </c:pt>
                <c:pt idx="4">
                  <c:v>4.1315789473684212</c:v>
                </c:pt>
                <c:pt idx="5">
                  <c:v>4.2894736842105265</c:v>
                </c:pt>
                <c:pt idx="6">
                  <c:v>4.4473684210526319</c:v>
                </c:pt>
                <c:pt idx="7">
                  <c:v>4.6052631578947372</c:v>
                </c:pt>
                <c:pt idx="8">
                  <c:v>4.7631578947368425</c:v>
                </c:pt>
                <c:pt idx="9">
                  <c:v>4.9210526315789478</c:v>
                </c:pt>
                <c:pt idx="10">
                  <c:v>5.0789473684210531</c:v>
                </c:pt>
                <c:pt idx="11">
                  <c:v>5.2368421052631584</c:v>
                </c:pt>
                <c:pt idx="12">
                  <c:v>5.3947368421052637</c:v>
                </c:pt>
                <c:pt idx="13">
                  <c:v>5.552631578947369</c:v>
                </c:pt>
                <c:pt idx="14">
                  <c:v>5.7105263157894743</c:v>
                </c:pt>
                <c:pt idx="15">
                  <c:v>5.8684210526315796</c:v>
                </c:pt>
                <c:pt idx="16">
                  <c:v>6.026315789473685</c:v>
                </c:pt>
                <c:pt idx="17">
                  <c:v>6.1842105263157903</c:v>
                </c:pt>
                <c:pt idx="18">
                  <c:v>6.3421052631578956</c:v>
                </c:pt>
                <c:pt idx="19">
                  <c:v>6.5</c:v>
                </c:pt>
              </c:numCache>
            </c:numRef>
          </c:xVal>
          <c:yVal>
            <c:numRef>
              <c:f>Main!$G$64:$G$83</c:f>
              <c:numCache>
                <c:formatCode>0.00</c:formatCode>
                <c:ptCount val="20"/>
                <c:pt idx="0">
                  <c:v>14.102634565794144</c:v>
                </c:pt>
                <c:pt idx="1">
                  <c:v>13.264887063079552</c:v>
                </c:pt>
                <c:pt idx="2">
                  <c:v>12.62315607370982</c:v>
                </c:pt>
                <c:pt idx="3">
                  <c:v>12.131232419060446</c:v>
                </c:pt>
                <c:pt idx="4">
                  <c:v>11.757564513446409</c:v>
                </c:pt>
                <c:pt idx="5">
                  <c:v>11.479794668111488</c:v>
                </c:pt>
                <c:pt idx="6">
                  <c:v>11.281611206498834</c:v>
                </c:pt>
                <c:pt idx="7">
                  <c:v>11.150833356538961</c:v>
                </c:pt>
                <c:pt idx="8">
                  <c:v>11.0781938048308</c:v>
                </c:pt>
                <c:pt idx="9">
                  <c:v>11.056536197236177</c:v>
                </c:pt>
                <c:pt idx="10">
                  <c:v>11.080269835275976</c:v>
                </c:pt>
                <c:pt idx="11">
                  <c:v>11.144989451784651</c:v>
                </c:pt>
                <c:pt idx="12">
                  <c:v>11.247204164852475</c:v>
                </c:pt>
                <c:pt idx="13">
                  <c:v>11.384140547552466</c:v>
                </c:pt>
                <c:pt idx="14">
                  <c:v>11.553597182157651</c:v>
                </c:pt>
                <c:pt idx="15">
                  <c:v>11.753835720462783</c:v>
                </c:pt>
                <c:pt idx="16">
                  <c:v>11.983498315482617</c:v>
                </c:pt>
                <c:pt idx="17">
                  <c:v>12.241544431890777</c:v>
                </c:pt>
                <c:pt idx="18">
                  <c:v>12.52720212642066</c:v>
                </c:pt>
                <c:pt idx="19">
                  <c:v>12.839930299325685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Main!$H$57:$H$59</c:f>
              <c:strCache>
                <c:ptCount val="1"/>
                <c:pt idx="0">
                  <c:v>c =  0.356 m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Main!$B$64:$B$83</c:f>
              <c:numCache>
                <c:formatCode>0,000</c:formatCode>
                <c:ptCount val="20"/>
                <c:pt idx="0">
                  <c:v>3.5</c:v>
                </c:pt>
                <c:pt idx="1">
                  <c:v>3.6578947368421053</c:v>
                </c:pt>
                <c:pt idx="2">
                  <c:v>3.8157894736842106</c:v>
                </c:pt>
                <c:pt idx="3">
                  <c:v>3.9736842105263159</c:v>
                </c:pt>
                <c:pt idx="4">
                  <c:v>4.1315789473684212</c:v>
                </c:pt>
                <c:pt idx="5">
                  <c:v>4.2894736842105265</c:v>
                </c:pt>
                <c:pt idx="6">
                  <c:v>4.4473684210526319</c:v>
                </c:pt>
                <c:pt idx="7">
                  <c:v>4.6052631578947372</c:v>
                </c:pt>
                <c:pt idx="8">
                  <c:v>4.7631578947368425</c:v>
                </c:pt>
                <c:pt idx="9">
                  <c:v>4.9210526315789478</c:v>
                </c:pt>
                <c:pt idx="10">
                  <c:v>5.0789473684210531</c:v>
                </c:pt>
                <c:pt idx="11">
                  <c:v>5.2368421052631584</c:v>
                </c:pt>
                <c:pt idx="12">
                  <c:v>5.3947368421052637</c:v>
                </c:pt>
                <c:pt idx="13">
                  <c:v>5.552631578947369</c:v>
                </c:pt>
                <c:pt idx="14">
                  <c:v>5.7105263157894743</c:v>
                </c:pt>
                <c:pt idx="15">
                  <c:v>5.8684210526315796</c:v>
                </c:pt>
                <c:pt idx="16">
                  <c:v>6.026315789473685</c:v>
                </c:pt>
                <c:pt idx="17">
                  <c:v>6.1842105263157903</c:v>
                </c:pt>
                <c:pt idx="18">
                  <c:v>6.3421052631578956</c:v>
                </c:pt>
                <c:pt idx="19">
                  <c:v>6.5</c:v>
                </c:pt>
              </c:numCache>
            </c:numRef>
          </c:xVal>
          <c:yVal>
            <c:numRef>
              <c:f>Main!$I$64:$I$83</c:f>
              <c:numCache>
                <c:formatCode>0.00</c:formatCode>
                <c:ptCount val="20"/>
                <c:pt idx="0">
                  <c:v>9.2550034641393548</c:v>
                </c:pt>
                <c:pt idx="1">
                  <c:v>9.3111537178744026</c:v>
                </c:pt>
                <c:pt idx="2">
                  <c:v>9.3696530664314785</c:v>
                </c:pt>
                <c:pt idx="3">
                  <c:v>9.430233327166496</c:v>
                </c:pt>
                <c:pt idx="4">
                  <c:v>9.4927117499460181</c:v>
                </c:pt>
                <c:pt idx="5">
                  <c:v>9.5569452838323556</c:v>
                </c:pt>
                <c:pt idx="6">
                  <c:v>9.62276424997434</c:v>
                </c:pt>
                <c:pt idx="7">
                  <c:v>9.6902322769545819</c:v>
                </c:pt>
                <c:pt idx="8">
                  <c:v>9.7593302567711611</c:v>
                </c:pt>
                <c:pt idx="9">
                  <c:v>9.8300599220196361</c:v>
                </c:pt>
                <c:pt idx="10">
                  <c:v>9.9024395152215376</c:v>
                </c:pt>
                <c:pt idx="11">
                  <c:v>9.9765005959060495</c:v>
                </c:pt>
                <c:pt idx="12">
                  <c:v>10.05228567983486</c:v>
                </c:pt>
                <c:pt idx="13">
                  <c:v>10.129846494119878</c:v>
                </c:pt>
                <c:pt idx="14">
                  <c:v>10.209242693597247</c:v>
                </c:pt>
                <c:pt idx="15">
                  <c:v>10.290540926851193</c:v>
                </c:pt>
                <c:pt idx="16">
                  <c:v>10.37381417069852</c:v>
                </c:pt>
                <c:pt idx="17">
                  <c:v>10.459141273695355</c:v>
                </c:pt>
                <c:pt idx="18">
                  <c:v>10.54660666495765</c:v>
                </c:pt>
                <c:pt idx="19">
                  <c:v>10.636300196090858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Main!$J$57:$J$59</c:f>
              <c:strCache>
                <c:ptCount val="1"/>
                <c:pt idx="0">
                  <c:v>c =  0.400 m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xVal>
            <c:numRef>
              <c:f>Main!$B$64:$B$83</c:f>
              <c:numCache>
                <c:formatCode>0,000</c:formatCode>
                <c:ptCount val="20"/>
                <c:pt idx="0">
                  <c:v>3.5</c:v>
                </c:pt>
                <c:pt idx="1">
                  <c:v>3.6578947368421053</c:v>
                </c:pt>
                <c:pt idx="2">
                  <c:v>3.8157894736842106</c:v>
                </c:pt>
                <c:pt idx="3">
                  <c:v>3.9736842105263159</c:v>
                </c:pt>
                <c:pt idx="4">
                  <c:v>4.1315789473684212</c:v>
                </c:pt>
                <c:pt idx="5">
                  <c:v>4.2894736842105265</c:v>
                </c:pt>
                <c:pt idx="6">
                  <c:v>4.4473684210526319</c:v>
                </c:pt>
                <c:pt idx="7">
                  <c:v>4.6052631578947372</c:v>
                </c:pt>
                <c:pt idx="8">
                  <c:v>4.7631578947368425</c:v>
                </c:pt>
                <c:pt idx="9">
                  <c:v>4.9210526315789478</c:v>
                </c:pt>
                <c:pt idx="10">
                  <c:v>5.0789473684210531</c:v>
                </c:pt>
                <c:pt idx="11">
                  <c:v>5.2368421052631584</c:v>
                </c:pt>
                <c:pt idx="12">
                  <c:v>5.3947368421052637</c:v>
                </c:pt>
                <c:pt idx="13">
                  <c:v>5.552631578947369</c:v>
                </c:pt>
                <c:pt idx="14">
                  <c:v>5.7105263157894743</c:v>
                </c:pt>
                <c:pt idx="15">
                  <c:v>5.8684210526315796</c:v>
                </c:pt>
                <c:pt idx="16">
                  <c:v>6.026315789473685</c:v>
                </c:pt>
                <c:pt idx="17">
                  <c:v>6.1842105263157903</c:v>
                </c:pt>
                <c:pt idx="18">
                  <c:v>6.3421052631578956</c:v>
                </c:pt>
                <c:pt idx="19">
                  <c:v>6.5</c:v>
                </c:pt>
              </c:numCache>
            </c:numRef>
          </c:xVal>
          <c:yVal>
            <c:numRef>
              <c:f>Main!$K$64:$K$83</c:f>
              <c:numCache>
                <c:formatCode>0.00</c:formatCode>
                <c:ptCount val="20"/>
                <c:pt idx="0">
                  <c:v>9.5649581002706974</c:v>
                </c:pt>
                <c:pt idx="1">
                  <c:v>9.6026294733703725</c:v>
                </c:pt>
                <c:pt idx="2">
                  <c:v>9.6509650678440551</c:v>
                </c:pt>
                <c:pt idx="3">
                  <c:v>9.7068641588252369</c:v>
                </c:pt>
                <c:pt idx="4">
                  <c:v>9.7684503565751228</c:v>
                </c:pt>
                <c:pt idx="5">
                  <c:v>9.8345454274044624</c:v>
                </c:pt>
                <c:pt idx="6">
                  <c:v>9.9043912748074732</c:v>
                </c:pt>
                <c:pt idx="7">
                  <c:v>9.9774943749694369</c:v>
                </c:pt>
                <c:pt idx="8">
                  <c:v>10.053534471000372</c:v>
                </c:pt>
                <c:pt idx="9">
                  <c:v>10.132149927199531</c:v>
                </c:pt>
                <c:pt idx="10">
                  <c:v>10.213321873324913</c:v>
                </c:pt>
                <c:pt idx="11">
                  <c:v>10.297033140763585</c:v>
                </c:pt>
                <c:pt idx="12">
                  <c:v>10.383263446119301</c:v>
                </c:pt>
                <c:pt idx="13">
                  <c:v>10.47202657108137</c:v>
                </c:pt>
                <c:pt idx="14">
                  <c:v>10.563363338629772</c:v>
                </c:pt>
                <c:pt idx="15">
                  <c:v>10.657336803098385</c:v>
                </c:pt>
                <c:pt idx="16">
                  <c:v>10.754028986409843</c:v>
                </c:pt>
                <c:pt idx="17">
                  <c:v>10.853538726883025</c:v>
                </c:pt>
                <c:pt idx="18">
                  <c:v>10.955980356162076</c:v>
                </c:pt>
                <c:pt idx="19">
                  <c:v>11.061483017707125</c:v>
                </c:pt>
              </c:numCache>
            </c:numRef>
          </c:yVal>
          <c:smooth val="0"/>
        </c:ser>
        <c:ser>
          <c:idx val="2"/>
          <c:order val="5"/>
          <c:tx>
            <c:strRef>
              <c:f>Main!$A$86</c:f>
              <c:strCache>
                <c:ptCount val="1"/>
                <c:pt idx="0">
                  <c:v>Mínimo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</c:spPr>
          </c:marker>
          <c:xVal>
            <c:numRef>
              <c:f>Main!$B$88</c:f>
              <c:numCache>
                <c:formatCode>0,000</c:formatCode>
                <c:ptCount val="1"/>
                <c:pt idx="0">
                  <c:v>0</c:v>
                </c:pt>
              </c:numCache>
            </c:numRef>
          </c:xVal>
          <c:yVal>
            <c:numRef>
              <c:f>Main!$C$88</c:f>
              <c:numCache>
                <c:formatCode>0.00</c:formatCode>
                <c:ptCount val="1"/>
                <c:pt idx="0">
                  <c:v>9.2550034641393548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333504"/>
        <c:axId val="72334080"/>
      </c:scatterChart>
      <c:valAx>
        <c:axId val="72333504"/>
        <c:scaling>
          <c:orientation val="minMax"/>
        </c:scaling>
        <c:delete val="0"/>
        <c:axPos val="b"/>
        <c:numFmt formatCode="#.#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2334080"/>
        <c:crosses val="autoZero"/>
        <c:crossBetween val="midCat"/>
      </c:valAx>
      <c:valAx>
        <c:axId val="72334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.#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23335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3542600896861"/>
          <c:y val="0.42173958689946367"/>
          <c:w val="0.21748878923766818"/>
          <c:h val="0.208695880406253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33" r="0.75000000000000033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Sun Declination (deg)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Sun!$T$1</c:f>
              <c:strCache>
                <c:ptCount val="1"/>
                <c:pt idx="0">
                  <c:v>Sun Declin (deg)</c:v>
                </c:pt>
              </c:strCache>
            </c:strRef>
          </c:tx>
          <c:marker>
            <c:symbol val="none"/>
          </c:marker>
          <c:val>
            <c:numRef>
              <c:f>Sun!$T$2:$T$241</c:f>
              <c:numCache>
                <c:formatCode>General</c:formatCode>
                <c:ptCount val="240"/>
                <c:pt idx="0">
                  <c:v>0.6273612338949538</c:v>
                </c:pt>
                <c:pt idx="1">
                  <c:v>0.62574149849184657</c:v>
                </c:pt>
                <c:pt idx="2">
                  <c:v>0.6241217565093421</c:v>
                </c:pt>
                <c:pt idx="3">
                  <c:v>0.62250200831654023</c:v>
                </c:pt>
                <c:pt idx="4">
                  <c:v>0.62088225355793436</c:v>
                </c:pt>
                <c:pt idx="5">
                  <c:v>0.61926249260298005</c:v>
                </c:pt>
                <c:pt idx="6">
                  <c:v>0.61764272509546125</c:v>
                </c:pt>
                <c:pt idx="7">
                  <c:v>0.61602295140481467</c:v>
                </c:pt>
                <c:pt idx="8">
                  <c:v>0.61440317117554144</c:v>
                </c:pt>
                <c:pt idx="9">
                  <c:v>0.61278338477711036</c:v>
                </c:pt>
                <c:pt idx="10">
                  <c:v>0.61116359185329316</c:v>
                </c:pt>
                <c:pt idx="11">
                  <c:v>0.6095437927735291</c:v>
                </c:pt>
                <c:pt idx="12">
                  <c:v>0.60792398718233787</c:v>
                </c:pt>
                <c:pt idx="13">
                  <c:v>0.60630417544915993</c:v>
                </c:pt>
                <c:pt idx="14">
                  <c:v>0.6046843572177758</c:v>
                </c:pt>
                <c:pt idx="15">
                  <c:v>0.60306453267648186</c:v>
                </c:pt>
                <c:pt idx="16">
                  <c:v>0.60144470201324185</c:v>
                </c:pt>
                <c:pt idx="17">
                  <c:v>0.59982486487290732</c:v>
                </c:pt>
                <c:pt idx="18">
                  <c:v>0.59820502162349554</c:v>
                </c:pt>
                <c:pt idx="19">
                  <c:v>0.59658517191092886</c:v>
                </c:pt>
                <c:pt idx="20">
                  <c:v>0.59496531610323644</c:v>
                </c:pt>
                <c:pt idx="21">
                  <c:v>0.59334545384564163</c:v>
                </c:pt>
                <c:pt idx="22">
                  <c:v>0.59172558550615439</c:v>
                </c:pt>
                <c:pt idx="23">
                  <c:v>0.59010571073034146</c:v>
                </c:pt>
                <c:pt idx="24">
                  <c:v>0.58848582988697251</c:v>
                </c:pt>
                <c:pt idx="25">
                  <c:v>0.58686594262121894</c:v>
                </c:pt>
                <c:pt idx="26">
                  <c:v>0.58524604930042545</c:v>
                </c:pt>
                <c:pt idx="27">
                  <c:v>0.58362614957048031</c:v>
                </c:pt>
                <c:pt idx="28">
                  <c:v>0.58200624380017651</c:v>
                </c:pt>
                <c:pt idx="29">
                  <c:v>0.58038633163466302</c:v>
                </c:pt>
                <c:pt idx="30">
                  <c:v>0.57876641326051204</c:v>
                </c:pt>
                <c:pt idx="31">
                  <c:v>0.57714648886602682</c:v>
                </c:pt>
                <c:pt idx="32">
                  <c:v>0.57552655809636522</c:v>
                </c:pt>
                <c:pt idx="33">
                  <c:v>0.57390662131997883</c:v>
                </c:pt>
                <c:pt idx="34">
                  <c:v>0.57228667818311751</c:v>
                </c:pt>
                <c:pt idx="35">
                  <c:v>0.57066672905202886</c:v>
                </c:pt>
                <c:pt idx="36">
                  <c:v>0.56904677357297195</c:v>
                </c:pt>
                <c:pt idx="37">
                  <c:v>0.56742681211438051</c:v>
                </c:pt>
                <c:pt idx="38">
                  <c:v>0.5658068443217843</c:v>
                </c:pt>
                <c:pt idx="39">
                  <c:v>0.56418687056360861</c:v>
                </c:pt>
                <c:pt idx="40">
                  <c:v>0.56256689048393516</c:v>
                </c:pt>
                <c:pt idx="41">
                  <c:v>0.56094690445192941</c:v>
                </c:pt>
                <c:pt idx="42">
                  <c:v>0.55932691211310825</c:v>
                </c:pt>
                <c:pt idx="43">
                  <c:v>0.5577069138359001</c:v>
                </c:pt>
                <c:pt idx="44">
                  <c:v>0.55608690926439486</c:v>
                </c:pt>
                <c:pt idx="45">
                  <c:v>0.55446689858693077</c:v>
                </c:pt>
                <c:pt idx="46">
                  <c:v>0.55284688199148235</c:v>
                </c:pt>
                <c:pt idx="47">
                  <c:v>0.55122685912251246</c:v>
                </c:pt>
                <c:pt idx="48">
                  <c:v>0.54960683034950475</c:v>
                </c:pt>
                <c:pt idx="49">
                  <c:v>0.54798679531619277</c:v>
                </c:pt>
                <c:pt idx="50">
                  <c:v>0.54636675439211158</c:v>
                </c:pt>
                <c:pt idx="51">
                  <c:v>0.54474670722168206</c:v>
                </c:pt>
                <c:pt idx="52">
                  <c:v>0.54312665417407635</c:v>
                </c:pt>
                <c:pt idx="53">
                  <c:v>0.54150659489411912</c:v>
                </c:pt>
                <c:pt idx="54">
                  <c:v>0.53988652975018414</c:v>
                </c:pt>
                <c:pt idx="55">
                  <c:v>0.53826645838712572</c:v>
                </c:pt>
                <c:pt idx="56">
                  <c:v>0.53664638117408803</c:v>
                </c:pt>
                <c:pt idx="57">
                  <c:v>0.5350262977555198</c:v>
                </c:pt>
                <c:pt idx="58">
                  <c:v>0.53340620850094045</c:v>
                </c:pt>
                <c:pt idx="59">
                  <c:v>0.53178611305404955</c:v>
                </c:pt>
                <c:pt idx="60">
                  <c:v>0.53016601160321031</c:v>
                </c:pt>
                <c:pt idx="61">
                  <c:v>0.52854590433641258</c:v>
                </c:pt>
                <c:pt idx="62">
                  <c:v>0.52692579089843716</c:v>
                </c:pt>
                <c:pt idx="63">
                  <c:v>0.52530567165774422</c:v>
                </c:pt>
                <c:pt idx="64">
                  <c:v>0.52368554625910346</c:v>
                </c:pt>
                <c:pt idx="65">
                  <c:v>0.52206541507172455</c:v>
                </c:pt>
                <c:pt idx="66">
                  <c:v>0.52044527774036686</c:v>
                </c:pt>
                <c:pt idx="67">
                  <c:v>0.51882513463348245</c:v>
                </c:pt>
                <c:pt idx="68">
                  <c:v>0.51720498539586945</c:v>
                </c:pt>
                <c:pt idx="69">
                  <c:v>0.51558483039673053</c:v>
                </c:pt>
                <c:pt idx="70">
                  <c:v>0.51396466928082285</c:v>
                </c:pt>
                <c:pt idx="71">
                  <c:v>0.51234450241623641</c:v>
                </c:pt>
                <c:pt idx="72">
                  <c:v>0.51072432944850676</c:v>
                </c:pt>
                <c:pt idx="73">
                  <c:v>0.50910415074678839</c:v>
                </c:pt>
                <c:pt idx="74">
                  <c:v>0.50748396595516831</c:v>
                </c:pt>
                <c:pt idx="75">
                  <c:v>0.5058637752612567</c:v>
                </c:pt>
                <c:pt idx="76">
                  <c:v>0.50424357885304849</c:v>
                </c:pt>
                <c:pt idx="77">
                  <c:v>0.50262337637570276</c:v>
                </c:pt>
                <c:pt idx="78">
                  <c:v>0.501003168198771</c:v>
                </c:pt>
                <c:pt idx="79">
                  <c:v>0.49938295396519539</c:v>
                </c:pt>
                <c:pt idx="80">
                  <c:v>0.49776273404455962</c:v>
                </c:pt>
                <c:pt idx="81">
                  <c:v>0.49614250808198979</c:v>
                </c:pt>
                <c:pt idx="82">
                  <c:v>0.49452227644702029</c:v>
                </c:pt>
                <c:pt idx="83">
                  <c:v>0.49290203878265237</c:v>
                </c:pt>
                <c:pt idx="84">
                  <c:v>0.49128179545843098</c:v>
                </c:pt>
                <c:pt idx="85">
                  <c:v>0.48966154611948148</c:v>
                </c:pt>
                <c:pt idx="86">
                  <c:v>0.48804129113464184</c:v>
                </c:pt>
                <c:pt idx="87">
                  <c:v>0.4864210301490467</c:v>
                </c:pt>
                <c:pt idx="88">
                  <c:v>0.48480076353008805</c:v>
                </c:pt>
                <c:pt idx="89">
                  <c:v>0.48318049092363885</c:v>
                </c:pt>
                <c:pt idx="90">
                  <c:v>0.48156021251766773</c:v>
                </c:pt>
                <c:pt idx="91">
                  <c:v>0.47993992849913247</c:v>
                </c:pt>
                <c:pt idx="92">
                  <c:v>0.47831963851383386</c:v>
                </c:pt>
                <c:pt idx="93">
                  <c:v>0.47669934292994603</c:v>
                </c:pt>
                <c:pt idx="94">
                  <c:v>0.47507904139256057</c:v>
                </c:pt>
                <c:pt idx="95">
                  <c:v>0.47345873426981183</c:v>
                </c:pt>
                <c:pt idx="96">
                  <c:v>0.47183842120753988</c:v>
                </c:pt>
                <c:pt idx="97">
                  <c:v>0.47021810257390023</c:v>
                </c:pt>
                <c:pt idx="98">
                  <c:v>0.46859777801360919</c:v>
                </c:pt>
                <c:pt idx="99">
                  <c:v>0.46697744789591611</c:v>
                </c:pt>
                <c:pt idx="100">
                  <c:v>0.46535711186518225</c:v>
                </c:pt>
                <c:pt idx="101">
                  <c:v>0.46373677029102234</c:v>
                </c:pt>
                <c:pt idx="102">
                  <c:v>0.46211642281708898</c:v>
                </c:pt>
                <c:pt idx="103">
                  <c:v>0.4604960698129571</c:v>
                </c:pt>
                <c:pt idx="104">
                  <c:v>0.45887571092302759</c:v>
                </c:pt>
                <c:pt idx="105">
                  <c:v>0.45725534633531384</c:v>
                </c:pt>
                <c:pt idx="106">
                  <c:v>0.45563497623783106</c:v>
                </c:pt>
                <c:pt idx="107">
                  <c:v>0.45401460027568658</c:v>
                </c:pt>
                <c:pt idx="108">
                  <c:v>0.45239421881630332</c:v>
                </c:pt>
                <c:pt idx="109">
                  <c:v>0.45077383150549655</c:v>
                </c:pt>
                <c:pt idx="110">
                  <c:v>0.44915343871215718</c:v>
                </c:pt>
                <c:pt idx="111">
                  <c:v>0.44753304008102729</c:v>
                </c:pt>
                <c:pt idx="112">
                  <c:v>0.44591263598060427</c:v>
                </c:pt>
                <c:pt idx="113">
                  <c:v>0.4442922260556294</c:v>
                </c:pt>
                <c:pt idx="114">
                  <c:v>0.44267181067534012</c:v>
                </c:pt>
                <c:pt idx="115">
                  <c:v>0.44105138948446643</c:v>
                </c:pt>
                <c:pt idx="116">
                  <c:v>0.43943096285156891</c:v>
                </c:pt>
                <c:pt idx="117">
                  <c:v>0.43781053042131657</c:v>
                </c:pt>
                <c:pt idx="118">
                  <c:v>0.43619009256299945</c:v>
                </c:pt>
                <c:pt idx="119">
                  <c:v>0.43456964892134631</c:v>
                </c:pt>
                <c:pt idx="120">
                  <c:v>0.43294919968362705</c:v>
                </c:pt>
                <c:pt idx="121">
                  <c:v>0.43132874503791185</c:v>
                </c:pt>
                <c:pt idx="122">
                  <c:v>0.42970828462962685</c:v>
                </c:pt>
                <c:pt idx="123">
                  <c:v>0.42808781882729552</c:v>
                </c:pt>
                <c:pt idx="124">
                  <c:v>0.42646734727494712</c:v>
                </c:pt>
                <c:pt idx="125">
                  <c:v>0.42484687034181434</c:v>
                </c:pt>
                <c:pt idx="126">
                  <c:v>0.42322638767297827</c:v>
                </c:pt>
                <c:pt idx="127">
                  <c:v>0.42160589963806722</c:v>
                </c:pt>
                <c:pt idx="128">
                  <c:v>0.41998540587998606</c:v>
                </c:pt>
                <c:pt idx="129">
                  <c:v>0.41836490676837423</c:v>
                </c:pt>
                <c:pt idx="130">
                  <c:v>0.41674440194830142</c:v>
                </c:pt>
                <c:pt idx="131">
                  <c:v>0.41512389178937747</c:v>
                </c:pt>
                <c:pt idx="132">
                  <c:v>0.41350337593451653</c:v>
                </c:pt>
                <c:pt idx="133">
                  <c:v>0.41188285475336978</c:v>
                </c:pt>
                <c:pt idx="134">
                  <c:v>0.41026232789098566</c:v>
                </c:pt>
                <c:pt idx="135">
                  <c:v>0.40864179553540703</c:v>
                </c:pt>
                <c:pt idx="136">
                  <c:v>0.40702125787432414</c:v>
                </c:pt>
                <c:pt idx="137">
                  <c:v>0.40540071455170135</c:v>
                </c:pt>
                <c:pt idx="138">
                  <c:v>0.40378016593683858</c:v>
                </c:pt>
                <c:pt idx="139">
                  <c:v>0.40215961167515668</c:v>
                </c:pt>
                <c:pt idx="140">
                  <c:v>0.40053905213482344</c:v>
                </c:pt>
                <c:pt idx="141">
                  <c:v>0.3989184869609354</c:v>
                </c:pt>
                <c:pt idx="142">
                  <c:v>0.39729791652168095</c:v>
                </c:pt>
                <c:pt idx="143">
                  <c:v>0.39567734046282449</c:v>
                </c:pt>
                <c:pt idx="144">
                  <c:v>0.39405675915258576</c:v>
                </c:pt>
                <c:pt idx="145">
                  <c:v>0.39243617223566557</c:v>
                </c:pt>
                <c:pt idx="146">
                  <c:v>0.39081558008133715</c:v>
                </c:pt>
                <c:pt idx="147">
                  <c:v>0.3891949823342809</c:v>
                </c:pt>
                <c:pt idx="148">
                  <c:v>0.38757437936273853</c:v>
                </c:pt>
                <c:pt idx="149">
                  <c:v>0.38595377081247245</c:v>
                </c:pt>
                <c:pt idx="150">
                  <c:v>0.38433315687044756</c:v>
                </c:pt>
                <c:pt idx="151">
                  <c:v>0.38271253772541997</c:v>
                </c:pt>
                <c:pt idx="152">
                  <c:v>0.38109191302102657</c:v>
                </c:pt>
                <c:pt idx="153">
                  <c:v>0.37947128312655365</c:v>
                </c:pt>
                <c:pt idx="154">
                  <c:v>0.37785064768738791</c:v>
                </c:pt>
                <c:pt idx="155">
                  <c:v>0.37623000707214904</c:v>
                </c:pt>
                <c:pt idx="156">
                  <c:v>0.37460936092474562</c:v>
                </c:pt>
                <c:pt idx="157">
                  <c:v>0.37298870961453656</c:v>
                </c:pt>
                <c:pt idx="158">
                  <c:v>0.37136805278651297</c:v>
                </c:pt>
                <c:pt idx="159">
                  <c:v>0.36974739081000446</c:v>
                </c:pt>
                <c:pt idx="160">
                  <c:v>0.36812672332861529</c:v>
                </c:pt>
                <c:pt idx="161">
                  <c:v>0.36650605071199943</c:v>
                </c:pt>
                <c:pt idx="162">
                  <c:v>0.36488537260446918</c:v>
                </c:pt>
                <c:pt idx="163">
                  <c:v>0.36326468937536588</c:v>
                </c:pt>
                <c:pt idx="164">
                  <c:v>0.36164400066932467</c:v>
                </c:pt>
                <c:pt idx="165">
                  <c:v>0.36002330667369886</c:v>
                </c:pt>
                <c:pt idx="166">
                  <c:v>0.35840260757691511</c:v>
                </c:pt>
                <c:pt idx="167">
                  <c:v>0.35678190302329416</c:v>
                </c:pt>
                <c:pt idx="168">
                  <c:v>0.35516119338250357</c:v>
                </c:pt>
                <c:pt idx="169">
                  <c:v>0.35354047829811475</c:v>
                </c:pt>
                <c:pt idx="170">
                  <c:v>0.35191975813984666</c:v>
                </c:pt>
                <c:pt idx="171">
                  <c:v>0.35029903255197853</c:v>
                </c:pt>
                <c:pt idx="172">
                  <c:v>0.34867830190417981</c:v>
                </c:pt>
                <c:pt idx="173">
                  <c:v>0.34705756584006142</c:v>
                </c:pt>
                <c:pt idx="174">
                  <c:v>0.34543682472893905</c:v>
                </c:pt>
                <c:pt idx="175">
                  <c:v>0.34381607821584004</c:v>
                </c:pt>
                <c:pt idx="176">
                  <c:v>0.34219532667043534</c:v>
                </c:pt>
                <c:pt idx="177">
                  <c:v>0.34057456973559624</c:v>
                </c:pt>
                <c:pt idx="178">
                  <c:v>0.33895380778101458</c:v>
                </c:pt>
                <c:pt idx="179">
                  <c:v>0.33733304045168649</c:v>
                </c:pt>
                <c:pt idx="180">
                  <c:v>0.33571226793572784</c:v>
                </c:pt>
                <c:pt idx="181">
                  <c:v>0.33409149042080022</c:v>
                </c:pt>
                <c:pt idx="182">
                  <c:v>0.3324707075508665</c:v>
                </c:pt>
                <c:pt idx="183">
                  <c:v>0.33084991969526667</c:v>
                </c:pt>
                <c:pt idx="184">
                  <c:v>0.32922912649938002</c:v>
                </c:pt>
                <c:pt idx="185">
                  <c:v>0.32760832833180842</c:v>
                </c:pt>
                <c:pt idx="186">
                  <c:v>0.32598752483646365</c:v>
                </c:pt>
                <c:pt idx="187">
                  <c:v>0.3243667163827274</c:v>
                </c:pt>
                <c:pt idx="188">
                  <c:v>0.32274590261593794</c:v>
                </c:pt>
                <c:pt idx="189">
                  <c:v>0.32112508390473926</c:v>
                </c:pt>
                <c:pt idx="190">
                  <c:v>0.31950425989304176</c:v>
                </c:pt>
                <c:pt idx="191">
                  <c:v>0.3178834309502091</c:v>
                </c:pt>
                <c:pt idx="192">
                  <c:v>0.31626259672157842</c:v>
                </c:pt>
                <c:pt idx="193">
                  <c:v>0.31464175757545099</c:v>
                </c:pt>
                <c:pt idx="194">
                  <c:v>0.31302091315642511</c:v>
                </c:pt>
                <c:pt idx="195">
                  <c:v>0.31140006365262035</c:v>
                </c:pt>
                <c:pt idx="196">
                  <c:v>0.30977920925249131</c:v>
                </c:pt>
                <c:pt idx="197">
                  <c:v>0.30815834959956245</c:v>
                </c:pt>
                <c:pt idx="198">
                  <c:v>0.30653748506356432</c:v>
                </c:pt>
                <c:pt idx="199">
                  <c:v>0.30491661528875991</c:v>
                </c:pt>
                <c:pt idx="200">
                  <c:v>0.30329574064490061</c:v>
                </c:pt>
                <c:pt idx="201">
                  <c:v>0.30167486077550021</c:v>
                </c:pt>
                <c:pt idx="202">
                  <c:v>0.30005397605031081</c:v>
                </c:pt>
                <c:pt idx="203">
                  <c:v>0.29843308611358454</c:v>
                </c:pt>
                <c:pt idx="204">
                  <c:v>0.29681219133506437</c:v>
                </c:pt>
                <c:pt idx="205">
                  <c:v>0.29519129135828326</c:v>
                </c:pt>
                <c:pt idx="206">
                  <c:v>0.29357038655295459</c:v>
                </c:pt>
                <c:pt idx="207">
                  <c:v>0.29194947656339038</c:v>
                </c:pt>
                <c:pt idx="208">
                  <c:v>0.29032856175889976</c:v>
                </c:pt>
                <c:pt idx="209">
                  <c:v>0.28870764178380454</c:v>
                </c:pt>
                <c:pt idx="210">
                  <c:v>0.28708671682615738</c:v>
                </c:pt>
                <c:pt idx="211">
                  <c:v>0.28546578707444631</c:v>
                </c:pt>
                <c:pt idx="212">
                  <c:v>0.28384485217254751</c:v>
                </c:pt>
                <c:pt idx="213">
                  <c:v>0.28222391248911421</c:v>
                </c:pt>
                <c:pt idx="214">
                  <c:v>0.28060296766949938</c:v>
                </c:pt>
                <c:pt idx="215">
                  <c:v>0.27898201808274176</c:v>
                </c:pt>
                <c:pt idx="216">
                  <c:v>0.27736106337376887</c:v>
                </c:pt>
                <c:pt idx="217">
                  <c:v>0.27574010391020326</c:v>
                </c:pt>
                <c:pt idx="218">
                  <c:v>0.2741191393377414</c:v>
                </c:pt>
                <c:pt idx="219">
                  <c:v>0.27249817002536253</c:v>
                </c:pt>
                <c:pt idx="220">
                  <c:v>0.27087719561773055</c:v>
                </c:pt>
                <c:pt idx="221">
                  <c:v>0.26925621648346121</c:v>
                </c:pt>
                <c:pt idx="222">
                  <c:v>0.26763523226720781</c:v>
                </c:pt>
                <c:pt idx="223">
                  <c:v>0.26601424333798135</c:v>
                </c:pt>
                <c:pt idx="224">
                  <c:v>0.26439324934112329</c:v>
                </c:pt>
                <c:pt idx="225">
                  <c:v>0.26277225046435554</c:v>
                </c:pt>
                <c:pt idx="226">
                  <c:v>0.26115124689436825</c:v>
                </c:pt>
                <c:pt idx="227">
                  <c:v>0.25953023827680632</c:v>
                </c:pt>
                <c:pt idx="228">
                  <c:v>0.25790922498075269</c:v>
                </c:pt>
                <c:pt idx="229">
                  <c:v>0.25628820665044516</c:v>
                </c:pt>
                <c:pt idx="230">
                  <c:v>0.25466718365561564</c:v>
                </c:pt>
                <c:pt idx="231">
                  <c:v>0.25304615563979288</c:v>
                </c:pt>
                <c:pt idx="232">
                  <c:v>0.25142512297238551</c:v>
                </c:pt>
                <c:pt idx="233">
                  <c:v>0.24980408529870332</c:v>
                </c:pt>
                <c:pt idx="234">
                  <c:v>0.24818304298744712</c:v>
                </c:pt>
                <c:pt idx="235">
                  <c:v>0.24656199568245882</c:v>
                </c:pt>
                <c:pt idx="236">
                  <c:v>0.24494094375318917</c:v>
                </c:pt>
                <c:pt idx="237">
                  <c:v>0.24331988684491662</c:v>
                </c:pt>
                <c:pt idx="238">
                  <c:v>0.24169882532634354</c:v>
                </c:pt>
                <c:pt idx="239">
                  <c:v>0.24007775884134161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437696"/>
        <c:axId val="168413440"/>
      </c:lineChart>
      <c:catAx>
        <c:axId val="16943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413440"/>
        <c:crosses val="autoZero"/>
        <c:auto val="1"/>
        <c:lblAlgn val="ctr"/>
        <c:lblOffset val="100"/>
        <c:noMultiLvlLbl val="0"/>
      </c:catAx>
      <c:valAx>
        <c:axId val="168413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94376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Solar Elevation vs. Hour of Day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Sun!$AG$1</c:f>
              <c:strCache>
                <c:ptCount val="1"/>
                <c:pt idx="0">
                  <c:v>Solar Elevation corrected for atm refraction (deg)</c:v>
                </c:pt>
              </c:strCache>
            </c:strRef>
          </c:tx>
          <c:marker>
            <c:symbol val="none"/>
          </c:marker>
          <c:xVal>
            <c:numRef>
              <c:f>Sun!$E$2:$E$241</c:f>
              <c:numCache>
                <c:formatCode>h:mm:ss;@</c:formatCode>
                <c:ptCount val="240"/>
                <c:pt idx="0">
                  <c:v>4.1666666666666666E-3</c:v>
                </c:pt>
                <c:pt idx="1">
                  <c:v>8.3333333333333332E-3</c:v>
                </c:pt>
                <c:pt idx="2">
                  <c:v>1.2500000000000001E-2</c:v>
                </c:pt>
                <c:pt idx="3">
                  <c:v>1.6666666666666666E-2</c:v>
                </c:pt>
                <c:pt idx="4">
                  <c:v>2.0833333333333332E-2</c:v>
                </c:pt>
                <c:pt idx="5">
                  <c:v>2.4999999999999998E-2</c:v>
                </c:pt>
                <c:pt idx="6">
                  <c:v>2.9166666666666664E-2</c:v>
                </c:pt>
                <c:pt idx="7">
                  <c:v>3.3333333333333333E-2</c:v>
                </c:pt>
                <c:pt idx="8">
                  <c:v>3.7499999999999999E-2</c:v>
                </c:pt>
                <c:pt idx="9">
                  <c:v>4.1666666666666664E-2</c:v>
                </c:pt>
                <c:pt idx="10">
                  <c:v>4.583333333333333E-2</c:v>
                </c:pt>
                <c:pt idx="11">
                  <c:v>4.9999999999999996E-2</c:v>
                </c:pt>
                <c:pt idx="12">
                  <c:v>5.4166666666666662E-2</c:v>
                </c:pt>
                <c:pt idx="13">
                  <c:v>5.8333333333333327E-2</c:v>
                </c:pt>
                <c:pt idx="14">
                  <c:v>6.2499999999999993E-2</c:v>
                </c:pt>
                <c:pt idx="15">
                  <c:v>6.6666666666666666E-2</c:v>
                </c:pt>
                <c:pt idx="16">
                  <c:v>7.0833333333333331E-2</c:v>
                </c:pt>
                <c:pt idx="17">
                  <c:v>7.4999999999999997E-2</c:v>
                </c:pt>
                <c:pt idx="18">
                  <c:v>7.9166666666666663E-2</c:v>
                </c:pt>
                <c:pt idx="19">
                  <c:v>8.3333333333333329E-2</c:v>
                </c:pt>
                <c:pt idx="20">
                  <c:v>8.7499999999999994E-2</c:v>
                </c:pt>
                <c:pt idx="21">
                  <c:v>9.166666666666666E-2</c:v>
                </c:pt>
                <c:pt idx="22">
                  <c:v>9.5833333333333326E-2</c:v>
                </c:pt>
                <c:pt idx="23">
                  <c:v>9.9999999999999992E-2</c:v>
                </c:pt>
                <c:pt idx="24">
                  <c:v>0.10416666666666666</c:v>
                </c:pt>
                <c:pt idx="25">
                  <c:v>0.10833333333333332</c:v>
                </c:pt>
                <c:pt idx="26">
                  <c:v>0.11249999999999999</c:v>
                </c:pt>
                <c:pt idx="27">
                  <c:v>0.11666666666666665</c:v>
                </c:pt>
                <c:pt idx="28">
                  <c:v>0.12083333333333332</c:v>
                </c:pt>
                <c:pt idx="29">
                  <c:v>0.12499999999999999</c:v>
                </c:pt>
                <c:pt idx="30">
                  <c:v>0.12916666666666665</c:v>
                </c:pt>
                <c:pt idx="31">
                  <c:v>0.13333333333333333</c:v>
                </c:pt>
                <c:pt idx="32">
                  <c:v>0.13750000000000001</c:v>
                </c:pt>
                <c:pt idx="33">
                  <c:v>0.14166666666666669</c:v>
                </c:pt>
                <c:pt idx="34">
                  <c:v>0.14583333333333337</c:v>
                </c:pt>
                <c:pt idx="35">
                  <c:v>0.15000000000000005</c:v>
                </c:pt>
                <c:pt idx="36">
                  <c:v>0.15416666666666673</c:v>
                </c:pt>
                <c:pt idx="37">
                  <c:v>0.15833333333333341</c:v>
                </c:pt>
                <c:pt idx="38">
                  <c:v>0.16250000000000009</c:v>
                </c:pt>
                <c:pt idx="39">
                  <c:v>0.16666666666666677</c:v>
                </c:pt>
                <c:pt idx="40">
                  <c:v>0.17083333333333345</c:v>
                </c:pt>
                <c:pt idx="41">
                  <c:v>0.17500000000000013</c:v>
                </c:pt>
                <c:pt idx="42">
                  <c:v>0.17916666666666681</c:v>
                </c:pt>
                <c:pt idx="43">
                  <c:v>0.18333333333333349</c:v>
                </c:pt>
                <c:pt idx="44">
                  <c:v>0.18750000000000017</c:v>
                </c:pt>
                <c:pt idx="45">
                  <c:v>0.19166666666666685</c:v>
                </c:pt>
                <c:pt idx="46">
                  <c:v>0.19583333333333353</c:v>
                </c:pt>
                <c:pt idx="47">
                  <c:v>0.20000000000000021</c:v>
                </c:pt>
                <c:pt idx="48">
                  <c:v>0.20416666666666689</c:v>
                </c:pt>
                <c:pt idx="49">
                  <c:v>0.20833333333333356</c:v>
                </c:pt>
                <c:pt idx="50">
                  <c:v>0.21250000000000024</c:v>
                </c:pt>
                <c:pt idx="51">
                  <c:v>0.21666666666666692</c:v>
                </c:pt>
                <c:pt idx="52">
                  <c:v>0.2208333333333336</c:v>
                </c:pt>
                <c:pt idx="53">
                  <c:v>0.22500000000000028</c:v>
                </c:pt>
                <c:pt idx="54">
                  <c:v>0.22916666666666696</c:v>
                </c:pt>
                <c:pt idx="55">
                  <c:v>0.23333333333333364</c:v>
                </c:pt>
                <c:pt idx="56">
                  <c:v>0.23750000000000032</c:v>
                </c:pt>
                <c:pt idx="57">
                  <c:v>0.241666666666667</c:v>
                </c:pt>
                <c:pt idx="58">
                  <c:v>0.24583333333333368</c:v>
                </c:pt>
                <c:pt idx="59">
                  <c:v>0.25000000000000033</c:v>
                </c:pt>
                <c:pt idx="60">
                  <c:v>0.25416666666666698</c:v>
                </c:pt>
                <c:pt idx="61">
                  <c:v>0.25833333333333364</c:v>
                </c:pt>
                <c:pt idx="62">
                  <c:v>0.26250000000000029</c:v>
                </c:pt>
                <c:pt idx="63">
                  <c:v>0.26666666666666694</c:v>
                </c:pt>
                <c:pt idx="64">
                  <c:v>0.27083333333333359</c:v>
                </c:pt>
                <c:pt idx="65">
                  <c:v>0.27500000000000024</c:v>
                </c:pt>
                <c:pt idx="66">
                  <c:v>0.2791666666666669</c:v>
                </c:pt>
                <c:pt idx="67">
                  <c:v>0.28333333333333355</c:v>
                </c:pt>
                <c:pt idx="68">
                  <c:v>0.2875000000000002</c:v>
                </c:pt>
                <c:pt idx="69">
                  <c:v>0.29166666666666685</c:v>
                </c:pt>
                <c:pt idx="70">
                  <c:v>0.2958333333333335</c:v>
                </c:pt>
                <c:pt idx="71">
                  <c:v>0.30000000000000016</c:v>
                </c:pt>
                <c:pt idx="72">
                  <c:v>0.30416666666666681</c:v>
                </c:pt>
                <c:pt idx="73">
                  <c:v>0.30833333333333346</c:v>
                </c:pt>
                <c:pt idx="74">
                  <c:v>0.31250000000000011</c:v>
                </c:pt>
                <c:pt idx="75">
                  <c:v>0.31666666666666676</c:v>
                </c:pt>
                <c:pt idx="76">
                  <c:v>0.32083333333333341</c:v>
                </c:pt>
                <c:pt idx="77">
                  <c:v>0.32500000000000007</c:v>
                </c:pt>
                <c:pt idx="78">
                  <c:v>0.32916666666666672</c:v>
                </c:pt>
                <c:pt idx="79">
                  <c:v>0.33333333333333337</c:v>
                </c:pt>
                <c:pt idx="80">
                  <c:v>0.33750000000000002</c:v>
                </c:pt>
                <c:pt idx="81">
                  <c:v>0.34166666666666667</c:v>
                </c:pt>
                <c:pt idx="82">
                  <c:v>0.34583333333333333</c:v>
                </c:pt>
                <c:pt idx="83">
                  <c:v>0.35</c:v>
                </c:pt>
                <c:pt idx="84">
                  <c:v>0.35416666666666663</c:v>
                </c:pt>
                <c:pt idx="85">
                  <c:v>0.35833333333333328</c:v>
                </c:pt>
                <c:pt idx="86">
                  <c:v>0.36249999999999993</c:v>
                </c:pt>
                <c:pt idx="87">
                  <c:v>0.36666666666666659</c:v>
                </c:pt>
                <c:pt idx="88">
                  <c:v>0.37083333333333324</c:v>
                </c:pt>
                <c:pt idx="89">
                  <c:v>0.37499999999999989</c:v>
                </c:pt>
                <c:pt idx="90">
                  <c:v>0.37916666666666654</c:v>
                </c:pt>
                <c:pt idx="91">
                  <c:v>0.38333333333333319</c:v>
                </c:pt>
                <c:pt idx="92">
                  <c:v>0.38749999999999984</c:v>
                </c:pt>
                <c:pt idx="93">
                  <c:v>0.3916666666666665</c:v>
                </c:pt>
                <c:pt idx="94">
                  <c:v>0.39583333333333315</c:v>
                </c:pt>
                <c:pt idx="95">
                  <c:v>0.3999999999999998</c:v>
                </c:pt>
                <c:pt idx="96">
                  <c:v>0.40416666666666645</c:v>
                </c:pt>
                <c:pt idx="97">
                  <c:v>0.4083333333333331</c:v>
                </c:pt>
                <c:pt idx="98">
                  <c:v>0.41249999999999976</c:v>
                </c:pt>
                <c:pt idx="99">
                  <c:v>0.41666666666666641</c:v>
                </c:pt>
                <c:pt idx="100">
                  <c:v>0.42083333333333306</c:v>
                </c:pt>
                <c:pt idx="101">
                  <c:v>0.42499999999999971</c:v>
                </c:pt>
                <c:pt idx="102">
                  <c:v>0.42916666666666636</c:v>
                </c:pt>
                <c:pt idx="103">
                  <c:v>0.43333333333333302</c:v>
                </c:pt>
                <c:pt idx="104">
                  <c:v>0.43749999999999967</c:v>
                </c:pt>
                <c:pt idx="105">
                  <c:v>0.44166666666666632</c:v>
                </c:pt>
                <c:pt idx="106">
                  <c:v>0.44583333333333297</c:v>
                </c:pt>
                <c:pt idx="107">
                  <c:v>0.44999999999999962</c:v>
                </c:pt>
                <c:pt idx="108">
                  <c:v>0.45416666666666627</c:v>
                </c:pt>
                <c:pt idx="109">
                  <c:v>0.45833333333333293</c:v>
                </c:pt>
                <c:pt idx="110">
                  <c:v>0.46249999999999958</c:v>
                </c:pt>
                <c:pt idx="111">
                  <c:v>0.46666666666666623</c:v>
                </c:pt>
                <c:pt idx="112">
                  <c:v>0.47083333333333288</c:v>
                </c:pt>
                <c:pt idx="113">
                  <c:v>0.47499999999999953</c:v>
                </c:pt>
                <c:pt idx="114">
                  <c:v>0.47916666666666619</c:v>
                </c:pt>
                <c:pt idx="115">
                  <c:v>0.48333333333333284</c:v>
                </c:pt>
                <c:pt idx="116">
                  <c:v>0.48749999999999949</c:v>
                </c:pt>
                <c:pt idx="117">
                  <c:v>0.49166666666666614</c:v>
                </c:pt>
                <c:pt idx="118">
                  <c:v>0.49583333333333279</c:v>
                </c:pt>
                <c:pt idx="119">
                  <c:v>0.49999999999999944</c:v>
                </c:pt>
                <c:pt idx="120">
                  <c:v>0.5041666666666661</c:v>
                </c:pt>
                <c:pt idx="121">
                  <c:v>0.50833333333333275</c:v>
                </c:pt>
                <c:pt idx="122">
                  <c:v>0.5124999999999994</c:v>
                </c:pt>
                <c:pt idx="123">
                  <c:v>0.51666666666666605</c:v>
                </c:pt>
                <c:pt idx="124">
                  <c:v>0.5208333333333327</c:v>
                </c:pt>
                <c:pt idx="125">
                  <c:v>0.52499999999999936</c:v>
                </c:pt>
                <c:pt idx="126">
                  <c:v>0.52916666666666601</c:v>
                </c:pt>
                <c:pt idx="127">
                  <c:v>0.53333333333333266</c:v>
                </c:pt>
                <c:pt idx="128">
                  <c:v>0.53749999999999931</c:v>
                </c:pt>
                <c:pt idx="129">
                  <c:v>0.54166666666666596</c:v>
                </c:pt>
                <c:pt idx="130">
                  <c:v>0.54583333333333262</c:v>
                </c:pt>
                <c:pt idx="131">
                  <c:v>0.54999999999999927</c:v>
                </c:pt>
                <c:pt idx="132">
                  <c:v>0.55416666666666592</c:v>
                </c:pt>
                <c:pt idx="133">
                  <c:v>0.55833333333333257</c:v>
                </c:pt>
                <c:pt idx="134">
                  <c:v>0.56249999999999922</c:v>
                </c:pt>
                <c:pt idx="135">
                  <c:v>0.56666666666666587</c:v>
                </c:pt>
                <c:pt idx="136">
                  <c:v>0.57083333333333253</c:v>
                </c:pt>
                <c:pt idx="137">
                  <c:v>0.57499999999999918</c:v>
                </c:pt>
                <c:pt idx="138">
                  <c:v>0.57916666666666583</c:v>
                </c:pt>
                <c:pt idx="139">
                  <c:v>0.58333333333333248</c:v>
                </c:pt>
                <c:pt idx="140">
                  <c:v>0.58749999999999913</c:v>
                </c:pt>
                <c:pt idx="141">
                  <c:v>0.59166666666666579</c:v>
                </c:pt>
                <c:pt idx="142">
                  <c:v>0.59583333333333244</c:v>
                </c:pt>
                <c:pt idx="143">
                  <c:v>0.59999999999999909</c:v>
                </c:pt>
                <c:pt idx="144">
                  <c:v>0.60416666666666574</c:v>
                </c:pt>
                <c:pt idx="145">
                  <c:v>0.60833333333333239</c:v>
                </c:pt>
                <c:pt idx="146">
                  <c:v>0.61249999999999905</c:v>
                </c:pt>
                <c:pt idx="147">
                  <c:v>0.6166666666666657</c:v>
                </c:pt>
                <c:pt idx="148">
                  <c:v>0.62083333333333235</c:v>
                </c:pt>
                <c:pt idx="149">
                  <c:v>0.624999999999999</c:v>
                </c:pt>
                <c:pt idx="150">
                  <c:v>0.62916666666666565</c:v>
                </c:pt>
                <c:pt idx="151">
                  <c:v>0.6333333333333323</c:v>
                </c:pt>
                <c:pt idx="152">
                  <c:v>0.63749999999999896</c:v>
                </c:pt>
                <c:pt idx="153">
                  <c:v>0.64166666666666561</c:v>
                </c:pt>
                <c:pt idx="154">
                  <c:v>0.64583333333333226</c:v>
                </c:pt>
                <c:pt idx="155">
                  <c:v>0.64999999999999891</c:v>
                </c:pt>
                <c:pt idx="156">
                  <c:v>0.65416666666666556</c:v>
                </c:pt>
                <c:pt idx="157">
                  <c:v>0.65833333333333222</c:v>
                </c:pt>
                <c:pt idx="158">
                  <c:v>0.66249999999999887</c:v>
                </c:pt>
                <c:pt idx="159">
                  <c:v>0.66666666666666552</c:v>
                </c:pt>
                <c:pt idx="160">
                  <c:v>0.67083333333333217</c:v>
                </c:pt>
                <c:pt idx="161">
                  <c:v>0.67499999999999882</c:v>
                </c:pt>
                <c:pt idx="162">
                  <c:v>0.67916666666666548</c:v>
                </c:pt>
                <c:pt idx="163">
                  <c:v>0.68333333333333213</c:v>
                </c:pt>
                <c:pt idx="164">
                  <c:v>0.68749999999999878</c:v>
                </c:pt>
                <c:pt idx="165">
                  <c:v>0.69166666666666543</c:v>
                </c:pt>
                <c:pt idx="166">
                  <c:v>0.69583333333333208</c:v>
                </c:pt>
                <c:pt idx="167">
                  <c:v>0.69999999999999873</c:v>
                </c:pt>
                <c:pt idx="168">
                  <c:v>0.70416666666666539</c:v>
                </c:pt>
                <c:pt idx="169">
                  <c:v>0.70833333333333204</c:v>
                </c:pt>
                <c:pt idx="170">
                  <c:v>0.71249999999999869</c:v>
                </c:pt>
                <c:pt idx="171">
                  <c:v>0.71666666666666534</c:v>
                </c:pt>
                <c:pt idx="172">
                  <c:v>0.72083333333333199</c:v>
                </c:pt>
                <c:pt idx="173">
                  <c:v>0.72499999999999865</c:v>
                </c:pt>
                <c:pt idx="174">
                  <c:v>0.7291666666666653</c:v>
                </c:pt>
                <c:pt idx="175">
                  <c:v>0.73333333333333195</c:v>
                </c:pt>
                <c:pt idx="176">
                  <c:v>0.7374999999999986</c:v>
                </c:pt>
                <c:pt idx="177">
                  <c:v>0.74166666666666525</c:v>
                </c:pt>
                <c:pt idx="178">
                  <c:v>0.7458333333333319</c:v>
                </c:pt>
                <c:pt idx="179">
                  <c:v>0.74999999999999856</c:v>
                </c:pt>
                <c:pt idx="180">
                  <c:v>0.75416666666666521</c:v>
                </c:pt>
                <c:pt idx="181">
                  <c:v>0.75833333333333186</c:v>
                </c:pt>
                <c:pt idx="182">
                  <c:v>0.76249999999999851</c:v>
                </c:pt>
                <c:pt idx="183">
                  <c:v>0.76666666666666516</c:v>
                </c:pt>
                <c:pt idx="184">
                  <c:v>0.77083333333333182</c:v>
                </c:pt>
                <c:pt idx="185">
                  <c:v>0.77499999999999847</c:v>
                </c:pt>
                <c:pt idx="186">
                  <c:v>0.77916666666666512</c:v>
                </c:pt>
                <c:pt idx="187">
                  <c:v>0.78333333333333177</c:v>
                </c:pt>
                <c:pt idx="188">
                  <c:v>0.78749999999999842</c:v>
                </c:pt>
                <c:pt idx="189">
                  <c:v>0.79166666666666508</c:v>
                </c:pt>
                <c:pt idx="190">
                  <c:v>0.79583333333333173</c:v>
                </c:pt>
                <c:pt idx="191">
                  <c:v>0.79999999999999838</c:v>
                </c:pt>
                <c:pt idx="192">
                  <c:v>0.80416666666666503</c:v>
                </c:pt>
                <c:pt idx="193">
                  <c:v>0.80833333333333168</c:v>
                </c:pt>
                <c:pt idx="194">
                  <c:v>0.81249999999999833</c:v>
                </c:pt>
                <c:pt idx="195">
                  <c:v>0.81666666666666499</c:v>
                </c:pt>
                <c:pt idx="196">
                  <c:v>0.82083333333333164</c:v>
                </c:pt>
                <c:pt idx="197">
                  <c:v>0.82499999999999829</c:v>
                </c:pt>
                <c:pt idx="198">
                  <c:v>0.82916666666666494</c:v>
                </c:pt>
                <c:pt idx="199">
                  <c:v>0.83333333333333159</c:v>
                </c:pt>
                <c:pt idx="200">
                  <c:v>0.83749999999999825</c:v>
                </c:pt>
                <c:pt idx="201">
                  <c:v>0.8416666666666649</c:v>
                </c:pt>
                <c:pt idx="202">
                  <c:v>0.84583333333333155</c:v>
                </c:pt>
                <c:pt idx="203">
                  <c:v>0.8499999999999982</c:v>
                </c:pt>
                <c:pt idx="204">
                  <c:v>0.85416666666666485</c:v>
                </c:pt>
                <c:pt idx="205">
                  <c:v>0.85833333333333151</c:v>
                </c:pt>
                <c:pt idx="206">
                  <c:v>0.86249999999999816</c:v>
                </c:pt>
                <c:pt idx="207">
                  <c:v>0.86666666666666481</c:v>
                </c:pt>
                <c:pt idx="208">
                  <c:v>0.87083333333333146</c:v>
                </c:pt>
                <c:pt idx="209">
                  <c:v>0.87499999999999811</c:v>
                </c:pt>
                <c:pt idx="210">
                  <c:v>0.87916666666666476</c:v>
                </c:pt>
                <c:pt idx="211">
                  <c:v>0.88333333333333142</c:v>
                </c:pt>
                <c:pt idx="212">
                  <c:v>0.88749999999999807</c:v>
                </c:pt>
                <c:pt idx="213">
                  <c:v>0.89166666666666472</c:v>
                </c:pt>
                <c:pt idx="214">
                  <c:v>0.89583333333333137</c:v>
                </c:pt>
                <c:pt idx="215">
                  <c:v>0.89999999999999802</c:v>
                </c:pt>
                <c:pt idx="216">
                  <c:v>0.90416666666666468</c:v>
                </c:pt>
                <c:pt idx="217">
                  <c:v>0.90833333333333133</c:v>
                </c:pt>
                <c:pt idx="218">
                  <c:v>0.91249999999999798</c:v>
                </c:pt>
                <c:pt idx="219">
                  <c:v>0.91666666666666463</c:v>
                </c:pt>
                <c:pt idx="220">
                  <c:v>0.92083333333333128</c:v>
                </c:pt>
                <c:pt idx="221">
                  <c:v>0.92499999999999793</c:v>
                </c:pt>
                <c:pt idx="222">
                  <c:v>0.92916666666666459</c:v>
                </c:pt>
                <c:pt idx="223">
                  <c:v>0.93333333333333124</c:v>
                </c:pt>
                <c:pt idx="224">
                  <c:v>0.93749999999999789</c:v>
                </c:pt>
                <c:pt idx="225">
                  <c:v>0.94166666666666454</c:v>
                </c:pt>
                <c:pt idx="226">
                  <c:v>0.94583333333333119</c:v>
                </c:pt>
                <c:pt idx="227">
                  <c:v>0.94999999999999785</c:v>
                </c:pt>
                <c:pt idx="228">
                  <c:v>0.9541666666666645</c:v>
                </c:pt>
                <c:pt idx="229">
                  <c:v>0.95833333333333115</c:v>
                </c:pt>
                <c:pt idx="230">
                  <c:v>0.9624999999999978</c:v>
                </c:pt>
                <c:pt idx="231">
                  <c:v>0.96666666666666445</c:v>
                </c:pt>
                <c:pt idx="232">
                  <c:v>0.97083333333333111</c:v>
                </c:pt>
                <c:pt idx="233">
                  <c:v>0.97499999999999776</c:v>
                </c:pt>
                <c:pt idx="234">
                  <c:v>0.97916666666666441</c:v>
                </c:pt>
                <c:pt idx="235">
                  <c:v>0.98333333333333106</c:v>
                </c:pt>
                <c:pt idx="236">
                  <c:v>0.98749999999999771</c:v>
                </c:pt>
                <c:pt idx="237">
                  <c:v>0.99166666666666436</c:v>
                </c:pt>
                <c:pt idx="238">
                  <c:v>0.99583333333333102</c:v>
                </c:pt>
                <c:pt idx="239">
                  <c:v>0.99999999999999767</c:v>
                </c:pt>
              </c:numCache>
            </c:numRef>
          </c:xVal>
          <c:yVal>
            <c:numRef>
              <c:f>Sun!$AG$2:$AG$241</c:f>
              <c:numCache>
                <c:formatCode>General</c:formatCode>
                <c:ptCount val="240"/>
                <c:pt idx="0">
                  <c:v>-51.210925612379128</c:v>
                </c:pt>
                <c:pt idx="1">
                  <c:v>-51.312429074467403</c:v>
                </c:pt>
                <c:pt idx="2">
                  <c:v>-51.364575466308096</c:v>
                </c:pt>
                <c:pt idx="3">
                  <c:v>-51.36716166150606</c:v>
                </c:pt>
                <c:pt idx="4">
                  <c:v>-51.320178569747711</c:v>
                </c:pt>
                <c:pt idx="5">
                  <c:v>-51.223811317119562</c:v>
                </c:pt>
                <c:pt idx="6">
                  <c:v>-51.078435734160593</c:v>
                </c:pt>
                <c:pt idx="7">
                  <c:v>-50.884611301462897</c:v>
                </c:pt>
                <c:pt idx="8">
                  <c:v>-50.643070865513558</c:v>
                </c:pt>
                <c:pt idx="9">
                  <c:v>-50.354707553884637</c:v>
                </c:pt>
                <c:pt idx="10">
                  <c:v>-50.02055942558539</c:v>
                </c:pt>
                <c:pt idx="11">
                  <c:v>-49.641792439598746</c:v>
                </c:pt>
                <c:pt idx="12">
                  <c:v>-49.219682355657724</c:v>
                </c:pt>
                <c:pt idx="13">
                  <c:v>-48.755596155008909</c:v>
                </c:pt>
                <c:pt idx="14">
                  <c:v>-48.250973533902993</c:v>
                </c:pt>
                <c:pt idx="15">
                  <c:v>-47.707308943787467</c:v>
                </c:pt>
                <c:pt idx="16">
                  <c:v>-47.126134578083423</c:v>
                </c:pt>
                <c:pt idx="17">
                  <c:v>-46.509004609710374</c:v>
                </c:pt>
                <c:pt idx="18">
                  <c:v>-45.857480893841341</c:v>
                </c:pt>
                <c:pt idx="19">
                  <c:v>-45.173120271225066</c:v>
                </c:pt>
                <c:pt idx="20">
                  <c:v>-44.4574635243494</c:v>
                </c:pt>
                <c:pt idx="21">
                  <c:v>-43.712025984988813</c:v>
                </c:pt>
                <c:pt idx="22">
                  <c:v>-42.938289732363536</c:v>
                </c:pt>
                <c:pt idx="23">
                  <c:v>-42.137697292595064</c:v>
                </c:pt>
                <c:pt idx="24">
                  <c:v>-41.311646715449527</c:v>
                </c:pt>
                <c:pt idx="25">
                  <c:v>-40.461487897290823</c:v>
                </c:pt>
                <c:pt idx="26">
                  <c:v>-39.588520003476901</c:v>
                </c:pt>
                <c:pt idx="27">
                  <c:v>-38.693989851203192</c:v>
                </c:pt>
                <c:pt idx="28">
                  <c:v>-37.779091110213344</c:v>
                </c:pt>
                <c:pt idx="29">
                  <c:v>-36.844964194831356</c:v>
                </c:pt>
                <c:pt idx="30">
                  <c:v>-35.89269672346645</c:v>
                </c:pt>
                <c:pt idx="31">
                  <c:v>-34.923324440113973</c:v>
                </c:pt>
                <c:pt idx="32">
                  <c:v>-33.937832500231778</c:v>
                </c:pt>
                <c:pt idx="33">
                  <c:v>-32.937157035467436</c:v>
                </c:pt>
                <c:pt idx="34">
                  <c:v>-31.922186926850095</c:v>
                </c:pt>
                <c:pt idx="35">
                  <c:v>-30.893765720367213</c:v>
                </c:pt>
                <c:pt idx="36">
                  <c:v>-29.852693634978511</c:v>
                </c:pt>
                <c:pt idx="37">
                  <c:v>-28.79972961444571</c:v>
                </c:pt>
                <c:pt idx="38">
                  <c:v>-27.735593387796705</c:v>
                </c:pt>
                <c:pt idx="39">
                  <c:v>-26.660967502072506</c:v>
                </c:pt>
                <c:pt idx="40">
                  <c:v>-25.576499301298309</c:v>
                </c:pt>
                <c:pt idx="41">
                  <c:v>-24.48280282140955</c:v>
                </c:pt>
                <c:pt idx="42">
                  <c:v>-23.380460577186806</c:v>
                </c:pt>
                <c:pt idx="43">
                  <c:v>-22.270025208558199</c:v>
                </c:pt>
                <c:pt idx="44">
                  <c:v>-21.152020953539481</c:v>
                </c:pt>
                <c:pt idx="45">
                  <c:v>-20.026944897812669</c:v>
                </c:pt>
                <c:pt idx="46">
                  <c:v>-18.895267936642846</c:v>
                </c:pt>
                <c:pt idx="47">
                  <c:v>-17.757435349070256</c:v>
                </c:pt>
                <c:pt idx="48">
                  <c:v>-16.613866830028513</c:v>
                </c:pt>
                <c:pt idx="49">
                  <c:v>-15.464955736593087</c:v>
                </c:pt>
                <c:pt idx="50">
                  <c:v>-14.311067138223654</c:v>
                </c:pt>
                <c:pt idx="51">
                  <c:v>-13.152533974675741</c:v>
                </c:pt>
                <c:pt idx="52">
                  <c:v>-11.989650070917323</c:v>
                </c:pt>
                <c:pt idx="53">
                  <c:v>-10.822657679284111</c:v>
                </c:pt>
                <c:pt idx="54">
                  <c:v>-9.6517249428401826</c:v>
                </c:pt>
                <c:pt idx="55">
                  <c:v>-8.4769035813827323</c:v>
                </c:pt>
                <c:pt idx="56">
                  <c:v>-7.2980446342742349</c:v>
                </c:pt>
                <c:pt idx="57">
                  <c:v>-6.1146161945019797</c:v>
                </c:pt>
                <c:pt idx="58">
                  <c:v>-4.9252610287805156</c:v>
                </c:pt>
                <c:pt idx="59">
                  <c:v>-3.7265305467481342</c:v>
                </c:pt>
                <c:pt idx="60">
                  <c:v>-2.5082103822122317</c:v>
                </c:pt>
                <c:pt idx="61">
                  <c:v>-1.2258489004859487</c:v>
                </c:pt>
                <c:pt idx="62">
                  <c:v>0.25103273152561689</c:v>
                </c:pt>
                <c:pt idx="63">
                  <c:v>1.281255131971802</c:v>
                </c:pt>
                <c:pt idx="64">
                  <c:v>2.3680856953278071</c:v>
                </c:pt>
                <c:pt idx="65">
                  <c:v>3.4878072415507719</c:v>
                </c:pt>
                <c:pt idx="66">
                  <c:v>4.6259156189212378</c:v>
                </c:pt>
                <c:pt idx="67">
                  <c:v>5.7767354364963062</c:v>
                </c:pt>
                <c:pt idx="68">
                  <c:v>6.9335803468821835</c:v>
                </c:pt>
                <c:pt idx="69">
                  <c:v>8.0937969573459387</c:v>
                </c:pt>
                <c:pt idx="70">
                  <c:v>9.2556160642744523</c:v>
                </c:pt>
                <c:pt idx="71">
                  <c:v>10.417733462768377</c:v>
                </c:pt>
                <c:pt idx="72">
                  <c:v>11.579146801801592</c:v>
                </c:pt>
                <c:pt idx="73">
                  <c:v>12.739048467921894</c:v>
                </c:pt>
                <c:pt idx="74">
                  <c:v>13.89675555365662</c:v>
                </c:pt>
                <c:pt idx="75">
                  <c:v>15.051664460348865</c:v>
                </c:pt>
                <c:pt idx="76">
                  <c:v>16.203221142386909</c:v>
                </c:pt>
                <c:pt idx="77">
                  <c:v>17.35090114834728</c:v>
                </c:pt>
                <c:pt idx="78">
                  <c:v>18.494195823002666</c:v>
                </c:pt>
                <c:pt idx="79">
                  <c:v>19.63260242574254</c:v>
                </c:pt>
                <c:pt idx="80">
                  <c:v>20.765616775723139</c:v>
                </c:pt>
                <c:pt idx="81">
                  <c:v>21.89272754410511</c:v>
                </c:pt>
                <c:pt idx="82">
                  <c:v>23.013411634246435</c:v>
                </c:pt>
                <c:pt idx="83">
                  <c:v>24.127130280598575</c:v>
                </c:pt>
                <c:pt idx="84">
                  <c:v>25.233325626090156</c:v>
                </c:pt>
                <c:pt idx="85">
                  <c:v>26.331417611708797</c:v>
                </c:pt>
                <c:pt idx="86">
                  <c:v>27.420801070286249</c:v>
                </c:pt>
                <c:pt idx="87">
                  <c:v>28.500842946345308</c:v>
                </c:pt>
                <c:pt idx="88">
                  <c:v>29.570879594812912</c:v>
                </c:pt>
                <c:pt idx="89">
                  <c:v>30.630214123819993</c:v>
                </c:pt>
                <c:pt idx="90">
                  <c:v>31.678113767017027</c:v>
                </c:pt>
                <c:pt idx="91">
                  <c:v>32.713807277285198</c:v>
                </c:pt>
                <c:pt idx="92">
                  <c:v>33.736482347507753</c:v>
                </c:pt>
                <c:pt idx="93">
                  <c:v>34.745283074124877</c:v>
                </c:pt>
                <c:pt idx="94">
                  <c:v>35.739307485506636</c:v>
                </c:pt>
                <c:pt idx="95">
                  <c:v>36.717605173364241</c:v>
                </c:pt>
                <c:pt idx="96">
                  <c:v>37.679175069899749</c:v>
                </c:pt>
                <c:pt idx="97">
                  <c:v>38.622963432215407</c:v>
                </c:pt>
                <c:pt idx="98">
                  <c:v>39.547862101489784</c:v>
                </c:pt>
                <c:pt idx="99">
                  <c:v>40.452707125403833</c:v>
                </c:pt>
                <c:pt idx="100">
                  <c:v>41.336277839653611</c:v>
                </c:pt>
                <c:pt idx="101">
                  <c:v>42.19729652678032</c:v>
                </c:pt>
                <c:pt idx="102">
                  <c:v>43.034428777775545</c:v>
                </c:pt>
                <c:pt idx="103">
                  <c:v>43.846284703444489</c:v>
                </c:pt>
                <c:pt idx="104">
                  <c:v>44.631421146312768</c:v>
                </c:pt>
                <c:pt idx="105">
                  <c:v>45.388345059997533</c:v>
                </c:pt>
                <c:pt idx="106">
                  <c:v>46.115518218846027</c:v>
                </c:pt>
                <c:pt idx="107">
                  <c:v>46.811363420931052</c:v>
                </c:pt>
                <c:pt idx="108">
                  <c:v>47.474272334257606</c:v>
                </c:pt>
                <c:pt idx="109">
                  <c:v>48.102615106125839</c:v>
                </c:pt>
                <c:pt idx="110">
                  <c:v>48.694751824991634</c:v>
                </c:pt>
                <c:pt idx="111">
                  <c:v>49.249045861695045</c:v>
                </c:pt>
                <c:pt idx="112">
                  <c:v>49.763879057034089</c:v>
                </c:pt>
                <c:pt idx="113">
                  <c:v>50.237668628902902</c:v>
                </c:pt>
                <c:pt idx="114">
                  <c:v>50.668885584815307</c:v>
                </c:pt>
                <c:pt idx="115">
                  <c:v>51.056074310105686</c:v>
                </c:pt>
                <c:pt idx="116">
                  <c:v>51.397872904232152</c:v>
                </c:pt>
                <c:pt idx="117">
                  <c:v>51.693033725421522</c:v>
                </c:pt>
                <c:pt idx="118">
                  <c:v>51.940443527980733</c:v>
                </c:pt>
                <c:pt idx="119">
                  <c:v>52.139142505483221</c:v>
                </c:pt>
                <c:pt idx="120">
                  <c:v>52.288341538321703</c:v>
                </c:pt>
                <c:pt idx="121">
                  <c:v>52.387436951944018</c:v>
                </c:pt>
                <c:pt idx="122">
                  <c:v>52.436022161772179</c:v>
                </c:pt>
                <c:pt idx="123">
                  <c:v>52.433895690536012</c:v>
                </c:pt>
                <c:pt idx="124">
                  <c:v>52.381065187110806</c:v>
                </c:pt>
                <c:pt idx="125">
                  <c:v>52.277747265283629</c:v>
                </c:pt>
                <c:pt idx="126">
                  <c:v>52.124363164316527</c:v>
                </c:pt>
                <c:pt idx="127">
                  <c:v>51.921530438948913</c:v>
                </c:pt>
                <c:pt idx="128">
                  <c:v>51.670051052246649</c:v>
                </c:pt>
                <c:pt idx="129">
                  <c:v>51.370896403324004</c:v>
                </c:pt>
                <c:pt idx="130">
                  <c:v>51.02518991627732</c:v>
                </c:pt>
                <c:pt idx="131">
                  <c:v>50.634187888648469</c:v>
                </c:pt>
                <c:pt idx="132">
                  <c:v>50.199259299668633</c:v>
                </c:pt>
                <c:pt idx="133">
                  <c:v>49.72186526209142</c:v>
                </c:pt>
                <c:pt idx="134">
                  <c:v>49.203538726641476</c:v>
                </c:pt>
                <c:pt idx="135">
                  <c:v>48.645864971901588</c:v>
                </c:pt>
                <c:pt idx="136">
                  <c:v>48.050463299348195</c:v>
                </c:pt>
                <c:pt idx="137">
                  <c:v>47.418970251729846</c:v>
                </c:pt>
                <c:pt idx="138">
                  <c:v>46.75302456774287</c:v>
                </c:pt>
                <c:pt idx="139">
                  <c:v>46.054253983405147</c:v>
                </c:pt>
                <c:pt idx="140">
                  <c:v>45.324263917554468</c:v>
                </c:pt>
                <c:pt idx="141">
                  <c:v>44.564627999545181</c:v>
                </c:pt>
                <c:pt idx="142">
                  <c:v>43.776880356419404</c:v>
                </c:pt>
                <c:pt idx="143">
                  <c:v>42.962509528055158</c:v>
                </c:pt>
                <c:pt idx="144">
                  <c:v>42.122953866141451</c:v>
                </c:pt>
                <c:pt idx="145">
                  <c:v>41.259598248920177</c:v>
                </c:pt>
                <c:pt idx="146">
                  <c:v>40.373771951300974</c:v>
                </c:pt>
                <c:pt idx="147">
                  <c:v>39.466747502338769</c:v>
                </c:pt>
                <c:pt idx="148">
                  <c:v>38.53974038162675</c:v>
                </c:pt>
                <c:pt idx="149">
                  <c:v>37.59390940712052</c:v>
                </c:pt>
                <c:pt idx="150">
                  <c:v>36.630357691499796</c:v>
                </c:pt>
                <c:pt idx="151">
                  <c:v>35.650134049570106</c:v>
                </c:pt>
                <c:pt idx="152">
                  <c:v>34.654234760079078</c:v>
                </c:pt>
                <c:pt idx="153">
                  <c:v>33.643605599807067</c:v>
                </c:pt>
                <c:pt idx="154">
                  <c:v>32.619144075899065</c:v>
                </c:pt>
                <c:pt idx="155">
                  <c:v>31.581701804411548</c:v>
                </c:pt>
                <c:pt idx="156">
                  <c:v>30.532086984768227</c:v>
                </c:pt>
                <c:pt idx="157">
                  <c:v>29.47106694115465</c:v>
                </c:pt>
                <c:pt idx="158">
                  <c:v>28.399370702019485</c:v>
                </c:pt>
                <c:pt idx="159">
                  <c:v>27.317691608972822</c:v>
                </c:pt>
                <c:pt idx="160">
                  <c:v>26.22668994628383</c:v>
                </c:pt>
                <c:pt idx="161">
                  <c:v>25.12699560281219</c:v>
                </c:pt>
                <c:pt idx="162">
                  <c:v>24.019210780293118</c:v>
                </c:pt>
                <c:pt idx="163">
                  <c:v>22.903912786473477</c:v>
                </c:pt>
                <c:pt idx="164">
                  <c:v>21.781656960805865</c:v>
                </c:pt>
                <c:pt idx="165">
                  <c:v>20.652979816141364</c:v>
                </c:pt>
                <c:pt idx="166">
                  <c:v>19.518402508663197</c:v>
                </c:pt>
                <c:pt idx="167">
                  <c:v>18.378434808814816</c:v>
                </c:pt>
                <c:pt idx="168">
                  <c:v>17.233579829776101</c:v>
                </c:pt>
                <c:pt idx="169">
                  <c:v>16.08433989524136</c:v>
                </c:pt>
                <c:pt idx="170">
                  <c:v>14.931224143553528</c:v>
                </c:pt>
                <c:pt idx="171">
                  <c:v>13.774758790373062</c:v>
                </c:pt>
                <c:pt idx="172">
                  <c:v>12.615501529770484</c:v>
                </c:pt>
                <c:pt idx="173">
                  <c:v>11.45406244947039</c:v>
                </c:pt>
                <c:pt idx="174">
                  <c:v>10.291135328963051</c:v>
                </c:pt>
                <c:pt idx="175">
                  <c:v>9.1275455156547451</c:v>
                </c:pt>
                <c:pt idx="176">
                  <c:v>7.9643238525484827</c:v>
                </c:pt>
                <c:pt idx="177">
                  <c:v>6.8028196063749498</c:v>
                </c:pt>
                <c:pt idx="178">
                  <c:v>5.6448740502160968</c:v>
                </c:pt>
                <c:pt idx="179">
                  <c:v>4.4935243388889221</c:v>
                </c:pt>
                <c:pt idx="180">
                  <c:v>3.3553801350094785</c:v>
                </c:pt>
                <c:pt idx="181">
                  <c:v>2.236839225976742</c:v>
                </c:pt>
                <c:pt idx="182">
                  <c:v>1.1535705243842016</c:v>
                </c:pt>
                <c:pt idx="183">
                  <c:v>0.13052090073017486</c:v>
                </c:pt>
                <c:pt idx="184">
                  <c:v>-1.3930644135725652</c:v>
                </c:pt>
                <c:pt idx="185">
                  <c:v>-2.6634162082891422</c:v>
                </c:pt>
                <c:pt idx="186">
                  <c:v>-3.8804914785819795</c:v>
                </c:pt>
                <c:pt idx="187">
                  <c:v>-5.0801093368884969</c:v>
                </c:pt>
                <c:pt idx="188">
                  <c:v>-6.2710830093897503</c:v>
                </c:pt>
                <c:pt idx="189">
                  <c:v>-7.4564734261687002</c:v>
                </c:pt>
                <c:pt idx="190">
                  <c:v>-8.6374971153041997</c:v>
                </c:pt>
                <c:pt idx="191">
                  <c:v>-9.8146259821093729</c:v>
                </c:pt>
                <c:pt idx="192">
                  <c:v>-10.987980807538666</c:v>
                </c:pt>
                <c:pt idx="193">
                  <c:v>-12.157496017559467</c:v>
                </c:pt>
                <c:pt idx="194">
                  <c:v>-13.322996740537416</c:v>
                </c:pt>
                <c:pt idx="195">
                  <c:v>-14.484237829069242</c:v>
                </c:pt>
                <c:pt idx="196">
                  <c:v>-15.640924761425133</c:v>
                </c:pt>
                <c:pt idx="197">
                  <c:v>-16.792725231248383</c:v>
                </c:pt>
                <c:pt idx="198">
                  <c:v>-17.939275640861943</c:v>
                </c:pt>
                <c:pt idx="199">
                  <c:v>-19.080184653683503</c:v>
                </c:pt>
                <c:pt idx="200">
                  <c:v>-20.215034959150817</c:v>
                </c:pt>
                <c:pt idx="201">
                  <c:v>-21.343383906748528</c:v>
                </c:pt>
                <c:pt idx="202">
                  <c:v>-22.464763385724073</c:v>
                </c:pt>
                <c:pt idx="203">
                  <c:v>-23.578679186233778</c:v>
                </c:pt>
                <c:pt idx="204">
                  <c:v>-24.684609981506249</c:v>
                </c:pt>
                <c:pt idx="205">
                  <c:v>-25.782006029246812</c:v>
                </c:pt>
                <c:pt idx="206">
                  <c:v>-26.870287650181321</c:v>
                </c:pt>
                <c:pt idx="207">
                  <c:v>-27.948843533069304</c:v>
                </c:pt>
                <c:pt idx="208">
                  <c:v>-29.017028894967584</c:v>
                </c:pt>
                <c:pt idx="209">
                  <c:v>-30.074163529684409</c:v>
                </c:pt>
                <c:pt idx="210">
                  <c:v>-31.119529765304126</c:v>
                </c:pt>
                <c:pt idx="211">
                  <c:v>-32.152370360647772</c:v>
                </c:pt>
                <c:pt idx="212">
                  <c:v>-33.171886367371414</c:v>
                </c:pt>
                <c:pt idx="213">
                  <c:v>-34.177234988299809</c:v>
                </c:pt>
                <c:pt idx="214">
                  <c:v>-35.167527473771351</c:v>
                </c:pt>
                <c:pt idx="215">
                  <c:v>-36.141827095738044</c:v>
                </c:pt>
                <c:pt idx="216">
                  <c:v>-37.099147257899403</c:v>
                </c:pt>
                <c:pt idx="217">
                  <c:v>-38.038449799410628</c:v>
                </c:pt>
                <c:pt idx="218">
                  <c:v>-38.958643571053209</c:v>
                </c:pt>
                <c:pt idx="219">
                  <c:v>-39.858583364087337</c:v>
                </c:pt>
                <c:pt idx="220">
                  <c:v>-40.737069295251786</c:v>
                </c:pt>
                <c:pt idx="221">
                  <c:v>-41.592846753584539</c:v>
                </c:pt>
                <c:pt idx="222">
                  <c:v>-42.42460703817698</c:v>
                </c:pt>
                <c:pt idx="223">
                  <c:v>-43.230988816598618</c:v>
                </c:pt>
                <c:pt idx="224">
                  <c:v>-44.010580554069243</c:v>
                </c:pt>
                <c:pt idx="225">
                  <c:v>-44.761924058449068</c:v>
                </c:pt>
                <c:pt idx="226">
                  <c:v>-45.48351929668241</c:v>
                </c:pt>
                <c:pt idx="227">
                  <c:v>-46.173830626293025</c:v>
                </c:pt>
                <c:pt idx="228">
                  <c:v>-46.831294570766055</c:v>
                </c:pt>
                <c:pt idx="229">
                  <c:v>-47.454329248661033</c:v>
                </c:pt>
                <c:pt idx="230">
                  <c:v>-48.041345518721002</c:v>
                </c:pt>
                <c:pt idx="231">
                  <c:v>-48.590759863642312</c:v>
                </c:pt>
                <c:pt idx="232">
                  <c:v>-49.101008958779957</c:v>
                </c:pt>
                <c:pt idx="233">
                  <c:v>-49.570565805965174</c:v>
                </c:pt>
                <c:pt idx="234">
                  <c:v>-49.99795721233523</c:v>
                </c:pt>
                <c:pt idx="235">
                  <c:v>-50.38178231051792</c:v>
                </c:pt>
                <c:pt idx="236">
                  <c:v>-50.720731708343337</c:v>
                </c:pt>
                <c:pt idx="237">
                  <c:v>-51.013606778034379</c:v>
                </c:pt>
                <c:pt idx="238">
                  <c:v>-51.259338507674123</c:v>
                </c:pt>
                <c:pt idx="239">
                  <c:v>-51.4570052979157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415168"/>
        <c:axId val="168415744"/>
      </c:scatterChart>
      <c:valAx>
        <c:axId val="168415168"/>
        <c:scaling>
          <c:orientation val="minMax"/>
          <c:max val="1"/>
          <c:min val="0"/>
        </c:scaling>
        <c:delete val="0"/>
        <c:axPos val="b"/>
        <c:numFmt formatCode="h:mm:ss;@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PT"/>
          </a:p>
        </c:txPr>
        <c:crossAx val="168415744"/>
        <c:crosses val="autoZero"/>
        <c:crossBetween val="midCat"/>
        <c:majorUnit val="0.25"/>
      </c:valAx>
      <c:valAx>
        <c:axId val="168415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84151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2463888998271E-2"/>
          <c:y val="7.5144614715914479E-2"/>
          <c:w val="0.76393016570788308"/>
          <c:h val="0.7947988094952492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3"/>
            <c:intercept val="0"/>
            <c:dispRSqr val="0"/>
            <c:dispEq val="1"/>
            <c:trendlineLbl>
              <c:layout>
                <c:manualLayout>
                  <c:x val="-0.27559382991359727"/>
                  <c:y val="-7.7905326972552619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</c:trendlineLbl>
          </c:trendline>
          <c:xVal>
            <c:numRef>
              <c:f>Sun!$AO$3:$AO$242</c:f>
              <c:numCache>
                <c:formatCode>0.00</c:formatCode>
                <c:ptCount val="2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9.9999999999999645E-2</c:v>
                </c:pt>
                <c:pt idx="109">
                  <c:v>0.19999999999999929</c:v>
                </c:pt>
                <c:pt idx="110">
                  <c:v>0.29999999999999893</c:v>
                </c:pt>
                <c:pt idx="111">
                  <c:v>0.39999999999999858</c:v>
                </c:pt>
                <c:pt idx="112">
                  <c:v>0.49999999999999822</c:v>
                </c:pt>
                <c:pt idx="113">
                  <c:v>0.59999999999999787</c:v>
                </c:pt>
                <c:pt idx="114">
                  <c:v>0.69999999999999751</c:v>
                </c:pt>
                <c:pt idx="115">
                  <c:v>0.79999999999999716</c:v>
                </c:pt>
                <c:pt idx="116">
                  <c:v>0.8999999999999968</c:v>
                </c:pt>
                <c:pt idx="117">
                  <c:v>0.99999999999999645</c:v>
                </c:pt>
                <c:pt idx="118">
                  <c:v>1.0999999999999961</c:v>
                </c:pt>
                <c:pt idx="119">
                  <c:v>1.1999999999999957</c:v>
                </c:pt>
                <c:pt idx="120">
                  <c:v>1.2999999999999954</c:v>
                </c:pt>
                <c:pt idx="121">
                  <c:v>1.399999999999995</c:v>
                </c:pt>
                <c:pt idx="122">
                  <c:v>1.4999999999999947</c:v>
                </c:pt>
                <c:pt idx="123">
                  <c:v>1.5999999999999943</c:v>
                </c:pt>
                <c:pt idx="124">
                  <c:v>1.699999999999994</c:v>
                </c:pt>
                <c:pt idx="125">
                  <c:v>1.7999999999999936</c:v>
                </c:pt>
                <c:pt idx="126">
                  <c:v>1.8999999999999932</c:v>
                </c:pt>
                <c:pt idx="127">
                  <c:v>1.9999999999999929</c:v>
                </c:pt>
                <c:pt idx="128">
                  <c:v>2.0999999999999925</c:v>
                </c:pt>
                <c:pt idx="129">
                  <c:v>2.0999999999999925</c:v>
                </c:pt>
                <c:pt idx="130">
                  <c:v>2.0999999999999925</c:v>
                </c:pt>
                <c:pt idx="131">
                  <c:v>2.0999999999999925</c:v>
                </c:pt>
                <c:pt idx="132">
                  <c:v>2.0999999999999925</c:v>
                </c:pt>
                <c:pt idx="133">
                  <c:v>2.0999999999999925</c:v>
                </c:pt>
                <c:pt idx="134">
                  <c:v>2.0999999999999925</c:v>
                </c:pt>
                <c:pt idx="135">
                  <c:v>2.0999999999999925</c:v>
                </c:pt>
                <c:pt idx="136">
                  <c:v>2.0999999999999925</c:v>
                </c:pt>
                <c:pt idx="137">
                  <c:v>2.0999999999999925</c:v>
                </c:pt>
                <c:pt idx="138">
                  <c:v>2.0999999999999925</c:v>
                </c:pt>
                <c:pt idx="139">
                  <c:v>2.0999999999999925</c:v>
                </c:pt>
                <c:pt idx="140">
                  <c:v>2.0999999999999925</c:v>
                </c:pt>
                <c:pt idx="141">
                  <c:v>2.0999999999999925</c:v>
                </c:pt>
                <c:pt idx="142">
                  <c:v>2.0999999999999925</c:v>
                </c:pt>
                <c:pt idx="143">
                  <c:v>2.0999999999999925</c:v>
                </c:pt>
                <c:pt idx="144">
                  <c:v>2.0999999999999925</c:v>
                </c:pt>
                <c:pt idx="145">
                  <c:v>2.0999999999999925</c:v>
                </c:pt>
                <c:pt idx="146">
                  <c:v>2.0999999999999925</c:v>
                </c:pt>
                <c:pt idx="147">
                  <c:v>2.0999999999999925</c:v>
                </c:pt>
                <c:pt idx="148">
                  <c:v>2.0999999999999925</c:v>
                </c:pt>
                <c:pt idx="149">
                  <c:v>2.0999999999999925</c:v>
                </c:pt>
                <c:pt idx="150">
                  <c:v>2.0999999999999925</c:v>
                </c:pt>
                <c:pt idx="151">
                  <c:v>2.0999999999999925</c:v>
                </c:pt>
                <c:pt idx="152">
                  <c:v>2.0999999999999925</c:v>
                </c:pt>
                <c:pt idx="153">
                  <c:v>2.0999999999999925</c:v>
                </c:pt>
                <c:pt idx="154">
                  <c:v>2.0999999999999925</c:v>
                </c:pt>
                <c:pt idx="155">
                  <c:v>2.0999999999999925</c:v>
                </c:pt>
                <c:pt idx="156">
                  <c:v>2.0999999999999925</c:v>
                </c:pt>
                <c:pt idx="157">
                  <c:v>2.0999999999999925</c:v>
                </c:pt>
                <c:pt idx="158">
                  <c:v>2.0999999999999925</c:v>
                </c:pt>
                <c:pt idx="159">
                  <c:v>2.0999999999999925</c:v>
                </c:pt>
                <c:pt idx="160">
                  <c:v>2.0999999999999925</c:v>
                </c:pt>
                <c:pt idx="161">
                  <c:v>2.0999999999999925</c:v>
                </c:pt>
                <c:pt idx="162">
                  <c:v>2.0999999999999925</c:v>
                </c:pt>
                <c:pt idx="163">
                  <c:v>2.0999999999999925</c:v>
                </c:pt>
                <c:pt idx="164">
                  <c:v>2.0999999999999925</c:v>
                </c:pt>
                <c:pt idx="165">
                  <c:v>2.0999999999999925</c:v>
                </c:pt>
                <c:pt idx="166">
                  <c:v>2.0999999999999925</c:v>
                </c:pt>
                <c:pt idx="167">
                  <c:v>2.0999999999999925</c:v>
                </c:pt>
                <c:pt idx="168">
                  <c:v>2.0999999999999925</c:v>
                </c:pt>
                <c:pt idx="169">
                  <c:v>2.0999999999999925</c:v>
                </c:pt>
                <c:pt idx="170">
                  <c:v>2.0999999999999925</c:v>
                </c:pt>
                <c:pt idx="171">
                  <c:v>2.0999999999999925</c:v>
                </c:pt>
                <c:pt idx="172">
                  <c:v>2.0999999999999925</c:v>
                </c:pt>
                <c:pt idx="173">
                  <c:v>2.0999999999999925</c:v>
                </c:pt>
                <c:pt idx="174">
                  <c:v>2.0999999999999925</c:v>
                </c:pt>
                <c:pt idx="175">
                  <c:v>2.0999999999999925</c:v>
                </c:pt>
                <c:pt idx="176">
                  <c:v>2.0999999999999925</c:v>
                </c:pt>
                <c:pt idx="177">
                  <c:v>2.0999999999999925</c:v>
                </c:pt>
                <c:pt idx="178">
                  <c:v>2.0999999999999925</c:v>
                </c:pt>
                <c:pt idx="179">
                  <c:v>2.0999999999999925</c:v>
                </c:pt>
                <c:pt idx="180">
                  <c:v>2.0999999999999925</c:v>
                </c:pt>
                <c:pt idx="181">
                  <c:v>2.0999999999999925</c:v>
                </c:pt>
                <c:pt idx="182">
                  <c:v>2.0999999999999925</c:v>
                </c:pt>
                <c:pt idx="183">
                  <c:v>2.0999999999999925</c:v>
                </c:pt>
                <c:pt idx="184">
                  <c:v>2.0999999999999925</c:v>
                </c:pt>
                <c:pt idx="185">
                  <c:v>2.0999999999999925</c:v>
                </c:pt>
                <c:pt idx="186">
                  <c:v>2.0999999999999925</c:v>
                </c:pt>
                <c:pt idx="187">
                  <c:v>2.0999999999999925</c:v>
                </c:pt>
                <c:pt idx="188">
                  <c:v>2.0999999999999925</c:v>
                </c:pt>
                <c:pt idx="189">
                  <c:v>2.0999999999999925</c:v>
                </c:pt>
                <c:pt idx="190">
                  <c:v>2.0999999999999925</c:v>
                </c:pt>
                <c:pt idx="191">
                  <c:v>2.0999999999999925</c:v>
                </c:pt>
                <c:pt idx="192">
                  <c:v>2.0999999999999925</c:v>
                </c:pt>
                <c:pt idx="193">
                  <c:v>2.0999999999999925</c:v>
                </c:pt>
                <c:pt idx="194">
                  <c:v>2.0999999999999925</c:v>
                </c:pt>
                <c:pt idx="195">
                  <c:v>2.0999999999999925</c:v>
                </c:pt>
                <c:pt idx="196">
                  <c:v>2.0999999999999925</c:v>
                </c:pt>
                <c:pt idx="197">
                  <c:v>2.0999999999999925</c:v>
                </c:pt>
                <c:pt idx="198">
                  <c:v>2.0999999999999925</c:v>
                </c:pt>
                <c:pt idx="199">
                  <c:v>2.0999999999999925</c:v>
                </c:pt>
                <c:pt idx="200">
                  <c:v>2.0999999999999925</c:v>
                </c:pt>
                <c:pt idx="201">
                  <c:v>2.0999999999999925</c:v>
                </c:pt>
                <c:pt idx="202">
                  <c:v>2.0999999999999925</c:v>
                </c:pt>
                <c:pt idx="203">
                  <c:v>2.0999999999999925</c:v>
                </c:pt>
                <c:pt idx="204">
                  <c:v>2.0999999999999925</c:v>
                </c:pt>
                <c:pt idx="205">
                  <c:v>2.0999999999999925</c:v>
                </c:pt>
                <c:pt idx="206">
                  <c:v>2.0999999999999925</c:v>
                </c:pt>
                <c:pt idx="207">
                  <c:v>2.0999999999999925</c:v>
                </c:pt>
                <c:pt idx="208">
                  <c:v>2.0999999999999925</c:v>
                </c:pt>
                <c:pt idx="209">
                  <c:v>2.0999999999999925</c:v>
                </c:pt>
                <c:pt idx="210">
                  <c:v>2.0999999999999925</c:v>
                </c:pt>
                <c:pt idx="211">
                  <c:v>2.0999999999999925</c:v>
                </c:pt>
                <c:pt idx="212">
                  <c:v>2.0999999999999925</c:v>
                </c:pt>
                <c:pt idx="213">
                  <c:v>2.0999999999999925</c:v>
                </c:pt>
                <c:pt idx="214">
                  <c:v>2.0999999999999925</c:v>
                </c:pt>
                <c:pt idx="215">
                  <c:v>2.0999999999999925</c:v>
                </c:pt>
                <c:pt idx="216">
                  <c:v>2.0999999999999925</c:v>
                </c:pt>
                <c:pt idx="217">
                  <c:v>2.0999999999999925</c:v>
                </c:pt>
                <c:pt idx="218">
                  <c:v>2.0999999999999925</c:v>
                </c:pt>
                <c:pt idx="219">
                  <c:v>2.0999999999999925</c:v>
                </c:pt>
                <c:pt idx="220">
                  <c:v>2.0999999999999925</c:v>
                </c:pt>
                <c:pt idx="221">
                  <c:v>2.0999999999999925</c:v>
                </c:pt>
                <c:pt idx="222">
                  <c:v>2.0999999999999925</c:v>
                </c:pt>
                <c:pt idx="223">
                  <c:v>2.0999999999999925</c:v>
                </c:pt>
                <c:pt idx="224">
                  <c:v>2.0999999999999925</c:v>
                </c:pt>
                <c:pt idx="225">
                  <c:v>2.0999999999999925</c:v>
                </c:pt>
                <c:pt idx="226">
                  <c:v>2.0999999999999925</c:v>
                </c:pt>
                <c:pt idx="227">
                  <c:v>2.0999999999999925</c:v>
                </c:pt>
                <c:pt idx="228">
                  <c:v>2.0999999999999925</c:v>
                </c:pt>
                <c:pt idx="229">
                  <c:v>2.0999999999999925</c:v>
                </c:pt>
                <c:pt idx="230">
                  <c:v>2.0999999999999925</c:v>
                </c:pt>
                <c:pt idx="231">
                  <c:v>2.0999999999999925</c:v>
                </c:pt>
                <c:pt idx="232">
                  <c:v>2.0999999999999925</c:v>
                </c:pt>
                <c:pt idx="233">
                  <c:v>2.0999999999999925</c:v>
                </c:pt>
                <c:pt idx="234">
                  <c:v>2.0999999999999925</c:v>
                </c:pt>
                <c:pt idx="235">
                  <c:v>2.0999999999999925</c:v>
                </c:pt>
                <c:pt idx="236">
                  <c:v>2.0999999999999925</c:v>
                </c:pt>
                <c:pt idx="237">
                  <c:v>2.0999999999999925</c:v>
                </c:pt>
                <c:pt idx="238">
                  <c:v>2.0999999999999925</c:v>
                </c:pt>
              </c:numCache>
            </c:numRef>
          </c:xVal>
          <c:yVal>
            <c:numRef>
              <c:f>Sun!$AN$2:$AN$241</c:f>
              <c:numCache>
                <c:formatCode>0.00</c:formatCode>
                <c:ptCount val="2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7.443420268110626E-2</c:v>
                </c:pt>
                <c:pt idx="110">
                  <c:v>0.14955457023740654</c:v>
                </c:pt>
                <c:pt idx="111">
                  <c:v>0.22530998163396007</c:v>
                </c:pt>
                <c:pt idx="112">
                  <c:v>0.30164887777269278</c:v>
                </c:pt>
                <c:pt idx="113">
                  <c:v>0.37851929699971615</c:v>
                </c:pt>
                <c:pt idx="114">
                  <c:v>0.45586891087939385</c:v>
                </c:pt>
                <c:pt idx="115">
                  <c:v>0.53364506020925417</c:v>
                </c:pt>
                <c:pt idx="116">
                  <c:v>0.61179479125521641</c:v>
                </c:pt>
                <c:pt idx="117">
                  <c:v>0.69026489218057818</c:v>
                </c:pt>
                <c:pt idx="118">
                  <c:v>0.76900192964775171</c:v>
                </c:pt>
                <c:pt idx="119">
                  <c:v>0.84795228556569546</c:v>
                </c:pt>
                <c:pt idx="120">
                  <c:v>0.92706219396150491</c:v>
                </c:pt>
                <c:pt idx="121">
                  <c:v>1.0062777779498817</c:v>
                </c:pt>
                <c:pt idx="122">
                  <c:v>1.0855450867758973</c:v>
                </c:pt>
                <c:pt idx="123">
                  <c:v>1.1648101329083183</c:v>
                </c:pt>
                <c:pt idx="124">
                  <c:v>1.2440189291559438</c:v>
                </c:pt>
                <c:pt idx="125">
                  <c:v>1.323117525785303</c:v>
                </c:pt>
                <c:pt idx="126">
                  <c:v>1.4020520476118994</c:v>
                </c:pt>
                <c:pt idx="127">
                  <c:v>1.4807687310434281</c:v>
                </c:pt>
                <c:pt idx="128">
                  <c:v>1.559213961047188</c:v>
                </c:pt>
                <c:pt idx="129">
                  <c:v>1.6373343080203115</c:v>
                </c:pt>
                <c:pt idx="130">
                  <c:v>1.6373343080203115</c:v>
                </c:pt>
                <c:pt idx="131">
                  <c:v>1.6373343080203115</c:v>
                </c:pt>
                <c:pt idx="132">
                  <c:v>1.6373343080203115</c:v>
                </c:pt>
                <c:pt idx="133">
                  <c:v>1.6373343080203115</c:v>
                </c:pt>
                <c:pt idx="134">
                  <c:v>1.6373343080203115</c:v>
                </c:pt>
                <c:pt idx="135">
                  <c:v>1.6373343080203115</c:v>
                </c:pt>
                <c:pt idx="136">
                  <c:v>1.6373343080203115</c:v>
                </c:pt>
                <c:pt idx="137">
                  <c:v>1.6373343080203115</c:v>
                </c:pt>
                <c:pt idx="138">
                  <c:v>1.6373343080203115</c:v>
                </c:pt>
                <c:pt idx="139">
                  <c:v>1.6373343080203115</c:v>
                </c:pt>
                <c:pt idx="140">
                  <c:v>1.6373343080203115</c:v>
                </c:pt>
                <c:pt idx="141">
                  <c:v>1.6373343080203115</c:v>
                </c:pt>
                <c:pt idx="142">
                  <c:v>1.6373343080203115</c:v>
                </c:pt>
                <c:pt idx="143">
                  <c:v>1.6373343080203115</c:v>
                </c:pt>
                <c:pt idx="144">
                  <c:v>1.6373343080203115</c:v>
                </c:pt>
                <c:pt idx="145">
                  <c:v>1.6373343080203115</c:v>
                </c:pt>
                <c:pt idx="146">
                  <c:v>1.6373343080203115</c:v>
                </c:pt>
                <c:pt idx="147">
                  <c:v>1.6373343080203115</c:v>
                </c:pt>
                <c:pt idx="148">
                  <c:v>1.6373343080203115</c:v>
                </c:pt>
                <c:pt idx="149">
                  <c:v>1.6373343080203115</c:v>
                </c:pt>
                <c:pt idx="150">
                  <c:v>1.6373343080203115</c:v>
                </c:pt>
                <c:pt idx="151">
                  <c:v>1.6373343080203115</c:v>
                </c:pt>
                <c:pt idx="152">
                  <c:v>1.6373343080203115</c:v>
                </c:pt>
                <c:pt idx="153">
                  <c:v>1.6373343080203115</c:v>
                </c:pt>
                <c:pt idx="154">
                  <c:v>1.6373343080203115</c:v>
                </c:pt>
                <c:pt idx="155">
                  <c:v>1.6373343080203115</c:v>
                </c:pt>
                <c:pt idx="156">
                  <c:v>1.6373343080203115</c:v>
                </c:pt>
                <c:pt idx="157">
                  <c:v>1.6373343080203115</c:v>
                </c:pt>
                <c:pt idx="158">
                  <c:v>1.6373343080203115</c:v>
                </c:pt>
                <c:pt idx="159">
                  <c:v>1.6373343080203115</c:v>
                </c:pt>
                <c:pt idx="160">
                  <c:v>1.6373343080203115</c:v>
                </c:pt>
                <c:pt idx="161">
                  <c:v>1.6373343080203115</c:v>
                </c:pt>
                <c:pt idx="162">
                  <c:v>1.6373343080203115</c:v>
                </c:pt>
                <c:pt idx="163">
                  <c:v>1.6373343080203115</c:v>
                </c:pt>
                <c:pt idx="164">
                  <c:v>1.6373343080203115</c:v>
                </c:pt>
                <c:pt idx="165">
                  <c:v>1.6373343080203115</c:v>
                </c:pt>
                <c:pt idx="166">
                  <c:v>1.6373343080203115</c:v>
                </c:pt>
                <c:pt idx="167">
                  <c:v>1.6373343080203115</c:v>
                </c:pt>
                <c:pt idx="168">
                  <c:v>1.6373343080203115</c:v>
                </c:pt>
                <c:pt idx="169">
                  <c:v>1.6373343080203115</c:v>
                </c:pt>
                <c:pt idx="170">
                  <c:v>1.6373343080203115</c:v>
                </c:pt>
                <c:pt idx="171">
                  <c:v>1.6373343080203115</c:v>
                </c:pt>
                <c:pt idx="172">
                  <c:v>1.6373343080203115</c:v>
                </c:pt>
                <c:pt idx="173">
                  <c:v>1.6373343080203115</c:v>
                </c:pt>
                <c:pt idx="174">
                  <c:v>1.6373343080203115</c:v>
                </c:pt>
                <c:pt idx="175">
                  <c:v>1.6373343080203115</c:v>
                </c:pt>
                <c:pt idx="176">
                  <c:v>1.6373343080203115</c:v>
                </c:pt>
                <c:pt idx="177">
                  <c:v>1.6373343080203115</c:v>
                </c:pt>
                <c:pt idx="178">
                  <c:v>1.6373343080203115</c:v>
                </c:pt>
                <c:pt idx="179">
                  <c:v>1.6373343080203115</c:v>
                </c:pt>
                <c:pt idx="180">
                  <c:v>1.6373343080203115</c:v>
                </c:pt>
                <c:pt idx="181">
                  <c:v>1.6373343080203115</c:v>
                </c:pt>
                <c:pt idx="182">
                  <c:v>1.6373343080203115</c:v>
                </c:pt>
                <c:pt idx="183">
                  <c:v>1.6373343080203115</c:v>
                </c:pt>
                <c:pt idx="184">
                  <c:v>1.6373343080203115</c:v>
                </c:pt>
                <c:pt idx="185">
                  <c:v>1.6373343080203115</c:v>
                </c:pt>
                <c:pt idx="186">
                  <c:v>1.6373343080203115</c:v>
                </c:pt>
                <c:pt idx="187">
                  <c:v>1.6373343080203115</c:v>
                </c:pt>
                <c:pt idx="188">
                  <c:v>1.6373343080203115</c:v>
                </c:pt>
                <c:pt idx="189">
                  <c:v>1.6373343080203115</c:v>
                </c:pt>
                <c:pt idx="190">
                  <c:v>1.6373343080203115</c:v>
                </c:pt>
                <c:pt idx="191">
                  <c:v>1.6373343080203115</c:v>
                </c:pt>
                <c:pt idx="192">
                  <c:v>1.6373343080203115</c:v>
                </c:pt>
                <c:pt idx="193">
                  <c:v>1.6373343080203115</c:v>
                </c:pt>
                <c:pt idx="194">
                  <c:v>1.6373343080203115</c:v>
                </c:pt>
                <c:pt idx="195">
                  <c:v>1.6373343080203115</c:v>
                </c:pt>
                <c:pt idx="196">
                  <c:v>1.6373343080203115</c:v>
                </c:pt>
                <c:pt idx="197">
                  <c:v>1.6373343080203115</c:v>
                </c:pt>
                <c:pt idx="198">
                  <c:v>1.6373343080203115</c:v>
                </c:pt>
                <c:pt idx="199">
                  <c:v>1.6373343080203115</c:v>
                </c:pt>
                <c:pt idx="200">
                  <c:v>1.6373343080203115</c:v>
                </c:pt>
                <c:pt idx="201">
                  <c:v>1.6373343080203115</c:v>
                </c:pt>
                <c:pt idx="202">
                  <c:v>1.6373343080203115</c:v>
                </c:pt>
                <c:pt idx="203">
                  <c:v>1.6373343080203115</c:v>
                </c:pt>
                <c:pt idx="204">
                  <c:v>1.6373343080203115</c:v>
                </c:pt>
                <c:pt idx="205">
                  <c:v>1.6373343080203115</c:v>
                </c:pt>
                <c:pt idx="206">
                  <c:v>1.6373343080203115</c:v>
                </c:pt>
                <c:pt idx="207">
                  <c:v>1.6373343080203115</c:v>
                </c:pt>
                <c:pt idx="208">
                  <c:v>1.6373343080203115</c:v>
                </c:pt>
                <c:pt idx="209">
                  <c:v>1.6373343080203115</c:v>
                </c:pt>
                <c:pt idx="210">
                  <c:v>1.6373343080203115</c:v>
                </c:pt>
                <c:pt idx="211">
                  <c:v>1.6373343080203115</c:v>
                </c:pt>
                <c:pt idx="212">
                  <c:v>1.6373343080203115</c:v>
                </c:pt>
                <c:pt idx="213">
                  <c:v>1.6373343080203115</c:v>
                </c:pt>
                <c:pt idx="214">
                  <c:v>1.6373343080203115</c:v>
                </c:pt>
                <c:pt idx="215">
                  <c:v>1.6373343080203115</c:v>
                </c:pt>
                <c:pt idx="216">
                  <c:v>1.6373343080203115</c:v>
                </c:pt>
                <c:pt idx="217">
                  <c:v>1.6373343080203115</c:v>
                </c:pt>
                <c:pt idx="218">
                  <c:v>1.6373343080203115</c:v>
                </c:pt>
                <c:pt idx="219">
                  <c:v>1.6373343080203115</c:v>
                </c:pt>
                <c:pt idx="220">
                  <c:v>1.6373343080203115</c:v>
                </c:pt>
                <c:pt idx="221">
                  <c:v>1.6373343080203115</c:v>
                </c:pt>
                <c:pt idx="222">
                  <c:v>1.6373343080203115</c:v>
                </c:pt>
                <c:pt idx="223">
                  <c:v>1.6373343080203115</c:v>
                </c:pt>
                <c:pt idx="224">
                  <c:v>1.6373343080203115</c:v>
                </c:pt>
                <c:pt idx="225">
                  <c:v>1.6373343080203115</c:v>
                </c:pt>
                <c:pt idx="226">
                  <c:v>1.6373343080203115</c:v>
                </c:pt>
                <c:pt idx="227">
                  <c:v>1.6373343080203115</c:v>
                </c:pt>
                <c:pt idx="228">
                  <c:v>1.6373343080203115</c:v>
                </c:pt>
                <c:pt idx="229">
                  <c:v>1.6373343080203115</c:v>
                </c:pt>
                <c:pt idx="230">
                  <c:v>1.6373343080203115</c:v>
                </c:pt>
                <c:pt idx="231">
                  <c:v>1.6373343080203115</c:v>
                </c:pt>
                <c:pt idx="232">
                  <c:v>1.6373343080203115</c:v>
                </c:pt>
                <c:pt idx="233">
                  <c:v>1.6373343080203115</c:v>
                </c:pt>
                <c:pt idx="234">
                  <c:v>1.6373343080203115</c:v>
                </c:pt>
                <c:pt idx="235">
                  <c:v>1.6373343080203115</c:v>
                </c:pt>
                <c:pt idx="236">
                  <c:v>1.6373343080203115</c:v>
                </c:pt>
                <c:pt idx="237">
                  <c:v>1.6373343080203115</c:v>
                </c:pt>
                <c:pt idx="238">
                  <c:v>1.6373343080203115</c:v>
                </c:pt>
                <c:pt idx="239">
                  <c:v>1.6373343080203115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Sun!$AO$2:$AO$241</c:f>
              <c:numCache>
                <c:formatCode>0.00</c:formatCode>
                <c:ptCount val="2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9.9999999999999645E-2</c:v>
                </c:pt>
                <c:pt idx="110">
                  <c:v>0.19999999999999929</c:v>
                </c:pt>
                <c:pt idx="111">
                  <c:v>0.29999999999999893</c:v>
                </c:pt>
                <c:pt idx="112">
                  <c:v>0.39999999999999858</c:v>
                </c:pt>
                <c:pt idx="113">
                  <c:v>0.49999999999999822</c:v>
                </c:pt>
                <c:pt idx="114">
                  <c:v>0.59999999999999787</c:v>
                </c:pt>
                <c:pt idx="115">
                  <c:v>0.69999999999999751</c:v>
                </c:pt>
                <c:pt idx="116">
                  <c:v>0.79999999999999716</c:v>
                </c:pt>
                <c:pt idx="117">
                  <c:v>0.8999999999999968</c:v>
                </c:pt>
                <c:pt idx="118">
                  <c:v>0.99999999999999645</c:v>
                </c:pt>
                <c:pt idx="119">
                  <c:v>1.0999999999999961</c:v>
                </c:pt>
                <c:pt idx="120">
                  <c:v>1.1999999999999957</c:v>
                </c:pt>
                <c:pt idx="121">
                  <c:v>1.2999999999999954</c:v>
                </c:pt>
                <c:pt idx="122">
                  <c:v>1.399999999999995</c:v>
                </c:pt>
                <c:pt idx="123">
                  <c:v>1.4999999999999947</c:v>
                </c:pt>
                <c:pt idx="124">
                  <c:v>1.5999999999999943</c:v>
                </c:pt>
                <c:pt idx="125">
                  <c:v>1.699999999999994</c:v>
                </c:pt>
                <c:pt idx="126">
                  <c:v>1.7999999999999936</c:v>
                </c:pt>
                <c:pt idx="127">
                  <c:v>1.8999999999999932</c:v>
                </c:pt>
                <c:pt idx="128">
                  <c:v>1.9999999999999929</c:v>
                </c:pt>
                <c:pt idx="129">
                  <c:v>2.0999999999999925</c:v>
                </c:pt>
                <c:pt idx="130">
                  <c:v>2.0999999999999925</c:v>
                </c:pt>
                <c:pt idx="131">
                  <c:v>2.0999999999999925</c:v>
                </c:pt>
                <c:pt idx="132">
                  <c:v>2.0999999999999925</c:v>
                </c:pt>
                <c:pt idx="133">
                  <c:v>2.0999999999999925</c:v>
                </c:pt>
                <c:pt idx="134">
                  <c:v>2.0999999999999925</c:v>
                </c:pt>
                <c:pt idx="135">
                  <c:v>2.0999999999999925</c:v>
                </c:pt>
                <c:pt idx="136">
                  <c:v>2.0999999999999925</c:v>
                </c:pt>
                <c:pt idx="137">
                  <c:v>2.0999999999999925</c:v>
                </c:pt>
                <c:pt idx="138">
                  <c:v>2.0999999999999925</c:v>
                </c:pt>
                <c:pt idx="139">
                  <c:v>2.0999999999999925</c:v>
                </c:pt>
                <c:pt idx="140">
                  <c:v>2.0999999999999925</c:v>
                </c:pt>
                <c:pt idx="141">
                  <c:v>2.0999999999999925</c:v>
                </c:pt>
                <c:pt idx="142">
                  <c:v>2.0999999999999925</c:v>
                </c:pt>
                <c:pt idx="143">
                  <c:v>2.0999999999999925</c:v>
                </c:pt>
                <c:pt idx="144">
                  <c:v>2.0999999999999925</c:v>
                </c:pt>
                <c:pt idx="145">
                  <c:v>2.0999999999999925</c:v>
                </c:pt>
                <c:pt idx="146">
                  <c:v>2.0999999999999925</c:v>
                </c:pt>
                <c:pt idx="147">
                  <c:v>2.0999999999999925</c:v>
                </c:pt>
                <c:pt idx="148">
                  <c:v>2.0999999999999925</c:v>
                </c:pt>
                <c:pt idx="149">
                  <c:v>2.0999999999999925</c:v>
                </c:pt>
                <c:pt idx="150">
                  <c:v>2.0999999999999925</c:v>
                </c:pt>
                <c:pt idx="151">
                  <c:v>2.0999999999999925</c:v>
                </c:pt>
                <c:pt idx="152">
                  <c:v>2.0999999999999925</c:v>
                </c:pt>
                <c:pt idx="153">
                  <c:v>2.0999999999999925</c:v>
                </c:pt>
                <c:pt idx="154">
                  <c:v>2.0999999999999925</c:v>
                </c:pt>
                <c:pt idx="155">
                  <c:v>2.0999999999999925</c:v>
                </c:pt>
                <c:pt idx="156">
                  <c:v>2.0999999999999925</c:v>
                </c:pt>
                <c:pt idx="157">
                  <c:v>2.0999999999999925</c:v>
                </c:pt>
                <c:pt idx="158">
                  <c:v>2.0999999999999925</c:v>
                </c:pt>
                <c:pt idx="159">
                  <c:v>2.0999999999999925</c:v>
                </c:pt>
                <c:pt idx="160">
                  <c:v>2.0999999999999925</c:v>
                </c:pt>
                <c:pt idx="161">
                  <c:v>2.0999999999999925</c:v>
                </c:pt>
                <c:pt idx="162">
                  <c:v>2.0999999999999925</c:v>
                </c:pt>
                <c:pt idx="163">
                  <c:v>2.0999999999999925</c:v>
                </c:pt>
                <c:pt idx="164">
                  <c:v>2.0999999999999925</c:v>
                </c:pt>
                <c:pt idx="165">
                  <c:v>2.0999999999999925</c:v>
                </c:pt>
                <c:pt idx="166">
                  <c:v>2.0999999999999925</c:v>
                </c:pt>
                <c:pt idx="167">
                  <c:v>2.0999999999999925</c:v>
                </c:pt>
                <c:pt idx="168">
                  <c:v>2.0999999999999925</c:v>
                </c:pt>
                <c:pt idx="169">
                  <c:v>2.0999999999999925</c:v>
                </c:pt>
                <c:pt idx="170">
                  <c:v>2.0999999999999925</c:v>
                </c:pt>
                <c:pt idx="171">
                  <c:v>2.0999999999999925</c:v>
                </c:pt>
                <c:pt idx="172">
                  <c:v>2.0999999999999925</c:v>
                </c:pt>
                <c:pt idx="173">
                  <c:v>2.0999999999999925</c:v>
                </c:pt>
                <c:pt idx="174">
                  <c:v>2.0999999999999925</c:v>
                </c:pt>
                <c:pt idx="175">
                  <c:v>2.0999999999999925</c:v>
                </c:pt>
                <c:pt idx="176">
                  <c:v>2.0999999999999925</c:v>
                </c:pt>
                <c:pt idx="177">
                  <c:v>2.0999999999999925</c:v>
                </c:pt>
                <c:pt idx="178">
                  <c:v>2.0999999999999925</c:v>
                </c:pt>
                <c:pt idx="179">
                  <c:v>2.0999999999999925</c:v>
                </c:pt>
                <c:pt idx="180">
                  <c:v>2.0999999999999925</c:v>
                </c:pt>
                <c:pt idx="181">
                  <c:v>2.0999999999999925</c:v>
                </c:pt>
                <c:pt idx="182">
                  <c:v>2.0999999999999925</c:v>
                </c:pt>
                <c:pt idx="183">
                  <c:v>2.0999999999999925</c:v>
                </c:pt>
                <c:pt idx="184">
                  <c:v>2.0999999999999925</c:v>
                </c:pt>
                <c:pt idx="185">
                  <c:v>2.0999999999999925</c:v>
                </c:pt>
                <c:pt idx="186">
                  <c:v>2.0999999999999925</c:v>
                </c:pt>
                <c:pt idx="187">
                  <c:v>2.0999999999999925</c:v>
                </c:pt>
                <c:pt idx="188">
                  <c:v>2.0999999999999925</c:v>
                </c:pt>
                <c:pt idx="189">
                  <c:v>2.0999999999999925</c:v>
                </c:pt>
                <c:pt idx="190">
                  <c:v>2.0999999999999925</c:v>
                </c:pt>
                <c:pt idx="191">
                  <c:v>2.0999999999999925</c:v>
                </c:pt>
                <c:pt idx="192">
                  <c:v>2.0999999999999925</c:v>
                </c:pt>
                <c:pt idx="193">
                  <c:v>2.0999999999999925</c:v>
                </c:pt>
                <c:pt idx="194">
                  <c:v>2.0999999999999925</c:v>
                </c:pt>
                <c:pt idx="195">
                  <c:v>2.0999999999999925</c:v>
                </c:pt>
                <c:pt idx="196">
                  <c:v>2.0999999999999925</c:v>
                </c:pt>
                <c:pt idx="197">
                  <c:v>2.0999999999999925</c:v>
                </c:pt>
                <c:pt idx="198">
                  <c:v>2.0999999999999925</c:v>
                </c:pt>
                <c:pt idx="199">
                  <c:v>2.0999999999999925</c:v>
                </c:pt>
                <c:pt idx="200">
                  <c:v>2.0999999999999925</c:v>
                </c:pt>
                <c:pt idx="201">
                  <c:v>2.0999999999999925</c:v>
                </c:pt>
                <c:pt idx="202">
                  <c:v>2.0999999999999925</c:v>
                </c:pt>
                <c:pt idx="203">
                  <c:v>2.0999999999999925</c:v>
                </c:pt>
                <c:pt idx="204">
                  <c:v>2.0999999999999925</c:v>
                </c:pt>
                <c:pt idx="205">
                  <c:v>2.0999999999999925</c:v>
                </c:pt>
                <c:pt idx="206">
                  <c:v>2.0999999999999925</c:v>
                </c:pt>
                <c:pt idx="207">
                  <c:v>2.0999999999999925</c:v>
                </c:pt>
                <c:pt idx="208">
                  <c:v>2.0999999999999925</c:v>
                </c:pt>
                <c:pt idx="209">
                  <c:v>2.0999999999999925</c:v>
                </c:pt>
                <c:pt idx="210">
                  <c:v>2.0999999999999925</c:v>
                </c:pt>
                <c:pt idx="211">
                  <c:v>2.0999999999999925</c:v>
                </c:pt>
                <c:pt idx="212">
                  <c:v>2.0999999999999925</c:v>
                </c:pt>
                <c:pt idx="213">
                  <c:v>2.0999999999999925</c:v>
                </c:pt>
                <c:pt idx="214">
                  <c:v>2.0999999999999925</c:v>
                </c:pt>
                <c:pt idx="215">
                  <c:v>2.0999999999999925</c:v>
                </c:pt>
                <c:pt idx="216">
                  <c:v>2.0999999999999925</c:v>
                </c:pt>
                <c:pt idx="217">
                  <c:v>2.0999999999999925</c:v>
                </c:pt>
                <c:pt idx="218">
                  <c:v>2.0999999999999925</c:v>
                </c:pt>
                <c:pt idx="219">
                  <c:v>2.0999999999999925</c:v>
                </c:pt>
                <c:pt idx="220">
                  <c:v>2.0999999999999925</c:v>
                </c:pt>
                <c:pt idx="221">
                  <c:v>2.0999999999999925</c:v>
                </c:pt>
                <c:pt idx="222">
                  <c:v>2.0999999999999925</c:v>
                </c:pt>
                <c:pt idx="223">
                  <c:v>2.0999999999999925</c:v>
                </c:pt>
                <c:pt idx="224">
                  <c:v>2.0999999999999925</c:v>
                </c:pt>
                <c:pt idx="225">
                  <c:v>2.0999999999999925</c:v>
                </c:pt>
                <c:pt idx="226">
                  <c:v>2.0999999999999925</c:v>
                </c:pt>
                <c:pt idx="227">
                  <c:v>2.0999999999999925</c:v>
                </c:pt>
                <c:pt idx="228">
                  <c:v>2.0999999999999925</c:v>
                </c:pt>
                <c:pt idx="229">
                  <c:v>2.0999999999999925</c:v>
                </c:pt>
                <c:pt idx="230">
                  <c:v>2.0999999999999925</c:v>
                </c:pt>
                <c:pt idx="231">
                  <c:v>2.0999999999999925</c:v>
                </c:pt>
                <c:pt idx="232">
                  <c:v>2.0999999999999925</c:v>
                </c:pt>
                <c:pt idx="233">
                  <c:v>2.0999999999999925</c:v>
                </c:pt>
                <c:pt idx="234">
                  <c:v>2.0999999999999925</c:v>
                </c:pt>
                <c:pt idx="235">
                  <c:v>2.0999999999999925</c:v>
                </c:pt>
                <c:pt idx="236">
                  <c:v>2.0999999999999925</c:v>
                </c:pt>
                <c:pt idx="237">
                  <c:v>2.0999999999999925</c:v>
                </c:pt>
                <c:pt idx="238">
                  <c:v>2.0999999999999925</c:v>
                </c:pt>
                <c:pt idx="239">
                  <c:v>2.0999999999999925</c:v>
                </c:pt>
              </c:numCache>
            </c:numRef>
          </c:xVal>
          <c:yVal>
            <c:numRef>
              <c:f>Sun!$BE$2:$BE$241</c:f>
              <c:numCache>
                <c:formatCode>0.00</c:formatCode>
                <c:ptCount val="2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7.4423097434150598E-2</c:v>
                </c:pt>
                <c:pt idx="110">
                  <c:v>0.14953954030460401</c:v>
                </c:pt>
                <c:pt idx="111">
                  <c:v>0.22529583004187773</c:v>
                </c:pt>
                <c:pt idx="112">
                  <c:v>0.3016384680764892</c:v>
                </c:pt>
                <c:pt idx="113">
                  <c:v>0.37851395583895575</c:v>
                </c:pt>
                <c:pt idx="114">
                  <c:v>0.45586879475979508</c:v>
                </c:pt>
                <c:pt idx="115">
                  <c:v>0.53364948626952446</c:v>
                </c:pt>
                <c:pt idx="116">
                  <c:v>0.61180253179866151</c:v>
                </c:pt>
                <c:pt idx="117">
                  <c:v>0.69027443277772349</c:v>
                </c:pt>
                <c:pt idx="118">
                  <c:v>0.76901169063722807</c:v>
                </c:pt>
                <c:pt idx="119">
                  <c:v>0.84796080680769248</c:v>
                </c:pt>
                <c:pt idx="120">
                  <c:v>0.92706828271963437</c:v>
                </c:pt>
                <c:pt idx="121">
                  <c:v>1.006280619803571</c:v>
                </c:pt>
                <c:pt idx="122">
                  <c:v>1.0855443194900201</c:v>
                </c:pt>
                <c:pt idx="123">
                  <c:v>1.1648058832094987</c:v>
                </c:pt>
                <c:pt idx="124">
                  <c:v>1.244011812392525</c:v>
                </c:pt>
                <c:pt idx="125">
                  <c:v>1.3231086084696158</c:v>
                </c:pt>
                <c:pt idx="126">
                  <c:v>1.4020427728712888</c:v>
                </c:pt>
                <c:pt idx="127">
                  <c:v>1.4807608070280611</c:v>
                </c:pt>
                <c:pt idx="128">
                  <c:v>1.5592092123704506</c:v>
                </c:pt>
                <c:pt idx="129">
                  <c:v>1.637334490328975</c:v>
                </c:pt>
                <c:pt idx="130">
                  <c:v>1.637334490328975</c:v>
                </c:pt>
                <c:pt idx="131">
                  <c:v>1.637334490328975</c:v>
                </c:pt>
                <c:pt idx="132">
                  <c:v>1.637334490328975</c:v>
                </c:pt>
                <c:pt idx="133">
                  <c:v>1.637334490328975</c:v>
                </c:pt>
                <c:pt idx="134">
                  <c:v>1.637334490328975</c:v>
                </c:pt>
                <c:pt idx="135">
                  <c:v>1.637334490328975</c:v>
                </c:pt>
                <c:pt idx="136">
                  <c:v>1.637334490328975</c:v>
                </c:pt>
                <c:pt idx="137">
                  <c:v>1.637334490328975</c:v>
                </c:pt>
                <c:pt idx="138">
                  <c:v>1.637334490328975</c:v>
                </c:pt>
                <c:pt idx="139">
                  <c:v>1.637334490328975</c:v>
                </c:pt>
                <c:pt idx="140">
                  <c:v>1.637334490328975</c:v>
                </c:pt>
                <c:pt idx="141">
                  <c:v>1.637334490328975</c:v>
                </c:pt>
                <c:pt idx="142">
                  <c:v>1.637334490328975</c:v>
                </c:pt>
                <c:pt idx="143">
                  <c:v>1.637334490328975</c:v>
                </c:pt>
                <c:pt idx="144">
                  <c:v>1.637334490328975</c:v>
                </c:pt>
                <c:pt idx="145">
                  <c:v>1.637334490328975</c:v>
                </c:pt>
                <c:pt idx="146">
                  <c:v>1.637334490328975</c:v>
                </c:pt>
                <c:pt idx="147">
                  <c:v>1.637334490328975</c:v>
                </c:pt>
                <c:pt idx="148">
                  <c:v>1.637334490328975</c:v>
                </c:pt>
                <c:pt idx="149">
                  <c:v>1.637334490328975</c:v>
                </c:pt>
                <c:pt idx="150">
                  <c:v>1.637334490328975</c:v>
                </c:pt>
                <c:pt idx="151">
                  <c:v>1.637334490328975</c:v>
                </c:pt>
                <c:pt idx="152">
                  <c:v>1.637334490328975</c:v>
                </c:pt>
                <c:pt idx="153">
                  <c:v>1.637334490328975</c:v>
                </c:pt>
                <c:pt idx="154">
                  <c:v>1.637334490328975</c:v>
                </c:pt>
                <c:pt idx="155">
                  <c:v>1.637334490328975</c:v>
                </c:pt>
                <c:pt idx="156">
                  <c:v>1.637334490328975</c:v>
                </c:pt>
                <c:pt idx="157">
                  <c:v>1.637334490328975</c:v>
                </c:pt>
                <c:pt idx="158">
                  <c:v>1.637334490328975</c:v>
                </c:pt>
                <c:pt idx="159">
                  <c:v>1.637334490328975</c:v>
                </c:pt>
                <c:pt idx="160">
                  <c:v>1.637334490328975</c:v>
                </c:pt>
                <c:pt idx="161">
                  <c:v>1.637334490328975</c:v>
                </c:pt>
                <c:pt idx="162">
                  <c:v>1.637334490328975</c:v>
                </c:pt>
                <c:pt idx="163">
                  <c:v>1.637334490328975</c:v>
                </c:pt>
                <c:pt idx="164">
                  <c:v>1.637334490328975</c:v>
                </c:pt>
                <c:pt idx="165">
                  <c:v>1.637334490328975</c:v>
                </c:pt>
                <c:pt idx="166">
                  <c:v>1.637334490328975</c:v>
                </c:pt>
                <c:pt idx="167">
                  <c:v>1.637334490328975</c:v>
                </c:pt>
                <c:pt idx="168">
                  <c:v>1.637334490328975</c:v>
                </c:pt>
                <c:pt idx="169">
                  <c:v>1.637334490328975</c:v>
                </c:pt>
                <c:pt idx="170">
                  <c:v>1.637334490328975</c:v>
                </c:pt>
                <c:pt idx="171">
                  <c:v>1.637334490328975</c:v>
                </c:pt>
                <c:pt idx="172">
                  <c:v>1.637334490328975</c:v>
                </c:pt>
                <c:pt idx="173">
                  <c:v>1.637334490328975</c:v>
                </c:pt>
                <c:pt idx="174">
                  <c:v>1.637334490328975</c:v>
                </c:pt>
                <c:pt idx="175">
                  <c:v>1.637334490328975</c:v>
                </c:pt>
                <c:pt idx="176">
                  <c:v>1.637334490328975</c:v>
                </c:pt>
                <c:pt idx="177">
                  <c:v>1.637334490328975</c:v>
                </c:pt>
                <c:pt idx="178">
                  <c:v>1.637334490328975</c:v>
                </c:pt>
                <c:pt idx="179">
                  <c:v>1.637334490328975</c:v>
                </c:pt>
                <c:pt idx="180">
                  <c:v>1.637334490328975</c:v>
                </c:pt>
                <c:pt idx="181">
                  <c:v>1.637334490328975</c:v>
                </c:pt>
                <c:pt idx="182">
                  <c:v>1.637334490328975</c:v>
                </c:pt>
                <c:pt idx="183">
                  <c:v>1.637334490328975</c:v>
                </c:pt>
                <c:pt idx="184">
                  <c:v>1.637334490328975</c:v>
                </c:pt>
                <c:pt idx="185">
                  <c:v>1.637334490328975</c:v>
                </c:pt>
                <c:pt idx="186">
                  <c:v>1.637334490328975</c:v>
                </c:pt>
                <c:pt idx="187">
                  <c:v>1.637334490328975</c:v>
                </c:pt>
                <c:pt idx="188">
                  <c:v>1.637334490328975</c:v>
                </c:pt>
                <c:pt idx="189">
                  <c:v>1.637334490328975</c:v>
                </c:pt>
                <c:pt idx="190">
                  <c:v>1.637334490328975</c:v>
                </c:pt>
                <c:pt idx="191">
                  <c:v>1.637334490328975</c:v>
                </c:pt>
                <c:pt idx="192">
                  <c:v>1.637334490328975</c:v>
                </c:pt>
                <c:pt idx="193">
                  <c:v>1.637334490328975</c:v>
                </c:pt>
                <c:pt idx="194">
                  <c:v>1.637334490328975</c:v>
                </c:pt>
                <c:pt idx="195">
                  <c:v>1.637334490328975</c:v>
                </c:pt>
                <c:pt idx="196">
                  <c:v>1.637334490328975</c:v>
                </c:pt>
                <c:pt idx="197">
                  <c:v>1.637334490328975</c:v>
                </c:pt>
                <c:pt idx="198">
                  <c:v>1.637334490328975</c:v>
                </c:pt>
                <c:pt idx="199">
                  <c:v>1.637334490328975</c:v>
                </c:pt>
                <c:pt idx="200">
                  <c:v>1.637334490328975</c:v>
                </c:pt>
                <c:pt idx="201">
                  <c:v>1.637334490328975</c:v>
                </c:pt>
                <c:pt idx="202">
                  <c:v>1.637334490328975</c:v>
                </c:pt>
                <c:pt idx="203">
                  <c:v>1.637334490328975</c:v>
                </c:pt>
                <c:pt idx="204">
                  <c:v>1.637334490328975</c:v>
                </c:pt>
                <c:pt idx="205">
                  <c:v>1.637334490328975</c:v>
                </c:pt>
                <c:pt idx="206">
                  <c:v>1.637334490328975</c:v>
                </c:pt>
                <c:pt idx="207">
                  <c:v>1.637334490328975</c:v>
                </c:pt>
                <c:pt idx="208">
                  <c:v>1.637334490328975</c:v>
                </c:pt>
                <c:pt idx="209">
                  <c:v>1.637334490328975</c:v>
                </c:pt>
                <c:pt idx="210">
                  <c:v>1.637334490328975</c:v>
                </c:pt>
                <c:pt idx="211">
                  <c:v>1.637334490328975</c:v>
                </c:pt>
                <c:pt idx="212">
                  <c:v>1.637334490328975</c:v>
                </c:pt>
                <c:pt idx="213">
                  <c:v>1.637334490328975</c:v>
                </c:pt>
                <c:pt idx="214">
                  <c:v>1.637334490328975</c:v>
                </c:pt>
                <c:pt idx="215">
                  <c:v>1.637334490328975</c:v>
                </c:pt>
                <c:pt idx="216">
                  <c:v>1.637334490328975</c:v>
                </c:pt>
                <c:pt idx="217">
                  <c:v>1.637334490328975</c:v>
                </c:pt>
                <c:pt idx="218">
                  <c:v>1.637334490328975</c:v>
                </c:pt>
                <c:pt idx="219">
                  <c:v>1.637334490328975</c:v>
                </c:pt>
                <c:pt idx="220">
                  <c:v>1.637334490328975</c:v>
                </c:pt>
                <c:pt idx="221">
                  <c:v>1.637334490328975</c:v>
                </c:pt>
                <c:pt idx="222">
                  <c:v>1.637334490328975</c:v>
                </c:pt>
                <c:pt idx="223">
                  <c:v>1.637334490328975</c:v>
                </c:pt>
                <c:pt idx="224">
                  <c:v>1.637334490328975</c:v>
                </c:pt>
                <c:pt idx="225">
                  <c:v>1.637334490328975</c:v>
                </c:pt>
                <c:pt idx="226">
                  <c:v>1.637334490328975</c:v>
                </c:pt>
                <c:pt idx="227">
                  <c:v>1.637334490328975</c:v>
                </c:pt>
                <c:pt idx="228">
                  <c:v>1.637334490328975</c:v>
                </c:pt>
                <c:pt idx="229">
                  <c:v>1.637334490328975</c:v>
                </c:pt>
                <c:pt idx="230">
                  <c:v>1.637334490328975</c:v>
                </c:pt>
                <c:pt idx="231">
                  <c:v>1.637334490328975</c:v>
                </c:pt>
                <c:pt idx="232">
                  <c:v>1.637334490328975</c:v>
                </c:pt>
                <c:pt idx="233">
                  <c:v>1.637334490328975</c:v>
                </c:pt>
                <c:pt idx="234">
                  <c:v>1.637334490328975</c:v>
                </c:pt>
                <c:pt idx="235">
                  <c:v>1.637334490328975</c:v>
                </c:pt>
                <c:pt idx="236">
                  <c:v>1.637334490328975</c:v>
                </c:pt>
                <c:pt idx="237">
                  <c:v>1.637334490328975</c:v>
                </c:pt>
                <c:pt idx="238">
                  <c:v>1.637334490328975</c:v>
                </c:pt>
                <c:pt idx="239">
                  <c:v>1.637334490328975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417472"/>
        <c:axId val="168418048"/>
      </c:scatterChart>
      <c:valAx>
        <c:axId val="16841747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8418048"/>
        <c:crosses val="autoZero"/>
        <c:crossBetween val="midCat"/>
      </c:valAx>
      <c:valAx>
        <c:axId val="16841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84174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87683346033358756"/>
          <c:y val="0.4104052311380153"/>
          <c:w val="0.11143710408632936"/>
          <c:h val="0.124277760077678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603929679420892E-2"/>
          <c:y val="3.7288135593220348E-2"/>
          <c:w val="0.72078593588417794"/>
          <c:h val="0.9"/>
        </c:manualLayout>
      </c:layout>
      <c:scatterChart>
        <c:scatterStyle val="lineMarker"/>
        <c:varyColors val="0"/>
        <c:ser>
          <c:idx val="0"/>
          <c:order val="0"/>
          <c:tx>
            <c:strRef>
              <c:f>Main!$AB$18:$AB$19</c:f>
              <c:strCache>
                <c:ptCount val="1"/>
                <c:pt idx="0">
                  <c:v>Wpay 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Main!$Z$21:$Z$40</c:f>
              <c:numCache>
                <c:formatCode>0,000</c:formatCode>
                <c:ptCount val="20"/>
                <c:pt idx="0">
                  <c:v>1.5</c:v>
                </c:pt>
                <c:pt idx="1">
                  <c:v>1.5789473684210527</c:v>
                </c:pt>
                <c:pt idx="2">
                  <c:v>1.6578947368421053</c:v>
                </c:pt>
                <c:pt idx="3">
                  <c:v>1.736842105263158</c:v>
                </c:pt>
                <c:pt idx="4">
                  <c:v>1.8157894736842106</c:v>
                </c:pt>
                <c:pt idx="5">
                  <c:v>1.8947368421052633</c:v>
                </c:pt>
                <c:pt idx="6">
                  <c:v>1.9736842105263159</c:v>
                </c:pt>
                <c:pt idx="7">
                  <c:v>2.0526315789473686</c:v>
                </c:pt>
                <c:pt idx="8">
                  <c:v>2.1315789473684212</c:v>
                </c:pt>
                <c:pt idx="9">
                  <c:v>2.2105263157894739</c:v>
                </c:pt>
                <c:pt idx="10">
                  <c:v>2.2894736842105265</c:v>
                </c:pt>
                <c:pt idx="11">
                  <c:v>2.3684210526315792</c:v>
                </c:pt>
                <c:pt idx="12">
                  <c:v>2.4473684210526319</c:v>
                </c:pt>
                <c:pt idx="13">
                  <c:v>2.5263157894736845</c:v>
                </c:pt>
                <c:pt idx="14">
                  <c:v>2.6052631578947372</c:v>
                </c:pt>
                <c:pt idx="15">
                  <c:v>2.6842105263157898</c:v>
                </c:pt>
                <c:pt idx="16">
                  <c:v>2.7631578947368425</c:v>
                </c:pt>
                <c:pt idx="17">
                  <c:v>2.8421052631578951</c:v>
                </c:pt>
                <c:pt idx="18">
                  <c:v>2.9210526315789478</c:v>
                </c:pt>
                <c:pt idx="19">
                  <c:v>3</c:v>
                </c:pt>
              </c:numCache>
            </c:numRef>
          </c:xVal>
          <c:yVal>
            <c:numRef>
              <c:f>Main!$AB$21:$AB$40</c:f>
              <c:numCache>
                <c:formatCode>0.00</c:formatCode>
                <c:ptCount val="20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</c:numCache>
            </c:numRef>
          </c:yVal>
          <c:smooth val="0"/>
        </c:ser>
        <c:ser>
          <c:idx val="2"/>
          <c:order val="1"/>
          <c:tx>
            <c:v>Wpaymax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</c:spPr>
          </c:marker>
          <c:xVal>
            <c:numRef>
              <c:f>Main!$Z$42</c:f>
              <c:numCache>
                <c:formatCode>0,000</c:formatCode>
                <c:ptCount val="1"/>
                <c:pt idx="0">
                  <c:v>1.5</c:v>
                </c:pt>
              </c:numCache>
            </c:numRef>
          </c:xVal>
          <c:yVal>
            <c:numRef>
              <c:f>Main!$P$43</c:f>
              <c:numCache>
                <c:formatCode>0.00</c:formatCode>
                <c:ptCount val="1"/>
                <c:pt idx="0">
                  <c:v>10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Main!$P$15:$P$16</c:f>
              <c:strCache>
                <c:ptCount val="1"/>
                <c:pt idx="0">
                  <c:v>Wstructure N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Main!$Z$21:$Z$40</c:f>
              <c:numCache>
                <c:formatCode>0,000</c:formatCode>
                <c:ptCount val="20"/>
                <c:pt idx="0">
                  <c:v>1.5</c:v>
                </c:pt>
                <c:pt idx="1">
                  <c:v>1.5789473684210527</c:v>
                </c:pt>
                <c:pt idx="2">
                  <c:v>1.6578947368421053</c:v>
                </c:pt>
                <c:pt idx="3">
                  <c:v>1.736842105263158</c:v>
                </c:pt>
                <c:pt idx="4">
                  <c:v>1.8157894736842106</c:v>
                </c:pt>
                <c:pt idx="5">
                  <c:v>1.8947368421052633</c:v>
                </c:pt>
                <c:pt idx="6">
                  <c:v>1.9736842105263159</c:v>
                </c:pt>
                <c:pt idx="7">
                  <c:v>2.0526315789473686</c:v>
                </c:pt>
                <c:pt idx="8">
                  <c:v>2.1315789473684212</c:v>
                </c:pt>
                <c:pt idx="9">
                  <c:v>2.2105263157894739</c:v>
                </c:pt>
                <c:pt idx="10">
                  <c:v>2.2894736842105265</c:v>
                </c:pt>
                <c:pt idx="11">
                  <c:v>2.3684210526315792</c:v>
                </c:pt>
                <c:pt idx="12">
                  <c:v>2.4473684210526319</c:v>
                </c:pt>
                <c:pt idx="13">
                  <c:v>2.5263157894736845</c:v>
                </c:pt>
                <c:pt idx="14">
                  <c:v>2.6052631578947372</c:v>
                </c:pt>
                <c:pt idx="15">
                  <c:v>2.6842105263157898</c:v>
                </c:pt>
                <c:pt idx="16">
                  <c:v>2.7631578947368425</c:v>
                </c:pt>
                <c:pt idx="17">
                  <c:v>2.8421052631578951</c:v>
                </c:pt>
                <c:pt idx="18">
                  <c:v>2.9210526315789478</c:v>
                </c:pt>
                <c:pt idx="19">
                  <c:v>3</c:v>
                </c:pt>
              </c:numCache>
            </c:numRef>
          </c:xVal>
          <c:yVal>
            <c:numRef>
              <c:f>Main!$P$21:$P$40</c:f>
              <c:numCache>
                <c:formatCode>0.00</c:formatCode>
                <c:ptCount val="20"/>
                <c:pt idx="0">
                  <c:v>12.936304787762779</c:v>
                </c:pt>
                <c:pt idx="1">
                  <c:v>13.331749770175321</c:v>
                </c:pt>
                <c:pt idx="2">
                  <c:v>13.728526792350607</c:v>
                </c:pt>
                <c:pt idx="3">
                  <c:v>13.606633496805074</c:v>
                </c:pt>
                <c:pt idx="4">
                  <c:v>13.991561787663755</c:v>
                </c:pt>
                <c:pt idx="5">
                  <c:v>14.378844052331161</c:v>
                </c:pt>
                <c:pt idx="6">
                  <c:v>14.768727993481406</c:v>
                </c:pt>
                <c:pt idx="7">
                  <c:v>15.124613703568272</c:v>
                </c:pt>
                <c:pt idx="8">
                  <c:v>15.416722860522214</c:v>
                </c:pt>
                <c:pt idx="9">
                  <c:v>15.716563898319222</c:v>
                </c:pt>
                <c:pt idx="10">
                  <c:v>16.023675886546343</c:v>
                </c:pt>
                <c:pt idx="11">
                  <c:v>16.33767874810853</c:v>
                </c:pt>
                <c:pt idx="12">
                  <c:v>16.658255827899268</c:v>
                </c:pt>
                <c:pt idx="13">
                  <c:v>16.985063575430246</c:v>
                </c:pt>
                <c:pt idx="14">
                  <c:v>17.317573760430506</c:v>
                </c:pt>
                <c:pt idx="15">
                  <c:v>17.656010351910766</c:v>
                </c:pt>
                <c:pt idx="16">
                  <c:v>18.000202945947677</c:v>
                </c:pt>
                <c:pt idx="17">
                  <c:v>18.350004457882292</c:v>
                </c:pt>
                <c:pt idx="18">
                  <c:v>18.705287293859811</c:v>
                </c:pt>
                <c:pt idx="19">
                  <c:v>17.381810212025215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Weight!$V$18:$V$19</c:f>
              <c:strCache>
                <c:ptCount val="1"/>
                <c:pt idx="0">
                  <c:v>Wempty N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Main!$Z$21:$Z$40</c:f>
              <c:numCache>
                <c:formatCode>0,000</c:formatCode>
                <c:ptCount val="20"/>
                <c:pt idx="0">
                  <c:v>1.5</c:v>
                </c:pt>
                <c:pt idx="1">
                  <c:v>1.5789473684210527</c:v>
                </c:pt>
                <c:pt idx="2">
                  <c:v>1.6578947368421053</c:v>
                </c:pt>
                <c:pt idx="3">
                  <c:v>1.736842105263158</c:v>
                </c:pt>
                <c:pt idx="4">
                  <c:v>1.8157894736842106</c:v>
                </c:pt>
                <c:pt idx="5">
                  <c:v>1.8947368421052633</c:v>
                </c:pt>
                <c:pt idx="6">
                  <c:v>1.9736842105263159</c:v>
                </c:pt>
                <c:pt idx="7">
                  <c:v>2.0526315789473686</c:v>
                </c:pt>
                <c:pt idx="8">
                  <c:v>2.1315789473684212</c:v>
                </c:pt>
                <c:pt idx="9">
                  <c:v>2.2105263157894739</c:v>
                </c:pt>
                <c:pt idx="10">
                  <c:v>2.2894736842105265</c:v>
                </c:pt>
                <c:pt idx="11">
                  <c:v>2.3684210526315792</c:v>
                </c:pt>
                <c:pt idx="12">
                  <c:v>2.4473684210526319</c:v>
                </c:pt>
                <c:pt idx="13">
                  <c:v>2.5263157894736845</c:v>
                </c:pt>
                <c:pt idx="14">
                  <c:v>2.6052631578947372</c:v>
                </c:pt>
                <c:pt idx="15">
                  <c:v>2.6842105263157898</c:v>
                </c:pt>
                <c:pt idx="16">
                  <c:v>2.7631578947368425</c:v>
                </c:pt>
                <c:pt idx="17">
                  <c:v>2.8421052631578951</c:v>
                </c:pt>
                <c:pt idx="18">
                  <c:v>2.9210526315789478</c:v>
                </c:pt>
                <c:pt idx="19">
                  <c:v>3</c:v>
                </c:pt>
              </c:numCache>
            </c:numRef>
          </c:xVal>
          <c:yVal>
            <c:numRef>
              <c:f>Weight!$V$21:$V$40</c:f>
              <c:numCache>
                <c:formatCode>0.00</c:formatCode>
                <c:ptCount val="20"/>
                <c:pt idx="0">
                  <c:v>119.60277124897891</c:v>
                </c:pt>
                <c:pt idx="1">
                  <c:v>121.99424477474008</c:v>
                </c:pt>
                <c:pt idx="2">
                  <c:v>124.24051129311465</c:v>
                </c:pt>
                <c:pt idx="3">
                  <c:v>116.40792205792529</c:v>
                </c:pt>
                <c:pt idx="4">
                  <c:v>118.23739388388455</c:v>
                </c:pt>
                <c:pt idx="5">
                  <c:v>119.96953292057736</c:v>
                </c:pt>
                <c:pt idx="6">
                  <c:v>121.61371211431475</c:v>
                </c:pt>
                <c:pt idx="7">
                  <c:v>122.52501256805863</c:v>
                </c:pt>
                <c:pt idx="8">
                  <c:v>122.22241873545346</c:v>
                </c:pt>
                <c:pt idx="9">
                  <c:v>121.99460630452538</c:v>
                </c:pt>
                <c:pt idx="10">
                  <c:v>121.83112185391033</c:v>
                </c:pt>
                <c:pt idx="11">
                  <c:v>121.72349764097771</c:v>
                </c:pt>
                <c:pt idx="12">
                  <c:v>121.66480106713556</c:v>
                </c:pt>
                <c:pt idx="13">
                  <c:v>121.64808624850315</c:v>
                </c:pt>
                <c:pt idx="14">
                  <c:v>121.66397514878656</c:v>
                </c:pt>
                <c:pt idx="15">
                  <c:v>121.71508343629725</c:v>
                </c:pt>
                <c:pt idx="16">
                  <c:v>121.79789717068391</c:v>
                </c:pt>
                <c:pt idx="17">
                  <c:v>121.9094250607543</c:v>
                </c:pt>
                <c:pt idx="18">
                  <c:v>122.04710507719955</c:v>
                </c:pt>
                <c:pt idx="19">
                  <c:v>99.477974996605568</c:v>
                </c:pt>
              </c:numCache>
            </c:numRef>
          </c:yVal>
          <c:smooth val="0"/>
        </c:ser>
        <c:ser>
          <c:idx val="1"/>
          <c:order val="4"/>
          <c:tx>
            <c:strRef>
              <c:f>Main!$AC$18:$AC$19</c:f>
              <c:strCache>
                <c:ptCount val="1"/>
                <c:pt idx="0">
                  <c:v>W N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Main!$Z$21:$Z$40</c:f>
              <c:numCache>
                <c:formatCode>0,000</c:formatCode>
                <c:ptCount val="20"/>
                <c:pt idx="0">
                  <c:v>1.5</c:v>
                </c:pt>
                <c:pt idx="1">
                  <c:v>1.5789473684210527</c:v>
                </c:pt>
                <c:pt idx="2">
                  <c:v>1.6578947368421053</c:v>
                </c:pt>
                <c:pt idx="3">
                  <c:v>1.736842105263158</c:v>
                </c:pt>
                <c:pt idx="4">
                  <c:v>1.8157894736842106</c:v>
                </c:pt>
                <c:pt idx="5">
                  <c:v>1.8947368421052633</c:v>
                </c:pt>
                <c:pt idx="6">
                  <c:v>1.9736842105263159</c:v>
                </c:pt>
                <c:pt idx="7">
                  <c:v>2.0526315789473686</c:v>
                </c:pt>
                <c:pt idx="8">
                  <c:v>2.1315789473684212</c:v>
                </c:pt>
                <c:pt idx="9">
                  <c:v>2.2105263157894739</c:v>
                </c:pt>
                <c:pt idx="10">
                  <c:v>2.2894736842105265</c:v>
                </c:pt>
                <c:pt idx="11">
                  <c:v>2.3684210526315792</c:v>
                </c:pt>
                <c:pt idx="12">
                  <c:v>2.4473684210526319</c:v>
                </c:pt>
                <c:pt idx="13">
                  <c:v>2.5263157894736845</c:v>
                </c:pt>
                <c:pt idx="14">
                  <c:v>2.6052631578947372</c:v>
                </c:pt>
                <c:pt idx="15">
                  <c:v>2.6842105263157898</c:v>
                </c:pt>
                <c:pt idx="16">
                  <c:v>2.7631578947368425</c:v>
                </c:pt>
                <c:pt idx="17">
                  <c:v>2.8421052631578951</c:v>
                </c:pt>
                <c:pt idx="18">
                  <c:v>2.9210526315789478</c:v>
                </c:pt>
                <c:pt idx="19">
                  <c:v>3</c:v>
                </c:pt>
              </c:numCache>
            </c:numRef>
          </c:xVal>
          <c:yVal>
            <c:numRef>
              <c:f>Main!$AC$21:$AC$40</c:f>
              <c:numCache>
                <c:formatCode>0.00</c:formatCode>
                <c:ptCount val="20"/>
                <c:pt idx="0">
                  <c:v>129.60277124897891</c:v>
                </c:pt>
                <c:pt idx="1">
                  <c:v>131.99424477474008</c:v>
                </c:pt>
                <c:pt idx="2">
                  <c:v>134.24051129311465</c:v>
                </c:pt>
                <c:pt idx="3">
                  <c:v>126.40792205792529</c:v>
                </c:pt>
                <c:pt idx="4">
                  <c:v>128.23739388388455</c:v>
                </c:pt>
                <c:pt idx="5">
                  <c:v>129.96953292057736</c:v>
                </c:pt>
                <c:pt idx="6">
                  <c:v>131.61371211431475</c:v>
                </c:pt>
                <c:pt idx="7">
                  <c:v>132.52501256805863</c:v>
                </c:pt>
                <c:pt idx="8">
                  <c:v>132.22241873545346</c:v>
                </c:pt>
                <c:pt idx="9">
                  <c:v>131.99460630452538</c:v>
                </c:pt>
                <c:pt idx="10">
                  <c:v>131.83112185391033</c:v>
                </c:pt>
                <c:pt idx="11">
                  <c:v>131.72349764097771</c:v>
                </c:pt>
                <c:pt idx="12">
                  <c:v>131.66480106713556</c:v>
                </c:pt>
                <c:pt idx="13">
                  <c:v>131.64808624850315</c:v>
                </c:pt>
                <c:pt idx="14">
                  <c:v>131.66397514878656</c:v>
                </c:pt>
                <c:pt idx="15">
                  <c:v>131.71508343629725</c:v>
                </c:pt>
                <c:pt idx="16">
                  <c:v>131.79789717068391</c:v>
                </c:pt>
                <c:pt idx="17">
                  <c:v>131.9094250607543</c:v>
                </c:pt>
                <c:pt idx="18">
                  <c:v>132.04710507719955</c:v>
                </c:pt>
                <c:pt idx="19">
                  <c:v>109.47797499660557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Weight!$I$18:$I$19</c:f>
              <c:strCache>
                <c:ptCount val="1"/>
                <c:pt idx="0">
                  <c:v>Wenergy N</c:v>
                </c:pt>
              </c:strCache>
            </c:strRef>
          </c:tx>
          <c:spPr>
            <a:ln w="12700"/>
          </c:spPr>
          <c:xVal>
            <c:numRef>
              <c:f>Main!$Z$21:$Z$40</c:f>
              <c:numCache>
                <c:formatCode>0,000</c:formatCode>
                <c:ptCount val="20"/>
                <c:pt idx="0">
                  <c:v>1.5</c:v>
                </c:pt>
                <c:pt idx="1">
                  <c:v>1.5789473684210527</c:v>
                </c:pt>
                <c:pt idx="2">
                  <c:v>1.6578947368421053</c:v>
                </c:pt>
                <c:pt idx="3">
                  <c:v>1.736842105263158</c:v>
                </c:pt>
                <c:pt idx="4">
                  <c:v>1.8157894736842106</c:v>
                </c:pt>
                <c:pt idx="5">
                  <c:v>1.8947368421052633</c:v>
                </c:pt>
                <c:pt idx="6">
                  <c:v>1.9736842105263159</c:v>
                </c:pt>
                <c:pt idx="7">
                  <c:v>2.0526315789473686</c:v>
                </c:pt>
                <c:pt idx="8">
                  <c:v>2.1315789473684212</c:v>
                </c:pt>
                <c:pt idx="9">
                  <c:v>2.2105263157894739</c:v>
                </c:pt>
                <c:pt idx="10">
                  <c:v>2.2894736842105265</c:v>
                </c:pt>
                <c:pt idx="11">
                  <c:v>2.3684210526315792</c:v>
                </c:pt>
                <c:pt idx="12">
                  <c:v>2.4473684210526319</c:v>
                </c:pt>
                <c:pt idx="13">
                  <c:v>2.5263157894736845</c:v>
                </c:pt>
                <c:pt idx="14">
                  <c:v>2.6052631578947372</c:v>
                </c:pt>
                <c:pt idx="15">
                  <c:v>2.6842105263157898</c:v>
                </c:pt>
                <c:pt idx="16">
                  <c:v>2.7631578947368425</c:v>
                </c:pt>
                <c:pt idx="17">
                  <c:v>2.8421052631578951</c:v>
                </c:pt>
                <c:pt idx="18">
                  <c:v>2.9210526315789478</c:v>
                </c:pt>
                <c:pt idx="19">
                  <c:v>3</c:v>
                </c:pt>
              </c:numCache>
            </c:numRef>
          </c:xVal>
          <c:yVal>
            <c:numRef>
              <c:f>Weight!$I$21:$I$40</c:f>
              <c:numCache>
                <c:formatCode>0.00</c:formatCode>
                <c:ptCount val="20"/>
                <c:pt idx="0">
                  <c:v>96.606108186222428</c:v>
                </c:pt>
                <c:pt idx="1">
                  <c:v>98.602136729572237</c:v>
                </c:pt>
                <c:pt idx="2">
                  <c:v>100.45162622577277</c:v>
                </c:pt>
                <c:pt idx="3">
                  <c:v>92.740930286131501</c:v>
                </c:pt>
                <c:pt idx="4">
                  <c:v>94.185473821233572</c:v>
                </c:pt>
                <c:pt idx="5">
                  <c:v>95.530330593260601</c:v>
                </c:pt>
                <c:pt idx="6">
                  <c:v>96.784625845849192</c:v>
                </c:pt>
                <c:pt idx="7">
                  <c:v>97.340040589559038</c:v>
                </c:pt>
                <c:pt idx="8">
                  <c:v>96.745337600002586</c:v>
                </c:pt>
                <c:pt idx="9">
                  <c:v>96.217684131280151</c:v>
                </c:pt>
                <c:pt idx="10">
                  <c:v>95.747087692440758</c:v>
                </c:pt>
                <c:pt idx="11">
                  <c:v>95.325460617948707</c:v>
                </c:pt>
                <c:pt idx="12">
                  <c:v>94.946186964318969</c:v>
                </c:pt>
                <c:pt idx="13">
                  <c:v>94.602664398159263</c:v>
                </c:pt>
                <c:pt idx="14">
                  <c:v>94.286043113445729</c:v>
                </c:pt>
                <c:pt idx="15">
                  <c:v>93.99871480947948</c:v>
                </c:pt>
                <c:pt idx="16">
                  <c:v>93.737335949832584</c:v>
                </c:pt>
                <c:pt idx="17">
                  <c:v>93.499062327971714</c:v>
                </c:pt>
                <c:pt idx="18">
                  <c:v>93.281459508442836</c:v>
                </c:pt>
                <c:pt idx="19">
                  <c:v>72.035994676904664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860800"/>
        <c:axId val="72861376"/>
      </c:scatterChart>
      <c:valAx>
        <c:axId val="72860800"/>
        <c:scaling>
          <c:orientation val="minMax"/>
        </c:scaling>
        <c:delete val="0"/>
        <c:axPos val="b"/>
        <c:numFmt formatCode="0,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2861376"/>
        <c:crosses val="autoZero"/>
        <c:crossBetween val="midCat"/>
      </c:valAx>
      <c:valAx>
        <c:axId val="728613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28608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040330920372274"/>
          <c:y val="0.36904761904761912"/>
          <c:w val="0.1003102378490176"/>
          <c:h val="0.1921768707482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33106789338368"/>
          <c:y val="4.0973594828643163E-2"/>
          <c:w val="0.76308192919564233"/>
          <c:h val="0.854141861427868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'Airfoil 1'!$E$19</c:f>
              <c:strCache>
                <c:ptCount val="1"/>
                <c:pt idx="0">
                  <c:v>Re1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'Airfoil 1'!$G$22:$G$41</c:f>
              <c:numCache>
                <c:formatCode>00,000</c:formatCode>
                <c:ptCount val="20"/>
                <c:pt idx="0">
                  <c:v>-0.3493</c:v>
                </c:pt>
                <c:pt idx="1">
                  <c:v>-0.2056</c:v>
                </c:pt>
                <c:pt idx="2">
                  <c:v>0.126</c:v>
                </c:pt>
                <c:pt idx="3">
                  <c:v>0.30909999999999999</c:v>
                </c:pt>
                <c:pt idx="4">
                  <c:v>0.45639999999999997</c:v>
                </c:pt>
                <c:pt idx="5">
                  <c:v>0.6169</c:v>
                </c:pt>
                <c:pt idx="6">
                  <c:v>0.79100000000000004</c:v>
                </c:pt>
                <c:pt idx="7">
                  <c:v>0.94169999999999998</c:v>
                </c:pt>
                <c:pt idx="8">
                  <c:v>1.0692999999999999</c:v>
                </c:pt>
                <c:pt idx="9">
                  <c:v>1.1724000000000001</c:v>
                </c:pt>
                <c:pt idx="10">
                  <c:v>1.2701</c:v>
                </c:pt>
                <c:pt idx="11">
                  <c:v>1.3635999999999999</c:v>
                </c:pt>
                <c:pt idx="12">
                  <c:v>1.4453</c:v>
                </c:pt>
                <c:pt idx="13">
                  <c:v>1.5145999999999999</c:v>
                </c:pt>
                <c:pt idx="14">
                  <c:v>1.5569999999999999</c:v>
                </c:pt>
                <c:pt idx="15">
                  <c:v>1.5578000000000001</c:v>
                </c:pt>
                <c:pt idx="16">
                  <c:v>1.5291999999999999</c:v>
                </c:pt>
                <c:pt idx="17">
                  <c:v>1.4995000000000001</c:v>
                </c:pt>
                <c:pt idx="18">
                  <c:v>1.5085999999999999</c:v>
                </c:pt>
                <c:pt idx="19">
                  <c:v>1.5325</c:v>
                </c:pt>
              </c:numCache>
            </c:numRef>
          </c:xVal>
          <c:yVal>
            <c:numRef>
              <c:f>'Airfoil 1'!$J$22:$J$41</c:f>
              <c:numCache>
                <c:formatCode>00,000</c:formatCode>
                <c:ptCount val="20"/>
                <c:pt idx="0">
                  <c:v>8.4908999999999998E-2</c:v>
                </c:pt>
                <c:pt idx="1">
                  <c:v>6.9366000000000011E-2</c:v>
                </c:pt>
                <c:pt idx="2">
                  <c:v>3.696E-2</c:v>
                </c:pt>
                <c:pt idx="3">
                  <c:v>3.1493E-2</c:v>
                </c:pt>
                <c:pt idx="4">
                  <c:v>2.7071000000000001E-2</c:v>
                </c:pt>
                <c:pt idx="5">
                  <c:v>2.6477000000000004E-2</c:v>
                </c:pt>
                <c:pt idx="6">
                  <c:v>2.4728000000000003E-2</c:v>
                </c:pt>
                <c:pt idx="7">
                  <c:v>2.4398E-2</c:v>
                </c:pt>
                <c:pt idx="8">
                  <c:v>2.5267000000000001E-2</c:v>
                </c:pt>
                <c:pt idx="9">
                  <c:v>2.6763000000000002E-2</c:v>
                </c:pt>
                <c:pt idx="10">
                  <c:v>2.8193000000000003E-2</c:v>
                </c:pt>
                <c:pt idx="11">
                  <c:v>2.9656000000000005E-2</c:v>
                </c:pt>
                <c:pt idx="12">
                  <c:v>3.1713000000000005E-2</c:v>
                </c:pt>
                <c:pt idx="13">
                  <c:v>3.4771000000000003E-2</c:v>
                </c:pt>
                <c:pt idx="14">
                  <c:v>3.8203000000000001E-2</c:v>
                </c:pt>
                <c:pt idx="15">
                  <c:v>4.2658000000000008E-2</c:v>
                </c:pt>
                <c:pt idx="16">
                  <c:v>5.0996E-2</c:v>
                </c:pt>
                <c:pt idx="17">
                  <c:v>6.3987000000000002E-2</c:v>
                </c:pt>
                <c:pt idx="18">
                  <c:v>7.6263000000000011E-2</c:v>
                </c:pt>
                <c:pt idx="19">
                  <c:v>9.033200000000001E-2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'Airfoil 1'!$E$44</c:f>
              <c:strCache>
                <c:ptCount val="1"/>
                <c:pt idx="0">
                  <c:v>Re2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'Airfoil 1'!$G$47:$G$66</c:f>
              <c:numCache>
                <c:formatCode>00,000</c:formatCode>
                <c:ptCount val="20"/>
                <c:pt idx="0">
                  <c:v>-0.37709999999999999</c:v>
                </c:pt>
                <c:pt idx="1">
                  <c:v>0.2273</c:v>
                </c:pt>
                <c:pt idx="2">
                  <c:v>0.40160000000000001</c:v>
                </c:pt>
                <c:pt idx="3">
                  <c:v>0.54079999999999995</c:v>
                </c:pt>
                <c:pt idx="4">
                  <c:v>0.71779999999999999</c:v>
                </c:pt>
                <c:pt idx="5">
                  <c:v>0.86950000000000005</c:v>
                </c:pt>
                <c:pt idx="6">
                  <c:v>0.98980000000000001</c:v>
                </c:pt>
                <c:pt idx="7">
                  <c:v>1.0966</c:v>
                </c:pt>
                <c:pt idx="8">
                  <c:v>1.1958</c:v>
                </c:pt>
                <c:pt idx="9">
                  <c:v>1.2896000000000001</c:v>
                </c:pt>
                <c:pt idx="10">
                  <c:v>1.3777999999999999</c:v>
                </c:pt>
                <c:pt idx="11">
                  <c:v>1.4519</c:v>
                </c:pt>
                <c:pt idx="12">
                  <c:v>1.5119</c:v>
                </c:pt>
                <c:pt idx="13">
                  <c:v>1.5370999999999999</c:v>
                </c:pt>
                <c:pt idx="14">
                  <c:v>1.5477000000000001</c:v>
                </c:pt>
                <c:pt idx="15">
                  <c:v>1.5269999999999999</c:v>
                </c:pt>
                <c:pt idx="16">
                  <c:v>1.4888999999999999</c:v>
                </c:pt>
                <c:pt idx="17">
                  <c:v>1.4912000000000001</c:v>
                </c:pt>
                <c:pt idx="18">
                  <c:v>1.5233000000000001</c:v>
                </c:pt>
              </c:numCache>
            </c:numRef>
          </c:xVal>
          <c:yVal>
            <c:numRef>
              <c:f>'Airfoil 1'!$J$47:$J$66</c:f>
              <c:numCache>
                <c:formatCode>00,000</c:formatCode>
                <c:ptCount val="20"/>
                <c:pt idx="0">
                  <c:v>8.92815E-2</c:v>
                </c:pt>
                <c:pt idx="1">
                  <c:v>2.7951000000000004E-2</c:v>
                </c:pt>
                <c:pt idx="2">
                  <c:v>2.2522500000000001E-2</c:v>
                </c:pt>
                <c:pt idx="3">
                  <c:v>1.8805499999999999E-2</c:v>
                </c:pt>
                <c:pt idx="4">
                  <c:v>1.7167500000000002E-2</c:v>
                </c:pt>
                <c:pt idx="5">
                  <c:v>1.7094000000000002E-2</c:v>
                </c:pt>
                <c:pt idx="6">
                  <c:v>1.8186000000000001E-2</c:v>
                </c:pt>
                <c:pt idx="7">
                  <c:v>1.9445999999999998E-2</c:v>
                </c:pt>
                <c:pt idx="8">
                  <c:v>2.0674499999999998E-2</c:v>
                </c:pt>
                <c:pt idx="9">
                  <c:v>2.2008E-2</c:v>
                </c:pt>
                <c:pt idx="10">
                  <c:v>2.3540999999999999E-2</c:v>
                </c:pt>
                <c:pt idx="11">
                  <c:v>2.56095E-2</c:v>
                </c:pt>
                <c:pt idx="12">
                  <c:v>2.8444500000000001E-2</c:v>
                </c:pt>
                <c:pt idx="13">
                  <c:v>3.1594499999999998E-2</c:v>
                </c:pt>
                <c:pt idx="14">
                  <c:v>3.6466499999999999E-2</c:v>
                </c:pt>
                <c:pt idx="15">
                  <c:v>4.4961000000000001E-2</c:v>
                </c:pt>
                <c:pt idx="16">
                  <c:v>5.8842000000000005E-2</c:v>
                </c:pt>
                <c:pt idx="17">
                  <c:v>7.0675500000000002E-2</c:v>
                </c:pt>
                <c:pt idx="18">
                  <c:v>8.0556000000000003E-2</c:v>
                </c:pt>
                <c:pt idx="19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'Airfoil 1'!$E$69</c:f>
              <c:strCache>
                <c:ptCount val="1"/>
                <c:pt idx="0">
                  <c:v>Re3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'Airfoil 1'!$G$72:$G$91</c:f>
              <c:numCache>
                <c:formatCode>00,000</c:formatCode>
                <c:ptCount val="20"/>
                <c:pt idx="0">
                  <c:v>0.35060000000000002</c:v>
                </c:pt>
                <c:pt idx="1">
                  <c:v>0.51900000000000002</c:v>
                </c:pt>
                <c:pt idx="2">
                  <c:v>0.67320000000000002</c:v>
                </c:pt>
                <c:pt idx="3">
                  <c:v>0.79759999999999998</c:v>
                </c:pt>
                <c:pt idx="4">
                  <c:v>0.90620000000000001</c:v>
                </c:pt>
                <c:pt idx="5">
                  <c:v>1.0089999999999999</c:v>
                </c:pt>
                <c:pt idx="6">
                  <c:v>1.1076999999999999</c:v>
                </c:pt>
                <c:pt idx="7">
                  <c:v>1.2023999999999999</c:v>
                </c:pt>
                <c:pt idx="8">
                  <c:v>1.2938000000000001</c:v>
                </c:pt>
                <c:pt idx="9">
                  <c:v>1.3778999999999999</c:v>
                </c:pt>
                <c:pt idx="10">
                  <c:v>1.498</c:v>
                </c:pt>
                <c:pt idx="11">
                  <c:v>1.5412999999999999</c:v>
                </c:pt>
                <c:pt idx="12">
                  <c:v>1.5572999999999999</c:v>
                </c:pt>
                <c:pt idx="13">
                  <c:v>1.5364</c:v>
                </c:pt>
                <c:pt idx="14">
                  <c:v>1.5163</c:v>
                </c:pt>
                <c:pt idx="15">
                  <c:v>1.5105</c:v>
                </c:pt>
              </c:numCache>
            </c:numRef>
          </c:xVal>
          <c:yVal>
            <c:numRef>
              <c:f>'Airfoil 1'!$J$72:$J$91</c:f>
              <c:numCache>
                <c:formatCode>00,000</c:formatCode>
                <c:ptCount val="20"/>
                <c:pt idx="0">
                  <c:v>1.508E-2</c:v>
                </c:pt>
                <c:pt idx="1">
                  <c:v>1.107E-2</c:v>
                </c:pt>
                <c:pt idx="2">
                  <c:v>9.4999999999999998E-3</c:v>
                </c:pt>
                <c:pt idx="3">
                  <c:v>1.0290000000000001E-2</c:v>
                </c:pt>
                <c:pt idx="4">
                  <c:v>1.116E-2</c:v>
                </c:pt>
                <c:pt idx="5">
                  <c:v>1.201E-2</c:v>
                </c:pt>
                <c:pt idx="6">
                  <c:v>1.29E-2</c:v>
                </c:pt>
                <c:pt idx="7">
                  <c:v>1.388E-2</c:v>
                </c:pt>
                <c:pt idx="8">
                  <c:v>1.508E-2</c:v>
                </c:pt>
                <c:pt idx="9">
                  <c:v>1.653E-2</c:v>
                </c:pt>
                <c:pt idx="10">
                  <c:v>2.0920000000000001E-2</c:v>
                </c:pt>
                <c:pt idx="11">
                  <c:v>2.4330000000000001E-2</c:v>
                </c:pt>
                <c:pt idx="12">
                  <c:v>3.7740000000000003E-2</c:v>
                </c:pt>
                <c:pt idx="13">
                  <c:v>4.9579999999999999E-2</c:v>
                </c:pt>
                <c:pt idx="14">
                  <c:v>6.3259999999999997E-2</c:v>
                </c:pt>
                <c:pt idx="15">
                  <c:v>7.5999999999999998E-2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'Airfoil 1'!$E$94</c:f>
              <c:strCache>
                <c:ptCount val="1"/>
                <c:pt idx="0">
                  <c:v>Re4</c:v>
                </c:pt>
              </c:strCache>
            </c:strRef>
          </c:tx>
          <c:spPr>
            <a:ln w="28575">
              <a:noFill/>
            </a:ln>
          </c:spPr>
          <c:xVal>
            <c:numRef>
              <c:f>'Airfoil 1'!$G$97:$G$116</c:f>
              <c:numCache>
                <c:formatCode>00,000</c:formatCode>
                <c:ptCount val="20"/>
                <c:pt idx="0">
                  <c:v>-0.1169</c:v>
                </c:pt>
                <c:pt idx="1">
                  <c:v>0.2223</c:v>
                </c:pt>
                <c:pt idx="2">
                  <c:v>0.36849999999999999</c:v>
                </c:pt>
                <c:pt idx="3">
                  <c:v>0.68610000000000004</c:v>
                </c:pt>
                <c:pt idx="4">
                  <c:v>0.80059999999999998</c:v>
                </c:pt>
                <c:pt idx="5">
                  <c:v>0.90720000000000001</c:v>
                </c:pt>
                <c:pt idx="6">
                  <c:v>1.0085999999999999</c:v>
                </c:pt>
                <c:pt idx="7">
                  <c:v>1.1066</c:v>
                </c:pt>
                <c:pt idx="8">
                  <c:v>1.2022999999999999</c:v>
                </c:pt>
                <c:pt idx="9">
                  <c:v>1.294</c:v>
                </c:pt>
                <c:pt idx="10">
                  <c:v>1.379</c:v>
                </c:pt>
                <c:pt idx="11">
                  <c:v>1.4498</c:v>
                </c:pt>
                <c:pt idx="12">
                  <c:v>1.504</c:v>
                </c:pt>
                <c:pt idx="13">
                  <c:v>1.5535000000000001</c:v>
                </c:pt>
                <c:pt idx="14">
                  <c:v>1.5884</c:v>
                </c:pt>
                <c:pt idx="15">
                  <c:v>1.571</c:v>
                </c:pt>
                <c:pt idx="16">
                  <c:v>1.5604</c:v>
                </c:pt>
                <c:pt idx="17">
                  <c:v>1.5353000000000001</c:v>
                </c:pt>
                <c:pt idx="18">
                  <c:v>1.5259</c:v>
                </c:pt>
              </c:numCache>
            </c:numRef>
          </c:xVal>
          <c:yVal>
            <c:numRef>
              <c:f>'Airfoil 1'!$H$97:$H$116</c:f>
              <c:numCache>
                <c:formatCode>00,000</c:formatCode>
                <c:ptCount val="20"/>
                <c:pt idx="0">
                  <c:v>5.0799999999999998E-2</c:v>
                </c:pt>
                <c:pt idx="1">
                  <c:v>1.67E-2</c:v>
                </c:pt>
                <c:pt idx="2">
                  <c:v>1.2880000000000001E-2</c:v>
                </c:pt>
                <c:pt idx="3">
                  <c:v>8.6400000000000001E-3</c:v>
                </c:pt>
                <c:pt idx="4">
                  <c:v>9.4199999999999996E-3</c:v>
                </c:pt>
                <c:pt idx="5">
                  <c:v>1.018E-2</c:v>
                </c:pt>
                <c:pt idx="6">
                  <c:v>1.094E-2</c:v>
                </c:pt>
                <c:pt idx="7">
                  <c:v>1.1769999999999999E-2</c:v>
                </c:pt>
                <c:pt idx="8">
                  <c:v>1.278E-2</c:v>
                </c:pt>
                <c:pt idx="9">
                  <c:v>1.393E-2</c:v>
                </c:pt>
                <c:pt idx="10">
                  <c:v>1.533E-2</c:v>
                </c:pt>
                <c:pt idx="11">
                  <c:v>1.7149999999999999E-2</c:v>
                </c:pt>
                <c:pt idx="12">
                  <c:v>1.984E-2</c:v>
                </c:pt>
                <c:pt idx="13">
                  <c:v>2.3009999999999999E-2</c:v>
                </c:pt>
                <c:pt idx="14">
                  <c:v>2.726E-2</c:v>
                </c:pt>
                <c:pt idx="15">
                  <c:v>3.6240000000000001E-2</c:v>
                </c:pt>
                <c:pt idx="16">
                  <c:v>4.6859999999999999E-2</c:v>
                </c:pt>
                <c:pt idx="17">
                  <c:v>6.0999999999999999E-2</c:v>
                </c:pt>
                <c:pt idx="18">
                  <c:v>7.4410000000000004E-2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863680"/>
        <c:axId val="72864256"/>
      </c:scatterChart>
      <c:valAx>
        <c:axId val="7286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Cl</a:t>
                </a:r>
              </a:p>
            </c:rich>
          </c:tx>
          <c:layout>
            <c:manualLayout>
              <c:xMode val="edge"/>
              <c:yMode val="edge"/>
              <c:x val="0.49421594601144342"/>
              <c:y val="0.94239271095749821"/>
            </c:manualLayout>
          </c:layout>
          <c:overlay val="0"/>
          <c:spPr>
            <a:noFill/>
            <a:ln w="25400">
              <a:noFill/>
            </a:ln>
          </c:spPr>
        </c:title>
        <c:numFmt formatCode="###,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2864256"/>
        <c:crosses val="autoZero"/>
        <c:crossBetween val="midCat"/>
      </c:valAx>
      <c:valAx>
        <c:axId val="72864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Cd</a:t>
                </a:r>
              </a:p>
            </c:rich>
          </c:tx>
          <c:layout>
            <c:manualLayout>
              <c:xMode val="edge"/>
              <c:yMode val="edge"/>
              <c:x val="2.4866281386188224E-2"/>
              <c:y val="0.4522854117732964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28636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1236438168233647"/>
          <c:y val="0.41421947449768165"/>
          <c:w val="6.1033028148476789E-2"/>
          <c:h val="0.131375579598145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250061988877881E-2"/>
          <c:y val="4.3706293706293711E-2"/>
          <c:w val="0.80468811392830963"/>
          <c:h val="0.868881118881118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'Airfoil 1'!$E$19</c:f>
              <c:strCache>
                <c:ptCount val="1"/>
                <c:pt idx="0">
                  <c:v>Re1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'Airfoil 1'!$F$22:$F$41</c:f>
              <c:numCache>
                <c:formatCode>00,000</c:formatCode>
                <c:ptCount val="20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11</c:v>
                </c:pt>
                <c:pt idx="16">
                  <c:v>12</c:v>
                </c:pt>
                <c:pt idx="17">
                  <c:v>13</c:v>
                </c:pt>
                <c:pt idx="18">
                  <c:v>14</c:v>
                </c:pt>
                <c:pt idx="19">
                  <c:v>15</c:v>
                </c:pt>
              </c:numCache>
            </c:numRef>
          </c:xVal>
          <c:yVal>
            <c:numRef>
              <c:f>'Airfoil 1'!$G$22:$G$41</c:f>
              <c:numCache>
                <c:formatCode>00,000</c:formatCode>
                <c:ptCount val="20"/>
                <c:pt idx="0">
                  <c:v>-0.3493</c:v>
                </c:pt>
                <c:pt idx="1">
                  <c:v>-0.2056</c:v>
                </c:pt>
                <c:pt idx="2">
                  <c:v>0.126</c:v>
                </c:pt>
                <c:pt idx="3">
                  <c:v>0.30909999999999999</c:v>
                </c:pt>
                <c:pt idx="4">
                  <c:v>0.45639999999999997</c:v>
                </c:pt>
                <c:pt idx="5">
                  <c:v>0.6169</c:v>
                </c:pt>
                <c:pt idx="6">
                  <c:v>0.79100000000000004</c:v>
                </c:pt>
                <c:pt idx="7">
                  <c:v>0.94169999999999998</c:v>
                </c:pt>
                <c:pt idx="8">
                  <c:v>1.0692999999999999</c:v>
                </c:pt>
                <c:pt idx="9">
                  <c:v>1.1724000000000001</c:v>
                </c:pt>
                <c:pt idx="10">
                  <c:v>1.2701</c:v>
                </c:pt>
                <c:pt idx="11">
                  <c:v>1.3635999999999999</c:v>
                </c:pt>
                <c:pt idx="12">
                  <c:v>1.4453</c:v>
                </c:pt>
                <c:pt idx="13">
                  <c:v>1.5145999999999999</c:v>
                </c:pt>
                <c:pt idx="14">
                  <c:v>1.5569999999999999</c:v>
                </c:pt>
                <c:pt idx="15">
                  <c:v>1.5578000000000001</c:v>
                </c:pt>
                <c:pt idx="16">
                  <c:v>1.5291999999999999</c:v>
                </c:pt>
                <c:pt idx="17">
                  <c:v>1.4995000000000001</c:v>
                </c:pt>
                <c:pt idx="18">
                  <c:v>1.5085999999999999</c:v>
                </c:pt>
                <c:pt idx="19">
                  <c:v>1.5325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'Airfoil 1'!$E$44</c:f>
              <c:strCache>
                <c:ptCount val="1"/>
                <c:pt idx="0">
                  <c:v>Re2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'Airfoil 1'!$F$47:$F$66</c:f>
              <c:numCache>
                <c:formatCode>00,000</c:formatCode>
                <c:ptCount val="20"/>
                <c:pt idx="0">
                  <c:v>-5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11</c:v>
                </c:pt>
                <c:pt idx="15">
                  <c:v>12</c:v>
                </c:pt>
                <c:pt idx="16">
                  <c:v>13</c:v>
                </c:pt>
                <c:pt idx="17">
                  <c:v>14</c:v>
                </c:pt>
                <c:pt idx="18">
                  <c:v>15</c:v>
                </c:pt>
              </c:numCache>
            </c:numRef>
          </c:xVal>
          <c:yVal>
            <c:numRef>
              <c:f>'Airfoil 1'!$G$47:$G$66</c:f>
              <c:numCache>
                <c:formatCode>00,000</c:formatCode>
                <c:ptCount val="20"/>
                <c:pt idx="0">
                  <c:v>-0.37709999999999999</c:v>
                </c:pt>
                <c:pt idx="1">
                  <c:v>0.2273</c:v>
                </c:pt>
                <c:pt idx="2">
                  <c:v>0.40160000000000001</c:v>
                </c:pt>
                <c:pt idx="3">
                  <c:v>0.54079999999999995</c:v>
                </c:pt>
                <c:pt idx="4">
                  <c:v>0.71779999999999999</c:v>
                </c:pt>
                <c:pt idx="5">
                  <c:v>0.86950000000000005</c:v>
                </c:pt>
                <c:pt idx="6">
                  <c:v>0.98980000000000001</c:v>
                </c:pt>
                <c:pt idx="7">
                  <c:v>1.0966</c:v>
                </c:pt>
                <c:pt idx="8">
                  <c:v>1.1958</c:v>
                </c:pt>
                <c:pt idx="9">
                  <c:v>1.2896000000000001</c:v>
                </c:pt>
                <c:pt idx="10">
                  <c:v>1.3777999999999999</c:v>
                </c:pt>
                <c:pt idx="11">
                  <c:v>1.4519</c:v>
                </c:pt>
                <c:pt idx="12">
                  <c:v>1.5119</c:v>
                </c:pt>
                <c:pt idx="13">
                  <c:v>1.5370999999999999</c:v>
                </c:pt>
                <c:pt idx="14">
                  <c:v>1.5477000000000001</c:v>
                </c:pt>
                <c:pt idx="15">
                  <c:v>1.5269999999999999</c:v>
                </c:pt>
                <c:pt idx="16">
                  <c:v>1.4888999999999999</c:v>
                </c:pt>
                <c:pt idx="17">
                  <c:v>1.4912000000000001</c:v>
                </c:pt>
                <c:pt idx="18">
                  <c:v>1.5233000000000001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'Airfoil 1'!$E$69</c:f>
              <c:strCache>
                <c:ptCount val="1"/>
                <c:pt idx="0">
                  <c:v>Re3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'Airfoil 1'!$F$72:$F$91</c:f>
              <c:numCache>
                <c:formatCode>00,000</c:formatCode>
                <c:ptCount val="20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10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numCache>
            </c:numRef>
          </c:xVal>
          <c:yVal>
            <c:numRef>
              <c:f>'Airfoil 1'!$G$72:$G$91</c:f>
              <c:numCache>
                <c:formatCode>00,000</c:formatCode>
                <c:ptCount val="20"/>
                <c:pt idx="0">
                  <c:v>0.35060000000000002</c:v>
                </c:pt>
                <c:pt idx="1">
                  <c:v>0.51900000000000002</c:v>
                </c:pt>
                <c:pt idx="2">
                  <c:v>0.67320000000000002</c:v>
                </c:pt>
                <c:pt idx="3">
                  <c:v>0.79759999999999998</c:v>
                </c:pt>
                <c:pt idx="4">
                  <c:v>0.90620000000000001</c:v>
                </c:pt>
                <c:pt idx="5">
                  <c:v>1.0089999999999999</c:v>
                </c:pt>
                <c:pt idx="6">
                  <c:v>1.1076999999999999</c:v>
                </c:pt>
                <c:pt idx="7">
                  <c:v>1.2023999999999999</c:v>
                </c:pt>
                <c:pt idx="8">
                  <c:v>1.2938000000000001</c:v>
                </c:pt>
                <c:pt idx="9">
                  <c:v>1.3778999999999999</c:v>
                </c:pt>
                <c:pt idx="10">
                  <c:v>1.498</c:v>
                </c:pt>
                <c:pt idx="11">
                  <c:v>1.5412999999999999</c:v>
                </c:pt>
                <c:pt idx="12">
                  <c:v>1.5572999999999999</c:v>
                </c:pt>
                <c:pt idx="13">
                  <c:v>1.5364</c:v>
                </c:pt>
                <c:pt idx="14">
                  <c:v>1.5163</c:v>
                </c:pt>
                <c:pt idx="15">
                  <c:v>1.5105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'Airfoil 1'!$E$94</c:f>
              <c:strCache>
                <c:ptCount val="1"/>
                <c:pt idx="0">
                  <c:v>Re4</c:v>
                </c:pt>
              </c:strCache>
            </c:strRef>
          </c:tx>
          <c:spPr>
            <a:ln w="28575">
              <a:noFill/>
            </a:ln>
          </c:spPr>
          <c:xVal>
            <c:numRef>
              <c:f>'Airfoil 1'!$F$97:$F$116</c:f>
              <c:numCache>
                <c:formatCode>00,000</c:formatCode>
                <c:ptCount val="20"/>
                <c:pt idx="0">
                  <c:v>-5</c:v>
                </c:pt>
                <c:pt idx="1">
                  <c:v>-3</c:v>
                </c:pt>
                <c:pt idx="2">
                  <c:v>-2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11</c:v>
                </c:pt>
                <c:pt idx="15">
                  <c:v>12</c:v>
                </c:pt>
                <c:pt idx="16">
                  <c:v>13</c:v>
                </c:pt>
                <c:pt idx="17">
                  <c:v>14</c:v>
                </c:pt>
                <c:pt idx="18">
                  <c:v>15</c:v>
                </c:pt>
              </c:numCache>
            </c:numRef>
          </c:xVal>
          <c:yVal>
            <c:numRef>
              <c:f>'Airfoil 1'!$G$97:$G$116</c:f>
              <c:numCache>
                <c:formatCode>00,000</c:formatCode>
                <c:ptCount val="20"/>
                <c:pt idx="0">
                  <c:v>-0.1169</c:v>
                </c:pt>
                <c:pt idx="1">
                  <c:v>0.2223</c:v>
                </c:pt>
                <c:pt idx="2">
                  <c:v>0.36849999999999999</c:v>
                </c:pt>
                <c:pt idx="3">
                  <c:v>0.68610000000000004</c:v>
                </c:pt>
                <c:pt idx="4">
                  <c:v>0.80059999999999998</c:v>
                </c:pt>
                <c:pt idx="5">
                  <c:v>0.90720000000000001</c:v>
                </c:pt>
                <c:pt idx="6">
                  <c:v>1.0085999999999999</c:v>
                </c:pt>
                <c:pt idx="7">
                  <c:v>1.1066</c:v>
                </c:pt>
                <c:pt idx="8">
                  <c:v>1.2022999999999999</c:v>
                </c:pt>
                <c:pt idx="9">
                  <c:v>1.294</c:v>
                </c:pt>
                <c:pt idx="10">
                  <c:v>1.379</c:v>
                </c:pt>
                <c:pt idx="11">
                  <c:v>1.4498</c:v>
                </c:pt>
                <c:pt idx="12">
                  <c:v>1.504</c:v>
                </c:pt>
                <c:pt idx="13">
                  <c:v>1.5535000000000001</c:v>
                </c:pt>
                <c:pt idx="14">
                  <c:v>1.5884</c:v>
                </c:pt>
                <c:pt idx="15">
                  <c:v>1.571</c:v>
                </c:pt>
                <c:pt idx="16">
                  <c:v>1.5604</c:v>
                </c:pt>
                <c:pt idx="17">
                  <c:v>1.5353000000000001</c:v>
                </c:pt>
                <c:pt idx="18">
                  <c:v>1.5259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866560"/>
        <c:axId val="72867136"/>
      </c:scatterChart>
      <c:valAx>
        <c:axId val="7286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alpha, deg</a:t>
                </a:r>
              </a:p>
            </c:rich>
          </c:tx>
          <c:layout>
            <c:manualLayout>
              <c:xMode val="edge"/>
              <c:yMode val="edge"/>
              <c:x val="0.49421587926509192"/>
              <c:y val="0.94239267294385409"/>
            </c:manualLayout>
          </c:layout>
          <c:overlay val="0"/>
          <c:spPr>
            <a:noFill/>
            <a:ln w="25400">
              <a:noFill/>
            </a:ln>
          </c:spPr>
        </c:title>
        <c:numFmt formatCode="#.#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2867136"/>
        <c:crosses val="autoZero"/>
        <c:crossBetween val="midCat"/>
      </c:valAx>
      <c:valAx>
        <c:axId val="72867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Cl</a:t>
                </a:r>
              </a:p>
            </c:rich>
          </c:tx>
          <c:layout>
            <c:manualLayout>
              <c:xMode val="edge"/>
              <c:yMode val="edge"/>
              <c:x val="2.4866305774278216E-2"/>
              <c:y val="0.4522854835453261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7286656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1250065616797893"/>
          <c:y val="0.39860139860139859"/>
          <c:w val="7.9687500000000022E-2"/>
          <c:h val="0.146853146853146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11" r="0.75000000000000011" t="1" header="0.5" footer="0.5"/>
    <c:pageSetup paperSize="9" orientation="landscape" horizontalDpi="-3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68759894378576"/>
          <c:y val="4.3706293706293711E-2"/>
          <c:w val="0.7578130781654957"/>
          <c:h val="0.868881118881118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'Airfoil 1'!$E$19</c:f>
              <c:strCache>
                <c:ptCount val="1"/>
                <c:pt idx="0">
                  <c:v>Re1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'Airfoil 1'!$G$22:$G$41</c:f>
              <c:numCache>
                <c:formatCode>00,000</c:formatCode>
                <c:ptCount val="20"/>
                <c:pt idx="0">
                  <c:v>-0.3493</c:v>
                </c:pt>
                <c:pt idx="1">
                  <c:v>-0.2056</c:v>
                </c:pt>
                <c:pt idx="2">
                  <c:v>0.126</c:v>
                </c:pt>
                <c:pt idx="3">
                  <c:v>0.30909999999999999</c:v>
                </c:pt>
                <c:pt idx="4">
                  <c:v>0.45639999999999997</c:v>
                </c:pt>
                <c:pt idx="5">
                  <c:v>0.6169</c:v>
                </c:pt>
                <c:pt idx="6">
                  <c:v>0.79100000000000004</c:v>
                </c:pt>
                <c:pt idx="7">
                  <c:v>0.94169999999999998</c:v>
                </c:pt>
                <c:pt idx="8">
                  <c:v>1.0692999999999999</c:v>
                </c:pt>
                <c:pt idx="9">
                  <c:v>1.1724000000000001</c:v>
                </c:pt>
                <c:pt idx="10">
                  <c:v>1.2701</c:v>
                </c:pt>
                <c:pt idx="11">
                  <c:v>1.3635999999999999</c:v>
                </c:pt>
                <c:pt idx="12">
                  <c:v>1.4453</c:v>
                </c:pt>
                <c:pt idx="13">
                  <c:v>1.5145999999999999</c:v>
                </c:pt>
                <c:pt idx="14">
                  <c:v>1.5569999999999999</c:v>
                </c:pt>
                <c:pt idx="15">
                  <c:v>1.5578000000000001</c:v>
                </c:pt>
                <c:pt idx="16">
                  <c:v>1.5291999999999999</c:v>
                </c:pt>
                <c:pt idx="17">
                  <c:v>1.4995000000000001</c:v>
                </c:pt>
                <c:pt idx="18">
                  <c:v>1.5085999999999999</c:v>
                </c:pt>
                <c:pt idx="19">
                  <c:v>1.5325</c:v>
                </c:pt>
              </c:numCache>
            </c:numRef>
          </c:xVal>
          <c:yVal>
            <c:numRef>
              <c:f>'Airfoil 1'!$I$22:$I$41</c:f>
              <c:numCache>
                <c:formatCode>00,000</c:formatCode>
                <c:ptCount val="20"/>
                <c:pt idx="0">
                  <c:v>-2.6800000000000001E-2</c:v>
                </c:pt>
                <c:pt idx="1">
                  <c:v>-5.16E-2</c:v>
                </c:pt>
                <c:pt idx="2">
                  <c:v>-0.1137</c:v>
                </c:pt>
                <c:pt idx="3">
                  <c:v>-0.12720000000000001</c:v>
                </c:pt>
                <c:pt idx="4">
                  <c:v>-0.1313</c:v>
                </c:pt>
                <c:pt idx="5">
                  <c:v>-0.13919999999999999</c:v>
                </c:pt>
                <c:pt idx="6">
                  <c:v>-0.1479</c:v>
                </c:pt>
                <c:pt idx="7">
                  <c:v>-0.15260000000000001</c:v>
                </c:pt>
                <c:pt idx="8">
                  <c:v>-0.15340000000000001</c:v>
                </c:pt>
                <c:pt idx="9">
                  <c:v>-0.14979999999999999</c:v>
                </c:pt>
                <c:pt idx="10">
                  <c:v>-0.14530000000000001</c:v>
                </c:pt>
                <c:pt idx="11">
                  <c:v>-0.1401</c:v>
                </c:pt>
                <c:pt idx="12">
                  <c:v>-0.1331</c:v>
                </c:pt>
                <c:pt idx="13">
                  <c:v>-0.12470000000000001</c:v>
                </c:pt>
                <c:pt idx="14">
                  <c:v>-0.11269999999999999</c:v>
                </c:pt>
                <c:pt idx="15">
                  <c:v>-9.6000000000000002E-2</c:v>
                </c:pt>
                <c:pt idx="16">
                  <c:v>-0.08</c:v>
                </c:pt>
                <c:pt idx="17">
                  <c:v>-6.9699999999999998E-2</c:v>
                </c:pt>
                <c:pt idx="18">
                  <c:v>-6.4299999999999996E-2</c:v>
                </c:pt>
                <c:pt idx="19">
                  <c:v>-6.0199999999999997E-2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'Airfoil 1'!$E$44</c:f>
              <c:strCache>
                <c:ptCount val="1"/>
                <c:pt idx="0">
                  <c:v>Re2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'Airfoil 1'!$G$47:$G$66</c:f>
              <c:numCache>
                <c:formatCode>00,000</c:formatCode>
                <c:ptCount val="20"/>
                <c:pt idx="0">
                  <c:v>-0.37709999999999999</c:v>
                </c:pt>
                <c:pt idx="1">
                  <c:v>0.2273</c:v>
                </c:pt>
                <c:pt idx="2">
                  <c:v>0.40160000000000001</c:v>
                </c:pt>
                <c:pt idx="3">
                  <c:v>0.54079999999999995</c:v>
                </c:pt>
                <c:pt idx="4">
                  <c:v>0.71779999999999999</c:v>
                </c:pt>
                <c:pt idx="5">
                  <c:v>0.86950000000000005</c:v>
                </c:pt>
                <c:pt idx="6">
                  <c:v>0.98980000000000001</c:v>
                </c:pt>
                <c:pt idx="7">
                  <c:v>1.0966</c:v>
                </c:pt>
                <c:pt idx="8">
                  <c:v>1.1958</c:v>
                </c:pt>
                <c:pt idx="9">
                  <c:v>1.2896000000000001</c:v>
                </c:pt>
                <c:pt idx="10">
                  <c:v>1.3777999999999999</c:v>
                </c:pt>
                <c:pt idx="11">
                  <c:v>1.4519</c:v>
                </c:pt>
                <c:pt idx="12">
                  <c:v>1.5119</c:v>
                </c:pt>
                <c:pt idx="13">
                  <c:v>1.5370999999999999</c:v>
                </c:pt>
                <c:pt idx="14">
                  <c:v>1.5477000000000001</c:v>
                </c:pt>
                <c:pt idx="15">
                  <c:v>1.5269999999999999</c:v>
                </c:pt>
                <c:pt idx="16">
                  <c:v>1.4888999999999999</c:v>
                </c:pt>
                <c:pt idx="17">
                  <c:v>1.4912000000000001</c:v>
                </c:pt>
                <c:pt idx="18">
                  <c:v>1.5233000000000001</c:v>
                </c:pt>
              </c:numCache>
            </c:numRef>
          </c:xVal>
          <c:yVal>
            <c:numRef>
              <c:f>'Airfoil 1'!$I$47:$I$66</c:f>
              <c:numCache>
                <c:formatCode>00,000</c:formatCode>
                <c:ptCount val="20"/>
                <c:pt idx="0">
                  <c:v>-2.2700000000000001E-2</c:v>
                </c:pt>
                <c:pt idx="1">
                  <c:v>-0.12720000000000001</c:v>
                </c:pt>
                <c:pt idx="2">
                  <c:v>-0.1386</c:v>
                </c:pt>
                <c:pt idx="3">
                  <c:v>-0.1399</c:v>
                </c:pt>
                <c:pt idx="4">
                  <c:v>-0.15029999999999999</c:v>
                </c:pt>
                <c:pt idx="5">
                  <c:v>-0.1565</c:v>
                </c:pt>
                <c:pt idx="6">
                  <c:v>-0.15690000000000001</c:v>
                </c:pt>
                <c:pt idx="7">
                  <c:v>-0.15459999999999999</c:v>
                </c:pt>
                <c:pt idx="8">
                  <c:v>-0.15079999999999999</c:v>
                </c:pt>
                <c:pt idx="9">
                  <c:v>-0.14630000000000001</c:v>
                </c:pt>
                <c:pt idx="10">
                  <c:v>-0.1409</c:v>
                </c:pt>
                <c:pt idx="11">
                  <c:v>-0.13320000000000001</c:v>
                </c:pt>
                <c:pt idx="12">
                  <c:v>-0.1236</c:v>
                </c:pt>
                <c:pt idx="13">
                  <c:v>-0.10920000000000001</c:v>
                </c:pt>
                <c:pt idx="14">
                  <c:v>-9.4899999999999998E-2</c:v>
                </c:pt>
                <c:pt idx="15">
                  <c:v>-8.1299999999999997E-2</c:v>
                </c:pt>
                <c:pt idx="16">
                  <c:v>-7.2999999999999995E-2</c:v>
                </c:pt>
                <c:pt idx="17">
                  <c:v>-6.7799999999999999E-2</c:v>
                </c:pt>
                <c:pt idx="18">
                  <c:v>-6.3200000000000006E-2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'Airfoil 1'!$E$69</c:f>
              <c:strCache>
                <c:ptCount val="1"/>
                <c:pt idx="0">
                  <c:v>Re3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'Airfoil 1'!$G$72:$G$91</c:f>
              <c:numCache>
                <c:formatCode>00,000</c:formatCode>
                <c:ptCount val="20"/>
                <c:pt idx="0">
                  <c:v>0.35060000000000002</c:v>
                </c:pt>
                <c:pt idx="1">
                  <c:v>0.51900000000000002</c:v>
                </c:pt>
                <c:pt idx="2">
                  <c:v>0.67320000000000002</c:v>
                </c:pt>
                <c:pt idx="3">
                  <c:v>0.79759999999999998</c:v>
                </c:pt>
                <c:pt idx="4">
                  <c:v>0.90620000000000001</c:v>
                </c:pt>
                <c:pt idx="5">
                  <c:v>1.0089999999999999</c:v>
                </c:pt>
                <c:pt idx="6">
                  <c:v>1.1076999999999999</c:v>
                </c:pt>
                <c:pt idx="7">
                  <c:v>1.2023999999999999</c:v>
                </c:pt>
                <c:pt idx="8">
                  <c:v>1.2938000000000001</c:v>
                </c:pt>
                <c:pt idx="9">
                  <c:v>1.3778999999999999</c:v>
                </c:pt>
                <c:pt idx="10">
                  <c:v>1.498</c:v>
                </c:pt>
                <c:pt idx="11">
                  <c:v>1.5412999999999999</c:v>
                </c:pt>
                <c:pt idx="12">
                  <c:v>1.5572999999999999</c:v>
                </c:pt>
                <c:pt idx="13">
                  <c:v>1.5364</c:v>
                </c:pt>
                <c:pt idx="14">
                  <c:v>1.5163</c:v>
                </c:pt>
                <c:pt idx="15">
                  <c:v>1.5105</c:v>
                </c:pt>
              </c:numCache>
            </c:numRef>
          </c:xVal>
          <c:yVal>
            <c:numRef>
              <c:f>'Airfoil 1'!$I$72:$I$91</c:f>
              <c:numCache>
                <c:formatCode>00,000</c:formatCode>
                <c:ptCount val="20"/>
                <c:pt idx="0">
                  <c:v>-0.1409</c:v>
                </c:pt>
                <c:pt idx="1">
                  <c:v>-0.15229999999999999</c:v>
                </c:pt>
                <c:pt idx="2">
                  <c:v>-0.15859999999999999</c:v>
                </c:pt>
                <c:pt idx="3">
                  <c:v>-0.16059999999999999</c:v>
                </c:pt>
                <c:pt idx="4">
                  <c:v>-0.15939999999999999</c:v>
                </c:pt>
                <c:pt idx="5">
                  <c:v>-0.15690000000000001</c:v>
                </c:pt>
                <c:pt idx="6">
                  <c:v>-0.15359999999999999</c:v>
                </c:pt>
                <c:pt idx="7">
                  <c:v>-0.14979999999999999</c:v>
                </c:pt>
                <c:pt idx="8">
                  <c:v>-0.14549999999999999</c:v>
                </c:pt>
                <c:pt idx="9">
                  <c:v>-0.14000000000000001</c:v>
                </c:pt>
                <c:pt idx="10">
                  <c:v>-0.1215</c:v>
                </c:pt>
                <c:pt idx="11">
                  <c:v>-0.1108</c:v>
                </c:pt>
                <c:pt idx="12">
                  <c:v>-8.6900000000000005E-2</c:v>
                </c:pt>
                <c:pt idx="13">
                  <c:v>-7.9500000000000001E-2</c:v>
                </c:pt>
                <c:pt idx="14">
                  <c:v>-7.6300000000000007E-2</c:v>
                </c:pt>
                <c:pt idx="15">
                  <c:v>-7.4300000000000005E-2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'Airfoil 1'!$E$94</c:f>
              <c:strCache>
                <c:ptCount val="1"/>
                <c:pt idx="0">
                  <c:v>Re4</c:v>
                </c:pt>
              </c:strCache>
            </c:strRef>
          </c:tx>
          <c:spPr>
            <a:ln w="28575">
              <a:noFill/>
            </a:ln>
          </c:spPr>
          <c:xVal>
            <c:numRef>
              <c:f>'Airfoil 1'!$G$97:$G$116</c:f>
              <c:numCache>
                <c:formatCode>00,000</c:formatCode>
                <c:ptCount val="20"/>
                <c:pt idx="0">
                  <c:v>-0.1169</c:v>
                </c:pt>
                <c:pt idx="1">
                  <c:v>0.2223</c:v>
                </c:pt>
                <c:pt idx="2">
                  <c:v>0.36849999999999999</c:v>
                </c:pt>
                <c:pt idx="3">
                  <c:v>0.68610000000000004</c:v>
                </c:pt>
                <c:pt idx="4">
                  <c:v>0.80059999999999998</c:v>
                </c:pt>
                <c:pt idx="5">
                  <c:v>0.90720000000000001</c:v>
                </c:pt>
                <c:pt idx="6">
                  <c:v>1.0085999999999999</c:v>
                </c:pt>
                <c:pt idx="7">
                  <c:v>1.1066</c:v>
                </c:pt>
                <c:pt idx="8">
                  <c:v>1.2022999999999999</c:v>
                </c:pt>
                <c:pt idx="9">
                  <c:v>1.294</c:v>
                </c:pt>
                <c:pt idx="10">
                  <c:v>1.379</c:v>
                </c:pt>
                <c:pt idx="11">
                  <c:v>1.4498</c:v>
                </c:pt>
                <c:pt idx="12">
                  <c:v>1.504</c:v>
                </c:pt>
                <c:pt idx="13">
                  <c:v>1.5535000000000001</c:v>
                </c:pt>
                <c:pt idx="14">
                  <c:v>1.5884</c:v>
                </c:pt>
                <c:pt idx="15">
                  <c:v>1.571</c:v>
                </c:pt>
                <c:pt idx="16">
                  <c:v>1.5604</c:v>
                </c:pt>
                <c:pt idx="17">
                  <c:v>1.5353000000000001</c:v>
                </c:pt>
                <c:pt idx="18">
                  <c:v>1.5259</c:v>
                </c:pt>
              </c:numCache>
            </c:numRef>
          </c:xVal>
          <c:yVal>
            <c:numRef>
              <c:f>'Airfoil 1'!$I$97:$I$116</c:f>
              <c:numCache>
                <c:formatCode>00,000</c:formatCode>
                <c:ptCount val="20"/>
                <c:pt idx="0">
                  <c:v>-9.6799999999999997E-2</c:v>
                </c:pt>
                <c:pt idx="1">
                  <c:v>-0.13719999999999999</c:v>
                </c:pt>
                <c:pt idx="2">
                  <c:v>-0.14280000000000001</c:v>
                </c:pt>
                <c:pt idx="3">
                  <c:v>-0.16059999999999999</c:v>
                </c:pt>
                <c:pt idx="4">
                  <c:v>-0.16070000000000001</c:v>
                </c:pt>
                <c:pt idx="5">
                  <c:v>-0.15909999999999999</c:v>
                </c:pt>
                <c:pt idx="6">
                  <c:v>-0.15640000000000001</c:v>
                </c:pt>
                <c:pt idx="7">
                  <c:v>-0.1532</c:v>
                </c:pt>
                <c:pt idx="8">
                  <c:v>-0.14960000000000001</c:v>
                </c:pt>
                <c:pt idx="9">
                  <c:v>-0.14549999999999999</c:v>
                </c:pt>
                <c:pt idx="10">
                  <c:v>-0.14030000000000001</c:v>
                </c:pt>
                <c:pt idx="11">
                  <c:v>-0.13270000000000001</c:v>
                </c:pt>
                <c:pt idx="12">
                  <c:v>-0.1229</c:v>
                </c:pt>
                <c:pt idx="13">
                  <c:v>-0.11310000000000001</c:v>
                </c:pt>
                <c:pt idx="14">
                  <c:v>-0.10249999999999999</c:v>
                </c:pt>
                <c:pt idx="15">
                  <c:v>-8.8599999999999998E-2</c:v>
                </c:pt>
                <c:pt idx="16">
                  <c:v>-8.1199999999999994E-2</c:v>
                </c:pt>
                <c:pt idx="17">
                  <c:v>-7.7700000000000005E-2</c:v>
                </c:pt>
                <c:pt idx="18">
                  <c:v>-7.6399999999999996E-2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59680"/>
        <c:axId val="47360256"/>
      </c:scatterChart>
      <c:valAx>
        <c:axId val="4735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Cl</a:t>
                </a:r>
              </a:p>
            </c:rich>
          </c:tx>
          <c:layout>
            <c:manualLayout>
              <c:xMode val="edge"/>
              <c:yMode val="edge"/>
              <c:x val="0.49421587926509192"/>
              <c:y val="0.94239267294385409"/>
            </c:manualLayout>
          </c:layout>
          <c:overlay val="0"/>
          <c:spPr>
            <a:noFill/>
            <a:ln w="25400">
              <a:noFill/>
            </a:ln>
          </c:spPr>
        </c:title>
        <c:numFmt formatCode="#.#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47360256"/>
        <c:crosses val="autoZero"/>
        <c:crossBetween val="midCat"/>
      </c:valAx>
      <c:valAx>
        <c:axId val="47360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Cm</a:t>
                </a:r>
              </a:p>
            </c:rich>
          </c:tx>
          <c:layout>
            <c:manualLayout>
              <c:xMode val="edge"/>
              <c:yMode val="edge"/>
              <c:x val="2.4866305774278216E-2"/>
              <c:y val="0.4522854835453261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473596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2343815616797897"/>
          <c:y val="0.40034965034965042"/>
          <c:w val="5.5210425213214759E-2"/>
          <c:h val="0.13378385362974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11" r="0.75000000000000011" t="1" header="0.5" footer="0.5"/>
    <c:pageSetup paperSize="9" orientation="landscape" horizontalDpi="-3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/>
              <a:t>Variação do Clmax com o Re</a:t>
            </a:r>
          </a:p>
        </c:rich>
      </c:tx>
      <c:layout>
        <c:manualLayout>
          <c:xMode val="edge"/>
          <c:yMode val="edge"/>
          <c:x val="0.30446030183727046"/>
          <c:y val="3.54191215608538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707821590174531"/>
          <c:y val="0.2408500590318772"/>
          <c:w val="0.77181641887524244"/>
          <c:h val="0.5064935064935065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wer"/>
            <c:dispRSqr val="0"/>
            <c:dispEq val="1"/>
            <c:trendlineLbl>
              <c:layout>
                <c:manualLayout>
                  <c:x val="0.1059895819280679"/>
                  <c:y val="0.60071478401295353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</c:trendlineLbl>
          </c:trendline>
          <c:xVal>
            <c:numRef>
              <c:f>'Airfoil 2'!$B$7:$B$10</c:f>
              <c:numCache>
                <c:formatCode>General</c:formatCode>
                <c:ptCount val="4"/>
                <c:pt idx="0">
                  <c:v>75000</c:v>
                </c:pt>
                <c:pt idx="1">
                  <c:v>100000</c:v>
                </c:pt>
                <c:pt idx="2">
                  <c:v>200000</c:v>
                </c:pt>
                <c:pt idx="3">
                  <c:v>250000</c:v>
                </c:pt>
              </c:numCache>
            </c:numRef>
          </c:xVal>
          <c:yVal>
            <c:numRef>
              <c:f>'Airfoil 2'!$C$7:$C$10</c:f>
              <c:numCache>
                <c:formatCode>0,000</c:formatCode>
                <c:ptCount val="4"/>
                <c:pt idx="0">
                  <c:v>1.5578000000000001</c:v>
                </c:pt>
                <c:pt idx="1">
                  <c:v>1.5477000000000001</c:v>
                </c:pt>
                <c:pt idx="2">
                  <c:v>1.5572999999999999</c:v>
                </c:pt>
                <c:pt idx="3">
                  <c:v>1.5884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62560"/>
        <c:axId val="47363136"/>
      </c:scatterChart>
      <c:valAx>
        <c:axId val="473625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Re</a:t>
                </a:r>
              </a:p>
            </c:rich>
          </c:tx>
          <c:layout>
            <c:manualLayout>
              <c:xMode val="edge"/>
              <c:yMode val="edge"/>
              <c:x val="0.5235939550524934"/>
              <c:y val="0.864226639502230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47363136"/>
        <c:crosses val="autoZero"/>
        <c:crossBetween val="midCat"/>
      </c:valAx>
      <c:valAx>
        <c:axId val="47363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Clmax</a:t>
                </a:r>
              </a:p>
            </c:rich>
          </c:tx>
          <c:layout>
            <c:manualLayout>
              <c:xMode val="edge"/>
              <c:yMode val="edge"/>
              <c:x val="3.1027723097112866E-2"/>
              <c:y val="0.4108617366885083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4736256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11" r="0.75000000000000011" t="1" header="0" footer="0"/>
    <c:pageSetup paperSize="9" orientation="landscape" horizontalDpi="300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/>
              <a:t>Variação do a0 com o Re</a:t>
            </a:r>
          </a:p>
        </c:rich>
      </c:tx>
      <c:layout>
        <c:manualLayout>
          <c:xMode val="edge"/>
          <c:yMode val="edge"/>
          <c:x val="0.32967027559055129"/>
          <c:y val="3.57003437950537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319974143503559"/>
          <c:y val="0.24276174959151564"/>
          <c:w val="0.77569489334195241"/>
          <c:h val="0.5105136792880400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wer"/>
            <c:dispRSqr val="0"/>
            <c:dispEq val="1"/>
            <c:trendlineLbl>
              <c:layout>
                <c:manualLayout>
                  <c:x val="7.6478001868177992E-2"/>
                  <c:y val="0.53411961004874398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</c:trendlineLbl>
          </c:trendline>
          <c:xVal>
            <c:numRef>
              <c:f>'Airfoil 2'!$B$7:$B$10</c:f>
              <c:numCache>
                <c:formatCode>General</c:formatCode>
                <c:ptCount val="4"/>
                <c:pt idx="0">
                  <c:v>75000</c:v>
                </c:pt>
                <c:pt idx="1">
                  <c:v>100000</c:v>
                </c:pt>
                <c:pt idx="2">
                  <c:v>200000</c:v>
                </c:pt>
                <c:pt idx="3">
                  <c:v>250000</c:v>
                </c:pt>
              </c:numCache>
            </c:numRef>
          </c:xVal>
          <c:yVal>
            <c:numRef>
              <c:f>'Airfoil 2'!$D$7:$D$10</c:f>
              <c:numCache>
                <c:formatCode>0,000</c:formatCode>
                <c:ptCount val="4"/>
                <c:pt idx="0">
                  <c:v>8.4726133954970493</c:v>
                </c:pt>
                <c:pt idx="1">
                  <c:v>7.706691600077523</c:v>
                </c:pt>
                <c:pt idx="2">
                  <c:v>5.8787516058262215</c:v>
                </c:pt>
                <c:pt idx="3">
                  <c:v>5.783804314061685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64864"/>
        <c:axId val="47365440"/>
      </c:scatterChart>
      <c:valAx>
        <c:axId val="473648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Re</a:t>
                </a:r>
              </a:p>
            </c:rich>
          </c:tx>
          <c:layout>
            <c:manualLayout>
              <c:xMode val="edge"/>
              <c:yMode val="edge"/>
              <c:x val="0.5235939550524934"/>
              <c:y val="0.867516173154411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47365440"/>
        <c:crosses val="autoZero"/>
        <c:crossBetween val="midCat"/>
      </c:valAx>
      <c:valAx>
        <c:axId val="47365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a0</a:t>
                </a:r>
              </a:p>
            </c:rich>
          </c:tx>
          <c:layout>
            <c:manualLayout>
              <c:xMode val="edge"/>
              <c:yMode val="edge"/>
              <c:x val="3.1027723097112866E-2"/>
              <c:y val="0.46410336031939675"/>
            </c:manualLayout>
          </c:layout>
          <c:overlay val="0"/>
          <c:spPr>
            <a:noFill/>
            <a:ln w="25400">
              <a:noFill/>
            </a:ln>
          </c:spPr>
        </c:title>
        <c:numFmt formatCode="0,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473648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/>
              <a:t>Variação do a0 com o Re</a:t>
            </a:r>
          </a:p>
        </c:rich>
      </c:tx>
      <c:layout>
        <c:manualLayout>
          <c:xMode val="edge"/>
          <c:yMode val="edge"/>
          <c:x val="0.32967027559055129"/>
          <c:y val="3.57003437950537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77440206851968"/>
          <c:y val="0.24731182795698925"/>
          <c:w val="0.76212023270846818"/>
          <c:h val="0.5053763440860213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wer"/>
            <c:dispRSqr val="0"/>
            <c:dispEq val="1"/>
            <c:trendlineLbl>
              <c:layout>
                <c:manualLayout>
                  <c:x val="0.10046829120926926"/>
                  <c:y val="0.23638287880093239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</c:trendlineLbl>
          </c:trendline>
          <c:xVal>
            <c:numRef>
              <c:f>'Airfoil 2'!$B$7:$B$10</c:f>
              <c:numCache>
                <c:formatCode>General</c:formatCode>
                <c:ptCount val="4"/>
                <c:pt idx="0">
                  <c:v>75000</c:v>
                </c:pt>
                <c:pt idx="1">
                  <c:v>100000</c:v>
                </c:pt>
                <c:pt idx="2">
                  <c:v>200000</c:v>
                </c:pt>
                <c:pt idx="3">
                  <c:v>250000</c:v>
                </c:pt>
              </c:numCache>
            </c:numRef>
          </c:xVal>
          <c:yVal>
            <c:numRef>
              <c:f>'Airfoil 2'!$G$7:$G$10</c:f>
              <c:numCache>
                <c:formatCode>0,000</c:formatCode>
                <c:ptCount val="4"/>
                <c:pt idx="0">
                  <c:v>3.1480573107104268</c:v>
                </c:pt>
                <c:pt idx="1">
                  <c:v>4.1105462555516175</c:v>
                </c:pt>
                <c:pt idx="2">
                  <c:v>6.7077321688022273</c:v>
                </c:pt>
                <c:pt idx="3">
                  <c:v>6.9008747125694345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575296"/>
        <c:axId val="141575872"/>
      </c:scatterChart>
      <c:valAx>
        <c:axId val="1415752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Re</a:t>
                </a:r>
              </a:p>
            </c:rich>
          </c:tx>
          <c:layout>
            <c:manualLayout>
              <c:xMode val="edge"/>
              <c:yMode val="edge"/>
              <c:x val="0.5235939550524934"/>
              <c:y val="0.867516173154411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1575872"/>
        <c:crosses val="autoZero"/>
        <c:crossBetween val="midCat"/>
      </c:valAx>
      <c:valAx>
        <c:axId val="141575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a0</a:t>
                </a:r>
              </a:p>
            </c:rich>
          </c:tx>
          <c:layout>
            <c:manualLayout>
              <c:xMode val="edge"/>
              <c:yMode val="edge"/>
              <c:x val="3.1027723097112866E-2"/>
              <c:y val="0.46410336031939675"/>
            </c:manualLayout>
          </c:layout>
          <c:overlay val="0"/>
          <c:spPr>
            <a:noFill/>
            <a:ln w="25400">
              <a:noFill/>
            </a:ln>
          </c:spPr>
        </c:title>
        <c:numFmt formatCode="0,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157529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0"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15875</xdr:colOff>
      <xdr:row>2</xdr:row>
      <xdr:rowOff>154517</xdr:rowOff>
    </xdr:from>
    <xdr:to>
      <xdr:col>23</xdr:col>
      <xdr:colOff>601133</xdr:colOff>
      <xdr:row>39</xdr:row>
      <xdr:rowOff>144992</xdr:rowOff>
    </xdr:to>
    <xdr:graphicFrame macro="">
      <xdr:nvGraphicFramePr>
        <xdr:cNvPr id="67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28575</xdr:colOff>
      <xdr:row>56</xdr:row>
      <xdr:rowOff>0</xdr:rowOff>
    </xdr:from>
    <xdr:to>
      <xdr:col>21</xdr:col>
      <xdr:colOff>9525</xdr:colOff>
      <xdr:row>83</xdr:row>
      <xdr:rowOff>9525</xdr:rowOff>
    </xdr:to>
    <xdr:graphicFrame macro="">
      <xdr:nvGraphicFramePr>
        <xdr:cNvPr id="67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</xdr:col>
      <xdr:colOff>0</xdr:colOff>
      <xdr:row>21</xdr:row>
      <xdr:rowOff>0</xdr:rowOff>
    </xdr:to>
    <xdr:graphicFrame macro="">
      <xdr:nvGraphicFramePr>
        <xdr:cNvPr id="377973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3</xdr:col>
      <xdr:colOff>0</xdr:colOff>
      <xdr:row>34</xdr:row>
      <xdr:rowOff>0</xdr:rowOff>
    </xdr:to>
    <xdr:graphicFrame macro="">
      <xdr:nvGraphicFramePr>
        <xdr:cNvPr id="377973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3</xdr:col>
      <xdr:colOff>0</xdr:colOff>
      <xdr:row>47</xdr:row>
      <xdr:rowOff>9525</xdr:rowOff>
    </xdr:to>
    <xdr:graphicFrame macro="">
      <xdr:nvGraphicFramePr>
        <xdr:cNvPr id="377973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66675</xdr:colOff>
      <xdr:row>4</xdr:row>
      <xdr:rowOff>19050</xdr:rowOff>
    </xdr:from>
    <xdr:to>
      <xdr:col>46</xdr:col>
      <xdr:colOff>428625</xdr:colOff>
      <xdr:row>21</xdr:row>
      <xdr:rowOff>76200</xdr:rowOff>
    </xdr:to>
    <xdr:graphicFrame macro="">
      <xdr:nvGraphicFramePr>
        <xdr:cNvPr id="3779737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1205" cy="6070023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41</xdr:row>
      <xdr:rowOff>141195</xdr:rowOff>
    </xdr:from>
    <xdr:to>
      <xdr:col>25</xdr:col>
      <xdr:colOff>0</xdr:colOff>
      <xdr:row>79</xdr:row>
      <xdr:rowOff>145677</xdr:rowOff>
    </xdr:to>
    <xdr:graphicFrame macro="">
      <xdr:nvGraphicFramePr>
        <xdr:cNvPr id="960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11206</xdr:colOff>
      <xdr:row>6</xdr:row>
      <xdr:rowOff>0</xdr:rowOff>
    </xdr:from>
    <xdr:to>
      <xdr:col>25</xdr:col>
      <xdr:colOff>11206</xdr:colOff>
      <xdr:row>39</xdr:row>
      <xdr:rowOff>85725</xdr:rowOff>
    </xdr:to>
    <xdr:graphicFrame macro="">
      <xdr:nvGraphicFramePr>
        <xdr:cNvPr id="96051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-1</xdr:colOff>
      <xdr:row>82</xdr:row>
      <xdr:rowOff>11206</xdr:rowOff>
    </xdr:from>
    <xdr:to>
      <xdr:col>24</xdr:col>
      <xdr:colOff>605117</xdr:colOff>
      <xdr:row>115</xdr:row>
      <xdr:rowOff>115982</xdr:rowOff>
    </xdr:to>
    <xdr:graphicFrame macro="">
      <xdr:nvGraphicFramePr>
        <xdr:cNvPr id="96052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542925</xdr:colOff>
      <xdr:row>1</xdr:row>
      <xdr:rowOff>123825</xdr:rowOff>
    </xdr:from>
    <xdr:to>
      <xdr:col>20</xdr:col>
      <xdr:colOff>542925</xdr:colOff>
      <xdr:row>17</xdr:row>
      <xdr:rowOff>123825</xdr:rowOff>
    </xdr:to>
    <xdr:graphicFrame macro="">
      <xdr:nvGraphicFramePr>
        <xdr:cNvPr id="41646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533400</xdr:colOff>
      <xdr:row>18</xdr:row>
      <xdr:rowOff>123825</xdr:rowOff>
    </xdr:from>
    <xdr:to>
      <xdr:col>20</xdr:col>
      <xdr:colOff>533400</xdr:colOff>
      <xdr:row>34</xdr:row>
      <xdr:rowOff>123825</xdr:rowOff>
    </xdr:to>
    <xdr:graphicFrame macro="">
      <xdr:nvGraphicFramePr>
        <xdr:cNvPr id="416468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533400</xdr:colOff>
      <xdr:row>35</xdr:row>
      <xdr:rowOff>133350</xdr:rowOff>
    </xdr:from>
    <xdr:to>
      <xdr:col>20</xdr:col>
      <xdr:colOff>533400</xdr:colOff>
      <xdr:row>51</xdr:row>
      <xdr:rowOff>171450</xdr:rowOff>
    </xdr:to>
    <xdr:graphicFrame macro="">
      <xdr:nvGraphicFramePr>
        <xdr:cNvPr id="4164690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533400</xdr:colOff>
      <xdr:row>52</xdr:row>
      <xdr:rowOff>133350</xdr:rowOff>
    </xdr:from>
    <xdr:to>
      <xdr:col>20</xdr:col>
      <xdr:colOff>533400</xdr:colOff>
      <xdr:row>69</xdr:row>
      <xdr:rowOff>9525</xdr:rowOff>
    </xdr:to>
    <xdr:graphicFrame macro="">
      <xdr:nvGraphicFramePr>
        <xdr:cNvPr id="416469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0</xdr:colOff>
      <xdr:row>41</xdr:row>
      <xdr:rowOff>0</xdr:rowOff>
    </xdr:from>
    <xdr:to>
      <xdr:col>33</xdr:col>
      <xdr:colOff>0</xdr:colOff>
      <xdr:row>60</xdr:row>
      <xdr:rowOff>152400</xdr:rowOff>
    </xdr:to>
    <xdr:graphicFrame macro="">
      <xdr:nvGraphicFramePr>
        <xdr:cNvPr id="59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0</xdr:colOff>
      <xdr:row>41</xdr:row>
      <xdr:rowOff>0</xdr:rowOff>
    </xdr:from>
    <xdr:to>
      <xdr:col>41</xdr:col>
      <xdr:colOff>0</xdr:colOff>
      <xdr:row>61</xdr:row>
      <xdr:rowOff>0</xdr:rowOff>
    </xdr:to>
    <xdr:graphicFrame macro="">
      <xdr:nvGraphicFramePr>
        <xdr:cNvPr id="599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0</xdr:colOff>
      <xdr:row>41</xdr:row>
      <xdr:rowOff>0</xdr:rowOff>
    </xdr:from>
    <xdr:to>
      <xdr:col>49</xdr:col>
      <xdr:colOff>0</xdr:colOff>
      <xdr:row>61</xdr:row>
      <xdr:rowOff>0</xdr:rowOff>
    </xdr:to>
    <xdr:graphicFrame macro="">
      <xdr:nvGraphicFramePr>
        <xdr:cNvPr id="599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0</xdr:colOff>
      <xdr:row>20</xdr:row>
      <xdr:rowOff>0</xdr:rowOff>
    </xdr:from>
    <xdr:to>
      <xdr:col>51</xdr:col>
      <xdr:colOff>0</xdr:colOff>
      <xdr:row>53</xdr:row>
      <xdr:rowOff>0</xdr:rowOff>
    </xdr:to>
    <xdr:graphicFrame macro="">
      <xdr:nvGraphicFramePr>
        <xdr:cNvPr id="13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381000</xdr:colOff>
      <xdr:row>40</xdr:row>
      <xdr:rowOff>0</xdr:rowOff>
    </xdr:from>
    <xdr:to>
      <xdr:col>54</xdr:col>
      <xdr:colOff>0</xdr:colOff>
      <xdr:row>57</xdr:row>
      <xdr:rowOff>152400</xdr:rowOff>
    </xdr:to>
    <xdr:graphicFrame macro="">
      <xdr:nvGraphicFramePr>
        <xdr:cNvPr id="1951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20</xdr:row>
      <xdr:rowOff>0</xdr:rowOff>
    </xdr:from>
    <xdr:to>
      <xdr:col>16</xdr:col>
      <xdr:colOff>0</xdr:colOff>
      <xdr:row>46</xdr:row>
      <xdr:rowOff>0</xdr:rowOff>
    </xdr:to>
    <xdr:graphicFrame macro="">
      <xdr:nvGraphicFramePr>
        <xdr:cNvPr id="950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352425</xdr:colOff>
      <xdr:row>19</xdr:row>
      <xdr:rowOff>152400</xdr:rowOff>
    </xdr:from>
    <xdr:to>
      <xdr:col>19</xdr:col>
      <xdr:colOff>9525</xdr:colOff>
      <xdr:row>46</xdr:row>
      <xdr:rowOff>133350</xdr:rowOff>
    </xdr:to>
    <xdr:graphicFrame macro="">
      <xdr:nvGraphicFramePr>
        <xdr:cNvPr id="67220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20</xdr:row>
      <xdr:rowOff>0</xdr:rowOff>
    </xdr:from>
    <xdr:to>
      <xdr:col>29</xdr:col>
      <xdr:colOff>76200</xdr:colOff>
      <xdr:row>46</xdr:row>
      <xdr:rowOff>152400</xdr:rowOff>
    </xdr:to>
    <xdr:graphicFrame macro="">
      <xdr:nvGraphicFramePr>
        <xdr:cNvPr id="67220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VG\AppData\Local\Microsoft\Windows\Temporary%20Internet%20Files\Content.IE5\WRZFVFSS\UBI\Projectos\AFA\AircraftDesignWorkshopUBI\Estudos%20Param&#233;tr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áveis"/>
      <sheetName val="Tecplot"/>
      <sheetName val="Aerodinâmica"/>
      <sheetName val="Perfil"/>
      <sheetName val="Peso"/>
      <sheetName val="Estabilidade"/>
      <sheetName val="Propulsão"/>
      <sheetName val="Desempenho"/>
      <sheetName val="PropulsãoCombustão"/>
      <sheetName val="PropulsãoEléctrica"/>
      <sheetName val="ISA"/>
    </sheetNames>
    <sheetDataSet>
      <sheetData sheetId="0">
        <row r="7">
          <cell r="J7">
            <v>1</v>
          </cell>
        </row>
        <row r="42">
          <cell r="Z42">
            <v>0.23684210526315785</v>
          </cell>
          <cell r="AA42">
            <v>2.2999999999999998</v>
          </cell>
          <cell r="AB42">
            <v>58.530453312507191</v>
          </cell>
          <cell r="AC42">
            <v>46.465651944599728</v>
          </cell>
          <cell r="AD42">
            <v>46.465651944599728</v>
          </cell>
          <cell r="AE42">
            <v>2.8609095252073939</v>
          </cell>
          <cell r="AF42">
            <v>16.241566374326823</v>
          </cell>
          <cell r="AG42">
            <v>15.013701799966048</v>
          </cell>
          <cell r="AH42">
            <v>42.95284248814626</v>
          </cell>
          <cell r="AI42">
            <v>58.530453312507191</v>
          </cell>
          <cell r="AJ42">
            <v>0.30499999999999999</v>
          </cell>
          <cell r="AK42">
            <v>0.65</v>
          </cell>
          <cell r="AL42">
            <v>10.51318772041658</v>
          </cell>
        </row>
        <row r="43">
          <cell r="E43">
            <v>0</v>
          </cell>
          <cell r="L43">
            <v>0</v>
          </cell>
          <cell r="Z43">
            <v>0.28421052631578952</v>
          </cell>
          <cell r="AA43">
            <v>2.2999999999999998</v>
          </cell>
          <cell r="AB43">
            <v>68.893662792911698</v>
          </cell>
          <cell r="AC43">
            <v>53.901619000787278</v>
          </cell>
          <cell r="AD43">
            <v>53.901619000787285</v>
          </cell>
          <cell r="AE43">
            <v>3.3827243501061681</v>
          </cell>
          <cell r="AF43">
            <v>15.934381114764957</v>
          </cell>
          <cell r="AG43">
            <v>14.762420710829904</v>
          </cell>
          <cell r="AH43">
            <v>49.937200005035926</v>
          </cell>
          <cell r="AI43">
            <v>68.893662792911698</v>
          </cell>
          <cell r="AJ43">
            <v>0.30499999999999999</v>
          </cell>
          <cell r="AK43">
            <v>0.65</v>
          </cell>
          <cell r="AL43">
            <v>10.336623159932323</v>
          </cell>
        </row>
        <row r="44">
          <cell r="Z44">
            <v>0.26052631578947366</v>
          </cell>
          <cell r="AA44">
            <v>2.2999999999999998</v>
          </cell>
          <cell r="AB44">
            <v>62.800289301461454</v>
          </cell>
          <cell r="AC44">
            <v>49.845522884087714</v>
          </cell>
          <cell r="AD44">
            <v>49.845522884087707</v>
          </cell>
          <cell r="AE44">
            <v>3.0897396695763524</v>
          </cell>
          <cell r="AF44">
            <v>16.132596339717594</v>
          </cell>
          <cell r="AG44">
            <v>14.8269122756329</v>
          </cell>
          <cell r="AH44">
            <v>45.81129903535156</v>
          </cell>
          <cell r="AI44">
            <v>62.800289301461454</v>
          </cell>
          <cell r="AJ44">
            <v>0.30499999999999999</v>
          </cell>
          <cell r="AK44">
            <v>0.65</v>
          </cell>
          <cell r="AL44">
            <v>10.382098313563871</v>
          </cell>
        </row>
        <row r="45">
          <cell r="E45">
            <v>2</v>
          </cell>
        </row>
        <row r="46">
          <cell r="E46">
            <v>2.1111111111111112</v>
          </cell>
        </row>
        <row r="47">
          <cell r="E47">
            <v>2.2222222222222223</v>
          </cell>
        </row>
        <row r="48">
          <cell r="E48">
            <v>2.3333333333333335</v>
          </cell>
        </row>
        <row r="49">
          <cell r="E49">
            <v>2.4444444444444446</v>
          </cell>
        </row>
        <row r="50">
          <cell r="E50">
            <v>2.5555555555555558</v>
          </cell>
        </row>
        <row r="51">
          <cell r="E51">
            <v>2.666666666666667</v>
          </cell>
        </row>
        <row r="52">
          <cell r="E52">
            <v>2.7777777777777781</v>
          </cell>
        </row>
        <row r="53">
          <cell r="E53">
            <v>2.8888888888888893</v>
          </cell>
        </row>
        <row r="54">
          <cell r="E54">
            <v>3</v>
          </cell>
        </row>
      </sheetData>
      <sheetData sheetId="1" refreshError="1"/>
      <sheetData sheetId="2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Q89"/>
  <sheetViews>
    <sheetView zoomScale="110" zoomScaleNormal="110" workbookViewId="0">
      <selection activeCell="D29" sqref="D29"/>
    </sheetView>
  </sheetViews>
  <sheetFormatPr defaultRowHeight="12.75"/>
  <cols>
    <col min="32" max="32" width="3.7109375" customWidth="1"/>
    <col min="34" max="34" width="3.7109375" customWidth="1"/>
    <col min="36" max="36" width="3.7109375" customWidth="1"/>
    <col min="38" max="38" width="3.7109375" customWidth="1"/>
  </cols>
  <sheetData>
    <row r="1" spans="1:39">
      <c r="A1" s="17" t="s">
        <v>265</v>
      </c>
    </row>
    <row r="2" spans="1:39">
      <c r="Y2" s="6"/>
      <c r="Z2" s="6"/>
      <c r="AA2" s="6"/>
      <c r="AB2" s="6"/>
      <c r="AC2" s="6"/>
    </row>
    <row r="3" spans="1:39">
      <c r="B3" t="s">
        <v>159</v>
      </c>
      <c r="D3" s="8">
        <v>1</v>
      </c>
      <c r="E3" t="s">
        <v>160</v>
      </c>
      <c r="H3" t="s">
        <v>194</v>
      </c>
      <c r="I3" t="s">
        <v>153</v>
      </c>
      <c r="J3" s="8">
        <v>2</v>
      </c>
      <c r="K3" t="s">
        <v>154</v>
      </c>
      <c r="Y3" s="6"/>
      <c r="Z3" s="6"/>
      <c r="AA3" s="6"/>
      <c r="AB3" s="6"/>
      <c r="AC3" s="6"/>
    </row>
    <row r="4" spans="1:39">
      <c r="A4" s="17"/>
      <c r="E4" t="s">
        <v>161</v>
      </c>
      <c r="K4" t="s">
        <v>155</v>
      </c>
      <c r="P4" s="50"/>
      <c r="Y4" s="6"/>
      <c r="Z4" s="6"/>
      <c r="AA4" s="6"/>
      <c r="AB4" s="6"/>
      <c r="AC4" s="6"/>
    </row>
    <row r="5" spans="1:39">
      <c r="A5" s="17"/>
      <c r="K5" t="s">
        <v>156</v>
      </c>
      <c r="Y5" s="6"/>
      <c r="Z5" s="6"/>
      <c r="AA5" s="20"/>
      <c r="AB5" s="6"/>
      <c r="AC5" s="6"/>
    </row>
    <row r="6" spans="1:39">
      <c r="A6" s="17"/>
      <c r="B6" t="s">
        <v>152</v>
      </c>
      <c r="D6" s="8">
        <v>4</v>
      </c>
      <c r="E6" s="46" t="s">
        <v>620</v>
      </c>
      <c r="Y6" s="6"/>
      <c r="Z6" s="6"/>
      <c r="AA6" s="20"/>
      <c r="AB6" s="6"/>
      <c r="AC6" s="6"/>
    </row>
    <row r="7" spans="1:39">
      <c r="A7" s="17"/>
      <c r="C7" s="6"/>
      <c r="D7" s="6"/>
      <c r="E7" s="58" t="s">
        <v>619</v>
      </c>
      <c r="H7" t="s">
        <v>195</v>
      </c>
      <c r="I7" t="s">
        <v>153</v>
      </c>
      <c r="J7" s="8">
        <v>1</v>
      </c>
      <c r="K7" t="s">
        <v>196</v>
      </c>
      <c r="Y7" s="6"/>
      <c r="Z7" s="6"/>
      <c r="AA7" s="20"/>
      <c r="AB7" s="6"/>
      <c r="AC7" s="6"/>
    </row>
    <row r="8" spans="1:39">
      <c r="A8" s="17"/>
      <c r="C8" s="23"/>
      <c r="D8" s="20"/>
      <c r="E8" s="58" t="s">
        <v>618</v>
      </c>
      <c r="K8" t="s">
        <v>197</v>
      </c>
      <c r="Y8" s="6"/>
      <c r="Z8" s="6"/>
      <c r="AA8" s="20"/>
      <c r="AB8" s="6"/>
      <c r="AC8" s="6"/>
    </row>
    <row r="9" spans="1:39">
      <c r="A9" s="17"/>
      <c r="E9" s="58" t="s">
        <v>617</v>
      </c>
      <c r="Y9" s="6"/>
      <c r="Z9" s="6"/>
      <c r="AA9" s="6"/>
      <c r="AB9" s="6"/>
      <c r="AC9" s="6"/>
    </row>
    <row r="12" spans="1:39">
      <c r="B12" t="s">
        <v>279</v>
      </c>
      <c r="H12" t="s">
        <v>278</v>
      </c>
      <c r="K12" s="46" t="s">
        <v>268</v>
      </c>
      <c r="M12" t="s">
        <v>277</v>
      </c>
    </row>
    <row r="13" spans="1:39">
      <c r="B13" t="s">
        <v>367</v>
      </c>
      <c r="D13" t="s">
        <v>44</v>
      </c>
      <c r="F13" t="s">
        <v>46</v>
      </c>
    </row>
    <row r="15" spans="1:39">
      <c r="B15" s="9" t="s">
        <v>37</v>
      </c>
      <c r="C15" s="9" t="s">
        <v>38</v>
      </c>
      <c r="D15" s="9" t="s">
        <v>49</v>
      </c>
      <c r="E15" s="9" t="s">
        <v>69</v>
      </c>
      <c r="F15" s="9" t="s">
        <v>95</v>
      </c>
      <c r="G15" s="9"/>
      <c r="H15" s="9" t="s">
        <v>52</v>
      </c>
      <c r="I15" s="9" t="s">
        <v>182</v>
      </c>
      <c r="J15" s="9" t="s">
        <v>495</v>
      </c>
      <c r="K15" s="9" t="s">
        <v>57</v>
      </c>
      <c r="M15" s="9" t="s">
        <v>139</v>
      </c>
      <c r="N15" s="47" t="s">
        <v>322</v>
      </c>
      <c r="P15" s="47" t="s">
        <v>432</v>
      </c>
      <c r="AE15" s="46" t="s">
        <v>261</v>
      </c>
      <c r="AG15" s="46" t="s">
        <v>293</v>
      </c>
      <c r="AI15" s="46" t="s">
        <v>320</v>
      </c>
      <c r="AK15" s="46" t="s">
        <v>264</v>
      </c>
      <c r="AM15" s="46" t="s">
        <v>323</v>
      </c>
    </row>
    <row r="16" spans="1:39">
      <c r="B16" s="9" t="s">
        <v>4</v>
      </c>
      <c r="C16" s="9" t="s">
        <v>4</v>
      </c>
      <c r="E16" s="9"/>
      <c r="G16" s="9"/>
      <c r="I16" s="9"/>
      <c r="J16" s="9" t="s">
        <v>303</v>
      </c>
      <c r="K16" s="9" t="s">
        <v>4</v>
      </c>
      <c r="N16" s="47" t="s">
        <v>35</v>
      </c>
      <c r="P16" s="9" t="s">
        <v>35</v>
      </c>
    </row>
    <row r="18" spans="1:43">
      <c r="A18" t="s">
        <v>157</v>
      </c>
      <c r="B18" s="16">
        <f>IF(OR(B43=1,B43=2,B43=3,B43=4,B43=5,B43=6,B43=7,B43=8,B43=9,B43=10),INDEX(B45:B54,B43,0),B54)</f>
        <v>0.33333333333333326</v>
      </c>
      <c r="C18" s="12">
        <v>1.5</v>
      </c>
      <c r="D18" s="12">
        <f>MAX(0.5*C18,(1.8+0.25*B18))/B18</f>
        <v>5.6500000000000012</v>
      </c>
      <c r="E18" s="12">
        <f>MIN(6,0.5*C18/B18)</f>
        <v>2.2500000000000004</v>
      </c>
      <c r="F18" s="12">
        <f>MAX(0.55*C18,(1.9+0.25*B18))/B18</f>
        <v>5.9500000000000011</v>
      </c>
      <c r="H18" s="12">
        <v>0.9</v>
      </c>
      <c r="I18" s="12">
        <f>0.85*0+1.38*0+1</f>
        <v>1</v>
      </c>
      <c r="J18" s="12">
        <f>(DEGREES(ASIN((40-20)/350))+DEGREES(ASIN((220-185)/215)))*0+6</f>
        <v>6</v>
      </c>
      <c r="K18" s="88">
        <v>0.30499999999999999</v>
      </c>
      <c r="M18" s="12">
        <v>0.3</v>
      </c>
      <c r="W18" s="34"/>
      <c r="X18" s="34"/>
      <c r="Z18" s="37" t="str">
        <f>IF($J$3=1,B15,IF($J$3=2,C15,IF($J$3=3,H15,B15)))</f>
        <v>ba</v>
      </c>
      <c r="AA18" s="37" t="s">
        <v>38</v>
      </c>
      <c r="AB18" s="68" t="s">
        <v>322</v>
      </c>
      <c r="AC18" s="37" t="s">
        <v>34</v>
      </c>
      <c r="AD18" s="37"/>
      <c r="AE18" s="9" t="s">
        <v>276</v>
      </c>
      <c r="AF18" s="23"/>
      <c r="AG18" s="47" t="s">
        <v>293</v>
      </c>
      <c r="AH18" s="23"/>
      <c r="AI18" s="9" t="s">
        <v>110</v>
      </c>
      <c r="AJ18" s="23"/>
      <c r="AK18" s="47" t="str">
        <f>Endurance!AR18</f>
        <v>Endurance</v>
      </c>
      <c r="AN18" s="37"/>
      <c r="AO18" s="37"/>
      <c r="AP18" s="37"/>
      <c r="AQ18" s="9" t="s">
        <v>433</v>
      </c>
    </row>
    <row r="19" spans="1:43">
      <c r="A19" t="s">
        <v>158</v>
      </c>
      <c r="B19" s="16">
        <f>B18</f>
        <v>0.33333333333333326</v>
      </c>
      <c r="C19" s="12">
        <v>3</v>
      </c>
      <c r="D19" s="12">
        <f>MAX(0.5*C19,(1.8+0.25*B19))/B19</f>
        <v>5.6500000000000012</v>
      </c>
      <c r="E19" s="12">
        <f>MIN(6,0.5*C19/B19)</f>
        <v>4.5000000000000009</v>
      </c>
      <c r="F19" s="12">
        <f>MAX(0.55*C19,(1.9+0.25*B19))/B19</f>
        <v>5.9500000000000011</v>
      </c>
      <c r="H19" s="12">
        <f>H18</f>
        <v>0.9</v>
      </c>
      <c r="I19" s="12">
        <f>0.91*0+1.38*0+1</f>
        <v>1</v>
      </c>
      <c r="J19" s="12">
        <f>J18</f>
        <v>6</v>
      </c>
      <c r="K19" s="88">
        <f>K18</f>
        <v>0.30499999999999999</v>
      </c>
      <c r="M19" s="12">
        <f>M18</f>
        <v>0.3</v>
      </c>
      <c r="W19" s="34"/>
      <c r="X19" s="34"/>
      <c r="Z19" s="37" t="str">
        <f>IF($J$3=1,B16,IF($J$3=2,C16,IF($J$3=3,H16,B16)))</f>
        <v>m</v>
      </c>
      <c r="AA19" s="55" t="s">
        <v>4</v>
      </c>
      <c r="AB19" s="68" t="s">
        <v>35</v>
      </c>
      <c r="AC19" s="37" t="s">
        <v>35</v>
      </c>
      <c r="AD19" s="37"/>
      <c r="AE19" s="9" t="s">
        <v>4</v>
      </c>
      <c r="AF19" s="6"/>
      <c r="AG19" s="47" t="s">
        <v>1</v>
      </c>
      <c r="AH19" s="6"/>
      <c r="AI19" s="9"/>
      <c r="AJ19" s="6"/>
      <c r="AK19" s="47" t="str">
        <f>Endurance!AR19</f>
        <v>h</v>
      </c>
      <c r="AN19" s="47"/>
      <c r="AO19" s="47"/>
      <c r="AP19" s="47"/>
      <c r="AQ19" s="9" t="s">
        <v>35</v>
      </c>
    </row>
    <row r="20" spans="1:43">
      <c r="E20" s="6"/>
      <c r="K20" s="80"/>
      <c r="W20" s="13"/>
      <c r="X20" s="13"/>
      <c r="Z20" s="37"/>
      <c r="AF20" s="6"/>
      <c r="AH20" s="6"/>
      <c r="AJ20" s="6"/>
      <c r="AK20" s="6"/>
    </row>
    <row r="21" spans="1:43">
      <c r="B21" s="16">
        <f>B18</f>
        <v>0.33333333333333326</v>
      </c>
      <c r="C21" s="16">
        <f>C18</f>
        <v>1.5</v>
      </c>
      <c r="D21" s="16">
        <f>D18</f>
        <v>5.6500000000000012</v>
      </c>
      <c r="E21" s="16">
        <f>E18</f>
        <v>2.2500000000000004</v>
      </c>
      <c r="F21" s="16">
        <f>F18</f>
        <v>5.9500000000000011</v>
      </c>
      <c r="G21" s="20"/>
      <c r="H21" s="16">
        <f>IF(D3=1,H18,IF(AND(D3=2,H43=1),H45,IF(AND(D3=2,H43=2),H46,IF(AND(D3=2,H43=3),H47,IF(AND(D3=2,H43=4),H48,IF(AND(D3=2,H43=5),H49,H18))))))</f>
        <v>0.9</v>
      </c>
      <c r="I21" s="16">
        <f>(1.78*(1-0.045*(C21/B21)^0.68)-0.64*0.5)*I18</f>
        <v>1.2372503524946326</v>
      </c>
      <c r="J21" s="16">
        <f>J18</f>
        <v>6</v>
      </c>
      <c r="K21" s="88">
        <f>IF(D3=1,K18,IF(AND(D3=2,K43=1),K45,IF(AND(D3=2,K43=2),K46,IF(AND(D3=2,K43=3),K47,IF(AND(D3=2,K43=4),K48,IF(AND(D3=2,K43=5),K49,K18))))))</f>
        <v>0.30499999999999999</v>
      </c>
      <c r="L21" s="13"/>
      <c r="M21" s="16">
        <f>M18</f>
        <v>0.3</v>
      </c>
      <c r="N21" s="30">
        <f ca="1">IF(ISERROR(AQ21),0,IF(Endurance!$B$10=1,AQ21,Weight!H21))</f>
        <v>10</v>
      </c>
      <c r="O21" s="73" t="str">
        <f t="shared" ref="O21:O40" ca="1" si="0">AN21</f>
        <v>reduce payload weight</v>
      </c>
      <c r="P21" s="13">
        <f ca="1">Weight!U21</f>
        <v>12.936304787762779</v>
      </c>
      <c r="W21" s="13"/>
      <c r="X21" s="13"/>
      <c r="Z21" s="91">
        <f>IF($J$3=1,B21,IF($J$3=2,C21,IF($J$3=3,H21,B21)))</f>
        <v>1.5</v>
      </c>
      <c r="AA21" s="36">
        <f t="shared" ref="AA21:AA40" si="1">C21</f>
        <v>1.5</v>
      </c>
      <c r="AB21" s="38">
        <f t="shared" ref="AB21:AB40" ca="1" si="2">N21</f>
        <v>10</v>
      </c>
      <c r="AC21" s="86">
        <f ca="1">Weight!W21</f>
        <v>129.60277124897891</v>
      </c>
      <c r="AD21" s="36"/>
      <c r="AE21" s="14">
        <f ca="1">Takeoff!Z21</f>
        <v>66.669791158627689</v>
      </c>
      <c r="AF21" s="57" t="str">
        <f ca="1">Takeoff!AB21</f>
        <v>OK</v>
      </c>
      <c r="AG21" s="13">
        <f ca="1">'RC'!AB21</f>
        <v>-0.91822257241245897</v>
      </c>
      <c r="AH21" s="57" t="str">
        <f ca="1">'RC'!AD21</f>
        <v>reduce payload weight</v>
      </c>
      <c r="AI21" s="13">
        <f ca="1">Turn!AB21</f>
        <v>1</v>
      </c>
      <c r="AJ21" s="57" t="str">
        <f ca="1">Turn!AD21</f>
        <v>reduce payload weight</v>
      </c>
      <c r="AK21" s="19">
        <f>Endurance!AR21</f>
        <v>2</v>
      </c>
      <c r="AL21" s="69" t="str">
        <f>Endurance!AT21</f>
        <v>reduce payload weight or increase battery capacity</v>
      </c>
      <c r="AM21" s="1">
        <f ca="1">MIN(Takeoff!AA21,'RC'!AC21,Turn!AC21,Endurance!AS21)</f>
        <v>-2.8364451448249177</v>
      </c>
      <c r="AN21" s="73" t="str">
        <f ca="1">IF(AM21&lt;0,"reduce payload weight","OK")</f>
        <v>reduce payload weight</v>
      </c>
      <c r="AO21" s="1"/>
      <c r="AP21" s="1"/>
      <c r="AQ21" s="49">
        <f ca="1">MAX(0.001,N21+0.005*((AM21+0.999)/1-1)*MAX(1,N21))</f>
        <v>9.8581277427587537</v>
      </c>
    </row>
    <row r="22" spans="1:43">
      <c r="B22" s="16">
        <f>B21+($B$40-$B$21)/19</f>
        <v>0.33333333333333326</v>
      </c>
      <c r="C22" s="16">
        <f t="shared" ref="C22:C39" si="3">C21+(C$40-C$21)/19</f>
        <v>1.5789473684210527</v>
      </c>
      <c r="D22" s="16">
        <f>MAX(0.5*C22,(1.8+0.25*B22))/B22</f>
        <v>5.6500000000000012</v>
      </c>
      <c r="E22" s="16">
        <f>MIN(6,0.5*C22/B22)</f>
        <v>2.3684210526315796</v>
      </c>
      <c r="F22" s="16">
        <f>MAX(0.55*C22,(1.9+0.25*B22))/B22</f>
        <v>5.9500000000000011</v>
      </c>
      <c r="G22" s="20"/>
      <c r="H22" s="16">
        <f t="shared" ref="H22:H39" si="4">H21+(H$40-H$21)/19</f>
        <v>0.9</v>
      </c>
      <c r="I22" s="16">
        <f>(1.78*(1-0.045*(C22/B22)^0.68)-0.64*0.5)*($I$18+($I$19-$I$18)/19*1)</f>
        <v>1.2293438844505524</v>
      </c>
      <c r="J22" s="16">
        <f>J21+(J$40-J$21)/19</f>
        <v>6</v>
      </c>
      <c r="K22" s="88">
        <f t="shared" ref="K22:K39" si="5">K21+(K$40-K$21)/19</f>
        <v>0.30499999999999999</v>
      </c>
      <c r="L22" s="13"/>
      <c r="M22" s="16">
        <f t="shared" ref="M22:M39" si="6">M21+(M$40-M$21)/19</f>
        <v>0.3</v>
      </c>
      <c r="N22" s="30">
        <f ca="1">IF(ISERROR(AQ22),0,IF(Endurance!$B$10=1,AQ22,Weight!H22))</f>
        <v>10</v>
      </c>
      <c r="O22" s="73" t="str">
        <f t="shared" ca="1" si="0"/>
        <v>reduce payload weight</v>
      </c>
      <c r="P22" s="13">
        <f ca="1">Weight!U22</f>
        <v>13.331749770175321</v>
      </c>
      <c r="W22" s="13"/>
      <c r="X22" s="13"/>
      <c r="Z22" s="91">
        <f t="shared" ref="Z22:Z40" si="7">IF($J$3=1,B22,IF($J$3=2,C22,IF($J$3=3,H22,B22)))</f>
        <v>1.5789473684210527</v>
      </c>
      <c r="AA22" s="36">
        <f t="shared" si="1"/>
        <v>1.5789473684210527</v>
      </c>
      <c r="AB22" s="38">
        <f t="shared" ca="1" si="2"/>
        <v>10</v>
      </c>
      <c r="AC22" s="86">
        <f ca="1">Weight!W22</f>
        <v>131.99424477474008</v>
      </c>
      <c r="AD22" s="36"/>
      <c r="AE22" s="14">
        <f ca="1">Takeoff!Z22</f>
        <v>65.428027728328871</v>
      </c>
      <c r="AF22" s="57" t="str">
        <f ca="1">Takeoff!AB22</f>
        <v>OK</v>
      </c>
      <c r="AG22" s="13">
        <f ca="1">'RC'!AB22</f>
        <v>-0.79560854312041063</v>
      </c>
      <c r="AH22" s="57" t="str">
        <f ca="1">'RC'!AD22</f>
        <v>reduce payload weight</v>
      </c>
      <c r="AI22" s="13">
        <f ca="1">Turn!AB22</f>
        <v>1</v>
      </c>
      <c r="AJ22" s="57" t="str">
        <f ca="1">Turn!AD22</f>
        <v>reduce payload weight</v>
      </c>
      <c r="AK22" s="19">
        <f>Endurance!AR22</f>
        <v>2</v>
      </c>
      <c r="AL22" s="69" t="str">
        <f>Endurance!AT22</f>
        <v>reduce payload weight or increase battery capacity</v>
      </c>
      <c r="AM22" s="1">
        <f ca="1">MIN(Takeoff!AA22,'RC'!AC22,Turn!AC22,Endurance!AS22)</f>
        <v>-2.591217086240821</v>
      </c>
      <c r="AN22" s="73" t="str">
        <f t="shared" ref="AN22:AN40" ca="1" si="8">IF(AM22&lt;0,"reduce payload weight","OK")</f>
        <v>reduce payload weight</v>
      </c>
      <c r="AO22" s="1"/>
      <c r="AP22" s="1"/>
      <c r="AQ22" s="49">
        <f t="shared" ref="AQ22:AQ40" ca="1" si="9">MAX(0.001,N22+0.005*((AM22+0.999)/1-1)*MAX(1,N22))</f>
        <v>9.8703891456879589</v>
      </c>
    </row>
    <row r="23" spans="1:43">
      <c r="B23" s="16">
        <f t="shared" ref="B23:B39" si="10">B22+($B$40-$B$21)/19</f>
        <v>0.33333333333333326</v>
      </c>
      <c r="C23" s="16">
        <f t="shared" si="3"/>
        <v>1.6578947368421053</v>
      </c>
      <c r="D23" s="16">
        <f t="shared" ref="D23:D39" si="11">MAX(0.5*C23,(1.8+0.25*B23))/B23</f>
        <v>5.6500000000000012</v>
      </c>
      <c r="E23" s="16">
        <f t="shared" ref="E23:E39" si="12">MIN(6,0.5*C23/B23)</f>
        <v>2.4868421052631584</v>
      </c>
      <c r="F23" s="16">
        <f t="shared" ref="F23:F39" si="13">MAX(0.55*C23,(1.9+0.25*B23))/B23</f>
        <v>5.9500000000000011</v>
      </c>
      <c r="G23" s="20"/>
      <c r="H23" s="16">
        <f t="shared" si="4"/>
        <v>0.9</v>
      </c>
      <c r="I23" s="16">
        <f>(1.78*(1-0.045*(C23/B23)^0.68)-0.64*0.5)*($I$18+($I$19-$I$18)/19*2)</f>
        <v>1.2215629734834355</v>
      </c>
      <c r="J23" s="16">
        <f t="shared" ref="J23:J39" si="14">J22+(J$40-J$21)/19</f>
        <v>6</v>
      </c>
      <c r="K23" s="88">
        <f t="shared" si="5"/>
        <v>0.30499999999999999</v>
      </c>
      <c r="L23" s="13"/>
      <c r="M23" s="16">
        <f t="shared" si="6"/>
        <v>0.3</v>
      </c>
      <c r="N23" s="30">
        <f ca="1">IF(ISERROR(AQ23),0,IF(Endurance!$B$10=1,AQ23,Weight!H23))</f>
        <v>10</v>
      </c>
      <c r="O23" s="73" t="str">
        <f t="shared" ca="1" si="0"/>
        <v>reduce payload weight</v>
      </c>
      <c r="P23" s="13">
        <f ca="1">Weight!U23</f>
        <v>13.728526792350607</v>
      </c>
      <c r="W23" s="13"/>
      <c r="X23" s="13"/>
      <c r="Z23" s="91">
        <f t="shared" si="7"/>
        <v>1.6578947368421053</v>
      </c>
      <c r="AA23" s="36">
        <f t="shared" si="1"/>
        <v>1.6578947368421053</v>
      </c>
      <c r="AB23" s="38">
        <f t="shared" ca="1" si="2"/>
        <v>10</v>
      </c>
      <c r="AC23" s="86">
        <f ca="1">Weight!W23</f>
        <v>134.24051129311465</v>
      </c>
      <c r="AD23" s="36"/>
      <c r="AE23" s="14">
        <f ca="1">Takeoff!Z23</f>
        <v>64.203200853005939</v>
      </c>
      <c r="AF23" s="57" t="str">
        <f ca="1">Takeoff!AB23</f>
        <v>OK</v>
      </c>
      <c r="AG23" s="13">
        <f ca="1">'RC'!AB23</f>
        <v>-0.68724720013575802</v>
      </c>
      <c r="AH23" s="57" t="str">
        <f ca="1">'RC'!AD23</f>
        <v>reduce payload weight</v>
      </c>
      <c r="AI23" s="13">
        <f ca="1">Turn!AB23</f>
        <v>1</v>
      </c>
      <c r="AJ23" s="57" t="str">
        <f ca="1">Turn!AD23</f>
        <v>reduce payload weight</v>
      </c>
      <c r="AK23" s="19">
        <f>Endurance!AR23</f>
        <v>2</v>
      </c>
      <c r="AL23" s="69" t="str">
        <f>Endurance!AT23</f>
        <v>reduce payload weight or increase battery capacity</v>
      </c>
      <c r="AM23" s="1">
        <f ca="1">MIN(Takeoff!AA23,'RC'!AC23,Turn!AC23,Endurance!AS23)</f>
        <v>-2.3744944002715158</v>
      </c>
      <c r="AN23" s="73" t="str">
        <f t="shared" ca="1" si="8"/>
        <v>reduce payload weight</v>
      </c>
      <c r="AO23" s="1"/>
      <c r="AP23" s="1"/>
      <c r="AQ23" s="49">
        <f t="shared" ca="1" si="9"/>
        <v>9.881225279986424</v>
      </c>
    </row>
    <row r="24" spans="1:43">
      <c r="B24" s="16">
        <f t="shared" si="10"/>
        <v>0.33333333333333326</v>
      </c>
      <c r="C24" s="16">
        <f t="shared" si="3"/>
        <v>1.736842105263158</v>
      </c>
      <c r="D24" s="16">
        <f t="shared" si="11"/>
        <v>5.6500000000000012</v>
      </c>
      <c r="E24" s="16">
        <f t="shared" si="12"/>
        <v>2.6052631578947376</v>
      </c>
      <c r="F24" s="16">
        <f t="shared" si="13"/>
        <v>5.9500000000000011</v>
      </c>
      <c r="G24" s="20"/>
      <c r="H24" s="16">
        <f t="shared" si="4"/>
        <v>0.9</v>
      </c>
      <c r="I24" s="16">
        <f>(1.78*(1-0.045*(C24/B24)^0.68)-0.64*0.5)*($I$18+($I$19-$I$18)/19*3)</f>
        <v>1.2138997812328405</v>
      </c>
      <c r="J24" s="16">
        <f t="shared" si="14"/>
        <v>6</v>
      </c>
      <c r="K24" s="88">
        <f t="shared" si="5"/>
        <v>0.30499999999999999</v>
      </c>
      <c r="L24" s="13"/>
      <c r="M24" s="16">
        <f t="shared" si="6"/>
        <v>0.3</v>
      </c>
      <c r="N24" s="30">
        <f ca="1">IF(ISERROR(AQ24),0,IF(Endurance!$B$10=1,AQ24,Weight!H24))</f>
        <v>10</v>
      </c>
      <c r="O24" s="73" t="str">
        <f t="shared" ca="1" si="0"/>
        <v>reduce payload weight</v>
      </c>
      <c r="P24" s="13">
        <f ca="1">Weight!U24</f>
        <v>13.606633496805074</v>
      </c>
      <c r="W24" s="13"/>
      <c r="X24" s="13"/>
      <c r="Z24" s="91">
        <f t="shared" si="7"/>
        <v>1.736842105263158</v>
      </c>
      <c r="AA24" s="36">
        <f t="shared" si="1"/>
        <v>1.736842105263158</v>
      </c>
      <c r="AB24" s="38">
        <f t="shared" ca="1" si="2"/>
        <v>10</v>
      </c>
      <c r="AC24" s="86">
        <f ca="1">Weight!W24</f>
        <v>126.40792205792529</v>
      </c>
      <c r="AD24" s="36"/>
      <c r="AE24" s="14">
        <f ca="1">Takeoff!Z24</f>
        <v>53.603023634118628</v>
      </c>
      <c r="AF24" s="57" t="str">
        <f ca="1">Takeoff!AB24</f>
        <v>OK</v>
      </c>
      <c r="AG24" s="13">
        <f ca="1">'RC'!AB24</f>
        <v>-0.36087950029032018</v>
      </c>
      <c r="AH24" s="57" t="str">
        <f ca="1">'RC'!AD24</f>
        <v>reduce payload weight</v>
      </c>
      <c r="AI24" s="13">
        <f ca="1">Turn!AB24</f>
        <v>1</v>
      </c>
      <c r="AJ24" s="57" t="str">
        <f ca="1">Turn!AD24</f>
        <v>reduce payload weight</v>
      </c>
      <c r="AK24" s="19">
        <f>Endurance!AR24</f>
        <v>2</v>
      </c>
      <c r="AL24" s="69" t="str">
        <f>Endurance!AT24</f>
        <v>reduce payload weight or increase battery capacity</v>
      </c>
      <c r="AM24" s="1">
        <f ca="1">MIN(Takeoff!AA24,'RC'!AC24,Turn!AC24,Endurance!AS24)</f>
        <v>-1.7217590005806405</v>
      </c>
      <c r="AN24" s="73" t="str">
        <f t="shared" ca="1" si="8"/>
        <v>reduce payload weight</v>
      </c>
      <c r="AO24" s="1"/>
      <c r="AP24" s="1"/>
      <c r="AQ24" s="49">
        <f t="shared" ca="1" si="9"/>
        <v>9.9138620499709678</v>
      </c>
    </row>
    <row r="25" spans="1:43">
      <c r="B25" s="16">
        <f t="shared" si="10"/>
        <v>0.33333333333333326</v>
      </c>
      <c r="C25" s="16">
        <f t="shared" si="3"/>
        <v>1.8157894736842106</v>
      </c>
      <c r="D25" s="16">
        <f t="shared" si="11"/>
        <v>5.6500000000000012</v>
      </c>
      <c r="E25" s="16">
        <f t="shared" si="12"/>
        <v>2.7236842105263164</v>
      </c>
      <c r="F25" s="16">
        <f t="shared" si="13"/>
        <v>5.9500000000000011</v>
      </c>
      <c r="G25" s="20"/>
      <c r="H25" s="16">
        <f t="shared" si="4"/>
        <v>0.9</v>
      </c>
      <c r="I25" s="16">
        <f>(1.78*(1-0.045*(C25/B25)^0.68)-0.64*0.5)*($I$18+($I$19-$I$18)/19*4)</f>
        <v>1.2063472907833321</v>
      </c>
      <c r="J25" s="16">
        <f t="shared" si="14"/>
        <v>6</v>
      </c>
      <c r="K25" s="88">
        <f t="shared" si="5"/>
        <v>0.30499999999999999</v>
      </c>
      <c r="L25" s="13"/>
      <c r="M25" s="16">
        <f t="shared" si="6"/>
        <v>0.3</v>
      </c>
      <c r="N25" s="30">
        <f ca="1">IF(ISERROR(AQ25),0,IF(Endurance!$B$10=1,AQ25,Weight!H25))</f>
        <v>10</v>
      </c>
      <c r="O25" s="73" t="str">
        <f t="shared" ca="1" si="0"/>
        <v>reduce payload weight</v>
      </c>
      <c r="P25" s="13">
        <f ca="1">Weight!U25</f>
        <v>13.991561787663755</v>
      </c>
      <c r="W25" s="13"/>
      <c r="X25" s="13"/>
      <c r="Z25" s="91">
        <f t="shared" si="7"/>
        <v>1.8157894736842106</v>
      </c>
      <c r="AA25" s="36">
        <f t="shared" si="1"/>
        <v>1.8157894736842106</v>
      </c>
      <c r="AB25" s="38">
        <f t="shared" ca="1" si="2"/>
        <v>10</v>
      </c>
      <c r="AC25" s="86">
        <f ca="1">Weight!W25</f>
        <v>128.23739388388455</v>
      </c>
      <c r="AD25" s="36"/>
      <c r="AE25" s="14">
        <f ca="1">Takeoff!Z25</f>
        <v>52.594847793505416</v>
      </c>
      <c r="AF25" s="57" t="str">
        <f ca="1">Takeoff!AB25</f>
        <v>OK</v>
      </c>
      <c r="AG25" s="13">
        <f ca="1">'RC'!AB25</f>
        <v>-0.28320341168335328</v>
      </c>
      <c r="AH25" s="57" t="str">
        <f ca="1">'RC'!AD25</f>
        <v>reduce payload weight</v>
      </c>
      <c r="AI25" s="13">
        <f ca="1">Turn!AB25</f>
        <v>1</v>
      </c>
      <c r="AJ25" s="57" t="str">
        <f ca="1">Turn!AD25</f>
        <v>reduce payload weight</v>
      </c>
      <c r="AK25" s="19">
        <f>Endurance!AR25</f>
        <v>2</v>
      </c>
      <c r="AL25" s="69" t="str">
        <f>Endurance!AT25</f>
        <v>reduce payload weight or increase battery capacity</v>
      </c>
      <c r="AM25" s="1">
        <f ca="1">MIN(Takeoff!AA25,'RC'!AC25,Turn!AC25,Endurance!AS25)</f>
        <v>-1.5664068233667066</v>
      </c>
      <c r="AN25" s="73" t="str">
        <f t="shared" ca="1" si="8"/>
        <v>reduce payload weight</v>
      </c>
      <c r="AO25" s="1"/>
      <c r="AP25" s="1"/>
      <c r="AQ25" s="49">
        <f t="shared" ca="1" si="9"/>
        <v>9.9216296588316641</v>
      </c>
    </row>
    <row r="26" spans="1:43">
      <c r="B26" s="16">
        <f t="shared" si="10"/>
        <v>0.33333333333333326</v>
      </c>
      <c r="C26" s="16">
        <f t="shared" si="3"/>
        <v>1.8947368421052633</v>
      </c>
      <c r="D26" s="16">
        <f t="shared" si="11"/>
        <v>5.6500000000000012</v>
      </c>
      <c r="E26" s="16">
        <f t="shared" si="12"/>
        <v>2.8421052631578956</v>
      </c>
      <c r="F26" s="16">
        <f t="shared" si="13"/>
        <v>5.9500000000000011</v>
      </c>
      <c r="G26" s="20"/>
      <c r="H26" s="16">
        <f t="shared" si="4"/>
        <v>0.9</v>
      </c>
      <c r="I26" s="16">
        <f>(1.78*(1-0.045*(C26/B26)^0.68)-0.64*0.5)*($I$18+($I$19-$I$18)/19*5)</f>
        <v>1.1988991887661258</v>
      </c>
      <c r="J26" s="16">
        <f t="shared" si="14"/>
        <v>6</v>
      </c>
      <c r="K26" s="88">
        <f t="shared" si="5"/>
        <v>0.30499999999999999</v>
      </c>
      <c r="L26" s="13"/>
      <c r="M26" s="16">
        <f t="shared" si="6"/>
        <v>0.3</v>
      </c>
      <c r="N26" s="30">
        <f ca="1">IF(ISERROR(AQ26),0,IF(Endurance!$B$10=1,AQ26,Weight!H26))</f>
        <v>10</v>
      </c>
      <c r="O26" s="73" t="str">
        <f t="shared" ca="1" si="0"/>
        <v>reduce payload weight</v>
      </c>
      <c r="P26" s="13">
        <f ca="1">Weight!U26</f>
        <v>14.378844052331161</v>
      </c>
      <c r="W26" s="13"/>
      <c r="X26" s="13"/>
      <c r="Z26" s="91">
        <f t="shared" si="7"/>
        <v>1.8947368421052633</v>
      </c>
      <c r="AA26" s="36">
        <f t="shared" si="1"/>
        <v>1.8947368421052633</v>
      </c>
      <c r="AB26" s="38">
        <f t="shared" ca="1" si="2"/>
        <v>10</v>
      </c>
      <c r="AC26" s="86">
        <f ca="1">Weight!W26</f>
        <v>129.96953292057736</v>
      </c>
      <c r="AD26" s="36"/>
      <c r="AE26" s="14">
        <f ca="1">Takeoff!Z26</f>
        <v>51.613857590643704</v>
      </c>
      <c r="AF26" s="57" t="str">
        <f ca="1">Takeoff!AB26</f>
        <v>OK</v>
      </c>
      <c r="AG26" s="13">
        <f ca="1">'RC'!AB26</f>
        <v>-0.21382804521524715</v>
      </c>
      <c r="AH26" s="57" t="str">
        <f ca="1">'RC'!AD26</f>
        <v>reduce payload weight</v>
      </c>
      <c r="AI26" s="13">
        <f ca="1">Turn!AB26</f>
        <v>1</v>
      </c>
      <c r="AJ26" s="57" t="str">
        <f ca="1">Turn!AD26</f>
        <v>reduce payload weight</v>
      </c>
      <c r="AK26" s="19">
        <f>Endurance!AR26</f>
        <v>2</v>
      </c>
      <c r="AL26" s="69" t="str">
        <f>Endurance!AT26</f>
        <v>reduce payload weight or increase battery capacity</v>
      </c>
      <c r="AM26" s="1">
        <f ca="1">MIN(Takeoff!AA26,'RC'!AC26,Turn!AC26,Endurance!AS26)</f>
        <v>-1.4276560904304942</v>
      </c>
      <c r="AN26" s="73" t="str">
        <f t="shared" ca="1" si="8"/>
        <v>reduce payload weight</v>
      </c>
      <c r="AO26" s="1"/>
      <c r="AP26" s="1"/>
      <c r="AQ26" s="49">
        <f t="shared" ca="1" si="9"/>
        <v>9.9285671954784753</v>
      </c>
    </row>
    <row r="27" spans="1:43">
      <c r="B27" s="16">
        <f t="shared" si="10"/>
        <v>0.33333333333333326</v>
      </c>
      <c r="C27" s="16">
        <f t="shared" si="3"/>
        <v>1.9736842105263159</v>
      </c>
      <c r="D27" s="16">
        <f t="shared" si="11"/>
        <v>5.6500000000000012</v>
      </c>
      <c r="E27" s="16">
        <f t="shared" si="12"/>
        <v>2.9605263157894743</v>
      </c>
      <c r="F27" s="16">
        <f t="shared" si="13"/>
        <v>5.9500000000000011</v>
      </c>
      <c r="G27" s="20"/>
      <c r="H27" s="16">
        <f t="shared" si="4"/>
        <v>0.9</v>
      </c>
      <c r="I27" s="16">
        <f>(1.78*(1-0.045*(C27/B27)^0.68)-0.64*0.5)*($I$18+($I$19-$I$18)/19*6)</f>
        <v>1.1915497685716252</v>
      </c>
      <c r="J27" s="16">
        <f t="shared" si="14"/>
        <v>6</v>
      </c>
      <c r="K27" s="88">
        <f t="shared" si="5"/>
        <v>0.30499999999999999</v>
      </c>
      <c r="L27" s="13"/>
      <c r="M27" s="16">
        <f t="shared" si="6"/>
        <v>0.3</v>
      </c>
      <c r="N27" s="30">
        <f ca="1">IF(ISERROR(AQ27),0,IF(Endurance!$B$10=1,AQ27,Weight!H27))</f>
        <v>10</v>
      </c>
      <c r="O27" s="73" t="str">
        <f t="shared" ca="1" si="0"/>
        <v>reduce payload weight</v>
      </c>
      <c r="P27" s="13">
        <f ca="1">Weight!U27</f>
        <v>14.768727993481406</v>
      </c>
      <c r="W27" s="13"/>
      <c r="X27" s="13"/>
      <c r="Z27" s="91">
        <f t="shared" si="7"/>
        <v>1.9736842105263159</v>
      </c>
      <c r="AA27" s="36">
        <f t="shared" si="1"/>
        <v>1.9736842105263159</v>
      </c>
      <c r="AB27" s="38">
        <f t="shared" ca="1" si="2"/>
        <v>10</v>
      </c>
      <c r="AC27" s="86">
        <f ca="1">Weight!W27</f>
        <v>131.61371211431475</v>
      </c>
      <c r="AD27" s="36"/>
      <c r="AE27" s="14">
        <f ca="1">Takeoff!Z27</f>
        <v>50.661628579273106</v>
      </c>
      <c r="AF27" s="57" t="str">
        <f ca="1">Takeoff!AB27</f>
        <v>OK</v>
      </c>
      <c r="AG27" s="13">
        <f ca="1">'RC'!AB27</f>
        <v>-0.15165289692785114</v>
      </c>
      <c r="AH27" s="57" t="str">
        <f ca="1">'RC'!AD27</f>
        <v>reduce payload weight</v>
      </c>
      <c r="AI27" s="13">
        <f ca="1">Turn!AB27</f>
        <v>1</v>
      </c>
      <c r="AJ27" s="57" t="str">
        <f ca="1">Turn!AD27</f>
        <v>reduce payload weight</v>
      </c>
      <c r="AK27" s="19">
        <f>Endurance!AR27</f>
        <v>2</v>
      </c>
      <c r="AL27" s="69" t="str">
        <f>Endurance!AT27</f>
        <v>reduce payload weight or increase battery capacity</v>
      </c>
      <c r="AM27" s="1">
        <f ca="1">MIN(Takeoff!AA27,'RC'!AC27,Turn!AC27,Endurance!AS27)</f>
        <v>-1.3033057938557022</v>
      </c>
      <c r="AN27" s="73" t="str">
        <f t="shared" ca="1" si="8"/>
        <v>reduce payload weight</v>
      </c>
      <c r="AO27" s="1"/>
      <c r="AP27" s="1"/>
      <c r="AQ27" s="49">
        <f t="shared" ca="1" si="9"/>
        <v>9.9347847103072144</v>
      </c>
    </row>
    <row r="28" spans="1:43">
      <c r="B28" s="16">
        <f t="shared" si="10"/>
        <v>0.33333333333333326</v>
      </c>
      <c r="C28" s="16">
        <f t="shared" si="3"/>
        <v>2.0526315789473686</v>
      </c>
      <c r="D28" s="16">
        <f t="shared" si="11"/>
        <v>5.6500000000000012</v>
      </c>
      <c r="E28" s="16">
        <f t="shared" si="12"/>
        <v>3.0789473684210535</v>
      </c>
      <c r="F28" s="16">
        <f t="shared" si="13"/>
        <v>5.9500000000000011</v>
      </c>
      <c r="G28" s="20"/>
      <c r="H28" s="16">
        <f t="shared" si="4"/>
        <v>0.9</v>
      </c>
      <c r="I28" s="16">
        <f>(1.78*(1-0.045*(C28/B28)^0.68)-0.64*0.5)*($I$18+($I$19-$I$18)/19*7)</f>
        <v>1.1842938502019895</v>
      </c>
      <c r="J28" s="16">
        <f t="shared" si="14"/>
        <v>6</v>
      </c>
      <c r="K28" s="88">
        <f t="shared" si="5"/>
        <v>0.30499999999999999</v>
      </c>
      <c r="L28" s="13"/>
      <c r="M28" s="16">
        <f t="shared" si="6"/>
        <v>0.3</v>
      </c>
      <c r="N28" s="30">
        <f ca="1">IF(ISERROR(AQ28),0,IF(Endurance!$B$10=1,AQ28,Weight!H28))</f>
        <v>10</v>
      </c>
      <c r="O28" s="73" t="str">
        <f t="shared" ca="1" si="0"/>
        <v>reduce payload weight</v>
      </c>
      <c r="P28" s="13">
        <f ca="1">Weight!U28</f>
        <v>15.124613703568272</v>
      </c>
      <c r="W28" s="13"/>
      <c r="X28" s="13"/>
      <c r="Z28" s="91">
        <f t="shared" si="7"/>
        <v>2.0526315789473686</v>
      </c>
      <c r="AA28" s="36">
        <f t="shared" si="1"/>
        <v>2.0526315789473686</v>
      </c>
      <c r="AB28" s="38">
        <f t="shared" ca="1" si="2"/>
        <v>10</v>
      </c>
      <c r="AC28" s="86">
        <f ca="1">Weight!W28</f>
        <v>132.52501256805863</v>
      </c>
      <c r="AD28" s="36"/>
      <c r="AE28" s="14">
        <f ca="1">Takeoff!Z28</f>
        <v>49.223752657821706</v>
      </c>
      <c r="AF28" s="57" t="str">
        <f ca="1">Takeoff!AB28</f>
        <v>OK</v>
      </c>
      <c r="AG28" s="13">
        <f ca="1">'RC'!AB28</f>
        <v>-8.2682102809063185E-2</v>
      </c>
      <c r="AH28" s="57" t="str">
        <f ca="1">'RC'!AD28</f>
        <v>reduce payload weight</v>
      </c>
      <c r="AI28" s="13">
        <f ca="1">Turn!AB28</f>
        <v>1</v>
      </c>
      <c r="AJ28" s="57" t="str">
        <f ca="1">Turn!AD28</f>
        <v>reduce payload weight</v>
      </c>
      <c r="AK28" s="19">
        <f>Endurance!AR28</f>
        <v>2</v>
      </c>
      <c r="AL28" s="69" t="str">
        <f>Endurance!AT28</f>
        <v>reduce payload weight or increase battery capacity</v>
      </c>
      <c r="AM28" s="1">
        <f ca="1">MIN(Takeoff!AA28,'RC'!AC28,Turn!AC28,Endurance!AS28)</f>
        <v>-1.1653642056181264</v>
      </c>
      <c r="AN28" s="73" t="str">
        <f t="shared" ca="1" si="8"/>
        <v>reduce payload weight</v>
      </c>
      <c r="AO28" s="1"/>
      <c r="AP28" s="1"/>
      <c r="AQ28" s="49">
        <f t="shared" ca="1" si="9"/>
        <v>9.9416817897190946</v>
      </c>
    </row>
    <row r="29" spans="1:43">
      <c r="B29" s="16">
        <f t="shared" si="10"/>
        <v>0.33333333333333326</v>
      </c>
      <c r="C29" s="16">
        <f t="shared" si="3"/>
        <v>2.1315789473684212</v>
      </c>
      <c r="D29" s="16">
        <f t="shared" si="11"/>
        <v>5.6500000000000012</v>
      </c>
      <c r="E29" s="16">
        <f t="shared" si="12"/>
        <v>3.1973684210526327</v>
      </c>
      <c r="F29" s="16">
        <f t="shared" si="13"/>
        <v>5.9500000000000011</v>
      </c>
      <c r="G29" s="20"/>
      <c r="H29" s="16">
        <f t="shared" si="4"/>
        <v>0.9</v>
      </c>
      <c r="I29" s="16">
        <f>(1.78*(1-0.045*(C29/B29)^0.68)-0.64*0.5)*($I$18+($I$19-$I$18)/19*8)</f>
        <v>1.1771267133748404</v>
      </c>
      <c r="J29" s="16">
        <f t="shared" si="14"/>
        <v>6</v>
      </c>
      <c r="K29" s="88">
        <f t="shared" si="5"/>
        <v>0.30499999999999999</v>
      </c>
      <c r="L29" s="13"/>
      <c r="M29" s="16">
        <f t="shared" si="6"/>
        <v>0.3</v>
      </c>
      <c r="N29" s="30">
        <f ca="1">IF(ISERROR(AQ29),0,IF(Endurance!$B$10=1,AQ29,Weight!H29))</f>
        <v>10</v>
      </c>
      <c r="O29" s="73" t="str">
        <f t="shared" ca="1" si="0"/>
        <v>reduce payload weight</v>
      </c>
      <c r="P29" s="13">
        <f ca="1">Weight!U29</f>
        <v>15.416722860522214</v>
      </c>
      <c r="W29" s="13"/>
      <c r="X29" s="13"/>
      <c r="Z29" s="91">
        <f t="shared" si="7"/>
        <v>2.1315789473684212</v>
      </c>
      <c r="AA29" s="36">
        <f t="shared" si="1"/>
        <v>2.1315789473684212</v>
      </c>
      <c r="AB29" s="38">
        <f t="shared" ca="1" si="2"/>
        <v>10</v>
      </c>
      <c r="AC29" s="86">
        <f ca="1">Weight!W29</f>
        <v>132.22241873545346</v>
      </c>
      <c r="AD29" s="36"/>
      <c r="AE29" s="14">
        <f ca="1">Takeoff!Z29</f>
        <v>46.987457218790411</v>
      </c>
      <c r="AF29" s="57" t="str">
        <f ca="1">Takeoff!AB29</f>
        <v>OK</v>
      </c>
      <c r="AG29" s="13">
        <f ca="1">'RC'!AB29</f>
        <v>2.0391532976014918E-3</v>
      </c>
      <c r="AH29" s="57" t="str">
        <f ca="1">'RC'!AD29</f>
        <v>reduce payload weight</v>
      </c>
      <c r="AI29" s="13">
        <f ca="1">Turn!AB29</f>
        <v>1</v>
      </c>
      <c r="AJ29" s="57" t="str">
        <f ca="1">Turn!AD29</f>
        <v>reduce payload weight</v>
      </c>
      <c r="AK29" s="19">
        <f>Endurance!AR29</f>
        <v>2</v>
      </c>
      <c r="AL29" s="69" t="str">
        <f>Endurance!AT29</f>
        <v>reduce payload weight or increase battery capacity</v>
      </c>
      <c r="AM29" s="1">
        <f ca="1">MIN(Takeoff!AA29,'RC'!AC29,Turn!AC29,Endurance!AS29)</f>
        <v>-0.99592169340479697</v>
      </c>
      <c r="AN29" s="73" t="str">
        <f t="shared" ca="1" si="8"/>
        <v>reduce payload weight</v>
      </c>
      <c r="AO29" s="1"/>
      <c r="AP29" s="1"/>
      <c r="AQ29" s="49">
        <f t="shared" ca="1" si="9"/>
        <v>9.9501539153297607</v>
      </c>
    </row>
    <row r="30" spans="1:43">
      <c r="B30" s="16">
        <f t="shared" si="10"/>
        <v>0.33333333333333326</v>
      </c>
      <c r="C30" s="16">
        <f t="shared" si="3"/>
        <v>2.2105263157894739</v>
      </c>
      <c r="D30" s="16">
        <f t="shared" si="11"/>
        <v>5.6500000000000012</v>
      </c>
      <c r="E30" s="16">
        <f t="shared" si="12"/>
        <v>3.3157894736842115</v>
      </c>
      <c r="F30" s="16">
        <f t="shared" si="13"/>
        <v>5.9500000000000011</v>
      </c>
      <c r="G30" s="20"/>
      <c r="H30" s="16">
        <f t="shared" si="4"/>
        <v>0.9</v>
      </c>
      <c r="I30" s="16">
        <f>(1.78*(1-0.045*(C30/B30)^0.68)-0.64*0.5)*($I$18+($I$19-$I$18)/19*9)</f>
        <v>1.1700440412790545</v>
      </c>
      <c r="J30" s="16">
        <f t="shared" si="14"/>
        <v>6</v>
      </c>
      <c r="K30" s="88">
        <f t="shared" si="5"/>
        <v>0.30499999999999999</v>
      </c>
      <c r="L30" s="13"/>
      <c r="M30" s="16">
        <f t="shared" si="6"/>
        <v>0.3</v>
      </c>
      <c r="N30" s="30">
        <f ca="1">IF(ISERROR(AQ30),0,IF(Endurance!$B$10=1,AQ30,Weight!H30))</f>
        <v>10</v>
      </c>
      <c r="O30" s="73" t="str">
        <f t="shared" ca="1" si="0"/>
        <v>reduce payload weight</v>
      </c>
      <c r="P30" s="13">
        <f ca="1">Weight!U30</f>
        <v>15.716563898319222</v>
      </c>
      <c r="W30" s="13"/>
      <c r="X30" s="13"/>
      <c r="Z30" s="91">
        <f t="shared" si="7"/>
        <v>2.2105263157894739</v>
      </c>
      <c r="AA30" s="36">
        <f t="shared" si="1"/>
        <v>2.2105263157894739</v>
      </c>
      <c r="AB30" s="38">
        <f t="shared" ca="1" si="2"/>
        <v>10</v>
      </c>
      <c r="AC30" s="86">
        <f ca="1">Weight!W30</f>
        <v>131.99460630452538</v>
      </c>
      <c r="AD30" s="36"/>
      <c r="AE30" s="14">
        <f ca="1">Takeoff!Z30</f>
        <v>44.97992427710092</v>
      </c>
      <c r="AF30" s="57" t="str">
        <f ca="1">Takeoff!AB30</f>
        <v>OK</v>
      </c>
      <c r="AG30" s="13">
        <f ca="1">'RC'!AB30</f>
        <v>7.7149405865799492E-2</v>
      </c>
      <c r="AH30" s="57" t="str">
        <f ca="1">'RC'!AD30</f>
        <v>reduce payload weight</v>
      </c>
      <c r="AI30" s="13">
        <f ca="1">Turn!AB30</f>
        <v>1</v>
      </c>
      <c r="AJ30" s="57" t="str">
        <f ca="1">Turn!AD30</f>
        <v>reduce payload weight</v>
      </c>
      <c r="AK30" s="19">
        <f>Endurance!AR30</f>
        <v>2</v>
      </c>
      <c r="AL30" s="69" t="str">
        <f>Endurance!AT30</f>
        <v>reduce payload weight or increase battery capacity</v>
      </c>
      <c r="AM30" s="1">
        <f ca="1">MIN(Takeoff!AA30,'RC'!AC30,Turn!AC30,Endurance!AS30)</f>
        <v>-0.84570118826840102</v>
      </c>
      <c r="AN30" s="73" t="str">
        <f t="shared" ca="1" si="8"/>
        <v>reduce payload weight</v>
      </c>
      <c r="AO30" s="1"/>
      <c r="AP30" s="1"/>
      <c r="AQ30" s="49">
        <f t="shared" ca="1" si="9"/>
        <v>9.9576649405865805</v>
      </c>
    </row>
    <row r="31" spans="1:43">
      <c r="B31" s="16">
        <f t="shared" si="10"/>
        <v>0.33333333333333326</v>
      </c>
      <c r="C31" s="16">
        <f t="shared" si="3"/>
        <v>2.2894736842105265</v>
      </c>
      <c r="D31" s="16">
        <f t="shared" si="11"/>
        <v>5.6500000000000012</v>
      </c>
      <c r="E31" s="16">
        <f t="shared" si="12"/>
        <v>3.4342105263157907</v>
      </c>
      <c r="F31" s="16">
        <f t="shared" si="13"/>
        <v>5.9500000000000011</v>
      </c>
      <c r="G31" s="20"/>
      <c r="H31" s="16">
        <f t="shared" si="4"/>
        <v>0.9</v>
      </c>
      <c r="I31" s="16">
        <f>(1.78*(1-0.045*(C31/B31)^0.68)-0.64*0.5)*($I$18+($I$19-$I$18)/19*10)</f>
        <v>1.163041872967743</v>
      </c>
      <c r="J31" s="16">
        <f t="shared" si="14"/>
        <v>6</v>
      </c>
      <c r="K31" s="88">
        <f t="shared" si="5"/>
        <v>0.30499999999999999</v>
      </c>
      <c r="L31" s="13"/>
      <c r="M31" s="16">
        <f t="shared" si="6"/>
        <v>0.3</v>
      </c>
      <c r="N31" s="30">
        <f ca="1">IF(ISERROR(AQ31),0,IF(Endurance!$B$10=1,AQ31,Weight!H31))</f>
        <v>10</v>
      </c>
      <c r="O31" s="73" t="str">
        <f t="shared" ca="1" si="0"/>
        <v>reduce payload weight</v>
      </c>
      <c r="P31" s="13">
        <f ca="1">Weight!U31</f>
        <v>16.023675886546343</v>
      </c>
      <c r="W31" s="13"/>
      <c r="X31" s="13"/>
      <c r="Z31" s="91">
        <f t="shared" si="7"/>
        <v>2.2894736842105265</v>
      </c>
      <c r="AA31" s="36">
        <f t="shared" si="1"/>
        <v>2.2894736842105265</v>
      </c>
      <c r="AB31" s="38">
        <f t="shared" ca="1" si="2"/>
        <v>10</v>
      </c>
      <c r="AC31" s="86">
        <f ca="1">Weight!W31</f>
        <v>131.83112185391033</v>
      </c>
      <c r="AD31" s="36"/>
      <c r="AE31" s="14">
        <f ca="1">Takeoff!Z31</f>
        <v>43.167824986214228</v>
      </c>
      <c r="AF31" s="57" t="str">
        <f ca="1">Takeoff!AB31</f>
        <v>OK</v>
      </c>
      <c r="AG31" s="13">
        <f ca="1">'RC'!AB31</f>
        <v>0.14397298172973241</v>
      </c>
      <c r="AH31" s="57" t="str">
        <f ca="1">'RC'!AD31</f>
        <v>reduce payload weight</v>
      </c>
      <c r="AI31" s="13">
        <f ca="1">Turn!AB31</f>
        <v>1</v>
      </c>
      <c r="AJ31" s="57" t="str">
        <f ca="1">Turn!AD31</f>
        <v>reduce payload weight</v>
      </c>
      <c r="AK31" s="19">
        <f>Endurance!AR31</f>
        <v>2</v>
      </c>
      <c r="AL31" s="69" t="str">
        <f>Endurance!AT31</f>
        <v>reduce payload weight or increase battery capacity</v>
      </c>
      <c r="AM31" s="1">
        <f ca="1">MIN(Takeoff!AA31,'RC'!AC31,Turn!AC31,Endurance!AS31)</f>
        <v>-0.71205403654053523</v>
      </c>
      <c r="AN31" s="73" t="str">
        <f t="shared" ca="1" si="8"/>
        <v>reduce payload weight</v>
      </c>
      <c r="AO31" s="1"/>
      <c r="AP31" s="1"/>
      <c r="AQ31" s="49">
        <f t="shared" ca="1" si="9"/>
        <v>9.9643472981729726</v>
      </c>
    </row>
    <row r="32" spans="1:43">
      <c r="B32" s="16">
        <f t="shared" si="10"/>
        <v>0.33333333333333326</v>
      </c>
      <c r="C32" s="16">
        <f t="shared" si="3"/>
        <v>2.3684210526315792</v>
      </c>
      <c r="D32" s="16">
        <f t="shared" si="11"/>
        <v>5.6500000000000012</v>
      </c>
      <c r="E32" s="16">
        <f t="shared" si="12"/>
        <v>3.5526315789473695</v>
      </c>
      <c r="F32" s="16">
        <f t="shared" si="13"/>
        <v>5.9500000000000011</v>
      </c>
      <c r="G32" s="20"/>
      <c r="H32" s="16">
        <f t="shared" si="4"/>
        <v>0.9</v>
      </c>
      <c r="I32" s="16">
        <f>(1.78*(1-0.045*(C32/B32)^0.68)-0.64*0.5)*($I$18+($I$19-$I$18)/19*11)</f>
        <v>1.1561165628108239</v>
      </c>
      <c r="J32" s="16">
        <f t="shared" si="14"/>
        <v>6</v>
      </c>
      <c r="K32" s="88">
        <f t="shared" si="5"/>
        <v>0.30499999999999999</v>
      </c>
      <c r="L32" s="13"/>
      <c r="M32" s="16">
        <f t="shared" si="6"/>
        <v>0.3</v>
      </c>
      <c r="N32" s="30">
        <f ca="1">IF(ISERROR(AQ32),0,IF(Endurance!$B$10=1,AQ32,Weight!H32))</f>
        <v>10</v>
      </c>
      <c r="O32" s="73" t="str">
        <f t="shared" ca="1" si="0"/>
        <v>reduce payload weight</v>
      </c>
      <c r="P32" s="13">
        <f ca="1">Weight!U32</f>
        <v>16.33767874810853</v>
      </c>
      <c r="W32" s="13"/>
      <c r="X32" s="13"/>
      <c r="Z32" s="91">
        <f t="shared" si="7"/>
        <v>2.3684210526315792</v>
      </c>
      <c r="AA32" s="36">
        <f t="shared" si="1"/>
        <v>2.3684210526315792</v>
      </c>
      <c r="AB32" s="38">
        <f t="shared" ca="1" si="2"/>
        <v>10</v>
      </c>
      <c r="AC32" s="86">
        <f ca="1">Weight!W32</f>
        <v>131.72349764097771</v>
      </c>
      <c r="AD32" s="36"/>
      <c r="AE32" s="14">
        <f ca="1">Takeoff!Z32</f>
        <v>41.52410987122461</v>
      </c>
      <c r="AF32" s="57" t="str">
        <f ca="1">Takeoff!AB32</f>
        <v>OK</v>
      </c>
      <c r="AG32" s="13">
        <f ca="1">'RC'!AB32</f>
        <v>0.20360478337580376</v>
      </c>
      <c r="AH32" s="57" t="str">
        <f ca="1">'RC'!AD32</f>
        <v>reduce payload weight</v>
      </c>
      <c r="AI32" s="13">
        <f ca="1">Turn!AB32</f>
        <v>1</v>
      </c>
      <c r="AJ32" s="57" t="str">
        <f ca="1">Turn!AD32</f>
        <v>reduce payload weight</v>
      </c>
      <c r="AK32" s="19">
        <f>Endurance!AR32</f>
        <v>2</v>
      </c>
      <c r="AL32" s="69" t="str">
        <f>Endurance!AT32</f>
        <v>reduce payload weight or increase battery capacity</v>
      </c>
      <c r="AM32" s="1">
        <f ca="1">MIN(Takeoff!AA32,'RC'!AC32,Turn!AC32,Endurance!AS32)</f>
        <v>-0.59279043324839242</v>
      </c>
      <c r="AN32" s="73" t="str">
        <f t="shared" ca="1" si="8"/>
        <v>reduce payload weight</v>
      </c>
      <c r="AO32" s="1"/>
      <c r="AP32" s="1"/>
      <c r="AQ32" s="49">
        <f t="shared" ca="1" si="9"/>
        <v>9.9703104783375807</v>
      </c>
    </row>
    <row r="33" spans="2:43">
      <c r="B33" s="16">
        <f t="shared" si="10"/>
        <v>0.33333333333333326</v>
      </c>
      <c r="C33" s="16">
        <f t="shared" si="3"/>
        <v>2.4473684210526319</v>
      </c>
      <c r="D33" s="16">
        <f t="shared" si="11"/>
        <v>5.6500000000000012</v>
      </c>
      <c r="E33" s="16">
        <f t="shared" si="12"/>
        <v>3.6710526315789487</v>
      </c>
      <c r="F33" s="16">
        <f t="shared" si="13"/>
        <v>5.9500000000000011</v>
      </c>
      <c r="G33" s="20"/>
      <c r="H33" s="16">
        <f t="shared" si="4"/>
        <v>0.9</v>
      </c>
      <c r="I33" s="16">
        <f>(1.78*(1-0.045*(C33/B33)^0.68)-0.64*0.5)*($I$18+($I$19-$I$18)/19*12)</f>
        <v>1.149264745760594</v>
      </c>
      <c r="J33" s="16">
        <f t="shared" si="14"/>
        <v>6</v>
      </c>
      <c r="K33" s="88">
        <f t="shared" si="5"/>
        <v>0.30499999999999999</v>
      </c>
      <c r="L33" s="13"/>
      <c r="M33" s="16">
        <f t="shared" si="6"/>
        <v>0.3</v>
      </c>
      <c r="N33" s="30">
        <f ca="1">IF(ISERROR(AQ33),0,IF(Endurance!$B$10=1,AQ33,Weight!H33))</f>
        <v>10</v>
      </c>
      <c r="O33" s="73" t="str">
        <f t="shared" ca="1" si="0"/>
        <v>reduce payload weight</v>
      </c>
      <c r="P33" s="13">
        <f ca="1">Weight!U33</f>
        <v>16.658255827899268</v>
      </c>
      <c r="W33" s="13"/>
      <c r="X33" s="13"/>
      <c r="Z33" s="91">
        <f t="shared" si="7"/>
        <v>2.4473684210526319</v>
      </c>
      <c r="AA33" s="36">
        <f t="shared" si="1"/>
        <v>2.4473684210526319</v>
      </c>
      <c r="AB33" s="38">
        <f t="shared" ca="1" si="2"/>
        <v>10</v>
      </c>
      <c r="AC33" s="86">
        <f ca="1">Weight!W33</f>
        <v>131.66480106713556</v>
      </c>
      <c r="AD33" s="36"/>
      <c r="AE33" s="14">
        <f ca="1">Takeoff!Z33</f>
        <v>40.026579828843587</v>
      </c>
      <c r="AF33" s="57" t="str">
        <f ca="1">Takeoff!AB33</f>
        <v>OK</v>
      </c>
      <c r="AG33" s="13">
        <f ca="1">'RC'!AB33</f>
        <v>0.25695785858766951</v>
      </c>
      <c r="AH33" s="57" t="str">
        <f ca="1">'RC'!AD33</f>
        <v>reduce payload weight</v>
      </c>
      <c r="AI33" s="13">
        <f ca="1">Turn!AB33</f>
        <v>1</v>
      </c>
      <c r="AJ33" s="57" t="str">
        <f ca="1">Turn!AD33</f>
        <v>reduce payload weight</v>
      </c>
      <c r="AK33" s="19">
        <f>Endurance!AR33</f>
        <v>2</v>
      </c>
      <c r="AL33" s="69" t="str">
        <f>Endurance!AT33</f>
        <v>reduce payload weight or increase battery capacity</v>
      </c>
      <c r="AM33" s="1">
        <f ca="1">MIN(Takeoff!AA33,'RC'!AC33,Turn!AC33,Endurance!AS33)</f>
        <v>-0.48608428282466098</v>
      </c>
      <c r="AN33" s="73" t="str">
        <f t="shared" ca="1" si="8"/>
        <v>reduce payload weight</v>
      </c>
      <c r="AO33" s="1"/>
      <c r="AP33" s="1"/>
      <c r="AQ33" s="49">
        <f t="shared" ca="1" si="9"/>
        <v>9.9756457858587666</v>
      </c>
    </row>
    <row r="34" spans="2:43">
      <c r="B34" s="16">
        <f t="shared" si="10"/>
        <v>0.33333333333333326</v>
      </c>
      <c r="C34" s="16">
        <f t="shared" si="3"/>
        <v>2.5263157894736845</v>
      </c>
      <c r="D34" s="16">
        <f t="shared" si="11"/>
        <v>5.6500000000000012</v>
      </c>
      <c r="E34" s="16">
        <f t="shared" si="12"/>
        <v>3.7894736842105274</v>
      </c>
      <c r="F34" s="16">
        <f t="shared" si="13"/>
        <v>5.9500000000000011</v>
      </c>
      <c r="G34" s="20"/>
      <c r="H34" s="16">
        <f t="shared" si="4"/>
        <v>0.9</v>
      </c>
      <c r="I34" s="16">
        <f>(1.78*(1-0.045*(C34/B34)^0.68)-0.64*0.5)*($I$18+($I$19-$I$18)/19*13)</f>
        <v>1.1424833074368379</v>
      </c>
      <c r="J34" s="16">
        <f t="shared" si="14"/>
        <v>6</v>
      </c>
      <c r="K34" s="88">
        <f t="shared" si="5"/>
        <v>0.30499999999999999</v>
      </c>
      <c r="L34" s="13"/>
      <c r="M34" s="16">
        <f t="shared" si="6"/>
        <v>0.3</v>
      </c>
      <c r="N34" s="30">
        <f ca="1">IF(ISERROR(AQ34),0,IF(Endurance!$B$10=1,AQ34,Weight!H34))</f>
        <v>10</v>
      </c>
      <c r="O34" s="73" t="str">
        <f t="shared" ca="1" si="0"/>
        <v>reduce payload weight</v>
      </c>
      <c r="P34" s="13">
        <f ca="1">Weight!U34</f>
        <v>16.985063575430246</v>
      </c>
      <c r="W34" s="13"/>
      <c r="X34" s="13"/>
      <c r="Z34" s="91">
        <f t="shared" si="7"/>
        <v>2.5263157894736845</v>
      </c>
      <c r="AA34" s="36">
        <f t="shared" si="1"/>
        <v>2.5263157894736845</v>
      </c>
      <c r="AB34" s="38">
        <f t="shared" ca="1" si="2"/>
        <v>10</v>
      </c>
      <c r="AC34" s="86">
        <f ca="1">Weight!W34</f>
        <v>131.64808624850315</v>
      </c>
      <c r="AD34" s="36"/>
      <c r="AE34" s="14">
        <f ca="1">Takeoff!Z34</f>
        <v>38.656083306337599</v>
      </c>
      <c r="AF34" s="57" t="str">
        <f ca="1">Takeoff!AB34</f>
        <v>OK</v>
      </c>
      <c r="AG34" s="13">
        <f ca="1">'RC'!AB34</f>
        <v>0.30482096427068645</v>
      </c>
      <c r="AH34" s="57" t="str">
        <f ca="1">'RC'!AD34</f>
        <v>reduce payload weight</v>
      </c>
      <c r="AI34" s="13">
        <f ca="1">Turn!AB34</f>
        <v>0.99806479388721381</v>
      </c>
      <c r="AJ34" s="57" t="str">
        <f ca="1">Turn!AD34</f>
        <v>OK</v>
      </c>
      <c r="AK34" s="19">
        <f>Endurance!AR34</f>
        <v>2</v>
      </c>
      <c r="AL34" s="69" t="str">
        <f>Endurance!AT34</f>
        <v>reduce payload weight or increase battery capacity</v>
      </c>
      <c r="AM34" s="1">
        <f ca="1">MIN(Takeoff!AA34,'RC'!AC34,Turn!AC34,Endurance!AS34)</f>
        <v>-0.39035807145862711</v>
      </c>
      <c r="AN34" s="73" t="str">
        <f t="shared" ca="1" si="8"/>
        <v>reduce payload weight</v>
      </c>
      <c r="AO34" s="1"/>
      <c r="AP34" s="1"/>
      <c r="AQ34" s="49">
        <f t="shared" ca="1" si="9"/>
        <v>9.9804320964270694</v>
      </c>
    </row>
    <row r="35" spans="2:43">
      <c r="B35" s="16">
        <f t="shared" si="10"/>
        <v>0.33333333333333326</v>
      </c>
      <c r="C35" s="16">
        <f t="shared" si="3"/>
        <v>2.6052631578947372</v>
      </c>
      <c r="D35" s="16">
        <f t="shared" si="11"/>
        <v>5.6500000000000012</v>
      </c>
      <c r="E35" s="16">
        <f t="shared" si="12"/>
        <v>3.9078947368421066</v>
      </c>
      <c r="F35" s="16">
        <f t="shared" si="13"/>
        <v>5.9500000000000011</v>
      </c>
      <c r="G35" s="20"/>
      <c r="H35" s="16">
        <f t="shared" si="4"/>
        <v>0.9</v>
      </c>
      <c r="I35" s="16">
        <f>(1.78*(1-0.045*(C35/B35)^0.68)-0.64*0.5)*($I$18+($I$19-$I$18)/19*14)</f>
        <v>1.1357693582334683</v>
      </c>
      <c r="J35" s="16">
        <f t="shared" si="14"/>
        <v>6</v>
      </c>
      <c r="K35" s="88">
        <f t="shared" si="5"/>
        <v>0.30499999999999999</v>
      </c>
      <c r="L35" s="13"/>
      <c r="M35" s="16">
        <f t="shared" si="6"/>
        <v>0.3</v>
      </c>
      <c r="N35" s="30">
        <f ca="1">IF(ISERROR(AQ35),0,IF(Endurance!$B$10=1,AQ35,Weight!H35))</f>
        <v>10</v>
      </c>
      <c r="O35" s="73" t="str">
        <f t="shared" ca="1" si="0"/>
        <v>reduce payload weight</v>
      </c>
      <c r="P35" s="13">
        <f ca="1">Weight!U35</f>
        <v>17.317573760430506</v>
      </c>
      <c r="W35" s="13"/>
      <c r="X35" s="13"/>
      <c r="Z35" s="91">
        <f t="shared" si="7"/>
        <v>2.6052631578947372</v>
      </c>
      <c r="AA35" s="36">
        <f t="shared" si="1"/>
        <v>2.6052631578947372</v>
      </c>
      <c r="AB35" s="38">
        <f t="shared" ca="1" si="2"/>
        <v>10</v>
      </c>
      <c r="AC35" s="86">
        <f ca="1">Weight!W35</f>
        <v>131.66397514878656</v>
      </c>
      <c r="AD35" s="36"/>
      <c r="AE35" s="14">
        <f ca="1">Takeoff!Z35</f>
        <v>37.394563630893067</v>
      </c>
      <c r="AF35" s="57" t="str">
        <f ca="1">Takeoff!AB35</f>
        <v>OK</v>
      </c>
      <c r="AG35" s="13">
        <f ca="1">'RC'!AB35</f>
        <v>0.34792156821304537</v>
      </c>
      <c r="AH35" s="57" t="str">
        <f ca="1">'RC'!AD35</f>
        <v>reduce payload weight</v>
      </c>
      <c r="AI35" s="13">
        <f ca="1">Turn!AB35</f>
        <v>0.98648762832129122</v>
      </c>
      <c r="AJ35" s="57" t="str">
        <f ca="1">Turn!AD35</f>
        <v>OK</v>
      </c>
      <c r="AK35" s="19">
        <f>Endurance!AR35</f>
        <v>2</v>
      </c>
      <c r="AL35" s="69" t="str">
        <f>Endurance!AT35</f>
        <v>reduce payload weight or increase battery capacity</v>
      </c>
      <c r="AM35" s="1">
        <f ca="1">MIN(Takeoff!AA35,'RC'!AC35,Turn!AC35,Endurance!AS35)</f>
        <v>-0.30415686357390925</v>
      </c>
      <c r="AN35" s="73" t="str">
        <f t="shared" ca="1" si="8"/>
        <v>reduce payload weight</v>
      </c>
      <c r="AO35" s="1"/>
      <c r="AP35" s="1"/>
      <c r="AQ35" s="49">
        <f t="shared" ca="1" si="9"/>
        <v>9.9847421568213051</v>
      </c>
    </row>
    <row r="36" spans="2:43">
      <c r="B36" s="16">
        <f t="shared" si="10"/>
        <v>0.33333333333333326</v>
      </c>
      <c r="C36" s="16">
        <f t="shared" si="3"/>
        <v>2.6842105263157898</v>
      </c>
      <c r="D36" s="16">
        <f t="shared" si="11"/>
        <v>5.6500000000000012</v>
      </c>
      <c r="E36" s="16">
        <f t="shared" si="12"/>
        <v>4.0263157894736858</v>
      </c>
      <c r="F36" s="16">
        <f t="shared" si="13"/>
        <v>5.9500000000000011</v>
      </c>
      <c r="G36" s="20"/>
      <c r="H36" s="16">
        <f t="shared" si="4"/>
        <v>0.9</v>
      </c>
      <c r="I36" s="16">
        <f>(1.78*(1-0.045*(C36/B36)^0.68)-0.64*0.5)*($I$18+($I$19-$I$18)/19*15)</f>
        <v>1.1291202108009399</v>
      </c>
      <c r="J36" s="16">
        <f t="shared" si="14"/>
        <v>6</v>
      </c>
      <c r="K36" s="88">
        <f t="shared" si="5"/>
        <v>0.30499999999999999</v>
      </c>
      <c r="L36" s="13"/>
      <c r="M36" s="16">
        <f t="shared" si="6"/>
        <v>0.3</v>
      </c>
      <c r="N36" s="30">
        <f ca="1">IF(ISERROR(AQ36),0,IF(Endurance!$B$10=1,AQ36,Weight!H36))</f>
        <v>10</v>
      </c>
      <c r="O36" s="73" t="str">
        <f t="shared" ca="1" si="0"/>
        <v>reduce payload weight</v>
      </c>
      <c r="P36" s="13">
        <f ca="1">Weight!U36</f>
        <v>17.656010351910766</v>
      </c>
      <c r="W36" s="13"/>
      <c r="X36" s="13"/>
      <c r="Z36" s="91">
        <f t="shared" si="7"/>
        <v>2.6842105263157898</v>
      </c>
      <c r="AA36" s="36">
        <f t="shared" si="1"/>
        <v>2.6842105263157898</v>
      </c>
      <c r="AB36" s="38">
        <f t="shared" ca="1" si="2"/>
        <v>10</v>
      </c>
      <c r="AC36" s="86">
        <f ca="1">Weight!W36</f>
        <v>131.71508343629725</v>
      </c>
      <c r="AD36" s="36"/>
      <c r="AE36" s="14">
        <f ca="1">Takeoff!Z36</f>
        <v>36.233196136146056</v>
      </c>
      <c r="AF36" s="57" t="str">
        <f ca="1">Takeoff!AB36</f>
        <v>OK</v>
      </c>
      <c r="AG36" s="13">
        <f ca="1">'RC'!AB36</f>
        <v>0.38669638562860598</v>
      </c>
      <c r="AH36" s="57" t="str">
        <f ca="1">'RC'!AD36</f>
        <v>reduce payload weight</v>
      </c>
      <c r="AI36" s="13">
        <f ca="1">Turn!AB36</f>
        <v>0.97565086778751753</v>
      </c>
      <c r="AJ36" s="57" t="str">
        <f ca="1">Turn!AD36</f>
        <v>OK</v>
      </c>
      <c r="AK36" s="19">
        <f>Endurance!AR36</f>
        <v>2</v>
      </c>
      <c r="AL36" s="69" t="str">
        <f>Endurance!AT36</f>
        <v>reduce payload weight or increase battery capacity</v>
      </c>
      <c r="AM36" s="1">
        <f ca="1">MIN(Takeoff!AA36,'RC'!AC36,Turn!AC36,Endurance!AS36)</f>
        <v>-0.22660722874278805</v>
      </c>
      <c r="AN36" s="73" t="str">
        <f t="shared" ca="1" si="8"/>
        <v>reduce payload weight</v>
      </c>
      <c r="AO36" s="1"/>
      <c r="AP36" s="1"/>
      <c r="AQ36" s="49">
        <f t="shared" ca="1" si="9"/>
        <v>9.9886196385628612</v>
      </c>
    </row>
    <row r="37" spans="2:43">
      <c r="B37" s="16">
        <f t="shared" si="10"/>
        <v>0.33333333333333326</v>
      </c>
      <c r="C37" s="16">
        <f t="shared" si="3"/>
        <v>2.7631578947368425</v>
      </c>
      <c r="D37" s="16">
        <f t="shared" si="11"/>
        <v>5.6500000000000012</v>
      </c>
      <c r="E37" s="16">
        <f t="shared" si="12"/>
        <v>4.1447368421052646</v>
      </c>
      <c r="F37" s="16">
        <f t="shared" si="13"/>
        <v>5.9500000000000011</v>
      </c>
      <c r="G37" s="20"/>
      <c r="H37" s="16">
        <f t="shared" si="4"/>
        <v>0.9</v>
      </c>
      <c r="I37" s="16">
        <f>(1.78*(1-0.045*(C37/B37)^0.68)-0.64*0.5)*($I$18+($I$19-$I$18)/19*16)</f>
        <v>1.1225333603782677</v>
      </c>
      <c r="J37" s="16">
        <f t="shared" si="14"/>
        <v>6</v>
      </c>
      <c r="K37" s="88">
        <f t="shared" si="5"/>
        <v>0.30499999999999999</v>
      </c>
      <c r="L37" s="13"/>
      <c r="M37" s="16">
        <f t="shared" si="6"/>
        <v>0.3</v>
      </c>
      <c r="N37" s="30">
        <f ca="1">IF(ISERROR(AQ37),0,IF(Endurance!$B$10=1,AQ37,Weight!H37))</f>
        <v>10</v>
      </c>
      <c r="O37" s="73" t="str">
        <f t="shared" ca="1" si="0"/>
        <v>reduce payload weight</v>
      </c>
      <c r="P37" s="13">
        <f ca="1">Weight!U37</f>
        <v>18.000202945947677</v>
      </c>
      <c r="W37" s="13"/>
      <c r="X37" s="13"/>
      <c r="Z37" s="91">
        <f t="shared" si="7"/>
        <v>2.7631578947368425</v>
      </c>
      <c r="AA37" s="36">
        <f t="shared" si="1"/>
        <v>2.7631578947368425</v>
      </c>
      <c r="AB37" s="38">
        <f t="shared" ca="1" si="2"/>
        <v>10</v>
      </c>
      <c r="AC37" s="86">
        <f ca="1">Weight!W37</f>
        <v>131.79789717068391</v>
      </c>
      <c r="AD37" s="36"/>
      <c r="AE37" s="14">
        <f ca="1">Takeoff!Z37</f>
        <v>35.160818022798516</v>
      </c>
      <c r="AF37" s="57" t="str">
        <f ca="1">Takeoff!AB37</f>
        <v>OK</v>
      </c>
      <c r="AG37" s="13">
        <f ca="1">'RC'!AB37</f>
        <v>0.42162369891082346</v>
      </c>
      <c r="AH37" s="57" t="str">
        <f ca="1">'RC'!AD37</f>
        <v>reduce payload weight</v>
      </c>
      <c r="AI37" s="13">
        <f ca="1">Turn!AB37</f>
        <v>0.96549008342386866</v>
      </c>
      <c r="AJ37" s="57" t="str">
        <f ca="1">Turn!AD37</f>
        <v>OK</v>
      </c>
      <c r="AK37" s="19">
        <f>Endurance!AR37</f>
        <v>2</v>
      </c>
      <c r="AL37" s="69" t="str">
        <f>Endurance!AT37</f>
        <v>reduce payload weight or increase battery capacity</v>
      </c>
      <c r="AM37" s="1">
        <f ca="1">MIN(Takeoff!AA37,'RC'!AC37,Turn!AC37,Endurance!AS37)</f>
        <v>-0.15675260217835307</v>
      </c>
      <c r="AN37" s="73" t="str">
        <f t="shared" ca="1" si="8"/>
        <v>reduce payload weight</v>
      </c>
      <c r="AO37" s="1"/>
      <c r="AP37" s="1"/>
      <c r="AQ37" s="49">
        <f t="shared" ca="1" si="9"/>
        <v>9.9921123698910819</v>
      </c>
    </row>
    <row r="38" spans="2:43">
      <c r="B38" s="16">
        <f t="shared" si="10"/>
        <v>0.33333333333333326</v>
      </c>
      <c r="C38" s="16">
        <f t="shared" si="3"/>
        <v>2.8421052631578951</v>
      </c>
      <c r="D38" s="16">
        <f t="shared" si="11"/>
        <v>5.6500000000000012</v>
      </c>
      <c r="E38" s="16">
        <f t="shared" si="12"/>
        <v>4.2631578947368434</v>
      </c>
      <c r="F38" s="16">
        <f t="shared" si="13"/>
        <v>5.9500000000000011</v>
      </c>
      <c r="G38" s="20"/>
      <c r="H38" s="16">
        <f t="shared" si="4"/>
        <v>0.9</v>
      </c>
      <c r="I38" s="16">
        <f>(1.78*(1-0.045*(C38/B38)^0.68)-0.64*0.5)*($I$18+($I$19-$I$18)/19*17)</f>
        <v>1.1160064675431407</v>
      </c>
      <c r="J38" s="16">
        <f t="shared" si="14"/>
        <v>6</v>
      </c>
      <c r="K38" s="88">
        <f t="shared" si="5"/>
        <v>0.30499999999999999</v>
      </c>
      <c r="L38" s="13"/>
      <c r="M38" s="16">
        <f t="shared" si="6"/>
        <v>0.3</v>
      </c>
      <c r="N38" s="30">
        <f ca="1">IF(ISERROR(AQ38),0,IF(Endurance!$B$10=1,AQ38,Weight!H38))</f>
        <v>10</v>
      </c>
      <c r="O38" s="73" t="str">
        <f t="shared" ca="1" si="0"/>
        <v>reduce payload weight</v>
      </c>
      <c r="P38" s="13">
        <f ca="1">Weight!U38</f>
        <v>18.350004457882292</v>
      </c>
      <c r="W38" s="13"/>
      <c r="X38" s="13"/>
      <c r="Z38" s="91">
        <f t="shared" si="7"/>
        <v>2.8421052631578951</v>
      </c>
      <c r="AA38" s="36">
        <f t="shared" si="1"/>
        <v>2.8421052631578951</v>
      </c>
      <c r="AB38" s="38">
        <f t="shared" ca="1" si="2"/>
        <v>10</v>
      </c>
      <c r="AC38" s="86">
        <f ca="1">Weight!W38</f>
        <v>131.9094250607543</v>
      </c>
      <c r="AD38" s="36"/>
      <c r="AE38" s="14">
        <f ca="1">Takeoff!Z38</f>
        <v>34.16789030018068</v>
      </c>
      <c r="AF38" s="57" t="str">
        <f ca="1">Takeoff!AB38</f>
        <v>OK</v>
      </c>
      <c r="AG38" s="13">
        <f ca="1">'RC'!AB38</f>
        <v>0.4531160357824584</v>
      </c>
      <c r="AH38" s="57" t="str">
        <f ca="1">'RC'!AD38</f>
        <v>reduce payload weight</v>
      </c>
      <c r="AI38" s="13">
        <f ca="1">Turn!AB38</f>
        <v>0.95594857670942757</v>
      </c>
      <c r="AJ38" s="57" t="str">
        <f ca="1">Turn!AD38</f>
        <v>OK</v>
      </c>
      <c r="AK38" s="19">
        <f>Endurance!AR38</f>
        <v>2</v>
      </c>
      <c r="AL38" s="69" t="str">
        <f>Endurance!AT38</f>
        <v>reduce payload weight or increase battery capacity</v>
      </c>
      <c r="AM38" s="1">
        <f ca="1">MIN(Takeoff!AA38,'RC'!AC38,Turn!AC38,Endurance!AS38)</f>
        <v>-9.3767928435083192E-2</v>
      </c>
      <c r="AN38" s="73" t="str">
        <f t="shared" ca="1" si="8"/>
        <v>reduce payload weight</v>
      </c>
      <c r="AO38" s="1"/>
      <c r="AP38" s="1"/>
      <c r="AQ38" s="49">
        <f t="shared" ca="1" si="9"/>
        <v>9.9952616035782462</v>
      </c>
    </row>
    <row r="39" spans="2:43">
      <c r="B39" s="16">
        <f t="shared" si="10"/>
        <v>0.33333333333333326</v>
      </c>
      <c r="C39" s="16">
        <f t="shared" si="3"/>
        <v>2.9210526315789478</v>
      </c>
      <c r="D39" s="16">
        <f t="shared" si="11"/>
        <v>5.6500000000000012</v>
      </c>
      <c r="E39" s="16">
        <f t="shared" si="12"/>
        <v>4.381578947368423</v>
      </c>
      <c r="F39" s="16">
        <f t="shared" si="13"/>
        <v>5.9500000000000011</v>
      </c>
      <c r="G39" s="20"/>
      <c r="H39" s="16">
        <f t="shared" si="4"/>
        <v>0.9</v>
      </c>
      <c r="I39" s="16">
        <f>(1.78*(1-0.045*(C39/B39)^0.68)-0.64*0.5)*($I$18+($I$19-$I$18)/19*18)</f>
        <v>1.1095373430241193</v>
      </c>
      <c r="J39" s="16">
        <f t="shared" si="14"/>
        <v>6</v>
      </c>
      <c r="K39" s="88">
        <f t="shared" si="5"/>
        <v>0.30499999999999999</v>
      </c>
      <c r="L39" s="13"/>
      <c r="M39" s="16">
        <f t="shared" si="6"/>
        <v>0.3</v>
      </c>
      <c r="N39" s="30">
        <f ca="1">IF(ISERROR(AQ39),0,IF(Endurance!$B$10=1,AQ39,Weight!H39))</f>
        <v>10</v>
      </c>
      <c r="O39" s="73" t="str">
        <f t="shared" ca="1" si="0"/>
        <v>reduce payload weight</v>
      </c>
      <c r="P39" s="13">
        <f ca="1">Weight!U39</f>
        <v>18.705287293859811</v>
      </c>
      <c r="W39" s="13"/>
      <c r="X39" s="13"/>
      <c r="Z39" s="91">
        <f t="shared" si="7"/>
        <v>2.9210526315789478</v>
      </c>
      <c r="AA39" s="36">
        <f t="shared" si="1"/>
        <v>2.9210526315789478</v>
      </c>
      <c r="AB39" s="38">
        <f t="shared" ca="1" si="2"/>
        <v>10</v>
      </c>
      <c r="AC39" s="86">
        <f ca="1">Weight!W39</f>
        <v>132.04710507719955</v>
      </c>
      <c r="AD39" s="36"/>
      <c r="AE39" s="14">
        <f ca="1">Takeoff!Z39</f>
        <v>33.24621017358983</v>
      </c>
      <c r="AF39" s="57" t="str">
        <f ca="1">Takeoff!AB39</f>
        <v>OK</v>
      </c>
      <c r="AG39" s="13">
        <f ca="1">'RC'!AB39</f>
        <v>0.4815311197610424</v>
      </c>
      <c r="AH39" s="57" t="str">
        <f ca="1">'RC'!AD39</f>
        <v>reduce payload weight</v>
      </c>
      <c r="AI39" s="13">
        <f ca="1">Turn!AB39</f>
        <v>0.94697620843237684</v>
      </c>
      <c r="AJ39" s="57" t="str">
        <f ca="1">Turn!AD39</f>
        <v>OK</v>
      </c>
      <c r="AK39" s="19">
        <f>Endurance!AR39</f>
        <v>2</v>
      </c>
      <c r="AL39" s="69" t="str">
        <f>Endurance!AT39</f>
        <v>reduce payload weight or increase battery capacity</v>
      </c>
      <c r="AM39" s="1">
        <f ca="1">MIN(Takeoff!AA39,'RC'!AC39,Turn!AC39,Endurance!AS39)</f>
        <v>-3.6937760477915194E-2</v>
      </c>
      <c r="AN39" s="73" t="str">
        <f t="shared" ca="1" si="8"/>
        <v>reduce payload weight</v>
      </c>
      <c r="AO39" s="1"/>
      <c r="AP39" s="1"/>
      <c r="AQ39" s="49">
        <f t="shared" ca="1" si="9"/>
        <v>9.9981031119761035</v>
      </c>
    </row>
    <row r="40" spans="2:43">
      <c r="B40" s="16">
        <f>B19</f>
        <v>0.33333333333333326</v>
      </c>
      <c r="C40" s="16">
        <f>C19</f>
        <v>3</v>
      </c>
      <c r="D40" s="16">
        <f>D19</f>
        <v>5.6500000000000012</v>
      </c>
      <c r="E40" s="16">
        <f>E19</f>
        <v>4.5000000000000009</v>
      </c>
      <c r="F40" s="16">
        <f>F19</f>
        <v>5.9500000000000011</v>
      </c>
      <c r="G40" s="20"/>
      <c r="H40" s="16">
        <f>IF(D3=1,H19,IF(AND(D3=2,H43=1),H45,IF(AND(D3=2,H43=2),H46,IF(AND(D3=2,H43=3),H47,IF(AND(D3=2,H43=4),H48,IF(AND(D3=2,H43=5),H49,H19))))))</f>
        <v>0.9</v>
      </c>
      <c r="I40" s="16">
        <f>(1.78*(1-0.045*(C40/B40)^0.68)-0.64*0.5)*I19</f>
        <v>1.1031239342794878</v>
      </c>
      <c r="J40" s="16">
        <f>J19</f>
        <v>6</v>
      </c>
      <c r="K40" s="88">
        <f>IF(D3=1,K19,IF(AND(D3=2,K43=1),K45,IF(AND(D3=2,K43=2),K46,IF(AND(D3=2,K43=3),K47,IF(AND(D3=2,K43=4),K48,IF(AND(D3=2,K43=5),K49,K19))))))</f>
        <v>0.30499999999999999</v>
      </c>
      <c r="L40" s="13"/>
      <c r="M40" s="16">
        <f>M19</f>
        <v>0.3</v>
      </c>
      <c r="N40" s="30">
        <f ca="1">IF(ISERROR(AQ40),0,IF(Endurance!$B$10=1,AQ40,Weight!H40))</f>
        <v>10</v>
      </c>
      <c r="O40" s="73" t="str">
        <f t="shared" ca="1" si="0"/>
        <v>OK</v>
      </c>
      <c r="P40" s="13">
        <f ca="1">Weight!U40</f>
        <v>17.381810212025215</v>
      </c>
      <c r="W40" s="13"/>
      <c r="X40" s="13"/>
      <c r="Z40" s="91">
        <f t="shared" si="7"/>
        <v>3</v>
      </c>
      <c r="AA40" s="36">
        <f t="shared" si="1"/>
        <v>3</v>
      </c>
      <c r="AB40" s="38">
        <f t="shared" ca="1" si="2"/>
        <v>10</v>
      </c>
      <c r="AC40" s="86">
        <f ca="1">Weight!W40</f>
        <v>109.47797499660557</v>
      </c>
      <c r="AD40" s="36"/>
      <c r="AE40" s="14">
        <f ca="1">Takeoff!Z40</f>
        <v>21.868639937711155</v>
      </c>
      <c r="AF40" s="57" t="str">
        <f ca="1">Takeoff!AB40</f>
        <v>OK</v>
      </c>
      <c r="AG40" s="13">
        <f ca="1">'RC'!AB40</f>
        <v>0.90648897875337153</v>
      </c>
      <c r="AH40" s="57" t="str">
        <f ca="1">'RC'!AD40</f>
        <v>OK</v>
      </c>
      <c r="AI40" s="13">
        <f ca="1">Turn!AB40</f>
        <v>0.85265472854227287</v>
      </c>
      <c r="AJ40" s="57" t="str">
        <f ca="1">Turn!AD40</f>
        <v>OK</v>
      </c>
      <c r="AK40" s="19">
        <f>Endurance!AR40</f>
        <v>2</v>
      </c>
      <c r="AL40" s="69" t="str">
        <f>Endurance!AT40</f>
        <v>reduce payload weight or increase battery capacity</v>
      </c>
      <c r="AM40" s="1">
        <f ca="1">MIN(Takeoff!AA40,'RC'!AC40,Turn!AC40,Endurance!AS40)</f>
        <v>0</v>
      </c>
      <c r="AN40" s="73" t="str">
        <f t="shared" ca="1" si="8"/>
        <v>OK</v>
      </c>
      <c r="AO40" s="1"/>
      <c r="AP40" s="1"/>
      <c r="AQ40" s="49">
        <f t="shared" ca="1" si="9"/>
        <v>9.9999500000000001</v>
      </c>
    </row>
    <row r="42" spans="2:43">
      <c r="Y42" t="s">
        <v>466</v>
      </c>
      <c r="Z42" s="1">
        <f ca="1">IF($J$3=1,P46,IF($J$3=2,P47,IF($J$3=3,P48,P46)))</f>
        <v>1.5</v>
      </c>
      <c r="AA42" s="1"/>
      <c r="AB42" s="13">
        <f ca="1">P43</f>
        <v>10</v>
      </c>
      <c r="AC42" s="13">
        <f ca="1">INDEX(AC21:AC40,MATCH(P43,N21:N40,0),0)</f>
        <v>129.60277124897891</v>
      </c>
      <c r="AD42" s="1"/>
      <c r="AE42" s="1"/>
      <c r="AF42" s="1"/>
      <c r="AG42" s="1"/>
      <c r="AH42" s="1"/>
      <c r="AI42" s="1"/>
      <c r="AJ42" s="1"/>
      <c r="AK42" s="1"/>
      <c r="AL42" s="1"/>
      <c r="AN42" s="1"/>
      <c r="AO42" s="1"/>
      <c r="AP42" s="1"/>
    </row>
    <row r="43" spans="2:43">
      <c r="B43" s="8">
        <v>7</v>
      </c>
      <c r="C43" s="8">
        <v>0</v>
      </c>
      <c r="D43" s="50" t="str">
        <f>IF(OR(C18/B18&lt;3,C19/B19&lt;3),"Warning: aspect ratio too low!","Aw_min = ")</f>
        <v xml:space="preserve">Aw_min = </v>
      </c>
      <c r="F43" s="25">
        <f>MIN(C18/B18,C19/B19)</f>
        <v>4.5000000000000009</v>
      </c>
      <c r="H43" s="8">
        <v>0</v>
      </c>
      <c r="K43" s="8">
        <v>0</v>
      </c>
      <c r="N43" s="3" t="s">
        <v>459</v>
      </c>
      <c r="P43" s="13">
        <f ca="1">MAX(N21:N40)</f>
        <v>10</v>
      </c>
      <c r="Q43" t="s">
        <v>35</v>
      </c>
      <c r="R43" s="1">
        <f ca="1">P43/ISA!$B$5</f>
        <v>1.0197162129779282</v>
      </c>
      <c r="S43" t="s">
        <v>458</v>
      </c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2:43">
      <c r="N44" s="64" t="s">
        <v>484</v>
      </c>
      <c r="P44" s="13">
        <f ca="1">INDEX(Weight!V21:V40,MATCH(P43,N21:N40,0),0)</f>
        <v>119.6027712490764</v>
      </c>
      <c r="Q44" t="s">
        <v>35</v>
      </c>
      <c r="R44" s="1">
        <f ca="1">P44/ISA!$B$5</f>
        <v>12.196088495977362</v>
      </c>
      <c r="S44" t="s">
        <v>458</v>
      </c>
      <c r="T44" s="47" t="s">
        <v>187</v>
      </c>
      <c r="U44" s="12">
        <v>2</v>
      </c>
      <c r="V44" s="46" t="s">
        <v>458</v>
      </c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2:43">
      <c r="B45" s="12">
        <v>0.2</v>
      </c>
      <c r="C45" s="12">
        <v>2</v>
      </c>
      <c r="H45" s="12">
        <v>0.5</v>
      </c>
      <c r="K45" s="12">
        <v>0.30499999999999999</v>
      </c>
      <c r="L45" s="13">
        <f>K45/0.0254</f>
        <v>12.007874015748031</v>
      </c>
      <c r="N45" s="64" t="s">
        <v>461</v>
      </c>
      <c r="P45" s="13">
        <f ca="1">INDEX(P21:P40,MATCH(P43,N21:N40,0),0)</f>
        <v>12.936304787762779</v>
      </c>
      <c r="Q45" t="s">
        <v>35</v>
      </c>
      <c r="R45" s="1">
        <f ca="1">P45/ISA!$B$5</f>
        <v>1.3191359728105705</v>
      </c>
      <c r="S45" t="s">
        <v>458</v>
      </c>
    </row>
    <row r="46" spans="2:43">
      <c r="B46" s="1">
        <f>B45+($B$54-$B$45)/9</f>
        <v>0.22222222222222224</v>
      </c>
      <c r="C46" s="1">
        <f t="shared" ref="C46:C53" si="15">C45+($C$54-$C$45)/9</f>
        <v>2.1111111111111112</v>
      </c>
      <c r="H46" s="1">
        <f>H45+($H$49-$H$45)/4</f>
        <v>0.57499999999999996</v>
      </c>
      <c r="K46" s="1">
        <f>K45+($K$49-$K$45)/4</f>
        <v>0.32874999999999999</v>
      </c>
      <c r="L46" s="13">
        <f>K46/0.0254</f>
        <v>12.942913385826772</v>
      </c>
      <c r="N46" t="s">
        <v>460</v>
      </c>
      <c r="P46" s="1">
        <f ca="1">INDEX(B21:B40,MATCH(P43,N21:N40,0),0)</f>
        <v>0.33333333333333326</v>
      </c>
      <c r="Q46" t="s">
        <v>4</v>
      </c>
    </row>
    <row r="47" spans="2:43">
      <c r="B47" s="1">
        <f t="shared" ref="B47:B53" si="16">B46+($B$54-$B$45)/9</f>
        <v>0.24444444444444446</v>
      </c>
      <c r="C47" s="1">
        <f t="shared" si="15"/>
        <v>2.2222222222222223</v>
      </c>
      <c r="H47" s="1">
        <f>H46+($H$49-$H$45)/4</f>
        <v>0.64999999999999991</v>
      </c>
      <c r="K47" s="1">
        <f>K46+($K$49-$K$45)/4</f>
        <v>0.35249999999999998</v>
      </c>
      <c r="L47" s="13">
        <f>K47/0.0254</f>
        <v>13.877952755905511</v>
      </c>
      <c r="N47" t="s">
        <v>464</v>
      </c>
      <c r="P47" s="1">
        <f ca="1">INDEX(C21:C40,MATCH(P43,N21:N40,0),0)</f>
        <v>1.5</v>
      </c>
      <c r="Q47" t="s">
        <v>4</v>
      </c>
    </row>
    <row r="48" spans="2:43">
      <c r="B48" s="1">
        <f t="shared" si="16"/>
        <v>0.26666666666666666</v>
      </c>
      <c r="C48" s="1">
        <f t="shared" si="15"/>
        <v>2.3333333333333335</v>
      </c>
      <c r="H48" s="1">
        <f>H47+($H$49-$H$45)/4</f>
        <v>0.72499999999999987</v>
      </c>
      <c r="K48" s="1">
        <f>K47+($K$49-$K$45)/4</f>
        <v>0.37624999999999997</v>
      </c>
      <c r="L48" s="13">
        <f>K48/0.0254</f>
        <v>14.812992125984252</v>
      </c>
      <c r="N48" t="s">
        <v>465</v>
      </c>
      <c r="P48" s="1">
        <f ca="1">INDEX('Aerodynamics-Cruise'!W21:W40,MATCH(P43,N21:N40,0),0)</f>
        <v>0.9</v>
      </c>
    </row>
    <row r="49" spans="2:18">
      <c r="B49" s="1">
        <f t="shared" si="16"/>
        <v>0.28888888888888886</v>
      </c>
      <c r="C49" s="1">
        <f t="shared" si="15"/>
        <v>2.4444444444444446</v>
      </c>
      <c r="H49" s="12">
        <v>0.8</v>
      </c>
      <c r="K49" s="12">
        <v>0.4</v>
      </c>
      <c r="L49" s="13">
        <f>K49/0.0254</f>
        <v>15.748031496062994</v>
      </c>
    </row>
    <row r="50" spans="2:18">
      <c r="B50" s="1">
        <f t="shared" si="16"/>
        <v>0.31111111111111106</v>
      </c>
      <c r="C50" s="1">
        <f t="shared" si="15"/>
        <v>2.5555555555555558</v>
      </c>
      <c r="N50" s="64" t="s">
        <v>462</v>
      </c>
      <c r="P50" s="81">
        <f ca="1">MIN('Aerodynamics-Takeoff'!V21:V40,'Aerodynamics-RCmax'!V21:V40,'Aerodynamics-Turn'!V21:V40,'Aerodynamics-Cruise'!V21:V40)</f>
        <v>218386.42392976361</v>
      </c>
      <c r="Q50" s="95" t="s">
        <v>186</v>
      </c>
      <c r="R50" s="94">
        <f>'Airfoil 1'!F10</f>
        <v>75000</v>
      </c>
    </row>
    <row r="51" spans="2:18">
      <c r="B51" s="1">
        <f t="shared" si="16"/>
        <v>0.33333333333333326</v>
      </c>
      <c r="C51" s="1">
        <f t="shared" si="15"/>
        <v>2.666666666666667</v>
      </c>
      <c r="N51" t="s">
        <v>463</v>
      </c>
      <c r="P51" s="81">
        <f ca="1">MAX('Aerodynamics-Takeoff'!V21:V40,'Aerodynamics-RCmax'!V21:V40,'Aerodynamics-Turn'!V21:V40,'Aerodynamics-Cruise'!V21:V40,'Aerodynamics-Speed'!V21:V40)</f>
        <v>411432.27905560873</v>
      </c>
      <c r="Q51" s="95" t="s">
        <v>187</v>
      </c>
      <c r="R51" s="94">
        <f>'Airfoil 1'!I10</f>
        <v>250000</v>
      </c>
    </row>
    <row r="52" spans="2:18">
      <c r="B52" s="1">
        <f t="shared" si="16"/>
        <v>0.35555555555555546</v>
      </c>
      <c r="C52" s="1">
        <f t="shared" si="15"/>
        <v>2.7777777777777781</v>
      </c>
    </row>
    <row r="53" spans="2:18">
      <c r="B53" s="1">
        <f t="shared" si="16"/>
        <v>0.37777777777777766</v>
      </c>
      <c r="C53" s="1">
        <f t="shared" si="15"/>
        <v>2.8888888888888893</v>
      </c>
    </row>
    <row r="54" spans="2:18">
      <c r="B54" s="12">
        <v>0.4</v>
      </c>
      <c r="C54" s="12">
        <v>3</v>
      </c>
    </row>
    <row r="57" spans="2:18">
      <c r="B57" s="9" t="s">
        <v>596</v>
      </c>
      <c r="D57" s="9" t="s">
        <v>596</v>
      </c>
      <c r="F57" s="9" t="s">
        <v>596</v>
      </c>
      <c r="H57" s="9" t="s">
        <v>596</v>
      </c>
      <c r="J57" s="9" t="s">
        <v>596</v>
      </c>
    </row>
    <row r="58" spans="2:18">
      <c r="B58" s="99">
        <f>B45</f>
        <v>0.2</v>
      </c>
      <c r="D58" s="99">
        <f>B47</f>
        <v>0.24444444444444446</v>
      </c>
      <c r="F58" s="99">
        <f>B49</f>
        <v>0.28888888888888886</v>
      </c>
      <c r="H58" s="99">
        <f>B52</f>
        <v>0.35555555555555546</v>
      </c>
      <c r="J58" s="99">
        <f>B54</f>
        <v>0.4</v>
      </c>
    </row>
    <row r="59" spans="2:18">
      <c r="B59" s="9" t="s">
        <v>4</v>
      </c>
      <c r="D59" s="9" t="s">
        <v>4</v>
      </c>
      <c r="F59" s="9" t="s">
        <v>4</v>
      </c>
      <c r="H59" s="9" t="s">
        <v>4</v>
      </c>
      <c r="J59" s="9" t="s">
        <v>4</v>
      </c>
    </row>
    <row r="60" spans="2:18">
      <c r="B60" s="9"/>
    </row>
    <row r="61" spans="2:18">
      <c r="B61" s="9" t="s">
        <v>38</v>
      </c>
      <c r="C61" s="9" t="s">
        <v>595</v>
      </c>
      <c r="D61" s="9" t="s">
        <v>38</v>
      </c>
      <c r="E61" s="9" t="s">
        <v>595</v>
      </c>
      <c r="F61" s="9" t="s">
        <v>38</v>
      </c>
      <c r="G61" s="9" t="s">
        <v>595</v>
      </c>
      <c r="H61" s="9" t="s">
        <v>38</v>
      </c>
      <c r="I61" s="9" t="s">
        <v>595</v>
      </c>
      <c r="J61" s="9" t="s">
        <v>38</v>
      </c>
      <c r="K61" s="9" t="s">
        <v>595</v>
      </c>
    </row>
    <row r="62" spans="2:18">
      <c r="B62" s="9" t="s">
        <v>4</v>
      </c>
      <c r="C62" s="9" t="s">
        <v>35</v>
      </c>
      <c r="D62" s="9" t="s">
        <v>4</v>
      </c>
      <c r="E62" s="9" t="s">
        <v>35</v>
      </c>
      <c r="F62" s="9" t="s">
        <v>4</v>
      </c>
      <c r="G62" s="9" t="s">
        <v>35</v>
      </c>
      <c r="H62" s="9" t="s">
        <v>4</v>
      </c>
      <c r="I62" s="9" t="s">
        <v>35</v>
      </c>
      <c r="J62" s="9" t="s">
        <v>4</v>
      </c>
      <c r="K62" s="9" t="s">
        <v>35</v>
      </c>
    </row>
    <row r="64" spans="2:18">
      <c r="B64" s="1">
        <f ca="1">IF($B$43=1,C21,B64)</f>
        <v>3.5</v>
      </c>
      <c r="C64" s="13">
        <f ca="1">IF($B$43=1,Weight!$I21,C64)</f>
        <v>13.511011945328713</v>
      </c>
      <c r="D64" s="1">
        <f ca="1">IF($B$43=3,C21,D64)</f>
        <v>3.5</v>
      </c>
      <c r="E64" s="13">
        <f ca="1">IF($B$43=3,Weight!$I21,E64)</f>
        <v>14.599397519662249</v>
      </c>
      <c r="F64" s="1">
        <f ca="1">IF($B$43=5,E21,F64)</f>
        <v>6</v>
      </c>
      <c r="G64" s="13">
        <f ca="1">IF($B$43=5,Weight!$I21,G64)</f>
        <v>14.102634565794144</v>
      </c>
      <c r="H64" s="1">
        <f ca="1">IF($B$43=8,G21,H64)</f>
        <v>0</v>
      </c>
      <c r="I64" s="13">
        <f ca="1">IF($B$43=8,Weight!$I21,I64)</f>
        <v>9.2550034641393548</v>
      </c>
      <c r="J64" s="1">
        <f ca="1">IF($B$43=10,I21,J64)</f>
        <v>1.1098952587859205</v>
      </c>
      <c r="K64" s="13">
        <f ca="1">IF($B$43=10,Weight!$I21,K64)</f>
        <v>9.5649581002706974</v>
      </c>
    </row>
    <row r="65" spans="2:11">
      <c r="B65" s="1">
        <f t="shared" ref="B65:B83" ca="1" si="17">IF($B$43=1,C22,B65)</f>
        <v>3.6578947368421053</v>
      </c>
      <c r="C65" s="13">
        <f ca="1">IF($B$43=1,Weight!$I22,C65)</f>
        <v>12.985140069013392</v>
      </c>
      <c r="D65" s="1">
        <f t="shared" ref="D65:D83" ca="1" si="18">IF($B$43=3,C22,D65)</f>
        <v>3.6578947368421053</v>
      </c>
      <c r="E65" s="13">
        <f ca="1">IF($B$43=3,Weight!$I22,E65)</f>
        <v>13.648110770945301</v>
      </c>
      <c r="F65" s="1">
        <f t="shared" ref="F65:F83" ca="1" si="19">IF($B$43=5,E22,F65)</f>
        <v>6</v>
      </c>
      <c r="G65" s="13">
        <f ca="1">IF($B$43=5,Weight!$I22,G65)</f>
        <v>13.264887063079552</v>
      </c>
      <c r="H65" s="1">
        <f t="shared" ref="H65:H83" ca="1" si="20">IF($B$43=8,G22,H65)</f>
        <v>0</v>
      </c>
      <c r="I65" s="13">
        <f ca="1">IF($B$43=8,Weight!$I22,I65)</f>
        <v>9.3111537178744026</v>
      </c>
      <c r="J65" s="1">
        <f t="shared" ref="J65:J83" ca="1" si="21">IF($B$43=10,I22,J65)</f>
        <v>1.0992312260780122</v>
      </c>
      <c r="K65" s="13">
        <f ca="1">IF($B$43=10,Weight!$I22,K65)</f>
        <v>9.6026294733703725</v>
      </c>
    </row>
    <row r="66" spans="2:11">
      <c r="B66" s="1">
        <f t="shared" ca="1" si="17"/>
        <v>3.8157894736842106</v>
      </c>
      <c r="C66" s="13">
        <f ca="1">IF($B$43=1,Weight!$I23,C66)</f>
        <v>12.562167846145746</v>
      </c>
      <c r="D66" s="1">
        <f t="shared" ca="1" si="18"/>
        <v>3.8157894736842106</v>
      </c>
      <c r="E66" s="13">
        <f ca="1">IF($B$43=3,Weight!$I23,E66)</f>
        <v>12.908588367627203</v>
      </c>
      <c r="F66" s="1">
        <f t="shared" ca="1" si="19"/>
        <v>6</v>
      </c>
      <c r="G66" s="13">
        <f ca="1">IF($B$43=5,Weight!$I23,G66)</f>
        <v>12.62315607370982</v>
      </c>
      <c r="H66" s="1">
        <f t="shared" ca="1" si="20"/>
        <v>0</v>
      </c>
      <c r="I66" s="13">
        <f ca="1">IF($B$43=8,Weight!$I23,I66)</f>
        <v>9.3696530664314785</v>
      </c>
      <c r="J66" s="1">
        <f t="shared" ca="1" si="21"/>
        <v>1.0887135348272987</v>
      </c>
      <c r="K66" s="13">
        <f ca="1">IF($B$43=10,Weight!$I23,K66)</f>
        <v>9.6509650678440551</v>
      </c>
    </row>
    <row r="67" spans="2:11">
      <c r="B67" s="1">
        <f t="shared" ca="1" si="17"/>
        <v>3.9736842105263159</v>
      </c>
      <c r="C67" s="13">
        <f ca="1">IF($B$43=1,Weight!$I24,C67)</f>
        <v>12.225962518378804</v>
      </c>
      <c r="D67" s="1">
        <f t="shared" ca="1" si="18"/>
        <v>3.9736842105263159</v>
      </c>
      <c r="E67" s="13">
        <f ca="1">IF($B$43=3,Weight!$I24,E67)</f>
        <v>12.330520338429231</v>
      </c>
      <c r="F67" s="1">
        <f t="shared" ca="1" si="19"/>
        <v>6</v>
      </c>
      <c r="G67" s="13">
        <f ca="1">IF($B$43=5,Weight!$I24,G67)</f>
        <v>12.131232419060446</v>
      </c>
      <c r="H67" s="1">
        <f t="shared" ca="1" si="20"/>
        <v>0</v>
      </c>
      <c r="I67" s="13">
        <f ca="1">IF($B$43=8,Weight!$I24,I67)</f>
        <v>9.430233327166496</v>
      </c>
      <c r="J67" s="1">
        <f t="shared" ca="1" si="21"/>
        <v>1.0783342398483304</v>
      </c>
      <c r="K67" s="13">
        <f ca="1">IF($B$43=10,Weight!$I24,K67)</f>
        <v>9.7068641588252369</v>
      </c>
    </row>
    <row r="68" spans="2:11">
      <c r="B68" s="1">
        <f t="shared" ca="1" si="17"/>
        <v>4.1315789473684212</v>
      </c>
      <c r="C68" s="13">
        <f ca="1">IF($B$43=1,Weight!$I25,C68)</f>
        <v>11.963965844544111</v>
      </c>
      <c r="D68" s="1">
        <f t="shared" ca="1" si="18"/>
        <v>4.1315789473684212</v>
      </c>
      <c r="E68" s="13">
        <f ca="1">IF($B$43=3,Weight!$I25,E68)</f>
        <v>11.879220025965385</v>
      </c>
      <c r="F68" s="1">
        <f t="shared" ca="1" si="19"/>
        <v>6</v>
      </c>
      <c r="G68" s="13">
        <f ca="1">IF($B$43=5,Weight!$I25,G68)</f>
        <v>11.757564513446409</v>
      </c>
      <c r="H68" s="1">
        <f t="shared" ca="1" si="20"/>
        <v>0</v>
      </c>
      <c r="I68" s="13">
        <f ca="1">IF($B$43=8,Weight!$I25,I68)</f>
        <v>9.4927117499460181</v>
      </c>
      <c r="J68" s="1">
        <f t="shared" ca="1" si="21"/>
        <v>1.068086124313024</v>
      </c>
      <c r="K68" s="13">
        <f ca="1">IF($B$43=10,Weight!$I25,K68)</f>
        <v>9.7684503565751228</v>
      </c>
    </row>
    <row r="69" spans="2:11">
      <c r="B69" s="1">
        <f t="shared" ca="1" si="17"/>
        <v>4.2894736842105265</v>
      </c>
      <c r="C69" s="13">
        <f ca="1">IF($B$43=1,Weight!$I26,C69)</f>
        <v>11.766257523223761</v>
      </c>
      <c r="D69" s="1">
        <f t="shared" ca="1" si="18"/>
        <v>4.2894736842105265</v>
      </c>
      <c r="E69" s="13">
        <f ca="1">IF($B$43=3,Weight!$I26,E69)</f>
        <v>11.530010385920068</v>
      </c>
      <c r="F69" s="1">
        <f t="shared" ca="1" si="19"/>
        <v>6</v>
      </c>
      <c r="G69" s="13">
        <f ca="1">IF($B$43=5,Weight!$I26,G69)</f>
        <v>11.479794668111488</v>
      </c>
      <c r="H69" s="1">
        <f t="shared" ca="1" si="20"/>
        <v>0</v>
      </c>
      <c r="I69" s="13">
        <f ca="1">IF($B$43=8,Weight!$I26,I69)</f>
        <v>9.5569452838323556</v>
      </c>
      <c r="J69" s="1">
        <f t="shared" ca="1" si="21"/>
        <v>1.0579626078132049</v>
      </c>
      <c r="K69" s="13">
        <f ca="1">IF($B$43=10,Weight!$I26,K69)</f>
        <v>9.8345454274044624</v>
      </c>
    </row>
    <row r="70" spans="2:11">
      <c r="B70" s="1">
        <f t="shared" ca="1" si="17"/>
        <v>4.4473684210526319</v>
      </c>
      <c r="C70" s="13">
        <f ca="1">IF($B$43=1,Weight!$I27,C70)</f>
        <v>11.624957290486829</v>
      </c>
      <c r="D70" s="1">
        <f t="shared" ca="1" si="18"/>
        <v>4.4473684210526319</v>
      </c>
      <c r="E70" s="13">
        <f ca="1">IF($B$43=3,Weight!$I27,E70)</f>
        <v>11.26487350340707</v>
      </c>
      <c r="F70" s="1">
        <f t="shared" ca="1" si="19"/>
        <v>6</v>
      </c>
      <c r="G70" s="13">
        <f ca="1">IF($B$43=5,Weight!$I27,G70)</f>
        <v>11.281611206498834</v>
      </c>
      <c r="H70" s="1">
        <f t="shared" ca="1" si="20"/>
        <v>0</v>
      </c>
      <c r="I70" s="13">
        <f ca="1">IF($B$43=8,Weight!$I27,I70)</f>
        <v>9.62276424997434</v>
      </c>
      <c r="J70" s="1">
        <f t="shared" ca="1" si="21"/>
        <v>1.047957668973114</v>
      </c>
      <c r="K70" s="13">
        <f ca="1">IF($B$43=10,Weight!$I27,K70)</f>
        <v>9.9043912748074732</v>
      </c>
    </row>
    <row r="71" spans="2:11">
      <c r="B71" s="1">
        <f t="shared" ca="1" si="17"/>
        <v>4.6052631578947372</v>
      </c>
      <c r="C71" s="13">
        <f ca="1">IF($B$43=1,Weight!$I28,C71)</f>
        <v>11.53375646186271</v>
      </c>
      <c r="D71" s="1">
        <f t="shared" ca="1" si="18"/>
        <v>4.6052631578947372</v>
      </c>
      <c r="E71" s="13">
        <f ca="1">IF($B$43=3,Weight!$I28,E71)</f>
        <v>11.070367806629942</v>
      </c>
      <c r="F71" s="1">
        <f t="shared" ca="1" si="19"/>
        <v>6</v>
      </c>
      <c r="G71" s="13">
        <f ca="1">IF($B$43=5,Weight!$I28,G71)</f>
        <v>11.150833356538961</v>
      </c>
      <c r="H71" s="1">
        <f t="shared" ca="1" si="20"/>
        <v>0</v>
      </c>
      <c r="I71" s="13">
        <f ca="1">IF($B$43=8,Weight!$I28,I71)</f>
        <v>9.6902322769545819</v>
      </c>
      <c r="J71" s="1">
        <f t="shared" ca="1" si="21"/>
        <v>1.0380657798759203</v>
      </c>
      <c r="K71" s="13">
        <f ca="1">IF($B$43=10,Weight!$I28,K71)</f>
        <v>9.9774943749694369</v>
      </c>
    </row>
    <row r="72" spans="2:11">
      <c r="B72" s="1">
        <f t="shared" ca="1" si="17"/>
        <v>4.7631578947368425</v>
      </c>
      <c r="C72" s="13">
        <f ca="1">IF($B$43=1,Weight!$I29,C72)</f>
        <v>11.487576225154303</v>
      </c>
      <c r="D72" s="1">
        <f t="shared" ca="1" si="18"/>
        <v>4.7631578947368425</v>
      </c>
      <c r="E72" s="13">
        <f ca="1">IF($B$43=3,Weight!$I29,E72)</f>
        <v>10.936286803918463</v>
      </c>
      <c r="F72" s="1">
        <f t="shared" ca="1" si="19"/>
        <v>6</v>
      </c>
      <c r="G72" s="13">
        <f ca="1">IF($B$43=5,Weight!$I29,G72)</f>
        <v>11.0781938048308</v>
      </c>
      <c r="H72" s="1">
        <f t="shared" ca="1" si="20"/>
        <v>0</v>
      </c>
      <c r="I72" s="13">
        <f ca="1">IF($B$43=8,Weight!$I29,I72)</f>
        <v>9.7593302567711611</v>
      </c>
      <c r="J72" s="1">
        <f t="shared" ca="1" si="21"/>
        <v>1.0282818501586839</v>
      </c>
      <c r="K72" s="13">
        <f ca="1">IF($B$43=10,Weight!$I29,K72)</f>
        <v>10.053534471000372</v>
      </c>
    </row>
    <row r="73" spans="2:11">
      <c r="B73" s="1">
        <f t="shared" ca="1" si="17"/>
        <v>4.9210526315789478</v>
      </c>
      <c r="C73" s="13">
        <f ca="1">IF($B$43=1,Weight!$I30,C73)</f>
        <v>11.482752932644555</v>
      </c>
      <c r="D73" s="1">
        <f t="shared" ca="1" si="18"/>
        <v>4.9210526315789478</v>
      </c>
      <c r="E73" s="13">
        <f ca="1">IF($B$43=3,Weight!$I30,E73)</f>
        <v>10.855163641084424</v>
      </c>
      <c r="F73" s="1">
        <f t="shared" ca="1" si="19"/>
        <v>6</v>
      </c>
      <c r="G73" s="13">
        <f ca="1">IF($B$43=5,Weight!$I30,G73)</f>
        <v>11.056536197236177</v>
      </c>
      <c r="H73" s="1">
        <f t="shared" ca="1" si="20"/>
        <v>0</v>
      </c>
      <c r="I73" s="13">
        <f ca="1">IF($B$43=8,Weight!$I30,I73)</f>
        <v>9.8300599220196361</v>
      </c>
      <c r="J73" s="1">
        <f t="shared" ca="1" si="21"/>
        <v>1.0186011790778997</v>
      </c>
      <c r="K73" s="13">
        <f ca="1">IF($B$43=10,Weight!$I30,K73)</f>
        <v>10.132149927199531</v>
      </c>
    </row>
    <row r="74" spans="2:11">
      <c r="B74" s="1">
        <f t="shared" ca="1" si="17"/>
        <v>5.0789473684210531</v>
      </c>
      <c r="C74" s="13">
        <f ca="1">IF($B$43=1,Weight!$I31,C74)</f>
        <v>11.515630595679676</v>
      </c>
      <c r="D74" s="1">
        <f t="shared" ca="1" si="18"/>
        <v>5.0789473684210531</v>
      </c>
      <c r="E74" s="13">
        <f ca="1">IF($B$43=3,Weight!$I31,E74)</f>
        <v>10.82057200195252</v>
      </c>
      <c r="F74" s="1">
        <f t="shared" ca="1" si="19"/>
        <v>6</v>
      </c>
      <c r="G74" s="13">
        <f ca="1">IF($B$43=5,Weight!$I31,G74)</f>
        <v>11.080269835275976</v>
      </c>
      <c r="H74" s="1">
        <f t="shared" ca="1" si="20"/>
        <v>0</v>
      </c>
      <c r="I74" s="13">
        <f ca="1">IF($B$43=8,Weight!$I31,I74)</f>
        <v>9.9024395152215376</v>
      </c>
      <c r="J74" s="1">
        <f t="shared" ca="1" si="21"/>
        <v>1.009019414190691</v>
      </c>
      <c r="K74" s="13">
        <f ca="1">IF($B$43=10,Weight!$I31,K74)</f>
        <v>10.213321873324913</v>
      </c>
    </row>
    <row r="75" spans="2:11">
      <c r="B75" s="1">
        <f t="shared" ca="1" si="17"/>
        <v>5.2368421052631584</v>
      </c>
      <c r="C75" s="13">
        <f ca="1">IF($B$43=1,Weight!$I32,C75)</f>
        <v>11.583402335684314</v>
      </c>
      <c r="D75" s="1">
        <f t="shared" ca="1" si="18"/>
        <v>5.2368421052631584</v>
      </c>
      <c r="E75" s="13">
        <f ca="1">IF($B$43=3,Weight!$I32,E75)</f>
        <v>10.827587228400402</v>
      </c>
      <c r="F75" s="1">
        <f t="shared" ca="1" si="19"/>
        <v>6</v>
      </c>
      <c r="G75" s="13">
        <f ca="1">IF($B$43=5,Weight!$I32,G75)</f>
        <v>11.144989451784651</v>
      </c>
      <c r="H75" s="1">
        <f t="shared" ca="1" si="20"/>
        <v>0</v>
      </c>
      <c r="I75" s="13">
        <f ca="1">IF($B$43=8,Weight!$I32,I75)</f>
        <v>9.9765005959060495</v>
      </c>
      <c r="J75" s="1">
        <f t="shared" ca="1" si="21"/>
        <v>0.99953251556190881</v>
      </c>
      <c r="K75" s="13">
        <f ca="1">IF($B$43=10,Weight!$I32,K75)</f>
        <v>10.297033140763585</v>
      </c>
    </row>
    <row r="76" spans="2:11">
      <c r="B76" s="1">
        <f t="shared" ca="1" si="17"/>
        <v>5.3947368421052637</v>
      </c>
      <c r="C76" s="13">
        <f ca="1">IF($B$43=1,Weight!$I33,C76)</f>
        <v>11.683930197831195</v>
      </c>
      <c r="D76" s="1">
        <f t="shared" ca="1" si="18"/>
        <v>5.3947368421052637</v>
      </c>
      <c r="E76" s="13">
        <f ca="1">IF($B$43=3,Weight!$I33,E76)</f>
        <v>10.872422445341504</v>
      </c>
      <c r="F76" s="1">
        <f t="shared" ca="1" si="19"/>
        <v>6</v>
      </c>
      <c r="G76" s="13">
        <f ca="1">IF($B$43=5,Weight!$I33,G76)</f>
        <v>11.247204164852475</v>
      </c>
      <c r="H76" s="1">
        <f t="shared" ca="1" si="20"/>
        <v>0</v>
      </c>
      <c r="I76" s="13">
        <f ca="1">IF($B$43=8,Weight!$I33,I76)</f>
        <v>10.05228567983486</v>
      </c>
      <c r="J76" s="1">
        <f t="shared" ca="1" si="21"/>
        <v>0.99013672461425162</v>
      </c>
      <c r="K76" s="13">
        <f ca="1">IF($B$43=10,Weight!$I33,K76)</f>
        <v>10.383263446119301</v>
      </c>
    </row>
    <row r="77" spans="2:11">
      <c r="B77" s="1">
        <f t="shared" ca="1" si="17"/>
        <v>5.552631578947369</v>
      </c>
      <c r="C77" s="13">
        <f ca="1">IF($B$43=1,Weight!$I34,C77)</f>
        <v>11.815520959649087</v>
      </c>
      <c r="D77" s="1">
        <f t="shared" ca="1" si="18"/>
        <v>5.552631578947369</v>
      </c>
      <c r="E77" s="13">
        <f ca="1">IF($B$43=3,Weight!$I34,E77)</f>
        <v>10.952086772351674</v>
      </c>
      <c r="F77" s="1">
        <f t="shared" ca="1" si="19"/>
        <v>6</v>
      </c>
      <c r="G77" s="13">
        <f ca="1">IF($B$43=5,Weight!$I34,G77)</f>
        <v>11.384140547552466</v>
      </c>
      <c r="H77" s="1">
        <f t="shared" ca="1" si="20"/>
        <v>0</v>
      </c>
      <c r="I77" s="13">
        <f ca="1">IF($B$43=8,Weight!$I34,I77)</f>
        <v>10.129846494119878</v>
      </c>
      <c r="J77" s="1">
        <f t="shared" ca="1" si="21"/>
        <v>0.98082853690124616</v>
      </c>
      <c r="K77" s="13">
        <f ca="1">IF($B$43=10,Weight!$I34,K77)</f>
        <v>10.47202657108137</v>
      </c>
    </row>
    <row r="78" spans="2:11">
      <c r="B78" s="1">
        <f t="shared" ca="1" si="17"/>
        <v>5.7105263157894743</v>
      </c>
      <c r="C78" s="13">
        <f ca="1">IF($B$43=1,Weight!$I35,C78)</f>
        <v>11.976859667793516</v>
      </c>
      <c r="D78" s="1">
        <f t="shared" ca="1" si="18"/>
        <v>5.7105263157894743</v>
      </c>
      <c r="E78" s="13">
        <f ca="1">IF($B$43=3,Weight!$I35,E78)</f>
        <v>11.064225925254805</v>
      </c>
      <c r="F78" s="1">
        <f t="shared" ca="1" si="19"/>
        <v>6</v>
      </c>
      <c r="G78" s="13">
        <f ca="1">IF($B$43=5,Weight!$I35,G78)</f>
        <v>11.553597182157651</v>
      </c>
      <c r="H78" s="1">
        <f t="shared" ca="1" si="20"/>
        <v>0</v>
      </c>
      <c r="I78" s="13">
        <f ca="1">IF($B$43=8,Weight!$I35,I78)</f>
        <v>10.209242693597247</v>
      </c>
      <c r="J78" s="1">
        <f t="shared" ca="1" si="21"/>
        <v>0.97160467821186125</v>
      </c>
      <c r="K78" s="13">
        <f ca="1">IF($B$43=10,Weight!$I35,K78)</f>
        <v>10.563363338629772</v>
      </c>
    </row>
    <row r="79" spans="2:11">
      <c r="B79" s="1">
        <f t="shared" ca="1" si="17"/>
        <v>5.8684210526315796</v>
      </c>
      <c r="C79" s="13">
        <f ca="1">IF($B$43=1,Weight!$I36,C79)</f>
        <v>12.166958105128224</v>
      </c>
      <c r="D79" s="1">
        <f t="shared" ca="1" si="18"/>
        <v>5.8684210526315796</v>
      </c>
      <c r="E79" s="13">
        <f ca="1">IF($B$43=3,Weight!$I36,E79)</f>
        <v>11.207003931530572</v>
      </c>
      <c r="F79" s="1">
        <f t="shared" ca="1" si="19"/>
        <v>6</v>
      </c>
      <c r="G79" s="13">
        <f ca="1">IF($B$43=5,Weight!$I36,G79)</f>
        <v>11.753835720462783</v>
      </c>
      <c r="H79" s="1">
        <f t="shared" ca="1" si="20"/>
        <v>0</v>
      </c>
      <c r="I79" s="13">
        <f ca="1">IF($B$43=8,Weight!$I36,I79)</f>
        <v>10.290540926851193</v>
      </c>
      <c r="J79" s="1">
        <f t="shared" ca="1" si="21"/>
        <v>0.96246208351849694</v>
      </c>
      <c r="K79" s="13">
        <f ca="1">IF($B$43=10,Weight!$I36,K79)</f>
        <v>10.657336803098385</v>
      </c>
    </row>
    <row r="80" spans="2:11">
      <c r="B80" s="1">
        <f t="shared" ca="1" si="17"/>
        <v>6.026315789473685</v>
      </c>
      <c r="C80" s="13">
        <f ca="1">IF($B$43=1,Weight!$I37,C80)</f>
        <v>12.385114993461602</v>
      </c>
      <c r="D80" s="1">
        <f t="shared" ca="1" si="18"/>
        <v>6.026315789473685</v>
      </c>
      <c r="E80" s="13">
        <f ca="1">IF($B$43=3,Weight!$I37,E80)</f>
        <v>11.379014665238852</v>
      </c>
      <c r="F80" s="1">
        <f t="shared" ca="1" si="19"/>
        <v>6</v>
      </c>
      <c r="G80" s="13">
        <f ca="1">IF($B$43=5,Weight!$I37,G80)</f>
        <v>11.983498315482617</v>
      </c>
      <c r="H80" s="1">
        <f t="shared" ca="1" si="20"/>
        <v>0</v>
      </c>
      <c r="I80" s="13">
        <f ca="1">IF($B$43=8,Weight!$I37,I80)</f>
        <v>10.37381417069852</v>
      </c>
      <c r="J80" s="1">
        <f t="shared" ca="1" si="21"/>
        <v>0.95339787836280965</v>
      </c>
      <c r="K80" s="13">
        <f ca="1">IF($B$43=10,Weight!$I37,K80)</f>
        <v>10.754028986409843</v>
      </c>
    </row>
    <row r="81" spans="1:11">
      <c r="B81" s="1">
        <f t="shared" ca="1" si="17"/>
        <v>6.1842105263157903</v>
      </c>
      <c r="C81" s="13">
        <f ca="1">IF($B$43=1,Weight!$I38,C81)</f>
        <v>12.630885577349609</v>
      </c>
      <c r="D81" s="1">
        <f t="shared" ca="1" si="18"/>
        <v>6.1842105263157903</v>
      </c>
      <c r="E81" s="13">
        <f ca="1">IF($B$43=3,Weight!$I38,E81)</f>
        <v>11.579215443650117</v>
      </c>
      <c r="F81" s="1">
        <f t="shared" ca="1" si="19"/>
        <v>6</v>
      </c>
      <c r="G81" s="13">
        <f ca="1">IF($B$43=5,Weight!$I38,G81)</f>
        <v>12.241544431890777</v>
      </c>
      <c r="H81" s="1">
        <f t="shared" ca="1" si="20"/>
        <v>0</v>
      </c>
      <c r="I81" s="13">
        <f ca="1">IF($B$43=8,Weight!$I38,I81)</f>
        <v>10.459141273695355</v>
      </c>
      <c r="J81" s="1">
        <f t="shared" ca="1" si="21"/>
        <v>0.94440936234077166</v>
      </c>
      <c r="K81" s="13">
        <f ca="1">IF($B$43=10,Weight!$I38,K81)</f>
        <v>10.853538726883025</v>
      </c>
    </row>
    <row r="82" spans="1:11">
      <c r="B82" s="1">
        <f t="shared" ca="1" si="17"/>
        <v>6.3421052631578956</v>
      </c>
      <c r="C82" s="13">
        <f ca="1">IF($B$43=1,Weight!$I39,C82)</f>
        <v>12.904058851252197</v>
      </c>
      <c r="D82" s="1">
        <f t="shared" ca="1" si="18"/>
        <v>6.3421052631578956</v>
      </c>
      <c r="E82" s="13">
        <f ca="1">IF($B$43=3,Weight!$I39,E82)</f>
        <v>11.806877286763186</v>
      </c>
      <c r="F82" s="1">
        <f t="shared" ca="1" si="19"/>
        <v>6</v>
      </c>
      <c r="G82" s="13">
        <f ca="1">IF($B$43=5,Weight!$I39,G82)</f>
        <v>12.52720212642066</v>
      </c>
      <c r="H82" s="1">
        <f t="shared" ca="1" si="20"/>
        <v>0</v>
      </c>
      <c r="I82" s="13">
        <f ca="1">IF($B$43=8,Weight!$I39,I82)</f>
        <v>10.54660666495765</v>
      </c>
      <c r="J82" s="1">
        <f t="shared" ca="1" si="21"/>
        <v>0.93549399440280645</v>
      </c>
      <c r="K82" s="13">
        <f ca="1">IF($B$43=10,Weight!$I39,K82)</f>
        <v>10.955980356162076</v>
      </c>
    </row>
    <row r="83" spans="1:11">
      <c r="B83" s="1">
        <f t="shared" ca="1" si="17"/>
        <v>6.5</v>
      </c>
      <c r="C83" s="13">
        <f ca="1">IF($B$43=1,Weight!$I40,C83)</f>
        <v>13.20464115350277</v>
      </c>
      <c r="D83" s="1">
        <f t="shared" ca="1" si="18"/>
        <v>6.5</v>
      </c>
      <c r="E83" s="13">
        <f ca="1">IF($B$43=3,Weight!$I40,E83)</f>
        <v>12.061548050056492</v>
      </c>
      <c r="F83" s="1">
        <f t="shared" ca="1" si="19"/>
        <v>6</v>
      </c>
      <c r="G83" s="13">
        <f ca="1">IF($B$43=5,Weight!$I40,G83)</f>
        <v>12.839930299325685</v>
      </c>
      <c r="H83" s="1">
        <f t="shared" ca="1" si="20"/>
        <v>0</v>
      </c>
      <c r="I83" s="13">
        <f ca="1">IF($B$43=8,Weight!$I40,I83)</f>
        <v>10.636300196090858</v>
      </c>
      <c r="J83" s="1">
        <f t="shared" ca="1" si="21"/>
        <v>0.92664937972941419</v>
      </c>
      <c r="K83" s="13">
        <f ca="1">IF($B$43=10,Weight!$I40,K83)</f>
        <v>11.061483017707125</v>
      </c>
    </row>
    <row r="84" spans="1:11">
      <c r="B84" s="1"/>
      <c r="C84" s="13"/>
      <c r="D84" s="13"/>
      <c r="E84" s="13"/>
      <c r="F84" s="13"/>
      <c r="G84" s="13"/>
    </row>
    <row r="85" spans="1:11">
      <c r="B85" s="1"/>
      <c r="C85" s="13"/>
      <c r="D85" s="13"/>
      <c r="E85" s="13"/>
      <c r="F85" s="13"/>
      <c r="G85" s="13"/>
    </row>
    <row r="86" spans="1:11">
      <c r="A86" s="1" t="s">
        <v>597</v>
      </c>
      <c r="B86" s="1">
        <f ca="1">INDEX(B64:B83,MATCH(C86,C64:C83,0),1)</f>
        <v>4.9210526315789478</v>
      </c>
      <c r="C86" s="13">
        <f ca="1">MIN(C64:C83)</f>
        <v>11.482752932644555</v>
      </c>
      <c r="D86" s="1">
        <f ca="1">INDEX(D64:D83,MATCH(E86,E64:E83,0),1)</f>
        <v>5.0789473684210531</v>
      </c>
      <c r="E86" s="13">
        <f ca="1">MIN(E64:E83)</f>
        <v>10.82057200195252</v>
      </c>
      <c r="F86" s="1">
        <f ca="1">INDEX(F64:F83,MATCH(G86,G64:G83,0),1)</f>
        <v>6</v>
      </c>
      <c r="G86" s="13">
        <f ca="1">MIN(G64:G83)</f>
        <v>11.056536197236177</v>
      </c>
      <c r="H86" s="1">
        <f ca="1">INDEX(H64:H83,MATCH(I86,I64:I83,0),1)</f>
        <v>0</v>
      </c>
      <c r="I86" s="13">
        <f ca="1">MIN(I64:I83)</f>
        <v>9.2550034641393548</v>
      </c>
      <c r="J86" s="1">
        <f ca="1">INDEX(J64:J83,MATCH(K86,K64:K83,0),1)</f>
        <v>1.1098952587859205</v>
      </c>
      <c r="K86" s="13">
        <f ca="1">MIN(K64:K83)</f>
        <v>9.5649581002706974</v>
      </c>
    </row>
    <row r="87" spans="1:11">
      <c r="B87" s="1"/>
      <c r="C87" s="13"/>
      <c r="D87" s="13"/>
      <c r="E87" s="13"/>
      <c r="F87" s="13"/>
      <c r="G87" s="13"/>
    </row>
    <row r="88" spans="1:11">
      <c r="B88" s="1">
        <f ca="1">IF(C88=C86,B86,IF(C88=E86,D86,IF(C88=G86,F86,IF(C88=I86,H86,IF(C88=K86,J86,B86)))))</f>
        <v>0</v>
      </c>
      <c r="C88" s="13">
        <f ca="1">MIN(C86,E86,G86,I86,K86)</f>
        <v>9.2550034641393548</v>
      </c>
      <c r="D88" s="13"/>
      <c r="E88" s="13"/>
      <c r="F88" s="13"/>
      <c r="G88" s="13"/>
    </row>
    <row r="89" spans="1:11">
      <c r="B89" s="1"/>
      <c r="C89" s="13"/>
      <c r="D89" s="13"/>
      <c r="E89" s="13"/>
      <c r="F89" s="13"/>
      <c r="G89" s="13"/>
    </row>
  </sheetData>
  <phoneticPr fontId="19" type="noConversion"/>
  <pageMargins left="0.75" right="0.75" top="1" bottom="1" header="0.5" footer="0.5"/>
  <pageSetup paperSize="9" orientation="portrait" horizontalDpi="4294967293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BP63"/>
  <sheetViews>
    <sheetView zoomScale="110" zoomScaleNormal="110" workbookViewId="0">
      <selection activeCell="B9" sqref="B9"/>
    </sheetView>
  </sheetViews>
  <sheetFormatPr defaultRowHeight="12.75"/>
  <cols>
    <col min="43" max="43" width="9.42578125" customWidth="1"/>
  </cols>
  <sheetData>
    <row r="1" spans="1:68">
      <c r="A1" s="17" t="s">
        <v>307</v>
      </c>
    </row>
    <row r="3" spans="1:68">
      <c r="A3" t="s">
        <v>270</v>
      </c>
    </row>
    <row r="4" spans="1:68">
      <c r="A4" s="17"/>
    </row>
    <row r="5" spans="1:68">
      <c r="A5" s="64" t="s">
        <v>292</v>
      </c>
      <c r="B5" s="8">
        <v>1000</v>
      </c>
      <c r="C5" s="3" t="s">
        <v>4</v>
      </c>
      <c r="F5" s="6"/>
      <c r="G5" s="6"/>
      <c r="H5" s="6"/>
    </row>
    <row r="6" spans="1:68">
      <c r="A6" t="s">
        <v>28</v>
      </c>
      <c r="B6">
        <f>Takeoff!B5+B5</f>
        <v>1000</v>
      </c>
      <c r="C6" t="s">
        <v>4</v>
      </c>
      <c r="E6" s="16"/>
      <c r="F6" s="6"/>
      <c r="G6" s="16"/>
      <c r="H6" s="6"/>
    </row>
    <row r="7" spans="1:68">
      <c r="A7" s="3" t="s">
        <v>29</v>
      </c>
      <c r="B7" s="1">
        <f>ISA!R8</f>
        <v>0.65969672852566186</v>
      </c>
      <c r="C7" s="3" t="s">
        <v>30</v>
      </c>
      <c r="D7" s="16"/>
    </row>
    <row r="8" spans="1:68">
      <c r="A8" s="64" t="s">
        <v>110</v>
      </c>
      <c r="B8" s="12">
        <v>0.9</v>
      </c>
      <c r="D8" t="s">
        <v>290</v>
      </c>
    </row>
    <row r="9" spans="1:68">
      <c r="A9" s="64"/>
      <c r="B9" s="1"/>
    </row>
    <row r="15" spans="1:68">
      <c r="B15" t="s">
        <v>279</v>
      </c>
      <c r="F15" t="s">
        <v>273</v>
      </c>
      <c r="H15" t="s">
        <v>277</v>
      </c>
      <c r="J15" t="s">
        <v>278</v>
      </c>
      <c r="U15" t="s">
        <v>286</v>
      </c>
      <c r="Z15" t="s">
        <v>268</v>
      </c>
      <c r="AB15" t="s">
        <v>288</v>
      </c>
    </row>
    <row r="16" spans="1:68"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42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</row>
    <row r="17" spans="2:68"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</row>
    <row r="18" spans="2:68">
      <c r="B18" s="9" t="s">
        <v>280</v>
      </c>
      <c r="C18" s="9" t="s">
        <v>281</v>
      </c>
      <c r="D18" s="9" t="s">
        <v>282</v>
      </c>
      <c r="F18" s="9" t="s">
        <v>29</v>
      </c>
      <c r="H18" s="9" t="s">
        <v>34</v>
      </c>
      <c r="J18" s="9" t="s">
        <v>283</v>
      </c>
      <c r="K18" s="9" t="s">
        <v>54</v>
      </c>
      <c r="L18" s="9" t="s">
        <v>284</v>
      </c>
      <c r="M18" s="9" t="s">
        <v>285</v>
      </c>
      <c r="N18" s="9" t="s">
        <v>0</v>
      </c>
      <c r="O18" s="9" t="s">
        <v>55</v>
      </c>
      <c r="P18" s="9" t="s">
        <v>56</v>
      </c>
      <c r="Q18" s="9" t="s">
        <v>57</v>
      </c>
      <c r="R18" s="9" t="s">
        <v>58</v>
      </c>
      <c r="S18" s="9" t="s">
        <v>59</v>
      </c>
      <c r="U18" s="9" t="s">
        <v>198</v>
      </c>
      <c r="V18" s="9" t="s">
        <v>305</v>
      </c>
      <c r="W18" s="9" t="s">
        <v>306</v>
      </c>
      <c r="X18" s="9" t="s">
        <v>40</v>
      </c>
      <c r="Y18" s="9"/>
      <c r="Z18" s="9" t="s">
        <v>141</v>
      </c>
      <c r="AA18" s="23"/>
      <c r="AB18" s="9" t="s">
        <v>110</v>
      </c>
      <c r="AC18" s="9" t="s">
        <v>323</v>
      </c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6"/>
      <c r="BF18" s="6"/>
      <c r="BG18" s="23"/>
      <c r="BH18" s="23"/>
      <c r="BI18" s="6"/>
      <c r="BJ18" s="23"/>
      <c r="BK18" s="23"/>
      <c r="BL18" s="23"/>
      <c r="BM18" s="6"/>
      <c r="BN18" s="23"/>
      <c r="BO18" s="23"/>
      <c r="BP18" s="23"/>
    </row>
    <row r="19" spans="2:68">
      <c r="B19" s="9" t="s">
        <v>4</v>
      </c>
      <c r="C19" s="9" t="s">
        <v>4</v>
      </c>
      <c r="D19" s="9" t="s">
        <v>43</v>
      </c>
      <c r="F19" s="9" t="s">
        <v>30</v>
      </c>
      <c r="H19" s="9" t="s">
        <v>35</v>
      </c>
      <c r="J19" s="9"/>
      <c r="K19" s="9"/>
      <c r="L19" s="9"/>
      <c r="M19" s="9"/>
      <c r="N19" s="9"/>
      <c r="P19" s="9" t="s">
        <v>35</v>
      </c>
      <c r="Q19" s="9" t="s">
        <v>35</v>
      </c>
      <c r="R19" s="9"/>
      <c r="S19" s="9" t="s">
        <v>34</v>
      </c>
      <c r="U19" s="9" t="s">
        <v>1</v>
      </c>
      <c r="W19" s="9" t="s">
        <v>1</v>
      </c>
      <c r="X19" s="9" t="s">
        <v>1</v>
      </c>
      <c r="Z19" s="9" t="s">
        <v>34</v>
      </c>
      <c r="AA19" s="6"/>
      <c r="AB19" s="9"/>
      <c r="AC19" s="9"/>
      <c r="AD19" s="6"/>
      <c r="AE19" s="23"/>
      <c r="AF19" s="23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23"/>
      <c r="BB19" s="23"/>
      <c r="BC19" s="23"/>
      <c r="BD19" s="23"/>
      <c r="BE19" s="6"/>
      <c r="BF19" s="6"/>
      <c r="BG19" s="23"/>
      <c r="BH19" s="23"/>
      <c r="BI19" s="6"/>
      <c r="BJ19" s="23"/>
      <c r="BK19" s="23"/>
      <c r="BL19" s="23"/>
      <c r="BM19" s="6"/>
      <c r="BN19" s="23"/>
      <c r="BO19" s="23"/>
      <c r="BP19" s="23"/>
    </row>
    <row r="20" spans="2:68">
      <c r="AA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</row>
    <row r="21" spans="2:68">
      <c r="B21" s="31">
        <f>Main!C21</f>
        <v>1.5</v>
      </c>
      <c r="C21" s="31">
        <f>Main!B21</f>
        <v>0.33333333333333326</v>
      </c>
      <c r="D21" s="1">
        <f t="shared" ref="D21:D40" si="0">B21*C21</f>
        <v>0.49999999999999989</v>
      </c>
      <c r="F21" s="1">
        <f t="shared" ref="F21:F40" si="1">$B$7</f>
        <v>0.65969672852566186</v>
      </c>
      <c r="H21" s="62">
        <f ca="1">Main!AC21</f>
        <v>129.6027712490764</v>
      </c>
      <c r="J21" s="16">
        <f ca="1">'Aerodynamics-Cruise'!AG21</f>
        <v>1.4278079600608844</v>
      </c>
      <c r="K21" s="16">
        <f ca="1">'Aerodynamics-Cruise'!BE21</f>
        <v>0.87824015425735491</v>
      </c>
      <c r="L21" s="42">
        <f ca="1">'Aerodynamics-Cruise'!BF21</f>
        <v>1.321297514242306E-2</v>
      </c>
      <c r="M21" s="84">
        <v>0</v>
      </c>
      <c r="N21" s="42">
        <f ca="1">(O21-L21)/K21^2</f>
        <v>6.0971572464970973E-2</v>
      </c>
      <c r="O21" s="10">
        <f ca="1">'Aerodynamics-Cruise'!BH21</f>
        <v>6.0240700701946551E-2</v>
      </c>
      <c r="P21" s="13">
        <f ca="1">0.5*F21*X21^2*D21*K21</f>
        <v>129.60277124927345</v>
      </c>
      <c r="Q21" s="13">
        <f ca="1">0.5*F21*X21^2*D21*O21</f>
        <v>8.8897799936878048</v>
      </c>
      <c r="R21" s="16">
        <f t="shared" ref="R21:R40" ca="1" si="2">P21/Q21</f>
        <v>14.578850246158847</v>
      </c>
      <c r="S21" s="14">
        <f ca="1">Q21*X21</f>
        <v>265.9189839366739</v>
      </c>
      <c r="U21" s="20">
        <f ca="1">SQRT(H21/(0.5*F21*D21*J21))</f>
        <v>23.460111671375437</v>
      </c>
      <c r="V21" s="1">
        <f ca="1">SQRT(L21/N21)</f>
        <v>0.46551814234972039</v>
      </c>
      <c r="W21" s="20">
        <f ca="1">SQRT(H21/(0.5*F21*D21*V21))</f>
        <v>41.086265562039266</v>
      </c>
      <c r="X21" s="13">
        <f ca="1">'Aerodynamics-Cruise'!H21</f>
        <v>29.912886947189744</v>
      </c>
      <c r="Y21" s="33"/>
      <c r="Z21" s="19">
        <f ca="1">'Propulsion-Cruise'!S21</f>
        <v>163.43103094600974</v>
      </c>
      <c r="AA21" s="42"/>
      <c r="AB21" s="13">
        <f ca="1">'Propulsion-Cruise'!F21</f>
        <v>1</v>
      </c>
      <c r="AC21" s="13">
        <f ca="1">($B$8-AB21)/$B$8</f>
        <v>-0.11111111111111108</v>
      </c>
      <c r="AD21" s="57" t="str">
        <f ca="1">IF(AB21&lt;$B$8,"OK","reduce payload weight")</f>
        <v>reduce payload weight</v>
      </c>
      <c r="AE21" s="20"/>
      <c r="AF21" s="20"/>
      <c r="AG21" s="16"/>
      <c r="AH21" s="16"/>
      <c r="AI21" s="42"/>
      <c r="AJ21" s="42"/>
      <c r="AK21" s="42"/>
      <c r="AL21" s="16"/>
      <c r="AM21" s="16"/>
      <c r="AN21" s="16"/>
      <c r="AO21" s="16"/>
      <c r="AP21" s="42"/>
      <c r="AQ21" s="42"/>
      <c r="AR21" s="42"/>
      <c r="AS21" s="16"/>
      <c r="AT21" s="16"/>
      <c r="AU21" s="42"/>
      <c r="AV21" s="42"/>
      <c r="AW21" s="16"/>
      <c r="AX21" s="42"/>
      <c r="AY21" s="42"/>
      <c r="AZ21" s="42"/>
      <c r="BA21" s="20"/>
      <c r="BB21" s="20"/>
      <c r="BC21" s="20"/>
      <c r="BD21" s="19"/>
      <c r="BE21" s="6"/>
      <c r="BF21" s="6"/>
      <c r="BG21" s="16"/>
      <c r="BH21" s="16"/>
      <c r="BI21" s="6"/>
      <c r="BJ21" s="16"/>
      <c r="BK21" s="16"/>
      <c r="BL21" s="16"/>
      <c r="BM21" s="6"/>
      <c r="BN21" s="16"/>
      <c r="BO21" s="16"/>
      <c r="BP21" s="16"/>
    </row>
    <row r="22" spans="2:68">
      <c r="B22" s="31">
        <f>Main!C22</f>
        <v>1.5789473684210527</v>
      </c>
      <c r="C22" s="31">
        <f>Main!B22</f>
        <v>0.33333333333333326</v>
      </c>
      <c r="D22" s="1">
        <f t="shared" si="0"/>
        <v>0.52631578947368407</v>
      </c>
      <c r="F22" s="1">
        <f t="shared" si="1"/>
        <v>0.65969672852566186</v>
      </c>
      <c r="H22" s="62">
        <f ca="1">Main!AC22</f>
        <v>131.99424477485522</v>
      </c>
      <c r="J22" s="16">
        <f ca="1">'Aerodynamics-Cruise'!AG22</f>
        <v>1.4274792472156612</v>
      </c>
      <c r="K22" s="16">
        <f ca="1">'Aerodynamics-Cruise'!BE22</f>
        <v>0.87834283269545022</v>
      </c>
      <c r="L22" s="42">
        <f ca="1">'Aerodynamics-Cruise'!BF22</f>
        <v>1.3116765901860731E-2</v>
      </c>
      <c r="M22" s="84">
        <v>0</v>
      </c>
      <c r="N22" s="42">
        <f t="shared" ref="N22:N40" ca="1" si="3">(O22-L22)/K22^2</f>
        <v>5.8313978949999859E-2</v>
      </c>
      <c r="O22" s="10">
        <f ca="1">'Aerodynamics-Cruise'!BH22</f>
        <v>5.810519194851934E-2</v>
      </c>
      <c r="P22" s="13">
        <f t="shared" ref="P22:P40" ca="1" si="4">0.5*F22*X22^2*D22*K22</f>
        <v>131.99424477508796</v>
      </c>
      <c r="Q22" s="13">
        <f t="shared" ref="Q22:Q40" ca="1" si="5">0.5*F22*X22^2*D22*O22</f>
        <v>8.7318421045459971</v>
      </c>
      <c r="R22" s="16">
        <f t="shared" ca="1" si="2"/>
        <v>15.116425972289253</v>
      </c>
      <c r="S22" s="14">
        <f t="shared" ref="S22:S40" ca="1" si="6">Q22*X22</f>
        <v>256.90406361594643</v>
      </c>
      <c r="U22" s="20">
        <f t="shared" ref="U22:U40" ca="1" si="7">SQRT(H22/(0.5*F22*D22*J22))</f>
        <v>23.078747160519566</v>
      </c>
      <c r="V22" s="1">
        <f t="shared" ref="V22:V40" ca="1" si="8">SQRT(L22/N22)</f>
        <v>0.47427151989224126</v>
      </c>
      <c r="W22" s="20">
        <f t="shared" ref="W22:W40" ca="1" si="9">SQRT(H22/(0.5*F22*D22*V22))</f>
        <v>40.039035560037092</v>
      </c>
      <c r="X22" s="13">
        <f ca="1">'Aerodynamics-Cruise'!H22</f>
        <v>29.421519599178584</v>
      </c>
      <c r="Y22" s="33"/>
      <c r="Z22" s="19">
        <f ca="1">'Propulsion-Cruise'!S22</f>
        <v>168.50192441815415</v>
      </c>
      <c r="AA22" s="42"/>
      <c r="AB22" s="13">
        <f ca="1">'Propulsion-Cruise'!F22</f>
        <v>1</v>
      </c>
      <c r="AC22" s="13">
        <f t="shared" ref="AC22:AC40" ca="1" si="10">($B$8-AB22)/$B$8</f>
        <v>-0.11111111111111108</v>
      </c>
      <c r="AD22" s="57" t="str">
        <f t="shared" ref="AD22:AD40" ca="1" si="11">IF(AB22&lt;$B$8,"OK","reduce payload weight")</f>
        <v>reduce payload weight</v>
      </c>
      <c r="AE22" s="20"/>
      <c r="AF22" s="20"/>
      <c r="AG22" s="16"/>
      <c r="AH22" s="16"/>
      <c r="AI22" s="42"/>
      <c r="AJ22" s="42"/>
      <c r="AK22" s="42"/>
      <c r="AL22" s="16"/>
      <c r="AM22" s="16"/>
      <c r="AN22" s="16"/>
      <c r="AO22" s="16"/>
      <c r="AP22" s="42"/>
      <c r="AQ22" s="42"/>
      <c r="AR22" s="42"/>
      <c r="AS22" s="16"/>
      <c r="AT22" s="16"/>
      <c r="AU22" s="42"/>
      <c r="AV22" s="42"/>
      <c r="AW22" s="16"/>
      <c r="AX22" s="42"/>
      <c r="AY22" s="42"/>
      <c r="AZ22" s="42"/>
      <c r="BA22" s="20"/>
      <c r="BB22" s="20"/>
      <c r="BC22" s="20"/>
      <c r="BD22" s="19"/>
      <c r="BE22" s="6"/>
      <c r="BF22" s="6"/>
      <c r="BG22" s="16"/>
      <c r="BH22" s="16"/>
      <c r="BI22" s="6"/>
      <c r="BJ22" s="16"/>
      <c r="BK22" s="16"/>
      <c r="BL22" s="16"/>
      <c r="BM22" s="6"/>
      <c r="BN22" s="16"/>
      <c r="BO22" s="16"/>
      <c r="BP22" s="16"/>
    </row>
    <row r="23" spans="2:68">
      <c r="B23" s="31">
        <f>Main!C23</f>
        <v>1.6578947368421053</v>
      </c>
      <c r="C23" s="31">
        <f>Main!B23</f>
        <v>0.33333333333333326</v>
      </c>
      <c r="D23" s="1">
        <f t="shared" si="0"/>
        <v>0.55263157894736836</v>
      </c>
      <c r="F23" s="1">
        <f t="shared" si="1"/>
        <v>0.65969672852566186</v>
      </c>
      <c r="H23" s="62">
        <f ca="1">Main!AC23</f>
        <v>134.24051129324812</v>
      </c>
      <c r="J23" s="16">
        <f ca="1">'Aerodynamics-Cruise'!AG23</f>
        <v>1.4271616137554282</v>
      </c>
      <c r="K23" s="16">
        <f ca="1">'Aerodynamics-Cruise'!BE23</f>
        <v>0.87843184395141705</v>
      </c>
      <c r="L23" s="42">
        <f ca="1">'Aerodynamics-Cruise'!BF23</f>
        <v>1.303786352544699E-2</v>
      </c>
      <c r="M23" s="84">
        <v>0</v>
      </c>
      <c r="N23" s="42">
        <f t="shared" ca="1" si="3"/>
        <v>5.5907560763874209E-2</v>
      </c>
      <c r="O23" s="10">
        <f ca="1">'Aerodynamics-Cruise'!BH23</f>
        <v>5.6178513731685392E-2</v>
      </c>
      <c r="P23" s="13">
        <f t="shared" ca="1" si="4"/>
        <v>134.24051129351795</v>
      </c>
      <c r="Q23" s="13">
        <f t="shared" ca="1" si="5"/>
        <v>8.5851081776908522</v>
      </c>
      <c r="R23" s="16">
        <f t="shared" ca="1" si="2"/>
        <v>15.636437947555928</v>
      </c>
      <c r="S23" s="14">
        <f t="shared" ca="1" si="6"/>
        <v>248.57561285049422</v>
      </c>
      <c r="U23" s="20">
        <f t="shared" ca="1" si="7"/>
        <v>22.715913401688795</v>
      </c>
      <c r="V23" s="1">
        <f t="shared" ca="1" si="8"/>
        <v>0.4829119396146524</v>
      </c>
      <c r="W23" s="20">
        <f t="shared" ca="1" si="9"/>
        <v>39.051058560111912</v>
      </c>
      <c r="X23" s="13">
        <f ca="1">'Aerodynamics-Cruise'!H23</f>
        <v>28.954278467487942</v>
      </c>
      <c r="Y23" s="33"/>
      <c r="Z23" s="19">
        <f ca="1">'Propulsion-Cruise'!S23</f>
        <v>173.01096984465534</v>
      </c>
      <c r="AA23" s="42"/>
      <c r="AB23" s="13">
        <f ca="1">'Propulsion-Cruise'!F23</f>
        <v>1</v>
      </c>
      <c r="AC23" s="13">
        <f t="shared" ca="1" si="10"/>
        <v>-0.11111111111111108</v>
      </c>
      <c r="AD23" s="57" t="str">
        <f t="shared" ca="1" si="11"/>
        <v>reduce payload weight</v>
      </c>
      <c r="AE23" s="20"/>
      <c r="AF23" s="20"/>
      <c r="AG23" s="16"/>
      <c r="AH23" s="16"/>
      <c r="AI23" s="42"/>
      <c r="AJ23" s="42"/>
      <c r="AK23" s="42"/>
      <c r="AL23" s="16"/>
      <c r="AM23" s="16"/>
      <c r="AN23" s="16"/>
      <c r="AO23" s="16"/>
      <c r="AP23" s="42"/>
      <c r="AQ23" s="42"/>
      <c r="AR23" s="42"/>
      <c r="AS23" s="16"/>
      <c r="AT23" s="16"/>
      <c r="AU23" s="42"/>
      <c r="AV23" s="42"/>
      <c r="AW23" s="16"/>
      <c r="AX23" s="42"/>
      <c r="AY23" s="42"/>
      <c r="AZ23" s="42"/>
      <c r="BA23" s="20"/>
      <c r="BB23" s="20"/>
      <c r="BC23" s="20"/>
      <c r="BD23" s="19"/>
      <c r="BE23" s="6"/>
      <c r="BF23" s="6"/>
      <c r="BG23" s="16"/>
      <c r="BH23" s="16"/>
      <c r="BI23" s="6"/>
      <c r="BJ23" s="16"/>
      <c r="BK23" s="16"/>
      <c r="BL23" s="16"/>
      <c r="BM23" s="6"/>
      <c r="BN23" s="16"/>
      <c r="BO23" s="16"/>
      <c r="BP23" s="16"/>
    </row>
    <row r="24" spans="2:68">
      <c r="B24" s="31">
        <f>Main!C24</f>
        <v>1.736842105263158</v>
      </c>
      <c r="C24" s="31">
        <f>Main!B24</f>
        <v>0.33333333333333326</v>
      </c>
      <c r="D24" s="1">
        <f t="shared" si="0"/>
        <v>0.57894736842105254</v>
      </c>
      <c r="F24" s="1">
        <f t="shared" si="1"/>
        <v>0.65969672852566186</v>
      </c>
      <c r="H24" s="62">
        <f ca="1">Main!AC24</f>
        <v>126.40792205809124</v>
      </c>
      <c r="J24" s="16">
        <f ca="1">'Aerodynamics-Cruise'!AG24</f>
        <v>1.4261032983164272</v>
      </c>
      <c r="K24" s="16">
        <f ca="1">'Aerodynamics-Cruise'!BE24</f>
        <v>0.87850954680811844</v>
      </c>
      <c r="L24" s="42">
        <f ca="1">'Aerodynamics-Cruise'!BF24</f>
        <v>1.3256746178163858E-2</v>
      </c>
      <c r="M24" s="84">
        <v>0</v>
      </c>
      <c r="N24" s="42">
        <f t="shared" ca="1" si="3"/>
        <v>5.3708057995776055E-2</v>
      </c>
      <c r="O24" s="10">
        <f ca="1">'Aerodynamics-Cruise'!BH24</f>
        <v>5.4707498749744982E-2</v>
      </c>
      <c r="P24" s="13">
        <f t="shared" ca="1" si="4"/>
        <v>126.40792205842652</v>
      </c>
      <c r="Q24" s="13">
        <f t="shared" ca="1" si="5"/>
        <v>7.8718111409205731</v>
      </c>
      <c r="R24" s="16">
        <f t="shared" ca="1" si="2"/>
        <v>16.05830218681335</v>
      </c>
      <c r="S24" s="14">
        <f t="shared" ca="1" si="6"/>
        <v>216.07865109233924</v>
      </c>
      <c r="U24" s="20">
        <f t="shared" ca="1" si="7"/>
        <v>21.544426827351217</v>
      </c>
      <c r="V24" s="1">
        <f t="shared" ca="1" si="8"/>
        <v>0.49681962872333685</v>
      </c>
      <c r="W24" s="20">
        <f t="shared" ca="1" si="9"/>
        <v>36.501529576225735</v>
      </c>
      <c r="X24" s="13">
        <f ca="1">'Aerodynamics-Cruise'!H24</f>
        <v>27.44967418856622</v>
      </c>
      <c r="Y24" s="33"/>
      <c r="Z24" s="19">
        <f ca="1">'Propulsion-Cruise'!S24</f>
        <v>185.52943241149023</v>
      </c>
      <c r="AA24" s="42"/>
      <c r="AB24" s="13">
        <f ca="1">'Propulsion-Cruise'!F24</f>
        <v>1</v>
      </c>
      <c r="AC24" s="13">
        <f t="shared" ca="1" si="10"/>
        <v>-0.11111111111111108</v>
      </c>
      <c r="AD24" s="57" t="str">
        <f t="shared" ca="1" si="11"/>
        <v>reduce payload weight</v>
      </c>
      <c r="AE24" s="20"/>
      <c r="AF24" s="20"/>
      <c r="AG24" s="16"/>
      <c r="AH24" s="16"/>
      <c r="AI24" s="42"/>
      <c r="AJ24" s="42"/>
      <c r="AK24" s="42"/>
      <c r="AL24" s="16"/>
      <c r="AM24" s="16"/>
      <c r="AN24" s="16"/>
      <c r="AO24" s="16"/>
      <c r="AP24" s="42"/>
      <c r="AQ24" s="42"/>
      <c r="AR24" s="42"/>
      <c r="AS24" s="16"/>
      <c r="AT24" s="16"/>
      <c r="AU24" s="42"/>
      <c r="AV24" s="42"/>
      <c r="AW24" s="16"/>
      <c r="AX24" s="42"/>
      <c r="AY24" s="42"/>
      <c r="AZ24" s="42"/>
      <c r="BA24" s="20"/>
      <c r="BB24" s="20"/>
      <c r="BC24" s="20"/>
      <c r="BD24" s="19"/>
      <c r="BE24" s="6"/>
      <c r="BF24" s="6"/>
      <c r="BG24" s="16"/>
      <c r="BH24" s="16"/>
      <c r="BI24" s="6"/>
      <c r="BJ24" s="16"/>
      <c r="BK24" s="16"/>
      <c r="BL24" s="16"/>
      <c r="BM24" s="6"/>
      <c r="BN24" s="16"/>
      <c r="BO24" s="16"/>
      <c r="BP24" s="16"/>
    </row>
    <row r="25" spans="2:68">
      <c r="B25" s="31">
        <f>Main!C25</f>
        <v>1.8157894736842106</v>
      </c>
      <c r="C25" s="31">
        <f>Main!B25</f>
        <v>0.33333333333333326</v>
      </c>
      <c r="D25" s="1">
        <f t="shared" si="0"/>
        <v>0.60526315789473673</v>
      </c>
      <c r="F25" s="1">
        <f t="shared" si="1"/>
        <v>0.65969672852566186</v>
      </c>
      <c r="H25" s="62">
        <f ca="1">Main!AC25</f>
        <v>128.23739388407131</v>
      </c>
      <c r="J25" s="16">
        <f ca="1">'Aerodynamics-Cruise'!AG25</f>
        <v>1.4258043677988799</v>
      </c>
      <c r="K25" s="16">
        <f ca="1">'Aerodynamics-Cruise'!BE25</f>
        <v>0.87857780875796665</v>
      </c>
      <c r="L25" s="42">
        <f ca="1">'Aerodynamics-Cruise'!BF25</f>
        <v>1.3207763389778054E-2</v>
      </c>
      <c r="M25" s="84">
        <v>0</v>
      </c>
      <c r="N25" s="42">
        <f t="shared" ca="1" si="3"/>
        <v>5.1708058853717133E-2</v>
      </c>
      <c r="O25" s="10">
        <f ca="1">'Aerodynamics-Cruise'!BH25</f>
        <v>5.3121160554625617E-2</v>
      </c>
      <c r="P25" s="13">
        <f t="shared" ca="1" si="4"/>
        <v>128.23739388444869</v>
      </c>
      <c r="Q25" s="13">
        <f t="shared" ca="1" si="5"/>
        <v>7.7535752914961096</v>
      </c>
      <c r="R25" s="16">
        <f t="shared" ca="1" si="2"/>
        <v>16.539130538281565</v>
      </c>
      <c r="S25" s="14">
        <f t="shared" ca="1" si="6"/>
        <v>209.64762572180047</v>
      </c>
      <c r="U25" s="20">
        <f t="shared" ca="1" si="7"/>
        <v>21.225018832745462</v>
      </c>
      <c r="V25" s="1">
        <f t="shared" ca="1" si="8"/>
        <v>0.50540033198195533</v>
      </c>
      <c r="W25" s="20">
        <f t="shared" ca="1" si="9"/>
        <v>35.650062307561456</v>
      </c>
      <c r="X25" s="13">
        <f ca="1">'Aerodynamics-Cruise'!H25</f>
        <v>27.03883277583968</v>
      </c>
      <c r="Y25" s="33"/>
      <c r="Z25" s="19">
        <f ca="1">'Propulsion-Cruise'!S25</f>
        <v>188.43838770652056</v>
      </c>
      <c r="AA25" s="42"/>
      <c r="AB25" s="13">
        <f ca="1">'Propulsion-Cruise'!F25</f>
        <v>1</v>
      </c>
      <c r="AC25" s="13">
        <f t="shared" ca="1" si="10"/>
        <v>-0.11111111111111108</v>
      </c>
      <c r="AD25" s="57" t="str">
        <f t="shared" ca="1" si="11"/>
        <v>reduce payload weight</v>
      </c>
      <c r="AE25" s="20"/>
      <c r="AF25" s="20"/>
      <c r="AG25" s="16"/>
      <c r="AH25" s="16"/>
      <c r="AI25" s="42"/>
      <c r="AJ25" s="42"/>
      <c r="AK25" s="42"/>
      <c r="AL25" s="16"/>
      <c r="AM25" s="16"/>
      <c r="AN25" s="16"/>
      <c r="AO25" s="16"/>
      <c r="AP25" s="42"/>
      <c r="AQ25" s="42"/>
      <c r="AR25" s="42"/>
      <c r="AS25" s="16"/>
      <c r="AT25" s="16"/>
      <c r="AU25" s="42"/>
      <c r="AV25" s="42"/>
      <c r="AW25" s="16"/>
      <c r="AX25" s="42"/>
      <c r="AY25" s="42"/>
      <c r="AZ25" s="42"/>
      <c r="BA25" s="20"/>
      <c r="BB25" s="20"/>
      <c r="BC25" s="20"/>
      <c r="BD25" s="19"/>
      <c r="BE25" s="6"/>
      <c r="BF25" s="6"/>
      <c r="BG25" s="16"/>
      <c r="BH25" s="16"/>
      <c r="BI25" s="6"/>
      <c r="BJ25" s="16"/>
      <c r="BK25" s="16"/>
      <c r="BL25" s="16"/>
      <c r="BM25" s="6"/>
      <c r="BN25" s="16"/>
      <c r="BO25" s="16"/>
      <c r="BP25" s="16"/>
    </row>
    <row r="26" spans="2:68">
      <c r="B26" s="31">
        <f>Main!C26</f>
        <v>1.8947368421052633</v>
      </c>
      <c r="C26" s="31">
        <f>Main!B26</f>
        <v>0.33333333333333326</v>
      </c>
      <c r="D26" s="1">
        <f t="shared" si="0"/>
        <v>0.63157894736842091</v>
      </c>
      <c r="F26" s="1">
        <f t="shared" si="1"/>
        <v>0.65969672852566186</v>
      </c>
      <c r="H26" s="62">
        <f ca="1">Main!AC26</f>
        <v>129.96953292078499</v>
      </c>
      <c r="J26" s="16">
        <f ca="1">'Aerodynamics-Cruise'!AG26</f>
        <v>1.425514903294643</v>
      </c>
      <c r="K26" s="16">
        <f ca="1">'Aerodynamics-Cruise'!BE26</f>
        <v>0.87863812429719157</v>
      </c>
      <c r="L26" s="42">
        <f ca="1">'Aerodynamics-Cruise'!BF26</f>
        <v>1.3169719730026317E-2</v>
      </c>
      <c r="M26" s="84">
        <v>0</v>
      </c>
      <c r="N26" s="42">
        <f t="shared" ca="1" si="3"/>
        <v>4.9873698192836116E-2</v>
      </c>
      <c r="O26" s="10">
        <f ca="1">'Aerodynamics-Cruise'!BH26</f>
        <v>5.1672461782307541E-2</v>
      </c>
      <c r="P26" s="13">
        <f t="shared" ca="1" si="4"/>
        <v>129.9695329212044</v>
      </c>
      <c r="Q26" s="13">
        <f t="shared" ca="1" si="5"/>
        <v>7.6434717968870212</v>
      </c>
      <c r="R26" s="16">
        <f t="shared" ca="1" si="2"/>
        <v>17.003991952209134</v>
      </c>
      <c r="S26" s="14">
        <f t="shared" ca="1" si="6"/>
        <v>203.6739259983872</v>
      </c>
      <c r="U26" s="20">
        <f t="shared" ca="1" si="7"/>
        <v>20.920107320760781</v>
      </c>
      <c r="V26" s="1">
        <f t="shared" ca="1" si="8"/>
        <v>0.51386907213786182</v>
      </c>
      <c r="W26" s="20">
        <f t="shared" ca="1" si="9"/>
        <v>34.843642504249097</v>
      </c>
      <c r="X26" s="13">
        <f ca="1">'Aerodynamics-Cruise'!H26</f>
        <v>26.646781908866753</v>
      </c>
      <c r="Y26" s="33"/>
      <c r="Z26" s="19">
        <f ca="1">'Propulsion-Cruise'!S26</f>
        <v>191.01948909511913</v>
      </c>
      <c r="AA26" s="42"/>
      <c r="AB26" s="13">
        <f ca="1">'Propulsion-Cruise'!F26</f>
        <v>1</v>
      </c>
      <c r="AC26" s="13">
        <f t="shared" ca="1" si="10"/>
        <v>-0.11111111111111108</v>
      </c>
      <c r="AD26" s="57" t="str">
        <f t="shared" ca="1" si="11"/>
        <v>reduce payload weight</v>
      </c>
      <c r="AE26" s="20"/>
      <c r="AF26" s="20"/>
      <c r="AG26" s="16"/>
      <c r="AH26" s="16"/>
      <c r="AI26" s="42"/>
      <c r="AJ26" s="42"/>
      <c r="AK26" s="42"/>
      <c r="AL26" s="16"/>
      <c r="AM26" s="16"/>
      <c r="AN26" s="16"/>
      <c r="AO26" s="16"/>
      <c r="AP26" s="42"/>
      <c r="AQ26" s="42"/>
      <c r="AR26" s="42"/>
      <c r="AS26" s="16"/>
      <c r="AT26" s="16"/>
      <c r="AU26" s="42"/>
      <c r="AV26" s="42"/>
      <c r="AW26" s="16"/>
      <c r="AX26" s="42"/>
      <c r="AY26" s="42"/>
      <c r="AZ26" s="42"/>
      <c r="BA26" s="20"/>
      <c r="BB26" s="20"/>
      <c r="BC26" s="20"/>
      <c r="BD26" s="19"/>
      <c r="BE26" s="6"/>
      <c r="BF26" s="6"/>
      <c r="BG26" s="16"/>
      <c r="BH26" s="16"/>
      <c r="BI26" s="6"/>
      <c r="BJ26" s="16"/>
      <c r="BK26" s="16"/>
      <c r="BL26" s="16"/>
      <c r="BM26" s="6"/>
      <c r="BN26" s="16"/>
      <c r="BO26" s="16"/>
      <c r="BP26" s="16"/>
    </row>
    <row r="27" spans="2:68">
      <c r="B27" s="31">
        <f>Main!C27</f>
        <v>1.9736842105263159</v>
      </c>
      <c r="C27" s="31">
        <f>Main!B27</f>
        <v>0.33333333333333326</v>
      </c>
      <c r="D27" s="1">
        <f t="shared" si="0"/>
        <v>0.6578947368421052</v>
      </c>
      <c r="F27" s="1">
        <f t="shared" si="1"/>
        <v>0.65969672852566186</v>
      </c>
      <c r="H27" s="62">
        <f ca="1">Main!AC27</f>
        <v>131.61371211454065</v>
      </c>
      <c r="J27" s="16">
        <f ca="1">'Aerodynamics-Cruise'!AG27</f>
        <v>1.4252344089486937</v>
      </c>
      <c r="K27" s="16">
        <f ca="1">'Aerodynamics-Cruise'!BE27</f>
        <v>0.87869170121049833</v>
      </c>
      <c r="L27" s="42">
        <f ca="1">'Aerodynamics-Cruise'!BF27</f>
        <v>1.3141156956343599E-2</v>
      </c>
      <c r="M27" s="84">
        <v>0</v>
      </c>
      <c r="N27" s="42">
        <f t="shared" ca="1" si="3"/>
        <v>4.8185272421983144E-2</v>
      </c>
      <c r="O27" s="10">
        <f ca="1">'Aerodynamics-Cruise'!BH27</f>
        <v>5.0344962704545602E-2</v>
      </c>
      <c r="P27" s="13">
        <f t="shared" ca="1" si="4"/>
        <v>131.61371211499707</v>
      </c>
      <c r="Q27" s="13">
        <f t="shared" ca="1" si="5"/>
        <v>7.5408558186086605</v>
      </c>
      <c r="R27" s="16">
        <f t="shared" ca="1" si="2"/>
        <v>17.453418455530251</v>
      </c>
      <c r="S27" s="14">
        <f t="shared" ca="1" si="6"/>
        <v>198.11509662125246</v>
      </c>
      <c r="U27" s="20">
        <f t="shared" ca="1" si="7"/>
        <v>20.628708852163498</v>
      </c>
      <c r="V27" s="1">
        <f t="shared" ca="1" si="8"/>
        <v>0.52222738490888565</v>
      </c>
      <c r="W27" s="20">
        <f t="shared" ca="1" si="9"/>
        <v>34.078884832561606</v>
      </c>
      <c r="X27" s="13">
        <f ca="1">'Aerodynamics-Cruise'!H27</f>
        <v>26.272229755698174</v>
      </c>
      <c r="Y27" s="33"/>
      <c r="Z27" s="19">
        <f ca="1">'Propulsion-Cruise'!S27</f>
        <v>193.31184779479773</v>
      </c>
      <c r="AA27" s="42"/>
      <c r="AB27" s="13">
        <f ca="1">'Propulsion-Cruise'!F27</f>
        <v>1</v>
      </c>
      <c r="AC27" s="13">
        <f t="shared" ca="1" si="10"/>
        <v>-0.11111111111111108</v>
      </c>
      <c r="AD27" s="57" t="str">
        <f t="shared" ca="1" si="11"/>
        <v>reduce payload weight</v>
      </c>
      <c r="AE27" s="20"/>
      <c r="AF27" s="20"/>
      <c r="AG27" s="16"/>
      <c r="AH27" s="16"/>
      <c r="AI27" s="42"/>
      <c r="AJ27" s="42"/>
      <c r="AK27" s="42"/>
      <c r="AL27" s="16"/>
      <c r="AM27" s="16"/>
      <c r="AN27" s="16"/>
      <c r="AO27" s="16"/>
      <c r="AP27" s="42"/>
      <c r="AQ27" s="42"/>
      <c r="AR27" s="42"/>
      <c r="AS27" s="16"/>
      <c r="AT27" s="16"/>
      <c r="AU27" s="42"/>
      <c r="AV27" s="42"/>
      <c r="AW27" s="16"/>
      <c r="AX27" s="42"/>
      <c r="AY27" s="42"/>
      <c r="AZ27" s="42"/>
      <c r="BA27" s="20"/>
      <c r="BB27" s="20"/>
      <c r="BC27" s="20"/>
      <c r="BD27" s="19"/>
      <c r="BE27" s="6"/>
      <c r="BF27" s="6"/>
      <c r="BG27" s="16"/>
      <c r="BH27" s="16"/>
      <c r="BI27" s="6"/>
      <c r="BJ27" s="16"/>
      <c r="BK27" s="16"/>
      <c r="BL27" s="16"/>
      <c r="BM27" s="6"/>
      <c r="BN27" s="16"/>
      <c r="BO27" s="16"/>
      <c r="BP27" s="16"/>
    </row>
    <row r="28" spans="2:68">
      <c r="B28" s="31">
        <f>Main!C28</f>
        <v>2.0526315789473686</v>
      </c>
      <c r="C28" s="31">
        <f>Main!B28</f>
        <v>0.33333333333333326</v>
      </c>
      <c r="D28" s="1">
        <f t="shared" si="0"/>
        <v>0.68421052631578938</v>
      </c>
      <c r="F28" s="1">
        <f t="shared" si="1"/>
        <v>0.65969672852566186</v>
      </c>
      <c r="H28" s="62">
        <f ca="1">Main!AC28</f>
        <v>132.52501256898603</v>
      </c>
      <c r="J28" s="16">
        <f ca="1">'Aerodynamics-Cruise'!AG28</f>
        <v>1.4249137275805428</v>
      </c>
      <c r="K28" s="16">
        <f ca="1">'Aerodynamics-Cruise'!BE28</f>
        <v>0.87873952438711112</v>
      </c>
      <c r="L28" s="42">
        <f ca="1">'Aerodynamics-Cruise'!BF28</f>
        <v>1.3139963412588045E-2</v>
      </c>
      <c r="M28" s="84">
        <v>0</v>
      </c>
      <c r="N28" s="42">
        <f t="shared" ca="1" si="3"/>
        <v>4.6625477763146156E-2</v>
      </c>
      <c r="O28" s="10">
        <f ca="1">'Aerodynamics-Cruise'!BH28</f>
        <v>4.9143371781815229E-2</v>
      </c>
      <c r="P28" s="13">
        <f t="shared" ca="1" si="4"/>
        <v>132.52501257086365</v>
      </c>
      <c r="Q28" s="13">
        <f t="shared" ca="1" si="5"/>
        <v>7.4114407994815981</v>
      </c>
      <c r="R28" s="16">
        <f t="shared" ca="1" si="2"/>
        <v>17.881140274389463</v>
      </c>
      <c r="S28" s="14">
        <f t="shared" ca="1" si="6"/>
        <v>191.58850456079963</v>
      </c>
      <c r="U28" s="20">
        <f t="shared" ca="1" si="7"/>
        <v>20.300306672848205</v>
      </c>
      <c r="V28" s="1">
        <f t="shared" ca="1" si="8"/>
        <v>0.53086663466444028</v>
      </c>
      <c r="W28" s="20">
        <f t="shared" ca="1" si="9"/>
        <v>33.258615687082958</v>
      </c>
      <c r="X28" s="13">
        <f ca="1">'Aerodynamics-Cruise'!H28</f>
        <v>25.850372382859632</v>
      </c>
      <c r="Y28" s="33"/>
      <c r="Z28" s="19">
        <f ca="1">'Propulsion-Cruise'!S28</f>
        <v>191.58850458671003</v>
      </c>
      <c r="AA28" s="42"/>
      <c r="AB28" s="13">
        <f ca="1">'Propulsion-Cruise'!F28</f>
        <v>0.99387971403889719</v>
      </c>
      <c r="AC28" s="13">
        <f t="shared" ca="1" si="10"/>
        <v>-0.1043107933765524</v>
      </c>
      <c r="AD28" s="57" t="str">
        <f t="shared" ca="1" si="11"/>
        <v>reduce payload weight</v>
      </c>
      <c r="AE28" s="20"/>
      <c r="AF28" s="20"/>
      <c r="AG28" s="16"/>
      <c r="AH28" s="16"/>
      <c r="AI28" s="42"/>
      <c r="AJ28" s="42"/>
      <c r="AK28" s="42"/>
      <c r="AL28" s="16"/>
      <c r="AM28" s="16"/>
      <c r="AN28" s="16"/>
      <c r="AO28" s="16"/>
      <c r="AP28" s="42"/>
      <c r="AQ28" s="42"/>
      <c r="AR28" s="42"/>
      <c r="AS28" s="16"/>
      <c r="AT28" s="16"/>
      <c r="AU28" s="42"/>
      <c r="AV28" s="42"/>
      <c r="AW28" s="16"/>
      <c r="AX28" s="42"/>
      <c r="AY28" s="42"/>
      <c r="AZ28" s="42"/>
      <c r="BA28" s="20"/>
      <c r="BB28" s="20"/>
      <c r="BC28" s="20"/>
      <c r="BD28" s="19"/>
      <c r="BE28" s="6"/>
      <c r="BF28" s="6"/>
      <c r="BG28" s="16"/>
      <c r="BH28" s="16"/>
      <c r="BI28" s="6"/>
      <c r="BJ28" s="16"/>
      <c r="BK28" s="16"/>
      <c r="BL28" s="16"/>
      <c r="BM28" s="6"/>
      <c r="BN28" s="16"/>
      <c r="BO28" s="16"/>
      <c r="BP28" s="16"/>
    </row>
    <row r="29" spans="2:68">
      <c r="B29" s="31">
        <f>Main!C29</f>
        <v>2.1315789473684212</v>
      </c>
      <c r="C29" s="31">
        <f>Main!B29</f>
        <v>0.33333333333333326</v>
      </c>
      <c r="D29" s="1">
        <f t="shared" si="0"/>
        <v>0.71052631578947356</v>
      </c>
      <c r="F29" s="1">
        <f t="shared" si="1"/>
        <v>0.65969672852566186</v>
      </c>
      <c r="H29" s="62">
        <f ca="1">Main!AC29</f>
        <v>132.22241873640721</v>
      </c>
      <c r="J29" s="16">
        <f ca="1">'Aerodynamics-Cruise'!AG29</f>
        <v>1.4245168750052513</v>
      </c>
      <c r="K29" s="16">
        <f ca="1">'Aerodynamics-Cruise'!BE29</f>
        <v>0.87878240362282123</v>
      </c>
      <c r="L29" s="42">
        <f ca="1">'Aerodynamics-Cruise'!BF29</f>
        <v>1.3179708981910133E-2</v>
      </c>
      <c r="M29" s="84">
        <v>0</v>
      </c>
      <c r="N29" s="42">
        <f t="shared" ca="1" si="3"/>
        <v>4.5179677181302953E-2</v>
      </c>
      <c r="O29" s="10">
        <f ca="1">'Aerodynamics-Cruise'!BH29</f>
        <v>4.8070099295670285E-2</v>
      </c>
      <c r="P29" s="13">
        <f t="shared" ca="1" si="4"/>
        <v>132.22241873833764</v>
      </c>
      <c r="Q29" s="13">
        <f t="shared" ca="1" si="5"/>
        <v>7.2326719011019209</v>
      </c>
      <c r="R29" s="16">
        <f t="shared" ca="1" si="2"/>
        <v>18.28126874083603</v>
      </c>
      <c r="S29" s="14">
        <f t="shared" ca="1" si="6"/>
        <v>183.25818709087017</v>
      </c>
      <c r="U29" s="20">
        <f t="shared" ca="1" si="7"/>
        <v>19.900844140868582</v>
      </c>
      <c r="V29" s="1">
        <f t="shared" ca="1" si="8"/>
        <v>0.54010891860208732</v>
      </c>
      <c r="W29" s="20">
        <f t="shared" ca="1" si="9"/>
        <v>32.319499244796411</v>
      </c>
      <c r="X29" s="13">
        <f ca="1">'Aerodynamics-Cruise'!H29</f>
        <v>25.337550160719807</v>
      </c>
      <c r="Y29" s="33"/>
      <c r="Z29" s="19">
        <f ca="1">'Propulsion-Cruise'!S29</f>
        <v>183.25818711570605</v>
      </c>
      <c r="AA29" s="42"/>
      <c r="AB29" s="13">
        <f ca="1">'Propulsion-Cruise'!F29</f>
        <v>0.97703834859053484</v>
      </c>
      <c r="AC29" s="13">
        <f t="shared" ca="1" si="10"/>
        <v>-8.5598165100594245E-2</v>
      </c>
      <c r="AD29" s="57" t="str">
        <f t="shared" ca="1" si="11"/>
        <v>reduce payload weight</v>
      </c>
      <c r="AE29" s="20"/>
      <c r="AF29" s="20"/>
      <c r="AG29" s="16"/>
      <c r="AH29" s="16"/>
      <c r="AI29" s="42"/>
      <c r="AJ29" s="42"/>
      <c r="AK29" s="42"/>
      <c r="AL29" s="16"/>
      <c r="AM29" s="16"/>
      <c r="AN29" s="16"/>
      <c r="AO29" s="16"/>
      <c r="AP29" s="42"/>
      <c r="AQ29" s="42"/>
      <c r="AR29" s="42"/>
      <c r="AS29" s="16"/>
      <c r="AT29" s="16"/>
      <c r="AU29" s="42"/>
      <c r="AV29" s="42"/>
      <c r="AW29" s="16"/>
      <c r="AX29" s="42"/>
      <c r="AY29" s="42"/>
      <c r="AZ29" s="42"/>
      <c r="BA29" s="20"/>
      <c r="BB29" s="20"/>
      <c r="BC29" s="20"/>
      <c r="BD29" s="19"/>
      <c r="BE29" s="6"/>
      <c r="BF29" s="6"/>
      <c r="BG29" s="16"/>
      <c r="BH29" s="16"/>
      <c r="BI29" s="6"/>
      <c r="BJ29" s="16"/>
      <c r="BK29" s="16"/>
      <c r="BL29" s="16"/>
      <c r="BM29" s="6"/>
      <c r="BN29" s="16"/>
      <c r="BO29" s="16"/>
      <c r="BP29" s="16"/>
    </row>
    <row r="30" spans="2:68">
      <c r="B30" s="31">
        <f>Main!C30</f>
        <v>2.2105263157894739</v>
      </c>
      <c r="C30" s="31">
        <f>Main!B30</f>
        <v>0.33333333333333326</v>
      </c>
      <c r="D30" s="1">
        <f t="shared" si="0"/>
        <v>0.73684210526315785</v>
      </c>
      <c r="F30" s="1">
        <f t="shared" si="1"/>
        <v>0.65969672852566186</v>
      </c>
      <c r="H30" s="62">
        <f ca="1">Main!AC30</f>
        <v>131.99460630550439</v>
      </c>
      <c r="J30" s="16">
        <f ca="1">'Aerodynamics-Cruise'!AG30</f>
        <v>1.4241393266802032</v>
      </c>
      <c r="K30" s="16">
        <f ca="1">'Aerodynamics-Cruise'!BE30</f>
        <v>0.8788210098475151</v>
      </c>
      <c r="L30" s="42">
        <f ca="1">'Aerodynamics-Cruise'!BF30</f>
        <v>1.3222070354298286E-2</v>
      </c>
      <c r="M30" s="84">
        <v>0</v>
      </c>
      <c r="N30" s="42">
        <f t="shared" ca="1" si="3"/>
        <v>4.3836896936201381E-2</v>
      </c>
      <c r="O30" s="10">
        <f ca="1">'Aerodynamics-Cruise'!BH30</f>
        <v>4.7078461720581277E-2</v>
      </c>
      <c r="P30" s="13">
        <f t="shared" ca="1" si="4"/>
        <v>131.99460630748561</v>
      </c>
      <c r="Q30" s="13">
        <f t="shared" ca="1" si="5"/>
        <v>7.0709540972949325</v>
      </c>
      <c r="R30" s="16">
        <f t="shared" ca="1" si="2"/>
        <v>18.667156439041449</v>
      </c>
      <c r="S30" s="14">
        <f t="shared" ca="1" si="6"/>
        <v>175.77678231005163</v>
      </c>
      <c r="U30" s="20">
        <f t="shared" ca="1" si="7"/>
        <v>19.527986586075098</v>
      </c>
      <c r="V30" s="1">
        <f t="shared" ca="1" si="8"/>
        <v>0.54919911620246165</v>
      </c>
      <c r="W30" s="20">
        <f t="shared" ca="1" si="9"/>
        <v>31.446244942943913</v>
      </c>
      <c r="X30" s="13">
        <f ca="1">'Aerodynamics-Cruise'!H30</f>
        <v>24.858990723279437</v>
      </c>
      <c r="Y30" s="33"/>
      <c r="Z30" s="19">
        <f ca="1">'Propulsion-Cruise'!S30</f>
        <v>175.77678233391998</v>
      </c>
      <c r="AA30" s="42"/>
      <c r="AB30" s="13">
        <f ca="1">'Propulsion-Cruise'!F30</f>
        <v>0.96148549537759376</v>
      </c>
      <c r="AC30" s="13">
        <f t="shared" ca="1" si="10"/>
        <v>-6.8317217086215257E-2</v>
      </c>
      <c r="AD30" s="57" t="str">
        <f t="shared" ca="1" si="11"/>
        <v>reduce payload weight</v>
      </c>
      <c r="AE30" s="20"/>
      <c r="AF30" s="20"/>
      <c r="AG30" s="16"/>
      <c r="AH30" s="16"/>
      <c r="AI30" s="42"/>
      <c r="AJ30" s="42"/>
      <c r="AK30" s="42"/>
      <c r="AL30" s="16"/>
      <c r="AM30" s="16"/>
      <c r="AN30" s="16"/>
      <c r="AO30" s="16"/>
      <c r="AP30" s="42"/>
      <c r="AQ30" s="42"/>
      <c r="AR30" s="42"/>
      <c r="AS30" s="16"/>
      <c r="AT30" s="16"/>
      <c r="AU30" s="42"/>
      <c r="AV30" s="42"/>
      <c r="AW30" s="16"/>
      <c r="AX30" s="42"/>
      <c r="AY30" s="42"/>
      <c r="AZ30" s="42"/>
      <c r="BA30" s="20"/>
      <c r="BB30" s="20"/>
      <c r="BC30" s="20"/>
      <c r="BD30" s="19"/>
      <c r="BE30" s="6"/>
      <c r="BF30" s="6"/>
      <c r="BG30" s="16"/>
      <c r="BH30" s="16"/>
      <c r="BI30" s="6"/>
      <c r="BJ30" s="16"/>
      <c r="BK30" s="16"/>
      <c r="BL30" s="16"/>
      <c r="BM30" s="6"/>
      <c r="BN30" s="16"/>
      <c r="BO30" s="16"/>
      <c r="BP30" s="16"/>
    </row>
    <row r="31" spans="2:68">
      <c r="B31" s="31">
        <f>Main!C31</f>
        <v>2.2894736842105265</v>
      </c>
      <c r="C31" s="31">
        <f>Main!B31</f>
        <v>0.33333333333333326</v>
      </c>
      <c r="D31" s="1">
        <f t="shared" si="0"/>
        <v>0.76315789473684204</v>
      </c>
      <c r="F31" s="1">
        <f t="shared" si="1"/>
        <v>0.65969672852566186</v>
      </c>
      <c r="H31" s="62">
        <f ca="1">Main!AC31</f>
        <v>131.83112185491365</v>
      </c>
      <c r="J31" s="16">
        <f ca="1">'Aerodynamics-Cruise'!AG31</f>
        <v>1.4237793515879875</v>
      </c>
      <c r="K31" s="16">
        <f ca="1">'Aerodynamics-Cruise'!BE31</f>
        <v>0.87885590287839077</v>
      </c>
      <c r="L31" s="42">
        <f ca="1">'Aerodynamics-Cruise'!BF31</f>
        <v>1.3266690380628769E-2</v>
      </c>
      <c r="M31" s="84">
        <v>0</v>
      </c>
      <c r="N31" s="42">
        <f t="shared" ca="1" si="3"/>
        <v>4.2586583724288474E-2</v>
      </c>
      <c r="O31" s="10">
        <f ca="1">'Aerodynamics-Cruise'!BH31</f>
        <v>4.6160043749844212E-2</v>
      </c>
      <c r="P31" s="13">
        <f t="shared" ca="1" si="4"/>
        <v>131.83112185694341</v>
      </c>
      <c r="Q31" s="13">
        <f t="shared" ca="1" si="5"/>
        <v>6.9241502874101899</v>
      </c>
      <c r="R31" s="16">
        <f t="shared" ca="1" si="2"/>
        <v>19.039321271903191</v>
      </c>
      <c r="S31" s="14">
        <f t="shared" ca="1" si="6"/>
        <v>169.02550980034454</v>
      </c>
      <c r="U31" s="20">
        <f t="shared" ca="1" si="7"/>
        <v>19.178880836749308</v>
      </c>
      <c r="V31" s="1">
        <f t="shared" ca="1" si="8"/>
        <v>0.55814224582244776</v>
      </c>
      <c r="W31" s="20">
        <f t="shared" ca="1" si="9"/>
        <v>30.63177463510841</v>
      </c>
      <c r="X31" s="13">
        <f ca="1">'Aerodynamics-Cruise'!H31</f>
        <v>24.411011139810388</v>
      </c>
      <c r="Y31" s="33"/>
      <c r="Z31" s="19">
        <f ca="1">'Propulsion-Cruise'!S31</f>
        <v>169.02550982334685</v>
      </c>
      <c r="AA31" s="42"/>
      <c r="AB31" s="13">
        <f ca="1">'Propulsion-Cruise'!F31</f>
        <v>0.94707755469844024</v>
      </c>
      <c r="AC31" s="13">
        <f t="shared" ca="1" si="10"/>
        <v>-5.2308394109378015E-2</v>
      </c>
      <c r="AD31" s="57" t="str">
        <f t="shared" ca="1" si="11"/>
        <v>reduce payload weight</v>
      </c>
      <c r="AE31" s="20"/>
      <c r="AF31" s="20"/>
      <c r="AG31" s="16"/>
      <c r="AH31" s="16"/>
      <c r="AI31" s="42"/>
      <c r="AJ31" s="42"/>
      <c r="AK31" s="42"/>
      <c r="AL31" s="16"/>
      <c r="AM31" s="16"/>
      <c r="AN31" s="16"/>
      <c r="AO31" s="16"/>
      <c r="AP31" s="42"/>
      <c r="AQ31" s="42"/>
      <c r="AR31" s="42"/>
      <c r="AS31" s="16"/>
      <c r="AT31" s="16"/>
      <c r="AU31" s="42"/>
      <c r="AV31" s="42"/>
      <c r="AW31" s="16"/>
      <c r="AX31" s="42"/>
      <c r="AY31" s="42"/>
      <c r="AZ31" s="42"/>
      <c r="BA31" s="20"/>
      <c r="BB31" s="20"/>
      <c r="BC31" s="20"/>
      <c r="BD31" s="19"/>
      <c r="BE31" s="6"/>
      <c r="BF31" s="6"/>
      <c r="BG31" s="16"/>
      <c r="BH31" s="16"/>
      <c r="BI31" s="6"/>
      <c r="BJ31" s="16"/>
      <c r="BK31" s="16"/>
      <c r="BL31" s="16"/>
      <c r="BM31" s="6"/>
      <c r="BN31" s="16"/>
      <c r="BO31" s="16"/>
      <c r="BP31" s="16"/>
    </row>
    <row r="32" spans="2:68">
      <c r="B32" s="31">
        <f>Main!C32</f>
        <v>2.3684210526315792</v>
      </c>
      <c r="C32" s="31">
        <f>Main!B32</f>
        <v>0.33333333333333326</v>
      </c>
      <c r="D32" s="1">
        <f t="shared" si="0"/>
        <v>0.78947368421052622</v>
      </c>
      <c r="F32" s="1">
        <f t="shared" si="1"/>
        <v>0.65969672852566186</v>
      </c>
      <c r="H32" s="62">
        <f ca="1">Main!AC32</f>
        <v>131.72349764200382</v>
      </c>
      <c r="J32" s="16">
        <f ca="1">'Aerodynamics-Cruise'!AG32</f>
        <v>1.4234354566744043</v>
      </c>
      <c r="K32" s="16">
        <f ca="1">'Aerodynamics-Cruise'!BE32</f>
        <v>0.87888755289437392</v>
      </c>
      <c r="L32" s="42">
        <f ca="1">'Aerodynamics-Cruise'!BF32</f>
        <v>1.3313253839253917E-2</v>
      </c>
      <c r="M32" s="84">
        <v>0</v>
      </c>
      <c r="N32" s="42">
        <f t="shared" ca="1" si="3"/>
        <v>4.1419585281682901E-2</v>
      </c>
      <c r="O32" s="10">
        <f ca="1">'Aerodynamics-Cruise'!BH32</f>
        <v>4.5307536247378578E-2</v>
      </c>
      <c r="P32" s="13">
        <f t="shared" ca="1" si="4"/>
        <v>131.7234976440792</v>
      </c>
      <c r="Q32" s="13">
        <f t="shared" ca="1" si="5"/>
        <v>6.7904786277680476</v>
      </c>
      <c r="R32" s="16">
        <f t="shared" ca="1" si="2"/>
        <v>19.39826407897483</v>
      </c>
      <c r="S32" s="14">
        <f t="shared" ca="1" si="6"/>
        <v>162.90685530321406</v>
      </c>
      <c r="U32" s="20">
        <f t="shared" ca="1" si="7"/>
        <v>18.851101889972814</v>
      </c>
      <c r="V32" s="1">
        <f t="shared" ca="1" si="8"/>
        <v>0.56694278561118072</v>
      </c>
      <c r="W32" s="20">
        <f t="shared" ca="1" si="9"/>
        <v>29.870054427576186</v>
      </c>
      <c r="X32" s="13">
        <f ca="1">'Aerodynamics-Cruise'!H32</f>
        <v>23.990482001725344</v>
      </c>
      <c r="Y32" s="33"/>
      <c r="Z32" s="19">
        <f ca="1">'Propulsion-Cruise'!S32</f>
        <v>162.90685532540843</v>
      </c>
      <c r="AA32" s="42"/>
      <c r="AB32" s="13">
        <f ca="1">'Propulsion-Cruise'!F32</f>
        <v>0.93369302160100331</v>
      </c>
      <c r="AC32" s="13">
        <f t="shared" ca="1" si="10"/>
        <v>-3.7436690667781436E-2</v>
      </c>
      <c r="AD32" s="57" t="str">
        <f t="shared" ca="1" si="11"/>
        <v>reduce payload weight</v>
      </c>
      <c r="AE32" s="20"/>
      <c r="AF32" s="20"/>
      <c r="AG32" s="16"/>
      <c r="AH32" s="16"/>
      <c r="AI32" s="42"/>
      <c r="AJ32" s="42"/>
      <c r="AK32" s="42"/>
      <c r="AL32" s="16"/>
      <c r="AM32" s="16"/>
      <c r="AN32" s="16"/>
      <c r="AO32" s="16"/>
      <c r="AP32" s="42"/>
      <c r="AQ32" s="42"/>
      <c r="AR32" s="42"/>
      <c r="AS32" s="16"/>
      <c r="AT32" s="16"/>
      <c r="AU32" s="42"/>
      <c r="AV32" s="42"/>
      <c r="AW32" s="16"/>
      <c r="AX32" s="42"/>
      <c r="AY32" s="42"/>
      <c r="AZ32" s="42"/>
      <c r="BA32" s="20"/>
      <c r="BB32" s="20"/>
      <c r="BC32" s="20"/>
      <c r="BD32" s="19"/>
      <c r="BE32" s="6"/>
      <c r="BF32" s="6"/>
      <c r="BG32" s="16"/>
      <c r="BH32" s="16"/>
      <c r="BI32" s="6"/>
      <c r="BJ32" s="16"/>
      <c r="BK32" s="16"/>
      <c r="BL32" s="16"/>
      <c r="BM32" s="6"/>
      <c r="BN32" s="16"/>
      <c r="BO32" s="16"/>
      <c r="BP32" s="16"/>
    </row>
    <row r="33" spans="2:68">
      <c r="B33" s="31">
        <f>Main!C33</f>
        <v>2.4473684210526319</v>
      </c>
      <c r="C33" s="31">
        <f>Main!B33</f>
        <v>0.33333333333333326</v>
      </c>
      <c r="D33" s="1">
        <f t="shared" si="0"/>
        <v>0.8157894736842104</v>
      </c>
      <c r="F33" s="1">
        <f t="shared" si="1"/>
        <v>0.65969672852566186</v>
      </c>
      <c r="H33" s="62">
        <f ca="1">Main!AC33</f>
        <v>131.66480106818827</v>
      </c>
      <c r="J33" s="16">
        <f ca="1">'Aerodynamics-Cruise'!AG33</f>
        <v>1.4231063433726903</v>
      </c>
      <c r="K33" s="16">
        <f ca="1">'Aerodynamics-Cruise'!BE33</f>
        <v>0.87891635720682582</v>
      </c>
      <c r="L33" s="42">
        <f ca="1">'Aerodynamics-Cruise'!BF33</f>
        <v>1.3361482676656664E-2</v>
      </c>
      <c r="M33" s="84">
        <v>0</v>
      </c>
      <c r="N33" s="42">
        <f t="shared" ca="1" si="3"/>
        <v>4.0327924962168249E-2</v>
      </c>
      <c r="O33" s="10">
        <f ca="1">'Aerodynamics-Cruise'!BH33</f>
        <v>4.4514561248583003E-2</v>
      </c>
      <c r="P33" s="13">
        <f t="shared" ca="1" si="4"/>
        <v>131.66480107031734</v>
      </c>
      <c r="Q33" s="13">
        <f t="shared" ca="1" si="5"/>
        <v>6.668439838977684</v>
      </c>
      <c r="R33" s="16">
        <f t="shared" ca="1" si="2"/>
        <v>19.744468608792673</v>
      </c>
      <c r="S33" s="14">
        <f t="shared" ca="1" si="6"/>
        <v>157.33998034546914</v>
      </c>
      <c r="U33" s="20">
        <f t="shared" ca="1" si="7"/>
        <v>18.54257099234928</v>
      </c>
      <c r="V33" s="1">
        <f t="shared" ca="1" si="8"/>
        <v>0.57560477536717536</v>
      </c>
      <c r="W33" s="20">
        <f t="shared" ca="1" si="9"/>
        <v>29.155898759821859</v>
      </c>
      <c r="X33" s="13">
        <f ca="1">'Aerodynamics-Cruise'!H33</f>
        <v>23.594721425716866</v>
      </c>
      <c r="Y33" s="33"/>
      <c r="Z33" s="19">
        <f ca="1">'Propulsion-Cruise'!S33</f>
        <v>157.33998036744882</v>
      </c>
      <c r="AA33" s="42"/>
      <c r="AB33" s="13">
        <f ca="1">'Propulsion-Cruise'!F33</f>
        <v>0.92122818689683839</v>
      </c>
      <c r="AC33" s="13">
        <f t="shared" ca="1" si="10"/>
        <v>-2.3586874329820404E-2</v>
      </c>
      <c r="AD33" s="57" t="str">
        <f t="shared" ca="1" si="11"/>
        <v>reduce payload weight</v>
      </c>
      <c r="AE33" s="20"/>
      <c r="AF33" s="20"/>
      <c r="AG33" s="16"/>
      <c r="AH33" s="16"/>
      <c r="AI33" s="42"/>
      <c r="AJ33" s="42"/>
      <c r="AK33" s="42"/>
      <c r="AL33" s="16"/>
      <c r="AM33" s="16"/>
      <c r="AN33" s="16"/>
      <c r="AO33" s="16"/>
      <c r="AP33" s="42"/>
      <c r="AQ33" s="42"/>
      <c r="AR33" s="42"/>
      <c r="AS33" s="16"/>
      <c r="AT33" s="16"/>
      <c r="AU33" s="42"/>
      <c r="AV33" s="42"/>
      <c r="AW33" s="16"/>
      <c r="AX33" s="42"/>
      <c r="AY33" s="42"/>
      <c r="AZ33" s="42"/>
      <c r="BA33" s="20"/>
      <c r="BB33" s="20"/>
      <c r="BC33" s="20"/>
      <c r="BD33" s="19"/>
      <c r="BE33" s="6"/>
      <c r="BF33" s="6"/>
      <c r="BG33" s="16"/>
      <c r="BH33" s="16"/>
      <c r="BI33" s="6"/>
      <c r="BJ33" s="16"/>
      <c r="BK33" s="16"/>
      <c r="BL33" s="16"/>
      <c r="BM33" s="6"/>
      <c r="BN33" s="16"/>
      <c r="BO33" s="16"/>
      <c r="BP33" s="16"/>
    </row>
    <row r="34" spans="2:68">
      <c r="B34" s="31">
        <f>Main!C34</f>
        <v>2.5263157894736845</v>
      </c>
      <c r="C34" s="31">
        <f>Main!B34</f>
        <v>0.33333333333333326</v>
      </c>
      <c r="D34" s="1">
        <f t="shared" si="0"/>
        <v>0.84210526315789469</v>
      </c>
      <c r="F34" s="1">
        <f t="shared" si="1"/>
        <v>0.65969672852566186</v>
      </c>
      <c r="H34" s="62">
        <f ca="1">Main!AC34</f>
        <v>131.64808624958647</v>
      </c>
      <c r="J34" s="16">
        <f ca="1">'Aerodynamics-Cruise'!AG34</f>
        <v>1.42279078258299</v>
      </c>
      <c r="K34" s="16">
        <f ca="1">'Aerodynamics-Cruise'!BE34</f>
        <v>0.87894265347019829</v>
      </c>
      <c r="L34" s="42">
        <f ca="1">'Aerodynamics-Cruise'!BF34</f>
        <v>1.3411169810323913E-2</v>
      </c>
      <c r="M34" s="84">
        <v>0</v>
      </c>
      <c r="N34" s="42">
        <f t="shared" ca="1" si="3"/>
        <v>3.9304617494588079E-2</v>
      </c>
      <c r="O34" s="10">
        <f ca="1">'Aerodynamics-Cruise'!BH34</f>
        <v>4.3775566402079448E-2</v>
      </c>
      <c r="P34" s="13">
        <f t="shared" ca="1" si="4"/>
        <v>131.6480862517773</v>
      </c>
      <c r="Q34" s="13">
        <f t="shared" ca="1" si="5"/>
        <v>6.5567071055981705</v>
      </c>
      <c r="R34" s="16">
        <f t="shared" ca="1" si="2"/>
        <v>20.078384489582444</v>
      </c>
      <c r="S34" s="14">
        <f t="shared" ca="1" si="6"/>
        <v>152.25530387468564</v>
      </c>
      <c r="U34" s="20">
        <f t="shared" ca="1" si="7"/>
        <v>18.251408915192314</v>
      </c>
      <c r="V34" s="1">
        <f t="shared" ca="1" si="8"/>
        <v>0.58413273331577231</v>
      </c>
      <c r="W34" s="20">
        <f t="shared" ca="1" si="9"/>
        <v>28.484666891351186</v>
      </c>
      <c r="X34" s="13">
        <f ca="1">'Aerodynamics-Cruise'!H34</f>
        <v>23.221306277971916</v>
      </c>
      <c r="Y34" s="33"/>
      <c r="Z34" s="19">
        <f ca="1">'Propulsion-Cruise'!S34</f>
        <v>152.2553038966393</v>
      </c>
      <c r="AA34" s="42"/>
      <c r="AB34" s="13">
        <f ca="1">'Propulsion-Cruise'!F34</f>
        <v>0.90958956142527903</v>
      </c>
      <c r="AC34" s="13">
        <f t="shared" ca="1" si="10"/>
        <v>-1.0655068250310004E-2</v>
      </c>
      <c r="AD34" s="57" t="str">
        <f t="shared" ca="1" si="11"/>
        <v>reduce payload weight</v>
      </c>
      <c r="AE34" s="20"/>
      <c r="AF34" s="20"/>
      <c r="AG34" s="16"/>
      <c r="AH34" s="16"/>
      <c r="AI34" s="42"/>
      <c r="AJ34" s="42"/>
      <c r="AK34" s="42"/>
      <c r="AL34" s="16"/>
      <c r="AM34" s="16"/>
      <c r="AN34" s="16"/>
      <c r="AO34" s="16"/>
      <c r="AP34" s="42"/>
      <c r="AQ34" s="42"/>
      <c r="AR34" s="42"/>
      <c r="AS34" s="16"/>
      <c r="AT34" s="16"/>
      <c r="AU34" s="42"/>
      <c r="AV34" s="42"/>
      <c r="AW34" s="16"/>
      <c r="AX34" s="42"/>
      <c r="AY34" s="42"/>
      <c r="AZ34" s="42"/>
      <c r="BA34" s="20"/>
      <c r="BB34" s="20"/>
      <c r="BC34" s="20"/>
      <c r="BD34" s="19"/>
      <c r="BE34" s="6"/>
      <c r="BF34" s="6"/>
      <c r="BG34" s="16"/>
      <c r="BH34" s="16"/>
      <c r="BI34" s="6"/>
      <c r="BJ34" s="16"/>
      <c r="BK34" s="16"/>
      <c r="BL34" s="16"/>
      <c r="BM34" s="6"/>
      <c r="BN34" s="16"/>
      <c r="BO34" s="16"/>
      <c r="BP34" s="16"/>
    </row>
    <row r="35" spans="2:68">
      <c r="B35" s="31">
        <f>Main!C35</f>
        <v>2.6052631578947372</v>
      </c>
      <c r="C35" s="31">
        <f>Main!B35</f>
        <v>0.33333333333333326</v>
      </c>
      <c r="D35" s="1">
        <f t="shared" si="0"/>
        <v>0.86842105263157887</v>
      </c>
      <c r="F35" s="1">
        <f t="shared" si="1"/>
        <v>0.65969672852566186</v>
      </c>
      <c r="H35" s="62">
        <f ca="1">Main!AC35</f>
        <v>131.66397514989566</v>
      </c>
      <c r="J35" s="16">
        <f ca="1">'Aerodynamics-Cruise'!AG35</f>
        <v>1.4224874254368394</v>
      </c>
      <c r="K35" s="16">
        <f ca="1">'Aerodynamics-Cruise'!BE35</f>
        <v>0.87896673017237348</v>
      </c>
      <c r="L35" s="42">
        <f ca="1">'Aerodynamics-Cruise'!BF35</f>
        <v>1.3462245731079469E-2</v>
      </c>
      <c r="M35" s="84">
        <v>0</v>
      </c>
      <c r="N35" s="42">
        <f t="shared" ca="1" si="3"/>
        <v>3.8343517276533443E-2</v>
      </c>
      <c r="O35" s="10">
        <f ca="1">'Aerodynamics-Cruise'!BH35</f>
        <v>4.3085776655958481E-2</v>
      </c>
      <c r="P35" s="13">
        <f t="shared" ca="1" si="4"/>
        <v>131.66397515213865</v>
      </c>
      <c r="Q35" s="13">
        <f t="shared" ca="1" si="5"/>
        <v>6.4539924348765911</v>
      </c>
      <c r="R35" s="16">
        <f t="shared" ca="1" si="2"/>
        <v>20.400391924949048</v>
      </c>
      <c r="S35" s="14">
        <f t="shared" ca="1" si="6"/>
        <v>147.58879131346461</v>
      </c>
      <c r="U35" s="20">
        <f t="shared" ca="1" si="7"/>
        <v>17.975746070671946</v>
      </c>
      <c r="V35" s="1">
        <f t="shared" ca="1" si="8"/>
        <v>0.59253332744932985</v>
      </c>
      <c r="W35" s="20">
        <f t="shared" ca="1" si="9"/>
        <v>27.851895127362059</v>
      </c>
      <c r="X35" s="13">
        <f ca="1">'Aerodynamics-Cruise'!H35</f>
        <v>22.867828371672989</v>
      </c>
      <c r="Y35" s="33"/>
      <c r="Z35" s="19">
        <f ca="1">'Propulsion-Cruise'!S35</f>
        <v>147.58879133534606</v>
      </c>
      <c r="AA35" s="42"/>
      <c r="AB35" s="13">
        <f ca="1">'Propulsion-Cruise'!F35</f>
        <v>0.89868409380996639</v>
      </c>
      <c r="AC35" s="13">
        <f t="shared" ca="1" si="10"/>
        <v>1.4621179889262592E-3</v>
      </c>
      <c r="AD35" s="57" t="str">
        <f t="shared" ca="1" si="11"/>
        <v>OK</v>
      </c>
      <c r="AE35" s="20"/>
      <c r="AF35" s="20"/>
      <c r="AG35" s="16"/>
      <c r="AH35" s="16"/>
      <c r="AI35" s="42"/>
      <c r="AJ35" s="42"/>
      <c r="AK35" s="42"/>
      <c r="AL35" s="16"/>
      <c r="AM35" s="16"/>
      <c r="AN35" s="16"/>
      <c r="AO35" s="16"/>
      <c r="AP35" s="42"/>
      <c r="AQ35" s="42"/>
      <c r="AR35" s="42"/>
      <c r="AS35" s="16"/>
      <c r="AT35" s="16"/>
      <c r="AU35" s="42"/>
      <c r="AV35" s="42"/>
      <c r="AW35" s="16"/>
      <c r="AX35" s="42"/>
      <c r="AY35" s="42"/>
      <c r="AZ35" s="42"/>
      <c r="BA35" s="20"/>
      <c r="BB35" s="20"/>
      <c r="BC35" s="20"/>
      <c r="BD35" s="19"/>
      <c r="BE35" s="6"/>
      <c r="BF35" s="6"/>
      <c r="BG35" s="16"/>
      <c r="BH35" s="16"/>
      <c r="BI35" s="6"/>
      <c r="BJ35" s="16"/>
      <c r="BK35" s="16"/>
      <c r="BL35" s="16"/>
      <c r="BM35" s="6"/>
      <c r="BN35" s="16"/>
      <c r="BO35" s="16"/>
      <c r="BP35" s="16"/>
    </row>
    <row r="36" spans="2:68">
      <c r="B36" s="31">
        <f>Main!C36</f>
        <v>2.6842105263157898</v>
      </c>
      <c r="C36" s="31">
        <f>Main!B36</f>
        <v>0.33333333333333326</v>
      </c>
      <c r="D36" s="1">
        <f t="shared" si="0"/>
        <v>0.89473684210526305</v>
      </c>
      <c r="F36" s="1">
        <f t="shared" si="1"/>
        <v>0.65969672852566186</v>
      </c>
      <c r="H36" s="62">
        <f ca="1">Main!AC36</f>
        <v>131.71508343743108</v>
      </c>
      <c r="J36" s="16">
        <f ca="1">'Aerodynamics-Cruise'!AG36</f>
        <v>1.4221958800466206</v>
      </c>
      <c r="K36" s="16">
        <f ca="1">'Aerodynamics-Cruise'!BE36</f>
        <v>0.87898883502771907</v>
      </c>
      <c r="L36" s="42">
        <f ca="1">'Aerodynamics-Cruise'!BF36</f>
        <v>1.3514311587813056E-2</v>
      </c>
      <c r="M36" s="84">
        <v>0</v>
      </c>
      <c r="N36" s="42">
        <f t="shared" ca="1" si="3"/>
        <v>3.7439207269701326E-2</v>
      </c>
      <c r="O36" s="10">
        <f ca="1">'Aerodynamics-Cruise'!BH36</f>
        <v>4.2440643278692736E-2</v>
      </c>
      <c r="P36" s="13">
        <f t="shared" ca="1" si="4"/>
        <v>131.7150834397238</v>
      </c>
      <c r="Q36" s="13">
        <f t="shared" ca="1" si="5"/>
        <v>6.3596631127997014</v>
      </c>
      <c r="R36" s="16">
        <f t="shared" ca="1" si="2"/>
        <v>20.711015835827684</v>
      </c>
      <c r="S36" s="14">
        <f t="shared" ca="1" si="6"/>
        <v>143.30302542272094</v>
      </c>
      <c r="U36" s="20">
        <f t="shared" ca="1" si="7"/>
        <v>17.714676263175932</v>
      </c>
      <c r="V36" s="1">
        <f t="shared" ca="1" si="8"/>
        <v>0.60080514303928645</v>
      </c>
      <c r="W36" s="20">
        <f t="shared" ca="1" si="9"/>
        <v>27.254995034636821</v>
      </c>
      <c r="X36" s="13">
        <f ca="1">'Aerodynamics-Cruise'!H36</f>
        <v>22.533115808238001</v>
      </c>
      <c r="Y36" s="33"/>
      <c r="Z36" s="19">
        <f ca="1">'Propulsion-Cruise'!S36</f>
        <v>143.30302544451445</v>
      </c>
      <c r="AA36" s="42"/>
      <c r="AB36" s="13">
        <f ca="1">'Propulsion-Cruise'!F36</f>
        <v>0.88846794387596928</v>
      </c>
      <c r="AC36" s="13">
        <f t="shared" ca="1" si="10"/>
        <v>1.2813395693367492E-2</v>
      </c>
      <c r="AD36" s="57" t="str">
        <f t="shared" ca="1" si="11"/>
        <v>OK</v>
      </c>
      <c r="AE36" s="20"/>
      <c r="AF36" s="20"/>
      <c r="AG36" s="16"/>
      <c r="AH36" s="16"/>
      <c r="AI36" s="42"/>
      <c r="AJ36" s="42"/>
      <c r="AK36" s="42"/>
      <c r="AL36" s="16"/>
      <c r="AM36" s="16"/>
      <c r="AN36" s="16"/>
      <c r="AO36" s="16"/>
      <c r="AP36" s="42"/>
      <c r="AQ36" s="42"/>
      <c r="AR36" s="42"/>
      <c r="AS36" s="16"/>
      <c r="AT36" s="16"/>
      <c r="AU36" s="42"/>
      <c r="AV36" s="42"/>
      <c r="AW36" s="16"/>
      <c r="AX36" s="42"/>
      <c r="AY36" s="42"/>
      <c r="AZ36" s="42"/>
      <c r="BA36" s="20"/>
      <c r="BB36" s="20"/>
      <c r="BC36" s="20"/>
      <c r="BD36" s="19"/>
      <c r="BE36" s="6"/>
      <c r="BF36" s="6"/>
      <c r="BG36" s="16"/>
      <c r="BH36" s="16"/>
      <c r="BI36" s="6"/>
      <c r="BJ36" s="16"/>
      <c r="BK36" s="16"/>
      <c r="BL36" s="16"/>
      <c r="BM36" s="6"/>
      <c r="BN36" s="16"/>
      <c r="BO36" s="16"/>
      <c r="BP36" s="16"/>
    </row>
    <row r="37" spans="2:68">
      <c r="B37" s="31">
        <f>Main!C37</f>
        <v>2.7631578947368425</v>
      </c>
      <c r="C37" s="31">
        <f>Main!B37</f>
        <v>0.33333333333333326</v>
      </c>
      <c r="D37" s="1">
        <f t="shared" si="0"/>
        <v>0.92105263157894723</v>
      </c>
      <c r="F37" s="1">
        <f t="shared" si="1"/>
        <v>0.65969672852566186</v>
      </c>
      <c r="H37" s="62">
        <f ca="1">Main!AC37</f>
        <v>131.79789717184198</v>
      </c>
      <c r="J37" s="16">
        <f ca="1">'Aerodynamics-Cruise'!AG37</f>
        <v>1.4219153437204937</v>
      </c>
      <c r="K37" s="16">
        <f ca="1">'Aerodynamics-Cruise'!BE37</f>
        <v>0.87900918173965281</v>
      </c>
      <c r="L37" s="42">
        <f ca="1">'Aerodynamics-Cruise'!BF37</f>
        <v>1.3567201013899232E-2</v>
      </c>
      <c r="M37" s="84">
        <v>0</v>
      </c>
      <c r="N37" s="42">
        <f t="shared" ca="1" si="3"/>
        <v>3.6586881107053236E-2</v>
      </c>
      <c r="O37" s="10">
        <f ca="1">'Aerodynamics-Cruise'!BH37</f>
        <v>4.18363159891917E-2</v>
      </c>
      <c r="P37" s="13">
        <f t="shared" ca="1" si="4"/>
        <v>131.79789717418373</v>
      </c>
      <c r="Q37" s="13">
        <f t="shared" ca="1" si="5"/>
        <v>6.2729020213161766</v>
      </c>
      <c r="R37" s="16">
        <f t="shared" ca="1" si="2"/>
        <v>21.0106736445614</v>
      </c>
      <c r="S37" s="14">
        <f t="shared" ca="1" si="6"/>
        <v>139.35631307830315</v>
      </c>
      <c r="U37" s="20">
        <f t="shared" ca="1" si="7"/>
        <v>17.46698627613241</v>
      </c>
      <c r="V37" s="1">
        <f t="shared" ca="1" si="8"/>
        <v>0.60895112236356208</v>
      </c>
      <c r="W37" s="20">
        <f t="shared" ca="1" si="9"/>
        <v>26.690925416419823</v>
      </c>
      <c r="X37" s="13">
        <f ca="1">'Aerodynamics-Cruise'!H37</f>
        <v>22.215604931199326</v>
      </c>
      <c r="Y37" s="33"/>
      <c r="Z37" s="19">
        <f ca="1">'Propulsion-Cruise'!S37</f>
        <v>139.35631310004368</v>
      </c>
      <c r="AA37" s="42"/>
      <c r="AB37" s="13">
        <f ca="1">'Propulsion-Cruise'!F37</f>
        <v>0.87888150977843837</v>
      </c>
      <c r="AC37" s="13">
        <f t="shared" ca="1" si="10"/>
        <v>2.3464989135068497E-2</v>
      </c>
      <c r="AD37" s="57" t="str">
        <f t="shared" ca="1" si="11"/>
        <v>OK</v>
      </c>
      <c r="AE37" s="20"/>
      <c r="AF37" s="20"/>
      <c r="AG37" s="16"/>
      <c r="AH37" s="16"/>
      <c r="AI37" s="42"/>
      <c r="AJ37" s="42"/>
      <c r="AK37" s="42"/>
      <c r="AL37" s="16"/>
      <c r="AM37" s="16"/>
      <c r="AN37" s="16"/>
      <c r="AO37" s="16"/>
      <c r="AP37" s="42"/>
      <c r="AQ37" s="42"/>
      <c r="AR37" s="42"/>
      <c r="AS37" s="16"/>
      <c r="AT37" s="16"/>
      <c r="AU37" s="42"/>
      <c r="AV37" s="42"/>
      <c r="AW37" s="16"/>
      <c r="AX37" s="42"/>
      <c r="AY37" s="42"/>
      <c r="AZ37" s="42"/>
      <c r="BA37" s="20"/>
      <c r="BB37" s="20"/>
      <c r="BC37" s="20"/>
      <c r="BD37" s="19"/>
      <c r="BE37" s="6"/>
      <c r="BF37" s="6"/>
      <c r="BG37" s="16"/>
      <c r="BH37" s="16"/>
      <c r="BI37" s="6"/>
      <c r="BJ37" s="16"/>
      <c r="BK37" s="16"/>
      <c r="BL37" s="16"/>
      <c r="BM37" s="6"/>
      <c r="BN37" s="16"/>
      <c r="BO37" s="16"/>
      <c r="BP37" s="16"/>
    </row>
    <row r="38" spans="2:68">
      <c r="B38" s="31">
        <f>Main!C38</f>
        <v>2.8421052631578951</v>
      </c>
      <c r="C38" s="31">
        <f>Main!B38</f>
        <v>0.33333333333333326</v>
      </c>
      <c r="D38" s="1">
        <f t="shared" si="0"/>
        <v>0.94736842105263153</v>
      </c>
      <c r="F38" s="1">
        <f t="shared" si="1"/>
        <v>0.65969672852566186</v>
      </c>
      <c r="H38" s="62">
        <f ca="1">Main!AC38</f>
        <v>131.90942506193599</v>
      </c>
      <c r="J38" s="16">
        <f ca="1">'Aerodynamics-Cruise'!AG38</f>
        <v>1.4216450974493928</v>
      </c>
      <c r="K38" s="16">
        <f ca="1">'Aerodynamics-Cruise'!BE38</f>
        <v>0.87902795548563994</v>
      </c>
      <c r="L38" s="42">
        <f ca="1">'Aerodynamics-Cruise'!BF38</f>
        <v>1.3620766602249371E-2</v>
      </c>
      <c r="M38" s="84">
        <v>0</v>
      </c>
      <c r="N38" s="42">
        <f t="shared" ca="1" si="3"/>
        <v>3.5782263662742592E-2</v>
      </c>
      <c r="O38" s="10">
        <f ca="1">'Aerodynamics-Cruise'!BH38</f>
        <v>4.1269369154507046E-2</v>
      </c>
      <c r="P38" s="13">
        <f t="shared" ca="1" si="4"/>
        <v>131.90942506432535</v>
      </c>
      <c r="Q38" s="13">
        <f t="shared" ca="1" si="5"/>
        <v>6.1929984410232555</v>
      </c>
      <c r="R38" s="16">
        <f t="shared" ca="1" si="2"/>
        <v>21.299767200091566</v>
      </c>
      <c r="S38" s="14">
        <f t="shared" ca="1" si="6"/>
        <v>135.71283455425234</v>
      </c>
      <c r="U38" s="20">
        <f t="shared" ca="1" si="7"/>
        <v>17.231603717765182</v>
      </c>
      <c r="V38" s="1">
        <f t="shared" ca="1" si="8"/>
        <v>0.61697401007174002</v>
      </c>
      <c r="W38" s="20">
        <f t="shared" ca="1" si="9"/>
        <v>26.156995601886372</v>
      </c>
      <c r="X38" s="13">
        <f ca="1">'Aerodynamics-Cruise'!H38</f>
        <v>21.913913889377955</v>
      </c>
      <c r="Y38" s="33"/>
      <c r="Z38" s="19">
        <f ca="1">'Propulsion-Cruise'!S38</f>
        <v>135.71283457595067</v>
      </c>
      <c r="AA38" s="42"/>
      <c r="AB38" s="13">
        <f ca="1">'Propulsion-Cruise'!F38</f>
        <v>0.86987229912149955</v>
      </c>
      <c r="AC38" s="13">
        <f t="shared" ca="1" si="10"/>
        <v>3.3475223198333862E-2</v>
      </c>
      <c r="AD38" s="57" t="str">
        <f t="shared" ca="1" si="11"/>
        <v>OK</v>
      </c>
      <c r="AE38" s="20"/>
      <c r="AF38" s="20"/>
      <c r="AG38" s="16"/>
      <c r="AH38" s="16"/>
      <c r="AI38" s="42"/>
      <c r="AJ38" s="42"/>
      <c r="AK38" s="42"/>
      <c r="AL38" s="16"/>
      <c r="AM38" s="16"/>
      <c r="AN38" s="16"/>
      <c r="AO38" s="16"/>
      <c r="AP38" s="42"/>
      <c r="AQ38" s="42"/>
      <c r="AR38" s="42"/>
      <c r="AS38" s="16"/>
      <c r="AT38" s="16"/>
      <c r="AU38" s="42"/>
      <c r="AV38" s="42"/>
      <c r="AW38" s="16"/>
      <c r="AX38" s="42"/>
      <c r="AY38" s="42"/>
      <c r="AZ38" s="42"/>
      <c r="BA38" s="20"/>
      <c r="BB38" s="20"/>
      <c r="BC38" s="20"/>
      <c r="BD38" s="19"/>
      <c r="BE38" s="6"/>
      <c r="BF38" s="6"/>
      <c r="BG38" s="16"/>
      <c r="BH38" s="16"/>
      <c r="BI38" s="6"/>
      <c r="BJ38" s="16"/>
      <c r="BK38" s="16"/>
      <c r="BL38" s="16"/>
      <c r="BM38" s="6"/>
      <c r="BN38" s="16"/>
      <c r="BO38" s="16"/>
      <c r="BP38" s="16"/>
    </row>
    <row r="39" spans="2:68">
      <c r="B39" s="31">
        <f>Main!C39</f>
        <v>2.9210526315789478</v>
      </c>
      <c r="C39" s="31">
        <f>Main!B39</f>
        <v>0.33333333333333326</v>
      </c>
      <c r="D39" s="1">
        <f t="shared" si="0"/>
        <v>0.97368421052631571</v>
      </c>
      <c r="F39" s="1">
        <f t="shared" si="1"/>
        <v>0.65969672852566186</v>
      </c>
      <c r="H39" s="62">
        <f ca="1">Main!AC39</f>
        <v>132.04710507840423</v>
      </c>
      <c r="J39" s="16">
        <f ca="1">'Aerodynamics-Cruise'!AG39</f>
        <v>1.4213844942605081</v>
      </c>
      <c r="K39" s="16">
        <f ca="1">'Aerodynamics-Cruise'!BE39</f>
        <v>0.87904531739376923</v>
      </c>
      <c r="L39" s="42">
        <f ca="1">'Aerodynamics-Cruise'!BF39</f>
        <v>1.3674877615522081E-2</v>
      </c>
      <c r="M39" s="84">
        <v>0</v>
      </c>
      <c r="N39" s="42">
        <f t="shared" ca="1" si="3"/>
        <v>3.5021539509905414E-2</v>
      </c>
      <c r="O39" s="10">
        <f ca="1">'Aerodynamics-Cruise'!BH39</f>
        <v>4.0736745090846328E-2</v>
      </c>
      <c r="P39" s="13">
        <f t="shared" ca="1" si="4"/>
        <v>132.04710508084003</v>
      </c>
      <c r="Q39" s="13">
        <f t="shared" ca="1" si="5"/>
        <v>6.1193309983275581</v>
      </c>
      <c r="R39" s="16">
        <f t="shared" ca="1" si="2"/>
        <v>21.578683211764346</v>
      </c>
      <c r="S39" s="14">
        <f t="shared" ca="1" si="6"/>
        <v>132.3416435391178</v>
      </c>
      <c r="U39" s="20">
        <f t="shared" ca="1" si="7"/>
        <v>17.007576159570835</v>
      </c>
      <c r="V39" s="1">
        <f t="shared" ca="1" si="8"/>
        <v>0.62487637800454121</v>
      </c>
      <c r="W39" s="20">
        <f t="shared" ca="1" si="9"/>
        <v>25.650814346469986</v>
      </c>
      <c r="X39" s="13">
        <f ca="1">'Aerodynamics-Cruise'!H39</f>
        <v>21.626815672280991</v>
      </c>
      <c r="Y39" s="33"/>
      <c r="Z39" s="19">
        <f ca="1">'Propulsion-Cruise'!S39</f>
        <v>132.34164356078367</v>
      </c>
      <c r="AA39" s="42"/>
      <c r="AB39" s="13">
        <f ca="1">'Propulsion-Cruise'!F39</f>
        <v>0.86139385606442442</v>
      </c>
      <c r="AC39" s="13">
        <f t="shared" ca="1" si="10"/>
        <v>4.2895715483972884E-2</v>
      </c>
      <c r="AD39" s="57" t="str">
        <f t="shared" ca="1" si="11"/>
        <v>OK</v>
      </c>
      <c r="AE39" s="20"/>
      <c r="AF39" s="20"/>
      <c r="AG39" s="16"/>
      <c r="AH39" s="16"/>
      <c r="AI39" s="42"/>
      <c r="AJ39" s="42"/>
      <c r="AK39" s="42"/>
      <c r="AL39" s="16"/>
      <c r="AM39" s="16"/>
      <c r="AN39" s="16"/>
      <c r="AO39" s="16"/>
      <c r="AP39" s="42"/>
      <c r="AQ39" s="42"/>
      <c r="AR39" s="42"/>
      <c r="AS39" s="16"/>
      <c r="AT39" s="16"/>
      <c r="AU39" s="42"/>
      <c r="AV39" s="42"/>
      <c r="AW39" s="16"/>
      <c r="AX39" s="42"/>
      <c r="AY39" s="42"/>
      <c r="AZ39" s="42"/>
      <c r="BA39" s="20"/>
      <c r="BB39" s="20"/>
      <c r="BC39" s="20"/>
      <c r="BD39" s="19"/>
      <c r="BE39" s="6"/>
      <c r="BF39" s="6"/>
      <c r="BG39" s="16"/>
      <c r="BH39" s="16"/>
      <c r="BI39" s="6"/>
      <c r="BJ39" s="16"/>
      <c r="BK39" s="16"/>
      <c r="BL39" s="16"/>
      <c r="BM39" s="6"/>
      <c r="BN39" s="16"/>
      <c r="BO39" s="16"/>
      <c r="BP39" s="16"/>
    </row>
    <row r="40" spans="2:68">
      <c r="B40" s="31">
        <f>Main!C40</f>
        <v>3</v>
      </c>
      <c r="C40" s="31">
        <f>Main!B40</f>
        <v>0.33333333333333326</v>
      </c>
      <c r="D40" s="1">
        <f t="shared" si="0"/>
        <v>0.99999999999999978</v>
      </c>
      <c r="F40" s="1">
        <f t="shared" si="1"/>
        <v>0.65969672852566186</v>
      </c>
      <c r="H40" s="62">
        <f ca="1">Main!AC40</f>
        <v>109.48016672982719</v>
      </c>
      <c r="J40" s="16">
        <f ca="1">'Aerodynamics-Cruise'!AG40</f>
        <v>1.4192714258176737</v>
      </c>
      <c r="K40" s="16">
        <f ca="1">'Aerodynamics-Cruise'!BE40</f>
        <v>0.87906140821781131</v>
      </c>
      <c r="L40" s="42">
        <f ca="1">'Aerodynamics-Cruise'!BF40</f>
        <v>1.4579442820810758E-2</v>
      </c>
      <c r="M40" s="84">
        <v>0</v>
      </c>
      <c r="N40" s="42">
        <f t="shared" ca="1" si="3"/>
        <v>3.42822449994232E-2</v>
      </c>
      <c r="O40" s="10">
        <f ca="1">'Aerodynamics-Cruise'!BH40</f>
        <v>4.1071106058771685E-2</v>
      </c>
      <c r="P40" s="13">
        <f t="shared" ca="1" si="4"/>
        <v>109.48457330726379</v>
      </c>
      <c r="Q40" s="13">
        <f t="shared" ca="1" si="5"/>
        <v>5.1152882836915836</v>
      </c>
      <c r="R40" s="16">
        <f t="shared" ca="1" si="2"/>
        <v>21.403402356875834</v>
      </c>
      <c r="S40" s="14">
        <f t="shared" ca="1" si="6"/>
        <v>99.398494108220746</v>
      </c>
      <c r="U40" s="20">
        <f t="shared" ca="1" si="7"/>
        <v>15.292476722185658</v>
      </c>
      <c r="V40" s="1">
        <f t="shared" ca="1" si="8"/>
        <v>0.65213248779815491</v>
      </c>
      <c r="W40" s="20">
        <f t="shared" ca="1" si="9"/>
        <v>22.560184110084251</v>
      </c>
      <c r="X40" s="13">
        <f ca="1">'Aerodynamics-Cruise'!H40</f>
        <v>19.43145462796252</v>
      </c>
      <c r="Y40" s="33"/>
      <c r="Z40" s="19">
        <f ca="1">'Propulsion-Cruise'!S40</f>
        <v>99.421112317816309</v>
      </c>
      <c r="AA40" s="42"/>
      <c r="AB40" s="13">
        <f ca="1">'Propulsion-Cruise'!F40</f>
        <v>0.77653607458473251</v>
      </c>
      <c r="AC40" s="13">
        <f t="shared" ca="1" si="10"/>
        <v>0.13718213935029724</v>
      </c>
      <c r="AD40" s="57" t="str">
        <f t="shared" ca="1" si="11"/>
        <v>OK</v>
      </c>
      <c r="AE40" s="20"/>
      <c r="AF40" s="20"/>
      <c r="AG40" s="16"/>
      <c r="AH40" s="16"/>
      <c r="AI40" s="42"/>
      <c r="AJ40" s="42"/>
      <c r="AK40" s="42"/>
      <c r="AL40" s="16"/>
      <c r="AM40" s="16"/>
      <c r="AN40" s="16"/>
      <c r="AO40" s="16"/>
      <c r="AP40" s="42"/>
      <c r="AQ40" s="42"/>
      <c r="AR40" s="42"/>
      <c r="AS40" s="16"/>
      <c r="AT40" s="16"/>
      <c r="AU40" s="42"/>
      <c r="AV40" s="42"/>
      <c r="AW40" s="16"/>
      <c r="AX40" s="42"/>
      <c r="AY40" s="42"/>
      <c r="AZ40" s="42"/>
      <c r="BA40" s="20"/>
      <c r="BB40" s="20"/>
      <c r="BC40" s="20"/>
      <c r="BD40" s="19"/>
      <c r="BE40" s="6"/>
      <c r="BF40" s="6"/>
      <c r="BG40" s="16"/>
      <c r="BH40" s="16"/>
      <c r="BI40" s="6"/>
      <c r="BJ40" s="16"/>
      <c r="BK40" s="16"/>
      <c r="BL40" s="16"/>
      <c r="BM40" s="6"/>
      <c r="BN40" s="16"/>
      <c r="BO40" s="16"/>
      <c r="BP40" s="16"/>
    </row>
    <row r="41" spans="2:68"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</row>
    <row r="42" spans="2:68">
      <c r="D42" s="4"/>
    </row>
    <row r="44" spans="2:68">
      <c r="I44" s="14"/>
      <c r="M44" s="1"/>
      <c r="N44" s="1"/>
      <c r="O44" s="1"/>
      <c r="P44" s="1"/>
    </row>
    <row r="45" spans="2:68">
      <c r="I45" s="14"/>
    </row>
    <row r="46" spans="2:68">
      <c r="I46" s="14"/>
    </row>
    <row r="47" spans="2:68">
      <c r="I47" s="14"/>
    </row>
    <row r="48" spans="2:68">
      <c r="I48" s="14"/>
    </row>
    <row r="49" spans="9:9">
      <c r="I49" s="14"/>
    </row>
    <row r="50" spans="9:9">
      <c r="I50" s="14"/>
    </row>
    <row r="51" spans="9:9">
      <c r="I51" s="14"/>
    </row>
    <row r="52" spans="9:9">
      <c r="I52" s="14"/>
    </row>
    <row r="53" spans="9:9">
      <c r="I53" s="14"/>
    </row>
    <row r="54" spans="9:9">
      <c r="I54" s="14"/>
    </row>
    <row r="55" spans="9:9">
      <c r="I55" s="14"/>
    </row>
    <row r="56" spans="9:9">
      <c r="I56" s="14"/>
    </row>
    <row r="57" spans="9:9">
      <c r="I57" s="14"/>
    </row>
    <row r="58" spans="9:9">
      <c r="I58" s="14"/>
    </row>
    <row r="59" spans="9:9">
      <c r="I59" s="14"/>
    </row>
    <row r="60" spans="9:9">
      <c r="I60" s="14"/>
    </row>
    <row r="61" spans="9:9">
      <c r="I61" s="14"/>
    </row>
    <row r="62" spans="9:9">
      <c r="I62" s="14"/>
    </row>
    <row r="63" spans="9:9">
      <c r="I63" s="14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Q63"/>
  <sheetViews>
    <sheetView zoomScale="110" zoomScaleNormal="110" workbookViewId="0">
      <selection activeCell="AD21" sqref="AD21"/>
    </sheetView>
  </sheetViews>
  <sheetFormatPr defaultRowHeight="12.75"/>
  <cols>
    <col min="5" max="5" width="9.5703125" bestFit="1" customWidth="1"/>
    <col min="29" max="29" width="9.28515625" bestFit="1" customWidth="1"/>
    <col min="40" max="40" width="9.28515625" bestFit="1" customWidth="1"/>
    <col min="42" max="42" width="9.42578125" customWidth="1"/>
  </cols>
  <sheetData>
    <row r="1" spans="1:69">
      <c r="A1" s="17" t="s">
        <v>264</v>
      </c>
    </row>
    <row r="3" spans="1:69">
      <c r="A3" t="s">
        <v>270</v>
      </c>
      <c r="C3" s="6"/>
      <c r="D3" s="6"/>
    </row>
    <row r="4" spans="1:69">
      <c r="A4" s="46"/>
      <c r="B4" s="46"/>
      <c r="C4" s="58"/>
      <c r="D4" s="58"/>
    </row>
    <row r="5" spans="1:69">
      <c r="A5" s="46" t="s">
        <v>321</v>
      </c>
      <c r="B5" s="89">
        <v>2</v>
      </c>
      <c r="C5" s="58"/>
      <c r="D5" s="58" t="s">
        <v>294</v>
      </c>
      <c r="F5" s="6"/>
      <c r="G5" s="6"/>
      <c r="H5" s="6"/>
    </row>
    <row r="6" spans="1:69">
      <c r="A6" s="46" t="s">
        <v>204</v>
      </c>
      <c r="B6" s="96">
        <v>2</v>
      </c>
      <c r="C6" s="71" t="s">
        <v>28</v>
      </c>
      <c r="D6" s="72" t="s">
        <v>294</v>
      </c>
      <c r="E6" s="16"/>
      <c r="F6" s="6"/>
      <c r="G6" s="16"/>
      <c r="H6" s="6"/>
    </row>
    <row r="7" spans="1:69">
      <c r="A7" s="58"/>
      <c r="B7" s="58"/>
      <c r="C7" s="58"/>
      <c r="D7" s="58"/>
    </row>
    <row r="8" spans="1:69">
      <c r="A8" s="46" t="s">
        <v>536</v>
      </c>
      <c r="B8" s="46"/>
      <c r="C8" s="46"/>
      <c r="D8" s="46"/>
    </row>
    <row r="9" spans="1:69">
      <c r="A9" s="46"/>
      <c r="B9" s="46"/>
      <c r="C9" s="46"/>
      <c r="D9" s="46"/>
    </row>
    <row r="10" spans="1:69">
      <c r="A10" s="46"/>
      <c r="B10" s="89">
        <v>2</v>
      </c>
      <c r="C10" s="46"/>
      <c r="D10" s="46"/>
    </row>
    <row r="11" spans="1:69"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</row>
    <row r="12" spans="1:69"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</row>
    <row r="13" spans="1:69">
      <c r="AR13" s="80"/>
      <c r="AS13" s="80"/>
      <c r="AT13" s="80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</row>
    <row r="14" spans="1:69"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</row>
    <row r="15" spans="1:69">
      <c r="B15" s="46" t="s">
        <v>277</v>
      </c>
      <c r="D15" t="s">
        <v>261</v>
      </c>
      <c r="I15" s="6"/>
      <c r="J15" s="6"/>
      <c r="K15" s="58" t="s">
        <v>293</v>
      </c>
      <c r="L15" s="6"/>
      <c r="M15" s="6"/>
      <c r="N15" s="6"/>
      <c r="O15" s="6"/>
      <c r="R15" s="46" t="s">
        <v>320</v>
      </c>
      <c r="Y15" s="46" t="s">
        <v>307</v>
      </c>
      <c r="AF15" s="58" t="s">
        <v>467</v>
      </c>
      <c r="AG15" s="6"/>
      <c r="AH15" s="6"/>
      <c r="AI15" s="6"/>
      <c r="AJ15" s="6"/>
      <c r="AM15" s="46" t="s">
        <v>82</v>
      </c>
      <c r="AR15" s="46" t="s">
        <v>288</v>
      </c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</row>
    <row r="16" spans="1:69">
      <c r="I16" s="6"/>
      <c r="J16" s="6"/>
      <c r="K16" s="6"/>
      <c r="L16" s="6"/>
      <c r="M16" s="6"/>
      <c r="N16" s="6"/>
      <c r="O16" s="6"/>
      <c r="AF16" s="6"/>
      <c r="AG16" s="6"/>
      <c r="AH16" s="6"/>
      <c r="AI16" s="6"/>
      <c r="AJ16" s="6"/>
      <c r="AV16" s="6"/>
      <c r="AW16" s="6"/>
      <c r="AX16" s="6"/>
      <c r="AY16" s="42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</row>
    <row r="17" spans="2:69">
      <c r="I17" s="6"/>
      <c r="J17" s="6"/>
      <c r="K17" s="6"/>
      <c r="L17" s="6"/>
      <c r="M17" s="6"/>
      <c r="N17" s="6"/>
      <c r="O17" s="6"/>
      <c r="AF17" s="6"/>
      <c r="AG17" s="6"/>
      <c r="AH17" s="6"/>
      <c r="AI17" s="6"/>
      <c r="AJ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</row>
    <row r="18" spans="2:69">
      <c r="B18" s="9" t="s">
        <v>34</v>
      </c>
      <c r="D18" s="9" t="s">
        <v>314</v>
      </c>
      <c r="E18" s="9" t="s">
        <v>731</v>
      </c>
      <c r="F18" s="9" t="s">
        <v>732</v>
      </c>
      <c r="G18" s="9" t="s">
        <v>315</v>
      </c>
      <c r="H18" s="47" t="s">
        <v>204</v>
      </c>
      <c r="I18" s="68" t="s">
        <v>204</v>
      </c>
      <c r="J18" s="23"/>
      <c r="K18" s="9" t="s">
        <v>314</v>
      </c>
      <c r="L18" s="47" t="s">
        <v>293</v>
      </c>
      <c r="M18" s="47" t="s">
        <v>316</v>
      </c>
      <c r="N18" s="9" t="s">
        <v>315</v>
      </c>
      <c r="O18" s="47" t="s">
        <v>204</v>
      </c>
      <c r="P18" s="68" t="s">
        <v>204</v>
      </c>
      <c r="Q18" s="9"/>
      <c r="R18" s="9" t="s">
        <v>314</v>
      </c>
      <c r="S18" s="47" t="s">
        <v>101</v>
      </c>
      <c r="T18" s="47" t="s">
        <v>8</v>
      </c>
      <c r="U18" s="9" t="s">
        <v>315</v>
      </c>
      <c r="V18" s="47" t="s">
        <v>204</v>
      </c>
      <c r="W18" s="68" t="s">
        <v>204</v>
      </c>
      <c r="X18" s="23"/>
      <c r="Y18" s="9" t="s">
        <v>314</v>
      </c>
      <c r="Z18" s="47" t="s">
        <v>316</v>
      </c>
      <c r="AA18" s="47" t="s">
        <v>40</v>
      </c>
      <c r="AB18" s="9" t="s">
        <v>315</v>
      </c>
      <c r="AC18" s="47" t="s">
        <v>204</v>
      </c>
      <c r="AD18" s="68" t="s">
        <v>204</v>
      </c>
      <c r="AE18" s="23"/>
      <c r="AF18" s="9" t="s">
        <v>314</v>
      </c>
      <c r="AG18" s="47" t="s">
        <v>473</v>
      </c>
      <c r="AH18" s="47" t="s">
        <v>316</v>
      </c>
      <c r="AI18" s="9" t="s">
        <v>315</v>
      </c>
      <c r="AJ18" s="47" t="s">
        <v>204</v>
      </c>
      <c r="AK18" s="68" t="s">
        <v>204</v>
      </c>
      <c r="AM18" s="70" t="s">
        <v>316</v>
      </c>
      <c r="AN18" s="9" t="s">
        <v>315</v>
      </c>
      <c r="AO18" s="47" t="s">
        <v>204</v>
      </c>
      <c r="AP18" s="68" t="s">
        <v>204</v>
      </c>
      <c r="AR18" s="47" t="str">
        <f>IF($B$10=1,"Laps","Endurance")</f>
        <v>Endurance</v>
      </c>
      <c r="AS18" s="47" t="s">
        <v>323</v>
      </c>
      <c r="AT18" s="23"/>
      <c r="AV18" s="23"/>
      <c r="AW18" s="23"/>
      <c r="AX18" s="23"/>
      <c r="AY18" s="23"/>
      <c r="AZ18" s="23"/>
      <c r="BA18" s="23"/>
      <c r="BB18" s="23"/>
      <c r="BC18" s="23"/>
      <c r="BD18" s="6"/>
      <c r="BE18" s="6"/>
      <c r="BF18" s="23"/>
      <c r="BG18" s="23"/>
      <c r="BH18" s="6"/>
      <c r="BI18" s="23"/>
      <c r="BJ18" s="23"/>
      <c r="BK18" s="23"/>
      <c r="BL18" s="6"/>
      <c r="BM18" s="23"/>
      <c r="BN18" s="23"/>
      <c r="BO18" s="23"/>
      <c r="BP18" s="6"/>
      <c r="BQ18" s="6"/>
    </row>
    <row r="19" spans="2:69">
      <c r="B19" s="9" t="s">
        <v>35</v>
      </c>
      <c r="D19" s="9" t="s">
        <v>34</v>
      </c>
      <c r="E19" s="9" t="s">
        <v>35</v>
      </c>
      <c r="F19" s="9" t="s">
        <v>319</v>
      </c>
      <c r="G19" s="9" t="s">
        <v>316</v>
      </c>
      <c r="H19" s="47" t="s">
        <v>116</v>
      </c>
      <c r="I19" s="68" t="s">
        <v>313</v>
      </c>
      <c r="J19" s="23"/>
      <c r="K19" s="9" t="s">
        <v>34</v>
      </c>
      <c r="L19" s="47" t="s">
        <v>1</v>
      </c>
      <c r="M19" s="47" t="s">
        <v>4</v>
      </c>
      <c r="N19" s="9" t="s">
        <v>316</v>
      </c>
      <c r="O19" s="47" t="s">
        <v>116</v>
      </c>
      <c r="P19" s="68" t="s">
        <v>313</v>
      </c>
      <c r="Q19" s="9"/>
      <c r="R19" s="9" t="s">
        <v>34</v>
      </c>
      <c r="S19" s="47" t="s">
        <v>4</v>
      </c>
      <c r="T19" s="9" t="s">
        <v>319</v>
      </c>
      <c r="U19" s="9" t="s">
        <v>316</v>
      </c>
      <c r="V19" s="47" t="s">
        <v>116</v>
      </c>
      <c r="W19" s="68" t="s">
        <v>313</v>
      </c>
      <c r="X19" s="6"/>
      <c r="Y19" s="9" t="s">
        <v>34</v>
      </c>
      <c r="Z19" s="47" t="s">
        <v>4</v>
      </c>
      <c r="AA19" s="47" t="s">
        <v>1</v>
      </c>
      <c r="AB19" s="9" t="s">
        <v>316</v>
      </c>
      <c r="AC19" s="47" t="s">
        <v>116</v>
      </c>
      <c r="AD19" s="68" t="s">
        <v>313</v>
      </c>
      <c r="AE19" s="23"/>
      <c r="AF19" s="9" t="s">
        <v>34</v>
      </c>
      <c r="AG19" s="47" t="s">
        <v>1</v>
      </c>
      <c r="AH19" s="47" t="s">
        <v>4</v>
      </c>
      <c r="AI19" s="9" t="s">
        <v>316</v>
      </c>
      <c r="AJ19" s="47" t="s">
        <v>116</v>
      </c>
      <c r="AK19" s="68" t="s">
        <v>313</v>
      </c>
      <c r="AM19" s="70" t="s">
        <v>4</v>
      </c>
      <c r="AN19" s="9" t="s">
        <v>316</v>
      </c>
      <c r="AO19" s="47" t="s">
        <v>116</v>
      </c>
      <c r="AP19" s="68" t="s">
        <v>313</v>
      </c>
      <c r="AR19" s="47" t="str">
        <f>IF($B$10=1," ","h")</f>
        <v>h</v>
      </c>
      <c r="AT19" s="6"/>
      <c r="AV19" s="6"/>
      <c r="AW19" s="6"/>
      <c r="AX19" s="6"/>
      <c r="AY19" s="6"/>
      <c r="AZ19" s="23"/>
      <c r="BA19" s="23"/>
      <c r="BB19" s="23"/>
      <c r="BC19" s="23"/>
      <c r="BD19" s="6"/>
      <c r="BE19" s="6"/>
      <c r="BF19" s="23"/>
      <c r="BG19" s="23"/>
      <c r="BH19" s="6"/>
      <c r="BI19" s="23"/>
      <c r="BJ19" s="23"/>
      <c r="BK19" s="23"/>
      <c r="BL19" s="6"/>
      <c r="BM19" s="23"/>
      <c r="BN19" s="23"/>
      <c r="BO19" s="23"/>
      <c r="BP19" s="6"/>
      <c r="BQ19" s="6"/>
    </row>
    <row r="20" spans="2:69">
      <c r="I20" s="6"/>
      <c r="J20" s="6"/>
      <c r="K20" s="6"/>
      <c r="L20" s="6"/>
      <c r="M20" s="6"/>
      <c r="N20" s="6"/>
      <c r="O20" s="6"/>
      <c r="R20" s="6"/>
      <c r="S20" s="6"/>
      <c r="T20" s="6"/>
      <c r="U20" s="6"/>
      <c r="V20" s="6"/>
      <c r="X20" s="6"/>
      <c r="Y20" s="6"/>
      <c r="Z20" s="6"/>
      <c r="AA20" s="6"/>
      <c r="AB20" s="6"/>
      <c r="AC20" s="6"/>
      <c r="AE20" s="6"/>
      <c r="AF20" s="6"/>
      <c r="AG20" s="6"/>
      <c r="AH20" s="6"/>
      <c r="AI20" s="6"/>
      <c r="AJ20" s="6"/>
      <c r="AN20" s="6"/>
      <c r="AO20" s="6"/>
      <c r="AT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</row>
    <row r="21" spans="2:69">
      <c r="B21" s="90">
        <f ca="1">Main!AC21</f>
        <v>129.6027712490764</v>
      </c>
      <c r="D21" s="19">
        <f ca="1">'Propulsion-Takeoff'!M21/Motor!$H$6</f>
        <v>532.83259531496969</v>
      </c>
      <c r="E21" s="13">
        <f ca="1">Takeoff!$B$8+Takeoff!X21-Takeoff!O21-Takeoff!$B$9*(Takeoff!H21-Takeoff!P21)</f>
        <v>46.009842874756416</v>
      </c>
      <c r="F21" s="13">
        <f ca="1">E21/(B21/ISA!$B$5)</f>
        <v>3.4814257540881512</v>
      </c>
      <c r="G21" s="13">
        <f ca="1">SQRT(2*Takeoff!$B$7/F21)</f>
        <v>6.3414043906402915</v>
      </c>
      <c r="H21" s="81">
        <f ca="1">D21*G21</f>
        <v>3378.9069594066104</v>
      </c>
      <c r="I21" s="16">
        <f ca="1">H21/3600</f>
        <v>0.93858526650183627</v>
      </c>
      <c r="J21" s="19"/>
      <c r="K21" s="19">
        <f ca="1">'Propulsion-RCmax'!M21/Motor!$H$6*0+'Propulsion-RC'!M21/Motor!$H$6</f>
        <v>315.6554646244511</v>
      </c>
      <c r="L21" s="20">
        <f ca="1">'RC'!AB21*0+'RC'!$B$8</f>
        <v>0.5</v>
      </c>
      <c r="M21" s="98">
        <f ca="1">IF(L21&gt;'RC'!X21,0,'RC'!$B$5/TAN(ASIN(L21/'RC'!X21)))</f>
        <v>358904.49425189855</v>
      </c>
      <c r="N21" s="98">
        <f ca="1">'RC'!$B$5/L21</f>
        <v>12000</v>
      </c>
      <c r="O21" s="81">
        <f ca="1">K21*N21</f>
        <v>3787865.575493413</v>
      </c>
      <c r="P21" s="16">
        <f ca="1">O21/3600</f>
        <v>1052.1848820815037</v>
      </c>
      <c r="Q21" s="16"/>
      <c r="R21" s="19">
        <f ca="1">'Propulsion-Turn'!M21/Motor!$H$6</f>
        <v>315.65546462426795</v>
      </c>
      <c r="S21" s="19">
        <f ca="1">Turn!X21^2/T21</f>
        <v>157.41187563671161</v>
      </c>
      <c r="T21" s="20">
        <f ca="1">Turn!P21*SIN(RADIANS(Turn!$B$8))/(B21/ISA!$B$5)</f>
        <v>5.6843284656684556</v>
      </c>
      <c r="U21" s="19">
        <f ca="1">2*PI()*S21/Turn!X21</f>
        <v>33.064277143223336</v>
      </c>
      <c r="V21" s="14">
        <f ca="1">R21*U21</f>
        <v>10436.919764109725</v>
      </c>
      <c r="W21" s="16">
        <f ca="1">V21/3600</f>
        <v>2.899144378919368</v>
      </c>
      <c r="X21" s="16"/>
      <c r="Y21" s="19">
        <f ca="1">'Propulsion-Cruise'!M21/Motor!$H$6</f>
        <v>315.6554646244511</v>
      </c>
      <c r="Z21" s="19">
        <f ca="1">IF($B$10=1,Takeoff!$B$7+M21+AH21,AA21*AB21)</f>
        <v>215372.78601984828</v>
      </c>
      <c r="AA21" s="20">
        <f ca="1">Cruise!X21</f>
        <v>29.912886947189744</v>
      </c>
      <c r="AB21" s="19">
        <f t="shared" ref="AB21:AB40" si="0">IF($B$10=1,Z21/AA21,$B$6*3600)</f>
        <v>7200</v>
      </c>
      <c r="AC21" s="81">
        <f ca="1">Y21*AB21</f>
        <v>2272719.3452960481</v>
      </c>
      <c r="AD21" s="16">
        <f ca="1">AC21/3600</f>
        <v>631.3109292489022</v>
      </c>
      <c r="AE21" s="20"/>
      <c r="AF21" s="19">
        <f ca="1">'Propulsion-Descent'!M21/Motor!$H$6</f>
        <v>0</v>
      </c>
      <c r="AG21" s="20">
        <f ca="1">RADIANS(Descent!AB21)*Descent!X21</f>
        <v>2.8531413330232906</v>
      </c>
      <c r="AH21" s="19">
        <f ca="1">IF(ABS(AG21)&gt;Descent!X21,0,Descent!$B$5/TAN(ASIN(AG21/Descent!X21)))</f>
        <v>15036.483932543175</v>
      </c>
      <c r="AI21" s="19">
        <f ca="1">Descent!$B$5/AG21</f>
        <v>350.49087419036624</v>
      </c>
      <c r="AJ21" s="14">
        <f ca="1">AF21*AI21</f>
        <v>0</v>
      </c>
      <c r="AK21" s="16">
        <f ca="1">AJ21/3600</f>
        <v>0</v>
      </c>
      <c r="AM21" s="14">
        <f ca="1">2*PI()*S21+2*Z21</f>
        <v>431734.6200238727</v>
      </c>
      <c r="AN21" s="19">
        <f ca="1">G21+N21+U21+AB21+AI21</f>
        <v>19589.89655572423</v>
      </c>
      <c r="AO21" s="81">
        <f ca="1">H21+O21+V21+AC21+AJ21</f>
        <v>6074400.7475129776</v>
      </c>
      <c r="AP21" s="16">
        <f ca="1">AO21/3600</f>
        <v>1687.3335409758272</v>
      </c>
      <c r="AR21" s="19">
        <f>IF($B$10=1,Energy!$B$8/AP21,AB21/3600)</f>
        <v>2</v>
      </c>
      <c r="AS21" s="1">
        <f t="shared" ref="AS21:AS40" si="1">IF($B$10=1,(AR21-$B$5)/$B$5,(AR21-$B$6)/$B$6)</f>
        <v>0</v>
      </c>
      <c r="AT21" s="69" t="str">
        <f>IF(AR21&gt;$B$5,"OK","reduce payload weight or increase battery capacity")</f>
        <v>reduce payload weight or increase battery capacity</v>
      </c>
      <c r="AV21" s="16"/>
      <c r="AW21" s="42"/>
      <c r="AX21" s="42"/>
      <c r="AY21" s="42"/>
      <c r="AZ21" s="20"/>
      <c r="BA21" s="20"/>
      <c r="BB21" s="20"/>
      <c r="BC21" s="19"/>
      <c r="BD21" s="6"/>
      <c r="BE21" s="6"/>
      <c r="BF21" s="16"/>
      <c r="BG21" s="16"/>
      <c r="BH21" s="6"/>
      <c r="BI21" s="16"/>
      <c r="BJ21" s="16"/>
      <c r="BK21" s="16"/>
      <c r="BL21" s="6"/>
      <c r="BM21" s="16"/>
      <c r="BN21" s="16"/>
      <c r="BO21" s="16"/>
      <c r="BP21" s="6"/>
      <c r="BQ21" s="6"/>
    </row>
    <row r="22" spans="2:69">
      <c r="B22" s="90">
        <f ca="1">Main!AC22</f>
        <v>131.99424477485522</v>
      </c>
      <c r="D22" s="19">
        <f ca="1">'Propulsion-Takeoff'!M22/Motor!$H$6</f>
        <v>531.92362644109971</v>
      </c>
      <c r="E22" s="13">
        <f ca="1">Takeoff!$B$8+Takeoff!X22-Takeoff!O22-Takeoff!$B$9*(Takeoff!H22-Takeoff!P22)</f>
        <v>46.11907062858598</v>
      </c>
      <c r="F22" s="13">
        <f ca="1">E22/(B22/ISA!$B$5)</f>
        <v>3.4264644246517966</v>
      </c>
      <c r="G22" s="13">
        <f ca="1">SQRT(2*Takeoff!$B$7/F22)</f>
        <v>6.3920609036095533</v>
      </c>
      <c r="H22" s="81">
        <f t="shared" ref="H22:H40" ca="1" si="2">D22*G22</f>
        <v>3400.0882162803664</v>
      </c>
      <c r="I22" s="16">
        <f t="shared" ref="I22:I40" ca="1" si="3">H22/3600</f>
        <v>0.94446894896676847</v>
      </c>
      <c r="J22" s="19"/>
      <c r="K22" s="19">
        <f ca="1">'Propulsion-RCmax'!M22/Motor!$H$6*0+'Propulsion-RC'!M22/Motor!$H$6</f>
        <v>322.66587883834677</v>
      </c>
      <c r="L22" s="20">
        <f ca="1">'RC'!AB22*0+'RC'!$B$8</f>
        <v>0.5</v>
      </c>
      <c r="M22" s="98">
        <f ca="1">IF(L22&gt;'RC'!X22,0,'RC'!$B$5/TAN(ASIN(L22/'RC'!X22)))</f>
        <v>353007.24841790192</v>
      </c>
      <c r="N22" s="98">
        <f ca="1">'RC'!$B$5/L22</f>
        <v>12000</v>
      </c>
      <c r="O22" s="81">
        <f t="shared" ref="O22:O40" ca="1" si="4">K22*N22</f>
        <v>3871990.5460601612</v>
      </c>
      <c r="P22" s="16">
        <f t="shared" ref="P22:P40" ca="1" si="5">O22/3600</f>
        <v>1075.5529294611558</v>
      </c>
      <c r="Q22" s="16"/>
      <c r="R22" s="19">
        <f ca="1">'Propulsion-Turn'!M22/Motor!$H$6</f>
        <v>322.66587883814327</v>
      </c>
      <c r="S22" s="19">
        <f ca="1">Turn!X22^2/T22</f>
        <v>152.27706644644735</v>
      </c>
      <c r="T22" s="20">
        <f ca="1">Turn!P22*SIN(RADIANS(Turn!$B$8))/(B22/ISA!$B$5)</f>
        <v>5.6845448610610179</v>
      </c>
      <c r="U22" s="19">
        <f ca="1">2*PI()*S22/Turn!X22</f>
        <v>32.519905142595583</v>
      </c>
      <c r="V22" s="14">
        <f t="shared" ref="V22:V40" ca="1" si="6">R22*U22</f>
        <v>10493.063772568659</v>
      </c>
      <c r="W22" s="16">
        <f t="shared" ref="W22:W40" ca="1" si="7">V22/3600</f>
        <v>2.9147399368246276</v>
      </c>
      <c r="X22" s="16"/>
      <c r="Y22" s="19">
        <f ca="1">'Propulsion-Cruise'!M22/Motor!$H$6</f>
        <v>322.66587883834677</v>
      </c>
      <c r="Z22" s="19">
        <f ca="1">IF($B$10=1,Takeoff!$B$7+M22+AH22,AA22*AB22)</f>
        <v>211834.94111417947</v>
      </c>
      <c r="AA22" s="20">
        <f ca="1">Cruise!X22</f>
        <v>29.421519599178584</v>
      </c>
      <c r="AB22" s="19">
        <f t="shared" si="0"/>
        <v>7200</v>
      </c>
      <c r="AC22" s="81">
        <f t="shared" ref="AC22:AC40" ca="1" si="8">Y22*AB22</f>
        <v>2323194.3276360966</v>
      </c>
      <c r="AD22" s="16">
        <f t="shared" ref="AD22:AD40" ca="1" si="9">AC22/3600</f>
        <v>645.33175767669354</v>
      </c>
      <c r="AE22" s="20"/>
      <c r="AF22" s="19">
        <f ca="1">'Propulsion-Descent'!M22/Motor!$H$6</f>
        <v>0</v>
      </c>
      <c r="AG22" s="20">
        <f ca="1">RADIANS(Descent!AB22)*Descent!X22</f>
        <v>2.7443712533138696</v>
      </c>
      <c r="AH22" s="19">
        <f ca="1">IF(ABS(AG22)&gt;Descent!X22,0,Descent!$B$5/TAN(ASIN(AG22/Descent!X22)))</f>
        <v>15377.802213756577</v>
      </c>
      <c r="AI22" s="19">
        <f ca="1">Descent!$B$5/AG22</f>
        <v>364.38218728332947</v>
      </c>
      <c r="AJ22" s="14">
        <f t="shared" ref="AJ22:AJ40" ca="1" si="10">AF22*AI22</f>
        <v>0</v>
      </c>
      <c r="AK22" s="16">
        <f t="shared" ref="AK22:AK40" ca="1" si="11">AJ22/3600</f>
        <v>0</v>
      </c>
      <c r="AM22" s="14">
        <f t="shared" ref="AM22:AM40" ca="1" si="12">2*PI()*S22+2*Z22</f>
        <v>424626.66725487565</v>
      </c>
      <c r="AN22" s="19">
        <f t="shared" ref="AN22:AN40" ca="1" si="13">G22+N22+U22+AB22+AI22</f>
        <v>19603.294153329534</v>
      </c>
      <c r="AO22" s="81">
        <f t="shared" ref="AO22:AO40" ca="1" si="14">H22+O22+V22+AC22</f>
        <v>6209078.0256851073</v>
      </c>
      <c r="AP22" s="16">
        <f t="shared" ref="AP22:AP40" ca="1" si="15">AO22/3600</f>
        <v>1724.7438960236409</v>
      </c>
      <c r="AR22" s="19">
        <f>IF($B$10=1,Energy!$B$8/AP22,AB22/3600)</f>
        <v>2</v>
      </c>
      <c r="AS22" s="1">
        <f t="shared" si="1"/>
        <v>0</v>
      </c>
      <c r="AT22" s="69" t="str">
        <f t="shared" ref="AT22:AT40" si="16">IF(AR22&gt;$B$5,"OK","reduce payload weight or increase battery capacity")</f>
        <v>reduce payload weight or increase battery capacity</v>
      </c>
      <c r="AV22" s="16"/>
      <c r="AW22" s="42"/>
      <c r="AX22" s="42"/>
      <c r="AY22" s="42"/>
      <c r="AZ22" s="20"/>
      <c r="BA22" s="20"/>
      <c r="BB22" s="20"/>
      <c r="BC22" s="19"/>
      <c r="BD22" s="6"/>
      <c r="BE22" s="6"/>
      <c r="BF22" s="16"/>
      <c r="BG22" s="16"/>
      <c r="BH22" s="6"/>
      <c r="BI22" s="16"/>
      <c r="BJ22" s="16"/>
      <c r="BK22" s="16"/>
      <c r="BL22" s="6"/>
      <c r="BM22" s="16"/>
      <c r="BN22" s="16"/>
      <c r="BO22" s="16"/>
      <c r="BP22" s="6"/>
      <c r="BQ22" s="6"/>
    </row>
    <row r="23" spans="2:69">
      <c r="B23" s="90">
        <f ca="1">Main!AC23</f>
        <v>134.24051129324812</v>
      </c>
      <c r="D23" s="19">
        <f ca="1">'Propulsion-Takeoff'!M23/Motor!$H$6</f>
        <v>531.08066384597055</v>
      </c>
      <c r="E23" s="13">
        <f ca="1">Takeoff!$B$8+Takeoff!X23-Takeoff!O23-Takeoff!$B$9*(Takeoff!H23-Takeoff!P23)</f>
        <v>46.22351348346632</v>
      </c>
      <c r="F23" s="13">
        <f ca="1">E23/(B23/ISA!$B$5)</f>
        <v>3.3767587305474933</v>
      </c>
      <c r="G23" s="13">
        <f ca="1">SQRT(2*Takeoff!$B$7/F23)</f>
        <v>6.4389344241205873</v>
      </c>
      <c r="H23" s="81">
        <f t="shared" ca="1" si="2"/>
        <v>3419.5935684226338</v>
      </c>
      <c r="I23" s="16">
        <f t="shared" ca="1" si="3"/>
        <v>0.94988710233962048</v>
      </c>
      <c r="J23" s="19"/>
      <c r="K23" s="19">
        <f ca="1">'Propulsion-RCmax'!M23/Motor!$H$6*0+'Propulsion-RC'!M23/Motor!$H$6</f>
        <v>329.16165646751301</v>
      </c>
      <c r="L23" s="20">
        <f ca="1">'RC'!AB23*0+'RC'!$B$8</f>
        <v>0.5</v>
      </c>
      <c r="M23" s="98">
        <f ca="1">IF(L23&gt;'RC'!X23,0,'RC'!$B$5/TAN(ASIN(L23/'RC'!X23)))</f>
        <v>347399.53193187865</v>
      </c>
      <c r="N23" s="98">
        <f ca="1">'RC'!$B$5/L23</f>
        <v>12000</v>
      </c>
      <c r="O23" s="81">
        <f t="shared" ca="1" si="4"/>
        <v>3949939.8776101563</v>
      </c>
      <c r="P23" s="16">
        <f t="shared" ca="1" si="5"/>
        <v>1097.2055215583769</v>
      </c>
      <c r="Q23" s="16"/>
      <c r="R23" s="19">
        <f ca="1">'Propulsion-Turn'!M23/Motor!$H$6</f>
        <v>329.16165646729053</v>
      </c>
      <c r="S23" s="19">
        <f ca="1">Turn!X23^2/T23</f>
        <v>147.4739994385769</v>
      </c>
      <c r="T23" s="20">
        <f ca="1">Turn!P23*SIN(RADIANS(Turn!$B$8))/(B23/ISA!$B$5)</f>
        <v>5.6847325275316569</v>
      </c>
      <c r="U23" s="19">
        <f ca="1">2*PI()*S23/Turn!X23</f>
        <v>32.002402253037445</v>
      </c>
      <c r="V23" s="14">
        <f t="shared" ca="1" si="6"/>
        <v>10533.963736542355</v>
      </c>
      <c r="W23" s="16">
        <f t="shared" ca="1" si="7"/>
        <v>2.926101037928432</v>
      </c>
      <c r="X23" s="16"/>
      <c r="Y23" s="19">
        <f ca="1">'Propulsion-Cruise'!M23/Motor!$H$6</f>
        <v>329.16165646751301</v>
      </c>
      <c r="Z23" s="19">
        <f ca="1">IF($B$10=1,Takeoff!$B$7+M23+AH23,AA23*AB23)</f>
        <v>208470.8049660183</v>
      </c>
      <c r="AA23" s="20">
        <f ca="1">Cruise!X23</f>
        <v>28.954278467487942</v>
      </c>
      <c r="AB23" s="19">
        <f t="shared" si="0"/>
        <v>7200</v>
      </c>
      <c r="AC23" s="81">
        <f t="shared" ca="1" si="8"/>
        <v>2369963.9265660937</v>
      </c>
      <c r="AD23" s="16">
        <f t="shared" ca="1" si="9"/>
        <v>658.32331293502602</v>
      </c>
      <c r="AE23" s="20"/>
      <c r="AF23" s="19">
        <f ca="1">'Propulsion-Descent'!M23/Motor!$H$6</f>
        <v>0</v>
      </c>
      <c r="AG23" s="20">
        <f ca="1">RADIANS(Descent!AB23)*Descent!X23</f>
        <v>2.6462723107500099</v>
      </c>
      <c r="AH23" s="19">
        <f ca="1">IF(ABS(AG23)&gt;Descent!X23,0,Descent!$B$5/TAN(ASIN(AG23/Descent!X23)))</f>
        <v>15696.517396292722</v>
      </c>
      <c r="AI23" s="19">
        <f ca="1">Descent!$B$5/AG23</f>
        <v>377.89005913627187</v>
      </c>
      <c r="AJ23" s="14">
        <f t="shared" ca="1" si="10"/>
        <v>0</v>
      </c>
      <c r="AK23" s="16">
        <f t="shared" ca="1" si="11"/>
        <v>0</v>
      </c>
      <c r="AM23" s="14">
        <f t="shared" ca="1" si="12"/>
        <v>417868.21639850008</v>
      </c>
      <c r="AN23" s="19">
        <f t="shared" ca="1" si="13"/>
        <v>19616.331395813431</v>
      </c>
      <c r="AO23" s="81">
        <f t="shared" ca="1" si="14"/>
        <v>6333857.3614812158</v>
      </c>
      <c r="AP23" s="16">
        <f t="shared" ca="1" si="15"/>
        <v>1759.4048226336711</v>
      </c>
      <c r="AR23" s="19">
        <f>IF($B$10=1,Energy!$B$8/AP23,AB23/3600)</f>
        <v>2</v>
      </c>
      <c r="AS23" s="1">
        <f t="shared" si="1"/>
        <v>0</v>
      </c>
      <c r="AT23" s="69" t="str">
        <f t="shared" si="16"/>
        <v>reduce payload weight or increase battery capacity</v>
      </c>
      <c r="AV23" s="16"/>
      <c r="AW23" s="42"/>
      <c r="AX23" s="42"/>
      <c r="AY23" s="42"/>
      <c r="AZ23" s="20"/>
      <c r="BA23" s="20"/>
      <c r="BB23" s="20"/>
      <c r="BC23" s="19"/>
      <c r="BD23" s="6"/>
      <c r="BE23" s="6"/>
      <c r="BF23" s="16"/>
      <c r="BG23" s="16"/>
      <c r="BH23" s="6"/>
      <c r="BI23" s="16"/>
      <c r="BJ23" s="16"/>
      <c r="BK23" s="16"/>
      <c r="BL23" s="6"/>
      <c r="BM23" s="16"/>
      <c r="BN23" s="16"/>
      <c r="BO23" s="16"/>
      <c r="BP23" s="6"/>
      <c r="BQ23" s="6"/>
    </row>
    <row r="24" spans="2:69">
      <c r="B24" s="90">
        <f ca="1">Main!AC24</f>
        <v>126.40792205809124</v>
      </c>
      <c r="D24" s="19">
        <f ca="1">'Propulsion-Takeoff'!M24/Motor!$H$6</f>
        <v>528.50435571386151</v>
      </c>
      <c r="E24" s="13">
        <f ca="1">Takeoff!$B$8+Takeoff!X24-Takeoff!O24-Takeoff!$B$9*(Takeoff!H24-Takeoff!P24)</f>
        <v>46.55929185379108</v>
      </c>
      <c r="F24" s="13">
        <f ca="1">E24/(B24/ISA!$B$5)</f>
        <v>3.6120416507452142</v>
      </c>
      <c r="G24" s="13">
        <f ca="1">SQRT(2*Takeoff!$B$7/F24)</f>
        <v>6.2256921688558204</v>
      </c>
      <c r="H24" s="81">
        <f t="shared" ca="1" si="2"/>
        <v>3290.3054285739786</v>
      </c>
      <c r="I24" s="16">
        <f t="shared" ca="1" si="3"/>
        <v>0.9139737301594385</v>
      </c>
      <c r="J24" s="19"/>
      <c r="K24" s="19">
        <f ca="1">'Propulsion-RCmax'!M24/Motor!$H$6*0+'Propulsion-RC'!M24/Motor!$H$6</f>
        <v>348.95680562925759</v>
      </c>
      <c r="L24" s="20">
        <f ca="1">'RC'!AB24*0+'RC'!$B$8</f>
        <v>0.5</v>
      </c>
      <c r="M24" s="98">
        <f ca="1">IF(L24&gt;'RC'!X24,0,'RC'!$B$5/TAN(ASIN(L24/'RC'!X24)))</f>
        <v>329341.44027196942</v>
      </c>
      <c r="N24" s="98">
        <f ca="1">'RC'!$B$5/L24</f>
        <v>12000</v>
      </c>
      <c r="O24" s="81">
        <f t="shared" ca="1" si="4"/>
        <v>4187481.6675510909</v>
      </c>
      <c r="P24" s="16">
        <f t="shared" ca="1" si="5"/>
        <v>1163.1893520975252</v>
      </c>
      <c r="Q24" s="16"/>
      <c r="R24" s="19">
        <f ca="1">'Propulsion-Turn'!M24/Motor!$H$6</f>
        <v>348.95680562900259</v>
      </c>
      <c r="S24" s="19">
        <f ca="1">Turn!X24^2/T24</f>
        <v>132.54148517042029</v>
      </c>
      <c r="T24" s="20">
        <f ca="1">Turn!P24*SIN(RADIANS(Turn!$B$8))/(B24/ISA!$B$5)</f>
        <v>5.6848964087779708</v>
      </c>
      <c r="U24" s="19">
        <f ca="1">2*PI()*S24/Turn!X24</f>
        <v>30.338528118518642</v>
      </c>
      <c r="V24" s="14">
        <f t="shared" ca="1" si="6"/>
        <v>10586.83585972394</v>
      </c>
      <c r="W24" s="16">
        <f t="shared" ca="1" si="7"/>
        <v>2.9407877388122055</v>
      </c>
      <c r="X24" s="16"/>
      <c r="Y24" s="19">
        <f ca="1">'Propulsion-Cruise'!M24/Motor!$H$6</f>
        <v>348.95680562925759</v>
      </c>
      <c r="Z24" s="19">
        <f ca="1">IF($B$10=1,Takeoff!$B$7+M24+AH24,AA24*AB24)</f>
        <v>197637.65415780828</v>
      </c>
      <c r="AA24" s="20">
        <f ca="1">Cruise!X24</f>
        <v>27.44967418856622</v>
      </c>
      <c r="AB24" s="19">
        <f t="shared" si="0"/>
        <v>7200</v>
      </c>
      <c r="AC24" s="81">
        <f t="shared" ca="1" si="8"/>
        <v>2512489.0005306546</v>
      </c>
      <c r="AD24" s="16">
        <f t="shared" ca="1" si="9"/>
        <v>697.91361125851517</v>
      </c>
      <c r="AE24" s="20"/>
      <c r="AF24" s="19">
        <f ca="1">'Propulsion-Descent'!M24/Motor!$H$6</f>
        <v>0</v>
      </c>
      <c r="AG24" s="20">
        <f ca="1">RADIANS(Descent!AB24)*Descent!X24</f>
        <v>2.4868569036261796</v>
      </c>
      <c r="AH24" s="19">
        <f ca="1">IF(ABS(AG24)&gt;Descent!X24,0,Descent!$B$5/TAN(ASIN(AG24/Descent!X24)))</f>
        <v>15835.839658320512</v>
      </c>
      <c r="AI24" s="19">
        <f ca="1">Descent!$B$5/AG24</f>
        <v>402.11400927084401</v>
      </c>
      <c r="AJ24" s="14">
        <f t="shared" ca="1" si="10"/>
        <v>0</v>
      </c>
      <c r="AK24" s="16">
        <f t="shared" ca="1" si="11"/>
        <v>0</v>
      </c>
      <c r="AM24" s="14">
        <f t="shared" ca="1" si="12"/>
        <v>396108.09102783113</v>
      </c>
      <c r="AN24" s="19">
        <f t="shared" ca="1" si="13"/>
        <v>19638.678229558216</v>
      </c>
      <c r="AO24" s="81">
        <f t="shared" ca="1" si="14"/>
        <v>6713847.8093700437</v>
      </c>
      <c r="AP24" s="16">
        <f t="shared" ca="1" si="15"/>
        <v>1864.9577248250121</v>
      </c>
      <c r="AR24" s="19">
        <f>IF($B$10=1,Energy!$B$8/AP24,AB24/3600)</f>
        <v>2</v>
      </c>
      <c r="AS24" s="1">
        <f t="shared" si="1"/>
        <v>0</v>
      </c>
      <c r="AT24" s="69" t="str">
        <f t="shared" si="16"/>
        <v>reduce payload weight or increase battery capacity</v>
      </c>
      <c r="AV24" s="16"/>
      <c r="AW24" s="42"/>
      <c r="AX24" s="42"/>
      <c r="AY24" s="42"/>
      <c r="AZ24" s="20"/>
      <c r="BA24" s="20"/>
      <c r="BB24" s="20"/>
      <c r="BC24" s="19"/>
      <c r="BD24" s="6"/>
      <c r="BE24" s="6"/>
      <c r="BF24" s="16"/>
      <c r="BG24" s="16"/>
      <c r="BH24" s="6"/>
      <c r="BI24" s="16"/>
      <c r="BJ24" s="16"/>
      <c r="BK24" s="16"/>
      <c r="BL24" s="6"/>
      <c r="BM24" s="16"/>
      <c r="BN24" s="16"/>
      <c r="BO24" s="16"/>
      <c r="BP24" s="6"/>
      <c r="BQ24" s="6"/>
    </row>
    <row r="25" spans="2:69">
      <c r="B25" s="90">
        <f ca="1">Main!AC25</f>
        <v>128.23739388407131</v>
      </c>
      <c r="D25" s="19">
        <f ca="1">'Propulsion-Takeoff'!M25/Motor!$H$6</f>
        <v>527.8404019271884</v>
      </c>
      <c r="E25" s="13">
        <f ca="1">Takeoff!$B$8+Takeoff!X25-Takeoff!O25-Takeoff!$B$9*(Takeoff!H25-Takeoff!P25)</f>
        <v>46.652915692619004</v>
      </c>
      <c r="F25" s="13">
        <f ca="1">E25/(B25/ISA!$B$5)</f>
        <v>3.567670878360313</v>
      </c>
      <c r="G25" s="13">
        <f ca="1">SQRT(2*Takeoff!$B$7/F25)</f>
        <v>6.2642867016387491</v>
      </c>
      <c r="H25" s="81">
        <f t="shared" ca="1" si="2"/>
        <v>3306.5436103801385</v>
      </c>
      <c r="I25" s="16">
        <f t="shared" ca="1" si="3"/>
        <v>0.91848433621670511</v>
      </c>
      <c r="J25" s="19"/>
      <c r="K25" s="19">
        <f ca="1">'Propulsion-RCmax'!M25/Motor!$H$6*0+'Propulsion-RC'!M25/Motor!$H$6</f>
        <v>354.06619581593304</v>
      </c>
      <c r="L25" s="20">
        <f ca="1">'RC'!AB25*0+'RC'!$B$8</f>
        <v>0.5</v>
      </c>
      <c r="M25" s="98">
        <f ca="1">IF(L25&gt;'RC'!X25,0,'RC'!$B$5/TAN(ASIN(L25/'RC'!X25)))</f>
        <v>324410.51279928396</v>
      </c>
      <c r="N25" s="98">
        <f ca="1">'RC'!$B$5/L25</f>
        <v>12000</v>
      </c>
      <c r="O25" s="81">
        <f t="shared" ca="1" si="4"/>
        <v>4248794.3497911962</v>
      </c>
      <c r="P25" s="16">
        <f t="shared" ca="1" si="5"/>
        <v>1180.2206527197768</v>
      </c>
      <c r="Q25" s="16"/>
      <c r="R25" s="19">
        <f ca="1">'Propulsion-Turn'!M25/Motor!$H$6</f>
        <v>354.06619581566122</v>
      </c>
      <c r="S25" s="19">
        <f ca="1">Turn!X25^2/T25</f>
        <v>128.60040098128528</v>
      </c>
      <c r="T25" s="20">
        <f ca="1">Turn!P25*SIN(RADIANS(Turn!$B$8))/(B25/ISA!$B$5)</f>
        <v>5.6850404221311397</v>
      </c>
      <c r="U25" s="19">
        <f ca="1">2*PI()*S25/Turn!X25</f>
        <v>29.8836919715121</v>
      </c>
      <c r="V25" s="14">
        <f t="shared" ca="1" si="6"/>
        <v>10580.805133280306</v>
      </c>
      <c r="W25" s="16">
        <f t="shared" ca="1" si="7"/>
        <v>2.9391125370223072</v>
      </c>
      <c r="X25" s="16"/>
      <c r="Y25" s="19">
        <f ca="1">'Propulsion-Cruise'!M25/Motor!$H$6</f>
        <v>354.06619581593304</v>
      </c>
      <c r="Z25" s="19">
        <f ca="1">IF($B$10=1,Takeoff!$B$7+M25+AH25,AA25*AB25)</f>
        <v>194679.59598618941</v>
      </c>
      <c r="AA25" s="20">
        <f ca="1">Cruise!X25</f>
        <v>27.03883277583968</v>
      </c>
      <c r="AB25" s="19">
        <f t="shared" si="0"/>
        <v>7200</v>
      </c>
      <c r="AC25" s="81">
        <f t="shared" ca="1" si="8"/>
        <v>2549276.6098747179</v>
      </c>
      <c r="AD25" s="16">
        <f t="shared" ca="1" si="9"/>
        <v>708.13239163186608</v>
      </c>
      <c r="AE25" s="20"/>
      <c r="AF25" s="19">
        <f ca="1">'Propulsion-Descent'!M25/Motor!$H$6</f>
        <v>0</v>
      </c>
      <c r="AG25" s="20">
        <f ca="1">RADIANS(Descent!AB25)*Descent!X25</f>
        <v>2.4085906958439747</v>
      </c>
      <c r="AH25" s="19">
        <f ca="1">IF(ABS(AG25)&gt;Descent!X25,0,Descent!$B$5/TAN(ASIN(AG25/Descent!X25)))</f>
        <v>16107.233483228512</v>
      </c>
      <c r="AI25" s="19">
        <f ca="1">Descent!$B$5/AG25</f>
        <v>415.18054592069166</v>
      </c>
      <c r="AJ25" s="14">
        <f t="shared" ca="1" si="10"/>
        <v>0</v>
      </c>
      <c r="AK25" s="16">
        <f t="shared" ca="1" si="11"/>
        <v>0</v>
      </c>
      <c r="AM25" s="14">
        <f t="shared" ca="1" si="12"/>
        <v>390167.21212232183</v>
      </c>
      <c r="AN25" s="19">
        <f t="shared" ca="1" si="13"/>
        <v>19651.328524593842</v>
      </c>
      <c r="AO25" s="81">
        <f t="shared" ca="1" si="14"/>
        <v>6811958.3084095744</v>
      </c>
      <c r="AP25" s="16">
        <f t="shared" ca="1" si="15"/>
        <v>1892.2106412248818</v>
      </c>
      <c r="AR25" s="19">
        <f>IF($B$10=1,Energy!$B$8/AP25,AB25/3600)</f>
        <v>2</v>
      </c>
      <c r="AS25" s="1">
        <f t="shared" si="1"/>
        <v>0</v>
      </c>
      <c r="AT25" s="69" t="str">
        <f t="shared" si="16"/>
        <v>reduce payload weight or increase battery capacity</v>
      </c>
      <c r="AV25" s="16"/>
      <c r="AW25" s="42"/>
      <c r="AX25" s="42"/>
      <c r="AY25" s="42"/>
      <c r="AZ25" s="20"/>
      <c r="BA25" s="20"/>
      <c r="BB25" s="20"/>
      <c r="BC25" s="19"/>
      <c r="BD25" s="6"/>
      <c r="BE25" s="6"/>
      <c r="BF25" s="16"/>
      <c r="BG25" s="16"/>
      <c r="BH25" s="6"/>
      <c r="BI25" s="16"/>
      <c r="BJ25" s="16"/>
      <c r="BK25" s="16"/>
      <c r="BL25" s="6"/>
      <c r="BM25" s="16"/>
      <c r="BN25" s="16"/>
      <c r="BO25" s="16"/>
      <c r="BP25" s="6"/>
      <c r="BQ25" s="6"/>
    </row>
    <row r="26" spans="2:69">
      <c r="B26" s="90">
        <f ca="1">Main!AC26</f>
        <v>129.96953292078499</v>
      </c>
      <c r="D26" s="19">
        <f ca="1">'Propulsion-Takeoff'!M26/Motor!$H$6</f>
        <v>527.2219289858856</v>
      </c>
      <c r="E26" s="13">
        <f ca="1">Takeoff!$B$8+Takeoff!X26-Takeoff!O26-Takeoff!$B$9*(Takeoff!H26-Takeoff!P26)</f>
        <v>46.742493281890653</v>
      </c>
      <c r="F26" s="13">
        <f ca="1">E26/(B26/ISA!$B$5)</f>
        <v>3.5268825042422445</v>
      </c>
      <c r="G26" s="13">
        <f ca="1">SQRT(2*Takeoff!$B$7/F26)</f>
        <v>6.3004057908519444</v>
      </c>
      <c r="H26" s="81">
        <f t="shared" ca="1" si="2"/>
        <v>3321.7120944468061</v>
      </c>
      <c r="I26" s="16">
        <f t="shared" ca="1" si="3"/>
        <v>0.92269780401300172</v>
      </c>
      <c r="J26" s="19"/>
      <c r="K26" s="19">
        <f ca="1">'Propulsion-RCmax'!M26/Motor!$H$6*0+'Propulsion-RC'!M26/Motor!$H$6</f>
        <v>358.8244444906889</v>
      </c>
      <c r="L26" s="20">
        <f ca="1">'RC'!AB26*0+'RC'!$B$8</f>
        <v>0.5</v>
      </c>
      <c r="M26" s="98">
        <f ca="1">IF(L26&gt;'RC'!X26,0,'RC'!$B$5/TAN(ASIN(L26/'RC'!X26)))</f>
        <v>319705.08597489347</v>
      </c>
      <c r="N26" s="98">
        <f ca="1">'RC'!$B$5/L26</f>
        <v>12000</v>
      </c>
      <c r="O26" s="81">
        <f t="shared" ca="1" si="4"/>
        <v>4305893.3338882672</v>
      </c>
      <c r="P26" s="16">
        <f t="shared" ca="1" si="5"/>
        <v>1196.0814816356299</v>
      </c>
      <c r="Q26" s="16"/>
      <c r="R26" s="19">
        <f ca="1">'Propulsion-Turn'!M26/Motor!$H$6</f>
        <v>358.82444449040213</v>
      </c>
      <c r="S26" s="19">
        <f ca="1">Turn!X26^2/T26</f>
        <v>124.89534574237405</v>
      </c>
      <c r="T26" s="20">
        <f ca="1">Turn!P26*SIN(RADIANS(Turn!$B$8))/(B26/ISA!$B$5)</f>
        <v>5.6851677048437139</v>
      </c>
      <c r="U26" s="19">
        <f ca="1">2*PI()*S26/Turn!X26</f>
        <v>29.449732578846238</v>
      </c>
      <c r="V26" s="14">
        <f t="shared" ca="1" si="6"/>
        <v>10567.283932995399</v>
      </c>
      <c r="W26" s="16">
        <f t="shared" ca="1" si="7"/>
        <v>2.9353566480542774</v>
      </c>
      <c r="X26" s="16"/>
      <c r="Y26" s="19">
        <f ca="1">'Propulsion-Cruise'!M26/Motor!$H$6</f>
        <v>358.8244444906889</v>
      </c>
      <c r="Z26" s="19">
        <f ca="1">IF($B$10=1,Takeoff!$B$7+M26+AH26,AA26*AB26)</f>
        <v>191856.82974399594</v>
      </c>
      <c r="AA26" s="20">
        <f ca="1">Cruise!X26</f>
        <v>26.646781908866753</v>
      </c>
      <c r="AB26" s="19">
        <f t="shared" si="0"/>
        <v>7200</v>
      </c>
      <c r="AC26" s="81">
        <f t="shared" ca="1" si="8"/>
        <v>2583536.0003329599</v>
      </c>
      <c r="AD26" s="16">
        <f t="shared" ca="1" si="9"/>
        <v>717.64888898137781</v>
      </c>
      <c r="AE26" s="20"/>
      <c r="AF26" s="19">
        <f ca="1">'Propulsion-Descent'!M26/Motor!$H$6</f>
        <v>0</v>
      </c>
      <c r="AG26" s="20">
        <f ca="1">RADIANS(Descent!AB26)*Descent!X26</f>
        <v>2.3370753380068097</v>
      </c>
      <c r="AH26" s="19">
        <f ca="1">IF(ABS(AG26)&gt;Descent!X26,0,Descent!$B$5/TAN(ASIN(AG26/Descent!X26)))</f>
        <v>16360.808601202336</v>
      </c>
      <c r="AI26" s="19">
        <f ca="1">Descent!$B$5/AG26</f>
        <v>427.88522207112788</v>
      </c>
      <c r="AJ26" s="14">
        <f t="shared" ca="1" si="10"/>
        <v>0</v>
      </c>
      <c r="AK26" s="16">
        <f t="shared" ca="1" si="11"/>
        <v>0</v>
      </c>
      <c r="AM26" s="14">
        <f t="shared" ca="1" si="12"/>
        <v>384498.40008929546</v>
      </c>
      <c r="AN26" s="19">
        <f t="shared" ca="1" si="13"/>
        <v>19663.635360440825</v>
      </c>
      <c r="AO26" s="81">
        <f t="shared" ca="1" si="14"/>
        <v>6903318.3302486688</v>
      </c>
      <c r="AP26" s="16">
        <f t="shared" ca="1" si="15"/>
        <v>1917.5884250690747</v>
      </c>
      <c r="AR26" s="19">
        <f>IF($B$10=1,Energy!$B$8/AP26,AB26/3600)</f>
        <v>2</v>
      </c>
      <c r="AS26" s="1">
        <f t="shared" si="1"/>
        <v>0</v>
      </c>
      <c r="AT26" s="69" t="str">
        <f t="shared" si="16"/>
        <v>reduce payload weight or increase battery capacity</v>
      </c>
      <c r="AV26" s="16"/>
      <c r="AW26" s="42"/>
      <c r="AX26" s="42"/>
      <c r="AY26" s="42"/>
      <c r="AZ26" s="20"/>
      <c r="BA26" s="20"/>
      <c r="BB26" s="20"/>
      <c r="BC26" s="19"/>
      <c r="BD26" s="6"/>
      <c r="BE26" s="6"/>
      <c r="BF26" s="16"/>
      <c r="BG26" s="16"/>
      <c r="BH26" s="6"/>
      <c r="BI26" s="16"/>
      <c r="BJ26" s="16"/>
      <c r="BK26" s="16"/>
      <c r="BL26" s="6"/>
      <c r="BM26" s="16"/>
      <c r="BN26" s="16"/>
      <c r="BO26" s="16"/>
      <c r="BP26" s="6"/>
      <c r="BQ26" s="6"/>
    </row>
    <row r="27" spans="2:69">
      <c r="B27" s="90">
        <f ca="1">Main!AC27</f>
        <v>131.61371211454065</v>
      </c>
      <c r="D27" s="19">
        <f ca="1">'Propulsion-Takeoff'!M27/Motor!$H$6</f>
        <v>526.64484437968758</v>
      </c>
      <c r="E27" s="13">
        <f ca="1">Takeoff!$B$8+Takeoff!X27-Takeoff!O27-Takeoff!$B$9*(Takeoff!H27-Takeoff!P27)</f>
        <v>46.828261230922479</v>
      </c>
      <c r="F27" s="13">
        <f ca="1">E27/(B27/ISA!$B$5)</f>
        <v>3.4892137044244227</v>
      </c>
      <c r="G27" s="13">
        <f ca="1">SQRT(2*Takeoff!$B$7/F27)</f>
        <v>6.3343234068971919</v>
      </c>
      <c r="H27" s="81">
        <f t="shared" ca="1" si="2"/>
        <v>3335.9387648759839</v>
      </c>
      <c r="I27" s="16">
        <f t="shared" ca="1" si="3"/>
        <v>0.92664965690999557</v>
      </c>
      <c r="J27" s="19"/>
      <c r="K27" s="19">
        <f ca="1">'Propulsion-RCmax'!M27/Motor!$H$6*0+'Propulsion-RC'!M27/Motor!$H$6</f>
        <v>363.26362742813512</v>
      </c>
      <c r="L27" s="20">
        <f ca="1">'RC'!AB27*0+'RC'!$B$8</f>
        <v>0.5</v>
      </c>
      <c r="M27" s="98">
        <f ca="1">IF(L27&gt;'RC'!X27,0,'RC'!$B$5/TAN(ASIN(L27/'RC'!X27)))</f>
        <v>315209.65739077801</v>
      </c>
      <c r="N27" s="98">
        <f ca="1">'RC'!$B$5/L27</f>
        <v>12000</v>
      </c>
      <c r="O27" s="81">
        <f t="shared" ca="1" si="4"/>
        <v>4359163.5291376216</v>
      </c>
      <c r="P27" s="16">
        <f t="shared" ca="1" si="5"/>
        <v>1210.8787580937837</v>
      </c>
      <c r="Q27" s="16"/>
      <c r="R27" s="19">
        <f ca="1">'Propulsion-Turn'!M27/Motor!$H$6</f>
        <v>363.2636274278384</v>
      </c>
      <c r="S27" s="19">
        <f ca="1">Turn!X27^2/T27</f>
        <v>121.40650239675233</v>
      </c>
      <c r="T27" s="20">
        <f ca="1">Turn!P27*SIN(RADIANS(Turn!$B$8))/(B27/ISA!$B$5)</f>
        <v>5.685280793953857</v>
      </c>
      <c r="U27" s="19">
        <f ca="1">2*PI()*S27/Turn!X27</f>
        <v>29.035204059496561</v>
      </c>
      <c r="V27" s="14">
        <f t="shared" ca="1" si="6"/>
        <v>10547.433549760221</v>
      </c>
      <c r="W27" s="16">
        <f t="shared" ca="1" si="7"/>
        <v>2.9298426527111725</v>
      </c>
      <c r="X27" s="16"/>
      <c r="Y27" s="19">
        <f ca="1">'Propulsion-Cruise'!M27/Motor!$H$6</f>
        <v>363.26362742813512</v>
      </c>
      <c r="Z27" s="19">
        <f ca="1">IF($B$10=1,Takeoff!$B$7+M27+AH27,AA27*AB27)</f>
        <v>189160.05424119139</v>
      </c>
      <c r="AA27" s="20">
        <f ca="1">Cruise!X27</f>
        <v>26.272229755698174</v>
      </c>
      <c r="AB27" s="19">
        <f t="shared" si="0"/>
        <v>7200</v>
      </c>
      <c r="AC27" s="81">
        <f t="shared" ca="1" si="8"/>
        <v>2615498.1174825728</v>
      </c>
      <c r="AD27" s="16">
        <f t="shared" ca="1" si="9"/>
        <v>726.52725485627025</v>
      </c>
      <c r="AE27" s="20"/>
      <c r="AF27" s="19">
        <f ca="1">'Propulsion-Descent'!M27/Motor!$H$6</f>
        <v>0</v>
      </c>
      <c r="AG27" s="20">
        <f ca="1">RADIANS(Descent!AB27)*Descent!X27</f>
        <v>2.2714892671400833</v>
      </c>
      <c r="AH27" s="19">
        <f ca="1">IF(ABS(AG27)&gt;Descent!X27,0,Descent!$B$5/TAN(ASIN(AG27/Descent!X27)))</f>
        <v>16597.844237410183</v>
      </c>
      <c r="AI27" s="19">
        <f ca="1">Descent!$B$5/AG27</f>
        <v>440.23980851076141</v>
      </c>
      <c r="AJ27" s="14">
        <f t="shared" ca="1" si="10"/>
        <v>0</v>
      </c>
      <c r="AK27" s="16">
        <f t="shared" ca="1" si="11"/>
        <v>0</v>
      </c>
      <c r="AM27" s="14">
        <f t="shared" ca="1" si="12"/>
        <v>379082.92803443811</v>
      </c>
      <c r="AN27" s="19">
        <f t="shared" ca="1" si="13"/>
        <v>19675.609335977155</v>
      </c>
      <c r="AO27" s="81">
        <f t="shared" ca="1" si="14"/>
        <v>6988545.0189348301</v>
      </c>
      <c r="AP27" s="16">
        <f t="shared" ca="1" si="15"/>
        <v>1941.262505259675</v>
      </c>
      <c r="AR27" s="19">
        <f>IF($B$10=1,Energy!$B$8/AP27,AB27/3600)</f>
        <v>2</v>
      </c>
      <c r="AS27" s="1">
        <f t="shared" si="1"/>
        <v>0</v>
      </c>
      <c r="AT27" s="69" t="str">
        <f t="shared" si="16"/>
        <v>reduce payload weight or increase battery capacity</v>
      </c>
      <c r="AV27" s="16"/>
      <c r="AW27" s="42"/>
      <c r="AX27" s="42"/>
      <c r="AY27" s="42"/>
      <c r="AZ27" s="20"/>
      <c r="BA27" s="20"/>
      <c r="BB27" s="20"/>
      <c r="BC27" s="19"/>
      <c r="BD27" s="6"/>
      <c r="BE27" s="6"/>
      <c r="BF27" s="16"/>
      <c r="BG27" s="16"/>
      <c r="BH27" s="6"/>
      <c r="BI27" s="16"/>
      <c r="BJ27" s="16"/>
      <c r="BK27" s="16"/>
      <c r="BL27" s="6"/>
      <c r="BM27" s="16"/>
      <c r="BN27" s="16"/>
      <c r="BO27" s="16"/>
      <c r="BP27" s="6"/>
      <c r="BQ27" s="6"/>
    </row>
    <row r="28" spans="2:69">
      <c r="B28" s="90">
        <f ca="1">Main!AC28</f>
        <v>132.52501256898603</v>
      </c>
      <c r="D28" s="19">
        <f ca="1">'Propulsion-Takeoff'!M28/Motor!$H$6</f>
        <v>526.01084003836672</v>
      </c>
      <c r="E28" s="13">
        <f ca="1">Takeoff!$B$8+Takeoff!X28-Takeoff!O28-Takeoff!$B$9*(Takeoff!H28-Takeoff!P28)</f>
        <v>46.924825635521145</v>
      </c>
      <c r="F28" s="13">
        <f ca="1">E28/(B28/ISA!$B$5)</f>
        <v>3.472365951137252</v>
      </c>
      <c r="G28" s="13">
        <f ca="1">SQRT(2*Takeoff!$B$7/F28)</f>
        <v>6.3496717289892857</v>
      </c>
      <c r="H28" s="81">
        <f t="shared" ca="1" si="2"/>
        <v>3339.9961601335226</v>
      </c>
      <c r="I28" s="16">
        <f t="shared" ca="1" si="3"/>
        <v>0.92777671114820071</v>
      </c>
      <c r="J28" s="19"/>
      <c r="K28" s="19">
        <f ca="1">'Propulsion-RCmax'!M28/Motor!$H$6*0+'Propulsion-RC'!M28/Motor!$H$6</f>
        <v>368.13920966661993</v>
      </c>
      <c r="L28" s="20">
        <f ca="1">'RC'!AB28*0+'RC'!$B$8</f>
        <v>0.5</v>
      </c>
      <c r="M28" s="98">
        <f ca="1">IF(L28&gt;'RC'!X28,0,'RC'!$B$5/TAN(ASIN(L28/'RC'!X28)))</f>
        <v>310146.43692275713</v>
      </c>
      <c r="N28" s="98">
        <f ca="1">'RC'!$B$5/L28</f>
        <v>12000</v>
      </c>
      <c r="O28" s="81">
        <f t="shared" ca="1" si="4"/>
        <v>4417670.5159994392</v>
      </c>
      <c r="P28" s="16">
        <f t="shared" ca="1" si="5"/>
        <v>1227.1306988887331</v>
      </c>
      <c r="Q28" s="16"/>
      <c r="R28" s="19">
        <f ca="1">'Propulsion-Turn'!M28/Motor!$H$6</f>
        <v>368.13920966542895</v>
      </c>
      <c r="S28" s="19">
        <f ca="1">Turn!X28^2/T28</f>
        <v>117.53683052358237</v>
      </c>
      <c r="T28" s="20">
        <f ca="1">Turn!P28*SIN(RADIANS(Turn!$B$8))/(B28/ISA!$B$5)</f>
        <v>5.6853817595759732</v>
      </c>
      <c r="U28" s="19">
        <f ca="1">2*PI()*S28/Turn!X28</f>
        <v>28.568473817625833</v>
      </c>
      <c r="V28" s="14">
        <f t="shared" ca="1" si="6"/>
        <v>10517.175372568274</v>
      </c>
      <c r="W28" s="16">
        <f t="shared" ca="1" si="7"/>
        <v>2.9214376034911873</v>
      </c>
      <c r="X28" s="16"/>
      <c r="Y28" s="19">
        <f ca="1">'Propulsion-Cruise'!M28/Motor!$H$6</f>
        <v>360.4199528016544</v>
      </c>
      <c r="Z28" s="19">
        <f ca="1">IF($B$10=1,Takeoff!$B$7+M28+AH28,AA28*AB28)</f>
        <v>186122.68115725133</v>
      </c>
      <c r="AA28" s="20">
        <f ca="1">Cruise!X28</f>
        <v>25.850372382859632</v>
      </c>
      <c r="AB28" s="19">
        <f t="shared" si="0"/>
        <v>7200</v>
      </c>
      <c r="AC28" s="81">
        <f t="shared" ca="1" si="8"/>
        <v>2595023.6601719116</v>
      </c>
      <c r="AD28" s="16">
        <f t="shared" ca="1" si="9"/>
        <v>720.83990560330881</v>
      </c>
      <c r="AE28" s="20"/>
      <c r="AF28" s="19">
        <f ca="1">'Propulsion-Descent'!M28/Motor!$H$6</f>
        <v>0</v>
      </c>
      <c r="AG28" s="20">
        <f ca="1">RADIANS(Descent!AB28)*Descent!X28</f>
        <v>2.2072722595616194</v>
      </c>
      <c r="AH28" s="19">
        <f ca="1">IF(ABS(AG28)&gt;Descent!X28,0,Descent!$B$5/TAN(ASIN(AG28/Descent!X28)))</f>
        <v>16807.556225443517</v>
      </c>
      <c r="AI28" s="19">
        <f ca="1">Descent!$B$5/AG28</f>
        <v>453.04787194607673</v>
      </c>
      <c r="AJ28" s="14">
        <f t="shared" ca="1" si="10"/>
        <v>0</v>
      </c>
      <c r="AK28" s="16">
        <f t="shared" ca="1" si="11"/>
        <v>0</v>
      </c>
      <c r="AM28" s="14">
        <f t="shared" ca="1" si="12"/>
        <v>372983.8680011009</v>
      </c>
      <c r="AN28" s="19">
        <f t="shared" ca="1" si="13"/>
        <v>19687.966017492694</v>
      </c>
      <c r="AO28" s="81">
        <f t="shared" ca="1" si="14"/>
        <v>7026551.3477040529</v>
      </c>
      <c r="AP28" s="16">
        <f t="shared" ca="1" si="15"/>
        <v>1951.8198188066813</v>
      </c>
      <c r="AR28" s="19">
        <f>IF($B$10=1,Energy!$B$8/AP28,AB28/3600)</f>
        <v>2</v>
      </c>
      <c r="AS28" s="1">
        <f t="shared" si="1"/>
        <v>0</v>
      </c>
      <c r="AT28" s="69" t="str">
        <f t="shared" si="16"/>
        <v>reduce payload weight or increase battery capacity</v>
      </c>
      <c r="AV28" s="16"/>
      <c r="AW28" s="42"/>
      <c r="AX28" s="42"/>
      <c r="AY28" s="42"/>
      <c r="AZ28" s="20"/>
      <c r="BA28" s="20"/>
      <c r="BB28" s="20"/>
      <c r="BC28" s="19"/>
      <c r="BD28" s="6"/>
      <c r="BE28" s="6"/>
      <c r="BF28" s="16"/>
      <c r="BG28" s="16"/>
      <c r="BH28" s="6"/>
      <c r="BI28" s="16"/>
      <c r="BJ28" s="16"/>
      <c r="BK28" s="16"/>
      <c r="BL28" s="6"/>
      <c r="BM28" s="16"/>
      <c r="BN28" s="16"/>
      <c r="BO28" s="16"/>
      <c r="BP28" s="6"/>
      <c r="BQ28" s="6"/>
    </row>
    <row r="29" spans="2:69">
      <c r="B29" s="90">
        <f ca="1">Main!AC29</f>
        <v>132.22241873640721</v>
      </c>
      <c r="D29" s="19">
        <f ca="1">'Propulsion-Takeoff'!M29/Motor!$H$6</f>
        <v>525.26296304590437</v>
      </c>
      <c r="E29" s="13">
        <f ca="1">Takeoff!$B$8+Takeoff!X29-Takeoff!O29-Takeoff!$B$9*(Takeoff!H29-Takeoff!P29)</f>
        <v>47.042126867808143</v>
      </c>
      <c r="F29" s="13">
        <f ca="1">E29/(B29/ISA!$B$5)</f>
        <v>3.4890125128316498</v>
      </c>
      <c r="G29" s="13">
        <f ca="1">SQRT(2*Takeoff!$B$7/F29)</f>
        <v>6.3345060365437149</v>
      </c>
      <c r="H29" s="81">
        <f t="shared" ca="1" si="2"/>
        <v>3327.2814101871195</v>
      </c>
      <c r="I29" s="16">
        <f t="shared" ca="1" si="3"/>
        <v>0.92424483616308872</v>
      </c>
      <c r="J29" s="19"/>
      <c r="K29" s="19">
        <f ca="1">'Propulsion-RCmax'!M29/Motor!$H$6*0+'Propulsion-RC'!M29/Motor!$H$6</f>
        <v>373.88979214808887</v>
      </c>
      <c r="L29" s="20">
        <f ca="1">'RC'!AB29*0+'RC'!$B$8</f>
        <v>0.5</v>
      </c>
      <c r="M29" s="98">
        <f ca="1">IF(L29&gt;'RC'!X29,0,'RC'!$B$5/TAN(ASIN(L29/'RC'!X29)))</f>
        <v>303991.39549198904</v>
      </c>
      <c r="N29" s="98">
        <f ca="1">'RC'!$B$5/L29</f>
        <v>12000</v>
      </c>
      <c r="O29" s="81">
        <f t="shared" ca="1" si="4"/>
        <v>4486677.5057770666</v>
      </c>
      <c r="P29" s="16">
        <f t="shared" ca="1" si="5"/>
        <v>1246.2993071602962</v>
      </c>
      <c r="Q29" s="16"/>
      <c r="R29" s="19">
        <f ca="1">'Propulsion-Turn'!M29/Motor!$H$6</f>
        <v>373.88979214692927</v>
      </c>
      <c r="S29" s="19">
        <f ca="1">Turn!X29^2/T29</f>
        <v>112.91787450134952</v>
      </c>
      <c r="T29" s="20">
        <f ca="1">Turn!P29*SIN(RADIANS(Turn!$B$8))/(B29/ISA!$B$5)</f>
        <v>5.6854723044216726</v>
      </c>
      <c r="U29" s="19">
        <f ca="1">2*PI()*S29/Turn!X29</f>
        <v>28.001283686933693</v>
      </c>
      <c r="V29" s="14">
        <f t="shared" ca="1" si="6"/>
        <v>10469.39413755484</v>
      </c>
      <c r="W29" s="16">
        <f t="shared" ca="1" si="7"/>
        <v>2.908165038209678</v>
      </c>
      <c r="X29" s="16"/>
      <c r="Y29" s="19">
        <f ca="1">'Propulsion-Cruise'!M29/Motor!$H$6</f>
        <v>345.33165113358046</v>
      </c>
      <c r="Z29" s="19">
        <f ca="1">IF($B$10=1,Takeoff!$B$7+M29+AH29,AA29*AB29)</f>
        <v>182430.36115785115</v>
      </c>
      <c r="AA29" s="20">
        <f ca="1">Cruise!X29</f>
        <v>25.337550160719807</v>
      </c>
      <c r="AB29" s="19">
        <f t="shared" si="0"/>
        <v>7200</v>
      </c>
      <c r="AC29" s="81">
        <f t="shared" ca="1" si="8"/>
        <v>2486387.8881617794</v>
      </c>
      <c r="AD29" s="16">
        <f t="shared" ca="1" si="9"/>
        <v>690.66330226716093</v>
      </c>
      <c r="AE29" s="20"/>
      <c r="AF29" s="19">
        <f ca="1">'Propulsion-Descent'!M29/Motor!$H$6</f>
        <v>0</v>
      </c>
      <c r="AG29" s="20">
        <f ca="1">RADIANS(Descent!AB29)*Descent!X29</f>
        <v>2.1415206383949821</v>
      </c>
      <c r="AH29" s="19">
        <f ca="1">IF(ABS(AG29)&gt;Descent!X29,0,Descent!$B$5/TAN(ASIN(AG29/Descent!X29)))</f>
        <v>16980.850471991893</v>
      </c>
      <c r="AI29" s="19">
        <f ca="1">Descent!$B$5/AG29</f>
        <v>466.95790928705492</v>
      </c>
      <c r="AJ29" s="14">
        <f t="shared" ca="1" si="10"/>
        <v>0</v>
      </c>
      <c r="AK29" s="16">
        <f t="shared" ca="1" si="11"/>
        <v>0</v>
      </c>
      <c r="AM29" s="14">
        <f t="shared" ca="1" si="12"/>
        <v>365570.20624568715</v>
      </c>
      <c r="AN29" s="19">
        <f t="shared" ca="1" si="13"/>
        <v>19701.293699010534</v>
      </c>
      <c r="AO29" s="81">
        <f t="shared" ca="1" si="14"/>
        <v>6986862.0694865882</v>
      </c>
      <c r="AP29" s="16">
        <f t="shared" ca="1" si="15"/>
        <v>1940.7950193018301</v>
      </c>
      <c r="AR29" s="19">
        <f>IF($B$10=1,Energy!$B$8/AP29,AB29/3600)</f>
        <v>2</v>
      </c>
      <c r="AS29" s="1">
        <f t="shared" si="1"/>
        <v>0</v>
      </c>
      <c r="AT29" s="69" t="str">
        <f t="shared" si="16"/>
        <v>reduce payload weight or increase battery capacity</v>
      </c>
      <c r="AV29" s="16"/>
      <c r="AW29" s="42"/>
      <c r="AX29" s="42"/>
      <c r="AY29" s="42"/>
      <c r="AZ29" s="20"/>
      <c r="BA29" s="20"/>
      <c r="BB29" s="20"/>
      <c r="BC29" s="19"/>
      <c r="BD29" s="6"/>
      <c r="BE29" s="6"/>
      <c r="BF29" s="16"/>
      <c r="BG29" s="16"/>
      <c r="BH29" s="6"/>
      <c r="BI29" s="16"/>
      <c r="BJ29" s="16"/>
      <c r="BK29" s="16"/>
      <c r="BL29" s="6"/>
      <c r="BM29" s="16"/>
      <c r="BN29" s="16"/>
      <c r="BO29" s="16"/>
      <c r="BP29" s="6"/>
      <c r="BQ29" s="6"/>
    </row>
    <row r="30" spans="2:69">
      <c r="B30" s="90">
        <f ca="1">Main!AC30</f>
        <v>131.99460630550439</v>
      </c>
      <c r="D30" s="19">
        <f ca="1">'Propulsion-Takeoff'!M30/Motor!$H$6</f>
        <v>524.58787218996758</v>
      </c>
      <c r="E30" s="13">
        <f ca="1">Takeoff!$B$8+Takeoff!X30-Takeoff!O30-Takeoff!$B$9*(Takeoff!H30-Takeoff!P30)</f>
        <v>47.151814288884424</v>
      </c>
      <c r="F30" s="13">
        <f ca="1">E30/(B30/ISA!$B$5)</f>
        <v>3.5031835961982449</v>
      </c>
      <c r="G30" s="13">
        <f ca="1">SQRT(2*Takeoff!$B$7/F30)</f>
        <v>6.3216808768064476</v>
      </c>
      <c r="H30" s="81">
        <f t="shared" ca="1" si="2"/>
        <v>3316.2771198279029</v>
      </c>
      <c r="I30" s="16">
        <f t="shared" ca="1" si="3"/>
        <v>0.92118808884108416</v>
      </c>
      <c r="J30" s="19"/>
      <c r="K30" s="19">
        <f ca="1">'Propulsion-RCmax'!M30/Motor!$H$6*0+'Propulsion-RC'!M30/Motor!$H$6</f>
        <v>379.08274478402211</v>
      </c>
      <c r="L30" s="20">
        <f ca="1">'RC'!AB30*0+'RC'!$B$8</f>
        <v>0.5</v>
      </c>
      <c r="M30" s="98">
        <f ca="1">IF(L30&gt;'RC'!X30,0,'RC'!$B$5/TAN(ASIN(L30/'RC'!X30)))</f>
        <v>298247.54223351681</v>
      </c>
      <c r="N30" s="98">
        <f ca="1">'RC'!$B$5/L30</f>
        <v>12000</v>
      </c>
      <c r="O30" s="81">
        <f t="shared" ca="1" si="4"/>
        <v>4548992.9374082657</v>
      </c>
      <c r="P30" s="16">
        <f t="shared" ca="1" si="5"/>
        <v>1263.6091492800738</v>
      </c>
      <c r="Q30" s="16"/>
      <c r="R30" s="19">
        <f ca="1">'Propulsion-Turn'!M30/Motor!$H$6</f>
        <v>379.08274478289252</v>
      </c>
      <c r="S30" s="19">
        <f ca="1">Turn!X30^2/T30</f>
        <v>108.69115607106981</v>
      </c>
      <c r="T30" s="20">
        <f ca="1">Turn!P30*SIN(RADIANS(Turn!$B$8))/(B30/ISA!$B$5)</f>
        <v>5.6855538400987164</v>
      </c>
      <c r="U30" s="19">
        <f ca="1">2*PI()*S30/Turn!X30</f>
        <v>27.472019377037832</v>
      </c>
      <c r="V30" s="14">
        <f t="shared" ca="1" si="6"/>
        <v>10414.168510176311</v>
      </c>
      <c r="W30" s="16">
        <f t="shared" ca="1" si="7"/>
        <v>2.8928245861600863</v>
      </c>
      <c r="X30" s="16"/>
      <c r="Y30" s="19">
        <f ca="1">'Propulsion-Cruise'!M30/Motor!$H$6</f>
        <v>331.80086591452948</v>
      </c>
      <c r="Z30" s="19">
        <f ca="1">IF($B$10=1,Takeoff!$B$7+M30+AH30,AA30*AB30)</f>
        <v>178984.73320828623</v>
      </c>
      <c r="AA30" s="20">
        <f ca="1">Cruise!X30</f>
        <v>24.858990723279437</v>
      </c>
      <c r="AB30" s="19">
        <f t="shared" si="0"/>
        <v>7200</v>
      </c>
      <c r="AC30" s="81">
        <f t="shared" ca="1" si="8"/>
        <v>2388966.2345846123</v>
      </c>
      <c r="AD30" s="16">
        <f t="shared" ca="1" si="9"/>
        <v>663.60173182905896</v>
      </c>
      <c r="AE30" s="20"/>
      <c r="AF30" s="19">
        <f ca="1">'Propulsion-Descent'!M30/Motor!$H$6</f>
        <v>0</v>
      </c>
      <c r="AG30" s="20">
        <f ca="1">RADIANS(Descent!AB30)*Descent!X30</f>
        <v>2.0814407988980763</v>
      </c>
      <c r="AH30" s="19">
        <f ca="1">IF(ABS(AG30)&gt;Descent!X30,0,Descent!$B$5/TAN(ASIN(AG30/Descent!X30)))</f>
        <v>17141.846812024527</v>
      </c>
      <c r="AI30" s="19">
        <f ca="1">Descent!$B$5/AG30</f>
        <v>480.43643639992274</v>
      </c>
      <c r="AJ30" s="14">
        <f t="shared" ca="1" si="10"/>
        <v>0</v>
      </c>
      <c r="AK30" s="16">
        <f t="shared" ca="1" si="11"/>
        <v>0</v>
      </c>
      <c r="AM30" s="14">
        <f t="shared" ca="1" si="12"/>
        <v>358652.39309141855</v>
      </c>
      <c r="AN30" s="19">
        <f t="shared" ca="1" si="13"/>
        <v>19714.230136653769</v>
      </c>
      <c r="AO30" s="81">
        <f t="shared" ca="1" si="14"/>
        <v>6951689.6176228821</v>
      </c>
      <c r="AP30" s="16">
        <f t="shared" ca="1" si="15"/>
        <v>1931.0248937841338</v>
      </c>
      <c r="AR30" s="19">
        <f>IF($B$10=1,Energy!$B$8/AP30,AB30/3600)</f>
        <v>2</v>
      </c>
      <c r="AS30" s="1">
        <f t="shared" si="1"/>
        <v>0</v>
      </c>
      <c r="AT30" s="69" t="str">
        <f t="shared" si="16"/>
        <v>reduce payload weight or increase battery capacity</v>
      </c>
      <c r="AV30" s="16"/>
      <c r="AW30" s="42"/>
      <c r="AX30" s="42"/>
      <c r="AY30" s="42"/>
      <c r="AZ30" s="20"/>
      <c r="BA30" s="20"/>
      <c r="BB30" s="20"/>
      <c r="BC30" s="19"/>
      <c r="BD30" s="6"/>
      <c r="BE30" s="6"/>
      <c r="BF30" s="16"/>
      <c r="BG30" s="16"/>
      <c r="BH30" s="6"/>
      <c r="BI30" s="16"/>
      <c r="BJ30" s="16"/>
      <c r="BK30" s="16"/>
      <c r="BL30" s="6"/>
      <c r="BM30" s="16"/>
      <c r="BN30" s="16"/>
      <c r="BO30" s="16"/>
      <c r="BP30" s="6"/>
      <c r="BQ30" s="6"/>
    </row>
    <row r="31" spans="2:69">
      <c r="B31" s="90">
        <f ca="1">Main!AC31</f>
        <v>131.83112185491365</v>
      </c>
      <c r="D31" s="19">
        <f ca="1">'Propulsion-Takeoff'!M31/Motor!$H$6</f>
        <v>523.97581129017408</v>
      </c>
      <c r="E31" s="13">
        <f ca="1">Takeoff!$B$8+Takeoff!X31-Takeoff!O31-Takeoff!$B$9*(Takeoff!H31-Takeoff!P31)</f>
        <v>47.254641239835401</v>
      </c>
      <c r="F31" s="13">
        <f ca="1">E31/(B31/ISA!$B$5)</f>
        <v>3.5151770006526686</v>
      </c>
      <c r="G31" s="13">
        <f ca="1">SQRT(2*Takeoff!$B$7/F31)</f>
        <v>6.3108872158829756</v>
      </c>
      <c r="H31" s="81">
        <f t="shared" ca="1" si="2"/>
        <v>3306.7522489030703</v>
      </c>
      <c r="I31" s="16">
        <f t="shared" ca="1" si="3"/>
        <v>0.91854229136196397</v>
      </c>
      <c r="J31" s="19"/>
      <c r="K31" s="19">
        <f ca="1">'Propulsion-RCmax'!M31/Motor!$H$6*0+'Propulsion-RC'!M31/Motor!$H$6</f>
        <v>383.7931935898406</v>
      </c>
      <c r="L31" s="20">
        <f ca="1">'RC'!AB31*0+'RC'!$B$8</f>
        <v>0.5</v>
      </c>
      <c r="M31" s="98">
        <f ca="1">IF(L31&gt;'RC'!X31,0,'RC'!$B$5/TAN(ASIN(L31/'RC'!X31)))</f>
        <v>292870.679551546</v>
      </c>
      <c r="N31" s="98">
        <f ca="1">'RC'!$B$5/L31</f>
        <v>12000</v>
      </c>
      <c r="O31" s="81">
        <f t="shared" ca="1" si="4"/>
        <v>4605518.3230780875</v>
      </c>
      <c r="P31" s="16">
        <f t="shared" ca="1" si="5"/>
        <v>1279.3106452994687</v>
      </c>
      <c r="Q31" s="16"/>
      <c r="R31" s="19">
        <f ca="1">'Propulsion-Turn'!M31/Motor!$H$6</f>
        <v>383.79319358873988</v>
      </c>
      <c r="S31" s="19">
        <f ca="1">Turn!X31^2/T31</f>
        <v>104.8076857254278</v>
      </c>
      <c r="T31" s="20">
        <f ca="1">Turn!P31*SIN(RADIANS(Turn!$B$8))/(B31/ISA!$B$5)</f>
        <v>5.6856275448497255</v>
      </c>
      <c r="U31" s="19">
        <f ca="1">2*PI()*S31/Turn!X31</f>
        <v>26.976601143449162</v>
      </c>
      <c r="V31" s="14">
        <f t="shared" ca="1" si="6"/>
        <v>10353.435905014006</v>
      </c>
      <c r="W31" s="16">
        <f t="shared" ca="1" si="7"/>
        <v>2.8759544180594463</v>
      </c>
      <c r="X31" s="16"/>
      <c r="Y31" s="19">
        <f ca="1">'Propulsion-Cruise'!M31/Motor!$H$6</f>
        <v>319.60842132729834</v>
      </c>
      <c r="Z31" s="19">
        <f ca="1">IF($B$10=1,Takeoff!$B$7+M31+AH31,AA31*AB31)</f>
        <v>175759.28020731389</v>
      </c>
      <c r="AA31" s="20">
        <f ca="1">Cruise!X31</f>
        <v>24.411011139810388</v>
      </c>
      <c r="AB31" s="19">
        <f t="shared" si="0"/>
        <v>7200</v>
      </c>
      <c r="AC31" s="81">
        <f t="shared" ca="1" si="8"/>
        <v>2301180.633556548</v>
      </c>
      <c r="AD31" s="16">
        <f t="shared" ca="1" si="9"/>
        <v>639.21684265459669</v>
      </c>
      <c r="AE31" s="20"/>
      <c r="AF31" s="19">
        <f ca="1">'Propulsion-Descent'!M31/Motor!$H$6</f>
        <v>0</v>
      </c>
      <c r="AG31" s="20">
        <f ca="1">RADIANS(Descent!AB31)*Descent!X31</f>
        <v>2.0263371030616009</v>
      </c>
      <c r="AH31" s="19">
        <f ca="1">IF(ABS(AG31)&gt;Descent!X31,0,Descent!$B$5/TAN(ASIN(AG31/Descent!X31)))</f>
        <v>17291.446715214981</v>
      </c>
      <c r="AI31" s="19">
        <f ca="1">Descent!$B$5/AG31</f>
        <v>493.50130266533438</v>
      </c>
      <c r="AJ31" s="14">
        <f t="shared" ca="1" si="10"/>
        <v>0</v>
      </c>
      <c r="AK31" s="16">
        <f t="shared" ca="1" si="11"/>
        <v>0</v>
      </c>
      <c r="AM31" s="14">
        <f t="shared" ca="1" si="12"/>
        <v>352177.08652565727</v>
      </c>
      <c r="AN31" s="19">
        <f t="shared" ca="1" si="13"/>
        <v>19726.788791024668</v>
      </c>
      <c r="AO31" s="81">
        <f t="shared" ca="1" si="14"/>
        <v>6920359.1447885521</v>
      </c>
      <c r="AP31" s="16">
        <f t="shared" ca="1" si="15"/>
        <v>1922.3219846634868</v>
      </c>
      <c r="AR31" s="19">
        <f>IF($B$10=1,Energy!$B$8/AP31,AB31/3600)</f>
        <v>2</v>
      </c>
      <c r="AS31" s="1">
        <f t="shared" si="1"/>
        <v>0</v>
      </c>
      <c r="AT31" s="69" t="str">
        <f t="shared" si="16"/>
        <v>reduce payload weight or increase battery capacity</v>
      </c>
      <c r="AV31" s="16"/>
      <c r="AW31" s="42"/>
      <c r="AX31" s="42"/>
      <c r="AY31" s="42"/>
      <c r="AZ31" s="20"/>
      <c r="BA31" s="20"/>
      <c r="BB31" s="20"/>
      <c r="BC31" s="19"/>
      <c r="BD31" s="6"/>
      <c r="BE31" s="6"/>
      <c r="BF31" s="16"/>
      <c r="BG31" s="16"/>
      <c r="BH31" s="6"/>
      <c r="BI31" s="16"/>
      <c r="BJ31" s="16"/>
      <c r="BK31" s="16"/>
      <c r="BL31" s="6"/>
      <c r="BM31" s="16"/>
      <c r="BN31" s="16"/>
      <c r="BO31" s="16"/>
      <c r="BP31" s="6"/>
      <c r="BQ31" s="6"/>
    </row>
    <row r="32" spans="2:69">
      <c r="B32" s="90">
        <f ca="1">Main!AC32</f>
        <v>131.72349764200382</v>
      </c>
      <c r="D32" s="19">
        <f ca="1">'Propulsion-Takeoff'!M32/Motor!$H$6</f>
        <v>523.41869144416421</v>
      </c>
      <c r="E32" s="13">
        <f ca="1">Takeoff!$B$8+Takeoff!X32-Takeoff!O32-Takeoff!$B$9*(Takeoff!H32-Takeoff!P32)</f>
        <v>47.351260850045165</v>
      </c>
      <c r="F32" s="13">
        <f ca="1">E32/(B32/ISA!$B$5)</f>
        <v>3.5252422728488324</v>
      </c>
      <c r="G32" s="13">
        <f ca="1">SQRT(2*Takeoff!$B$7/F32)</f>
        <v>6.3018713527593384</v>
      </c>
      <c r="H32" s="81">
        <f t="shared" ca="1" si="2"/>
        <v>3298.5172571107578</v>
      </c>
      <c r="I32" s="16">
        <f t="shared" ca="1" si="3"/>
        <v>0.91625479364187712</v>
      </c>
      <c r="J32" s="19"/>
      <c r="K32" s="19">
        <f ca="1">'Propulsion-RCmax'!M32/Motor!$H$6*0+'Propulsion-RC'!M32/Motor!$H$6</f>
        <v>388.0833372624557</v>
      </c>
      <c r="L32" s="20">
        <f ca="1">'RC'!AB32*0+'RC'!$B$8</f>
        <v>0.5</v>
      </c>
      <c r="M32" s="98">
        <f ca="1">IF(L32&gt;'RC'!X32,0,'RC'!$B$5/TAN(ASIN(L32/'RC'!X32)))</f>
        <v>287823.2524331825</v>
      </c>
      <c r="N32" s="98">
        <f ca="1">'RC'!$B$5/L32</f>
        <v>12000</v>
      </c>
      <c r="O32" s="81">
        <f t="shared" ca="1" si="4"/>
        <v>4657000.0471494682</v>
      </c>
      <c r="P32" s="16">
        <f t="shared" ca="1" si="5"/>
        <v>1293.6111242081856</v>
      </c>
      <c r="Q32" s="16"/>
      <c r="R32" s="19">
        <f ca="1">'Propulsion-Turn'!M32/Motor!$H$6</f>
        <v>388.08333726138324</v>
      </c>
      <c r="S32" s="19">
        <f ca="1">Turn!X32^2/T32</f>
        <v>101.22654953222083</v>
      </c>
      <c r="T32" s="20">
        <f ca="1">Turn!P32*SIN(RADIANS(Turn!$B$8))/(B32/ISA!$B$5)</f>
        <v>5.6856944086230881</v>
      </c>
      <c r="U32" s="19">
        <f ca="1">2*PI()*S32/Turn!X32</f>
        <v>26.51156273846771</v>
      </c>
      <c r="V32" s="14">
        <f t="shared" ca="1" si="6"/>
        <v>10288.695743559085</v>
      </c>
      <c r="W32" s="16">
        <f t="shared" ca="1" si="7"/>
        <v>2.8579710398775235</v>
      </c>
      <c r="X32" s="16"/>
      <c r="Y32" s="19">
        <f ca="1">'Propulsion-Cruise'!M32/Motor!$H$6</f>
        <v>308.57462056837539</v>
      </c>
      <c r="Z32" s="19">
        <f ca="1">IF($B$10=1,Takeoff!$B$7+M32+AH32,AA32*AB32)</f>
        <v>172731.47041310542</v>
      </c>
      <c r="AA32" s="20">
        <f ca="1">Cruise!X32</f>
        <v>23.990482001725344</v>
      </c>
      <c r="AB32" s="19">
        <f t="shared" si="0"/>
        <v>7200</v>
      </c>
      <c r="AC32" s="81">
        <f t="shared" ca="1" si="8"/>
        <v>2221737.2680923026</v>
      </c>
      <c r="AD32" s="16">
        <f t="shared" ca="1" si="9"/>
        <v>617.14924113675067</v>
      </c>
      <c r="AE32" s="20"/>
      <c r="AF32" s="19">
        <f ca="1">'Propulsion-Descent'!M32/Motor!$H$6</f>
        <v>0</v>
      </c>
      <c r="AG32" s="20">
        <f ca="1">RADIANS(Descent!AB32)*Descent!X32</f>
        <v>1.9756236824743785</v>
      </c>
      <c r="AH32" s="19">
        <f ca="1">IF(ABS(AG32)&gt;Descent!X32,0,Descent!$B$5/TAN(ASIN(AG32/Descent!X32)))</f>
        <v>17430.478324723015</v>
      </c>
      <c r="AI32" s="19">
        <f ca="1">Descent!$B$5/AG32</f>
        <v>506.16927144118137</v>
      </c>
      <c r="AJ32" s="14">
        <f t="shared" ca="1" si="10"/>
        <v>0</v>
      </c>
      <c r="AK32" s="16">
        <f t="shared" ca="1" si="11"/>
        <v>0</v>
      </c>
      <c r="AM32" s="14">
        <f t="shared" ca="1" si="12"/>
        <v>346098.96599492815</v>
      </c>
      <c r="AN32" s="19">
        <f t="shared" ca="1" si="13"/>
        <v>19738.982705532409</v>
      </c>
      <c r="AO32" s="81">
        <f t="shared" ca="1" si="14"/>
        <v>6892324.5282424409</v>
      </c>
      <c r="AP32" s="16">
        <f t="shared" ca="1" si="15"/>
        <v>1914.5345911784559</v>
      </c>
      <c r="AR32" s="19">
        <f>IF($B$10=1,Energy!$B$8/AP32,AB32/3600)</f>
        <v>2</v>
      </c>
      <c r="AS32" s="1">
        <f t="shared" si="1"/>
        <v>0</v>
      </c>
      <c r="AT32" s="69" t="str">
        <f t="shared" si="16"/>
        <v>reduce payload weight or increase battery capacity</v>
      </c>
      <c r="AV32" s="16"/>
      <c r="AW32" s="42"/>
      <c r="AX32" s="42"/>
      <c r="AY32" s="42"/>
      <c r="AZ32" s="20"/>
      <c r="BA32" s="20"/>
      <c r="BB32" s="20"/>
      <c r="BC32" s="19"/>
      <c r="BD32" s="6"/>
      <c r="BE32" s="6"/>
      <c r="BF32" s="16"/>
      <c r="BG32" s="16"/>
      <c r="BH32" s="6"/>
      <c r="BI32" s="16"/>
      <c r="BJ32" s="16"/>
      <c r="BK32" s="16"/>
      <c r="BL32" s="6"/>
      <c r="BM32" s="16"/>
      <c r="BN32" s="16"/>
      <c r="BO32" s="16"/>
      <c r="BP32" s="6"/>
      <c r="BQ32" s="6"/>
    </row>
    <row r="33" spans="2:69">
      <c r="B33" s="90">
        <f ca="1">Main!AC33</f>
        <v>131.66480106818827</v>
      </c>
      <c r="D33" s="19">
        <f ca="1">'Propulsion-Takeoff'!M33/Motor!$H$6</f>
        <v>522.90972389533727</v>
      </c>
      <c r="E33" s="13">
        <f ca="1">Takeoff!$B$8+Takeoff!X33-Takeoff!O33-Takeoff!$B$9*(Takeoff!H33-Takeoff!P33)</f>
        <v>47.442242611365884</v>
      </c>
      <c r="F33" s="13">
        <f ca="1">E33/(B33/ISA!$B$5)</f>
        <v>3.5335903349278732</v>
      </c>
      <c r="G33" s="13">
        <f ca="1">SQRT(2*Takeoff!$B$7/F33)</f>
        <v>6.2944229056119116</v>
      </c>
      <c r="H33" s="81">
        <f t="shared" ca="1" si="2"/>
        <v>3291.414943654011</v>
      </c>
      <c r="I33" s="16">
        <f t="shared" ca="1" si="3"/>
        <v>0.91428192879278081</v>
      </c>
      <c r="J33" s="19"/>
      <c r="K33" s="19">
        <f ca="1">'Propulsion-RCmax'!M33/Motor!$H$6*0+'Propulsion-RC'!M33/Motor!$H$6</f>
        <v>392.0051397017171</v>
      </c>
      <c r="L33" s="20">
        <f ca="1">'RC'!AB33*0+'RC'!$B$8</f>
        <v>0.5</v>
      </c>
      <c r="M33" s="98">
        <f ca="1">IF(L33&gt;'RC'!X33,0,'RC'!$B$5/TAN(ASIN(L33/'RC'!X33)))</f>
        <v>283073.07642839209</v>
      </c>
      <c r="N33" s="98">
        <f ca="1">'RC'!$B$5/L33</f>
        <v>12000</v>
      </c>
      <c r="O33" s="81">
        <f t="shared" ca="1" si="4"/>
        <v>4704061.6764206048</v>
      </c>
      <c r="P33" s="16">
        <f t="shared" ca="1" si="5"/>
        <v>1306.6837990057236</v>
      </c>
      <c r="Q33" s="16"/>
      <c r="R33" s="19">
        <f ca="1">'Propulsion-Turn'!M33/Motor!$H$6</f>
        <v>392.00513970066578</v>
      </c>
      <c r="S33" s="19">
        <f ca="1">Turn!X33^2/T33</f>
        <v>97.913267965036198</v>
      </c>
      <c r="T33" s="20">
        <f ca="1">Turn!P33*SIN(RADIANS(Turn!$B$8))/(B33/ISA!$B$5)</f>
        <v>5.6857552682277417</v>
      </c>
      <c r="U33" s="19">
        <f ca="1">2*PI()*S33/Turn!X33</f>
        <v>26.073933891960127</v>
      </c>
      <c r="V33" s="14">
        <f t="shared" ca="1" si="6"/>
        <v>10221.116097863754</v>
      </c>
      <c r="W33" s="16">
        <f t="shared" ca="1" si="7"/>
        <v>2.8391989160732649</v>
      </c>
      <c r="X33" s="16"/>
      <c r="Y33" s="19">
        <f ca="1">'Propulsion-Cruise'!M33/Motor!$H$6</f>
        <v>298.5506792211749</v>
      </c>
      <c r="Z33" s="19">
        <f ca="1">IF($B$10=1,Takeoff!$B$7+M33+AH33,AA33*AB33)</f>
        <v>169881.99426585078</v>
      </c>
      <c r="AA33" s="20">
        <f ca="1">Cruise!X33</f>
        <v>23.594721425716866</v>
      </c>
      <c r="AB33" s="19">
        <f t="shared" si="0"/>
        <v>7200</v>
      </c>
      <c r="AC33" s="81">
        <f t="shared" ca="1" si="8"/>
        <v>2149564.8903924595</v>
      </c>
      <c r="AD33" s="16">
        <f t="shared" ca="1" si="9"/>
        <v>597.10135844234981</v>
      </c>
      <c r="AE33" s="20"/>
      <c r="AF33" s="19">
        <f ca="1">'Propulsion-Descent'!M33/Motor!$H$6</f>
        <v>0</v>
      </c>
      <c r="AG33" s="20">
        <f ca="1">RADIANS(Descent!AB33)*Descent!X33</f>
        <v>1.9288034360892063</v>
      </c>
      <c r="AH33" s="19">
        <f ca="1">IF(ABS(AG33)&gt;Descent!X33,0,Descent!$B$5/TAN(ASIN(AG33/Descent!X33)))</f>
        <v>17559.702708588116</v>
      </c>
      <c r="AI33" s="19">
        <f ca="1">Descent!$B$5/AG33</f>
        <v>518.45614814310727</v>
      </c>
      <c r="AJ33" s="14">
        <f t="shared" ca="1" si="10"/>
        <v>0</v>
      </c>
      <c r="AK33" s="16">
        <f t="shared" ca="1" si="11"/>
        <v>0</v>
      </c>
      <c r="AM33" s="14">
        <f t="shared" ca="1" si="12"/>
        <v>340379.19573835743</v>
      </c>
      <c r="AN33" s="19">
        <f t="shared" ca="1" si="13"/>
        <v>19750.82450494068</v>
      </c>
      <c r="AO33" s="81">
        <f t="shared" ca="1" si="14"/>
        <v>6867139.0978545826</v>
      </c>
      <c r="AP33" s="16">
        <f t="shared" ca="1" si="15"/>
        <v>1907.5386382929396</v>
      </c>
      <c r="AR33" s="19">
        <f>IF($B$10=1,Energy!$B$8/AP33,AB33/3600)</f>
        <v>2</v>
      </c>
      <c r="AS33" s="1">
        <f t="shared" si="1"/>
        <v>0</v>
      </c>
      <c r="AT33" s="69" t="str">
        <f t="shared" si="16"/>
        <v>reduce payload weight or increase battery capacity</v>
      </c>
      <c r="AV33" s="16"/>
      <c r="AW33" s="42"/>
      <c r="AX33" s="42"/>
      <c r="AY33" s="42"/>
      <c r="AZ33" s="20"/>
      <c r="BA33" s="20"/>
      <c r="BB33" s="20"/>
      <c r="BC33" s="19"/>
      <c r="BD33" s="6"/>
      <c r="BE33" s="6"/>
      <c r="BF33" s="16"/>
      <c r="BG33" s="16"/>
      <c r="BH33" s="6"/>
      <c r="BI33" s="16"/>
      <c r="BJ33" s="16"/>
      <c r="BK33" s="16"/>
      <c r="BL33" s="6"/>
      <c r="BM33" s="16"/>
      <c r="BN33" s="16"/>
      <c r="BO33" s="16"/>
      <c r="BP33" s="6"/>
      <c r="BQ33" s="6"/>
    </row>
    <row r="34" spans="2:69">
      <c r="B34" s="90">
        <f ca="1">Main!AC34</f>
        <v>131.64808624958647</v>
      </c>
      <c r="D34" s="19">
        <f ca="1">'Propulsion-Takeoff'!M34/Motor!$H$6</f>
        <v>522.44308667929238</v>
      </c>
      <c r="E34" s="13">
        <f ca="1">Takeoff!$B$8+Takeoff!X34-Takeoff!O34-Takeoff!$B$9*(Takeoff!H34-Takeoff!P34)</f>
        <v>47.528110997309199</v>
      </c>
      <c r="F34" s="13">
        <f ca="1">E34/(B34/ISA!$B$5)</f>
        <v>3.5404354365479906</v>
      </c>
      <c r="G34" s="13">
        <f ca="1">SQRT(2*Takeoff!$B$7/F34)</f>
        <v>6.2883351219153525</v>
      </c>
      <c r="H34" s="81">
        <f t="shared" ca="1" si="2"/>
        <v>3285.2972111672611</v>
      </c>
      <c r="I34" s="16">
        <f t="shared" ca="1" si="3"/>
        <v>0.91258255865757254</v>
      </c>
      <c r="J34" s="19"/>
      <c r="K34" s="19">
        <f ca="1">'Propulsion-RCmax'!M34/Motor!$H$6*0+'Propulsion-RC'!M34/Motor!$H$6</f>
        <v>395.60338707036146</v>
      </c>
      <c r="L34" s="20">
        <f ca="1">'RC'!AB34*0+'RC'!$B$8</f>
        <v>0.5</v>
      </c>
      <c r="M34" s="98">
        <f ca="1">IF(L34&gt;'RC'!X34,0,'RC'!$B$5/TAN(ASIN(L34/'RC'!X34)))</f>
        <v>278591.07199760445</v>
      </c>
      <c r="N34" s="98">
        <f ca="1">'RC'!$B$5/L34</f>
        <v>12000</v>
      </c>
      <c r="O34" s="81">
        <f t="shared" ca="1" si="4"/>
        <v>4747240.6448443374</v>
      </c>
      <c r="P34" s="16">
        <f t="shared" ca="1" si="5"/>
        <v>1318.6779569012049</v>
      </c>
      <c r="Q34" s="16"/>
      <c r="R34" s="19">
        <f ca="1">'Propulsion-Turn'!M34/Motor!$H$6</f>
        <v>393.14606111229745</v>
      </c>
      <c r="S34" s="19">
        <f ca="1">Turn!X34^2/T34</f>
        <v>94.837672392589099</v>
      </c>
      <c r="T34" s="20">
        <f ca="1">Turn!P34*SIN(RADIANS(Turn!$B$8))/(B34/ISA!$B$5)</f>
        <v>5.6858108350402521</v>
      </c>
      <c r="U34" s="19">
        <f ca="1">2*PI()*S34/Turn!X34</f>
        <v>25.661031408340797</v>
      </c>
      <c r="V34" s="14">
        <f t="shared" ca="1" si="6"/>
        <v>10088.533422268136</v>
      </c>
      <c r="W34" s="16">
        <f t="shared" ca="1" si="7"/>
        <v>2.8023703950744823</v>
      </c>
      <c r="X34" s="16"/>
      <c r="Y34" s="19">
        <f ca="1">'Propulsion-Cruise'!M34/Motor!$H$6</f>
        <v>289.4087040397942</v>
      </c>
      <c r="Z34" s="19">
        <f ca="1">IF($B$10=1,Takeoff!$B$7+M34+AH34,AA34*AB34)</f>
        <v>167193.40520209595</v>
      </c>
      <c r="AA34" s="20">
        <f ca="1">Cruise!X34</f>
        <v>23.221306277971916</v>
      </c>
      <c r="AB34" s="19">
        <f t="shared" si="0"/>
        <v>7200</v>
      </c>
      <c r="AC34" s="81">
        <f t="shared" ca="1" si="8"/>
        <v>2083742.6690865182</v>
      </c>
      <c r="AD34" s="16">
        <f t="shared" ca="1" si="9"/>
        <v>578.8174080795884</v>
      </c>
      <c r="AE34" s="20"/>
      <c r="AF34" s="19">
        <f ca="1">'Propulsion-Descent'!M34/Motor!$H$6</f>
        <v>0</v>
      </c>
      <c r="AG34" s="20">
        <f ca="1">RADIANS(Descent!AB34)*Descent!X34</f>
        <v>1.8854458318193557</v>
      </c>
      <c r="AH34" s="19">
        <f ca="1">IF(ABS(AG34)&gt;Descent!X34,0,Descent!$B$5/TAN(ASIN(AG34/Descent!X34)))</f>
        <v>17679.793230185773</v>
      </c>
      <c r="AI34" s="19">
        <f ca="1">Descent!$B$5/AG34</f>
        <v>530.3785360065491</v>
      </c>
      <c r="AJ34" s="14">
        <f t="shared" ca="1" si="10"/>
        <v>0</v>
      </c>
      <c r="AK34" s="16">
        <f t="shared" ca="1" si="11"/>
        <v>0</v>
      </c>
      <c r="AM34" s="14">
        <f t="shared" ca="1" si="12"/>
        <v>334982.6930739361</v>
      </c>
      <c r="AN34" s="19">
        <f t="shared" ca="1" si="13"/>
        <v>19762.327902536807</v>
      </c>
      <c r="AO34" s="81">
        <f t="shared" ca="1" si="14"/>
        <v>6844357.1445642915</v>
      </c>
      <c r="AP34" s="16">
        <f t="shared" ca="1" si="15"/>
        <v>1901.2103179345254</v>
      </c>
      <c r="AR34" s="19">
        <f>IF($B$10=1,Energy!$B$8/AP34,AB34/3600)</f>
        <v>2</v>
      </c>
      <c r="AS34" s="1">
        <f t="shared" si="1"/>
        <v>0</v>
      </c>
      <c r="AT34" s="69" t="str">
        <f t="shared" si="16"/>
        <v>reduce payload weight or increase battery capacity</v>
      </c>
      <c r="AV34" s="16"/>
      <c r="AW34" s="42"/>
      <c r="AX34" s="42"/>
      <c r="AY34" s="42"/>
      <c r="AZ34" s="20"/>
      <c r="BA34" s="20"/>
      <c r="BB34" s="20"/>
      <c r="BC34" s="19"/>
      <c r="BD34" s="6"/>
      <c r="BE34" s="6"/>
      <c r="BF34" s="16"/>
      <c r="BG34" s="16"/>
      <c r="BH34" s="6"/>
      <c r="BI34" s="16"/>
      <c r="BJ34" s="16"/>
      <c r="BK34" s="16"/>
      <c r="BL34" s="6"/>
      <c r="BM34" s="16"/>
      <c r="BN34" s="16"/>
      <c r="BO34" s="16"/>
      <c r="BP34" s="6"/>
      <c r="BQ34" s="6"/>
    </row>
    <row r="35" spans="2:69">
      <c r="B35" s="90">
        <f ca="1">Main!AC35</f>
        <v>131.66397514989566</v>
      </c>
      <c r="D35" s="19">
        <f ca="1">'Propulsion-Takeoff'!M35/Motor!$H$6</f>
        <v>522.01347350706374</v>
      </c>
      <c r="E35" s="13">
        <f ca="1">Takeoff!$B$8+Takeoff!X35-Takeoff!O35-Takeoff!$B$9*(Takeoff!H35-Takeoff!P35)</f>
        <v>47.609396483671318</v>
      </c>
      <c r="F35" s="13">
        <f ca="1">E35/(B35/ISA!$B$5)</f>
        <v>3.5460625238988563</v>
      </c>
      <c r="G35" s="13">
        <f ca="1">SQRT(2*Takeoff!$B$7/F35)</f>
        <v>6.2833438027191866</v>
      </c>
      <c r="H35" s="81">
        <f t="shared" ca="1" si="2"/>
        <v>3279.9901236965252</v>
      </c>
      <c r="I35" s="16">
        <f t="shared" ca="1" si="3"/>
        <v>0.91110836769347925</v>
      </c>
      <c r="J35" s="19"/>
      <c r="K35" s="19">
        <f ca="1">'Propulsion-RCmax'!M35/Motor!$H$6*0+'Propulsion-RC'!M35/Motor!$H$6</f>
        <v>398.91878630422542</v>
      </c>
      <c r="L35" s="20">
        <f ca="1">'RC'!AB35*0+'RC'!$B$8</f>
        <v>0.5</v>
      </c>
      <c r="M35" s="98">
        <f ca="1">IF(L35&gt;'RC'!X35,0,'RC'!$B$5/TAN(ASIN(L35/'RC'!X35)))</f>
        <v>274348.33828333288</v>
      </c>
      <c r="N35" s="98">
        <f ca="1">'RC'!$B$5/L35</f>
        <v>12000</v>
      </c>
      <c r="O35" s="81">
        <f t="shared" ca="1" si="4"/>
        <v>4787025.4356507054</v>
      </c>
      <c r="P35" s="16">
        <f t="shared" ca="1" si="5"/>
        <v>1329.7292876807514</v>
      </c>
      <c r="Q35" s="16"/>
      <c r="R35" s="19">
        <f ca="1">'Propulsion-Turn'!M35/Motor!$H$6</f>
        <v>381.92632417107905</v>
      </c>
      <c r="S35" s="19">
        <f ca="1">Turn!X35^2/T35</f>
        <v>91.971560418953615</v>
      </c>
      <c r="T35" s="20">
        <f ca="1">Turn!P35*SIN(RADIANS(Turn!$B$8))/(B35/ISA!$B$5)</f>
        <v>5.6858617170193826</v>
      </c>
      <c r="U35" s="19">
        <f ca="1">2*PI()*S35/Turn!X35</f>
        <v>25.270189530375685</v>
      </c>
      <c r="V35" s="14">
        <f t="shared" ca="1" si="6"/>
        <v>9651.3505984428721</v>
      </c>
      <c r="W35" s="16">
        <f t="shared" ca="1" si="7"/>
        <v>2.6809307217896867</v>
      </c>
      <c r="X35" s="16"/>
      <c r="Y35" s="19">
        <f ca="1">'Propulsion-Cruise'!M35/Motor!$H$6</f>
        <v>281.03117137077174</v>
      </c>
      <c r="Z35" s="19">
        <f ca="1">IF($B$10=1,Takeoff!$B$7+M35+AH35,AA35*AB35)</f>
        <v>164648.36427674931</v>
      </c>
      <c r="AA35" s="20">
        <f ca="1">Cruise!X35</f>
        <v>22.867828371672989</v>
      </c>
      <c r="AB35" s="19">
        <f t="shared" si="0"/>
        <v>7200</v>
      </c>
      <c r="AC35" s="81">
        <f t="shared" ca="1" si="8"/>
        <v>2023424.4338695565</v>
      </c>
      <c r="AD35" s="16">
        <f t="shared" ca="1" si="9"/>
        <v>562.06234274154349</v>
      </c>
      <c r="AE35" s="20"/>
      <c r="AF35" s="19">
        <f ca="1">'Propulsion-Descent'!M35/Motor!$H$6</f>
        <v>0</v>
      </c>
      <c r="AG35" s="20">
        <f ca="1">RADIANS(Descent!AB35)*Descent!X35</f>
        <v>1.8451647352232254</v>
      </c>
      <c r="AH35" s="19">
        <f ca="1">IF(ABS(AG35)&gt;Descent!X35,0,Descent!$B$5/TAN(ASIN(AG35/Descent!X35)))</f>
        <v>17791.289801149971</v>
      </c>
      <c r="AI35" s="19">
        <f ca="1">Descent!$B$5/AG35</f>
        <v>541.95703012881472</v>
      </c>
      <c r="AJ35" s="14">
        <f t="shared" ca="1" si="10"/>
        <v>0</v>
      </c>
      <c r="AK35" s="16">
        <f t="shared" ca="1" si="11"/>
        <v>0</v>
      </c>
      <c r="AM35" s="14">
        <f t="shared" ca="1" si="12"/>
        <v>329874.60291060136</v>
      </c>
      <c r="AN35" s="19">
        <f t="shared" ca="1" si="13"/>
        <v>19773.51056346191</v>
      </c>
      <c r="AO35" s="81">
        <f t="shared" ca="1" si="14"/>
        <v>6823381.2102424018</v>
      </c>
      <c r="AP35" s="16">
        <f t="shared" ca="1" si="15"/>
        <v>1895.3836695117782</v>
      </c>
      <c r="AR35" s="19">
        <f>IF($B$10=1,Energy!$B$8/AP35,AB35/3600)</f>
        <v>2</v>
      </c>
      <c r="AS35" s="1">
        <f t="shared" si="1"/>
        <v>0</v>
      </c>
      <c r="AT35" s="69" t="str">
        <f t="shared" si="16"/>
        <v>reduce payload weight or increase battery capacity</v>
      </c>
      <c r="AV35" s="16"/>
      <c r="AW35" s="42"/>
      <c r="AX35" s="42"/>
      <c r="AY35" s="42"/>
      <c r="AZ35" s="20"/>
      <c r="BA35" s="20"/>
      <c r="BB35" s="20"/>
      <c r="BC35" s="19"/>
      <c r="BD35" s="6"/>
      <c r="BE35" s="6"/>
      <c r="BF35" s="16"/>
      <c r="BG35" s="16"/>
      <c r="BH35" s="6"/>
      <c r="BI35" s="16"/>
      <c r="BJ35" s="16"/>
      <c r="BK35" s="16"/>
      <c r="BL35" s="6"/>
      <c r="BM35" s="16"/>
      <c r="BN35" s="16"/>
      <c r="BO35" s="16"/>
      <c r="BP35" s="6"/>
      <c r="BQ35" s="6"/>
    </row>
    <row r="36" spans="2:69">
      <c r="B36" s="90">
        <f ca="1">Main!AC36</f>
        <v>131.71508343743108</v>
      </c>
      <c r="D36" s="19">
        <f ca="1">'Propulsion-Takeoff'!M36/Motor!$H$6</f>
        <v>521.61747554574481</v>
      </c>
      <c r="E36" s="13">
        <f ca="1">Takeoff!$B$8+Takeoff!X36-Takeoff!O36-Takeoff!$B$9*(Takeoff!H36-Takeoff!P36)</f>
        <v>47.686355019321468</v>
      </c>
      <c r="F36" s="13">
        <f ca="1">E36/(B36/ISA!$B$5)</f>
        <v>3.5504164082496641</v>
      </c>
      <c r="G36" s="13">
        <f ca="1">SQRT(2*Takeoff!$B$7/F36)</f>
        <v>6.279489980909629</v>
      </c>
      <c r="H36" s="81">
        <f t="shared" ca="1" si="2"/>
        <v>3275.4917115568778</v>
      </c>
      <c r="I36" s="16">
        <f t="shared" ca="1" si="3"/>
        <v>0.90985880876579939</v>
      </c>
      <c r="J36" s="19"/>
      <c r="K36" s="19">
        <f ca="1">'Propulsion-RCmax'!M36/Motor!$H$6*0+'Propulsion-RC'!M36/Motor!$H$6</f>
        <v>401.97738862475762</v>
      </c>
      <c r="L36" s="20">
        <f ca="1">'RC'!AB36*0+'RC'!$B$8</f>
        <v>0.5</v>
      </c>
      <c r="M36" s="98">
        <f ca="1">IF(L36&gt;'RC'!X36,0,'RC'!$B$5/TAN(ASIN(L36/'RC'!X36)))</f>
        <v>270330.81281266292</v>
      </c>
      <c r="N36" s="98">
        <f ca="1">'RC'!$B$5/L36</f>
        <v>12000</v>
      </c>
      <c r="O36" s="81">
        <f t="shared" ca="1" si="4"/>
        <v>4823728.6634970913</v>
      </c>
      <c r="P36" s="16">
        <f t="shared" ca="1" si="5"/>
        <v>1339.9246287491919</v>
      </c>
      <c r="Q36" s="16"/>
      <c r="R36" s="19">
        <f ca="1">'Propulsion-Turn'!M36/Motor!$H$6</f>
        <v>371.635296615063</v>
      </c>
      <c r="S36" s="19">
        <f ca="1">Turn!X36^2/T36</f>
        <v>89.298185807472592</v>
      </c>
      <c r="T36" s="20">
        <f ca="1">Turn!P36*SIN(RADIANS(Turn!$B$8))/(B36/ISA!$B$5)</f>
        <v>5.6859084363314603</v>
      </c>
      <c r="U36" s="19">
        <f ca="1">2*PI()*S36/Turn!X36</f>
        <v>24.900109412109206</v>
      </c>
      <c r="V36" s="14">
        <f t="shared" ca="1" si="6"/>
        <v>9253.759547116726</v>
      </c>
      <c r="W36" s="16">
        <f t="shared" ca="1" si="7"/>
        <v>2.5704887630879796</v>
      </c>
      <c r="X36" s="16"/>
      <c r="Y36" s="19">
        <f ca="1">'Propulsion-Cruise'!M36/Motor!$H$6</f>
        <v>273.34932608883372</v>
      </c>
      <c r="Z36" s="19">
        <f ca="1">IF($B$10=1,Takeoff!$B$7+M36+AH36,AA36*AB36)</f>
        <v>162238.43382002221</v>
      </c>
      <c r="AA36" s="20">
        <f ca="1">Cruise!X36</f>
        <v>22.533115808238001</v>
      </c>
      <c r="AB36" s="19">
        <f t="shared" si="0"/>
        <v>7200</v>
      </c>
      <c r="AC36" s="81">
        <f t="shared" ca="1" si="8"/>
        <v>1968115.1478396028</v>
      </c>
      <c r="AD36" s="16">
        <f t="shared" ca="1" si="9"/>
        <v>546.69865217766744</v>
      </c>
      <c r="AE36" s="20"/>
      <c r="AF36" s="19">
        <f ca="1">'Propulsion-Descent'!M36/Motor!$H$6</f>
        <v>0</v>
      </c>
      <c r="AG36" s="20">
        <f ca="1">RADIANS(Descent!AB36)*Descent!X36</f>
        <v>1.8076772707164175</v>
      </c>
      <c r="AH36" s="19">
        <f ca="1">IF(ABS(AG36)&gt;Descent!X36,0,Descent!$B$5/TAN(ASIN(AG36/Descent!X36)))</f>
        <v>17894.927894662665</v>
      </c>
      <c r="AI36" s="19">
        <f ca="1">Descent!$B$5/AG36</f>
        <v>553.1960910277312</v>
      </c>
      <c r="AJ36" s="14">
        <f t="shared" ca="1" si="10"/>
        <v>0</v>
      </c>
      <c r="AK36" s="16">
        <f t="shared" ca="1" si="11"/>
        <v>0</v>
      </c>
      <c r="AM36" s="14">
        <f t="shared" ca="1" si="12"/>
        <v>325037.94468906772</v>
      </c>
      <c r="AN36" s="19">
        <f t="shared" ca="1" si="13"/>
        <v>19784.375690420751</v>
      </c>
      <c r="AO36" s="81">
        <f t="shared" ca="1" si="14"/>
        <v>6804373.0625953684</v>
      </c>
      <c r="AP36" s="16">
        <f t="shared" ca="1" si="15"/>
        <v>1890.1036284987135</v>
      </c>
      <c r="AR36" s="19">
        <f>IF($B$10=1,Energy!$B$8/AP36,AB36/3600)</f>
        <v>2</v>
      </c>
      <c r="AS36" s="1">
        <f t="shared" si="1"/>
        <v>0</v>
      </c>
      <c r="AT36" s="69" t="str">
        <f t="shared" si="16"/>
        <v>reduce payload weight or increase battery capacity</v>
      </c>
      <c r="AV36" s="16"/>
      <c r="AW36" s="42"/>
      <c r="AX36" s="42"/>
      <c r="AY36" s="42"/>
      <c r="AZ36" s="20"/>
      <c r="BA36" s="20"/>
      <c r="BB36" s="20"/>
      <c r="BC36" s="19"/>
      <c r="BD36" s="6"/>
      <c r="BE36" s="6"/>
      <c r="BF36" s="16"/>
      <c r="BG36" s="16"/>
      <c r="BH36" s="6"/>
      <c r="BI36" s="16"/>
      <c r="BJ36" s="16"/>
      <c r="BK36" s="16"/>
      <c r="BL36" s="6"/>
      <c r="BM36" s="16"/>
      <c r="BN36" s="16"/>
      <c r="BO36" s="16"/>
      <c r="BP36" s="6"/>
      <c r="BQ36" s="6"/>
    </row>
    <row r="37" spans="2:69">
      <c r="B37" s="90">
        <f ca="1">Main!AC37</f>
        <v>131.79789717184198</v>
      </c>
      <c r="D37" s="19">
        <f ca="1">'Propulsion-Takeoff'!M37/Motor!$H$6</f>
        <v>521.25149873822227</v>
      </c>
      <c r="E37" s="13">
        <f ca="1">Takeoff!$B$8+Takeoff!X37-Takeoff!O37-Takeoff!$B$9*(Takeoff!H37-Takeoff!P37)</f>
        <v>47.759336634822553</v>
      </c>
      <c r="F37" s="13">
        <f ca="1">E37/(B37/ISA!$B$5)</f>
        <v>3.5536158668694249</v>
      </c>
      <c r="G37" s="13">
        <f ca="1">SQRT(2*Takeoff!$B$7/F37)</f>
        <v>6.2766625097778341</v>
      </c>
      <c r="H37" s="81">
        <f t="shared" ca="1" si="2"/>
        <v>3271.7197402957077</v>
      </c>
      <c r="I37" s="16">
        <f t="shared" ca="1" si="3"/>
        <v>0.90881103897102988</v>
      </c>
      <c r="J37" s="19"/>
      <c r="K37" s="19">
        <f ca="1">'Propulsion-RCmax'!M37/Motor!$H$6*0+'Propulsion-RC'!M37/Motor!$H$6</f>
        <v>404.80665624123122</v>
      </c>
      <c r="L37" s="20">
        <f ca="1">'RC'!AB37*0+'RC'!$B$8</f>
        <v>0.5</v>
      </c>
      <c r="M37" s="98">
        <f ca="1">IF(L37&gt;'RC'!X37,0,'RC'!$B$5/TAN(ASIN(L37/'RC'!X37)))</f>
        <v>266519.73051561194</v>
      </c>
      <c r="N37" s="98">
        <f ca="1">'RC'!$B$5/L37</f>
        <v>12000</v>
      </c>
      <c r="O37" s="81">
        <f t="shared" ca="1" si="4"/>
        <v>4857679.8748947745</v>
      </c>
      <c r="P37" s="16">
        <f t="shared" ca="1" si="5"/>
        <v>1349.3555208041041</v>
      </c>
      <c r="Q37" s="16"/>
      <c r="R37" s="19">
        <f ca="1">'Propulsion-Turn'!M37/Motor!$H$6</f>
        <v>362.17111932404879</v>
      </c>
      <c r="S37" s="19">
        <f ca="1">Turn!X37^2/T37</f>
        <v>86.798683978023973</v>
      </c>
      <c r="T37" s="20">
        <f ca="1">Turn!P37*SIN(RADIANS(Turn!$B$8))/(B37/ISA!$B$5)</f>
        <v>5.6859514435539893</v>
      </c>
      <c r="U37" s="19">
        <f ca="1">2*PI()*S37/Turn!X37</f>
        <v>24.549059885598652</v>
      </c>
      <c r="V37" s="14">
        <f t="shared" ca="1" si="6"/>
        <v>8890.960497120368</v>
      </c>
      <c r="W37" s="16">
        <f t="shared" ca="1" si="7"/>
        <v>2.4697112492001021</v>
      </c>
      <c r="X37" s="16"/>
      <c r="Y37" s="19">
        <f ca="1">'Propulsion-Cruise'!M37/Motor!$H$6</f>
        <v>266.28674810566855</v>
      </c>
      <c r="Z37" s="19">
        <f ca="1">IF($B$10=1,Takeoff!$B$7+M37+AH37,AA37*AB37)</f>
        <v>159952.35550534827</v>
      </c>
      <c r="AA37" s="20">
        <f ca="1">Cruise!X37</f>
        <v>22.215604931199326</v>
      </c>
      <c r="AB37" s="19">
        <f t="shared" si="0"/>
        <v>7200</v>
      </c>
      <c r="AC37" s="81">
        <f t="shared" ca="1" si="8"/>
        <v>1917264.5863608136</v>
      </c>
      <c r="AD37" s="16">
        <f t="shared" ca="1" si="9"/>
        <v>532.5734962113371</v>
      </c>
      <c r="AE37" s="20"/>
      <c r="AF37" s="19">
        <f ca="1">'Propulsion-Descent'!M37/Motor!$H$6</f>
        <v>0</v>
      </c>
      <c r="AG37" s="20">
        <f ca="1">RADIANS(Descent!AB37)*Descent!X37</f>
        <v>1.7727083315212104</v>
      </c>
      <c r="AH37" s="19">
        <f ca="1">IF(ABS(AG37)&gt;Descent!X37,0,Descent!$B$5/TAN(ASIN(AG37/Descent!X37)))</f>
        <v>17991.252709687196</v>
      </c>
      <c r="AI37" s="19">
        <f ca="1">Descent!$B$5/AG37</f>
        <v>564.10859148040004</v>
      </c>
      <c r="AJ37" s="14">
        <f t="shared" ca="1" si="10"/>
        <v>0</v>
      </c>
      <c r="AK37" s="16">
        <f t="shared" ca="1" si="11"/>
        <v>0</v>
      </c>
      <c r="AM37" s="14">
        <f t="shared" ca="1" si="12"/>
        <v>320450.08322654979</v>
      </c>
      <c r="AN37" s="19">
        <f t="shared" ca="1" si="13"/>
        <v>19794.934313875776</v>
      </c>
      <c r="AO37" s="81">
        <f t="shared" ca="1" si="14"/>
        <v>6787107.1414930038</v>
      </c>
      <c r="AP37" s="16">
        <f t="shared" ca="1" si="15"/>
        <v>1885.3075393036122</v>
      </c>
      <c r="AR37" s="19">
        <f>IF($B$10=1,Energy!$B$8/AP37,AB37/3600)</f>
        <v>2</v>
      </c>
      <c r="AS37" s="1">
        <f t="shared" si="1"/>
        <v>0</v>
      </c>
      <c r="AT37" s="69" t="str">
        <f t="shared" si="16"/>
        <v>reduce payload weight or increase battery capacity</v>
      </c>
      <c r="AV37" s="16"/>
      <c r="AW37" s="42"/>
      <c r="AX37" s="42"/>
      <c r="AY37" s="42"/>
      <c r="AZ37" s="20"/>
      <c r="BA37" s="20"/>
      <c r="BB37" s="20"/>
      <c r="BC37" s="19"/>
      <c r="BD37" s="6"/>
      <c r="BE37" s="6"/>
      <c r="BF37" s="16"/>
      <c r="BG37" s="16"/>
      <c r="BH37" s="6"/>
      <c r="BI37" s="16"/>
      <c r="BJ37" s="16"/>
      <c r="BK37" s="16"/>
      <c r="BL37" s="6"/>
      <c r="BM37" s="16"/>
      <c r="BN37" s="16"/>
      <c r="BO37" s="16"/>
      <c r="BP37" s="6"/>
      <c r="BQ37" s="6"/>
    </row>
    <row r="38" spans="2:69">
      <c r="B38" s="90">
        <f ca="1">Main!AC38</f>
        <v>131.90942506193599</v>
      </c>
      <c r="D38" s="19">
        <f ca="1">'Propulsion-Takeoff'!M38/Motor!$H$6</f>
        <v>520.91243901441476</v>
      </c>
      <c r="E38" s="13">
        <f ca="1">Takeoff!$B$8+Takeoff!X38-Takeoff!O38-Takeoff!$B$9*(Takeoff!H38-Takeoff!P38)</f>
        <v>47.828653553028218</v>
      </c>
      <c r="F38" s="13">
        <f ca="1">E38/(B38/ISA!$B$5)</f>
        <v>3.5557646100388531</v>
      </c>
      <c r="G38" s="13">
        <f ca="1">SQRT(2*Takeoff!$B$7/F38)</f>
        <v>6.2747657343548786</v>
      </c>
      <c r="H38" s="81">
        <f t="shared" ca="1" si="2"/>
        <v>3268.603522926875</v>
      </c>
      <c r="I38" s="16">
        <f t="shared" ca="1" si="3"/>
        <v>0.90794542303524306</v>
      </c>
      <c r="J38" s="19"/>
      <c r="K38" s="19">
        <f ca="1">'Propulsion-RCmax'!M38/Motor!$H$6*0+'Propulsion-RC'!M38/Motor!$H$6</f>
        <v>407.43030731746819</v>
      </c>
      <c r="L38" s="20">
        <f ca="1">'RC'!AB38*0+'RC'!$B$8</f>
        <v>0.5</v>
      </c>
      <c r="M38" s="98">
        <f ca="1">IF(L38&gt;'RC'!X38,0,'RC'!$B$5/TAN(ASIN(L38/'RC'!X38)))</f>
        <v>262898.50809952192</v>
      </c>
      <c r="N38" s="98">
        <f ca="1">'RC'!$B$5/L38</f>
        <v>12000</v>
      </c>
      <c r="O38" s="81">
        <f t="shared" ca="1" si="4"/>
        <v>4889163.6878096182</v>
      </c>
      <c r="P38" s="16">
        <f t="shared" ca="1" si="5"/>
        <v>1358.1010243915607</v>
      </c>
      <c r="Q38" s="16"/>
      <c r="R38" s="19">
        <f ca="1">'Propulsion-Turn'!M38/Motor!$H$6</f>
        <v>353.4463644332194</v>
      </c>
      <c r="S38" s="19">
        <f ca="1">Turn!X38^2/T38</f>
        <v>84.456625246736778</v>
      </c>
      <c r="T38" s="20">
        <f ca="1">Turn!P38*SIN(RADIANS(Turn!$B$8))/(B38/ISA!$B$5)</f>
        <v>5.6859911292026943</v>
      </c>
      <c r="U38" s="19">
        <f ca="1">2*PI()*S38/Turn!X38</f>
        <v>24.215511182558558</v>
      </c>
      <c r="V38" s="14">
        <f t="shared" ca="1" si="6"/>
        <v>8558.8843903672914</v>
      </c>
      <c r="W38" s="16">
        <f t="shared" ca="1" si="7"/>
        <v>2.3774678862131364</v>
      </c>
      <c r="X38" s="16"/>
      <c r="Y38" s="19">
        <f ca="1">'Propulsion-Cruise'!M38/Motor!$H$6</f>
        <v>259.77783932761542</v>
      </c>
      <c r="Z38" s="19">
        <f ca="1">IF($B$10=1,Takeoff!$B$7+M38+AH38,AA38*AB38)</f>
        <v>157780.18000423838</v>
      </c>
      <c r="AA38" s="20">
        <f ca="1">Cruise!X38</f>
        <v>21.913913889377955</v>
      </c>
      <c r="AB38" s="19">
        <f t="shared" si="0"/>
        <v>7200</v>
      </c>
      <c r="AC38" s="81">
        <f t="shared" ca="1" si="8"/>
        <v>1870400.443158831</v>
      </c>
      <c r="AD38" s="16">
        <f t="shared" ca="1" si="9"/>
        <v>519.55567865523085</v>
      </c>
      <c r="AE38" s="20"/>
      <c r="AF38" s="19">
        <f ca="1">'Propulsion-Descent'!M38/Motor!$H$6</f>
        <v>0</v>
      </c>
      <c r="AG38" s="20">
        <f ca="1">RADIANS(Descent!AB38)*Descent!X38</f>
        <v>1.7400177876669305</v>
      </c>
      <c r="AH38" s="19">
        <f ca="1">IF(ABS(AG38)&gt;Descent!X38,0,Descent!$B$5/TAN(ASIN(AG38/Descent!X38)))</f>
        <v>18080.767104067978</v>
      </c>
      <c r="AI38" s="19">
        <f ca="1">Descent!$B$5/AG38</f>
        <v>574.70676856748162</v>
      </c>
      <c r="AJ38" s="14">
        <f t="shared" ca="1" si="10"/>
        <v>0</v>
      </c>
      <c r="AK38" s="16">
        <f t="shared" ca="1" si="11"/>
        <v>0</v>
      </c>
      <c r="AM38" s="14">
        <f t="shared" ca="1" si="12"/>
        <v>316091.01663532102</v>
      </c>
      <c r="AN38" s="19">
        <f t="shared" ca="1" si="13"/>
        <v>19805.197045484394</v>
      </c>
      <c r="AO38" s="81">
        <f t="shared" ca="1" si="14"/>
        <v>6771391.6188817434</v>
      </c>
      <c r="AP38" s="16">
        <f t="shared" ca="1" si="15"/>
        <v>1880.9421163560398</v>
      </c>
      <c r="AR38" s="19">
        <f>IF($B$10=1,Energy!$B$8/AP38,AB38/3600)</f>
        <v>2</v>
      </c>
      <c r="AS38" s="1">
        <f t="shared" si="1"/>
        <v>0</v>
      </c>
      <c r="AT38" s="69" t="str">
        <f t="shared" si="16"/>
        <v>reduce payload weight or increase battery capacity</v>
      </c>
      <c r="AV38" s="16"/>
      <c r="AW38" s="42"/>
      <c r="AX38" s="42"/>
      <c r="AY38" s="42"/>
      <c r="AZ38" s="20"/>
      <c r="BA38" s="20"/>
      <c r="BB38" s="20"/>
      <c r="BC38" s="19"/>
      <c r="BD38" s="6"/>
      <c r="BE38" s="6"/>
      <c r="BF38" s="16"/>
      <c r="BG38" s="16"/>
      <c r="BH38" s="6"/>
      <c r="BI38" s="16"/>
      <c r="BJ38" s="16"/>
      <c r="BK38" s="16"/>
      <c r="BL38" s="6"/>
      <c r="BM38" s="16"/>
      <c r="BN38" s="16"/>
      <c r="BO38" s="16"/>
      <c r="BP38" s="6"/>
      <c r="BQ38" s="6"/>
    </row>
    <row r="39" spans="2:69">
      <c r="B39" s="90">
        <f ca="1">Main!AC39</f>
        <v>132.04710507840423</v>
      </c>
      <c r="D39" s="19">
        <f ca="1">'Propulsion-Takeoff'!M39/Motor!$H$6</f>
        <v>520.59759894034607</v>
      </c>
      <c r="E39" s="13">
        <f ca="1">Takeoff!$B$8+Takeoff!X39-Takeoff!O39-Takeoff!$B$9*(Takeoff!H39-Takeoff!P39)</f>
        <v>47.894585217672038</v>
      </c>
      <c r="F39" s="13">
        <f ca="1">E39/(B39/ISA!$B$5)</f>
        <v>3.5569536632098315</v>
      </c>
      <c r="G39" s="13">
        <f ca="1">SQRT(2*Takeoff!$B$7/F39)</f>
        <v>6.2737168517377837</v>
      </c>
      <c r="H39" s="81">
        <f t="shared" ca="1" si="2"/>
        <v>3266.0819294462772</v>
      </c>
      <c r="I39" s="16">
        <f t="shared" ca="1" si="3"/>
        <v>0.90724498040174362</v>
      </c>
      <c r="J39" s="19"/>
      <c r="K39" s="19">
        <f ca="1">'Propulsion-RCmax'!M39/Motor!$H$6*0+'Propulsion-RC'!M39/Motor!$H$6</f>
        <v>409.86893356826903</v>
      </c>
      <c r="L39" s="20">
        <f ca="1">'RC'!AB39*0+'RC'!$B$8</f>
        <v>0.5</v>
      </c>
      <c r="M39" s="98">
        <f ca="1">IF(L39&gt;'RC'!X39,0,'RC'!$B$5/TAN(ASIN(L39/'RC'!X39)))</f>
        <v>259452.42045832967</v>
      </c>
      <c r="N39" s="98">
        <f ca="1">'RC'!$B$5/L39</f>
        <v>12000</v>
      </c>
      <c r="O39" s="81">
        <f t="shared" ca="1" si="4"/>
        <v>4918427.2028192282</v>
      </c>
      <c r="P39" s="16">
        <f t="shared" ca="1" si="5"/>
        <v>1366.2297785608966</v>
      </c>
      <c r="Q39" s="16"/>
      <c r="R39" s="19">
        <f ca="1">'Propulsion-Turn'!M39/Motor!$H$6</f>
        <v>345.38556446825135</v>
      </c>
      <c r="S39" s="19">
        <f ca="1">Turn!X39^2/T39</f>
        <v>82.257626915013503</v>
      </c>
      <c r="T39" s="20">
        <f ca="1">Turn!P39*SIN(RADIANS(Turn!$B$8))/(B39/ISA!$B$5)</f>
        <v>5.6860278331429255</v>
      </c>
      <c r="U39" s="19">
        <f ca="1">2*PI()*S39/Turn!X39</f>
        <v>23.898105050014959</v>
      </c>
      <c r="V39" s="14">
        <f t="shared" ca="1" si="6"/>
        <v>8254.0605024209854</v>
      </c>
      <c r="W39" s="16">
        <f t="shared" ca="1" si="7"/>
        <v>2.2927945840058293</v>
      </c>
      <c r="X39" s="16"/>
      <c r="Y39" s="19">
        <f ca="1">'Propulsion-Cruise'!M39/Motor!$H$6</f>
        <v>253.76597235022768</v>
      </c>
      <c r="Z39" s="19">
        <f ca="1">IF($B$10=1,Takeoff!$B$7+M39+AH39,AA39*AB39)</f>
        <v>155713.07284114379</v>
      </c>
      <c r="AA39" s="20">
        <f ca="1">Cruise!X39</f>
        <v>21.626815672280991</v>
      </c>
      <c r="AB39" s="19">
        <f t="shared" si="0"/>
        <v>7200</v>
      </c>
      <c r="AC39" s="81">
        <f t="shared" ca="1" si="8"/>
        <v>1827115.0009216394</v>
      </c>
      <c r="AD39" s="16">
        <f t="shared" ca="1" si="9"/>
        <v>507.53194470045537</v>
      </c>
      <c r="AE39" s="20"/>
      <c r="AF39" s="19">
        <f ca="1">'Propulsion-Descent'!M39/Motor!$H$6</f>
        <v>0</v>
      </c>
      <c r="AG39" s="20">
        <f ca="1">RADIANS(Descent!AB39)*Descent!X39</f>
        <v>1.7093950896755656</v>
      </c>
      <c r="AH39" s="19">
        <f ca="1">IF(ABS(AG39)&gt;Descent!X39,0,Descent!$B$5/TAN(ASIN(AG39/Descent!X39)))</f>
        <v>18163.93525752319</v>
      </c>
      <c r="AI39" s="19">
        <f ca="1">Descent!$B$5/AG39</f>
        <v>585.00226544455256</v>
      </c>
      <c r="AJ39" s="14">
        <f t="shared" ca="1" si="10"/>
        <v>0</v>
      </c>
      <c r="AK39" s="16">
        <f t="shared" ca="1" si="11"/>
        <v>0</v>
      </c>
      <c r="AM39" s="14">
        <f t="shared" ca="1" si="12"/>
        <v>311942.98559512343</v>
      </c>
      <c r="AN39" s="19">
        <f t="shared" ca="1" si="13"/>
        <v>19815.174087346306</v>
      </c>
      <c r="AO39" s="81">
        <f t="shared" ca="1" si="14"/>
        <v>6757062.3461727351</v>
      </c>
      <c r="AP39" s="16">
        <f t="shared" ca="1" si="15"/>
        <v>1876.9617628257597</v>
      </c>
      <c r="AR39" s="19">
        <f>IF($B$10=1,Energy!$B$8/AP39,AB39/3600)</f>
        <v>2</v>
      </c>
      <c r="AS39" s="1">
        <f t="shared" si="1"/>
        <v>0</v>
      </c>
      <c r="AT39" s="69" t="str">
        <f t="shared" si="16"/>
        <v>reduce payload weight or increase battery capacity</v>
      </c>
      <c r="AV39" s="16"/>
      <c r="AW39" s="42"/>
      <c r="AX39" s="42"/>
      <c r="AY39" s="42"/>
      <c r="AZ39" s="20"/>
      <c r="BA39" s="20"/>
      <c r="BB39" s="20"/>
      <c r="BC39" s="19"/>
      <c r="BD39" s="6"/>
      <c r="BE39" s="6"/>
      <c r="BF39" s="16"/>
      <c r="BG39" s="16"/>
      <c r="BH39" s="6"/>
      <c r="BI39" s="16"/>
      <c r="BJ39" s="16"/>
      <c r="BK39" s="16"/>
      <c r="BL39" s="6"/>
      <c r="BM39" s="16"/>
      <c r="BN39" s="16"/>
      <c r="BO39" s="16"/>
      <c r="BP39" s="6"/>
      <c r="BQ39" s="6"/>
    </row>
    <row r="40" spans="2:69">
      <c r="B40" s="90">
        <f ca="1">Main!AC40</f>
        <v>109.48016672982719</v>
      </c>
      <c r="D40" s="19">
        <f ca="1">'Propulsion-Takeoff'!M40/Motor!$H$6</f>
        <v>518.49094862344657</v>
      </c>
      <c r="E40" s="13">
        <f ca="1">Takeoff!$B$8+Takeoff!X40-Takeoff!O40-Takeoff!$B$9*(Takeoff!H40-Takeoff!P40)</f>
        <v>48.393555871815124</v>
      </c>
      <c r="F40" s="13">
        <f ca="1">E40/(B40/ISA!$B$5)</f>
        <v>4.3348368829350692</v>
      </c>
      <c r="G40" s="13">
        <f ca="1">SQRT(2*Takeoff!$B$7/F40)</f>
        <v>5.6829997623997368</v>
      </c>
      <c r="H40" s="81">
        <f t="shared" ca="1" si="2"/>
        <v>2946.5839378334608</v>
      </c>
      <c r="I40" s="16">
        <f t="shared" ca="1" si="3"/>
        <v>0.81849553828707244</v>
      </c>
      <c r="J40" s="19"/>
      <c r="K40" s="19">
        <f ca="1">'Propulsion-RCmax'!M40/Motor!$H$6*0+'Propulsion-RC'!M40/Motor!$H$6</f>
        <v>326.61210242092534</v>
      </c>
      <c r="L40" s="20">
        <f ca="1">'RC'!AB40*0+'RC'!$B$8</f>
        <v>0.5</v>
      </c>
      <c r="M40" s="98">
        <f ca="1">IF(L40&gt;'RC'!X40,0,'RC'!$B$5/TAN(ASIN(L40/'RC'!X40)))</f>
        <v>233100.2483268379</v>
      </c>
      <c r="N40" s="98">
        <f ca="1">'RC'!$B$5/L40</f>
        <v>12000</v>
      </c>
      <c r="O40" s="81">
        <f t="shared" ca="1" si="4"/>
        <v>3919345.2290511043</v>
      </c>
      <c r="P40" s="16">
        <f t="shared" ca="1" si="5"/>
        <v>1088.7070080697513</v>
      </c>
      <c r="Q40" s="16"/>
      <c r="R40" s="19">
        <f ca="1">'Propulsion-Turn'!M40/Motor!$H$6</f>
        <v>261.85619316687678</v>
      </c>
      <c r="S40" s="19">
        <f ca="1">Turn!X40^2/T40</f>
        <v>66.402043362245152</v>
      </c>
      <c r="T40" s="20">
        <f ca="1">Turn!P40*SIN(RADIANS(Turn!$B$8))/(B40/ISA!$B$5)</f>
        <v>5.686405751050823</v>
      </c>
      <c r="U40" s="19">
        <f ca="1">2*PI()*S40/Turn!X40</f>
        <v>21.470967859092031</v>
      </c>
      <c r="V40" s="14">
        <f t="shared" ca="1" si="6"/>
        <v>5622.3059071902053</v>
      </c>
      <c r="W40" s="16">
        <f t="shared" ca="1" si="7"/>
        <v>1.5617516408861682</v>
      </c>
      <c r="X40" s="16"/>
      <c r="Y40" s="19">
        <f ca="1">'Propulsion-Cruise'!M40/Motor!$H$6</f>
        <v>193.71952315238843</v>
      </c>
      <c r="Z40" s="19">
        <f ca="1">IF($B$10=1,Takeoff!$B$7+M40+AH40,AA40*AB40)</f>
        <v>139907.8835616881</v>
      </c>
      <c r="AA40" s="20">
        <f ca="1">Cruise!X40</f>
        <v>19.43145462796252</v>
      </c>
      <c r="AB40" s="19">
        <f t="shared" si="0"/>
        <v>7200</v>
      </c>
      <c r="AC40" s="81">
        <f t="shared" ca="1" si="8"/>
        <v>1394780.5666971968</v>
      </c>
      <c r="AD40" s="16">
        <f t="shared" ca="1" si="9"/>
        <v>387.43904630477687</v>
      </c>
      <c r="AE40" s="20"/>
      <c r="AF40" s="19">
        <f ca="1">'Propulsion-Descent'!M40/Motor!$H$6</f>
        <v>0</v>
      </c>
      <c r="AG40" s="20">
        <f ca="1">RADIANS(Descent!AB40)*Descent!X40</f>
        <v>1.5817630144524826</v>
      </c>
      <c r="AH40" s="19">
        <f ca="1">IF(ABS(AG40)&gt;Descent!X40,0,Descent!$B$5/TAN(ASIN(AG40/Descent!X40)))</f>
        <v>17635.458236319657</v>
      </c>
      <c r="AI40" s="19">
        <f ca="1">Descent!$B$5/AG40</f>
        <v>632.20595681088412</v>
      </c>
      <c r="AJ40" s="14">
        <f t="shared" ca="1" si="10"/>
        <v>0</v>
      </c>
      <c r="AK40" s="16">
        <f t="shared" ca="1" si="11"/>
        <v>0</v>
      </c>
      <c r="AM40" s="14">
        <f t="shared" ca="1" si="12"/>
        <v>280232.98346659658</v>
      </c>
      <c r="AN40" s="19">
        <f t="shared" ca="1" si="13"/>
        <v>19859.359924432374</v>
      </c>
      <c r="AO40" s="81">
        <f t="shared" ca="1" si="14"/>
        <v>5322694.6855933247</v>
      </c>
      <c r="AP40" s="16">
        <f t="shared" ca="1" si="15"/>
        <v>1478.5263015537014</v>
      </c>
      <c r="AR40" s="19">
        <f>IF($B$10=1,Energy!$B$8/AP40,AB40/3600)</f>
        <v>2</v>
      </c>
      <c r="AS40" s="1">
        <f t="shared" si="1"/>
        <v>0</v>
      </c>
      <c r="AT40" s="69" t="str">
        <f t="shared" si="16"/>
        <v>reduce payload weight or increase battery capacity</v>
      </c>
      <c r="AV40" s="16"/>
      <c r="AW40" s="42"/>
      <c r="AX40" s="42"/>
      <c r="AY40" s="42"/>
      <c r="AZ40" s="20"/>
      <c r="BA40" s="20"/>
      <c r="BB40" s="20"/>
      <c r="BC40" s="19"/>
      <c r="BD40" s="6"/>
      <c r="BE40" s="6"/>
      <c r="BF40" s="16"/>
      <c r="BG40" s="16"/>
      <c r="BH40" s="6"/>
      <c r="BI40" s="16"/>
      <c r="BJ40" s="16"/>
      <c r="BK40" s="16"/>
      <c r="BL40" s="6"/>
      <c r="BM40" s="16"/>
      <c r="BN40" s="16"/>
      <c r="BO40" s="16"/>
      <c r="BP40" s="6"/>
      <c r="BQ40" s="6"/>
    </row>
    <row r="41" spans="2:69"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</row>
    <row r="42" spans="2:69">
      <c r="D42" s="4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</row>
    <row r="43" spans="2:69"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</row>
    <row r="44" spans="2:69">
      <c r="I44" s="14"/>
      <c r="M44" s="1"/>
      <c r="N44" s="1"/>
      <c r="O44" s="1"/>
      <c r="P44" s="1"/>
    </row>
    <row r="45" spans="2:69">
      <c r="I45" s="14"/>
    </row>
    <row r="46" spans="2:69">
      <c r="I46" s="14"/>
    </row>
    <row r="47" spans="2:69">
      <c r="I47" s="14"/>
    </row>
    <row r="48" spans="2:69">
      <c r="I48" s="14"/>
    </row>
    <row r="49" spans="9:9">
      <c r="I49" s="14"/>
    </row>
    <row r="50" spans="9:9">
      <c r="I50" s="14"/>
    </row>
    <row r="51" spans="9:9">
      <c r="I51" s="14"/>
    </row>
    <row r="52" spans="9:9">
      <c r="I52" s="14"/>
    </row>
    <row r="53" spans="9:9">
      <c r="I53" s="14"/>
    </row>
    <row r="54" spans="9:9">
      <c r="I54" s="14"/>
    </row>
    <row r="55" spans="9:9">
      <c r="I55" s="14"/>
    </row>
    <row r="56" spans="9:9">
      <c r="I56" s="14"/>
    </row>
    <row r="57" spans="9:9">
      <c r="I57" s="14"/>
    </row>
    <row r="58" spans="9:9">
      <c r="I58" s="14"/>
    </row>
    <row r="59" spans="9:9">
      <c r="I59" s="14"/>
    </row>
    <row r="60" spans="9:9">
      <c r="I60" s="14"/>
    </row>
    <row r="61" spans="9:9">
      <c r="I61" s="14"/>
    </row>
    <row r="62" spans="9:9">
      <c r="I62" s="14"/>
    </row>
    <row r="63" spans="9:9">
      <c r="I63" s="14"/>
    </row>
  </sheetData>
  <phoneticPr fontId="19" type="noConversion"/>
  <pageMargins left="0.75" right="0.75" top="1" bottom="1" header="0.5" footer="0.5"/>
  <pageSetup paperSize="9" orientation="portrait" horizontalDpi="4294967293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BO63"/>
  <sheetViews>
    <sheetView zoomScale="90" workbookViewId="0">
      <selection activeCell="B8" sqref="B8"/>
    </sheetView>
  </sheetViews>
  <sheetFormatPr defaultRowHeight="12.75"/>
  <cols>
    <col min="42" max="42" width="9.42578125" customWidth="1"/>
  </cols>
  <sheetData>
    <row r="1" spans="1:67">
      <c r="A1" s="17" t="s">
        <v>467</v>
      </c>
    </row>
    <row r="3" spans="1:67">
      <c r="A3" t="s">
        <v>270</v>
      </c>
    </row>
    <row r="4" spans="1:67">
      <c r="A4" s="17"/>
    </row>
    <row r="5" spans="1:67">
      <c r="A5" s="64" t="s">
        <v>292</v>
      </c>
      <c r="B5" s="6">
        <f>Cruise!B5</f>
        <v>1000</v>
      </c>
      <c r="C5" s="3" t="s">
        <v>4</v>
      </c>
      <c r="F5" s="6"/>
      <c r="G5" s="6"/>
      <c r="H5" s="6"/>
    </row>
    <row r="6" spans="1:67">
      <c r="A6" t="s">
        <v>28</v>
      </c>
      <c r="B6">
        <f>Takeoff!B5+B5</f>
        <v>1000</v>
      </c>
      <c r="C6" t="s">
        <v>4</v>
      </c>
      <c r="E6" s="16"/>
      <c r="F6" s="6"/>
      <c r="G6" s="16"/>
      <c r="H6" s="6"/>
    </row>
    <row r="7" spans="1:67">
      <c r="A7" s="3" t="s">
        <v>29</v>
      </c>
      <c r="B7" s="1">
        <f>ISA!R8</f>
        <v>0.65969672852566186</v>
      </c>
      <c r="C7" s="3" t="s">
        <v>30</v>
      </c>
      <c r="D7" s="16"/>
    </row>
    <row r="8" spans="1:67">
      <c r="A8" s="64" t="s">
        <v>470</v>
      </c>
      <c r="B8" s="12">
        <v>5</v>
      </c>
      <c r="C8" s="64" t="s">
        <v>303</v>
      </c>
      <c r="D8" s="46" t="s">
        <v>158</v>
      </c>
    </row>
    <row r="10" spans="1:67">
      <c r="A10" s="64"/>
      <c r="B10" s="16"/>
    </row>
    <row r="15" spans="1:67">
      <c r="B15" t="s">
        <v>279</v>
      </c>
      <c r="F15" t="s">
        <v>273</v>
      </c>
      <c r="H15" t="s">
        <v>277</v>
      </c>
      <c r="J15" t="s">
        <v>278</v>
      </c>
      <c r="U15" t="s">
        <v>286</v>
      </c>
      <c r="Z15" t="s">
        <v>268</v>
      </c>
      <c r="AB15" t="s">
        <v>288</v>
      </c>
    </row>
    <row r="16" spans="1:67"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42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</row>
    <row r="17" spans="2:67"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</row>
    <row r="18" spans="2:67">
      <c r="B18" s="9" t="s">
        <v>280</v>
      </c>
      <c r="C18" s="9" t="s">
        <v>281</v>
      </c>
      <c r="D18" s="9" t="s">
        <v>282</v>
      </c>
      <c r="F18" s="9" t="s">
        <v>29</v>
      </c>
      <c r="H18" s="9" t="s">
        <v>34</v>
      </c>
      <c r="J18" s="9" t="s">
        <v>283</v>
      </c>
      <c r="K18" s="9" t="s">
        <v>54</v>
      </c>
      <c r="L18" s="9" t="s">
        <v>284</v>
      </c>
      <c r="M18" s="9" t="s">
        <v>285</v>
      </c>
      <c r="N18" s="9" t="s">
        <v>0</v>
      </c>
      <c r="O18" s="9" t="s">
        <v>55</v>
      </c>
      <c r="P18" s="9" t="s">
        <v>56</v>
      </c>
      <c r="Q18" s="9" t="s">
        <v>57</v>
      </c>
      <c r="R18" s="9" t="s">
        <v>58</v>
      </c>
      <c r="S18" s="9" t="s">
        <v>59</v>
      </c>
      <c r="U18" s="9" t="s">
        <v>198</v>
      </c>
      <c r="V18" s="92" t="s">
        <v>298</v>
      </c>
      <c r="W18" s="92" t="s">
        <v>295</v>
      </c>
      <c r="X18" s="9" t="s">
        <v>40</v>
      </c>
      <c r="Y18" s="9"/>
      <c r="Z18" s="9" t="s">
        <v>141</v>
      </c>
      <c r="AA18" s="23"/>
      <c r="AB18" s="47" t="s">
        <v>470</v>
      </c>
      <c r="AC18" s="68" t="s">
        <v>323</v>
      </c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6"/>
      <c r="BE18" s="6"/>
      <c r="BF18" s="23"/>
      <c r="BG18" s="23"/>
      <c r="BH18" s="6"/>
      <c r="BI18" s="23"/>
      <c r="BJ18" s="23"/>
      <c r="BK18" s="23"/>
      <c r="BL18" s="6"/>
      <c r="BM18" s="23"/>
      <c r="BN18" s="23"/>
      <c r="BO18" s="23"/>
    </row>
    <row r="19" spans="2:67">
      <c r="B19" s="9" t="s">
        <v>4</v>
      </c>
      <c r="C19" s="9" t="s">
        <v>4</v>
      </c>
      <c r="D19" s="9" t="s">
        <v>43</v>
      </c>
      <c r="F19" s="9" t="s">
        <v>30</v>
      </c>
      <c r="H19" s="9" t="s">
        <v>35</v>
      </c>
      <c r="J19" s="9"/>
      <c r="K19" s="9"/>
      <c r="L19" s="9"/>
      <c r="M19" s="9"/>
      <c r="N19" s="9"/>
      <c r="P19" s="9" t="s">
        <v>35</v>
      </c>
      <c r="Q19" s="9" t="s">
        <v>35</v>
      </c>
      <c r="R19" s="9"/>
      <c r="S19" s="9" t="s">
        <v>34</v>
      </c>
      <c r="U19" s="9" t="s">
        <v>1</v>
      </c>
      <c r="V19" s="80"/>
      <c r="W19" s="92" t="s">
        <v>1</v>
      </c>
      <c r="X19" s="9" t="s">
        <v>1</v>
      </c>
      <c r="Z19" s="9" t="s">
        <v>34</v>
      </c>
      <c r="AA19" s="6"/>
      <c r="AB19" s="47" t="s">
        <v>303</v>
      </c>
      <c r="AC19" s="6"/>
      <c r="AD19" s="23"/>
      <c r="AE19" s="23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23"/>
      <c r="BA19" s="23"/>
      <c r="BB19" s="23"/>
      <c r="BC19" s="23"/>
      <c r="BD19" s="6"/>
      <c r="BE19" s="6"/>
      <c r="BF19" s="23"/>
      <c r="BG19" s="23"/>
      <c r="BH19" s="6"/>
      <c r="BI19" s="23"/>
      <c r="BJ19" s="23"/>
      <c r="BK19" s="23"/>
      <c r="BL19" s="6"/>
      <c r="BM19" s="23"/>
      <c r="BN19" s="23"/>
      <c r="BO19" s="23"/>
    </row>
    <row r="20" spans="2:67">
      <c r="V20" s="80"/>
      <c r="W20" s="80"/>
      <c r="AA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</row>
    <row r="21" spans="2:67">
      <c r="B21" s="31">
        <f>Main!C21</f>
        <v>1.5</v>
      </c>
      <c r="C21" s="31">
        <f>Main!B21</f>
        <v>0.33333333333333326</v>
      </c>
      <c r="D21" s="1">
        <f t="shared" ref="D21:D40" si="0">B21*C21</f>
        <v>0.49999999999999989</v>
      </c>
      <c r="F21" s="1">
        <f t="shared" ref="F21:F40" si="1">$B$7</f>
        <v>0.65969672852566186</v>
      </c>
      <c r="H21" s="62">
        <f ca="1">Main!AC21</f>
        <v>129.6027712490764</v>
      </c>
      <c r="J21" s="16">
        <f ca="1">'Aerodynamics-Descent'!AG21</f>
        <v>1.4350275200167104</v>
      </c>
      <c r="K21" s="16">
        <f ca="1">'Aerodynamics-Descent'!BE21</f>
        <v>0.42508343572557372</v>
      </c>
      <c r="L21" s="42">
        <f ca="1">'Aerodynamics-Descent'!BF21</f>
        <v>1.5419277220042436E-2</v>
      </c>
      <c r="M21" s="84">
        <v>0</v>
      </c>
      <c r="N21" s="42">
        <f ca="1">(O21-L21)/K21^2</f>
        <v>7.0773851367194079E-2</v>
      </c>
      <c r="O21" s="10">
        <f ca="1">'Aerodynamics-Descent'!BH21</f>
        <v>2.8207823923646454E-2</v>
      </c>
      <c r="P21" s="13">
        <f ca="1">0.5*F21*X21^2*D21*K21</f>
        <v>129.60277124927342</v>
      </c>
      <c r="Q21" s="13">
        <f ca="1">0.5*F21*X21^2*D21*O21</f>
        <v>8.6002225543699158</v>
      </c>
      <c r="R21" s="16">
        <f t="shared" ref="R21:R40" ca="1" si="2">P21/Q21</f>
        <v>15.069699700203699</v>
      </c>
      <c r="S21" s="14">
        <f ca="1">IF(MAX(0,RADIANS(-ABS($B$8))*X21*H21+Q21*X21)&lt;0.1*Cruise!S21,0,MAX(0,RADIANS(-ABS($B$8))*X21*H21+Q21*X21))</f>
        <v>0</v>
      </c>
      <c r="U21" s="20">
        <f t="shared" ref="U21:U40" ca="1" si="3">SQRT(H21/(0.5*F21*D21*J21))</f>
        <v>23.401023868762501</v>
      </c>
      <c r="V21" s="88">
        <f ca="1">(-M21+SQRT(M21^2+12*N21*L21))/(2*N21)</f>
        <v>0.80845568782931743</v>
      </c>
      <c r="W21" s="87">
        <f ca="1">SQRT(H21/(0.5*F21*D21*V21))</f>
        <v>31.177182418627634</v>
      </c>
      <c r="X21" s="13">
        <f ca="1">'Aerodynamics-Descent'!H21</f>
        <v>42.995983090834507</v>
      </c>
      <c r="Y21" s="33"/>
      <c r="Z21" s="19">
        <f ca="1">'Propulsion-Descent'!S21</f>
        <v>0</v>
      </c>
      <c r="AA21" s="42"/>
      <c r="AB21" s="13">
        <f ca="1">-DEGREES((Z21-Q21*X21)/H21/X21)</f>
        <v>3.8020518426385728</v>
      </c>
      <c r="AC21" s="1">
        <f ca="1">($B$8-AB21)/$B$8</f>
        <v>0.23958963147228546</v>
      </c>
      <c r="AD21" s="57"/>
      <c r="AE21" s="20"/>
      <c r="AF21" s="16"/>
      <c r="AG21" s="16"/>
      <c r="AH21" s="42"/>
      <c r="AI21" s="42"/>
      <c r="AJ21" s="42"/>
      <c r="AK21" s="16"/>
      <c r="AL21" s="16"/>
      <c r="AM21" s="16"/>
      <c r="AN21" s="16"/>
      <c r="AO21" s="42"/>
      <c r="AP21" s="42"/>
      <c r="AQ21" s="42"/>
      <c r="AR21" s="16"/>
      <c r="AS21" s="16"/>
      <c r="AT21" s="42"/>
      <c r="AU21" s="42"/>
      <c r="AV21" s="16"/>
      <c r="AW21" s="42"/>
      <c r="AX21" s="42"/>
      <c r="AY21" s="42"/>
      <c r="AZ21" s="20"/>
      <c r="BA21" s="20"/>
      <c r="BB21" s="20"/>
      <c r="BC21" s="19"/>
      <c r="BD21" s="6"/>
      <c r="BE21" s="6"/>
      <c r="BF21" s="16"/>
      <c r="BG21" s="16"/>
      <c r="BH21" s="6"/>
      <c r="BI21" s="16"/>
      <c r="BJ21" s="16"/>
      <c r="BK21" s="16"/>
      <c r="BL21" s="6"/>
      <c r="BM21" s="16"/>
      <c r="BN21" s="16"/>
      <c r="BO21" s="16"/>
    </row>
    <row r="22" spans="2:67">
      <c r="B22" s="31">
        <f>Main!C22</f>
        <v>1.5789473684210527</v>
      </c>
      <c r="C22" s="31">
        <f>Main!B22</f>
        <v>0.33333333333333326</v>
      </c>
      <c r="D22" s="1">
        <f t="shared" si="0"/>
        <v>0.52631578947368407</v>
      </c>
      <c r="F22" s="1">
        <f t="shared" si="1"/>
        <v>0.65969672852566186</v>
      </c>
      <c r="H22" s="62">
        <f ca="1">Main!AC22</f>
        <v>131.99424477485522</v>
      </c>
      <c r="J22" s="16">
        <f ca="1">'Aerodynamics-Descent'!AG22</f>
        <v>1.4346980085526408</v>
      </c>
      <c r="K22" s="16">
        <f ca="1">'Aerodynamics-Descent'!BE22</f>
        <v>0.42509632332055131</v>
      </c>
      <c r="L22" s="42">
        <f ca="1">'Aerodynamics-Descent'!BF22</f>
        <v>1.5335867282680951E-2</v>
      </c>
      <c r="M22" s="84">
        <v>0</v>
      </c>
      <c r="N22" s="42">
        <f t="shared" ref="N22:N40" ca="1" si="4">(O22-L22)/K22^2</f>
        <v>6.7785861910833661E-2</v>
      </c>
      <c r="O22" s="10">
        <f ca="1">'Aerodynamics-Descent'!BH22</f>
        <v>2.7585239174874786E-2</v>
      </c>
      <c r="P22" s="13">
        <f t="shared" ref="P22:P40" ca="1" si="5">0.5*F22*X22^2*D22*K22</f>
        <v>131.99424477508796</v>
      </c>
      <c r="Q22" s="13">
        <f t="shared" ref="Q22:Q40" ca="1" si="6">0.5*F22*X22^2*D22*O22</f>
        <v>8.5653359299514307</v>
      </c>
      <c r="R22" s="16">
        <f t="shared" ca="1" si="2"/>
        <v>15.410282311698712</v>
      </c>
      <c r="S22" s="14">
        <f ca="1">IF(MAX(0,RADIANS(-ABS($B$8))*X22*H22+Q22*X22)&lt;0.1*Cruise!S22,0,MAX(0,RADIANS(-ABS($B$8))*X22*H22+Q22*X22))</f>
        <v>0</v>
      </c>
      <c r="U22" s="20">
        <f t="shared" ca="1" si="3"/>
        <v>23.020612953947087</v>
      </c>
      <c r="V22" s="88">
        <f t="shared" ref="V22:V40" ca="1" si="7">(-M22+SQRT(M22^2+12*N22*L22))/(2*N22)</f>
        <v>0.82384448127236665</v>
      </c>
      <c r="W22" s="87">
        <f t="shared" ref="W22:W40" ca="1" si="8">SQRT(H22/(0.5*F22*D22*V22))</f>
        <v>30.379072647140212</v>
      </c>
      <c r="X22" s="13">
        <f ca="1">'Aerodynamics-Descent'!H22</f>
        <v>42.291535781602576</v>
      </c>
      <c r="Y22" s="33"/>
      <c r="Z22" s="19">
        <f ca="1">'Propulsion-Descent'!S22</f>
        <v>0</v>
      </c>
      <c r="AA22" s="42"/>
      <c r="AB22" s="13">
        <f t="shared" ref="AB22:AB40" ca="1" si="9">-DEGREES((Z22-Q22*X22)/H22/X22)</f>
        <v>3.7180227042101155</v>
      </c>
      <c r="AC22" s="1">
        <f t="shared" ref="AC22:AC40" ca="1" si="10">($B$8-AB22)/$B$8</f>
        <v>0.2563954591579769</v>
      </c>
      <c r="AD22" s="57"/>
      <c r="AE22" s="20"/>
      <c r="AF22" s="16"/>
      <c r="AG22" s="16"/>
      <c r="AH22" s="42"/>
      <c r="AI22" s="42"/>
      <c r="AJ22" s="42"/>
      <c r="AK22" s="16"/>
      <c r="AL22" s="16"/>
      <c r="AM22" s="16"/>
      <c r="AN22" s="16"/>
      <c r="AO22" s="42"/>
      <c r="AP22" s="42"/>
      <c r="AQ22" s="42"/>
      <c r="AR22" s="16"/>
      <c r="AS22" s="16"/>
      <c r="AT22" s="42"/>
      <c r="AU22" s="42"/>
      <c r="AV22" s="16"/>
      <c r="AW22" s="42"/>
      <c r="AX22" s="42"/>
      <c r="AY22" s="42"/>
      <c r="AZ22" s="20"/>
      <c r="BA22" s="20"/>
      <c r="BB22" s="20"/>
      <c r="BC22" s="19"/>
      <c r="BD22" s="6"/>
      <c r="BE22" s="6"/>
      <c r="BF22" s="16"/>
      <c r="BG22" s="16"/>
      <c r="BH22" s="6"/>
      <c r="BI22" s="16"/>
      <c r="BJ22" s="16"/>
      <c r="BK22" s="16"/>
      <c r="BL22" s="6"/>
      <c r="BM22" s="16"/>
      <c r="BN22" s="16"/>
      <c r="BO22" s="16"/>
    </row>
    <row r="23" spans="2:67">
      <c r="B23" s="31">
        <f>Main!C23</f>
        <v>1.6578947368421053</v>
      </c>
      <c r="C23" s="31">
        <f>Main!B23</f>
        <v>0.33333333333333326</v>
      </c>
      <c r="D23" s="1">
        <f t="shared" si="0"/>
        <v>0.55263157894736836</v>
      </c>
      <c r="F23" s="1">
        <f t="shared" si="1"/>
        <v>0.65969672852566186</v>
      </c>
      <c r="H23" s="62">
        <f ca="1">Main!AC23</f>
        <v>134.24051129324812</v>
      </c>
      <c r="J23" s="16">
        <f ca="1">'Aerodynamics-Descent'!AG23</f>
        <v>1.4343795171886382</v>
      </c>
      <c r="K23" s="16">
        <f ca="1">'Aerodynamics-Descent'!BE23</f>
        <v>0.42510749166375456</v>
      </c>
      <c r="L23" s="42">
        <f ca="1">'Aerodynamics-Descent'!BF23</f>
        <v>1.5267847664742113E-2</v>
      </c>
      <c r="M23" s="84">
        <v>0</v>
      </c>
      <c r="N23" s="42">
        <f t="shared" ca="1" si="4"/>
        <v>6.507586893657695E-2</v>
      </c>
      <c r="O23" s="10">
        <f ca="1">'Aerodynamics-Descent'!BH23</f>
        <v>2.7028123089939918E-2</v>
      </c>
      <c r="P23" s="13">
        <f t="shared" ca="1" si="5"/>
        <v>134.24051129351793</v>
      </c>
      <c r="Q23" s="13">
        <f t="shared" ca="1" si="6"/>
        <v>8.5349450057857563</v>
      </c>
      <c r="R23" s="16">
        <f t="shared" ca="1" si="2"/>
        <v>15.728339339329965</v>
      </c>
      <c r="S23" s="14">
        <f ca="1">IF(MAX(0,RADIANS(-ABS($B$8))*X23*H23+Q23*X23)&lt;0.1*Cruise!S23,0,MAX(0,RADIANS(-ABS($B$8))*X23*H23+Q23*X23))</f>
        <v>0</v>
      </c>
      <c r="U23" s="20">
        <f t="shared" ca="1" si="3"/>
        <v>22.658687244220591</v>
      </c>
      <c r="V23" s="88">
        <f t="shared" ca="1" si="7"/>
        <v>0.83895670346136031</v>
      </c>
      <c r="W23" s="87">
        <f t="shared" ca="1" si="8"/>
        <v>29.627636531115414</v>
      </c>
      <c r="X23" s="13">
        <f ca="1">'Aerodynamics-Descent'!H23</f>
        <v>41.621468887665337</v>
      </c>
      <c r="Y23" s="33"/>
      <c r="Z23" s="19">
        <f ca="1">'Propulsion-Descent'!S23</f>
        <v>0</v>
      </c>
      <c r="AA23" s="42"/>
      <c r="AB23" s="13">
        <f t="shared" ca="1" si="9"/>
        <v>3.6428371919675477</v>
      </c>
      <c r="AC23" s="1">
        <f t="shared" ca="1" si="10"/>
        <v>0.27143256160649043</v>
      </c>
      <c r="AD23" s="57"/>
      <c r="AE23" s="20"/>
      <c r="AF23" s="16"/>
      <c r="AG23" s="16"/>
      <c r="AH23" s="42"/>
      <c r="AI23" s="42"/>
      <c r="AJ23" s="42"/>
      <c r="AK23" s="16"/>
      <c r="AL23" s="16"/>
      <c r="AM23" s="16"/>
      <c r="AN23" s="16"/>
      <c r="AO23" s="42"/>
      <c r="AP23" s="42"/>
      <c r="AQ23" s="42"/>
      <c r="AR23" s="16"/>
      <c r="AS23" s="16"/>
      <c r="AT23" s="42"/>
      <c r="AU23" s="42"/>
      <c r="AV23" s="16"/>
      <c r="AW23" s="42"/>
      <c r="AX23" s="42"/>
      <c r="AY23" s="42"/>
      <c r="AZ23" s="20"/>
      <c r="BA23" s="20"/>
      <c r="BB23" s="20"/>
      <c r="BC23" s="19"/>
      <c r="BD23" s="6"/>
      <c r="BE23" s="6"/>
      <c r="BF23" s="16"/>
      <c r="BG23" s="16"/>
      <c r="BH23" s="6"/>
      <c r="BI23" s="16"/>
      <c r="BJ23" s="16"/>
      <c r="BK23" s="16"/>
      <c r="BL23" s="6"/>
      <c r="BM23" s="16"/>
      <c r="BN23" s="16"/>
      <c r="BO23" s="16"/>
    </row>
    <row r="24" spans="2:67">
      <c r="B24" s="31">
        <f>Main!C24</f>
        <v>1.736842105263158</v>
      </c>
      <c r="C24" s="31">
        <f>Main!B24</f>
        <v>0.33333333333333326</v>
      </c>
      <c r="D24" s="1">
        <f t="shared" si="0"/>
        <v>0.57894736842105254</v>
      </c>
      <c r="F24" s="1">
        <f t="shared" si="1"/>
        <v>0.65969672852566186</v>
      </c>
      <c r="H24" s="62">
        <f ca="1">Main!AC24</f>
        <v>126.40792205809124</v>
      </c>
      <c r="J24" s="16">
        <f ca="1">'Aerodynamics-Descent'!AG24</f>
        <v>1.4333165020925587</v>
      </c>
      <c r="K24" s="16">
        <f ca="1">'Aerodynamics-Descent'!BE24</f>
        <v>0.42511723822429154</v>
      </c>
      <c r="L24" s="42">
        <f ca="1">'Aerodynamics-Descent'!BF24</f>
        <v>1.5488841447054678E-2</v>
      </c>
      <c r="M24" s="84">
        <v>0</v>
      </c>
      <c r="N24" s="42">
        <f t="shared" ca="1" si="4"/>
        <v>6.2542949026318365E-2</v>
      </c>
      <c r="O24" s="10">
        <f ca="1">'Aerodynamics-Descent'!BH24</f>
        <v>2.6791895035423365E-2</v>
      </c>
      <c r="P24" s="13">
        <f t="shared" ca="1" si="5"/>
        <v>126.40792205842655</v>
      </c>
      <c r="Q24" s="13">
        <f t="shared" ca="1" si="6"/>
        <v>7.9665265835409791</v>
      </c>
      <c r="R24" s="16">
        <f t="shared" ca="1" si="2"/>
        <v>15.867382193839424</v>
      </c>
      <c r="S24" s="14">
        <f ca="1">IF(MAX(0,RADIANS(-ABS($B$8))*X24*H24+Q24*X24)&lt;0.1*Cruise!S24,0,MAX(0,RADIANS(-ABS($B$8))*X24*H24+Q24*X24))</f>
        <v>0</v>
      </c>
      <c r="U24" s="20">
        <f t="shared" ca="1" si="3"/>
        <v>21.490146996839787</v>
      </c>
      <c r="V24" s="88">
        <f t="shared" ca="1" si="7"/>
        <v>0.86194770325816095</v>
      </c>
      <c r="W24" s="87">
        <f t="shared" ca="1" si="8"/>
        <v>27.712134506877415</v>
      </c>
      <c r="X24" s="13">
        <f ca="1">'Aerodynamics-Descent'!H24</f>
        <v>39.459908951120013</v>
      </c>
      <c r="Y24" s="33"/>
      <c r="Z24" s="19">
        <f ca="1">'Propulsion-Descent'!S24</f>
        <v>0</v>
      </c>
      <c r="AA24" s="42"/>
      <c r="AB24" s="13">
        <f t="shared" ca="1" si="9"/>
        <v>3.6109157019914493</v>
      </c>
      <c r="AC24" s="1">
        <f t="shared" ca="1" si="10"/>
        <v>0.27781685960171015</v>
      </c>
      <c r="AD24" s="57"/>
      <c r="AE24" s="20"/>
      <c r="AF24" s="16"/>
      <c r="AG24" s="16"/>
      <c r="AH24" s="42"/>
      <c r="AI24" s="42"/>
      <c r="AJ24" s="42"/>
      <c r="AK24" s="16"/>
      <c r="AL24" s="16"/>
      <c r="AM24" s="16"/>
      <c r="AN24" s="16"/>
      <c r="AO24" s="42"/>
      <c r="AP24" s="42"/>
      <c r="AQ24" s="42"/>
      <c r="AR24" s="16"/>
      <c r="AS24" s="16"/>
      <c r="AT24" s="42"/>
      <c r="AU24" s="42"/>
      <c r="AV24" s="16"/>
      <c r="AW24" s="42"/>
      <c r="AX24" s="42"/>
      <c r="AY24" s="42"/>
      <c r="AZ24" s="20"/>
      <c r="BA24" s="20"/>
      <c r="BB24" s="20"/>
      <c r="BC24" s="19"/>
      <c r="BD24" s="6"/>
      <c r="BE24" s="6"/>
      <c r="BF24" s="16"/>
      <c r="BG24" s="16"/>
      <c r="BH24" s="6"/>
      <c r="BI24" s="16"/>
      <c r="BJ24" s="16"/>
      <c r="BK24" s="16"/>
      <c r="BL24" s="6"/>
      <c r="BM24" s="16"/>
      <c r="BN24" s="16"/>
      <c r="BO24" s="16"/>
    </row>
    <row r="25" spans="2:67">
      <c r="B25" s="31">
        <f>Main!C25</f>
        <v>1.8157894736842106</v>
      </c>
      <c r="C25" s="31">
        <f>Main!B25</f>
        <v>0.33333333333333326</v>
      </c>
      <c r="D25" s="1">
        <f t="shared" si="0"/>
        <v>0.60526315789473673</v>
      </c>
      <c r="F25" s="1">
        <f t="shared" si="1"/>
        <v>0.65969672852566186</v>
      </c>
      <c r="H25" s="62">
        <f ca="1">Main!AC25</f>
        <v>128.23739388407131</v>
      </c>
      <c r="J25" s="16">
        <f ca="1">'Aerodynamics-Descent'!AG25</f>
        <v>1.4330166329455434</v>
      </c>
      <c r="K25" s="16">
        <f ca="1">'Aerodynamics-Descent'!BE25</f>
        <v>0.42512579834259223</v>
      </c>
      <c r="L25" s="42">
        <f ca="1">'Aerodynamics-Descent'!BF25</f>
        <v>1.5447453124108584E-2</v>
      </c>
      <c r="M25" s="84">
        <v>0</v>
      </c>
      <c r="N25" s="42">
        <f t="shared" ca="1" si="4"/>
        <v>6.0284299713271552E-2</v>
      </c>
      <c r="O25" s="10">
        <f ca="1">'Aerodynamics-Descent'!BH25</f>
        <v>2.6342751829268159E-2</v>
      </c>
      <c r="P25" s="13">
        <f t="shared" ca="1" si="5"/>
        <v>128.23739388444872</v>
      </c>
      <c r="Q25" s="13">
        <f t="shared" ca="1" si="6"/>
        <v>7.9461793556170957</v>
      </c>
      <c r="R25" s="16">
        <f t="shared" ca="1" si="2"/>
        <v>16.138245582614324</v>
      </c>
      <c r="S25" s="14">
        <f ca="1">IF(MAX(0,RADIANS(-ABS($B$8))*X25*H25+Q25*X25)&lt;0.1*Cruise!S25,0,MAX(0,RADIANS(-ABS($B$8))*X25*H25+Q25*X25))</f>
        <v>0</v>
      </c>
      <c r="U25" s="20">
        <f t="shared" ca="1" si="3"/>
        <v>21.171539495210602</v>
      </c>
      <c r="V25" s="88">
        <f t="shared" ca="1" si="7"/>
        <v>0.87677258176617678</v>
      </c>
      <c r="W25" s="87">
        <f t="shared" ca="1" si="8"/>
        <v>27.066654204479786</v>
      </c>
      <c r="X25" s="13">
        <f ca="1">'Aerodynamics-Descent'!H25</f>
        <v>38.870428157415581</v>
      </c>
      <c r="Y25" s="33"/>
      <c r="Z25" s="19">
        <f ca="1">'Propulsion-Descent'!S25</f>
        <v>0</v>
      </c>
      <c r="AA25" s="42"/>
      <c r="AB25" s="13">
        <f t="shared" ca="1" si="9"/>
        <v>3.5503102998367742</v>
      </c>
      <c r="AC25" s="1">
        <f t="shared" ca="1" si="10"/>
        <v>0.28993794003264517</v>
      </c>
      <c r="AD25" s="57"/>
      <c r="AE25" s="20"/>
      <c r="AF25" s="16"/>
      <c r="AG25" s="16"/>
      <c r="AH25" s="42"/>
      <c r="AI25" s="42"/>
      <c r="AJ25" s="42"/>
      <c r="AK25" s="16"/>
      <c r="AL25" s="16"/>
      <c r="AM25" s="16"/>
      <c r="AN25" s="16"/>
      <c r="AO25" s="42"/>
      <c r="AP25" s="42"/>
      <c r="AQ25" s="42"/>
      <c r="AR25" s="16"/>
      <c r="AS25" s="16"/>
      <c r="AT25" s="42"/>
      <c r="AU25" s="42"/>
      <c r="AV25" s="16"/>
      <c r="AW25" s="42"/>
      <c r="AX25" s="42"/>
      <c r="AY25" s="42"/>
      <c r="AZ25" s="20"/>
      <c r="BA25" s="20"/>
      <c r="BB25" s="20"/>
      <c r="BC25" s="19"/>
      <c r="BD25" s="6"/>
      <c r="BE25" s="6"/>
      <c r="BF25" s="16"/>
      <c r="BG25" s="16"/>
      <c r="BH25" s="6"/>
      <c r="BI25" s="16"/>
      <c r="BJ25" s="16"/>
      <c r="BK25" s="16"/>
      <c r="BL25" s="6"/>
      <c r="BM25" s="16"/>
      <c r="BN25" s="16"/>
      <c r="BO25" s="16"/>
    </row>
    <row r="26" spans="2:67">
      <c r="B26" s="31">
        <f>Main!C26</f>
        <v>1.8947368421052633</v>
      </c>
      <c r="C26" s="31">
        <f>Main!B26</f>
        <v>0.33333333333333326</v>
      </c>
      <c r="D26" s="1">
        <f t="shared" si="0"/>
        <v>0.63157894736842091</v>
      </c>
      <c r="F26" s="1">
        <f t="shared" si="1"/>
        <v>0.65969672852566186</v>
      </c>
      <c r="H26" s="62">
        <f ca="1">Main!AC26</f>
        <v>129.96953292078499</v>
      </c>
      <c r="J26" s="16">
        <f ca="1">'Aerodynamics-Descent'!AG26</f>
        <v>1.4327262107211247</v>
      </c>
      <c r="K26" s="16">
        <f ca="1">'Aerodynamics-Descent'!BE26</f>
        <v>0.42513336023448733</v>
      </c>
      <c r="L26" s="42">
        <f ca="1">'Aerodynamics-Descent'!BF26</f>
        <v>1.5415754830087697E-2</v>
      </c>
      <c r="M26" s="84">
        <v>0</v>
      </c>
      <c r="N26" s="42">
        <f t="shared" ca="1" si="4"/>
        <v>5.8209582292785632E-2</v>
      </c>
      <c r="O26" s="10">
        <f ca="1">'Aerodynamics-Descent'!BH26</f>
        <v>2.5936460084177243E-2</v>
      </c>
      <c r="P26" s="13">
        <f t="shared" ca="1" si="5"/>
        <v>129.9695329212044</v>
      </c>
      <c r="Q26" s="13">
        <f t="shared" ca="1" si="6"/>
        <v>7.9291580432800917</v>
      </c>
      <c r="R26" s="16">
        <f t="shared" ca="1" si="2"/>
        <v>16.391340948406587</v>
      </c>
      <c r="S26" s="14">
        <f ca="1">IF(MAX(0,RADIANS(-ABS($B$8))*X26*H26+Q26*X26)&lt;0.1*Cruise!S26,0,MAX(0,RADIANS(-ABS($B$8))*X26*H26+Q26*X26))</f>
        <v>0</v>
      </c>
      <c r="U26" s="20">
        <f t="shared" ca="1" si="3"/>
        <v>20.867392560921033</v>
      </c>
      <c r="V26" s="88">
        <f t="shared" ca="1" si="7"/>
        <v>0.89134489874292955</v>
      </c>
      <c r="W26" s="87">
        <f t="shared" ca="1" si="8"/>
        <v>26.456165428406226</v>
      </c>
      <c r="X26" s="13">
        <f ca="1">'Aerodynamics-Descent'!H26</f>
        <v>38.307798687258554</v>
      </c>
      <c r="Y26" s="33"/>
      <c r="Z26" s="19">
        <f ca="1">'Propulsion-Descent'!S26</f>
        <v>0</v>
      </c>
      <c r="AA26" s="42"/>
      <c r="AB26" s="13">
        <f t="shared" ca="1" si="9"/>
        <v>3.4954906797199521</v>
      </c>
      <c r="AC26" s="1">
        <f t="shared" ca="1" si="10"/>
        <v>0.3009018640560096</v>
      </c>
      <c r="AD26" s="57"/>
      <c r="AE26" s="20"/>
      <c r="AF26" s="16"/>
      <c r="AG26" s="16"/>
      <c r="AH26" s="42"/>
      <c r="AI26" s="42"/>
      <c r="AJ26" s="42"/>
      <c r="AK26" s="16"/>
      <c r="AL26" s="16"/>
      <c r="AM26" s="16"/>
      <c r="AN26" s="16"/>
      <c r="AO26" s="42"/>
      <c r="AP26" s="42"/>
      <c r="AQ26" s="42"/>
      <c r="AR26" s="16"/>
      <c r="AS26" s="16"/>
      <c r="AT26" s="42"/>
      <c r="AU26" s="42"/>
      <c r="AV26" s="16"/>
      <c r="AW26" s="42"/>
      <c r="AX26" s="42"/>
      <c r="AY26" s="42"/>
      <c r="AZ26" s="20"/>
      <c r="BA26" s="20"/>
      <c r="BB26" s="20"/>
      <c r="BC26" s="19"/>
      <c r="BD26" s="6"/>
      <c r="BE26" s="6"/>
      <c r="BF26" s="16"/>
      <c r="BG26" s="16"/>
      <c r="BH26" s="6"/>
      <c r="BI26" s="16"/>
      <c r="BJ26" s="16"/>
      <c r="BK26" s="16"/>
      <c r="BL26" s="6"/>
      <c r="BM26" s="16"/>
      <c r="BN26" s="16"/>
      <c r="BO26" s="16"/>
    </row>
    <row r="27" spans="2:67">
      <c r="B27" s="31">
        <f>Main!C27</f>
        <v>1.9736842105263159</v>
      </c>
      <c r="C27" s="31">
        <f>Main!B27</f>
        <v>0.33333333333333326</v>
      </c>
      <c r="D27" s="1">
        <f t="shared" si="0"/>
        <v>0.6578947368421052</v>
      </c>
      <c r="F27" s="1">
        <f t="shared" si="1"/>
        <v>0.65969672852566186</v>
      </c>
      <c r="H27" s="62">
        <f ca="1">Main!AC27</f>
        <v>131.61371211454065</v>
      </c>
      <c r="J27" s="16">
        <f ca="1">'Aerodynamics-Descent'!AG27</f>
        <v>1.4324447472488802</v>
      </c>
      <c r="K27" s="16">
        <f ca="1">'Aerodynamics-Descent'!BE27</f>
        <v>0.42514007592244873</v>
      </c>
      <c r="L27" s="42">
        <f ca="1">'Aerodynamics-Descent'!BF27</f>
        <v>1.5392444326709913E-2</v>
      </c>
      <c r="M27" s="84">
        <v>0</v>
      </c>
      <c r="N27" s="42">
        <f t="shared" ca="1" si="4"/>
        <v>5.6297098642211836E-2</v>
      </c>
      <c r="O27" s="10">
        <f ca="1">'Aerodynamics-Descent'!BH27</f>
        <v>2.5567811861581004E-2</v>
      </c>
      <c r="P27" s="13">
        <f t="shared" ca="1" si="5"/>
        <v>131.6137121149971</v>
      </c>
      <c r="Q27" s="13">
        <f t="shared" ca="1" si="6"/>
        <v>7.9152138797057683</v>
      </c>
      <c r="R27" s="16">
        <f t="shared" ca="1" si="2"/>
        <v>16.627941343751733</v>
      </c>
      <c r="S27" s="14">
        <f ca="1">IF(MAX(0,RADIANS(-ABS($B$8))*X27*H27+Q27*X27)&lt;0.1*Cruise!S27,0,MAX(0,RADIANS(-ABS($B$8))*X27*H27+Q27*X27))</f>
        <v>0</v>
      </c>
      <c r="U27" s="20">
        <f t="shared" ca="1" si="3"/>
        <v>20.576725131204949</v>
      </c>
      <c r="V27" s="88">
        <f t="shared" ca="1" si="7"/>
        <v>0.90567299099113763</v>
      </c>
      <c r="W27" s="87">
        <f t="shared" ca="1" si="8"/>
        <v>25.877927250324063</v>
      </c>
      <c r="X27" s="13">
        <f ca="1">'Aerodynamics-Descent'!H27</f>
        <v>37.770190296835928</v>
      </c>
      <c r="Y27" s="33"/>
      <c r="Z27" s="19">
        <f ca="1">'Propulsion-Descent'!S27</f>
        <v>0</v>
      </c>
      <c r="AA27" s="42"/>
      <c r="AB27" s="13">
        <f t="shared" ca="1" si="9"/>
        <v>3.4457530447574625</v>
      </c>
      <c r="AC27" s="1">
        <f t="shared" ca="1" si="10"/>
        <v>0.31084939104850751</v>
      </c>
      <c r="AD27" s="57"/>
      <c r="AE27" s="20"/>
      <c r="AF27" s="16"/>
      <c r="AG27" s="16"/>
      <c r="AH27" s="42"/>
      <c r="AI27" s="42"/>
      <c r="AJ27" s="42"/>
      <c r="AK27" s="16"/>
      <c r="AL27" s="16"/>
      <c r="AM27" s="16"/>
      <c r="AN27" s="16"/>
      <c r="AO27" s="42"/>
      <c r="AP27" s="42"/>
      <c r="AQ27" s="42"/>
      <c r="AR27" s="16"/>
      <c r="AS27" s="16"/>
      <c r="AT27" s="42"/>
      <c r="AU27" s="42"/>
      <c r="AV27" s="16"/>
      <c r="AW27" s="42"/>
      <c r="AX27" s="42"/>
      <c r="AY27" s="42"/>
      <c r="AZ27" s="20"/>
      <c r="BA27" s="20"/>
      <c r="BB27" s="20"/>
      <c r="BC27" s="19"/>
      <c r="BD27" s="6"/>
      <c r="BE27" s="6"/>
      <c r="BF27" s="16"/>
      <c r="BG27" s="16"/>
      <c r="BH27" s="6"/>
      <c r="BI27" s="16"/>
      <c r="BJ27" s="16"/>
      <c r="BK27" s="16"/>
      <c r="BL27" s="6"/>
      <c r="BM27" s="16"/>
      <c r="BN27" s="16"/>
      <c r="BO27" s="16"/>
    </row>
    <row r="28" spans="2:67">
      <c r="B28" s="31">
        <f>Main!C28</f>
        <v>2.0526315789473686</v>
      </c>
      <c r="C28" s="31">
        <f>Main!B28</f>
        <v>0.33333333333333326</v>
      </c>
      <c r="D28" s="1">
        <f t="shared" si="0"/>
        <v>0.68421052631578938</v>
      </c>
      <c r="F28" s="1">
        <f t="shared" si="1"/>
        <v>0.65969672852566186</v>
      </c>
      <c r="H28" s="62">
        <f ca="1">Main!AC28</f>
        <v>132.52501256898603</v>
      </c>
      <c r="J28" s="16">
        <f ca="1">'Aerodynamics-Descent'!AG28</f>
        <v>1.4321228449563335</v>
      </c>
      <c r="K28" s="16">
        <f ca="1">'Aerodynamics-Descent'!BE28</f>
        <v>0.42514606931199994</v>
      </c>
      <c r="L28" s="42">
        <f ca="1">'Aerodynamics-Descent'!BF28</f>
        <v>1.5395002194146655E-2</v>
      </c>
      <c r="M28" s="84">
        <v>0</v>
      </c>
      <c r="N28" s="42">
        <f t="shared" ca="1" si="4"/>
        <v>5.4524629973525772E-2</v>
      </c>
      <c r="O28" s="10">
        <f ca="1">'Aerodynamics-Descent'!BH28</f>
        <v>2.5250284365560885E-2</v>
      </c>
      <c r="P28" s="13">
        <f t="shared" ca="1" si="5"/>
        <v>132.52501257086368</v>
      </c>
      <c r="Q28" s="13">
        <f t="shared" ca="1" si="6"/>
        <v>7.870928357350305</v>
      </c>
      <c r="R28" s="16">
        <f t="shared" ca="1" si="2"/>
        <v>16.837278470093626</v>
      </c>
      <c r="S28" s="14">
        <f ca="1">IF(MAX(0,RADIANS(-ABS($B$8))*X28*H28+Q28*X28)&lt;0.1*Cruise!S28,0,MAX(0,RADIANS(-ABS($B$8))*X28*H28+Q28*X28))</f>
        <v>0</v>
      </c>
      <c r="U28" s="20">
        <f t="shared" ca="1" si="3"/>
        <v>20.249147677535582</v>
      </c>
      <c r="V28" s="88">
        <f t="shared" ca="1" si="7"/>
        <v>0.92035238365142968</v>
      </c>
      <c r="W28" s="87">
        <f t="shared" ca="1" si="8"/>
        <v>25.259212891743918</v>
      </c>
      <c r="X28" s="13">
        <f ca="1">'Aerodynamics-Descent'!H28</f>
        <v>37.164457693025206</v>
      </c>
      <c r="Y28" s="33"/>
      <c r="Z28" s="19">
        <f ca="1">'Propulsion-Descent'!S28</f>
        <v>0</v>
      </c>
      <c r="AA28" s="42"/>
      <c r="AB28" s="13">
        <f t="shared" ca="1" si="9"/>
        <v>3.4029121520834185</v>
      </c>
      <c r="AC28" s="1">
        <f t="shared" ca="1" si="10"/>
        <v>0.3194175695833163</v>
      </c>
      <c r="AD28" s="57"/>
      <c r="AE28" s="20"/>
      <c r="AF28" s="16"/>
      <c r="AG28" s="16"/>
      <c r="AH28" s="42"/>
      <c r="AI28" s="42"/>
      <c r="AJ28" s="42"/>
      <c r="AK28" s="16"/>
      <c r="AL28" s="16"/>
      <c r="AM28" s="16"/>
      <c r="AN28" s="16"/>
      <c r="AO28" s="42"/>
      <c r="AP28" s="42"/>
      <c r="AQ28" s="42"/>
      <c r="AR28" s="16"/>
      <c r="AS28" s="16"/>
      <c r="AT28" s="42"/>
      <c r="AU28" s="42"/>
      <c r="AV28" s="16"/>
      <c r="AW28" s="42"/>
      <c r="AX28" s="42"/>
      <c r="AY28" s="42"/>
      <c r="AZ28" s="20"/>
      <c r="BA28" s="20"/>
      <c r="BB28" s="20"/>
      <c r="BC28" s="19"/>
      <c r="BD28" s="6"/>
      <c r="BE28" s="6"/>
      <c r="BF28" s="16"/>
      <c r="BG28" s="16"/>
      <c r="BH28" s="6"/>
      <c r="BI28" s="16"/>
      <c r="BJ28" s="16"/>
      <c r="BK28" s="16"/>
      <c r="BL28" s="6"/>
      <c r="BM28" s="16"/>
      <c r="BN28" s="16"/>
      <c r="BO28" s="16"/>
    </row>
    <row r="29" spans="2:67">
      <c r="B29" s="31">
        <f>Main!C29</f>
        <v>2.1315789473684212</v>
      </c>
      <c r="C29" s="31">
        <f>Main!B29</f>
        <v>0.33333333333333326</v>
      </c>
      <c r="D29" s="1">
        <f t="shared" si="0"/>
        <v>0.71052631578947356</v>
      </c>
      <c r="F29" s="1">
        <f t="shared" si="1"/>
        <v>0.65969672852566186</v>
      </c>
      <c r="H29" s="62">
        <f ca="1">Main!AC29</f>
        <v>132.22241873640721</v>
      </c>
      <c r="J29" s="16">
        <f ca="1">'Aerodynamics-Descent'!AG29</f>
        <v>1.4317243443888417</v>
      </c>
      <c r="K29" s="16">
        <f ca="1">'Aerodynamics-Descent'!BE29</f>
        <v>0.42515144223593371</v>
      </c>
      <c r="L29" s="42">
        <f ca="1">'Aerodynamics-Descent'!BF29</f>
        <v>1.5436647850922577E-2</v>
      </c>
      <c r="M29" s="84">
        <v>0</v>
      </c>
      <c r="N29" s="42">
        <f t="shared" ca="1" si="4"/>
        <v>5.2873932038915251E-2</v>
      </c>
      <c r="O29" s="10">
        <f ca="1">'Aerodynamics-Descent'!BH29</f>
        <v>2.4993809282778993E-2</v>
      </c>
      <c r="P29" s="13">
        <f t="shared" ca="1" si="5"/>
        <v>132.22241873833767</v>
      </c>
      <c r="Q29" s="13">
        <f t="shared" ca="1" si="6"/>
        <v>7.7730935110407549</v>
      </c>
      <c r="R29" s="16">
        <f t="shared" ca="1" si="2"/>
        <v>17.010269920274528</v>
      </c>
      <c r="S29" s="14">
        <f ca="1">IF(MAX(0,RADIANS(-ABS($B$8))*X29*H29+Q29*X29)&lt;0.1*Cruise!S29,0,MAX(0,RADIANS(-ABS($B$8))*X29*H29+Q29*X29))</f>
        <v>0</v>
      </c>
      <c r="U29" s="20">
        <f t="shared" ca="1" si="3"/>
        <v>19.850689340450202</v>
      </c>
      <c r="V29" s="88">
        <f t="shared" ca="1" si="7"/>
        <v>0.93587171468123953</v>
      </c>
      <c r="W29" s="87">
        <f t="shared" ca="1" si="8"/>
        <v>24.552580113141143</v>
      </c>
      <c r="X29" s="13">
        <f ca="1">'Aerodynamics-Descent'!H29</f>
        <v>36.427844098405416</v>
      </c>
      <c r="Y29" s="33"/>
      <c r="Z29" s="19">
        <f ca="1">'Propulsion-Descent'!S29</f>
        <v>0</v>
      </c>
      <c r="AA29" s="42"/>
      <c r="AB29" s="13">
        <f t="shared" ca="1" si="9"/>
        <v>3.3683051346309356</v>
      </c>
      <c r="AC29" s="1">
        <f t="shared" ca="1" si="10"/>
        <v>0.32633897307381288</v>
      </c>
      <c r="AD29" s="57"/>
      <c r="AE29" s="20"/>
      <c r="AF29" s="16"/>
      <c r="AG29" s="16"/>
      <c r="AH29" s="42"/>
      <c r="AI29" s="42"/>
      <c r="AJ29" s="42"/>
      <c r="AK29" s="16"/>
      <c r="AL29" s="16"/>
      <c r="AM29" s="16"/>
      <c r="AN29" s="16"/>
      <c r="AO29" s="42"/>
      <c r="AP29" s="42"/>
      <c r="AQ29" s="42"/>
      <c r="AR29" s="16"/>
      <c r="AS29" s="16"/>
      <c r="AT29" s="42"/>
      <c r="AU29" s="42"/>
      <c r="AV29" s="16"/>
      <c r="AW29" s="42"/>
      <c r="AX29" s="42"/>
      <c r="AY29" s="42"/>
      <c r="AZ29" s="20"/>
      <c r="BA29" s="20"/>
      <c r="BB29" s="20"/>
      <c r="BC29" s="19"/>
      <c r="BD29" s="6"/>
      <c r="BE29" s="6"/>
      <c r="BF29" s="16"/>
      <c r="BG29" s="16"/>
      <c r="BH29" s="6"/>
      <c r="BI29" s="16"/>
      <c r="BJ29" s="16"/>
      <c r="BK29" s="16"/>
      <c r="BL29" s="6"/>
      <c r="BM29" s="16"/>
      <c r="BN29" s="16"/>
      <c r="BO29" s="16"/>
    </row>
    <row r="30" spans="2:67">
      <c r="B30" s="31">
        <f>Main!C30</f>
        <v>2.2105263157894739</v>
      </c>
      <c r="C30" s="31">
        <f>Main!B30</f>
        <v>0.33333333333333326</v>
      </c>
      <c r="D30" s="1">
        <f t="shared" si="0"/>
        <v>0.73684210526315785</v>
      </c>
      <c r="F30" s="1">
        <f t="shared" si="1"/>
        <v>0.65969672852566186</v>
      </c>
      <c r="H30" s="62">
        <f ca="1">Main!AC30</f>
        <v>131.99460630550439</v>
      </c>
      <c r="J30" s="16">
        <f ca="1">'Aerodynamics-Descent'!AG30</f>
        <v>1.431345209698025</v>
      </c>
      <c r="K30" s="16">
        <f ca="1">'Aerodynamics-Descent'!BE30</f>
        <v>0.42515627903132136</v>
      </c>
      <c r="L30" s="42">
        <f ca="1">'Aerodynamics-Descent'!BF30</f>
        <v>1.5480194539703299E-2</v>
      </c>
      <c r="M30" s="84">
        <v>0</v>
      </c>
      <c r="N30" s="42">
        <f t="shared" ca="1" si="4"/>
        <v>5.1339146423368023E-2</v>
      </c>
      <c r="O30" s="10">
        <f ca="1">'Aerodynamics-Descent'!BH30</f>
        <v>2.476014886368599E-2</v>
      </c>
      <c r="P30" s="13">
        <f t="shared" ca="1" si="5"/>
        <v>131.99460630748558</v>
      </c>
      <c r="Q30" s="13">
        <f t="shared" ca="1" si="6"/>
        <v>7.6870700553294649</v>
      </c>
      <c r="R30" s="16">
        <f t="shared" ca="1" si="2"/>
        <v>17.1709904238447</v>
      </c>
      <c r="S30" s="14">
        <f ca="1">IF(MAX(0,RADIANS(-ABS($B$8))*X30*H30+Q30*X30)&lt;0.1*Cruise!S30,0,MAX(0,RADIANS(-ABS($B$8))*X30*H30+Q30*X30))</f>
        <v>0</v>
      </c>
      <c r="U30" s="20">
        <f t="shared" ca="1" si="3"/>
        <v>19.478769270499367</v>
      </c>
      <c r="V30" s="88">
        <f t="shared" ca="1" si="7"/>
        <v>0.95109634471802129</v>
      </c>
      <c r="W30" s="87">
        <f t="shared" ca="1" si="8"/>
        <v>23.89579321958875</v>
      </c>
      <c r="X30" s="13">
        <f ca="1">'Aerodynamics-Descent'!H30</f>
        <v>35.74040002514208</v>
      </c>
      <c r="Y30" s="33"/>
      <c r="Z30" s="19">
        <f ca="1">'Propulsion-Descent'!S30</f>
        <v>0</v>
      </c>
      <c r="AA30" s="42"/>
      <c r="AB30" s="13">
        <f t="shared" ca="1" si="9"/>
        <v>3.3367777920589745</v>
      </c>
      <c r="AC30" s="1">
        <f t="shared" ca="1" si="10"/>
        <v>0.33264444158820511</v>
      </c>
      <c r="AD30" s="57"/>
      <c r="AE30" s="20"/>
      <c r="AF30" s="16"/>
      <c r="AG30" s="16"/>
      <c r="AH30" s="42"/>
      <c r="AI30" s="42"/>
      <c r="AJ30" s="42"/>
      <c r="AK30" s="16"/>
      <c r="AL30" s="16"/>
      <c r="AM30" s="16"/>
      <c r="AN30" s="16"/>
      <c r="AO30" s="42"/>
      <c r="AP30" s="42"/>
      <c r="AQ30" s="42"/>
      <c r="AR30" s="16"/>
      <c r="AS30" s="16"/>
      <c r="AT30" s="42"/>
      <c r="AU30" s="42"/>
      <c r="AV30" s="16"/>
      <c r="AW30" s="42"/>
      <c r="AX30" s="42"/>
      <c r="AY30" s="42"/>
      <c r="AZ30" s="20"/>
      <c r="BA30" s="20"/>
      <c r="BB30" s="20"/>
      <c r="BC30" s="19"/>
      <c r="BD30" s="6"/>
      <c r="BE30" s="6"/>
      <c r="BF30" s="16"/>
      <c r="BG30" s="16"/>
      <c r="BH30" s="6"/>
      <c r="BI30" s="16"/>
      <c r="BJ30" s="16"/>
      <c r="BK30" s="16"/>
      <c r="BL30" s="6"/>
      <c r="BM30" s="16"/>
      <c r="BN30" s="16"/>
      <c r="BO30" s="16"/>
    </row>
    <row r="31" spans="2:67">
      <c r="B31" s="31">
        <f>Main!C31</f>
        <v>2.2894736842105265</v>
      </c>
      <c r="C31" s="31">
        <f>Main!B31</f>
        <v>0.33333333333333326</v>
      </c>
      <c r="D31" s="1">
        <f t="shared" si="0"/>
        <v>0.76315789473684204</v>
      </c>
      <c r="F31" s="1">
        <f t="shared" si="1"/>
        <v>0.65969672852566186</v>
      </c>
      <c r="H31" s="62">
        <f ca="1">Main!AC31</f>
        <v>131.83112185491365</v>
      </c>
      <c r="J31" s="16">
        <f ca="1">'Aerodynamics-Descent'!AG31</f>
        <v>1.4309837058450676</v>
      </c>
      <c r="K31" s="16">
        <f ca="1">'Aerodynamics-Descent'!BE31</f>
        <v>0.42516065004334919</v>
      </c>
      <c r="L31" s="42">
        <f ca="1">'Aerodynamics-Descent'!BF31</f>
        <v>1.5525365511609573E-2</v>
      </c>
      <c r="M31" s="84">
        <v>0</v>
      </c>
      <c r="N31" s="42">
        <f t="shared" ca="1" si="4"/>
        <v>4.9908483415322384E-2</v>
      </c>
      <c r="O31" s="10">
        <f ca="1">'Aerodynamics-Descent'!BH31</f>
        <v>2.4546901746701821E-2</v>
      </c>
      <c r="P31" s="13">
        <f t="shared" ca="1" si="5"/>
        <v>131.83112185694341</v>
      </c>
      <c r="Q31" s="13">
        <f t="shared" ca="1" si="6"/>
        <v>7.611347840045684</v>
      </c>
      <c r="R31" s="16">
        <f t="shared" ca="1" si="2"/>
        <v>17.320338608536403</v>
      </c>
      <c r="S31" s="14">
        <f ca="1">IF(MAX(0,RADIANS(-ABS($B$8))*X31*H31+Q31*X31)&lt;0.1*Cruise!S31,0,MAX(0,RADIANS(-ABS($B$8))*X31*H31+Q31*X31))</f>
        <v>0</v>
      </c>
      <c r="U31" s="20">
        <f t="shared" ca="1" si="3"/>
        <v>19.130541432866359</v>
      </c>
      <c r="V31" s="88">
        <f t="shared" ca="1" si="7"/>
        <v>0.96603832803710654</v>
      </c>
      <c r="W31" s="87">
        <f t="shared" ca="1" si="8"/>
        <v>23.283455106917447</v>
      </c>
      <c r="X31" s="13">
        <f ca="1">'Aerodynamics-Descent'!H31</f>
        <v>35.096844759527272</v>
      </c>
      <c r="Y31" s="33"/>
      <c r="Z31" s="19">
        <f ca="1">'Propulsion-Descent'!S31</f>
        <v>0</v>
      </c>
      <c r="AA31" s="42"/>
      <c r="AB31" s="13">
        <f t="shared" ca="1" si="9"/>
        <v>3.3080057387403516</v>
      </c>
      <c r="AC31" s="1">
        <f t="shared" ca="1" si="10"/>
        <v>0.33839885225192967</v>
      </c>
      <c r="AD31" s="57"/>
      <c r="AE31" s="20"/>
      <c r="AF31" s="16"/>
      <c r="AG31" s="16"/>
      <c r="AH31" s="42"/>
      <c r="AI31" s="42"/>
      <c r="AJ31" s="42"/>
      <c r="AK31" s="16"/>
      <c r="AL31" s="16"/>
      <c r="AM31" s="16"/>
      <c r="AN31" s="16"/>
      <c r="AO31" s="42"/>
      <c r="AP31" s="42"/>
      <c r="AQ31" s="42"/>
      <c r="AR31" s="16"/>
      <c r="AS31" s="16"/>
      <c r="AT31" s="42"/>
      <c r="AU31" s="42"/>
      <c r="AV31" s="16"/>
      <c r="AW31" s="42"/>
      <c r="AX31" s="42"/>
      <c r="AY31" s="42"/>
      <c r="AZ31" s="20"/>
      <c r="BA31" s="20"/>
      <c r="BB31" s="20"/>
      <c r="BC31" s="19"/>
      <c r="BD31" s="6"/>
      <c r="BE31" s="6"/>
      <c r="BF31" s="16"/>
      <c r="BG31" s="16"/>
      <c r="BH31" s="6"/>
      <c r="BI31" s="16"/>
      <c r="BJ31" s="16"/>
      <c r="BK31" s="16"/>
      <c r="BL31" s="6"/>
      <c r="BM31" s="16"/>
      <c r="BN31" s="16"/>
      <c r="BO31" s="16"/>
    </row>
    <row r="32" spans="2:67">
      <c r="B32" s="31">
        <f>Main!C32</f>
        <v>2.3684210526315792</v>
      </c>
      <c r="C32" s="31">
        <f>Main!B32</f>
        <v>0.33333333333333326</v>
      </c>
      <c r="D32" s="1">
        <f t="shared" si="0"/>
        <v>0.78947368421052622</v>
      </c>
      <c r="F32" s="1">
        <f t="shared" si="1"/>
        <v>0.65969672852566186</v>
      </c>
      <c r="H32" s="62">
        <f ca="1">Main!AC32</f>
        <v>131.72349764200382</v>
      </c>
      <c r="J32" s="16">
        <f ca="1">'Aerodynamics-Descent'!AG32</f>
        <v>1.4306383361980364</v>
      </c>
      <c r="K32" s="16">
        <f ca="1">'Aerodynamics-Descent'!BE32</f>
        <v>0.42516461433471053</v>
      </c>
      <c r="L32" s="42">
        <f ca="1">'Aerodynamics-Descent'!BF32</f>
        <v>1.557191538332214E-2</v>
      </c>
      <c r="M32" s="84">
        <v>0</v>
      </c>
      <c r="N32" s="42">
        <f t="shared" ca="1" si="4"/>
        <v>4.8571715144437616E-2</v>
      </c>
      <c r="O32" s="10">
        <f ca="1">'Aerodynamics-Descent'!BH32</f>
        <v>2.4351979008068004E-2</v>
      </c>
      <c r="P32" s="13">
        <f t="shared" ca="1" si="5"/>
        <v>131.7234976440792</v>
      </c>
      <c r="Q32" s="13">
        <f t="shared" ca="1" si="6"/>
        <v>7.5446726781750248</v>
      </c>
      <c r="R32" s="16">
        <f t="shared" ca="1" si="2"/>
        <v>17.459140146016473</v>
      </c>
      <c r="S32" s="14">
        <f ca="1">IF(MAX(0,RADIANS(-ABS($B$8))*X32*H32+Q32*X32)&lt;0.1*Cruise!S32,0,MAX(0,RADIANS(-ABS($B$8))*X32*H32+Q32*X32))</f>
        <v>0</v>
      </c>
      <c r="U32" s="20">
        <f t="shared" ca="1" si="3"/>
        <v>18.803586892402997</v>
      </c>
      <c r="V32" s="88">
        <f t="shared" ca="1" si="7"/>
        <v>0.98070846793978428</v>
      </c>
      <c r="W32" s="87">
        <f t="shared" ca="1" si="8"/>
        <v>22.710969181187959</v>
      </c>
      <c r="X32" s="13">
        <f ca="1">'Aerodynamics-Descent'!H32</f>
        <v>34.492690747565867</v>
      </c>
      <c r="Y32" s="33"/>
      <c r="Z32" s="19">
        <f ca="1">'Propulsion-Descent'!S32</f>
        <v>0</v>
      </c>
      <c r="AA32" s="42"/>
      <c r="AB32" s="13">
        <f t="shared" ca="1" si="9"/>
        <v>3.2817068329139807</v>
      </c>
      <c r="AC32" s="1">
        <f t="shared" ca="1" si="10"/>
        <v>0.34365863341720387</v>
      </c>
      <c r="AD32" s="57"/>
      <c r="AE32" s="20"/>
      <c r="AF32" s="16"/>
      <c r="AG32" s="16"/>
      <c r="AH32" s="42"/>
      <c r="AI32" s="42"/>
      <c r="AJ32" s="42"/>
      <c r="AK32" s="16"/>
      <c r="AL32" s="16"/>
      <c r="AM32" s="16"/>
      <c r="AN32" s="16"/>
      <c r="AO32" s="42"/>
      <c r="AP32" s="42"/>
      <c r="AQ32" s="42"/>
      <c r="AR32" s="16"/>
      <c r="AS32" s="16"/>
      <c r="AT32" s="42"/>
      <c r="AU32" s="42"/>
      <c r="AV32" s="16"/>
      <c r="AW32" s="42"/>
      <c r="AX32" s="42"/>
      <c r="AY32" s="42"/>
      <c r="AZ32" s="20"/>
      <c r="BA32" s="20"/>
      <c r="BB32" s="20"/>
      <c r="BC32" s="19"/>
      <c r="BD32" s="6"/>
      <c r="BE32" s="6"/>
      <c r="BF32" s="16"/>
      <c r="BG32" s="16"/>
      <c r="BH32" s="6"/>
      <c r="BI32" s="16"/>
      <c r="BJ32" s="16"/>
      <c r="BK32" s="16"/>
      <c r="BL32" s="6"/>
      <c r="BM32" s="16"/>
      <c r="BN32" s="16"/>
      <c r="BO32" s="16"/>
    </row>
    <row r="33" spans="2:67">
      <c r="B33" s="31">
        <f>Main!C33</f>
        <v>2.4473684210526319</v>
      </c>
      <c r="C33" s="31">
        <f>Main!B33</f>
        <v>0.33333333333333326</v>
      </c>
      <c r="D33" s="1">
        <f t="shared" si="0"/>
        <v>0.8157894736842104</v>
      </c>
      <c r="F33" s="1">
        <f t="shared" si="1"/>
        <v>0.65969672852566186</v>
      </c>
      <c r="H33" s="62">
        <f ca="1">Main!AC33</f>
        <v>131.66480106818827</v>
      </c>
      <c r="J33" s="16">
        <f ca="1">'Aerodynamics-Descent'!AG33</f>
        <v>1.4303077989787139</v>
      </c>
      <c r="K33" s="16">
        <f ca="1">'Aerodynamics-Descent'!BE33</f>
        <v>0.42516822180031011</v>
      </c>
      <c r="L33" s="42">
        <f ca="1">'Aerodynamics-Descent'!BF33</f>
        <v>1.5619627026544009E-2</v>
      </c>
      <c r="M33" s="84">
        <v>0</v>
      </c>
      <c r="N33" s="42">
        <f t="shared" ca="1" si="4"/>
        <v>4.7319924058490385E-2</v>
      </c>
      <c r="O33" s="10">
        <f ca="1">'Aerodynamics-Descent'!BH33</f>
        <v>2.4173555855183229E-2</v>
      </c>
      <c r="P33" s="13">
        <f t="shared" ca="1" si="5"/>
        <v>131.66480107031737</v>
      </c>
      <c r="Q33" s="13">
        <f t="shared" ca="1" si="6"/>
        <v>7.4859932131281974</v>
      </c>
      <c r="R33" s="16">
        <f t="shared" ca="1" si="2"/>
        <v>17.588153945880769</v>
      </c>
      <c r="S33" s="14">
        <f ca="1">IF(MAX(0,RADIANS(-ABS($B$8))*X33*H33+Q33*X33)&lt;0.1*Cruise!S33,0,MAX(0,RADIANS(-ABS($B$8))*X33*H33+Q33*X33))</f>
        <v>0</v>
      </c>
      <c r="U33" s="20">
        <f t="shared" ca="1" si="3"/>
        <v>18.495832098691867</v>
      </c>
      <c r="V33" s="88">
        <f t="shared" ca="1" si="7"/>
        <v>0.995116523432232</v>
      </c>
      <c r="W33" s="87">
        <f t="shared" ca="1" si="8"/>
        <v>22.174388842607602</v>
      </c>
      <c r="X33" s="13">
        <f ca="1">'Aerodynamics-Descent'!H33</f>
        <v>33.924091764732189</v>
      </c>
      <c r="Y33" s="33"/>
      <c r="Z33" s="19">
        <f ca="1">'Propulsion-Descent'!S33</f>
        <v>0</v>
      </c>
      <c r="AA33" s="42"/>
      <c r="AB33" s="13">
        <f t="shared" ca="1" si="9"/>
        <v>3.2576346380813761</v>
      </c>
      <c r="AC33" s="1">
        <f t="shared" ca="1" si="10"/>
        <v>0.34847307238372477</v>
      </c>
      <c r="AD33" s="57"/>
      <c r="AE33" s="20"/>
      <c r="AF33" s="16"/>
      <c r="AG33" s="16"/>
      <c r="AH33" s="42"/>
      <c r="AI33" s="42"/>
      <c r="AJ33" s="42"/>
      <c r="AK33" s="16"/>
      <c r="AL33" s="16"/>
      <c r="AM33" s="16"/>
      <c r="AN33" s="16"/>
      <c r="AO33" s="42"/>
      <c r="AP33" s="42"/>
      <c r="AQ33" s="42"/>
      <c r="AR33" s="16"/>
      <c r="AS33" s="16"/>
      <c r="AT33" s="42"/>
      <c r="AU33" s="42"/>
      <c r="AV33" s="16"/>
      <c r="AW33" s="42"/>
      <c r="AX33" s="42"/>
      <c r="AY33" s="42"/>
      <c r="AZ33" s="20"/>
      <c r="BA33" s="20"/>
      <c r="BB33" s="20"/>
      <c r="BC33" s="19"/>
      <c r="BD33" s="6"/>
      <c r="BE33" s="6"/>
      <c r="BF33" s="16"/>
      <c r="BG33" s="16"/>
      <c r="BH33" s="6"/>
      <c r="BI33" s="16"/>
      <c r="BJ33" s="16"/>
      <c r="BK33" s="16"/>
      <c r="BL33" s="6"/>
      <c r="BM33" s="16"/>
      <c r="BN33" s="16"/>
      <c r="BO33" s="16"/>
    </row>
    <row r="34" spans="2:67">
      <c r="B34" s="31">
        <f>Main!C34</f>
        <v>2.5263157894736845</v>
      </c>
      <c r="C34" s="31">
        <f>Main!B34</f>
        <v>0.33333333333333326</v>
      </c>
      <c r="D34" s="1">
        <f t="shared" si="0"/>
        <v>0.84210526315789469</v>
      </c>
      <c r="F34" s="1">
        <f t="shared" si="1"/>
        <v>0.65969672852566186</v>
      </c>
      <c r="H34" s="62">
        <f ca="1">Main!AC34</f>
        <v>131.64808624958647</v>
      </c>
      <c r="J34" s="16">
        <f ca="1">'Aerodynamics-Descent'!AG34</f>
        <v>1.4299908617216683</v>
      </c>
      <c r="K34" s="16">
        <f ca="1">'Aerodynamics-Descent'!BE34</f>
        <v>0.42517151483219201</v>
      </c>
      <c r="L34" s="42">
        <f ca="1">'Aerodynamics-Descent'!BF34</f>
        <v>1.5668345466951936E-2</v>
      </c>
      <c r="M34" s="84">
        <v>0</v>
      </c>
      <c r="N34" s="42">
        <f t="shared" ca="1" si="4"/>
        <v>4.6145292212831653E-2</v>
      </c>
      <c r="O34" s="10">
        <f ca="1">'Aerodynamics-Descent'!BH34</f>
        <v>2.4010067642197118E-2</v>
      </c>
      <c r="P34" s="13">
        <f t="shared" ca="1" si="5"/>
        <v>131.64808625177727</v>
      </c>
      <c r="Q34" s="13">
        <f t="shared" ca="1" si="6"/>
        <v>7.4343631819232261</v>
      </c>
      <c r="R34" s="16">
        <f t="shared" ca="1" si="2"/>
        <v>17.70805152106124</v>
      </c>
      <c r="S34" s="14">
        <f ca="1">IF(MAX(0,RADIANS(-ABS($B$8))*X34*H34+Q34*X34)&lt;0.1*Cruise!S34,0,MAX(0,RADIANS(-ABS($B$8))*X34*H34+Q34*X34))</f>
        <v>0</v>
      </c>
      <c r="U34" s="20">
        <f t="shared" ca="1" si="3"/>
        <v>18.205402529444711</v>
      </c>
      <c r="V34" s="88">
        <f t="shared" ca="1" si="7"/>
        <v>1.0092726310414488</v>
      </c>
      <c r="W34" s="87">
        <f t="shared" ca="1" si="8"/>
        <v>21.670187481524213</v>
      </c>
      <c r="X34" s="13">
        <f ca="1">'Aerodynamics-Descent'!H34</f>
        <v>33.387571929471704</v>
      </c>
      <c r="Y34" s="33"/>
      <c r="Z34" s="19">
        <f ca="1">'Propulsion-Descent'!S34</f>
        <v>0</v>
      </c>
      <c r="AA34" s="42"/>
      <c r="AB34" s="13">
        <f t="shared" ca="1" si="9"/>
        <v>3.2355778638824559</v>
      </c>
      <c r="AC34" s="1">
        <f t="shared" ca="1" si="10"/>
        <v>0.35288442722350882</v>
      </c>
      <c r="AD34" s="57"/>
      <c r="AE34" s="20"/>
      <c r="AF34" s="16"/>
      <c r="AG34" s="16"/>
      <c r="AH34" s="42"/>
      <c r="AI34" s="42"/>
      <c r="AJ34" s="42"/>
      <c r="AK34" s="16"/>
      <c r="AL34" s="16"/>
      <c r="AM34" s="16"/>
      <c r="AN34" s="16"/>
      <c r="AO34" s="42"/>
      <c r="AP34" s="42"/>
      <c r="AQ34" s="42"/>
      <c r="AR34" s="16"/>
      <c r="AS34" s="16"/>
      <c r="AT34" s="42"/>
      <c r="AU34" s="42"/>
      <c r="AV34" s="16"/>
      <c r="AW34" s="42"/>
      <c r="AX34" s="42"/>
      <c r="AY34" s="42"/>
      <c r="AZ34" s="20"/>
      <c r="BA34" s="20"/>
      <c r="BB34" s="20"/>
      <c r="BC34" s="19"/>
      <c r="BD34" s="6"/>
      <c r="BE34" s="6"/>
      <c r="BF34" s="16"/>
      <c r="BG34" s="16"/>
      <c r="BH34" s="6"/>
      <c r="BI34" s="16"/>
      <c r="BJ34" s="16"/>
      <c r="BK34" s="16"/>
      <c r="BL34" s="6"/>
      <c r="BM34" s="16"/>
      <c r="BN34" s="16"/>
      <c r="BO34" s="16"/>
    </row>
    <row r="35" spans="2:67">
      <c r="B35" s="31">
        <f>Main!C35</f>
        <v>2.6052631578947372</v>
      </c>
      <c r="C35" s="31">
        <f>Main!B35</f>
        <v>0.33333333333333326</v>
      </c>
      <c r="D35" s="1">
        <f t="shared" si="0"/>
        <v>0.86842105263157887</v>
      </c>
      <c r="F35" s="1">
        <f t="shared" si="1"/>
        <v>0.65969672852566186</v>
      </c>
      <c r="H35" s="62">
        <f ca="1">Main!AC35</f>
        <v>131.66397514989566</v>
      </c>
      <c r="J35" s="16">
        <f ca="1">'Aerodynamics-Descent'!AG35</f>
        <v>1.4296861711701239</v>
      </c>
      <c r="K35" s="16">
        <f ca="1">'Aerodynamics-Descent'!BE35</f>
        <v>0.42517452964099961</v>
      </c>
      <c r="L35" s="42">
        <f ca="1">'Aerodynamics-Descent'!BF35</f>
        <v>1.5718043086377847E-2</v>
      </c>
      <c r="M35" s="84">
        <v>0</v>
      </c>
      <c r="N35" s="42">
        <f t="shared" ca="1" si="4"/>
        <v>4.5040923221602649E-2</v>
      </c>
      <c r="O35" s="10">
        <f ca="1">'Aerodynamics-Descent'!BH35</f>
        <v>2.3860243045070787E-2</v>
      </c>
      <c r="P35" s="13">
        <f t="shared" ca="1" si="5"/>
        <v>131.66397515213862</v>
      </c>
      <c r="Q35" s="13">
        <f t="shared" ca="1" si="6"/>
        <v>7.388811484222197</v>
      </c>
      <c r="R35" s="16">
        <f t="shared" ca="1" si="2"/>
        <v>17.819371279574415</v>
      </c>
      <c r="S35" s="14">
        <f ca="1">IF(MAX(0,RADIANS(-ABS($B$8))*X35*H35+Q35*X35)&lt;0.1*Cruise!S35,0,MAX(0,RADIANS(-ABS($B$8))*X35*H35+Q35*X35))</f>
        <v>0</v>
      </c>
      <c r="U35" s="20">
        <f t="shared" ca="1" si="3"/>
        <v>17.930433284068251</v>
      </c>
      <c r="V35" s="88">
        <f t="shared" ca="1" si="7"/>
        <v>1.023189849046424</v>
      </c>
      <c r="W35" s="87">
        <f t="shared" ca="1" si="8"/>
        <v>21.194980974233562</v>
      </c>
      <c r="X35" s="13">
        <f ca="1">'Aerodynamics-Descent'!H35</f>
        <v>32.879675488360149</v>
      </c>
      <c r="Y35" s="33"/>
      <c r="Z35" s="19">
        <f ca="1">'Propulsion-Descent'!S35</f>
        <v>0</v>
      </c>
      <c r="AA35" s="42"/>
      <c r="AB35" s="13">
        <f t="shared" ca="1" si="9"/>
        <v>3.2153648192814801</v>
      </c>
      <c r="AC35" s="1">
        <f t="shared" ca="1" si="10"/>
        <v>0.35692703614370397</v>
      </c>
      <c r="AD35" s="57"/>
      <c r="AE35" s="20"/>
      <c r="AF35" s="16"/>
      <c r="AG35" s="16"/>
      <c r="AH35" s="42"/>
      <c r="AI35" s="42"/>
      <c r="AJ35" s="42"/>
      <c r="AK35" s="16"/>
      <c r="AL35" s="16"/>
      <c r="AM35" s="16"/>
      <c r="AN35" s="16"/>
      <c r="AO35" s="42"/>
      <c r="AP35" s="42"/>
      <c r="AQ35" s="42"/>
      <c r="AR35" s="16"/>
      <c r="AS35" s="16"/>
      <c r="AT35" s="42"/>
      <c r="AU35" s="42"/>
      <c r="AV35" s="16"/>
      <c r="AW35" s="42"/>
      <c r="AX35" s="42"/>
      <c r="AY35" s="42"/>
      <c r="AZ35" s="20"/>
      <c r="BA35" s="20"/>
      <c r="BB35" s="20"/>
      <c r="BC35" s="19"/>
      <c r="BD35" s="6"/>
      <c r="BE35" s="6"/>
      <c r="BF35" s="16"/>
      <c r="BG35" s="16"/>
      <c r="BH35" s="6"/>
      <c r="BI35" s="16"/>
      <c r="BJ35" s="16"/>
      <c r="BK35" s="16"/>
      <c r="BL35" s="6"/>
      <c r="BM35" s="16"/>
      <c r="BN35" s="16"/>
      <c r="BO35" s="16"/>
    </row>
    <row r="36" spans="2:67">
      <c r="B36" s="31">
        <f>Main!C36</f>
        <v>2.6842105263157898</v>
      </c>
      <c r="C36" s="31">
        <f>Main!B36</f>
        <v>0.33333333333333326</v>
      </c>
      <c r="D36" s="1">
        <f t="shared" si="0"/>
        <v>0.89473684210526305</v>
      </c>
      <c r="F36" s="1">
        <f t="shared" si="1"/>
        <v>0.65969672852566186</v>
      </c>
      <c r="H36" s="62">
        <f ca="1">Main!AC36</f>
        <v>131.71508343743108</v>
      </c>
      <c r="J36" s="16">
        <f ca="1">'Aerodynamics-Descent'!AG36</f>
        <v>1.429393335545734</v>
      </c>
      <c r="K36" s="16">
        <f ca="1">'Aerodynamics-Descent'!BE36</f>
        <v>0.42517729731278564</v>
      </c>
      <c r="L36" s="42">
        <f ca="1">'Aerodynamics-Descent'!BF36</f>
        <v>1.5768369206025735E-2</v>
      </c>
      <c r="M36" s="84">
        <v>0</v>
      </c>
      <c r="N36" s="42">
        <f t="shared" ca="1" si="4"/>
        <v>4.4000781619601664E-2</v>
      </c>
      <c r="O36" s="10">
        <f ca="1">'Aerodynamics-Descent'!BH36</f>
        <v>2.37226428065671E-2</v>
      </c>
      <c r="P36" s="13">
        <f t="shared" ca="1" si="5"/>
        <v>131.71508343972377</v>
      </c>
      <c r="Q36" s="13">
        <f t="shared" ca="1" si="6"/>
        <v>7.3490045127670252</v>
      </c>
      <c r="R36" s="16">
        <f t="shared" ca="1" si="2"/>
        <v>17.922846993889081</v>
      </c>
      <c r="S36" s="14">
        <f ca="1">IF(MAX(0,RADIANS(-ABS($B$8))*X36*H36+Q36*X36)&lt;0.1*Cruise!S36,0,MAX(0,RADIANS(-ABS($B$8))*X36*H36+Q36*X36))</f>
        <v>0</v>
      </c>
      <c r="U36" s="20">
        <f t="shared" ca="1" si="3"/>
        <v>17.670020429855754</v>
      </c>
      <c r="V36" s="88">
        <f t="shared" ca="1" si="7"/>
        <v>1.0368688365064302</v>
      </c>
      <c r="W36" s="87">
        <f t="shared" ca="1" si="8"/>
        <v>20.746795071992693</v>
      </c>
      <c r="X36" s="13">
        <f ca="1">'Aerodynamics-Descent'!H36</f>
        <v>32.398723136817416</v>
      </c>
      <c r="Y36" s="33"/>
      <c r="Z36" s="19">
        <f ca="1">'Propulsion-Descent'!S36</f>
        <v>0</v>
      </c>
      <c r="AA36" s="42"/>
      <c r="AB36" s="13">
        <f t="shared" ca="1" si="9"/>
        <v>3.1968012410983047</v>
      </c>
      <c r="AC36" s="1">
        <f t="shared" ca="1" si="10"/>
        <v>0.36063975178033908</v>
      </c>
      <c r="AD36" s="57"/>
      <c r="AE36" s="20"/>
      <c r="AF36" s="16"/>
      <c r="AG36" s="16"/>
      <c r="AH36" s="42"/>
      <c r="AI36" s="42"/>
      <c r="AJ36" s="42"/>
      <c r="AK36" s="16"/>
      <c r="AL36" s="16"/>
      <c r="AM36" s="16"/>
      <c r="AN36" s="16"/>
      <c r="AO36" s="42"/>
      <c r="AP36" s="42"/>
      <c r="AQ36" s="42"/>
      <c r="AR36" s="16"/>
      <c r="AS36" s="16"/>
      <c r="AT36" s="42"/>
      <c r="AU36" s="42"/>
      <c r="AV36" s="16"/>
      <c r="AW36" s="42"/>
      <c r="AX36" s="42"/>
      <c r="AY36" s="42"/>
      <c r="AZ36" s="20"/>
      <c r="BA36" s="20"/>
      <c r="BB36" s="20"/>
      <c r="BC36" s="19"/>
      <c r="BD36" s="6"/>
      <c r="BE36" s="6"/>
      <c r="BF36" s="16"/>
      <c r="BG36" s="16"/>
      <c r="BH36" s="6"/>
      <c r="BI36" s="16"/>
      <c r="BJ36" s="16"/>
      <c r="BK36" s="16"/>
      <c r="BL36" s="6"/>
      <c r="BM36" s="16"/>
      <c r="BN36" s="16"/>
      <c r="BO36" s="16"/>
    </row>
    <row r="37" spans="2:67">
      <c r="B37" s="31">
        <f>Main!C37</f>
        <v>2.7631578947368425</v>
      </c>
      <c r="C37" s="31">
        <f>Main!B37</f>
        <v>0.33333333333333326</v>
      </c>
      <c r="D37" s="1">
        <f t="shared" si="0"/>
        <v>0.92105263157894723</v>
      </c>
      <c r="F37" s="1">
        <f t="shared" si="1"/>
        <v>0.65969672852566186</v>
      </c>
      <c r="H37" s="62">
        <f ca="1">Main!AC37</f>
        <v>131.79789717184198</v>
      </c>
      <c r="J37" s="16">
        <f ca="1">'Aerodynamics-Descent'!AG37</f>
        <v>1.4291115498991893</v>
      </c>
      <c r="K37" s="16">
        <f ca="1">'Aerodynamics-Descent'!BE37</f>
        <v>0.42517984466018388</v>
      </c>
      <c r="L37" s="42">
        <f ca="1">'Aerodynamics-Descent'!BF37</f>
        <v>1.5819194085676287E-2</v>
      </c>
      <c r="M37" s="84">
        <v>0</v>
      </c>
      <c r="N37" s="42">
        <f t="shared" ca="1" si="4"/>
        <v>4.3019482704163337E-2</v>
      </c>
      <c r="O37" s="10">
        <f ca="1">'Aerodynamics-Descent'!BH37</f>
        <v>2.3596165841222289E-2</v>
      </c>
      <c r="P37" s="13">
        <f t="shared" ca="1" si="5"/>
        <v>131.79789717418373</v>
      </c>
      <c r="Q37" s="13">
        <f t="shared" ca="1" si="6"/>
        <v>7.3143755008705655</v>
      </c>
      <c r="R37" s="16">
        <f t="shared" ca="1" si="2"/>
        <v>18.019022561597637</v>
      </c>
      <c r="S37" s="14">
        <f ca="1">IF(MAX(0,RADIANS(-ABS($B$8))*X37*H37+Q37*X37)&lt;0.1*Cruise!S37,0,MAX(0,RADIANS(-ABS($B$8))*X37*H37+Q37*X37))</f>
        <v>0</v>
      </c>
      <c r="U37" s="20">
        <f t="shared" ca="1" si="3"/>
        <v>17.422953790374155</v>
      </c>
      <c r="V37" s="88">
        <f t="shared" ca="1" si="7"/>
        <v>1.0503165593920671</v>
      </c>
      <c r="W37" s="87">
        <f t="shared" ca="1" si="8"/>
        <v>20.32332410122233</v>
      </c>
      <c r="X37" s="13">
        <f ca="1">'Aerodynamics-Descent'!H37</f>
        <v>31.942471420245251</v>
      </c>
      <c r="Y37" s="33"/>
      <c r="Z37" s="19">
        <f ca="1">'Propulsion-Descent'!S37</f>
        <v>0</v>
      </c>
      <c r="AA37" s="42"/>
      <c r="AB37" s="13">
        <f t="shared" ca="1" si="9"/>
        <v>3.1797384857161899</v>
      </c>
      <c r="AC37" s="1">
        <f t="shared" ca="1" si="10"/>
        <v>0.36405230285676204</v>
      </c>
      <c r="AD37" s="57"/>
      <c r="AE37" s="20"/>
      <c r="AF37" s="16"/>
      <c r="AG37" s="16"/>
      <c r="AH37" s="42"/>
      <c r="AI37" s="42"/>
      <c r="AJ37" s="42"/>
      <c r="AK37" s="16"/>
      <c r="AL37" s="16"/>
      <c r="AM37" s="16"/>
      <c r="AN37" s="16"/>
      <c r="AO37" s="42"/>
      <c r="AP37" s="42"/>
      <c r="AQ37" s="42"/>
      <c r="AR37" s="16"/>
      <c r="AS37" s="16"/>
      <c r="AT37" s="42"/>
      <c r="AU37" s="42"/>
      <c r="AV37" s="16"/>
      <c r="AW37" s="42"/>
      <c r="AX37" s="42"/>
      <c r="AY37" s="42"/>
      <c r="AZ37" s="20"/>
      <c r="BA37" s="20"/>
      <c r="BB37" s="20"/>
      <c r="BC37" s="19"/>
      <c r="BD37" s="6"/>
      <c r="BE37" s="6"/>
      <c r="BF37" s="16"/>
      <c r="BG37" s="16"/>
      <c r="BH37" s="6"/>
      <c r="BI37" s="16"/>
      <c r="BJ37" s="16"/>
      <c r="BK37" s="16"/>
      <c r="BL37" s="6"/>
      <c r="BM37" s="16"/>
      <c r="BN37" s="16"/>
      <c r="BO37" s="16"/>
    </row>
    <row r="38" spans="2:67">
      <c r="B38" s="31">
        <f>Main!C38</f>
        <v>2.8421052631578951</v>
      </c>
      <c r="C38" s="31">
        <f>Main!B38</f>
        <v>0.33333333333333326</v>
      </c>
      <c r="D38" s="1">
        <f t="shared" si="0"/>
        <v>0.94736842105263153</v>
      </c>
      <c r="F38" s="1">
        <f t="shared" si="1"/>
        <v>0.65969672852566186</v>
      </c>
      <c r="H38" s="62">
        <f ca="1">Main!AC38</f>
        <v>131.90942506193599</v>
      </c>
      <c r="J38" s="16">
        <f ca="1">'Aerodynamics-Descent'!AG38</f>
        <v>1.4288400931460277</v>
      </c>
      <c r="K38" s="16">
        <f ca="1">'Aerodynamics-Descent'!BE38</f>
        <v>0.42518219491253062</v>
      </c>
      <c r="L38" s="42">
        <f ca="1">'Aerodynamics-Descent'!BF38</f>
        <v>1.5870402852986958E-2</v>
      </c>
      <c r="M38" s="84">
        <v>0</v>
      </c>
      <c r="N38" s="42">
        <f t="shared" ca="1" si="4"/>
        <v>4.2092234193718499E-2</v>
      </c>
      <c r="O38" s="10">
        <f ca="1">'Aerodynamics-Descent'!BH38</f>
        <v>2.3479832693829712E-2</v>
      </c>
      <c r="P38" s="13">
        <f t="shared" ca="1" si="5"/>
        <v>131.90942506432538</v>
      </c>
      <c r="Q38" s="13">
        <f t="shared" ca="1" si="6"/>
        <v>7.284433046136356</v>
      </c>
      <c r="R38" s="16">
        <f t="shared" ca="1" si="2"/>
        <v>18.108399683114637</v>
      </c>
      <c r="S38" s="14">
        <f ca="1">IF(MAX(0,RADIANS(-ABS($B$8))*X38*H38+Q38*X38)&lt;0.1*Cruise!S38,0,MAX(0,RADIANS(-ABS($B$8))*X38*H38+Q38*X38))</f>
        <v>0</v>
      </c>
      <c r="U38" s="20">
        <f t="shared" ca="1" si="3"/>
        <v>17.188163661761333</v>
      </c>
      <c r="V38" s="88">
        <f t="shared" ca="1" si="7"/>
        <v>1.0635394743497586</v>
      </c>
      <c r="W38" s="87">
        <f t="shared" ca="1" si="8"/>
        <v>19.922529903430018</v>
      </c>
      <c r="X38" s="13">
        <f ca="1">'Aerodynamics-Descent'!H38</f>
        <v>31.508937554230929</v>
      </c>
      <c r="Y38" s="33"/>
      <c r="Z38" s="19">
        <f ca="1">'Propulsion-Descent'!S38</f>
        <v>0</v>
      </c>
      <c r="AA38" s="42"/>
      <c r="AB38" s="13">
        <f t="shared" ca="1" si="9"/>
        <v>3.1640443394645308</v>
      </c>
      <c r="AC38" s="1">
        <f t="shared" ca="1" si="10"/>
        <v>0.36719113210709386</v>
      </c>
      <c r="AD38" s="57"/>
      <c r="AE38" s="20"/>
      <c r="AF38" s="16"/>
      <c r="AG38" s="16"/>
      <c r="AH38" s="42"/>
      <c r="AI38" s="42"/>
      <c r="AJ38" s="42"/>
      <c r="AK38" s="16"/>
      <c r="AL38" s="16"/>
      <c r="AM38" s="16"/>
      <c r="AN38" s="16"/>
      <c r="AO38" s="42"/>
      <c r="AP38" s="42"/>
      <c r="AQ38" s="42"/>
      <c r="AR38" s="16"/>
      <c r="AS38" s="16"/>
      <c r="AT38" s="42"/>
      <c r="AU38" s="42"/>
      <c r="AV38" s="16"/>
      <c r="AW38" s="42"/>
      <c r="AX38" s="42"/>
      <c r="AY38" s="42"/>
      <c r="AZ38" s="20"/>
      <c r="BA38" s="20"/>
      <c r="BB38" s="20"/>
      <c r="BC38" s="19"/>
      <c r="BD38" s="6"/>
      <c r="BE38" s="6"/>
      <c r="BF38" s="16"/>
      <c r="BG38" s="16"/>
      <c r="BH38" s="6"/>
      <c r="BI38" s="16"/>
      <c r="BJ38" s="16"/>
      <c r="BK38" s="16"/>
      <c r="BL38" s="6"/>
      <c r="BM38" s="16"/>
      <c r="BN38" s="16"/>
      <c r="BO38" s="16"/>
    </row>
    <row r="39" spans="2:67">
      <c r="B39" s="31">
        <f>Main!C39</f>
        <v>2.9210526315789478</v>
      </c>
      <c r="C39" s="31">
        <f>Main!B39</f>
        <v>0.33333333333333326</v>
      </c>
      <c r="D39" s="1">
        <f t="shared" si="0"/>
        <v>0.97368421052631571</v>
      </c>
      <c r="F39" s="1">
        <f t="shared" si="1"/>
        <v>0.65969672852566186</v>
      </c>
      <c r="H39" s="62">
        <f ca="1">Main!AC39</f>
        <v>132.04710507840423</v>
      </c>
      <c r="J39" s="16">
        <f ca="1">'Aerodynamics-Descent'!AG39</f>
        <v>1.4285783163991335</v>
      </c>
      <c r="K39" s="16">
        <f ca="1">'Aerodynamics-Descent'!BE39</f>
        <v>0.42518436827892003</v>
      </c>
      <c r="L39" s="42">
        <f ca="1">'Aerodynamics-Descent'!BF39</f>
        <v>1.5921893757093315E-2</v>
      </c>
      <c r="M39" s="84">
        <v>0</v>
      </c>
      <c r="N39" s="42">
        <f t="shared" ca="1" si="4"/>
        <v>4.1214756553704705E-2</v>
      </c>
      <c r="O39" s="10">
        <f ca="1">'Aerodynamics-Descent'!BH39</f>
        <v>2.3372769450293922E-2</v>
      </c>
      <c r="P39" s="13">
        <f t="shared" ca="1" si="5"/>
        <v>132.04710508084005</v>
      </c>
      <c r="Q39" s="13">
        <f t="shared" ca="1" si="6"/>
        <v>7.258748848472715</v>
      </c>
      <c r="R39" s="16">
        <f t="shared" ca="1" si="2"/>
        <v>18.191441505601006</v>
      </c>
      <c r="S39" s="14">
        <f ca="1">IF(MAX(0,RADIANS(-ABS($B$8))*X39*H39+Q39*X39)&lt;0.1*Cruise!S39,0,MAX(0,RADIANS(-ABS($B$8))*X39*H39+Q39*X39))</f>
        <v>0</v>
      </c>
      <c r="U39" s="20">
        <f t="shared" ca="1" si="3"/>
        <v>16.964700003304852</v>
      </c>
      <c r="V39" s="88">
        <f t="shared" ca="1" si="7"/>
        <v>1.0765435883399574</v>
      </c>
      <c r="W39" s="87">
        <f t="shared" ca="1" si="8"/>
        <v>19.54260264727456</v>
      </c>
      <c r="X39" s="13">
        <f ca="1">'Aerodynamics-Descent'!H39</f>
        <v>31.096360783221016</v>
      </c>
      <c r="Y39" s="33"/>
      <c r="Z39" s="19">
        <f ca="1">'Propulsion-Descent'!S39</f>
        <v>0</v>
      </c>
      <c r="AA39" s="42"/>
      <c r="AB39" s="13">
        <f t="shared" ca="1" si="9"/>
        <v>3.1496008436988516</v>
      </c>
      <c r="AC39" s="1">
        <f t="shared" ca="1" si="10"/>
        <v>0.3700798312602297</v>
      </c>
      <c r="AD39" s="57"/>
      <c r="AE39" s="20"/>
      <c r="AF39" s="16"/>
      <c r="AG39" s="16"/>
      <c r="AH39" s="42"/>
      <c r="AI39" s="42"/>
      <c r="AJ39" s="42"/>
      <c r="AK39" s="16"/>
      <c r="AL39" s="16"/>
      <c r="AM39" s="16"/>
      <c r="AN39" s="16"/>
      <c r="AO39" s="42"/>
      <c r="AP39" s="42"/>
      <c r="AQ39" s="42"/>
      <c r="AR39" s="16"/>
      <c r="AS39" s="16"/>
      <c r="AT39" s="42"/>
      <c r="AU39" s="42"/>
      <c r="AV39" s="16"/>
      <c r="AW39" s="42"/>
      <c r="AX39" s="42"/>
      <c r="AY39" s="42"/>
      <c r="AZ39" s="20"/>
      <c r="BA39" s="20"/>
      <c r="BB39" s="20"/>
      <c r="BC39" s="19"/>
      <c r="BD39" s="6"/>
      <c r="BE39" s="6"/>
      <c r="BF39" s="16"/>
      <c r="BG39" s="16"/>
      <c r="BH39" s="6"/>
      <c r="BI39" s="16"/>
      <c r="BJ39" s="16"/>
      <c r="BK39" s="16"/>
      <c r="BL39" s="6"/>
      <c r="BM39" s="16"/>
      <c r="BN39" s="16"/>
      <c r="BO39" s="16"/>
    </row>
    <row r="40" spans="2:67">
      <c r="B40" s="31">
        <f>Main!C40</f>
        <v>3</v>
      </c>
      <c r="C40" s="31">
        <f>Main!B40</f>
        <v>0.33333333333333326</v>
      </c>
      <c r="D40" s="1">
        <f t="shared" si="0"/>
        <v>0.99999999999999978</v>
      </c>
      <c r="F40" s="1">
        <f t="shared" si="1"/>
        <v>0.65969672852566186</v>
      </c>
      <c r="H40" s="62">
        <f ca="1">Main!AC40</f>
        <v>109.48016672982719</v>
      </c>
      <c r="J40" s="16">
        <f ca="1">'Aerodynamics-Descent'!AG40</f>
        <v>1.426454487370683</v>
      </c>
      <c r="K40" s="16">
        <f ca="1">'Aerodynamics-Descent'!BE40</f>
        <v>0.42518638241030537</v>
      </c>
      <c r="L40" s="42">
        <f ca="1">'Aerodynamics-Descent'!BF40</f>
        <v>1.6790703708396623E-2</v>
      </c>
      <c r="M40" s="84">
        <v>0</v>
      </c>
      <c r="N40" s="42">
        <f t="shared" ca="1" si="4"/>
        <v>4.0265386859744366E-2</v>
      </c>
      <c r="O40" s="10">
        <f ca="1">'Aerodynamics-Descent'!BH40</f>
        <v>2.4070107866838743E-2</v>
      </c>
      <c r="P40" s="13">
        <f t="shared" ca="1" si="5"/>
        <v>109.4845733072638</v>
      </c>
      <c r="Q40" s="13">
        <f t="shared" ca="1" si="6"/>
        <v>6.1980006845976092</v>
      </c>
      <c r="R40" s="16">
        <f t="shared" ca="1" si="2"/>
        <v>17.664498421134304</v>
      </c>
      <c r="S40" s="14">
        <f ca="1">IF(MAX(0,RADIANS(-ABS($B$8))*X40*H40+Q40*X40)&lt;0.1*Cruise!S40,0,MAX(0,RADIANS(-ABS($B$8))*X40*H40+Q40*X40))</f>
        <v>0</v>
      </c>
      <c r="U40" s="20">
        <f t="shared" ca="1" si="3"/>
        <v>15.25392469051406</v>
      </c>
      <c r="V40" s="88">
        <f t="shared" ca="1" si="7"/>
        <v>1.118482358202237</v>
      </c>
      <c r="W40" s="87">
        <f t="shared" ca="1" si="8"/>
        <v>17.226457956084474</v>
      </c>
      <c r="X40" s="13">
        <f ca="1">'Aerodynamics-Descent'!H40</f>
        <v>27.939925689210312</v>
      </c>
      <c r="Y40" s="33"/>
      <c r="Z40" s="19">
        <f ca="1">'Propulsion-Descent'!S40</f>
        <v>0</v>
      </c>
      <c r="AA40" s="42"/>
      <c r="AB40" s="13">
        <f t="shared" ca="1" si="9"/>
        <v>3.2436859684639838</v>
      </c>
      <c r="AC40" s="1">
        <f t="shared" ca="1" si="10"/>
        <v>0.35126280630720325</v>
      </c>
      <c r="AD40" s="57"/>
      <c r="AE40" s="20"/>
      <c r="AF40" s="16"/>
      <c r="AG40" s="16"/>
      <c r="AH40" s="42"/>
      <c r="AI40" s="42"/>
      <c r="AJ40" s="42"/>
      <c r="AK40" s="16"/>
      <c r="AL40" s="16"/>
      <c r="AM40" s="16"/>
      <c r="AN40" s="16"/>
      <c r="AO40" s="42"/>
      <c r="AP40" s="42"/>
      <c r="AQ40" s="42"/>
      <c r="AR40" s="16"/>
      <c r="AS40" s="16"/>
      <c r="AT40" s="42"/>
      <c r="AU40" s="42"/>
      <c r="AV40" s="16"/>
      <c r="AW40" s="42"/>
      <c r="AX40" s="42"/>
      <c r="AY40" s="42"/>
      <c r="AZ40" s="20"/>
      <c r="BA40" s="20"/>
      <c r="BB40" s="20"/>
      <c r="BC40" s="19"/>
      <c r="BD40" s="6"/>
      <c r="BE40" s="6"/>
      <c r="BF40" s="16"/>
      <c r="BG40" s="16"/>
      <c r="BH40" s="6"/>
      <c r="BI40" s="16"/>
      <c r="BJ40" s="16"/>
      <c r="BK40" s="16"/>
      <c r="BL40" s="6"/>
      <c r="BM40" s="16"/>
      <c r="BN40" s="16"/>
      <c r="BO40" s="16"/>
    </row>
    <row r="41" spans="2:67"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</row>
    <row r="42" spans="2:67">
      <c r="D42" s="4"/>
    </row>
    <row r="44" spans="2:67">
      <c r="I44" s="14"/>
      <c r="M44" s="1"/>
      <c r="N44" s="1"/>
      <c r="O44" s="1"/>
      <c r="P44" s="1"/>
    </row>
    <row r="45" spans="2:67">
      <c r="I45" s="14"/>
    </row>
    <row r="46" spans="2:67">
      <c r="I46" s="14"/>
    </row>
    <row r="47" spans="2:67">
      <c r="I47" s="14"/>
    </row>
    <row r="48" spans="2:67">
      <c r="I48" s="14"/>
    </row>
    <row r="49" spans="9:9">
      <c r="I49" s="14"/>
    </row>
    <row r="50" spans="9:9">
      <c r="I50" s="14"/>
    </row>
    <row r="51" spans="9:9">
      <c r="I51" s="14"/>
    </row>
    <row r="52" spans="9:9">
      <c r="I52" s="14"/>
    </row>
    <row r="53" spans="9:9">
      <c r="I53" s="14"/>
    </row>
    <row r="54" spans="9:9">
      <c r="I54" s="14"/>
    </row>
    <row r="55" spans="9:9">
      <c r="I55" s="14"/>
    </row>
    <row r="56" spans="9:9">
      <c r="I56" s="14"/>
    </row>
    <row r="57" spans="9:9">
      <c r="I57" s="14"/>
    </row>
    <row r="58" spans="9:9">
      <c r="I58" s="14"/>
    </row>
    <row r="59" spans="9:9">
      <c r="I59" s="14"/>
    </row>
    <row r="60" spans="9:9">
      <c r="I60" s="14"/>
    </row>
    <row r="61" spans="9:9">
      <c r="I61" s="14"/>
    </row>
    <row r="62" spans="9:9">
      <c r="I62" s="14"/>
    </row>
    <row r="63" spans="9:9">
      <c r="I63" s="14"/>
    </row>
  </sheetData>
  <phoneticPr fontId="19" type="noConversion"/>
  <pageMargins left="0.75" right="0.75" top="1" bottom="1" header="0.5" footer="0.5"/>
  <pageSetup paperSize="9" orientation="portrait" horizontalDpi="4294967293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R117"/>
  <sheetViews>
    <sheetView topLeftCell="A37" zoomScaleNormal="100" workbookViewId="0">
      <selection activeCell="M75" sqref="M75"/>
    </sheetView>
  </sheetViews>
  <sheetFormatPr defaultRowHeight="12.75"/>
  <cols>
    <col min="8" max="8" width="9.28515625" bestFit="1" customWidth="1"/>
    <col min="43" max="43" width="9.42578125" customWidth="1"/>
  </cols>
  <sheetData>
    <row r="1" spans="1:70">
      <c r="A1" s="17" t="s">
        <v>362</v>
      </c>
    </row>
    <row r="3" spans="1:70">
      <c r="A3" t="s">
        <v>270</v>
      </c>
    </row>
    <row r="4" spans="1:70">
      <c r="A4" s="17"/>
    </row>
    <row r="5" spans="1:70">
      <c r="A5" s="46" t="s">
        <v>279</v>
      </c>
    </row>
    <row r="6" spans="1:70">
      <c r="A6" s="46" t="s">
        <v>341</v>
      </c>
      <c r="C6" s="124" t="s">
        <v>799</v>
      </c>
      <c r="D6" s="8"/>
      <c r="E6" s="8"/>
      <c r="F6" s="6"/>
    </row>
    <row r="7" spans="1:70">
      <c r="A7" t="s">
        <v>324</v>
      </c>
      <c r="B7" t="s">
        <v>325</v>
      </c>
      <c r="C7" s="12">
        <v>0.1</v>
      </c>
    </row>
    <row r="8" spans="1:70">
      <c r="A8" s="6"/>
      <c r="B8" s="6"/>
      <c r="C8" s="16"/>
      <c r="D8" s="6"/>
      <c r="E8" s="6"/>
    </row>
    <row r="9" spans="1:70">
      <c r="A9" s="6"/>
      <c r="B9" s="6"/>
      <c r="C9" s="16"/>
      <c r="D9" s="6"/>
      <c r="E9" s="6"/>
    </row>
    <row r="10" spans="1:70">
      <c r="A10" s="46" t="s">
        <v>278</v>
      </c>
      <c r="E10" t="s">
        <v>50</v>
      </c>
      <c r="F10" s="8">
        <v>75000</v>
      </c>
      <c r="G10" s="8">
        <v>100000</v>
      </c>
      <c r="H10" s="8">
        <v>200000</v>
      </c>
      <c r="I10" s="8">
        <v>250000</v>
      </c>
    </row>
    <row r="11" spans="1:70">
      <c r="A11" t="s">
        <v>326</v>
      </c>
      <c r="E11" t="s">
        <v>335</v>
      </c>
      <c r="F11" s="16">
        <f>MAX(G22:G41)</f>
        <v>1.5578000000000001</v>
      </c>
      <c r="G11" s="16">
        <f>MAX(G47:G66)</f>
        <v>1.5477000000000001</v>
      </c>
      <c r="H11" s="16">
        <f>MAX(G72:G91)</f>
        <v>1.5572999999999999</v>
      </c>
      <c r="I11" s="16">
        <f>MAX(G97:G116)</f>
        <v>1.5884</v>
      </c>
    </row>
    <row r="12" spans="1:70">
      <c r="A12" t="s">
        <v>327</v>
      </c>
      <c r="E12" t="s">
        <v>791</v>
      </c>
      <c r="F12" s="1">
        <f>INDEX($F22:$F41,MATCH(F11,G22:G41,0),1)</f>
        <v>11</v>
      </c>
      <c r="G12" s="1">
        <f>INDEX($F47:$F66,MATCH(G11,G47:G66,0),1)</f>
        <v>11</v>
      </c>
      <c r="H12" s="1">
        <f>INDEX($F72:$F91,MATCH(H11,G72:G91,0),1)</f>
        <v>12</v>
      </c>
      <c r="I12" s="1">
        <f>INDEX($F97:$F116,MATCH(I11,G97:G116,0),1)</f>
        <v>11</v>
      </c>
    </row>
    <row r="13" spans="1:70" ht="14.25">
      <c r="A13" t="s">
        <v>329</v>
      </c>
      <c r="E13" t="s">
        <v>163</v>
      </c>
      <c r="F13" s="16">
        <f>SLOPE(G25:G31,F25:F31)*180/PI()</f>
        <v>8.4726133954970493</v>
      </c>
      <c r="G13" s="16">
        <f>SLOPE(G49:G55,F49:F55)*180/PI()</f>
        <v>7.706691600077523</v>
      </c>
      <c r="H13" s="16">
        <f>SLOPE(G74:G80,F74:F80)*180/PI()</f>
        <v>5.8787516058262215</v>
      </c>
      <c r="I13" s="16">
        <f>SLOPE(G100:G106,F100:F106)*180/PI()</f>
        <v>5.783804314061685</v>
      </c>
      <c r="J13" t="s">
        <v>330</v>
      </c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</row>
    <row r="14" spans="1:70">
      <c r="A14" t="s">
        <v>331</v>
      </c>
      <c r="E14" s="46" t="s">
        <v>336</v>
      </c>
      <c r="F14" s="16">
        <f>INTERCEPT(F25:F31,G25:G31)</f>
        <v>-3.1480573107104268</v>
      </c>
      <c r="G14" s="16">
        <f>INTERCEPT(F49:F55,G49:G55)</f>
        <v>-4.1105462555516175</v>
      </c>
      <c r="H14" s="16">
        <f>INTERCEPT(F74:F80,G74:G80)</f>
        <v>-6.7077321688022273</v>
      </c>
      <c r="I14" s="16">
        <f>INTERCEPT(F100:F106,G100:G106)</f>
        <v>-6.9008747125694345</v>
      </c>
      <c r="J14" t="s">
        <v>303</v>
      </c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</row>
    <row r="15" spans="1:70">
      <c r="A15" t="s">
        <v>332</v>
      </c>
      <c r="E15" t="s">
        <v>374</v>
      </c>
      <c r="F15" s="13">
        <f>MAX(M22:M41)</f>
        <v>63.817183835698614</v>
      </c>
      <c r="G15" s="13">
        <f>MAX(M47:M66)</f>
        <v>78.045226903300005</v>
      </c>
      <c r="H15" s="13">
        <f>MAX(M72:M91)</f>
        <v>89.012655578422127</v>
      </c>
      <c r="I15" s="13">
        <f>MAX(M97:M116)</f>
        <v>89.011247434525416</v>
      </c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</row>
    <row r="16" spans="1:70">
      <c r="A16" t="s">
        <v>333</v>
      </c>
      <c r="E16" t="s">
        <v>375</v>
      </c>
      <c r="F16" s="1">
        <f>INDEX($G22:$G41,MATCH(F15,M22:M41,0),1)</f>
        <v>1.3635999999999999</v>
      </c>
      <c r="G16" s="1">
        <f>INDEX($G47:$G66,MATCH(G15,M47:M66,0),1)</f>
        <v>1.3777999999999999</v>
      </c>
      <c r="H16" s="1">
        <f>INDEX($G72:$G91,MATCH(H15,M72:M91,0),1)</f>
        <v>1.2938000000000001</v>
      </c>
      <c r="I16" s="1">
        <f>INDEX($G97:$G116,MATCH(I15,M97:M116,0),1)</f>
        <v>1.294</v>
      </c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42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</row>
    <row r="17" spans="1:70">
      <c r="E17" t="s">
        <v>801</v>
      </c>
      <c r="F17" s="136">
        <v>0.1</v>
      </c>
      <c r="G17" s="136">
        <v>0.05</v>
      </c>
      <c r="H17" s="136">
        <v>0</v>
      </c>
      <c r="I17" s="136">
        <v>0</v>
      </c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</row>
    <row r="18" spans="1:70">
      <c r="U18" s="23"/>
      <c r="V18" s="23"/>
      <c r="W18" s="6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6"/>
      <c r="BF18" s="6"/>
      <c r="BG18" s="23"/>
      <c r="BH18" s="23"/>
      <c r="BI18" s="6"/>
      <c r="BJ18" s="23"/>
      <c r="BK18" s="23"/>
      <c r="BL18" s="23"/>
      <c r="BM18" s="6"/>
      <c r="BN18" s="23"/>
      <c r="BO18" s="23"/>
      <c r="BP18" s="23"/>
      <c r="BQ18" s="6"/>
      <c r="BR18" s="6"/>
    </row>
    <row r="19" spans="1:70">
      <c r="A19" t="s">
        <v>334</v>
      </c>
      <c r="E19" t="s">
        <v>379</v>
      </c>
      <c r="F19" s="9" t="s">
        <v>378</v>
      </c>
      <c r="G19" s="9" t="s">
        <v>52</v>
      </c>
      <c r="H19" s="9" t="s">
        <v>366</v>
      </c>
      <c r="I19" s="9" t="s">
        <v>53</v>
      </c>
      <c r="J19" s="9" t="s">
        <v>800</v>
      </c>
      <c r="K19" s="9" t="s">
        <v>538</v>
      </c>
      <c r="L19" s="9" t="s">
        <v>366</v>
      </c>
      <c r="M19" s="9" t="s">
        <v>380</v>
      </c>
      <c r="N19" s="9" t="s">
        <v>788</v>
      </c>
      <c r="U19" s="23"/>
      <c r="V19" s="23"/>
      <c r="W19" s="6"/>
      <c r="X19" s="6"/>
      <c r="Y19" s="6"/>
      <c r="Z19" s="9" t="s">
        <v>52</v>
      </c>
      <c r="AA19" s="9" t="s">
        <v>366</v>
      </c>
      <c r="AB19" s="23" t="s">
        <v>789</v>
      </c>
      <c r="AC19" s="9" t="s">
        <v>53</v>
      </c>
      <c r="AD19" s="23" t="s">
        <v>790</v>
      </c>
      <c r="AF19" s="23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23"/>
      <c r="BB19" s="23"/>
      <c r="BC19" s="23"/>
      <c r="BD19" s="23"/>
      <c r="BE19" s="6"/>
      <c r="BF19" s="6"/>
      <c r="BG19" s="23"/>
      <c r="BH19" s="23"/>
      <c r="BI19" s="6"/>
      <c r="BJ19" s="23"/>
      <c r="BK19" s="23"/>
      <c r="BL19" s="23"/>
      <c r="BM19" s="6"/>
      <c r="BN19" s="23"/>
      <c r="BO19" s="23"/>
      <c r="BP19" s="23"/>
      <c r="BQ19" s="6"/>
      <c r="BR19" s="6"/>
    </row>
    <row r="20" spans="1:70">
      <c r="D20" s="58"/>
      <c r="F20" s="9" t="s">
        <v>303</v>
      </c>
      <c r="G20" s="9"/>
      <c r="H20" s="9"/>
      <c r="I20" s="9"/>
      <c r="P20" s="9"/>
      <c r="R20" s="9"/>
      <c r="U20" s="6"/>
      <c r="V20" s="6"/>
      <c r="W20" s="6"/>
      <c r="X20" s="6"/>
      <c r="Y20" s="6"/>
      <c r="AB20" s="6"/>
      <c r="AD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</row>
    <row r="21" spans="1:70">
      <c r="A21" t="s">
        <v>342</v>
      </c>
      <c r="B21" s="52">
        <v>6.6199999999999995E-2</v>
      </c>
      <c r="D21" s="56"/>
      <c r="U21" s="16"/>
      <c r="V21" s="16"/>
      <c r="W21" s="6"/>
      <c r="X21" s="43"/>
      <c r="Y21" s="16"/>
      <c r="AB21" s="42"/>
      <c r="AD21" s="19"/>
      <c r="AF21" s="20"/>
      <c r="AG21" s="16"/>
      <c r="AH21" s="16"/>
      <c r="AI21" s="42"/>
      <c r="AJ21" s="42"/>
      <c r="AK21" s="42"/>
      <c r="AL21" s="16"/>
      <c r="AM21" s="16"/>
      <c r="AN21" s="16"/>
      <c r="AO21" s="16"/>
      <c r="AP21" s="42"/>
      <c r="AQ21" s="42"/>
      <c r="AR21" s="42"/>
      <c r="AS21" s="16"/>
      <c r="AT21" s="16"/>
      <c r="AU21" s="42"/>
      <c r="AV21" s="42"/>
      <c r="AW21" s="16"/>
      <c r="AX21" s="42"/>
      <c r="AY21" s="42"/>
      <c r="AZ21" s="42"/>
      <c r="BA21" s="20"/>
      <c r="BB21" s="20"/>
      <c r="BC21" s="20"/>
      <c r="BD21" s="19"/>
      <c r="BE21" s="6"/>
      <c r="BF21" s="6"/>
      <c r="BG21" s="16"/>
      <c r="BH21" s="16"/>
      <c r="BI21" s="6"/>
      <c r="BJ21" s="16"/>
      <c r="BK21" s="16"/>
      <c r="BL21" s="6"/>
      <c r="BM21" s="6"/>
      <c r="BN21" s="16"/>
      <c r="BO21" s="16"/>
      <c r="BP21" s="6"/>
      <c r="BQ21" s="6"/>
      <c r="BR21" s="6"/>
    </row>
    <row r="22" spans="1:70">
      <c r="B22" s="52">
        <v>-0.37259999999999999</v>
      </c>
      <c r="C22" t="s">
        <v>52</v>
      </c>
      <c r="D22" s="56"/>
      <c r="E22">
        <f>F10</f>
        <v>75000</v>
      </c>
      <c r="F22" s="133">
        <v>-4</v>
      </c>
      <c r="G22" s="133">
        <v>-0.3493</v>
      </c>
      <c r="H22" s="133">
        <v>7.7189999999999995E-2</v>
      </c>
      <c r="I22" s="133">
        <v>-2.6800000000000001E-2</v>
      </c>
      <c r="J22" s="10">
        <f>H22*(1+$F$17)</f>
        <v>8.4908999999999998E-2</v>
      </c>
      <c r="K22" s="1">
        <f t="shared" ref="K22:K41" si="0">G22^2</f>
        <v>0.12201049</v>
      </c>
      <c r="L22" s="82">
        <f t="shared" ref="L22:L41" si="1">$B$21+$B$22*G22+$B$23*G22^2+$B$24*G22^3+$B$25*G22^4+$B$26*G22^5+$B$27*G22^6</f>
        <v>0.52161115983747253</v>
      </c>
      <c r="M22" s="20">
        <f t="shared" ref="M22:M41" si="2">G22/L22</f>
        <v>-0.66965591784661482</v>
      </c>
      <c r="N22" s="13">
        <f t="shared" ref="N22:N41" si="3">IF(OR(G22&lt;0,H22=0),0,G22^(3/2)/H22)</f>
        <v>0</v>
      </c>
      <c r="R22" s="16"/>
      <c r="U22" s="16"/>
      <c r="V22" s="16"/>
      <c r="W22" s="6"/>
      <c r="X22" s="43"/>
      <c r="Y22" s="16"/>
      <c r="Z22" s="10">
        <f t="shared" ref="Z22:Z41" si="4">IF(F22&gt;$F$12,$F$11,IF(AND(G22=0,OR(G21=0,G21&gt;0)),Z21,G22))</f>
        <v>-0.3493</v>
      </c>
      <c r="AA22" s="10">
        <f>IF(F22&gt;$F$12,AA21,IF(Z21=$F$11,AA21,J22))</f>
        <v>8.4908999999999998E-2</v>
      </c>
      <c r="AB22" s="42">
        <f>(AA23-AA22)/IF((Z23-Z22)=0,0.000001,(Z23-Z22))</f>
        <v>-0.10816283924843416</v>
      </c>
      <c r="AC22" s="10">
        <f t="shared" ref="AC22:AC41" si="5">IF(F22&gt;$F$12,AC21,IF(Z21=$F$11,AC21,I22))</f>
        <v>-2.6800000000000001E-2</v>
      </c>
      <c r="AD22" s="42">
        <f t="shared" ref="AD22:AD40" si="6">(AC23-AC22)/IF((Z23-Z22)=0,0.000001,(Z23-Z22))</f>
        <v>-0.17258176757132915</v>
      </c>
      <c r="AF22" s="20"/>
      <c r="AG22" s="16"/>
      <c r="AH22" s="16"/>
      <c r="AI22" s="42"/>
      <c r="AJ22" s="42"/>
      <c r="AK22" s="42"/>
      <c r="AL22" s="16"/>
      <c r="AM22" s="16"/>
      <c r="AN22" s="16"/>
      <c r="AO22" s="16"/>
      <c r="AP22" s="42"/>
      <c r="AQ22" s="42"/>
      <c r="AR22" s="42"/>
      <c r="AS22" s="16"/>
      <c r="AT22" s="16"/>
      <c r="AU22" s="42"/>
      <c r="AV22" s="42"/>
      <c r="AW22" s="16"/>
      <c r="AX22" s="42"/>
      <c r="AY22" s="42"/>
      <c r="AZ22" s="42"/>
      <c r="BA22" s="20"/>
      <c r="BB22" s="20"/>
      <c r="BC22" s="20"/>
      <c r="BD22" s="19"/>
      <c r="BE22" s="6"/>
      <c r="BF22" s="6"/>
      <c r="BG22" s="16"/>
      <c r="BH22" s="16"/>
      <c r="BI22" s="6"/>
      <c r="BJ22" s="16"/>
      <c r="BK22" s="16"/>
      <c r="BL22" s="6"/>
      <c r="BM22" s="6"/>
      <c r="BN22" s="16"/>
      <c r="BO22" s="16"/>
      <c r="BP22" s="6"/>
      <c r="BQ22" s="6"/>
      <c r="BR22" s="6"/>
    </row>
    <row r="23" spans="1:70">
      <c r="B23" s="52">
        <v>1.3473999999999999</v>
      </c>
      <c r="C23" t="s">
        <v>340</v>
      </c>
      <c r="D23" s="56"/>
      <c r="F23" s="133">
        <v>-3</v>
      </c>
      <c r="G23" s="133">
        <v>-0.2056</v>
      </c>
      <c r="H23" s="133">
        <v>6.3060000000000005E-2</v>
      </c>
      <c r="I23" s="133">
        <v>-5.16E-2</v>
      </c>
      <c r="J23" s="10">
        <f t="shared" ref="J23:J41" si="7">H23*(1+$F$17)</f>
        <v>6.9366000000000011E-2</v>
      </c>
      <c r="K23" s="1">
        <f t="shared" si="0"/>
        <v>4.2271360000000001E-2</v>
      </c>
      <c r="L23" s="82">
        <f t="shared" si="1"/>
        <v>0.22806970716740738</v>
      </c>
      <c r="M23" s="20">
        <f t="shared" si="2"/>
        <v>-0.90147877398327958</v>
      </c>
      <c r="N23" s="13">
        <f t="shared" si="3"/>
        <v>0</v>
      </c>
      <c r="R23" s="16"/>
      <c r="U23" s="16"/>
      <c r="V23" s="16"/>
      <c r="W23" s="6"/>
      <c r="X23" s="43"/>
      <c r="Y23" s="16"/>
      <c r="Z23" s="10">
        <f t="shared" si="4"/>
        <v>-0.2056</v>
      </c>
      <c r="AA23" s="10">
        <f t="shared" ref="AA23:AA41" si="8">IF(F23&gt;$F$12,AA22,IF(Z22=$F$11,AA22,J23))</f>
        <v>6.9366000000000011E-2</v>
      </c>
      <c r="AB23" s="42">
        <f t="shared" ref="AB23:AB40" si="9">(AA24-AA23)/IF((Z24-Z23)=0,0.000001,(Z24-Z23))</f>
        <v>-9.7726176115802199E-2</v>
      </c>
      <c r="AC23" s="10">
        <f t="shared" si="5"/>
        <v>-5.16E-2</v>
      </c>
      <c r="AD23" s="42">
        <f t="shared" si="6"/>
        <v>-0.1872738238841978</v>
      </c>
      <c r="AF23" s="20"/>
      <c r="AG23" s="16"/>
      <c r="AH23" s="16"/>
      <c r="AI23" s="42"/>
      <c r="AJ23" s="42"/>
      <c r="AK23" s="42"/>
      <c r="AL23" s="16"/>
      <c r="AM23" s="16"/>
      <c r="AN23" s="16"/>
      <c r="AO23" s="16"/>
      <c r="AP23" s="42"/>
      <c r="AQ23" s="42"/>
      <c r="AR23" s="42"/>
      <c r="AS23" s="16"/>
      <c r="AT23" s="16"/>
      <c r="AU23" s="42"/>
      <c r="AV23" s="42"/>
      <c r="AW23" s="16"/>
      <c r="AX23" s="42"/>
      <c r="AY23" s="42"/>
      <c r="AZ23" s="42"/>
      <c r="BA23" s="20"/>
      <c r="BB23" s="20"/>
      <c r="BC23" s="20"/>
      <c r="BD23" s="19"/>
      <c r="BE23" s="6"/>
      <c r="BF23" s="6"/>
      <c r="BG23" s="16"/>
      <c r="BH23" s="16"/>
      <c r="BI23" s="6"/>
      <c r="BJ23" s="16"/>
      <c r="BK23" s="16"/>
      <c r="BL23" s="6"/>
      <c r="BM23" s="6"/>
      <c r="BN23" s="16"/>
      <c r="BO23" s="16"/>
      <c r="BP23" s="6"/>
      <c r="BQ23" s="6"/>
      <c r="BR23" s="6"/>
    </row>
    <row r="24" spans="1:70">
      <c r="B24" s="52">
        <v>-2.6305000000000001</v>
      </c>
      <c r="C24" t="s">
        <v>343</v>
      </c>
      <c r="D24" s="56"/>
      <c r="F24" s="133">
        <v>-2</v>
      </c>
      <c r="G24" s="133">
        <v>0.126</v>
      </c>
      <c r="H24" s="133">
        <v>3.3599999999999998E-2</v>
      </c>
      <c r="I24" s="133">
        <v>-0.1137</v>
      </c>
      <c r="J24" s="10">
        <f t="shared" si="7"/>
        <v>3.696E-2</v>
      </c>
      <c r="K24" s="1">
        <f t="shared" si="0"/>
        <v>1.5876000000000001E-2</v>
      </c>
      <c r="L24" s="82">
        <f t="shared" si="1"/>
        <v>3.6028713884012395E-2</v>
      </c>
      <c r="M24" s="20">
        <f t="shared" si="2"/>
        <v>3.4972105972373337</v>
      </c>
      <c r="N24" s="13">
        <f t="shared" si="3"/>
        <v>1.3311179511974143</v>
      </c>
      <c r="R24" s="16"/>
      <c r="U24" s="16"/>
      <c r="V24" s="16"/>
      <c r="W24" s="6"/>
      <c r="X24" s="43"/>
      <c r="Y24" s="16"/>
      <c r="Z24" s="10">
        <f t="shared" si="4"/>
        <v>0.126</v>
      </c>
      <c r="AA24" s="10">
        <f t="shared" si="8"/>
        <v>3.696E-2</v>
      </c>
      <c r="AB24" s="42">
        <f t="shared" si="9"/>
        <v>-2.9858001092299292E-2</v>
      </c>
      <c r="AC24" s="10">
        <f t="shared" si="5"/>
        <v>-0.1137</v>
      </c>
      <c r="AD24" s="42">
        <f t="shared" si="6"/>
        <v>-7.373020207536872E-2</v>
      </c>
      <c r="AF24" s="20"/>
      <c r="AG24" s="16"/>
      <c r="AH24" s="16"/>
      <c r="AI24" s="42"/>
      <c r="AJ24" s="42"/>
      <c r="AK24" s="42"/>
      <c r="AL24" s="16"/>
      <c r="AM24" s="16"/>
      <c r="AN24" s="16"/>
      <c r="AO24" s="16"/>
      <c r="AP24" s="42"/>
      <c r="AQ24" s="42"/>
      <c r="AR24" s="42"/>
      <c r="AS24" s="16"/>
      <c r="AT24" s="16"/>
      <c r="AU24" s="42"/>
      <c r="AV24" s="42"/>
      <c r="AW24" s="16"/>
      <c r="AX24" s="42"/>
      <c r="AY24" s="42"/>
      <c r="AZ24" s="42"/>
      <c r="BA24" s="20"/>
      <c r="BB24" s="20"/>
      <c r="BC24" s="20"/>
      <c r="BD24" s="19"/>
      <c r="BE24" s="6"/>
      <c r="BF24" s="6"/>
      <c r="BG24" s="16"/>
      <c r="BH24" s="16"/>
      <c r="BI24" s="6"/>
      <c r="BJ24" s="16"/>
      <c r="BK24" s="16"/>
      <c r="BL24" s="6"/>
      <c r="BM24" s="6"/>
      <c r="BN24" s="16"/>
      <c r="BO24" s="16"/>
      <c r="BP24" s="6"/>
      <c r="BQ24" s="6"/>
      <c r="BR24" s="6"/>
    </row>
    <row r="25" spans="1:70">
      <c r="B25" s="52">
        <v>2.7418999999999998</v>
      </c>
      <c r="C25" t="s">
        <v>344</v>
      </c>
      <c r="D25" s="56"/>
      <c r="F25" s="133">
        <v>-1</v>
      </c>
      <c r="G25" s="133">
        <v>0.30909999999999999</v>
      </c>
      <c r="H25" s="133">
        <v>2.8629999999999999E-2</v>
      </c>
      <c r="I25" s="133">
        <v>-0.12720000000000001</v>
      </c>
      <c r="J25" s="10">
        <f t="shared" si="7"/>
        <v>3.1493E-2</v>
      </c>
      <c r="K25" s="1">
        <f t="shared" si="0"/>
        <v>9.5542809999999992E-2</v>
      </c>
      <c r="L25" s="82">
        <f t="shared" si="1"/>
        <v>2.333955266488745E-2</v>
      </c>
      <c r="M25" s="20">
        <f t="shared" si="2"/>
        <v>13.243612867740049</v>
      </c>
      <c r="N25" s="13">
        <f t="shared" si="3"/>
        <v>6.0024307675207025</v>
      </c>
      <c r="R25" s="16"/>
      <c r="U25" s="16"/>
      <c r="V25" s="16"/>
      <c r="W25" s="6"/>
      <c r="X25" s="43"/>
      <c r="Y25" s="16"/>
      <c r="Z25" s="10">
        <f t="shared" si="4"/>
        <v>0.30909999999999999</v>
      </c>
      <c r="AA25" s="10">
        <f t="shared" si="8"/>
        <v>3.1493E-2</v>
      </c>
      <c r="AB25" s="42">
        <f t="shared" si="9"/>
        <v>-3.0020366598777999E-2</v>
      </c>
      <c r="AC25" s="10">
        <f t="shared" si="5"/>
        <v>-0.12720000000000001</v>
      </c>
      <c r="AD25" s="42">
        <f t="shared" si="6"/>
        <v>-2.7834351663272184E-2</v>
      </c>
      <c r="AF25" s="20"/>
      <c r="AG25" s="16"/>
      <c r="AH25" s="16"/>
      <c r="AI25" s="42"/>
      <c r="AJ25" s="42"/>
      <c r="AK25" s="42"/>
      <c r="AL25" s="16"/>
      <c r="AM25" s="16"/>
      <c r="AN25" s="16"/>
      <c r="AO25" s="16"/>
      <c r="AP25" s="42"/>
      <c r="AQ25" s="42"/>
      <c r="AR25" s="42"/>
      <c r="AS25" s="16"/>
      <c r="AT25" s="16"/>
      <c r="AU25" s="42"/>
      <c r="AV25" s="42"/>
      <c r="AW25" s="16"/>
      <c r="AX25" s="42"/>
      <c r="AY25" s="42"/>
      <c r="AZ25" s="42"/>
      <c r="BA25" s="20"/>
      <c r="BB25" s="20"/>
      <c r="BC25" s="20"/>
      <c r="BD25" s="19"/>
      <c r="BE25" s="6"/>
      <c r="BF25" s="6"/>
      <c r="BG25" s="16"/>
      <c r="BH25" s="16"/>
      <c r="BI25" s="6"/>
      <c r="BJ25" s="16"/>
      <c r="BK25" s="16"/>
      <c r="BL25" s="6"/>
      <c r="BM25" s="6"/>
      <c r="BN25" s="16"/>
      <c r="BO25" s="16"/>
      <c r="BP25" s="6"/>
      <c r="BQ25" s="6"/>
      <c r="BR25" s="6"/>
    </row>
    <row r="26" spans="1:70">
      <c r="B26" s="52">
        <v>-1.4255</v>
      </c>
      <c r="C26" t="s">
        <v>345</v>
      </c>
      <c r="D26" s="56"/>
      <c r="F26" s="133">
        <v>0</v>
      </c>
      <c r="G26" s="133">
        <v>0.45639999999999997</v>
      </c>
      <c r="H26" s="133">
        <v>2.461E-2</v>
      </c>
      <c r="I26" s="133">
        <v>-0.1313</v>
      </c>
      <c r="J26" s="10">
        <f t="shared" si="7"/>
        <v>2.7071000000000001E-2</v>
      </c>
      <c r="K26" s="1">
        <f t="shared" si="0"/>
        <v>0.20830095999999998</v>
      </c>
      <c r="L26" s="82">
        <f t="shared" si="1"/>
        <v>2.0098783187260459E-2</v>
      </c>
      <c r="M26" s="20">
        <f t="shared" si="2"/>
        <v>22.70784234785355</v>
      </c>
      <c r="N26" s="13">
        <f t="shared" si="3"/>
        <v>12.528723936855732</v>
      </c>
      <c r="R26" s="16"/>
      <c r="U26" s="16"/>
      <c r="V26" s="16"/>
      <c r="W26" s="6"/>
      <c r="X26" s="43"/>
      <c r="Y26" s="16"/>
      <c r="Z26" s="10">
        <f t="shared" si="4"/>
        <v>0.45639999999999997</v>
      </c>
      <c r="AA26" s="10">
        <f t="shared" si="8"/>
        <v>2.7071000000000001E-2</v>
      </c>
      <c r="AB26" s="42">
        <f t="shared" si="9"/>
        <v>-3.7009345794392348E-3</v>
      </c>
      <c r="AC26" s="10">
        <f t="shared" si="5"/>
        <v>-0.1313</v>
      </c>
      <c r="AD26" s="42">
        <f t="shared" si="6"/>
        <v>-4.9221183800622986E-2</v>
      </c>
      <c r="AF26" s="20"/>
      <c r="AG26" s="16"/>
      <c r="AH26" s="16"/>
      <c r="AI26" s="42"/>
      <c r="AJ26" s="42"/>
      <c r="AK26" s="42"/>
      <c r="AL26" s="16"/>
      <c r="AM26" s="16"/>
      <c r="AN26" s="16"/>
      <c r="AO26" s="16"/>
      <c r="AP26" s="42"/>
      <c r="AQ26" s="42"/>
      <c r="AR26" s="42"/>
      <c r="AS26" s="16"/>
      <c r="AT26" s="16"/>
      <c r="AU26" s="42"/>
      <c r="AV26" s="42"/>
      <c r="AW26" s="16"/>
      <c r="AX26" s="42"/>
      <c r="AY26" s="42"/>
      <c r="AZ26" s="42"/>
      <c r="BA26" s="20"/>
      <c r="BB26" s="20"/>
      <c r="BC26" s="20"/>
      <c r="BD26" s="19"/>
      <c r="BE26" s="6"/>
      <c r="BF26" s="6"/>
      <c r="BG26" s="16"/>
      <c r="BH26" s="16"/>
      <c r="BI26" s="6"/>
      <c r="BJ26" s="16"/>
      <c r="BK26" s="16"/>
      <c r="BL26" s="6"/>
      <c r="BM26" s="6"/>
      <c r="BN26" s="16"/>
      <c r="BO26" s="16"/>
      <c r="BP26" s="6"/>
      <c r="BQ26" s="6"/>
      <c r="BR26" s="6"/>
    </row>
    <row r="27" spans="1:70">
      <c r="B27" s="52">
        <v>0.29060000000000002</v>
      </c>
      <c r="C27" t="s">
        <v>346</v>
      </c>
      <c r="D27" s="56"/>
      <c r="F27" s="133">
        <v>1</v>
      </c>
      <c r="G27" s="133">
        <v>0.6169</v>
      </c>
      <c r="H27" s="133">
        <v>2.4070000000000001E-2</v>
      </c>
      <c r="I27" s="133">
        <v>-0.13919999999999999</v>
      </c>
      <c r="J27" s="10">
        <f t="shared" si="7"/>
        <v>2.6477000000000004E-2</v>
      </c>
      <c r="K27" s="1">
        <f t="shared" si="0"/>
        <v>0.38056561</v>
      </c>
      <c r="L27" s="82">
        <f t="shared" si="1"/>
        <v>1.7316885414789675E-2</v>
      </c>
      <c r="M27" s="20">
        <f t="shared" si="2"/>
        <v>35.624189063070766</v>
      </c>
      <c r="N27" s="13">
        <f t="shared" si="3"/>
        <v>20.130106153532832</v>
      </c>
      <c r="R27" s="16"/>
      <c r="U27" s="16"/>
      <c r="V27" s="16"/>
      <c r="W27" s="6"/>
      <c r="X27" s="43"/>
      <c r="Y27" s="16"/>
      <c r="Z27" s="10">
        <f t="shared" si="4"/>
        <v>0.6169</v>
      </c>
      <c r="AA27" s="10">
        <f t="shared" si="8"/>
        <v>2.6477000000000004E-2</v>
      </c>
      <c r="AB27" s="42">
        <f t="shared" si="9"/>
        <v>-1.0045950603101667E-2</v>
      </c>
      <c r="AC27" s="10">
        <f t="shared" si="5"/>
        <v>-0.13919999999999999</v>
      </c>
      <c r="AD27" s="42">
        <f t="shared" si="6"/>
        <v>-4.9971280873061526E-2</v>
      </c>
      <c r="AF27" s="20"/>
      <c r="AG27" s="16"/>
      <c r="AH27" s="16"/>
      <c r="AI27" s="42"/>
      <c r="AJ27" s="42"/>
      <c r="AK27" s="42"/>
      <c r="AL27" s="16"/>
      <c r="AM27" s="16"/>
      <c r="AN27" s="16"/>
      <c r="AO27" s="16"/>
      <c r="AP27" s="42"/>
      <c r="AQ27" s="42"/>
      <c r="AR27" s="42"/>
      <c r="AS27" s="16"/>
      <c r="AT27" s="16"/>
      <c r="AU27" s="42"/>
      <c r="AV27" s="42"/>
      <c r="AW27" s="16"/>
      <c r="AX27" s="42"/>
      <c r="AY27" s="42"/>
      <c r="AZ27" s="42"/>
      <c r="BA27" s="20"/>
      <c r="BB27" s="20"/>
      <c r="BC27" s="20"/>
      <c r="BD27" s="19"/>
      <c r="BE27" s="6"/>
      <c r="BF27" s="6"/>
      <c r="BG27" s="16"/>
      <c r="BH27" s="16"/>
      <c r="BI27" s="6"/>
      <c r="BJ27" s="16"/>
      <c r="BK27" s="16"/>
      <c r="BL27" s="6"/>
      <c r="BM27" s="6"/>
      <c r="BN27" s="16"/>
      <c r="BO27" s="16"/>
      <c r="BP27" s="6"/>
      <c r="BQ27" s="6"/>
      <c r="BR27" s="6"/>
    </row>
    <row r="28" spans="1:70">
      <c r="D28" s="6"/>
      <c r="F28" s="133">
        <v>2</v>
      </c>
      <c r="G28" s="133">
        <v>0.79100000000000004</v>
      </c>
      <c r="H28" s="133">
        <v>2.248E-2</v>
      </c>
      <c r="I28" s="133">
        <v>-0.1479</v>
      </c>
      <c r="J28" s="10">
        <f t="shared" si="7"/>
        <v>2.4728000000000003E-2</v>
      </c>
      <c r="K28" s="1">
        <f t="shared" si="0"/>
        <v>0.62568100000000004</v>
      </c>
      <c r="L28" s="82">
        <f t="shared" si="1"/>
        <v>1.5797406252365642E-2</v>
      </c>
      <c r="M28" s="20">
        <f t="shared" si="2"/>
        <v>50.07151094069944</v>
      </c>
      <c r="N28" s="13">
        <f t="shared" si="3"/>
        <v>31.294528912345363</v>
      </c>
      <c r="R28" s="16"/>
      <c r="U28" s="16"/>
      <c r="V28" s="16"/>
      <c r="W28" s="6"/>
      <c r="X28" s="43"/>
      <c r="Y28" s="16"/>
      <c r="Z28" s="10">
        <f t="shared" si="4"/>
        <v>0.79100000000000004</v>
      </c>
      <c r="AA28" s="10">
        <f t="shared" si="8"/>
        <v>2.4728000000000003E-2</v>
      </c>
      <c r="AB28" s="42">
        <f t="shared" si="9"/>
        <v>-2.1897810218978369E-3</v>
      </c>
      <c r="AC28" s="10">
        <f t="shared" si="5"/>
        <v>-0.1479</v>
      </c>
      <c r="AD28" s="42">
        <f t="shared" si="6"/>
        <v>-3.1187790311877978E-2</v>
      </c>
      <c r="AF28" s="20"/>
      <c r="AG28" s="16"/>
      <c r="AH28" s="16"/>
      <c r="AI28" s="42"/>
      <c r="AJ28" s="42"/>
      <c r="AK28" s="42"/>
      <c r="AL28" s="16"/>
      <c r="AM28" s="16"/>
      <c r="AN28" s="16"/>
      <c r="AO28" s="16"/>
      <c r="AP28" s="42"/>
      <c r="AQ28" s="42"/>
      <c r="AR28" s="42"/>
      <c r="AS28" s="16"/>
      <c r="AT28" s="16"/>
      <c r="AU28" s="42"/>
      <c r="AV28" s="42"/>
      <c r="AW28" s="16"/>
      <c r="AX28" s="42"/>
      <c r="AY28" s="42"/>
      <c r="AZ28" s="42"/>
      <c r="BA28" s="20"/>
      <c r="BB28" s="20"/>
      <c r="BC28" s="20"/>
      <c r="BD28" s="19"/>
      <c r="BE28" s="6"/>
      <c r="BF28" s="6"/>
      <c r="BG28" s="16"/>
      <c r="BH28" s="16"/>
      <c r="BI28" s="6"/>
      <c r="BJ28" s="16"/>
      <c r="BK28" s="16"/>
      <c r="BL28" s="6"/>
      <c r="BM28" s="6"/>
      <c r="BN28" s="16"/>
      <c r="BO28" s="16"/>
      <c r="BP28" s="6"/>
      <c r="BQ28" s="6"/>
      <c r="BR28" s="6"/>
    </row>
    <row r="29" spans="1:70">
      <c r="A29" t="s">
        <v>371</v>
      </c>
      <c r="B29" s="52">
        <v>4.6899999999999997E-2</v>
      </c>
      <c r="D29" s="56"/>
      <c r="F29" s="133">
        <v>3</v>
      </c>
      <c r="G29" s="133">
        <v>0.94169999999999998</v>
      </c>
      <c r="H29" s="133">
        <v>2.2179999999999998E-2</v>
      </c>
      <c r="I29" s="133">
        <v>-0.15260000000000001</v>
      </c>
      <c r="J29" s="10">
        <f t="shared" si="7"/>
        <v>2.4398E-2</v>
      </c>
      <c r="K29" s="1">
        <f t="shared" si="0"/>
        <v>0.88679889000000001</v>
      </c>
      <c r="L29" s="82">
        <f t="shared" si="1"/>
        <v>1.6719361974293967E-2</v>
      </c>
      <c r="M29" s="20">
        <f t="shared" si="2"/>
        <v>56.323919623719163</v>
      </c>
      <c r="N29" s="13">
        <f t="shared" si="3"/>
        <v>41.200957952553189</v>
      </c>
      <c r="R29" s="16"/>
      <c r="U29" s="16"/>
      <c r="V29" s="16"/>
      <c r="W29" s="6"/>
      <c r="X29" s="43"/>
      <c r="Y29" s="16"/>
      <c r="Z29" s="10">
        <f t="shared" si="4"/>
        <v>0.94169999999999998</v>
      </c>
      <c r="AA29" s="10">
        <f t="shared" si="8"/>
        <v>2.4398E-2</v>
      </c>
      <c r="AB29" s="42">
        <f t="shared" si="9"/>
        <v>6.8103448275862238E-3</v>
      </c>
      <c r="AC29" s="10">
        <f t="shared" si="5"/>
        <v>-0.15260000000000001</v>
      </c>
      <c r="AD29" s="42">
        <f t="shared" si="6"/>
        <v>-6.2695924764889933E-3</v>
      </c>
      <c r="AF29" s="20"/>
      <c r="AG29" s="16"/>
      <c r="AH29" s="16"/>
      <c r="AI29" s="42"/>
      <c r="AJ29" s="42"/>
      <c r="AK29" s="42"/>
      <c r="AL29" s="16"/>
      <c r="AM29" s="16"/>
      <c r="AN29" s="16"/>
      <c r="AO29" s="16"/>
      <c r="AP29" s="42"/>
      <c r="AQ29" s="42"/>
      <c r="AR29" s="42"/>
      <c r="AS29" s="16"/>
      <c r="AT29" s="16"/>
      <c r="AU29" s="42"/>
      <c r="AV29" s="42"/>
      <c r="AW29" s="16"/>
      <c r="AX29" s="42"/>
      <c r="AY29" s="42"/>
      <c r="AZ29" s="42"/>
      <c r="BA29" s="20"/>
      <c r="BB29" s="20"/>
      <c r="BC29" s="20"/>
      <c r="BD29" s="19"/>
      <c r="BE29" s="6"/>
      <c r="BF29" s="6"/>
      <c r="BG29" s="16"/>
      <c r="BH29" s="16"/>
      <c r="BI29" s="6"/>
      <c r="BJ29" s="16"/>
      <c r="BK29" s="16"/>
      <c r="BL29" s="6"/>
      <c r="BM29" s="6"/>
      <c r="BN29" s="16"/>
      <c r="BO29" s="16"/>
      <c r="BP29" s="6"/>
      <c r="BQ29" s="6"/>
      <c r="BR29" s="6"/>
    </row>
    <row r="30" spans="1:70">
      <c r="B30" s="52">
        <v>-0.2387</v>
      </c>
      <c r="C30" t="s">
        <v>52</v>
      </c>
      <c r="D30" s="56"/>
      <c r="F30" s="133">
        <v>4</v>
      </c>
      <c r="G30" s="133">
        <v>1.0692999999999999</v>
      </c>
      <c r="H30" s="133">
        <v>2.2970000000000001E-2</v>
      </c>
      <c r="I30" s="133">
        <v>-0.15340000000000001</v>
      </c>
      <c r="J30" s="10">
        <f t="shared" si="7"/>
        <v>2.5267000000000001E-2</v>
      </c>
      <c r="K30" s="1">
        <f t="shared" si="0"/>
        <v>1.1434024899999997</v>
      </c>
      <c r="L30" s="82">
        <f t="shared" si="1"/>
        <v>1.8516870403725738E-2</v>
      </c>
      <c r="M30" s="20">
        <f t="shared" si="2"/>
        <v>57.747339409193494</v>
      </c>
      <c r="N30" s="13">
        <f t="shared" si="3"/>
        <v>48.138034633005681</v>
      </c>
      <c r="R30" s="16"/>
      <c r="U30" s="16"/>
      <c r="V30" s="16"/>
      <c r="W30" s="6"/>
      <c r="X30" s="43"/>
      <c r="Y30" s="16"/>
      <c r="Z30" s="10">
        <f t="shared" si="4"/>
        <v>1.0692999999999999</v>
      </c>
      <c r="AA30" s="10">
        <f t="shared" si="8"/>
        <v>2.5267000000000001E-2</v>
      </c>
      <c r="AB30" s="42">
        <f t="shared" si="9"/>
        <v>1.4510184287099884E-2</v>
      </c>
      <c r="AC30" s="10">
        <f t="shared" si="5"/>
        <v>-0.15340000000000001</v>
      </c>
      <c r="AD30" s="42">
        <f t="shared" si="6"/>
        <v>3.4917555771096148E-2</v>
      </c>
      <c r="AF30" s="20"/>
      <c r="AG30" s="16"/>
      <c r="AH30" s="16"/>
      <c r="AI30" s="42"/>
      <c r="AJ30" s="42"/>
      <c r="AK30" s="42"/>
      <c r="AL30" s="16"/>
      <c r="AM30" s="16"/>
      <c r="AN30" s="16"/>
      <c r="AO30" s="16"/>
      <c r="AP30" s="42"/>
      <c r="AQ30" s="42"/>
      <c r="AR30" s="42"/>
      <c r="AS30" s="16"/>
      <c r="AT30" s="16"/>
      <c r="AU30" s="42"/>
      <c r="AV30" s="42"/>
      <c r="AW30" s="16"/>
      <c r="AX30" s="42"/>
      <c r="AY30" s="42"/>
      <c r="AZ30" s="42"/>
      <c r="BA30" s="20"/>
      <c r="BB30" s="20"/>
      <c r="BC30" s="20"/>
      <c r="BD30" s="19"/>
      <c r="BE30" s="6"/>
      <c r="BF30" s="6"/>
      <c r="BG30" s="16"/>
      <c r="BH30" s="16"/>
      <c r="BI30" s="6"/>
      <c r="BJ30" s="16"/>
      <c r="BK30" s="16"/>
      <c r="BL30" s="6"/>
      <c r="BM30" s="6"/>
      <c r="BN30" s="16"/>
      <c r="BO30" s="16"/>
      <c r="BP30" s="6"/>
      <c r="BQ30" s="6"/>
      <c r="BR30" s="6"/>
    </row>
    <row r="31" spans="1:70">
      <c r="B31" s="52">
        <v>0.82809999999999995</v>
      </c>
      <c r="C31" t="s">
        <v>340</v>
      </c>
      <c r="D31" s="56"/>
      <c r="F31" s="133">
        <v>5</v>
      </c>
      <c r="G31" s="133">
        <v>1.1724000000000001</v>
      </c>
      <c r="H31" s="133">
        <v>2.4330000000000001E-2</v>
      </c>
      <c r="I31" s="133">
        <v>-0.14979999999999999</v>
      </c>
      <c r="J31" s="10">
        <f t="shared" si="7"/>
        <v>2.6763000000000002E-2</v>
      </c>
      <c r="K31" s="1">
        <f t="shared" si="0"/>
        <v>1.3745217600000001</v>
      </c>
      <c r="L31" s="82">
        <f t="shared" si="1"/>
        <v>1.9808357991149883E-2</v>
      </c>
      <c r="M31" s="20">
        <f t="shared" si="2"/>
        <v>59.187137092524942</v>
      </c>
      <c r="N31" s="13">
        <f t="shared" si="3"/>
        <v>52.176099026053613</v>
      </c>
      <c r="R31" s="16"/>
      <c r="U31" s="16"/>
      <c r="V31" s="16"/>
      <c r="W31" s="6"/>
      <c r="X31" s="43"/>
      <c r="Y31" s="16"/>
      <c r="Z31" s="10">
        <f t="shared" si="4"/>
        <v>1.1724000000000001</v>
      </c>
      <c r="AA31" s="10">
        <f t="shared" si="8"/>
        <v>2.6763000000000002E-2</v>
      </c>
      <c r="AB31" s="42">
        <f t="shared" si="9"/>
        <v>1.4636642784032776E-2</v>
      </c>
      <c r="AC31" s="10">
        <f t="shared" si="5"/>
        <v>-0.14979999999999999</v>
      </c>
      <c r="AD31" s="42">
        <f t="shared" si="6"/>
        <v>4.6059365404298676E-2</v>
      </c>
      <c r="AF31" s="20"/>
      <c r="AG31" s="16"/>
      <c r="AH31" s="16"/>
      <c r="AI31" s="42"/>
      <c r="AJ31" s="42"/>
      <c r="AK31" s="42"/>
      <c r="AL31" s="16"/>
      <c r="AM31" s="16"/>
      <c r="AN31" s="16"/>
      <c r="AO31" s="16"/>
      <c r="AP31" s="42"/>
      <c r="AQ31" s="42"/>
      <c r="AR31" s="42"/>
      <c r="AS31" s="16"/>
      <c r="AT31" s="16"/>
      <c r="AU31" s="42"/>
      <c r="AV31" s="42"/>
      <c r="AW31" s="16"/>
      <c r="AX31" s="42"/>
      <c r="AY31" s="42"/>
      <c r="AZ31" s="42"/>
      <c r="BA31" s="20"/>
      <c r="BB31" s="20"/>
      <c r="BC31" s="20"/>
      <c r="BD31" s="19"/>
      <c r="BE31" s="6"/>
      <c r="BF31" s="6"/>
      <c r="BG31" s="16"/>
      <c r="BH31" s="16"/>
      <c r="BI31" s="6"/>
      <c r="BJ31" s="16"/>
      <c r="BK31" s="16"/>
      <c r="BL31" s="6"/>
      <c r="BM31" s="6"/>
      <c r="BN31" s="16"/>
      <c r="BO31" s="16"/>
      <c r="BP31" s="6"/>
      <c r="BQ31" s="6"/>
      <c r="BR31" s="6"/>
    </row>
    <row r="32" spans="1:70">
      <c r="B32" s="52">
        <v>-1.6408</v>
      </c>
      <c r="C32" t="s">
        <v>343</v>
      </c>
      <c r="D32" s="56"/>
      <c r="F32" s="133">
        <v>6</v>
      </c>
      <c r="G32" s="133">
        <v>1.2701</v>
      </c>
      <c r="H32" s="133">
        <v>2.563E-2</v>
      </c>
      <c r="I32" s="133">
        <v>-0.14530000000000001</v>
      </c>
      <c r="J32" s="10">
        <f t="shared" si="7"/>
        <v>2.8193000000000003E-2</v>
      </c>
      <c r="K32" s="1">
        <f t="shared" si="0"/>
        <v>1.6131540099999999</v>
      </c>
      <c r="L32" s="82">
        <f t="shared" si="1"/>
        <v>2.0555620300950039E-2</v>
      </c>
      <c r="M32" s="20">
        <f t="shared" si="2"/>
        <v>61.78845402886229</v>
      </c>
      <c r="N32" s="13">
        <f t="shared" si="3"/>
        <v>55.848082667960867</v>
      </c>
      <c r="R32" s="16"/>
      <c r="U32" s="16"/>
      <c r="V32" s="16"/>
      <c r="W32" s="6"/>
      <c r="X32" s="43"/>
      <c r="Y32" s="16"/>
      <c r="Z32" s="10">
        <f t="shared" si="4"/>
        <v>1.2701</v>
      </c>
      <c r="AA32" s="10">
        <f t="shared" si="8"/>
        <v>2.8193000000000003E-2</v>
      </c>
      <c r="AB32" s="42">
        <f t="shared" si="9"/>
        <v>1.5647058823529451E-2</v>
      </c>
      <c r="AC32" s="10">
        <f t="shared" si="5"/>
        <v>-0.14530000000000001</v>
      </c>
      <c r="AD32" s="42">
        <f t="shared" si="6"/>
        <v>5.5614973262032241E-2</v>
      </c>
      <c r="AF32" s="20"/>
      <c r="AG32" s="16"/>
      <c r="AH32" s="16"/>
      <c r="AI32" s="42"/>
      <c r="AJ32" s="42"/>
      <c r="AK32" s="42"/>
      <c r="AL32" s="16"/>
      <c r="AM32" s="16"/>
      <c r="AN32" s="16"/>
      <c r="AO32" s="16"/>
      <c r="AP32" s="42"/>
      <c r="AQ32" s="42"/>
      <c r="AR32" s="42"/>
      <c r="AS32" s="16"/>
      <c r="AT32" s="16"/>
      <c r="AU32" s="42"/>
      <c r="AV32" s="42"/>
      <c r="AW32" s="16"/>
      <c r="AX32" s="42"/>
      <c r="AY32" s="42"/>
      <c r="AZ32" s="42"/>
      <c r="BA32" s="20"/>
      <c r="BB32" s="20"/>
      <c r="BC32" s="20"/>
      <c r="BD32" s="19"/>
      <c r="BE32" s="6"/>
      <c r="BF32" s="6"/>
      <c r="BG32" s="16"/>
      <c r="BH32" s="16"/>
      <c r="BI32" s="6"/>
      <c r="BJ32" s="16"/>
      <c r="BK32" s="16"/>
      <c r="BL32" s="6"/>
      <c r="BM32" s="6"/>
      <c r="BN32" s="16"/>
      <c r="BO32" s="16"/>
      <c r="BP32" s="6"/>
      <c r="BQ32" s="6"/>
      <c r="BR32" s="6"/>
    </row>
    <row r="33" spans="1:70">
      <c r="B33" s="52">
        <v>1.7746</v>
      </c>
      <c r="C33" t="s">
        <v>344</v>
      </c>
      <c r="D33" s="56"/>
      <c r="F33" s="133">
        <v>7</v>
      </c>
      <c r="G33" s="133">
        <v>1.3635999999999999</v>
      </c>
      <c r="H33" s="133">
        <v>2.6960000000000001E-2</v>
      </c>
      <c r="I33" s="133">
        <v>-0.1401</v>
      </c>
      <c r="J33" s="10">
        <f t="shared" si="7"/>
        <v>2.9656000000000005E-2</v>
      </c>
      <c r="K33" s="1">
        <f t="shared" si="0"/>
        <v>1.8594049599999998</v>
      </c>
      <c r="L33" s="82">
        <f t="shared" si="1"/>
        <v>2.1367285706474837E-2</v>
      </c>
      <c r="M33" s="20">
        <f t="shared" si="2"/>
        <v>63.817183835698614</v>
      </c>
      <c r="N33" s="13">
        <f t="shared" si="3"/>
        <v>59.062333420742966</v>
      </c>
      <c r="R33" s="16"/>
      <c r="U33" s="16"/>
      <c r="V33" s="16"/>
      <c r="W33" s="6"/>
      <c r="X33" s="43"/>
      <c r="Y33" s="16"/>
      <c r="Z33" s="10">
        <f t="shared" si="4"/>
        <v>1.3635999999999999</v>
      </c>
      <c r="AA33" s="10">
        <f t="shared" si="8"/>
        <v>2.9656000000000005E-2</v>
      </c>
      <c r="AB33" s="42">
        <f t="shared" si="9"/>
        <v>2.5177478580171324E-2</v>
      </c>
      <c r="AC33" s="10">
        <f t="shared" si="5"/>
        <v>-0.1401</v>
      </c>
      <c r="AD33" s="42">
        <f t="shared" si="6"/>
        <v>8.5679314565483444E-2</v>
      </c>
      <c r="AF33" s="20"/>
      <c r="AG33" s="16"/>
      <c r="AH33" s="16"/>
      <c r="AI33" s="42"/>
      <c r="AJ33" s="42"/>
      <c r="AK33" s="42"/>
      <c r="AL33" s="16"/>
      <c r="AM33" s="16"/>
      <c r="AN33" s="16"/>
      <c r="AO33" s="16"/>
      <c r="AP33" s="42"/>
      <c r="AQ33" s="42"/>
      <c r="AR33" s="42"/>
      <c r="AS33" s="16"/>
      <c r="AT33" s="16"/>
      <c r="AU33" s="42"/>
      <c r="AV33" s="42"/>
      <c r="AW33" s="16"/>
      <c r="AX33" s="42"/>
      <c r="AY33" s="42"/>
      <c r="AZ33" s="42"/>
      <c r="BA33" s="20"/>
      <c r="BB33" s="20"/>
      <c r="BC33" s="20"/>
      <c r="BD33" s="19"/>
      <c r="BE33" s="6"/>
      <c r="BF33" s="6"/>
      <c r="BG33" s="16"/>
      <c r="BH33" s="16"/>
      <c r="BI33" s="6"/>
      <c r="BJ33" s="16"/>
      <c r="BK33" s="16"/>
      <c r="BL33" s="6"/>
      <c r="BM33" s="6"/>
      <c r="BN33" s="16"/>
      <c r="BO33" s="16"/>
      <c r="BP33" s="6"/>
      <c r="BQ33" s="6"/>
      <c r="BR33" s="6"/>
    </row>
    <row r="34" spans="1:70">
      <c r="B34" s="52">
        <v>-0.95920000000000005</v>
      </c>
      <c r="C34" t="s">
        <v>345</v>
      </c>
      <c r="D34" s="56"/>
      <c r="F34" s="133">
        <v>8</v>
      </c>
      <c r="G34" s="133">
        <v>1.4453</v>
      </c>
      <c r="H34" s="133">
        <v>2.8830000000000001E-2</v>
      </c>
      <c r="I34" s="133">
        <v>-0.1331</v>
      </c>
      <c r="J34" s="10">
        <f t="shared" si="7"/>
        <v>3.1713000000000005E-2</v>
      </c>
      <c r="K34" s="1">
        <f t="shared" si="0"/>
        <v>2.0888920899999999</v>
      </c>
      <c r="L34" s="82">
        <f t="shared" si="1"/>
        <v>2.3591590730561496E-2</v>
      </c>
      <c r="M34" s="20">
        <f t="shared" si="2"/>
        <v>61.2633550872727</v>
      </c>
      <c r="N34" s="13">
        <f t="shared" si="3"/>
        <v>60.268774635715886</v>
      </c>
      <c r="R34" s="16"/>
      <c r="U34" s="16"/>
      <c r="V34" s="16"/>
      <c r="W34" s="6"/>
      <c r="X34" s="43"/>
      <c r="Y34" s="16"/>
      <c r="Z34" s="10">
        <f t="shared" si="4"/>
        <v>1.4453</v>
      </c>
      <c r="AA34" s="10">
        <f t="shared" si="8"/>
        <v>3.1713000000000005E-2</v>
      </c>
      <c r="AB34" s="42">
        <f t="shared" si="9"/>
        <v>4.4126984126984153E-2</v>
      </c>
      <c r="AC34" s="10">
        <f t="shared" si="5"/>
        <v>-0.1331</v>
      </c>
      <c r="AD34" s="42">
        <f t="shared" si="6"/>
        <v>0.12121212121212123</v>
      </c>
      <c r="AF34" s="20"/>
      <c r="AG34" s="16"/>
      <c r="AH34" s="16"/>
      <c r="AI34" s="42"/>
      <c r="AJ34" s="42"/>
      <c r="AK34" s="42"/>
      <c r="AL34" s="16"/>
      <c r="AM34" s="16"/>
      <c r="AN34" s="16"/>
      <c r="AO34" s="16"/>
      <c r="AP34" s="42"/>
      <c r="AQ34" s="42"/>
      <c r="AR34" s="42"/>
      <c r="AS34" s="16"/>
      <c r="AT34" s="16"/>
      <c r="AU34" s="42"/>
      <c r="AV34" s="42"/>
      <c r="AW34" s="16"/>
      <c r="AX34" s="42"/>
      <c r="AY34" s="42"/>
      <c r="AZ34" s="42"/>
      <c r="BA34" s="20"/>
      <c r="BB34" s="20"/>
      <c r="BC34" s="20"/>
      <c r="BD34" s="19"/>
      <c r="BE34" s="6"/>
      <c r="BF34" s="6"/>
      <c r="BG34" s="16"/>
      <c r="BH34" s="16"/>
      <c r="BI34" s="6"/>
      <c r="BJ34" s="16"/>
      <c r="BK34" s="16"/>
      <c r="BL34" s="6"/>
      <c r="BM34" s="6"/>
      <c r="BN34" s="16"/>
      <c r="BO34" s="16"/>
      <c r="BP34" s="6"/>
      <c r="BQ34" s="6"/>
      <c r="BR34" s="6"/>
    </row>
    <row r="35" spans="1:70">
      <c r="B35" s="52">
        <v>0.20269999999999999</v>
      </c>
      <c r="C35" t="s">
        <v>346</v>
      </c>
      <c r="D35" s="56"/>
      <c r="F35" s="133">
        <v>9</v>
      </c>
      <c r="G35" s="133">
        <v>1.5145999999999999</v>
      </c>
      <c r="H35" s="133">
        <v>3.1609999999999999E-2</v>
      </c>
      <c r="I35" s="133">
        <v>-0.12470000000000001</v>
      </c>
      <c r="J35" s="10">
        <f t="shared" si="7"/>
        <v>3.4771000000000003E-2</v>
      </c>
      <c r="K35" s="1">
        <f t="shared" si="0"/>
        <v>2.29401316</v>
      </c>
      <c r="L35" s="82">
        <f t="shared" si="1"/>
        <v>2.8481733415258503E-2</v>
      </c>
      <c r="M35" s="20">
        <f t="shared" si="2"/>
        <v>53.177943137006686</v>
      </c>
      <c r="N35" s="13">
        <f t="shared" si="3"/>
        <v>58.968819390465676</v>
      </c>
      <c r="R35" s="16"/>
      <c r="U35" s="16"/>
      <c r="V35" s="16"/>
      <c r="W35" s="6"/>
      <c r="X35" s="43"/>
      <c r="Y35" s="16"/>
      <c r="Z35" s="10">
        <f t="shared" si="4"/>
        <v>1.5145999999999999</v>
      </c>
      <c r="AA35" s="10">
        <f t="shared" si="8"/>
        <v>3.4771000000000003E-2</v>
      </c>
      <c r="AB35" s="42">
        <f t="shared" si="9"/>
        <v>8.0943396226415054E-2</v>
      </c>
      <c r="AC35" s="10">
        <f t="shared" si="5"/>
        <v>-0.12470000000000001</v>
      </c>
      <c r="AD35" s="42">
        <f t="shared" si="6"/>
        <v>0.28301886792452857</v>
      </c>
      <c r="AF35" s="20"/>
      <c r="AG35" s="16"/>
      <c r="AH35" s="16"/>
      <c r="AI35" s="42"/>
      <c r="AJ35" s="42"/>
      <c r="AK35" s="42"/>
      <c r="AL35" s="16"/>
      <c r="AM35" s="16"/>
      <c r="AN35" s="16"/>
      <c r="AO35" s="16"/>
      <c r="AP35" s="42"/>
      <c r="AQ35" s="42"/>
      <c r="AR35" s="42"/>
      <c r="AS35" s="16"/>
      <c r="AT35" s="16"/>
      <c r="AU35" s="42"/>
      <c r="AV35" s="42"/>
      <c r="AW35" s="16"/>
      <c r="AX35" s="42"/>
      <c r="AY35" s="42"/>
      <c r="AZ35" s="42"/>
      <c r="BA35" s="20"/>
      <c r="BB35" s="20"/>
      <c r="BC35" s="20"/>
      <c r="BD35" s="19"/>
      <c r="BE35" s="6"/>
      <c r="BF35" s="6"/>
      <c r="BG35" s="16"/>
      <c r="BH35" s="16"/>
      <c r="BI35" s="6"/>
      <c r="BJ35" s="16"/>
      <c r="BK35" s="16"/>
      <c r="BL35" s="6"/>
      <c r="BM35" s="6"/>
      <c r="BN35" s="16"/>
      <c r="BO35" s="16"/>
      <c r="BP35" s="6"/>
      <c r="BQ35" s="6"/>
      <c r="BR35" s="6"/>
    </row>
    <row r="36" spans="1:70">
      <c r="D36" s="6"/>
      <c r="F36" s="133">
        <v>10</v>
      </c>
      <c r="G36" s="133">
        <v>1.5569999999999999</v>
      </c>
      <c r="H36" s="133">
        <v>3.4729999999999997E-2</v>
      </c>
      <c r="I36" s="133">
        <v>-0.11269999999999999</v>
      </c>
      <c r="J36" s="10">
        <f t="shared" si="7"/>
        <v>3.8203000000000001E-2</v>
      </c>
      <c r="K36" s="1">
        <f t="shared" si="0"/>
        <v>2.4242489999999997</v>
      </c>
      <c r="L36" s="82">
        <f t="shared" si="1"/>
        <v>3.3898473196136258E-2</v>
      </c>
      <c r="M36" s="20">
        <f t="shared" si="2"/>
        <v>45.931272213683847</v>
      </c>
      <c r="N36" s="13">
        <f t="shared" si="3"/>
        <v>55.940730789837041</v>
      </c>
      <c r="R36" s="16"/>
      <c r="U36" s="16"/>
      <c r="V36" s="16"/>
      <c r="W36" s="6"/>
      <c r="X36" s="43"/>
      <c r="Y36" s="16"/>
      <c r="Z36" s="10">
        <f t="shared" si="4"/>
        <v>1.5569999999999999</v>
      </c>
      <c r="AA36" s="10">
        <f t="shared" si="8"/>
        <v>3.8203000000000001E-2</v>
      </c>
      <c r="AB36" s="42">
        <f t="shared" si="9"/>
        <v>5.5687499999990768</v>
      </c>
      <c r="AC36" s="10">
        <f t="shared" si="5"/>
        <v>-0.11269999999999999</v>
      </c>
      <c r="AD36" s="42">
        <f t="shared" si="6"/>
        <v>20.874999999996497</v>
      </c>
      <c r="AF36" s="20"/>
      <c r="AG36" s="16"/>
      <c r="AH36" s="16"/>
      <c r="AI36" s="42"/>
      <c r="AJ36" s="42"/>
      <c r="AK36" s="42"/>
      <c r="AL36" s="16"/>
      <c r="AM36" s="16"/>
      <c r="AN36" s="16"/>
      <c r="AO36" s="16"/>
      <c r="AP36" s="42"/>
      <c r="AQ36" s="42"/>
      <c r="AR36" s="42"/>
      <c r="AS36" s="16"/>
      <c r="AT36" s="16"/>
      <c r="AU36" s="42"/>
      <c r="AV36" s="42"/>
      <c r="AW36" s="16"/>
      <c r="AX36" s="42"/>
      <c r="AY36" s="42"/>
      <c r="AZ36" s="42"/>
      <c r="BA36" s="20"/>
      <c r="BB36" s="20"/>
      <c r="BC36" s="20"/>
      <c r="BD36" s="19"/>
      <c r="BE36" s="6"/>
      <c r="BF36" s="6"/>
      <c r="BG36" s="16"/>
      <c r="BH36" s="16"/>
      <c r="BI36" s="6"/>
      <c r="BJ36" s="16"/>
      <c r="BK36" s="16"/>
      <c r="BL36" s="6"/>
      <c r="BM36" s="6"/>
      <c r="BN36" s="16"/>
      <c r="BO36" s="16"/>
      <c r="BP36" s="6"/>
      <c r="BQ36" s="6"/>
      <c r="BR36" s="6"/>
    </row>
    <row r="37" spans="1:70">
      <c r="A37" t="s">
        <v>372</v>
      </c>
      <c r="B37" s="52">
        <v>3.6999999999999998E-2</v>
      </c>
      <c r="D37" s="56"/>
      <c r="F37" s="133">
        <v>11</v>
      </c>
      <c r="G37" s="133">
        <v>1.5578000000000001</v>
      </c>
      <c r="H37" s="133">
        <v>3.8780000000000002E-2</v>
      </c>
      <c r="I37" s="133">
        <v>-9.6000000000000002E-2</v>
      </c>
      <c r="J37" s="10">
        <f t="shared" si="7"/>
        <v>4.2658000000000008E-2</v>
      </c>
      <c r="K37" s="1">
        <f t="shared" si="0"/>
        <v>2.4267408400000003</v>
      </c>
      <c r="L37" s="82">
        <f t="shared" si="1"/>
        <v>3.4024243819692046E-2</v>
      </c>
      <c r="M37" s="20">
        <f t="shared" si="2"/>
        <v>45.784999903462946</v>
      </c>
      <c r="N37" s="13">
        <f t="shared" si="3"/>
        <v>50.137161689687709</v>
      </c>
      <c r="R37" s="16"/>
      <c r="T37" s="16"/>
      <c r="U37" s="16"/>
      <c r="V37" s="16"/>
      <c r="W37" s="6"/>
      <c r="X37" s="43"/>
      <c r="Y37" s="16"/>
      <c r="Z37" s="10">
        <f t="shared" si="4"/>
        <v>1.5578000000000001</v>
      </c>
      <c r="AA37" s="10">
        <f t="shared" si="8"/>
        <v>4.2658000000000008E-2</v>
      </c>
      <c r="AB37" s="42">
        <f t="shared" si="9"/>
        <v>0</v>
      </c>
      <c r="AC37" s="10">
        <f t="shared" si="5"/>
        <v>-9.6000000000000002E-2</v>
      </c>
      <c r="AD37" s="42">
        <f t="shared" si="6"/>
        <v>0</v>
      </c>
      <c r="AF37" s="20"/>
      <c r="AG37" s="16"/>
      <c r="AH37" s="16"/>
      <c r="AI37" s="42"/>
      <c r="AJ37" s="42"/>
      <c r="AK37" s="42"/>
      <c r="AL37" s="16"/>
      <c r="AM37" s="16"/>
      <c r="AN37" s="16"/>
      <c r="AO37" s="16"/>
      <c r="AP37" s="42"/>
      <c r="AQ37" s="42"/>
      <c r="AR37" s="42"/>
      <c r="AS37" s="16"/>
      <c r="AT37" s="16"/>
      <c r="AU37" s="42"/>
      <c r="AV37" s="42"/>
      <c r="AW37" s="16"/>
      <c r="AX37" s="42"/>
      <c r="AY37" s="42"/>
      <c r="AZ37" s="42"/>
      <c r="BA37" s="20"/>
      <c r="BB37" s="20"/>
      <c r="BC37" s="20"/>
      <c r="BD37" s="19"/>
      <c r="BE37" s="6"/>
      <c r="BF37" s="6"/>
      <c r="BG37" s="16"/>
      <c r="BH37" s="16"/>
      <c r="BI37" s="6"/>
      <c r="BJ37" s="16"/>
      <c r="BK37" s="16"/>
      <c r="BL37" s="6"/>
      <c r="BM37" s="6"/>
      <c r="BN37" s="16"/>
      <c r="BO37" s="16"/>
      <c r="BP37" s="6"/>
      <c r="BQ37" s="6"/>
      <c r="BR37" s="6"/>
    </row>
    <row r="38" spans="1:70">
      <c r="B38" s="52">
        <v>-0.1011</v>
      </c>
      <c r="C38" t="s">
        <v>52</v>
      </c>
      <c r="D38" s="56"/>
      <c r="F38" s="133">
        <v>12</v>
      </c>
      <c r="G38" s="133">
        <v>1.5291999999999999</v>
      </c>
      <c r="H38" s="133">
        <v>4.6359999999999998E-2</v>
      </c>
      <c r="I38" s="133">
        <v>-0.08</v>
      </c>
      <c r="J38" s="10">
        <f t="shared" si="7"/>
        <v>5.0996E-2</v>
      </c>
      <c r="K38" s="1">
        <f t="shared" si="0"/>
        <v>2.3384526399999999</v>
      </c>
      <c r="L38" s="82">
        <f t="shared" si="1"/>
        <v>3.0089614726045433E-2</v>
      </c>
      <c r="M38" s="20">
        <f t="shared" si="2"/>
        <v>50.82152144262357</v>
      </c>
      <c r="N38" s="13">
        <f t="shared" si="3"/>
        <v>40.789934386943393</v>
      </c>
      <c r="O38" s="16"/>
      <c r="Q38" s="16"/>
      <c r="R38" s="16"/>
      <c r="S38" s="16"/>
      <c r="T38" s="16"/>
      <c r="U38" s="16"/>
      <c r="V38" s="16"/>
      <c r="W38" s="6"/>
      <c r="X38" s="43"/>
      <c r="Y38" s="16"/>
      <c r="Z38" s="10">
        <f t="shared" si="4"/>
        <v>1.5578000000000001</v>
      </c>
      <c r="AA38" s="10">
        <f t="shared" si="8"/>
        <v>4.2658000000000008E-2</v>
      </c>
      <c r="AB38" s="42">
        <f t="shared" si="9"/>
        <v>0</v>
      </c>
      <c r="AC38" s="10">
        <f t="shared" si="5"/>
        <v>-9.6000000000000002E-2</v>
      </c>
      <c r="AD38" s="42">
        <f t="shared" si="6"/>
        <v>0</v>
      </c>
      <c r="AF38" s="20"/>
      <c r="AG38" s="16"/>
      <c r="AH38" s="16"/>
      <c r="AI38" s="42"/>
      <c r="AJ38" s="42"/>
      <c r="AK38" s="42"/>
      <c r="AL38" s="16"/>
      <c r="AM38" s="16"/>
      <c r="AN38" s="16"/>
      <c r="AO38" s="16"/>
      <c r="AP38" s="42"/>
      <c r="AQ38" s="42"/>
      <c r="AR38" s="42"/>
      <c r="AS38" s="16"/>
      <c r="AT38" s="16"/>
      <c r="AU38" s="42"/>
      <c r="AV38" s="42"/>
      <c r="AW38" s="16"/>
      <c r="AX38" s="42"/>
      <c r="AY38" s="42"/>
      <c r="AZ38" s="42"/>
      <c r="BA38" s="20"/>
      <c r="BB38" s="20"/>
      <c r="BC38" s="20"/>
      <c r="BD38" s="19"/>
      <c r="BE38" s="6"/>
      <c r="BF38" s="6"/>
      <c r="BG38" s="16"/>
      <c r="BH38" s="16"/>
      <c r="BI38" s="6"/>
      <c r="BJ38" s="16"/>
      <c r="BK38" s="16"/>
      <c r="BL38" s="6"/>
      <c r="BM38" s="6"/>
      <c r="BN38" s="16"/>
      <c r="BO38" s="16"/>
      <c r="BP38" s="6"/>
      <c r="BQ38" s="6"/>
      <c r="BR38" s="6"/>
    </row>
    <row r="39" spans="1:70">
      <c r="B39" s="52">
        <v>0.15809999999999999</v>
      </c>
      <c r="C39" t="s">
        <v>340</v>
      </c>
      <c r="D39" s="56"/>
      <c r="F39" s="133">
        <v>13</v>
      </c>
      <c r="G39" s="133">
        <v>1.4995000000000001</v>
      </c>
      <c r="H39" s="133">
        <v>5.8169999999999999E-2</v>
      </c>
      <c r="I39" s="133">
        <v>-6.9699999999999998E-2</v>
      </c>
      <c r="J39" s="10">
        <f t="shared" si="7"/>
        <v>6.3987000000000002E-2</v>
      </c>
      <c r="K39" s="1">
        <f t="shared" si="0"/>
        <v>2.2485002500000002</v>
      </c>
      <c r="L39" s="82">
        <f t="shared" si="1"/>
        <v>2.706293610790711E-2</v>
      </c>
      <c r="M39" s="20">
        <f t="shared" si="2"/>
        <v>55.407883092251907</v>
      </c>
      <c r="N39" s="13">
        <f t="shared" si="3"/>
        <v>31.566079164253868</v>
      </c>
      <c r="O39" s="16"/>
      <c r="P39" s="16"/>
      <c r="Q39" s="16"/>
      <c r="R39" s="16"/>
      <c r="S39" s="16"/>
      <c r="T39" s="16"/>
      <c r="U39" s="16"/>
      <c r="V39" s="16"/>
      <c r="W39" s="6"/>
      <c r="X39" s="43"/>
      <c r="Y39" s="16"/>
      <c r="Z39" s="10">
        <f t="shared" si="4"/>
        <v>1.5578000000000001</v>
      </c>
      <c r="AA39" s="10">
        <f t="shared" si="8"/>
        <v>4.2658000000000008E-2</v>
      </c>
      <c r="AB39" s="42">
        <f t="shared" si="9"/>
        <v>0</v>
      </c>
      <c r="AC39" s="10">
        <f t="shared" si="5"/>
        <v>-9.6000000000000002E-2</v>
      </c>
      <c r="AD39" s="42">
        <f t="shared" si="6"/>
        <v>0</v>
      </c>
      <c r="AF39" s="20"/>
      <c r="AG39" s="16"/>
      <c r="AH39" s="16"/>
      <c r="AI39" s="42"/>
      <c r="AJ39" s="42"/>
      <c r="AK39" s="42"/>
      <c r="AL39" s="16"/>
      <c r="AM39" s="16"/>
      <c r="AN39" s="16"/>
      <c r="AO39" s="16"/>
      <c r="AP39" s="42"/>
      <c r="AQ39" s="42"/>
      <c r="AR39" s="42"/>
      <c r="AS39" s="16"/>
      <c r="AT39" s="16"/>
      <c r="AU39" s="42"/>
      <c r="AV39" s="42"/>
      <c r="AW39" s="16"/>
      <c r="AX39" s="42"/>
      <c r="AY39" s="42"/>
      <c r="AZ39" s="42"/>
      <c r="BA39" s="20"/>
      <c r="BB39" s="20"/>
      <c r="BC39" s="20"/>
      <c r="BD39" s="19"/>
      <c r="BE39" s="6"/>
      <c r="BF39" s="6"/>
      <c r="BG39" s="16"/>
      <c r="BH39" s="16"/>
      <c r="BI39" s="6"/>
      <c r="BJ39" s="16"/>
      <c r="BK39" s="16"/>
      <c r="BL39" s="6"/>
      <c r="BM39" s="6"/>
      <c r="BN39" s="16"/>
      <c r="BO39" s="16"/>
      <c r="BP39" s="6"/>
      <c r="BQ39" s="6"/>
      <c r="BR39" s="6"/>
    </row>
    <row r="40" spans="1:70">
      <c r="B40" s="52">
        <v>-0.2064</v>
      </c>
      <c r="C40" t="s">
        <v>343</v>
      </c>
      <c r="D40" s="56"/>
      <c r="F40" s="133">
        <v>14</v>
      </c>
      <c r="G40" s="133">
        <v>1.5085999999999999</v>
      </c>
      <c r="H40" s="133">
        <v>6.9330000000000003E-2</v>
      </c>
      <c r="I40" s="133">
        <v>-6.4299999999999996E-2</v>
      </c>
      <c r="J40" s="10">
        <f t="shared" si="7"/>
        <v>7.6263000000000011E-2</v>
      </c>
      <c r="K40" s="1">
        <f t="shared" si="0"/>
        <v>2.2758739599999998</v>
      </c>
      <c r="L40" s="82">
        <f t="shared" si="1"/>
        <v>2.7889892213900147E-2</v>
      </c>
      <c r="M40" s="20">
        <f t="shared" si="2"/>
        <v>54.091281114672903</v>
      </c>
      <c r="N40" s="13">
        <f t="shared" si="3"/>
        <v>26.726368669671619</v>
      </c>
      <c r="O40" s="16"/>
      <c r="P40" s="16"/>
      <c r="Q40" s="16"/>
      <c r="R40" s="16"/>
      <c r="S40" s="16"/>
      <c r="T40" s="16"/>
      <c r="U40" s="16"/>
      <c r="V40" s="16"/>
      <c r="W40" s="6"/>
      <c r="X40" s="43"/>
      <c r="Y40" s="16"/>
      <c r="Z40" s="10">
        <f t="shared" si="4"/>
        <v>1.5578000000000001</v>
      </c>
      <c r="AA40" s="10">
        <f t="shared" si="8"/>
        <v>4.2658000000000008E-2</v>
      </c>
      <c r="AB40" s="42">
        <f t="shared" si="9"/>
        <v>0</v>
      </c>
      <c r="AC40" s="10">
        <f t="shared" si="5"/>
        <v>-9.6000000000000002E-2</v>
      </c>
      <c r="AD40" s="42">
        <f t="shared" si="6"/>
        <v>0</v>
      </c>
      <c r="AF40" s="20"/>
      <c r="AG40" s="16"/>
      <c r="AH40" s="16"/>
      <c r="AI40" s="42"/>
      <c r="AJ40" s="42"/>
      <c r="AK40" s="42"/>
      <c r="AL40" s="16"/>
      <c r="AM40" s="16"/>
      <c r="AN40" s="16"/>
      <c r="AO40" s="16"/>
      <c r="AP40" s="42"/>
      <c r="AQ40" s="42"/>
      <c r="AR40" s="42"/>
      <c r="AS40" s="16"/>
      <c r="AT40" s="16"/>
      <c r="AU40" s="42"/>
      <c r="AV40" s="42"/>
      <c r="AW40" s="16"/>
      <c r="AX40" s="42"/>
      <c r="AY40" s="42"/>
      <c r="AZ40" s="42"/>
      <c r="BA40" s="20"/>
      <c r="BB40" s="20"/>
      <c r="BC40" s="20"/>
      <c r="BD40" s="19"/>
      <c r="BE40" s="6"/>
      <c r="BF40" s="6"/>
      <c r="BG40" s="16"/>
      <c r="BH40" s="16"/>
      <c r="BI40" s="6"/>
      <c r="BJ40" s="16"/>
      <c r="BK40" s="16"/>
      <c r="BL40" s="6"/>
      <c r="BM40" s="6"/>
      <c r="BN40" s="16"/>
      <c r="BO40" s="16"/>
      <c r="BP40" s="6"/>
      <c r="BQ40" s="6"/>
      <c r="BR40" s="6"/>
    </row>
    <row r="41" spans="1:70">
      <c r="B41" s="52">
        <v>0.25230000000000002</v>
      </c>
      <c r="C41" t="s">
        <v>344</v>
      </c>
      <c r="D41" s="56"/>
      <c r="E41" s="4"/>
      <c r="F41" s="133">
        <v>15</v>
      </c>
      <c r="G41" s="133">
        <v>1.5325</v>
      </c>
      <c r="H41" s="133">
        <v>8.2119999999999999E-2</v>
      </c>
      <c r="I41" s="133">
        <v>-6.0199999999999997E-2</v>
      </c>
      <c r="J41" s="10">
        <f t="shared" si="7"/>
        <v>9.033200000000001E-2</v>
      </c>
      <c r="K41" s="1">
        <f t="shared" si="0"/>
        <v>2.3485562500000001</v>
      </c>
      <c r="L41" s="82">
        <f t="shared" si="1"/>
        <v>3.0488137884880473E-2</v>
      </c>
      <c r="M41" s="20">
        <f t="shared" si="2"/>
        <v>50.265450969374875</v>
      </c>
      <c r="N41" s="13">
        <f t="shared" si="3"/>
        <v>23.102117270837759</v>
      </c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10">
        <f t="shared" si="4"/>
        <v>1.5578000000000001</v>
      </c>
      <c r="AA41" s="10">
        <f t="shared" si="8"/>
        <v>4.2658000000000008E-2</v>
      </c>
      <c r="AB41" s="42">
        <f>AB40</f>
        <v>0</v>
      </c>
      <c r="AC41" s="10">
        <f t="shared" si="5"/>
        <v>-9.6000000000000002E-2</v>
      </c>
      <c r="AD41" s="42">
        <f>AD40</f>
        <v>0</v>
      </c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</row>
    <row r="42" spans="1:70">
      <c r="B42" s="52">
        <v>-0.17330000000000001</v>
      </c>
      <c r="C42" t="s">
        <v>345</v>
      </c>
      <c r="D42" s="5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42"/>
      <c r="AA42" s="42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</row>
    <row r="43" spans="1:70">
      <c r="B43" s="52">
        <v>4.5199999999999997E-2</v>
      </c>
      <c r="C43" t="s">
        <v>346</v>
      </c>
      <c r="D43" s="56"/>
      <c r="O43" s="9"/>
      <c r="P43" s="9"/>
      <c r="Q43" s="6"/>
      <c r="S43" s="9"/>
      <c r="T43" s="9"/>
      <c r="U43" s="6"/>
      <c r="V43" s="6"/>
      <c r="W43" s="6"/>
      <c r="X43" s="6"/>
      <c r="Y43" s="6"/>
      <c r="Z43" s="42"/>
      <c r="AA43" s="42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</row>
    <row r="44" spans="1:70">
      <c r="D44" s="6"/>
      <c r="E44" t="s">
        <v>381</v>
      </c>
      <c r="F44" s="9" t="s">
        <v>378</v>
      </c>
      <c r="G44" s="9" t="s">
        <v>52</v>
      </c>
      <c r="H44" s="9" t="s">
        <v>366</v>
      </c>
      <c r="I44" s="9" t="s">
        <v>53</v>
      </c>
      <c r="J44" s="9" t="s">
        <v>800</v>
      </c>
      <c r="K44" s="9" t="s">
        <v>340</v>
      </c>
      <c r="L44" s="9" t="s">
        <v>366</v>
      </c>
      <c r="M44" s="9" t="s">
        <v>380</v>
      </c>
      <c r="N44" s="9" t="s">
        <v>788</v>
      </c>
      <c r="Q44" s="6"/>
      <c r="Z44" s="9" t="s">
        <v>52</v>
      </c>
      <c r="AA44" s="9" t="s">
        <v>366</v>
      </c>
      <c r="AB44" s="23" t="s">
        <v>789</v>
      </c>
      <c r="AC44" s="9" t="s">
        <v>53</v>
      </c>
      <c r="AD44" s="23" t="s">
        <v>790</v>
      </c>
    </row>
    <row r="45" spans="1:70">
      <c r="D45" s="6"/>
      <c r="F45" s="9" t="s">
        <v>303</v>
      </c>
      <c r="G45" s="9"/>
      <c r="H45" s="9"/>
      <c r="I45" s="9"/>
      <c r="Q45" s="6"/>
      <c r="AB45" s="6"/>
      <c r="AD45" s="6"/>
    </row>
    <row r="46" spans="1:70">
      <c r="A46" t="s">
        <v>383</v>
      </c>
      <c r="D46" s="6"/>
      <c r="F46" s="9"/>
      <c r="G46" s="9"/>
      <c r="H46" s="9"/>
      <c r="AB46" s="42"/>
      <c r="AD46" s="19"/>
    </row>
    <row r="47" spans="1:70">
      <c r="D47" s="134"/>
      <c r="E47">
        <f>G10</f>
        <v>100000</v>
      </c>
      <c r="F47" s="133">
        <v>-5</v>
      </c>
      <c r="G47" s="133">
        <v>-0.37709999999999999</v>
      </c>
      <c r="H47" s="133">
        <v>8.5029999999999994E-2</v>
      </c>
      <c r="I47" s="133">
        <v>-2.2700000000000001E-2</v>
      </c>
      <c r="J47" s="10">
        <f>H47*(1+$G$17)</f>
        <v>8.92815E-2</v>
      </c>
      <c r="K47" s="1">
        <f t="shared" ref="K47:K66" si="10">G47^2</f>
        <v>0.14220441</v>
      </c>
      <c r="L47" s="82">
        <f t="shared" ref="L47:L66" si="11">$B$29+$B$30*G47+$B$31*G47^2+$B$32*G47^3+$B$33*G47^4+$B$34*G47^5+$B$35*G47^6</f>
        <v>0.38644525426263282</v>
      </c>
      <c r="M47" s="20">
        <f t="shared" ref="M47:M66" si="12">G47/L47</f>
        <v>-0.97581739157215353</v>
      </c>
      <c r="N47" s="13">
        <f t="shared" ref="N47:N66" si="13">IF(OR(G47&lt;0,H47=0),0,G47^(3/2)/H47)</f>
        <v>0</v>
      </c>
      <c r="O47" s="10"/>
      <c r="Z47" s="10">
        <f t="shared" ref="Z47:Z66" si="14">IF(F47&gt;$G$12,$G$11,IF(AND(G47=0,OR(G46=0,G46&gt;0)),Z46,G47))</f>
        <v>-0.37709999999999999</v>
      </c>
      <c r="AA47" s="10">
        <f>IF(F47&gt;$G$12,AA46,IF(Z46=$G$11,AA46,J47))</f>
        <v>8.92815E-2</v>
      </c>
      <c r="AB47" s="42">
        <f>(AA48-AA47)/IF((Z48-Z47)=0,0.000001,(Z48-Z47))</f>
        <v>-0.10147336201191262</v>
      </c>
      <c r="AC47" s="10">
        <f t="shared" ref="AC47:AC66" si="15">IF(F47&gt;$G$12,AC46,IF(Z46=$G$11,AC46,I47))</f>
        <v>-2.2700000000000001E-2</v>
      </c>
      <c r="AD47" s="42">
        <f t="shared" ref="AD47:AD65" si="16">(AC48-AC47)/IF((Z48-Z47)=0,0.000001,(Z48-Z47))</f>
        <v>-0.17289874255459961</v>
      </c>
    </row>
    <row r="48" spans="1:70">
      <c r="A48" t="s">
        <v>384</v>
      </c>
      <c r="B48" s="52">
        <v>-0.155</v>
      </c>
      <c r="D48" s="56"/>
      <c r="F48" s="133">
        <v>-2</v>
      </c>
      <c r="G48" s="133">
        <v>0.2273</v>
      </c>
      <c r="H48" s="133">
        <v>2.6620000000000001E-2</v>
      </c>
      <c r="I48" s="133">
        <v>-0.12720000000000001</v>
      </c>
      <c r="J48" s="10">
        <f t="shared" ref="J48:J66" si="17">H48*(1+$G$17)</f>
        <v>2.7951000000000004E-2</v>
      </c>
      <c r="K48" s="1">
        <f t="shared" si="10"/>
        <v>5.1665290000000003E-2</v>
      </c>
      <c r="L48" s="82">
        <f t="shared" si="11"/>
        <v>2.0341668722106333E-2</v>
      </c>
      <c r="M48" s="20">
        <f t="shared" si="12"/>
        <v>11.174107842636403</v>
      </c>
      <c r="N48" s="13">
        <f t="shared" si="13"/>
        <v>4.0709062634905893</v>
      </c>
      <c r="O48" s="10"/>
      <c r="Z48" s="10">
        <f t="shared" si="14"/>
        <v>0.2273</v>
      </c>
      <c r="AA48" s="10">
        <f t="shared" ref="AA48:AA66" si="18">IF(F48&gt;$G$12,AA47,IF(Z47=$G$11,AA47,J48))</f>
        <v>2.7951000000000004E-2</v>
      </c>
      <c r="AB48" s="42">
        <f t="shared" ref="AB48:AB65" si="19">(AA49-AA48)/IF((Z49-Z48)=0,0.000001,(Z49-Z48))</f>
        <v>-3.1144578313253027E-2</v>
      </c>
      <c r="AC48" s="10">
        <f t="shared" si="15"/>
        <v>-0.12720000000000001</v>
      </c>
      <c r="AD48" s="42">
        <f t="shared" si="16"/>
        <v>-6.5404475043029223E-2</v>
      </c>
    </row>
    <row r="49" spans="1:30">
      <c r="B49" s="52">
        <v>0</v>
      </c>
      <c r="C49" t="s">
        <v>52</v>
      </c>
      <c r="D49" s="56"/>
      <c r="F49" s="133">
        <v>-1</v>
      </c>
      <c r="G49" s="133">
        <v>0.40160000000000001</v>
      </c>
      <c r="H49" s="133">
        <v>2.145E-2</v>
      </c>
      <c r="I49" s="133">
        <v>-0.1386</v>
      </c>
      <c r="J49" s="10">
        <f t="shared" si="17"/>
        <v>2.2522500000000001E-2</v>
      </c>
      <c r="K49" s="1">
        <f t="shared" si="10"/>
        <v>0.16128256000000002</v>
      </c>
      <c r="L49" s="82">
        <f t="shared" si="11"/>
        <v>1.5310951073149254E-2</v>
      </c>
      <c r="M49" s="20">
        <f t="shared" si="12"/>
        <v>26.229592014325231</v>
      </c>
      <c r="N49" s="13">
        <f t="shared" si="13"/>
        <v>11.864877527888769</v>
      </c>
      <c r="O49" s="10"/>
      <c r="Z49" s="10">
        <f t="shared" si="14"/>
        <v>0.40160000000000001</v>
      </c>
      <c r="AA49" s="10">
        <f t="shared" si="18"/>
        <v>2.2522500000000001E-2</v>
      </c>
      <c r="AB49" s="42">
        <f t="shared" si="19"/>
        <v>-2.6702586206896577E-2</v>
      </c>
      <c r="AC49" s="10">
        <f t="shared" si="15"/>
        <v>-0.1386</v>
      </c>
      <c r="AD49" s="42">
        <f t="shared" si="16"/>
        <v>-9.3390804597700879E-3</v>
      </c>
    </row>
    <row r="50" spans="1:30">
      <c r="B50" s="52">
        <v>0</v>
      </c>
      <c r="C50" t="s">
        <v>340</v>
      </c>
      <c r="D50" s="56"/>
      <c r="F50" s="133">
        <v>0</v>
      </c>
      <c r="G50" s="133">
        <v>0.54079999999999995</v>
      </c>
      <c r="H50" s="133">
        <v>1.7909999999999999E-2</v>
      </c>
      <c r="I50" s="133">
        <v>-0.1399</v>
      </c>
      <c r="J50" s="10">
        <f t="shared" si="17"/>
        <v>1.8805499999999999E-2</v>
      </c>
      <c r="K50" s="1">
        <f t="shared" si="10"/>
        <v>0.29246463999999994</v>
      </c>
      <c r="L50" s="82">
        <f t="shared" si="11"/>
        <v>1.2975939282862753E-2</v>
      </c>
      <c r="M50" s="20">
        <f t="shared" si="12"/>
        <v>41.677137061995296</v>
      </c>
      <c r="N50" s="13">
        <f t="shared" si="13"/>
        <v>22.205442833964948</v>
      </c>
      <c r="O50" s="10"/>
      <c r="Z50" s="10">
        <f t="shared" si="14"/>
        <v>0.54079999999999995</v>
      </c>
      <c r="AA50" s="10">
        <f t="shared" si="18"/>
        <v>1.8805499999999999E-2</v>
      </c>
      <c r="AB50" s="42">
        <f t="shared" si="19"/>
        <v>-9.2542372881355747E-3</v>
      </c>
      <c r="AC50" s="10">
        <f t="shared" si="15"/>
        <v>-0.1399</v>
      </c>
      <c r="AD50" s="42">
        <f t="shared" si="16"/>
        <v>-5.8757062146892601E-2</v>
      </c>
    </row>
    <row r="51" spans="1:30">
      <c r="B51" s="52">
        <v>0</v>
      </c>
      <c r="C51" t="s">
        <v>343</v>
      </c>
      <c r="D51" s="56"/>
      <c r="F51" s="133">
        <v>1</v>
      </c>
      <c r="G51" s="133">
        <v>0.71779999999999999</v>
      </c>
      <c r="H51" s="133">
        <v>1.635E-2</v>
      </c>
      <c r="I51" s="133">
        <v>-0.15029999999999999</v>
      </c>
      <c r="J51" s="10">
        <f t="shared" si="17"/>
        <v>1.7167500000000002E-2</v>
      </c>
      <c r="K51" s="1">
        <f t="shared" si="10"/>
        <v>0.51523684000000003</v>
      </c>
      <c r="L51" s="82">
        <f t="shared" si="11"/>
        <v>1.1447627172870335E-2</v>
      </c>
      <c r="M51" s="20">
        <f t="shared" si="12"/>
        <v>62.702950503237041</v>
      </c>
      <c r="N51" s="13">
        <f t="shared" si="13"/>
        <v>37.195245026314744</v>
      </c>
      <c r="O51" s="10"/>
      <c r="Z51" s="10">
        <f t="shared" si="14"/>
        <v>0.71779999999999999</v>
      </c>
      <c r="AA51" s="10">
        <f t="shared" si="18"/>
        <v>1.7167500000000002E-2</v>
      </c>
      <c r="AB51" s="42">
        <f t="shared" si="19"/>
        <v>-4.845088991430496E-4</v>
      </c>
      <c r="AC51" s="10">
        <f t="shared" si="15"/>
        <v>-0.15029999999999999</v>
      </c>
      <c r="AD51" s="42">
        <f t="shared" si="16"/>
        <v>-4.0870138431114096E-2</v>
      </c>
    </row>
    <row r="52" spans="1:30">
      <c r="B52" s="52">
        <v>0</v>
      </c>
      <c r="C52" t="s">
        <v>344</v>
      </c>
      <c r="D52" s="56"/>
      <c r="F52" s="133">
        <v>2</v>
      </c>
      <c r="G52" s="133">
        <v>0.86950000000000005</v>
      </c>
      <c r="H52" s="133">
        <v>1.6279999999999999E-2</v>
      </c>
      <c r="I52" s="133">
        <v>-0.1565</v>
      </c>
      <c r="J52" s="10">
        <f t="shared" si="17"/>
        <v>1.7094000000000002E-2</v>
      </c>
      <c r="K52" s="1">
        <f t="shared" si="10"/>
        <v>0.75603025000000013</v>
      </c>
      <c r="L52" s="82">
        <f t="shared" si="11"/>
        <v>1.2018302840068051E-2</v>
      </c>
      <c r="M52" s="20">
        <f t="shared" si="12"/>
        <v>72.347985532629224</v>
      </c>
      <c r="N52" s="13">
        <f t="shared" si="13"/>
        <v>49.802366382673526</v>
      </c>
      <c r="O52" s="10"/>
      <c r="Z52" s="10">
        <f t="shared" si="14"/>
        <v>0.86950000000000005</v>
      </c>
      <c r="AA52" s="10">
        <f t="shared" si="18"/>
        <v>1.7094000000000002E-2</v>
      </c>
      <c r="AB52" s="42">
        <f t="shared" si="19"/>
        <v>9.0773067331670794E-3</v>
      </c>
      <c r="AC52" s="10">
        <f t="shared" si="15"/>
        <v>-0.1565</v>
      </c>
      <c r="AD52" s="42">
        <f t="shared" si="16"/>
        <v>-3.32502078137998E-3</v>
      </c>
    </row>
    <row r="53" spans="1:30">
      <c r="B53" s="52">
        <v>0</v>
      </c>
      <c r="C53" t="s">
        <v>345</v>
      </c>
      <c r="D53" s="56"/>
      <c r="F53" s="133">
        <v>3</v>
      </c>
      <c r="G53" s="133">
        <v>0.98980000000000001</v>
      </c>
      <c r="H53" s="133">
        <v>1.7319999999999999E-2</v>
      </c>
      <c r="I53" s="133">
        <v>-0.15690000000000001</v>
      </c>
      <c r="J53" s="10">
        <f t="shared" si="17"/>
        <v>1.8186000000000001E-2</v>
      </c>
      <c r="K53" s="1">
        <f t="shared" si="10"/>
        <v>0.97970404</v>
      </c>
      <c r="L53" s="82">
        <f t="shared" si="11"/>
        <v>1.3460532771720879E-2</v>
      </c>
      <c r="M53" s="20">
        <f t="shared" si="12"/>
        <v>73.533493568654478</v>
      </c>
      <c r="N53" s="13">
        <f t="shared" si="13"/>
        <v>56.855605172084104</v>
      </c>
      <c r="O53" s="10"/>
      <c r="Z53" s="10">
        <f t="shared" si="14"/>
        <v>0.98980000000000001</v>
      </c>
      <c r="AA53" s="10">
        <f t="shared" si="18"/>
        <v>1.8186000000000001E-2</v>
      </c>
      <c r="AB53" s="42">
        <f t="shared" si="19"/>
        <v>1.1797752808988737E-2</v>
      </c>
      <c r="AC53" s="10">
        <f t="shared" si="15"/>
        <v>-0.15690000000000001</v>
      </c>
      <c r="AD53" s="42">
        <f t="shared" si="16"/>
        <v>2.1535580524344795E-2</v>
      </c>
    </row>
    <row r="54" spans="1:30">
      <c r="B54" s="52">
        <v>0</v>
      </c>
      <c r="C54" t="s">
        <v>346</v>
      </c>
      <c r="D54" s="56"/>
      <c r="F54" s="133">
        <v>4</v>
      </c>
      <c r="G54" s="133">
        <v>1.0966</v>
      </c>
      <c r="H54" s="133">
        <v>1.8519999999999998E-2</v>
      </c>
      <c r="I54" s="133">
        <v>-0.15459999999999999</v>
      </c>
      <c r="J54" s="10">
        <f t="shared" si="17"/>
        <v>1.9445999999999998E-2</v>
      </c>
      <c r="K54" s="1">
        <f t="shared" si="10"/>
        <v>1.2025315599999999</v>
      </c>
      <c r="L54" s="82">
        <f t="shared" si="11"/>
        <v>1.4871731655700993E-2</v>
      </c>
      <c r="M54" s="20">
        <f t="shared" si="12"/>
        <v>73.737209989236504</v>
      </c>
      <c r="N54" s="13">
        <f t="shared" si="13"/>
        <v>62.005666482373137</v>
      </c>
      <c r="O54" s="10"/>
      <c r="Z54" s="10">
        <f t="shared" si="14"/>
        <v>1.0966</v>
      </c>
      <c r="AA54" s="10">
        <f t="shared" si="18"/>
        <v>1.9445999999999998E-2</v>
      </c>
      <c r="AB54" s="42">
        <f t="shared" si="19"/>
        <v>1.2384072580645172E-2</v>
      </c>
      <c r="AC54" s="10">
        <f t="shared" si="15"/>
        <v>-0.15459999999999999</v>
      </c>
      <c r="AD54" s="42">
        <f t="shared" si="16"/>
        <v>3.830645161290322E-2</v>
      </c>
    </row>
    <row r="55" spans="1:30">
      <c r="D55" s="134"/>
      <c r="F55" s="133">
        <v>5</v>
      </c>
      <c r="G55" s="133">
        <v>1.1958</v>
      </c>
      <c r="H55" s="133">
        <v>1.9689999999999999E-2</v>
      </c>
      <c r="I55" s="133">
        <v>-0.15079999999999999</v>
      </c>
      <c r="J55" s="10">
        <f t="shared" si="17"/>
        <v>2.0674499999999998E-2</v>
      </c>
      <c r="K55" s="1">
        <f t="shared" si="10"/>
        <v>1.4299376399999999</v>
      </c>
      <c r="L55" s="82">
        <f t="shared" si="11"/>
        <v>1.5861398669479554E-2</v>
      </c>
      <c r="M55" s="20">
        <f t="shared" si="12"/>
        <v>75.390577143802204</v>
      </c>
      <c r="N55" s="13">
        <f t="shared" si="13"/>
        <v>66.411319246125046</v>
      </c>
      <c r="O55" s="10"/>
      <c r="Z55" s="10">
        <f t="shared" si="14"/>
        <v>1.1958</v>
      </c>
      <c r="AA55" s="10">
        <f t="shared" si="18"/>
        <v>2.0674499999999998E-2</v>
      </c>
      <c r="AB55" s="42">
        <f t="shared" si="19"/>
        <v>1.4216417910447759E-2</v>
      </c>
      <c r="AC55" s="10">
        <f t="shared" si="15"/>
        <v>-0.15079999999999999</v>
      </c>
      <c r="AD55" s="42">
        <f t="shared" si="16"/>
        <v>4.7974413646055127E-2</v>
      </c>
    </row>
    <row r="56" spans="1:30">
      <c r="A56" t="s">
        <v>385</v>
      </c>
      <c r="B56" s="52">
        <v>-0.155</v>
      </c>
      <c r="D56" s="56"/>
      <c r="F56" s="133">
        <v>6</v>
      </c>
      <c r="G56" s="133">
        <v>1.2896000000000001</v>
      </c>
      <c r="H56" s="133">
        <v>2.0959999999999999E-2</v>
      </c>
      <c r="I56" s="133">
        <v>-0.14630000000000001</v>
      </c>
      <c r="J56" s="10">
        <f t="shared" si="17"/>
        <v>2.2008E-2</v>
      </c>
      <c r="K56" s="1">
        <f t="shared" si="10"/>
        <v>1.6630681600000001</v>
      </c>
      <c r="L56" s="82">
        <f t="shared" si="11"/>
        <v>1.6543144168408297E-2</v>
      </c>
      <c r="M56" s="20">
        <f t="shared" si="12"/>
        <v>77.953742461042651</v>
      </c>
      <c r="N56" s="13">
        <f t="shared" si="13"/>
        <v>69.870082874272882</v>
      </c>
      <c r="O56" s="10"/>
      <c r="Z56" s="10">
        <f t="shared" si="14"/>
        <v>1.2896000000000001</v>
      </c>
      <c r="AA56" s="10">
        <f t="shared" si="18"/>
        <v>2.2008E-2</v>
      </c>
      <c r="AB56" s="42">
        <f t="shared" si="19"/>
        <v>1.738095238095241E-2</v>
      </c>
      <c r="AC56" s="10">
        <f t="shared" si="15"/>
        <v>-0.14630000000000001</v>
      </c>
      <c r="AD56" s="42">
        <f t="shared" si="16"/>
        <v>6.1224489795918664E-2</v>
      </c>
    </row>
    <row r="57" spans="1:30">
      <c r="B57" s="52">
        <v>0</v>
      </c>
      <c r="C57" t="s">
        <v>52</v>
      </c>
      <c r="D57" s="56"/>
      <c r="F57" s="133">
        <v>7</v>
      </c>
      <c r="G57" s="133">
        <v>1.3777999999999999</v>
      </c>
      <c r="H57" s="133">
        <v>2.2419999999999999E-2</v>
      </c>
      <c r="I57" s="133">
        <v>-0.1409</v>
      </c>
      <c r="J57" s="10">
        <f t="shared" si="17"/>
        <v>2.3540999999999999E-2</v>
      </c>
      <c r="K57" s="1">
        <f t="shared" si="10"/>
        <v>1.8983328399999997</v>
      </c>
      <c r="L57" s="82">
        <f t="shared" si="11"/>
        <v>1.7653866285854081E-2</v>
      </c>
      <c r="M57" s="20">
        <f t="shared" si="12"/>
        <v>78.045226903300005</v>
      </c>
      <c r="N57" s="13">
        <f t="shared" si="13"/>
        <v>72.134605726014712</v>
      </c>
      <c r="O57" s="10"/>
      <c r="Z57" s="10">
        <f t="shared" si="14"/>
        <v>1.3777999999999999</v>
      </c>
      <c r="AA57" s="10">
        <f t="shared" si="18"/>
        <v>2.3540999999999999E-2</v>
      </c>
      <c r="AB57" s="42">
        <f t="shared" si="19"/>
        <v>2.7914979757085012E-2</v>
      </c>
      <c r="AC57" s="10">
        <f t="shared" si="15"/>
        <v>-0.1409</v>
      </c>
      <c r="AD57" s="42">
        <f t="shared" si="16"/>
        <v>0.10391363022941942</v>
      </c>
    </row>
    <row r="58" spans="1:30">
      <c r="B58" s="52">
        <v>0</v>
      </c>
      <c r="C58" t="s">
        <v>340</v>
      </c>
      <c r="D58" s="56"/>
      <c r="F58" s="133">
        <v>8</v>
      </c>
      <c r="G58" s="133">
        <v>1.4519</v>
      </c>
      <c r="H58" s="133">
        <v>2.4389999999999998E-2</v>
      </c>
      <c r="I58" s="133">
        <v>-0.13320000000000001</v>
      </c>
      <c r="J58" s="10">
        <f t="shared" si="17"/>
        <v>2.56095E-2</v>
      </c>
      <c r="K58" s="1">
        <f t="shared" si="10"/>
        <v>2.10801361</v>
      </c>
      <c r="L58" s="82">
        <f t="shared" si="11"/>
        <v>2.0105106405242879E-2</v>
      </c>
      <c r="M58" s="20">
        <f t="shared" si="12"/>
        <v>72.215484501061027</v>
      </c>
      <c r="N58" s="13">
        <f t="shared" si="13"/>
        <v>71.728749174359237</v>
      </c>
      <c r="O58" s="10"/>
      <c r="Z58" s="10">
        <f t="shared" si="14"/>
        <v>1.4519</v>
      </c>
      <c r="AA58" s="10">
        <f t="shared" si="18"/>
        <v>2.56095E-2</v>
      </c>
      <c r="AB58" s="42">
        <f t="shared" si="19"/>
        <v>4.7249999999999973E-2</v>
      </c>
      <c r="AC58" s="10">
        <f t="shared" si="15"/>
        <v>-0.13320000000000001</v>
      </c>
      <c r="AD58" s="42">
        <f t="shared" si="16"/>
        <v>0.16000000000000006</v>
      </c>
    </row>
    <row r="59" spans="1:30">
      <c r="B59" s="52">
        <v>0</v>
      </c>
      <c r="C59" t="s">
        <v>343</v>
      </c>
      <c r="D59" s="56"/>
      <c r="F59" s="133">
        <v>9</v>
      </c>
      <c r="G59" s="133">
        <v>1.5119</v>
      </c>
      <c r="H59" s="133">
        <v>2.7089999999999999E-2</v>
      </c>
      <c r="I59" s="133">
        <v>-0.1236</v>
      </c>
      <c r="J59" s="10">
        <f t="shared" si="17"/>
        <v>2.8444500000000001E-2</v>
      </c>
      <c r="K59" s="1">
        <f t="shared" si="10"/>
        <v>2.2858416099999999</v>
      </c>
      <c r="L59" s="82">
        <f t="shared" si="11"/>
        <v>2.4292236294011005E-2</v>
      </c>
      <c r="M59" s="20">
        <f t="shared" si="12"/>
        <v>62.237991665375951</v>
      </c>
      <c r="N59" s="13">
        <f t="shared" si="13"/>
        <v>68.62393152128621</v>
      </c>
      <c r="O59" s="10"/>
      <c r="Z59" s="10">
        <f t="shared" si="14"/>
        <v>1.5119</v>
      </c>
      <c r="AA59" s="10">
        <f t="shared" si="18"/>
        <v>2.8444500000000001E-2</v>
      </c>
      <c r="AB59" s="42">
        <f t="shared" si="19"/>
        <v>0.12500000000000042</v>
      </c>
      <c r="AC59" s="10">
        <f t="shared" si="15"/>
        <v>-0.1236</v>
      </c>
      <c r="AD59" s="42">
        <f t="shared" si="16"/>
        <v>0.57142857142857384</v>
      </c>
    </row>
    <row r="60" spans="1:30">
      <c r="B60" s="52">
        <v>0</v>
      </c>
      <c r="C60" t="s">
        <v>344</v>
      </c>
      <c r="D60" s="56"/>
      <c r="F60" s="133">
        <v>10</v>
      </c>
      <c r="G60" s="133">
        <v>1.5370999999999999</v>
      </c>
      <c r="H60" s="133">
        <v>3.0089999999999999E-2</v>
      </c>
      <c r="I60" s="133">
        <v>-0.10920000000000001</v>
      </c>
      <c r="J60" s="10">
        <f t="shared" si="17"/>
        <v>3.1594499999999998E-2</v>
      </c>
      <c r="K60" s="1">
        <f t="shared" si="10"/>
        <v>2.3626764099999997</v>
      </c>
      <c r="L60" s="82">
        <f t="shared" si="11"/>
        <v>2.6962973485303632E-2</v>
      </c>
      <c r="M60" s="20">
        <f t="shared" si="12"/>
        <v>57.007807422939003</v>
      </c>
      <c r="N60" s="13">
        <f t="shared" si="13"/>
        <v>63.333136444298333</v>
      </c>
      <c r="O60" s="10"/>
      <c r="Z60" s="10">
        <f t="shared" si="14"/>
        <v>1.5370999999999999</v>
      </c>
      <c r="AA60" s="10">
        <f t="shared" si="18"/>
        <v>3.1594499999999998E-2</v>
      </c>
      <c r="AB60" s="42">
        <f t="shared" si="19"/>
        <v>0.45962264150942694</v>
      </c>
      <c r="AC60" s="10">
        <f t="shared" si="15"/>
        <v>-0.10920000000000001</v>
      </c>
      <c r="AD60" s="42">
        <f t="shared" si="16"/>
        <v>1.3490566037735645</v>
      </c>
    </row>
    <row r="61" spans="1:30">
      <c r="B61" s="52">
        <v>0</v>
      </c>
      <c r="C61" t="s">
        <v>345</v>
      </c>
      <c r="D61" s="56"/>
      <c r="F61" s="133">
        <v>11</v>
      </c>
      <c r="G61" s="133">
        <v>1.5477000000000001</v>
      </c>
      <c r="H61" s="133">
        <v>3.4729999999999997E-2</v>
      </c>
      <c r="I61" s="133">
        <v>-9.4899999999999998E-2</v>
      </c>
      <c r="J61" s="10">
        <f t="shared" si="17"/>
        <v>3.6466499999999999E-2</v>
      </c>
      <c r="K61" s="1">
        <f t="shared" si="10"/>
        <v>2.39537529</v>
      </c>
      <c r="L61" s="82">
        <f t="shared" si="11"/>
        <v>2.8290488416177872E-2</v>
      </c>
      <c r="M61" s="20">
        <f t="shared" si="12"/>
        <v>54.707433015364636</v>
      </c>
      <c r="N61" s="13">
        <f t="shared" si="13"/>
        <v>55.440276881876599</v>
      </c>
      <c r="O61" s="10"/>
      <c r="Z61" s="10">
        <f t="shared" si="14"/>
        <v>1.5477000000000001</v>
      </c>
      <c r="AA61" s="10">
        <f t="shared" si="18"/>
        <v>3.6466499999999999E-2</v>
      </c>
      <c r="AB61" s="42">
        <f t="shared" si="19"/>
        <v>0</v>
      </c>
      <c r="AC61" s="10">
        <f t="shared" si="15"/>
        <v>-9.4899999999999998E-2</v>
      </c>
      <c r="AD61" s="42">
        <f t="shared" si="16"/>
        <v>0</v>
      </c>
    </row>
    <row r="62" spans="1:30">
      <c r="B62" s="52">
        <v>0</v>
      </c>
      <c r="C62" t="s">
        <v>346</v>
      </c>
      <c r="D62" s="56"/>
      <c r="F62" s="133">
        <v>12</v>
      </c>
      <c r="G62" s="133">
        <v>1.5269999999999999</v>
      </c>
      <c r="H62" s="133">
        <v>4.2819999999999997E-2</v>
      </c>
      <c r="I62" s="133">
        <v>-8.1299999999999997E-2</v>
      </c>
      <c r="J62" s="10">
        <f t="shared" si="17"/>
        <v>4.4961000000000001E-2</v>
      </c>
      <c r="K62" s="1">
        <f t="shared" si="10"/>
        <v>2.3317289999999997</v>
      </c>
      <c r="L62" s="82">
        <f t="shared" si="11"/>
        <v>2.5814606551123109E-2</v>
      </c>
      <c r="M62" s="20">
        <f t="shared" si="12"/>
        <v>59.152557563716385</v>
      </c>
      <c r="N62" s="13">
        <f t="shared" si="13"/>
        <v>44.066838369501063</v>
      </c>
      <c r="O62" s="10"/>
      <c r="Z62" s="10">
        <f t="shared" si="14"/>
        <v>1.5477000000000001</v>
      </c>
      <c r="AA62" s="10">
        <f t="shared" si="18"/>
        <v>3.6466499999999999E-2</v>
      </c>
      <c r="AB62" s="42">
        <f t="shared" si="19"/>
        <v>0</v>
      </c>
      <c r="AC62" s="10">
        <f t="shared" si="15"/>
        <v>-9.4899999999999998E-2</v>
      </c>
      <c r="AD62" s="42">
        <f t="shared" si="16"/>
        <v>0</v>
      </c>
    </row>
    <row r="63" spans="1:30">
      <c r="D63" s="134"/>
      <c r="F63" s="133">
        <v>13</v>
      </c>
      <c r="G63" s="133">
        <v>1.4888999999999999</v>
      </c>
      <c r="H63" s="133">
        <v>5.604E-2</v>
      </c>
      <c r="I63" s="133">
        <v>-7.2999999999999995E-2</v>
      </c>
      <c r="J63" s="10">
        <f t="shared" si="17"/>
        <v>5.8842000000000005E-2</v>
      </c>
      <c r="K63" s="1">
        <f t="shared" si="10"/>
        <v>2.2168232099999998</v>
      </c>
      <c r="L63" s="82">
        <f t="shared" si="11"/>
        <v>2.2370519357804763E-2</v>
      </c>
      <c r="M63" s="20">
        <f t="shared" si="12"/>
        <v>66.556344811929605</v>
      </c>
      <c r="N63" s="13">
        <f t="shared" si="13"/>
        <v>32.419041342611713</v>
      </c>
      <c r="O63" s="10"/>
      <c r="Z63" s="10">
        <f t="shared" si="14"/>
        <v>1.5477000000000001</v>
      </c>
      <c r="AA63" s="10">
        <f t="shared" si="18"/>
        <v>3.6466499999999999E-2</v>
      </c>
      <c r="AB63" s="42">
        <f t="shared" si="19"/>
        <v>0</v>
      </c>
      <c r="AC63" s="10">
        <f t="shared" si="15"/>
        <v>-9.4899999999999998E-2</v>
      </c>
      <c r="AD63" s="42">
        <f t="shared" si="16"/>
        <v>0</v>
      </c>
    </row>
    <row r="64" spans="1:30">
      <c r="A64" t="s">
        <v>386</v>
      </c>
      <c r="B64" s="52">
        <v>-0.155</v>
      </c>
      <c r="D64" s="135"/>
      <c r="F64" s="133">
        <v>14</v>
      </c>
      <c r="G64" s="133">
        <v>1.4912000000000001</v>
      </c>
      <c r="H64" s="133">
        <v>6.7309999999999995E-2</v>
      </c>
      <c r="I64" s="133">
        <v>-6.7799999999999999E-2</v>
      </c>
      <c r="J64" s="10">
        <f t="shared" si="17"/>
        <v>7.0675500000000002E-2</v>
      </c>
      <c r="K64" s="1">
        <f t="shared" si="10"/>
        <v>2.2236774400000003</v>
      </c>
      <c r="L64" s="82">
        <f t="shared" si="11"/>
        <v>2.2543048960882217E-2</v>
      </c>
      <c r="M64" s="20">
        <f t="shared" si="12"/>
        <v>66.148993536216068</v>
      </c>
      <c r="N64" s="13">
        <f t="shared" si="13"/>
        <v>27.053549384653518</v>
      </c>
      <c r="O64" s="10"/>
      <c r="Z64" s="10">
        <f t="shared" si="14"/>
        <v>1.5477000000000001</v>
      </c>
      <c r="AA64" s="10">
        <f t="shared" si="18"/>
        <v>3.6466499999999999E-2</v>
      </c>
      <c r="AB64" s="42">
        <f t="shared" si="19"/>
        <v>0</v>
      </c>
      <c r="AC64" s="10">
        <f t="shared" si="15"/>
        <v>-9.4899999999999998E-2</v>
      </c>
      <c r="AD64" s="42">
        <f t="shared" si="16"/>
        <v>0</v>
      </c>
    </row>
    <row r="65" spans="2:30">
      <c r="B65" s="52">
        <v>0</v>
      </c>
      <c r="C65" t="s">
        <v>52</v>
      </c>
      <c r="D65" s="135"/>
      <c r="F65" s="133">
        <v>15</v>
      </c>
      <c r="G65" s="133">
        <v>1.5233000000000001</v>
      </c>
      <c r="H65" s="133">
        <v>7.6719999999999997E-2</v>
      </c>
      <c r="I65" s="133">
        <v>-6.3200000000000006E-2</v>
      </c>
      <c r="J65" s="10">
        <f t="shared" si="17"/>
        <v>8.0556000000000003E-2</v>
      </c>
      <c r="K65" s="1">
        <f t="shared" si="10"/>
        <v>2.3204428900000003</v>
      </c>
      <c r="L65" s="82">
        <f t="shared" si="11"/>
        <v>2.542074576545561E-2</v>
      </c>
      <c r="M65" s="20">
        <f t="shared" si="12"/>
        <v>59.923497683927934</v>
      </c>
      <c r="N65" s="13">
        <f t="shared" si="13"/>
        <v>24.50583860696787</v>
      </c>
      <c r="O65" s="10"/>
      <c r="Z65" s="10">
        <f t="shared" si="14"/>
        <v>1.5477000000000001</v>
      </c>
      <c r="AA65" s="10">
        <f t="shared" si="18"/>
        <v>3.6466499999999999E-2</v>
      </c>
      <c r="AB65" s="42">
        <f t="shared" si="19"/>
        <v>0</v>
      </c>
      <c r="AC65" s="10">
        <f t="shared" si="15"/>
        <v>-9.4899999999999998E-2</v>
      </c>
      <c r="AD65" s="42">
        <f t="shared" si="16"/>
        <v>0</v>
      </c>
    </row>
    <row r="66" spans="2:30">
      <c r="B66" s="52">
        <v>0</v>
      </c>
      <c r="C66" t="s">
        <v>340</v>
      </c>
      <c r="D66" s="135"/>
      <c r="F66" s="18"/>
      <c r="G66" s="12"/>
      <c r="H66" s="44"/>
      <c r="I66" s="12"/>
      <c r="J66" s="10">
        <f t="shared" si="17"/>
        <v>0</v>
      </c>
      <c r="K66" s="1">
        <f t="shared" si="10"/>
        <v>0</v>
      </c>
      <c r="L66" s="82">
        <f t="shared" si="11"/>
        <v>4.6899999999999997E-2</v>
      </c>
      <c r="M66" s="20">
        <f t="shared" si="12"/>
        <v>0</v>
      </c>
      <c r="N66" s="13">
        <f t="shared" si="13"/>
        <v>0</v>
      </c>
      <c r="O66" s="10"/>
      <c r="Z66" s="10">
        <f t="shared" si="14"/>
        <v>1.5477000000000001</v>
      </c>
      <c r="AA66" s="10">
        <f t="shared" si="18"/>
        <v>3.6466499999999999E-2</v>
      </c>
      <c r="AB66" s="42">
        <f>AB65</f>
        <v>0</v>
      </c>
      <c r="AC66" s="10">
        <f t="shared" si="15"/>
        <v>-9.4899999999999998E-2</v>
      </c>
      <c r="AD66" s="42">
        <f>AD65</f>
        <v>0</v>
      </c>
    </row>
    <row r="67" spans="2:30">
      <c r="B67" s="52">
        <v>0</v>
      </c>
      <c r="C67" t="s">
        <v>343</v>
      </c>
      <c r="D67" s="135"/>
    </row>
    <row r="68" spans="2:30">
      <c r="B68" s="52">
        <v>0</v>
      </c>
      <c r="C68" t="s">
        <v>344</v>
      </c>
      <c r="D68" s="56"/>
    </row>
    <row r="69" spans="2:30">
      <c r="B69" s="52">
        <v>0</v>
      </c>
      <c r="C69" t="s">
        <v>345</v>
      </c>
      <c r="D69" s="56"/>
      <c r="E69" t="s">
        <v>382</v>
      </c>
      <c r="F69" s="9" t="s">
        <v>378</v>
      </c>
      <c r="G69" s="9" t="s">
        <v>52</v>
      </c>
      <c r="H69" s="9" t="s">
        <v>366</v>
      </c>
      <c r="I69" s="9" t="s">
        <v>53</v>
      </c>
      <c r="J69" s="9" t="s">
        <v>800</v>
      </c>
      <c r="K69" s="9" t="s">
        <v>340</v>
      </c>
      <c r="L69" s="9" t="s">
        <v>366</v>
      </c>
      <c r="M69" s="9" t="s">
        <v>380</v>
      </c>
      <c r="N69" s="9" t="s">
        <v>788</v>
      </c>
      <c r="Z69" s="9" t="s">
        <v>52</v>
      </c>
      <c r="AA69" s="9" t="s">
        <v>366</v>
      </c>
      <c r="AB69" s="23" t="s">
        <v>789</v>
      </c>
      <c r="AC69" s="9" t="s">
        <v>53</v>
      </c>
      <c r="AD69" s="23" t="s">
        <v>790</v>
      </c>
    </row>
    <row r="70" spans="2:30">
      <c r="B70" s="52">
        <v>0</v>
      </c>
      <c r="C70" t="s">
        <v>346</v>
      </c>
      <c r="D70" s="135"/>
      <c r="F70" s="9" t="s">
        <v>303</v>
      </c>
      <c r="G70" s="9"/>
      <c r="H70" s="9"/>
      <c r="I70" s="9"/>
      <c r="AB70" s="6"/>
      <c r="AD70" s="6"/>
    </row>
    <row r="71" spans="2:30">
      <c r="AB71" s="42"/>
      <c r="AD71" s="19"/>
    </row>
    <row r="72" spans="2:30">
      <c r="E72">
        <f>H10</f>
        <v>200000</v>
      </c>
      <c r="F72" s="133">
        <v>-2</v>
      </c>
      <c r="G72" s="133">
        <v>0.35060000000000002</v>
      </c>
      <c r="H72" s="133">
        <v>1.508E-2</v>
      </c>
      <c r="I72" s="133">
        <v>-0.1409</v>
      </c>
      <c r="J72" s="10">
        <f>H72*(1+$H$17)</f>
        <v>1.508E-2</v>
      </c>
      <c r="K72" s="1">
        <f t="shared" ref="K72:K91" si="20">G72^2</f>
        <v>0.12292036000000002</v>
      </c>
      <c r="L72" s="82">
        <f t="shared" ref="L72:L91" si="21">$B$37+$B$38*G72+$B$39*G72^2+$B$40*G72^3+$B$41*G72^4+$B$42*G72^5+$B$43*G72^6</f>
        <v>1.5071080307559531E-2</v>
      </c>
      <c r="M72" s="20">
        <f t="shared" ref="M72:M91" si="22">G72/L72</f>
        <v>23.263096795001612</v>
      </c>
      <c r="N72" s="13">
        <f t="shared" ref="N72:N91" si="23">IF(OR(G72&lt;0,H72=0),0,G72^(3/2)/H72)</f>
        <v>13.766277699964098</v>
      </c>
      <c r="Z72" s="10">
        <f t="shared" ref="Z72:Z91" si="24">IF(F72&gt;$H$12,$H$11,IF(AND(G72=0,OR(G71=0,G71&gt;0)),Z71,G72))</f>
        <v>0.35060000000000002</v>
      </c>
      <c r="AA72" s="10">
        <f>IF(F72&gt;$H$12,AA71,IF(Z71=$H$11,AA71,J72))</f>
        <v>1.508E-2</v>
      </c>
      <c r="AB72" s="42">
        <f>(AA73-AA72)/IF((Z73-Z72)=0,0.000001,(Z73-Z72))</f>
        <v>-2.381235154394299E-2</v>
      </c>
      <c r="AC72" s="10">
        <f t="shared" ref="AC72:AC91" si="25">IF(F72&gt;$H$12,AC71,IF(Z71=$H$11,AC71,I72))</f>
        <v>-0.1409</v>
      </c>
      <c r="AD72" s="42">
        <f t="shared" ref="AD72:AD90" si="26">(AC73-AC72)/IF((Z73-Z72)=0,0.000001,(Z73-Z72))</f>
        <v>-6.7695961995249368E-2</v>
      </c>
    </row>
    <row r="73" spans="2:30">
      <c r="F73" s="133">
        <v>-1</v>
      </c>
      <c r="G73" s="133">
        <v>0.51900000000000002</v>
      </c>
      <c r="H73" s="133">
        <v>1.107E-2</v>
      </c>
      <c r="I73" s="133">
        <v>-0.15229999999999999</v>
      </c>
      <c r="J73" s="10">
        <f t="shared" ref="J73:J91" si="27">H73*(1+$H$17)</f>
        <v>1.107E-2</v>
      </c>
      <c r="K73" s="1">
        <f t="shared" si="20"/>
        <v>0.26936100000000002</v>
      </c>
      <c r="L73" s="82">
        <f t="shared" si="21"/>
        <v>1.092395312565209E-2</v>
      </c>
      <c r="M73" s="20">
        <f t="shared" si="22"/>
        <v>47.51027343583727</v>
      </c>
      <c r="N73" s="13">
        <f t="shared" si="23"/>
        <v>33.775626690501056</v>
      </c>
      <c r="Z73" s="10">
        <f t="shared" si="24"/>
        <v>0.51900000000000002</v>
      </c>
      <c r="AA73" s="10">
        <f t="shared" ref="AA73:AA91" si="28">IF(F73&gt;$H$12,AA72,IF(Z72=$H$11,AA72,J73))</f>
        <v>1.107E-2</v>
      </c>
      <c r="AB73" s="42">
        <f t="shared" ref="AB73:AB90" si="29">(AA74-AA73)/IF((Z74-Z73)=0,0.000001,(Z74-Z73))</f>
        <v>-1.0181582360570689E-2</v>
      </c>
      <c r="AC73" s="10">
        <f t="shared" si="25"/>
        <v>-0.15229999999999999</v>
      </c>
      <c r="AD73" s="42">
        <f t="shared" si="26"/>
        <v>-4.085603112840467E-2</v>
      </c>
    </row>
    <row r="74" spans="2:30">
      <c r="B74" s="6"/>
      <c r="C74" s="6"/>
      <c r="D74" s="6"/>
      <c r="F74" s="133">
        <v>0</v>
      </c>
      <c r="G74" s="133">
        <v>0.67320000000000002</v>
      </c>
      <c r="H74" s="133">
        <v>9.4999999999999998E-3</v>
      </c>
      <c r="I74" s="133">
        <v>-0.15859999999999999</v>
      </c>
      <c r="J74" s="10">
        <f t="shared" si="27"/>
        <v>9.4999999999999998E-3</v>
      </c>
      <c r="K74" s="1">
        <f t="shared" si="20"/>
        <v>0.45319824000000003</v>
      </c>
      <c r="L74" s="82">
        <f t="shared" si="21"/>
        <v>9.6839850773621002E-3</v>
      </c>
      <c r="M74" s="20">
        <f t="shared" si="22"/>
        <v>69.516835747064007</v>
      </c>
      <c r="N74" s="13">
        <f t="shared" si="23"/>
        <v>58.142346592096345</v>
      </c>
      <c r="Z74" s="10">
        <f t="shared" si="24"/>
        <v>0.67320000000000002</v>
      </c>
      <c r="AA74" s="10">
        <f t="shared" si="28"/>
        <v>9.4999999999999998E-3</v>
      </c>
      <c r="AB74" s="42">
        <f t="shared" si="29"/>
        <v>6.3504823151125491E-3</v>
      </c>
      <c r="AC74" s="10">
        <f t="shared" si="25"/>
        <v>-0.15859999999999999</v>
      </c>
      <c r="AD74" s="42">
        <f t="shared" si="26"/>
        <v>-1.6077170418006451E-2</v>
      </c>
    </row>
    <row r="75" spans="2:30">
      <c r="B75" s="6"/>
      <c r="C75" s="6"/>
      <c r="D75" s="6"/>
      <c r="F75" s="133">
        <v>1</v>
      </c>
      <c r="G75" s="133">
        <v>0.79759999999999998</v>
      </c>
      <c r="H75" s="133">
        <v>1.0290000000000001E-2</v>
      </c>
      <c r="I75" s="133">
        <v>-0.16059999999999999</v>
      </c>
      <c r="J75" s="10">
        <f t="shared" si="27"/>
        <v>1.0290000000000001E-2</v>
      </c>
      <c r="K75" s="1">
        <f t="shared" si="20"/>
        <v>0.63616575999999991</v>
      </c>
      <c r="L75" s="82">
        <f t="shared" si="21"/>
        <v>1.0016418100206028E-2</v>
      </c>
      <c r="M75" s="20">
        <f t="shared" si="22"/>
        <v>79.629263876634113</v>
      </c>
      <c r="N75" s="13">
        <f t="shared" si="23"/>
        <v>69.22490097906568</v>
      </c>
      <c r="Z75" s="10">
        <f t="shared" si="24"/>
        <v>0.79759999999999998</v>
      </c>
      <c r="AA75" s="10">
        <f t="shared" si="28"/>
        <v>1.0290000000000001E-2</v>
      </c>
      <c r="AB75" s="42">
        <f t="shared" si="29"/>
        <v>8.0110497237568974E-3</v>
      </c>
      <c r="AC75" s="10">
        <f t="shared" si="25"/>
        <v>-0.16059999999999999</v>
      </c>
      <c r="AD75" s="42">
        <f t="shared" si="26"/>
        <v>1.1049723756906136E-2</v>
      </c>
    </row>
    <row r="76" spans="2:30">
      <c r="F76" s="133">
        <v>2</v>
      </c>
      <c r="G76" s="133">
        <v>0.90620000000000001</v>
      </c>
      <c r="H76" s="133">
        <v>1.116E-2</v>
      </c>
      <c r="I76" s="133">
        <v>-0.15939999999999999</v>
      </c>
      <c r="J76" s="10">
        <f t="shared" si="27"/>
        <v>1.116E-2</v>
      </c>
      <c r="K76" s="1">
        <f t="shared" si="20"/>
        <v>0.82119843999999997</v>
      </c>
      <c r="L76" s="82">
        <f t="shared" si="21"/>
        <v>1.0886405107862668E-2</v>
      </c>
      <c r="M76" s="20">
        <f t="shared" si="22"/>
        <v>83.241436545981571</v>
      </c>
      <c r="N76" s="13">
        <f t="shared" si="23"/>
        <v>77.298646976754995</v>
      </c>
      <c r="Z76" s="10">
        <f t="shared" si="24"/>
        <v>0.90620000000000001</v>
      </c>
      <c r="AA76" s="10">
        <f t="shared" si="28"/>
        <v>1.116E-2</v>
      </c>
      <c r="AB76" s="42">
        <f t="shared" si="29"/>
        <v>8.2684824902723823E-3</v>
      </c>
      <c r="AC76" s="10">
        <f t="shared" si="25"/>
        <v>-0.15939999999999999</v>
      </c>
      <c r="AD76" s="42">
        <f t="shared" si="26"/>
        <v>2.43190661478597E-2</v>
      </c>
    </row>
    <row r="77" spans="2:30">
      <c r="F77" s="133">
        <v>3</v>
      </c>
      <c r="G77" s="133">
        <v>1.0089999999999999</v>
      </c>
      <c r="H77" s="133">
        <v>1.201E-2</v>
      </c>
      <c r="I77" s="133">
        <v>-0.15690000000000001</v>
      </c>
      <c r="J77" s="10">
        <f t="shared" si="27"/>
        <v>1.201E-2</v>
      </c>
      <c r="K77" s="1">
        <f t="shared" si="20"/>
        <v>1.0180809999999998</v>
      </c>
      <c r="L77" s="82">
        <f t="shared" si="21"/>
        <v>1.1887995024596774E-2</v>
      </c>
      <c r="M77" s="20">
        <f t="shared" si="22"/>
        <v>84.875540233011151</v>
      </c>
      <c r="N77" s="13">
        <f t="shared" si="23"/>
        <v>84.390535353087827</v>
      </c>
      <c r="Z77" s="10">
        <f t="shared" si="24"/>
        <v>1.0089999999999999</v>
      </c>
      <c r="AA77" s="10">
        <f t="shared" si="28"/>
        <v>1.201E-2</v>
      </c>
      <c r="AB77" s="42">
        <f t="shared" si="29"/>
        <v>9.0172239108409335E-3</v>
      </c>
      <c r="AC77" s="10">
        <f t="shared" si="25"/>
        <v>-0.15690000000000001</v>
      </c>
      <c r="AD77" s="42">
        <f t="shared" si="26"/>
        <v>3.3434650455927306E-2</v>
      </c>
    </row>
    <row r="78" spans="2:30">
      <c r="F78" s="133">
        <v>4</v>
      </c>
      <c r="G78" s="133">
        <v>1.1076999999999999</v>
      </c>
      <c r="H78" s="133">
        <v>1.29E-2</v>
      </c>
      <c r="I78" s="133">
        <v>-0.15359999999999999</v>
      </c>
      <c r="J78" s="10">
        <f t="shared" si="27"/>
        <v>1.29E-2</v>
      </c>
      <c r="K78" s="1">
        <f t="shared" si="20"/>
        <v>1.2269992899999997</v>
      </c>
      <c r="L78" s="82">
        <f t="shared" si="21"/>
        <v>1.2806124473191238E-2</v>
      </c>
      <c r="M78" s="20">
        <f t="shared" si="22"/>
        <v>86.497675570692408</v>
      </c>
      <c r="N78" s="13">
        <f t="shared" si="23"/>
        <v>90.374003842236249</v>
      </c>
      <c r="Z78" s="10">
        <f t="shared" si="24"/>
        <v>1.1076999999999999</v>
      </c>
      <c r="AA78" s="10">
        <f t="shared" si="28"/>
        <v>1.29E-2</v>
      </c>
      <c r="AB78" s="42">
        <f t="shared" si="29"/>
        <v>1.0348468848996831E-2</v>
      </c>
      <c r="AC78" s="10">
        <f t="shared" si="25"/>
        <v>-0.15359999999999999</v>
      </c>
      <c r="AD78" s="42">
        <f t="shared" si="26"/>
        <v>4.0126715945089729E-2</v>
      </c>
    </row>
    <row r="79" spans="2:30">
      <c r="F79" s="133">
        <v>5</v>
      </c>
      <c r="G79" s="133">
        <v>1.2023999999999999</v>
      </c>
      <c r="H79" s="133">
        <v>1.388E-2</v>
      </c>
      <c r="I79" s="133">
        <v>-0.14979999999999999</v>
      </c>
      <c r="J79" s="10">
        <f t="shared" si="27"/>
        <v>1.388E-2</v>
      </c>
      <c r="K79" s="1">
        <f t="shared" si="20"/>
        <v>1.4457657599999998</v>
      </c>
      <c r="L79" s="82">
        <f t="shared" si="21"/>
        <v>1.3615491755275877E-2</v>
      </c>
      <c r="M79" s="20">
        <f t="shared" si="22"/>
        <v>88.311169483399752</v>
      </c>
      <c r="N79" s="13">
        <f t="shared" si="23"/>
        <v>94.991333686661974</v>
      </c>
      <c r="Z79" s="10">
        <f t="shared" si="24"/>
        <v>1.2023999999999999</v>
      </c>
      <c r="AA79" s="10">
        <f t="shared" si="28"/>
        <v>1.388E-2</v>
      </c>
      <c r="AB79" s="42">
        <f t="shared" si="29"/>
        <v>1.3129102844638925E-2</v>
      </c>
      <c r="AC79" s="10">
        <f t="shared" si="25"/>
        <v>-0.14979999999999999</v>
      </c>
      <c r="AD79" s="42">
        <f t="shared" si="26"/>
        <v>4.7045951859956144E-2</v>
      </c>
    </row>
    <row r="80" spans="2:30">
      <c r="F80" s="133">
        <v>6</v>
      </c>
      <c r="G80" s="133">
        <v>1.2938000000000001</v>
      </c>
      <c r="H80" s="133">
        <v>1.508E-2</v>
      </c>
      <c r="I80" s="133">
        <v>-0.14549999999999999</v>
      </c>
      <c r="J80" s="10">
        <f t="shared" si="27"/>
        <v>1.508E-2</v>
      </c>
      <c r="K80" s="1">
        <f t="shared" si="20"/>
        <v>1.6739184400000002</v>
      </c>
      <c r="L80" s="82">
        <f t="shared" si="21"/>
        <v>1.453501180919306E-2</v>
      </c>
      <c r="M80" s="20">
        <f t="shared" si="22"/>
        <v>89.012655578422127</v>
      </c>
      <c r="N80" s="13">
        <f t="shared" si="23"/>
        <v>97.588665386884614</v>
      </c>
      <c r="Z80" s="10">
        <f t="shared" si="24"/>
        <v>1.2938000000000001</v>
      </c>
      <c r="AA80" s="10">
        <f t="shared" si="28"/>
        <v>1.508E-2</v>
      </c>
      <c r="AB80" s="42">
        <f t="shared" si="29"/>
        <v>1.7241379310344859E-2</v>
      </c>
      <c r="AC80" s="10">
        <f t="shared" si="25"/>
        <v>-0.14549999999999999</v>
      </c>
      <c r="AD80" s="42">
        <f t="shared" si="26"/>
        <v>6.5398335315100919E-2</v>
      </c>
    </row>
    <row r="81" spans="5:30">
      <c r="F81" s="133">
        <v>7</v>
      </c>
      <c r="G81" s="133">
        <v>1.3778999999999999</v>
      </c>
      <c r="H81" s="133">
        <v>1.653E-2</v>
      </c>
      <c r="I81" s="133">
        <v>-0.14000000000000001</v>
      </c>
      <c r="J81" s="10">
        <f t="shared" si="27"/>
        <v>1.653E-2</v>
      </c>
      <c r="K81" s="1">
        <f t="shared" si="20"/>
        <v>1.8986084099999998</v>
      </c>
      <c r="L81" s="82">
        <f t="shared" si="21"/>
        <v>1.5948327431608622E-2</v>
      </c>
      <c r="M81" s="20">
        <f t="shared" si="22"/>
        <v>86.39777468257175</v>
      </c>
      <c r="N81" s="13">
        <f t="shared" si="23"/>
        <v>97.8483928106767</v>
      </c>
      <c r="Z81" s="10">
        <f t="shared" si="24"/>
        <v>1.3778999999999999</v>
      </c>
      <c r="AA81" s="10">
        <f t="shared" si="28"/>
        <v>1.653E-2</v>
      </c>
      <c r="AB81" s="42">
        <f t="shared" si="29"/>
        <v>3.6552872606161517E-2</v>
      </c>
      <c r="AC81" s="10">
        <f t="shared" si="25"/>
        <v>-0.14000000000000001</v>
      </c>
      <c r="AD81" s="42">
        <f t="shared" si="26"/>
        <v>0.15403830141548711</v>
      </c>
    </row>
    <row r="82" spans="5:30">
      <c r="F82" s="133">
        <v>9</v>
      </c>
      <c r="G82" s="133">
        <v>1.498</v>
      </c>
      <c r="H82" s="133">
        <v>2.0920000000000001E-2</v>
      </c>
      <c r="I82" s="133">
        <v>-0.1215</v>
      </c>
      <c r="J82" s="10">
        <f t="shared" si="27"/>
        <v>2.0920000000000001E-2</v>
      </c>
      <c r="K82" s="1">
        <f t="shared" si="20"/>
        <v>2.2440039999999999</v>
      </c>
      <c r="L82" s="82">
        <f t="shared" si="21"/>
        <v>2.0486359234441309E-2</v>
      </c>
      <c r="M82" s="20">
        <f t="shared" si="22"/>
        <v>73.121826228722412</v>
      </c>
      <c r="N82" s="13">
        <f t="shared" si="23"/>
        <v>87.640740797819404</v>
      </c>
      <c r="Z82" s="10">
        <f t="shared" si="24"/>
        <v>1.498</v>
      </c>
      <c r="AA82" s="10">
        <f t="shared" si="28"/>
        <v>2.0920000000000001E-2</v>
      </c>
      <c r="AB82" s="42">
        <f t="shared" si="29"/>
        <v>7.8752886836027908E-2</v>
      </c>
      <c r="AC82" s="10">
        <f t="shared" si="25"/>
        <v>-0.1215</v>
      </c>
      <c r="AD82" s="42">
        <f t="shared" si="26"/>
        <v>0.247113163972287</v>
      </c>
    </row>
    <row r="83" spans="5:30">
      <c r="F83" s="133">
        <v>10</v>
      </c>
      <c r="G83" s="133">
        <v>1.5412999999999999</v>
      </c>
      <c r="H83" s="133">
        <v>2.4330000000000001E-2</v>
      </c>
      <c r="I83" s="133">
        <v>-0.1108</v>
      </c>
      <c r="J83" s="10">
        <f t="shared" si="27"/>
        <v>2.4330000000000001E-2</v>
      </c>
      <c r="K83" s="1">
        <f t="shared" si="20"/>
        <v>2.3756056899999995</v>
      </c>
      <c r="L83" s="82">
        <f t="shared" si="21"/>
        <v>2.3439393561245914E-2</v>
      </c>
      <c r="M83" s="20">
        <f t="shared" si="22"/>
        <v>65.756820711792884</v>
      </c>
      <c r="N83" s="13">
        <f t="shared" si="23"/>
        <v>78.648176673326574</v>
      </c>
      <c r="Z83" s="10">
        <f t="shared" si="24"/>
        <v>1.5412999999999999</v>
      </c>
      <c r="AA83" s="10">
        <f t="shared" si="28"/>
        <v>2.4330000000000001E-2</v>
      </c>
      <c r="AB83" s="42">
        <f t="shared" si="29"/>
        <v>0.83812499999999934</v>
      </c>
      <c r="AC83" s="10">
        <f t="shared" si="25"/>
        <v>-0.1108</v>
      </c>
      <c r="AD83" s="42">
        <f t="shared" si="26"/>
        <v>1.4937499999999981</v>
      </c>
    </row>
    <row r="84" spans="5:30">
      <c r="F84" s="133">
        <v>12</v>
      </c>
      <c r="G84" s="133">
        <v>1.5572999999999999</v>
      </c>
      <c r="H84" s="133">
        <v>3.7740000000000003E-2</v>
      </c>
      <c r="I84" s="133">
        <v>-8.6900000000000005E-2</v>
      </c>
      <c r="J84" s="10">
        <f t="shared" si="27"/>
        <v>3.7740000000000003E-2</v>
      </c>
      <c r="K84" s="1">
        <f t="shared" si="20"/>
        <v>2.4251832899999997</v>
      </c>
      <c r="L84" s="82">
        <f t="shared" si="21"/>
        <v>2.4783667643701324E-2</v>
      </c>
      <c r="M84" s="20">
        <f t="shared" si="22"/>
        <v>62.83573611413329</v>
      </c>
      <c r="N84" s="13">
        <f t="shared" si="23"/>
        <v>51.493988248677276</v>
      </c>
      <c r="Z84" s="10">
        <f t="shared" si="24"/>
        <v>1.5572999999999999</v>
      </c>
      <c r="AA84" s="10">
        <f t="shared" si="28"/>
        <v>3.7740000000000003E-2</v>
      </c>
      <c r="AB84" s="42">
        <f t="shared" si="29"/>
        <v>0</v>
      </c>
      <c r="AC84" s="10">
        <f t="shared" si="25"/>
        <v>-8.6900000000000005E-2</v>
      </c>
      <c r="AD84" s="42">
        <f t="shared" si="26"/>
        <v>0</v>
      </c>
    </row>
    <row r="85" spans="5:30">
      <c r="F85" s="133">
        <v>13</v>
      </c>
      <c r="G85" s="133">
        <v>1.5364</v>
      </c>
      <c r="H85" s="133">
        <v>4.9579999999999999E-2</v>
      </c>
      <c r="I85" s="133">
        <v>-7.9500000000000001E-2</v>
      </c>
      <c r="J85" s="10">
        <f t="shared" si="27"/>
        <v>4.9579999999999999E-2</v>
      </c>
      <c r="K85" s="1">
        <f t="shared" si="20"/>
        <v>2.3605249599999998</v>
      </c>
      <c r="L85" s="82">
        <f t="shared" si="21"/>
        <v>2.3057093383829552E-2</v>
      </c>
      <c r="M85" s="20">
        <f t="shared" si="22"/>
        <v>66.634591551661543</v>
      </c>
      <c r="N85" s="13">
        <f t="shared" si="23"/>
        <v>38.410496884641631</v>
      </c>
      <c r="Z85" s="10">
        <f t="shared" si="24"/>
        <v>1.5572999999999999</v>
      </c>
      <c r="AA85" s="10">
        <f t="shared" si="28"/>
        <v>3.7740000000000003E-2</v>
      </c>
      <c r="AB85" s="42">
        <f t="shared" si="29"/>
        <v>0</v>
      </c>
      <c r="AC85" s="10">
        <f t="shared" si="25"/>
        <v>-8.6900000000000005E-2</v>
      </c>
      <c r="AD85" s="42">
        <f t="shared" si="26"/>
        <v>0</v>
      </c>
    </row>
    <row r="86" spans="5:30">
      <c r="F86" s="133">
        <v>14</v>
      </c>
      <c r="G86" s="133">
        <v>1.5163</v>
      </c>
      <c r="H86" s="133">
        <v>6.3259999999999997E-2</v>
      </c>
      <c r="I86" s="133">
        <v>-7.6300000000000007E-2</v>
      </c>
      <c r="J86" s="10">
        <f t="shared" si="27"/>
        <v>6.3259999999999997E-2</v>
      </c>
      <c r="K86" s="1">
        <f t="shared" si="20"/>
        <v>2.2991656900000002</v>
      </c>
      <c r="L86" s="82">
        <f t="shared" si="21"/>
        <v>2.1622039359618261E-2</v>
      </c>
      <c r="M86" s="20">
        <f t="shared" si="22"/>
        <v>70.127520109498604</v>
      </c>
      <c r="N86" s="13">
        <f t="shared" si="23"/>
        <v>29.515389236030217</v>
      </c>
      <c r="Z86" s="10">
        <f t="shared" si="24"/>
        <v>1.5572999999999999</v>
      </c>
      <c r="AA86" s="10">
        <f t="shared" si="28"/>
        <v>3.7740000000000003E-2</v>
      </c>
      <c r="AB86" s="42">
        <f t="shared" si="29"/>
        <v>0</v>
      </c>
      <c r="AC86" s="10">
        <f t="shared" si="25"/>
        <v>-8.6900000000000005E-2</v>
      </c>
      <c r="AD86" s="42">
        <f t="shared" si="26"/>
        <v>0</v>
      </c>
    </row>
    <row r="87" spans="5:30">
      <c r="F87" s="133">
        <v>15</v>
      </c>
      <c r="G87" s="133">
        <v>1.5105</v>
      </c>
      <c r="H87" s="133">
        <v>7.5999999999999998E-2</v>
      </c>
      <c r="I87" s="133">
        <v>-7.4300000000000005E-2</v>
      </c>
      <c r="J87" s="10">
        <f t="shared" si="27"/>
        <v>7.5999999999999998E-2</v>
      </c>
      <c r="K87" s="1">
        <f t="shared" si="20"/>
        <v>2.28161025</v>
      </c>
      <c r="L87" s="82">
        <f t="shared" si="21"/>
        <v>2.12453874516082E-2</v>
      </c>
      <c r="M87" s="20">
        <f t="shared" si="22"/>
        <v>71.097785504761902</v>
      </c>
      <c r="N87" s="13">
        <f t="shared" si="23"/>
        <v>24.426852060028118</v>
      </c>
      <c r="Z87" s="10">
        <f t="shared" si="24"/>
        <v>1.5572999999999999</v>
      </c>
      <c r="AA87" s="10">
        <f t="shared" si="28"/>
        <v>3.7740000000000003E-2</v>
      </c>
      <c r="AB87" s="42">
        <f t="shared" si="29"/>
        <v>0</v>
      </c>
      <c r="AC87" s="10">
        <f t="shared" si="25"/>
        <v>-8.6900000000000005E-2</v>
      </c>
      <c r="AD87" s="42">
        <f t="shared" si="26"/>
        <v>0</v>
      </c>
    </row>
    <row r="88" spans="5:30">
      <c r="F88" s="133"/>
      <c r="G88" s="133"/>
      <c r="H88" s="133"/>
      <c r="I88" s="133"/>
      <c r="J88" s="10">
        <f t="shared" si="27"/>
        <v>0</v>
      </c>
      <c r="K88" s="1">
        <f t="shared" si="20"/>
        <v>0</v>
      </c>
      <c r="L88" s="82">
        <f t="shared" si="21"/>
        <v>3.6999999999999998E-2</v>
      </c>
      <c r="M88" s="20">
        <f t="shared" si="22"/>
        <v>0</v>
      </c>
      <c r="N88" s="13">
        <f t="shared" si="23"/>
        <v>0</v>
      </c>
      <c r="Z88" s="10">
        <f t="shared" si="24"/>
        <v>1.5572999999999999</v>
      </c>
      <c r="AA88" s="10">
        <f t="shared" si="28"/>
        <v>3.7740000000000003E-2</v>
      </c>
      <c r="AB88" s="42">
        <f t="shared" si="29"/>
        <v>0</v>
      </c>
      <c r="AC88" s="10">
        <f t="shared" si="25"/>
        <v>-8.6900000000000005E-2</v>
      </c>
      <c r="AD88" s="42">
        <f t="shared" si="26"/>
        <v>0</v>
      </c>
    </row>
    <row r="89" spans="5:30">
      <c r="F89" s="15"/>
      <c r="G89" s="15"/>
      <c r="H89" s="15"/>
      <c r="I89" s="15"/>
      <c r="J89" s="10">
        <f t="shared" si="27"/>
        <v>0</v>
      </c>
      <c r="K89" s="1">
        <f t="shared" si="20"/>
        <v>0</v>
      </c>
      <c r="L89" s="82">
        <f t="shared" si="21"/>
        <v>3.6999999999999998E-2</v>
      </c>
      <c r="M89" s="20">
        <f t="shared" si="22"/>
        <v>0</v>
      </c>
      <c r="N89" s="13">
        <f t="shared" si="23"/>
        <v>0</v>
      </c>
      <c r="Z89" s="10">
        <f t="shared" si="24"/>
        <v>1.5572999999999999</v>
      </c>
      <c r="AA89" s="10">
        <f t="shared" si="28"/>
        <v>3.7740000000000003E-2</v>
      </c>
      <c r="AB89" s="42">
        <f t="shared" si="29"/>
        <v>0</v>
      </c>
      <c r="AC89" s="10">
        <f t="shared" si="25"/>
        <v>-8.6900000000000005E-2</v>
      </c>
      <c r="AD89" s="42">
        <f t="shared" si="26"/>
        <v>0</v>
      </c>
    </row>
    <row r="90" spans="5:30">
      <c r="F90" s="15"/>
      <c r="G90" s="15"/>
      <c r="H90" s="15"/>
      <c r="I90" s="15"/>
      <c r="J90" s="10">
        <f t="shared" si="27"/>
        <v>0</v>
      </c>
      <c r="K90" s="1">
        <f t="shared" si="20"/>
        <v>0</v>
      </c>
      <c r="L90" s="82">
        <f t="shared" si="21"/>
        <v>3.6999999999999998E-2</v>
      </c>
      <c r="M90" s="20">
        <f t="shared" si="22"/>
        <v>0</v>
      </c>
      <c r="N90" s="13">
        <f t="shared" si="23"/>
        <v>0</v>
      </c>
      <c r="Z90" s="10">
        <f t="shared" si="24"/>
        <v>1.5572999999999999</v>
      </c>
      <c r="AA90" s="10">
        <f t="shared" si="28"/>
        <v>3.7740000000000003E-2</v>
      </c>
      <c r="AB90" s="42">
        <f t="shared" si="29"/>
        <v>0</v>
      </c>
      <c r="AC90" s="10">
        <f t="shared" si="25"/>
        <v>-8.6900000000000005E-2</v>
      </c>
      <c r="AD90" s="42">
        <f t="shared" si="26"/>
        <v>0</v>
      </c>
    </row>
    <row r="91" spans="5:30">
      <c r="F91" s="8"/>
      <c r="G91" s="8"/>
      <c r="H91" s="8"/>
      <c r="I91" s="12"/>
      <c r="J91" s="10">
        <f t="shared" si="27"/>
        <v>0</v>
      </c>
      <c r="K91" s="1">
        <f t="shared" si="20"/>
        <v>0</v>
      </c>
      <c r="L91" s="82">
        <f t="shared" si="21"/>
        <v>3.6999999999999998E-2</v>
      </c>
      <c r="M91" s="20">
        <f t="shared" si="22"/>
        <v>0</v>
      </c>
      <c r="N91" s="13">
        <f t="shared" si="23"/>
        <v>0</v>
      </c>
      <c r="Z91" s="10">
        <f t="shared" si="24"/>
        <v>1.5572999999999999</v>
      </c>
      <c r="AA91" s="10">
        <f t="shared" si="28"/>
        <v>3.7740000000000003E-2</v>
      </c>
      <c r="AB91" s="42">
        <f>AB90</f>
        <v>0</v>
      </c>
      <c r="AC91" s="10">
        <f t="shared" si="25"/>
        <v>-8.6900000000000005E-2</v>
      </c>
      <c r="AD91" s="42">
        <f>AD90</f>
        <v>0</v>
      </c>
    </row>
    <row r="94" spans="5:30">
      <c r="E94" s="46" t="s">
        <v>476</v>
      </c>
      <c r="F94" s="9" t="s">
        <v>378</v>
      </c>
      <c r="G94" s="9" t="s">
        <v>52</v>
      </c>
      <c r="H94" s="9" t="s">
        <v>366</v>
      </c>
      <c r="I94" s="9" t="s">
        <v>53</v>
      </c>
      <c r="J94" s="9" t="s">
        <v>800</v>
      </c>
      <c r="K94" s="9" t="s">
        <v>340</v>
      </c>
      <c r="L94" s="9" t="s">
        <v>366</v>
      </c>
      <c r="M94" s="9" t="s">
        <v>380</v>
      </c>
      <c r="N94" s="9" t="s">
        <v>788</v>
      </c>
      <c r="Z94" s="9" t="s">
        <v>52</v>
      </c>
      <c r="AA94" s="9" t="s">
        <v>366</v>
      </c>
      <c r="AB94" s="23" t="s">
        <v>789</v>
      </c>
      <c r="AC94" s="9" t="s">
        <v>53</v>
      </c>
      <c r="AD94" s="23" t="s">
        <v>790</v>
      </c>
    </row>
    <row r="95" spans="5:30">
      <c r="F95" s="9" t="s">
        <v>303</v>
      </c>
      <c r="G95" s="9"/>
      <c r="H95" s="9"/>
      <c r="I95" s="9"/>
      <c r="AB95" s="6"/>
      <c r="AD95" s="6"/>
    </row>
    <row r="96" spans="5:30">
      <c r="AB96" s="42"/>
      <c r="AD96" s="19"/>
    </row>
    <row r="97" spans="5:30">
      <c r="E97">
        <f>I10</f>
        <v>250000</v>
      </c>
      <c r="F97" s="133">
        <v>-5</v>
      </c>
      <c r="G97" s="133">
        <v>-0.1169</v>
      </c>
      <c r="H97" s="133">
        <v>5.0799999999999998E-2</v>
      </c>
      <c r="I97" s="133">
        <v>-9.6799999999999997E-2</v>
      </c>
      <c r="J97" s="10">
        <f>H97*(1+$I$17)</f>
        <v>5.0799999999999998E-2</v>
      </c>
      <c r="K97" s="1">
        <f t="shared" ref="K97:K116" si="30">G97^2</f>
        <v>1.3665610000000002E-2</v>
      </c>
      <c r="L97" s="82">
        <f t="shared" ref="L97:L116" si="31">$B$37+$B$38*G97+$B$39*G97^2+$B$40*G97^3+$B$41*G97^4+$B$42*G97^5+$B$43*G97^6</f>
        <v>5.1359864367252456E-2</v>
      </c>
      <c r="M97" s="20">
        <f t="shared" ref="M97:M116" si="32">G97/L97</f>
        <v>-2.2760963534501966</v>
      </c>
      <c r="N97" s="13">
        <f t="shared" ref="N97:N116" si="33">IF(OR(G97&lt;0,H97=0),0,G97^(3/2)/H97)</f>
        <v>0</v>
      </c>
      <c r="Z97" s="10">
        <f t="shared" ref="Z97:Z116" si="34">IF(F97&gt;$I$12,$I$11,IF(AND(G97=0,OR(G96=0,G96&gt;0)),Z96,G97))</f>
        <v>-0.1169</v>
      </c>
      <c r="AA97" s="10">
        <f>IF(F97&gt;$I$12,AA96,IF(Z96=$I$11,AA96,J97))</f>
        <v>5.0799999999999998E-2</v>
      </c>
      <c r="AB97" s="42">
        <f>(AA98-AA97)/IF((Z98-Z97)=0,0.000001,(Z98-Z97))</f>
        <v>-0.10053066037735849</v>
      </c>
      <c r="AC97" s="10">
        <f t="shared" ref="AC97:AC116" si="35">IF(F97&gt;$I$12,AC96,IF(Z96=$I$11,AC96,I97))</f>
        <v>-9.6799999999999997E-2</v>
      </c>
      <c r="AD97" s="42">
        <f t="shared" ref="AD97:AD115" si="36">(AC98-AC97)/IF((Z98-Z97)=0,0.000001,(Z98-Z97))</f>
        <v>-0.11910377358490563</v>
      </c>
    </row>
    <row r="98" spans="5:30">
      <c r="F98" s="133">
        <v>-3</v>
      </c>
      <c r="G98" s="133">
        <v>0.2223</v>
      </c>
      <c r="H98" s="133">
        <v>1.67E-2</v>
      </c>
      <c r="I98" s="133">
        <v>-0.13719999999999999</v>
      </c>
      <c r="J98" s="10">
        <f t="shared" ref="J98:J116" si="37">H98*(1+$I$17)</f>
        <v>1.67E-2</v>
      </c>
      <c r="K98" s="1">
        <f t="shared" si="30"/>
        <v>4.9417289999999996E-2</v>
      </c>
      <c r="L98" s="82">
        <f t="shared" si="31"/>
        <v>2.0598452829019519E-2</v>
      </c>
      <c r="M98" s="20">
        <f t="shared" si="32"/>
        <v>10.792072678721736</v>
      </c>
      <c r="N98" s="13">
        <f t="shared" si="33"/>
        <v>6.2761414480150242</v>
      </c>
      <c r="Z98" s="10">
        <f t="shared" si="34"/>
        <v>0.2223</v>
      </c>
      <c r="AA98" s="10">
        <f t="shared" ref="AA98:AA116" si="38">IF(F98&gt;$I$12,AA97,IF(Z97=$I$11,AA97,J98))</f>
        <v>1.67E-2</v>
      </c>
      <c r="AB98" s="42">
        <f t="shared" ref="AB98:AB115" si="39">(AA99-AA98)/IF((Z99-Z98)=0,0.000001,(Z99-Z98))</f>
        <v>-2.6128590971272223E-2</v>
      </c>
      <c r="AC98" s="10">
        <f t="shared" si="35"/>
        <v>-0.13719999999999999</v>
      </c>
      <c r="AD98" s="42">
        <f t="shared" si="36"/>
        <v>-3.8303693570451589E-2</v>
      </c>
    </row>
    <row r="99" spans="5:30">
      <c r="F99" s="133">
        <v>-2</v>
      </c>
      <c r="G99" s="133">
        <v>0.36849999999999999</v>
      </c>
      <c r="H99" s="133">
        <v>1.2880000000000001E-2</v>
      </c>
      <c r="I99" s="133">
        <v>-0.14280000000000001</v>
      </c>
      <c r="J99" s="10">
        <f t="shared" si="37"/>
        <v>1.2880000000000001E-2</v>
      </c>
      <c r="K99" s="1">
        <f t="shared" si="30"/>
        <v>0.13579225</v>
      </c>
      <c r="L99" s="82">
        <f t="shared" si="31"/>
        <v>1.4473168459419183E-2</v>
      </c>
      <c r="M99" s="20">
        <f t="shared" si="32"/>
        <v>25.460907266658605</v>
      </c>
      <c r="N99" s="13">
        <f t="shared" si="33"/>
        <v>17.36762267910256</v>
      </c>
      <c r="Z99" s="10">
        <f t="shared" si="34"/>
        <v>0.36849999999999999</v>
      </c>
      <c r="AA99" s="10">
        <f t="shared" si="38"/>
        <v>1.2880000000000001E-2</v>
      </c>
      <c r="AB99" s="42">
        <f t="shared" si="39"/>
        <v>-1.3350125944584384E-2</v>
      </c>
      <c r="AC99" s="10">
        <f t="shared" si="35"/>
        <v>-0.14280000000000001</v>
      </c>
      <c r="AD99" s="42">
        <f t="shared" si="36"/>
        <v>-5.604534005037777E-2</v>
      </c>
    </row>
    <row r="100" spans="5:30">
      <c r="F100" s="133">
        <v>0</v>
      </c>
      <c r="G100" s="133">
        <v>0.68610000000000004</v>
      </c>
      <c r="H100" s="133">
        <v>8.6400000000000001E-3</v>
      </c>
      <c r="I100" s="133">
        <v>-0.16059999999999999</v>
      </c>
      <c r="J100" s="10">
        <f t="shared" si="37"/>
        <v>8.6400000000000001E-3</v>
      </c>
      <c r="K100" s="1">
        <f t="shared" si="30"/>
        <v>0.47073321000000007</v>
      </c>
      <c r="L100" s="82">
        <f t="shared" si="31"/>
        <v>9.6718104721363121E-3</v>
      </c>
      <c r="M100" s="20">
        <f t="shared" si="32"/>
        <v>70.938114634958737</v>
      </c>
      <c r="N100" s="13">
        <f t="shared" si="33"/>
        <v>65.775988955073416</v>
      </c>
      <c r="Z100" s="10">
        <f t="shared" si="34"/>
        <v>0.68610000000000004</v>
      </c>
      <c r="AA100" s="10">
        <f t="shared" si="38"/>
        <v>8.6400000000000001E-3</v>
      </c>
      <c r="AB100" s="42">
        <f t="shared" si="39"/>
        <v>6.8122270742358064E-3</v>
      </c>
      <c r="AC100" s="10">
        <f t="shared" si="35"/>
        <v>-0.16059999999999999</v>
      </c>
      <c r="AD100" s="42">
        <f t="shared" si="36"/>
        <v>-8.7336244541499387E-4</v>
      </c>
    </row>
    <row r="101" spans="5:30">
      <c r="F101" s="133">
        <v>1</v>
      </c>
      <c r="G101" s="133">
        <v>0.80059999999999998</v>
      </c>
      <c r="H101" s="133">
        <v>9.4199999999999996E-3</v>
      </c>
      <c r="I101" s="133">
        <v>-0.16070000000000001</v>
      </c>
      <c r="J101" s="10">
        <f t="shared" si="37"/>
        <v>9.4199999999999996E-3</v>
      </c>
      <c r="K101" s="1">
        <f t="shared" si="30"/>
        <v>0.64096036000000001</v>
      </c>
      <c r="L101" s="82">
        <f t="shared" si="31"/>
        <v>1.0034991194339721E-2</v>
      </c>
      <c r="M101" s="20">
        <f t="shared" si="32"/>
        <v>79.780837321669182</v>
      </c>
      <c r="N101" s="13">
        <f t="shared" si="33"/>
        <v>76.045317217363007</v>
      </c>
      <c r="Z101" s="10">
        <f t="shared" si="34"/>
        <v>0.80059999999999998</v>
      </c>
      <c r="AA101" s="10">
        <f t="shared" si="38"/>
        <v>9.4199999999999996E-3</v>
      </c>
      <c r="AB101" s="42">
        <f t="shared" si="39"/>
        <v>7.1294559099437157E-3</v>
      </c>
      <c r="AC101" s="10">
        <f t="shared" si="35"/>
        <v>-0.16070000000000001</v>
      </c>
      <c r="AD101" s="42">
        <f t="shared" si="36"/>
        <v>1.5009380863039564E-2</v>
      </c>
    </row>
    <row r="102" spans="5:30">
      <c r="F102" s="133">
        <v>2</v>
      </c>
      <c r="G102" s="133">
        <v>0.90720000000000001</v>
      </c>
      <c r="H102" s="133">
        <v>1.018E-2</v>
      </c>
      <c r="I102" s="133">
        <v>-0.15909999999999999</v>
      </c>
      <c r="J102" s="10">
        <f t="shared" si="37"/>
        <v>1.018E-2</v>
      </c>
      <c r="K102" s="1">
        <f t="shared" si="30"/>
        <v>0.82301184000000005</v>
      </c>
      <c r="L102" s="82">
        <f t="shared" si="31"/>
        <v>1.0895777982711154E-2</v>
      </c>
      <c r="M102" s="20">
        <f t="shared" si="32"/>
        <v>83.26160843580854</v>
      </c>
      <c r="N102" s="13">
        <f t="shared" si="33"/>
        <v>84.880276245894578</v>
      </c>
      <c r="Z102" s="10">
        <f t="shared" si="34"/>
        <v>0.90720000000000001</v>
      </c>
      <c r="AA102" s="10">
        <f t="shared" si="38"/>
        <v>1.018E-2</v>
      </c>
      <c r="AB102" s="42">
        <f t="shared" si="39"/>
        <v>7.4950690335305794E-3</v>
      </c>
      <c r="AC102" s="10">
        <f t="shared" si="35"/>
        <v>-0.15909999999999999</v>
      </c>
      <c r="AD102" s="42">
        <f t="shared" si="36"/>
        <v>2.6627218934911063E-2</v>
      </c>
    </row>
    <row r="103" spans="5:30">
      <c r="F103" s="133">
        <v>3</v>
      </c>
      <c r="G103" s="133">
        <v>1.0085999999999999</v>
      </c>
      <c r="H103" s="133">
        <v>1.094E-2</v>
      </c>
      <c r="I103" s="133">
        <v>-0.15640000000000001</v>
      </c>
      <c r="J103" s="10">
        <f t="shared" si="37"/>
        <v>1.094E-2</v>
      </c>
      <c r="K103" s="1">
        <f t="shared" si="30"/>
        <v>1.0172739599999998</v>
      </c>
      <c r="L103" s="82">
        <f t="shared" si="31"/>
        <v>1.188409358094774E-2</v>
      </c>
      <c r="M103" s="20">
        <f t="shared" si="32"/>
        <v>84.869745692423734</v>
      </c>
      <c r="N103" s="13">
        <f t="shared" si="33"/>
        <v>92.589368864182489</v>
      </c>
      <c r="Z103" s="10">
        <f t="shared" si="34"/>
        <v>1.0085999999999999</v>
      </c>
      <c r="AA103" s="10">
        <f t="shared" si="38"/>
        <v>1.094E-2</v>
      </c>
      <c r="AB103" s="42">
        <f t="shared" si="39"/>
        <v>8.4693877551020244E-3</v>
      </c>
      <c r="AC103" s="10">
        <f t="shared" si="35"/>
        <v>-0.15640000000000001</v>
      </c>
      <c r="AD103" s="42">
        <f t="shared" si="36"/>
        <v>3.2653061224489854E-2</v>
      </c>
    </row>
    <row r="104" spans="5:30">
      <c r="F104" s="133">
        <v>4</v>
      </c>
      <c r="G104" s="133">
        <v>1.1066</v>
      </c>
      <c r="H104" s="133">
        <v>1.1769999999999999E-2</v>
      </c>
      <c r="I104" s="133">
        <v>-0.1532</v>
      </c>
      <c r="J104" s="10">
        <f t="shared" si="37"/>
        <v>1.1769999999999999E-2</v>
      </c>
      <c r="K104" s="1">
        <f t="shared" si="30"/>
        <v>1.22456356</v>
      </c>
      <c r="L104" s="82">
        <f t="shared" si="31"/>
        <v>1.2796458773247393E-2</v>
      </c>
      <c r="M104" s="20">
        <f t="shared" si="32"/>
        <v>86.477049596993709</v>
      </c>
      <c r="N104" s="13">
        <f t="shared" si="33"/>
        <v>98.903016130465048</v>
      </c>
      <c r="Z104" s="10">
        <f t="shared" si="34"/>
        <v>1.1066</v>
      </c>
      <c r="AA104" s="10">
        <f t="shared" si="38"/>
        <v>1.1769999999999999E-2</v>
      </c>
      <c r="AB104" s="42">
        <f t="shared" si="39"/>
        <v>1.055381400208988E-2</v>
      </c>
      <c r="AC104" s="10">
        <f t="shared" si="35"/>
        <v>-0.1532</v>
      </c>
      <c r="AD104" s="42">
        <f t="shared" si="36"/>
        <v>3.761755485893413E-2</v>
      </c>
    </row>
    <row r="105" spans="5:30">
      <c r="F105" s="133">
        <v>5</v>
      </c>
      <c r="G105" s="133">
        <v>1.2022999999999999</v>
      </c>
      <c r="H105" s="133">
        <v>1.278E-2</v>
      </c>
      <c r="I105" s="133">
        <v>-0.14960000000000001</v>
      </c>
      <c r="J105" s="10">
        <f t="shared" si="37"/>
        <v>1.278E-2</v>
      </c>
      <c r="K105" s="1">
        <f t="shared" si="30"/>
        <v>1.4455252899999997</v>
      </c>
      <c r="L105" s="82">
        <f t="shared" si="31"/>
        <v>1.3614623959725486E-2</v>
      </c>
      <c r="M105" s="20">
        <f t="shared" si="32"/>
        <v>88.309453390458685</v>
      </c>
      <c r="N105" s="13">
        <f t="shared" si="33"/>
        <v>103.15455665014248</v>
      </c>
      <c r="Z105" s="10">
        <f t="shared" si="34"/>
        <v>1.2022999999999999</v>
      </c>
      <c r="AA105" s="10">
        <f t="shared" si="38"/>
        <v>1.278E-2</v>
      </c>
      <c r="AB105" s="42">
        <f t="shared" si="39"/>
        <v>1.2540894220283517E-2</v>
      </c>
      <c r="AC105" s="10">
        <f t="shared" si="35"/>
        <v>-0.14960000000000001</v>
      </c>
      <c r="AD105" s="42">
        <f t="shared" si="36"/>
        <v>4.4711014176663198E-2</v>
      </c>
    </row>
    <row r="106" spans="5:30">
      <c r="F106" s="133">
        <v>6</v>
      </c>
      <c r="G106" s="133">
        <v>1.294</v>
      </c>
      <c r="H106" s="133">
        <v>1.393E-2</v>
      </c>
      <c r="I106" s="133">
        <v>-0.14549999999999999</v>
      </c>
      <c r="J106" s="10">
        <f t="shared" si="37"/>
        <v>1.393E-2</v>
      </c>
      <c r="K106" s="1">
        <f t="shared" si="30"/>
        <v>1.674436</v>
      </c>
      <c r="L106" s="82">
        <f t="shared" si="31"/>
        <v>1.4537488657844461E-2</v>
      </c>
      <c r="M106" s="20">
        <f t="shared" si="32"/>
        <v>89.011247434525416</v>
      </c>
      <c r="N106" s="13">
        <f t="shared" si="33"/>
        <v>105.66965708614201</v>
      </c>
      <c r="Z106" s="10">
        <f t="shared" si="34"/>
        <v>1.294</v>
      </c>
      <c r="AA106" s="10">
        <f t="shared" si="38"/>
        <v>1.393E-2</v>
      </c>
      <c r="AB106" s="42">
        <f t="shared" si="39"/>
        <v>1.6470588235294126E-2</v>
      </c>
      <c r="AC106" s="10">
        <f t="shared" si="35"/>
        <v>-0.14549999999999999</v>
      </c>
      <c r="AD106" s="42">
        <f t="shared" si="36"/>
        <v>6.117647058823511E-2</v>
      </c>
    </row>
    <row r="107" spans="5:30">
      <c r="F107" s="133">
        <v>7</v>
      </c>
      <c r="G107" s="133">
        <v>1.379</v>
      </c>
      <c r="H107" s="133">
        <v>1.533E-2</v>
      </c>
      <c r="I107" s="133">
        <v>-0.14030000000000001</v>
      </c>
      <c r="J107" s="10">
        <f t="shared" si="37"/>
        <v>1.533E-2</v>
      </c>
      <c r="K107" s="1">
        <f t="shared" si="30"/>
        <v>1.9016409999999999</v>
      </c>
      <c r="L107" s="82">
        <f t="shared" si="31"/>
        <v>1.5973386598230277E-2</v>
      </c>
      <c r="M107" s="20">
        <f t="shared" si="32"/>
        <v>86.331097761872371</v>
      </c>
      <c r="N107" s="13">
        <f t="shared" si="33"/>
        <v>105.63412625036223</v>
      </c>
      <c r="Z107" s="10">
        <f t="shared" si="34"/>
        <v>1.379</v>
      </c>
      <c r="AA107" s="10">
        <f t="shared" si="38"/>
        <v>1.533E-2</v>
      </c>
      <c r="AB107" s="42">
        <f t="shared" si="39"/>
        <v>2.5706214689265528E-2</v>
      </c>
      <c r="AC107" s="10">
        <f t="shared" si="35"/>
        <v>-0.14030000000000001</v>
      </c>
      <c r="AD107" s="42">
        <f t="shared" si="36"/>
        <v>0.10734463276836156</v>
      </c>
    </row>
    <row r="108" spans="5:30">
      <c r="F108" s="133">
        <v>8</v>
      </c>
      <c r="G108" s="133">
        <v>1.4498</v>
      </c>
      <c r="H108" s="133">
        <v>1.7149999999999999E-2</v>
      </c>
      <c r="I108" s="133">
        <v>-0.13270000000000001</v>
      </c>
      <c r="J108" s="10">
        <f t="shared" si="37"/>
        <v>1.7149999999999999E-2</v>
      </c>
      <c r="K108" s="1">
        <f t="shared" si="30"/>
        <v>2.10192004</v>
      </c>
      <c r="L108" s="82">
        <f t="shared" si="31"/>
        <v>1.8146811459046175E-2</v>
      </c>
      <c r="M108" s="20">
        <f t="shared" si="32"/>
        <v>79.892823225276615</v>
      </c>
      <c r="N108" s="13">
        <f t="shared" si="33"/>
        <v>101.78833694137771</v>
      </c>
      <c r="Z108" s="10">
        <f t="shared" si="34"/>
        <v>1.4498</v>
      </c>
      <c r="AA108" s="10">
        <f t="shared" si="38"/>
        <v>1.7149999999999999E-2</v>
      </c>
      <c r="AB108" s="42">
        <f t="shared" si="39"/>
        <v>4.96309963099631E-2</v>
      </c>
      <c r="AC108" s="10">
        <f t="shared" si="35"/>
        <v>-0.13270000000000001</v>
      </c>
      <c r="AD108" s="42">
        <f t="shared" si="36"/>
        <v>0.1808118081180814</v>
      </c>
    </row>
    <row r="109" spans="5:30">
      <c r="F109" s="133">
        <v>9</v>
      </c>
      <c r="G109" s="133">
        <v>1.504</v>
      </c>
      <c r="H109" s="133">
        <v>1.984E-2</v>
      </c>
      <c r="I109" s="133">
        <v>-0.1229</v>
      </c>
      <c r="J109" s="10">
        <f t="shared" si="37"/>
        <v>1.984E-2</v>
      </c>
      <c r="K109" s="1">
        <f t="shared" si="30"/>
        <v>2.262016</v>
      </c>
      <c r="L109" s="82">
        <f t="shared" si="31"/>
        <v>2.0841931108219969E-2</v>
      </c>
      <c r="M109" s="20">
        <f t="shared" si="32"/>
        <v>72.162219143255342</v>
      </c>
      <c r="N109" s="13">
        <f t="shared" si="33"/>
        <v>92.967271830648627</v>
      </c>
      <c r="Z109" s="10">
        <f t="shared" si="34"/>
        <v>1.504</v>
      </c>
      <c r="AA109" s="10">
        <f t="shared" si="38"/>
        <v>1.984E-2</v>
      </c>
      <c r="AB109" s="42">
        <f t="shared" si="39"/>
        <v>6.4040404040403898E-2</v>
      </c>
      <c r="AC109" s="10">
        <f t="shared" si="35"/>
        <v>-0.1229</v>
      </c>
      <c r="AD109" s="42">
        <f t="shared" si="36"/>
        <v>0.19797979797979737</v>
      </c>
    </row>
    <row r="110" spans="5:30">
      <c r="F110" s="133">
        <v>10</v>
      </c>
      <c r="G110" s="133">
        <v>1.5535000000000001</v>
      </c>
      <c r="H110" s="133">
        <v>2.3009999999999999E-2</v>
      </c>
      <c r="I110" s="133">
        <v>-0.11310000000000001</v>
      </c>
      <c r="J110" s="10">
        <f t="shared" si="37"/>
        <v>2.3009999999999999E-2</v>
      </c>
      <c r="K110" s="1">
        <f t="shared" si="30"/>
        <v>2.4133622500000005</v>
      </c>
      <c r="L110" s="82">
        <f t="shared" si="31"/>
        <v>2.4450661164222121E-2</v>
      </c>
      <c r="M110" s="20">
        <f t="shared" si="32"/>
        <v>63.536114200183164</v>
      </c>
      <c r="N110" s="13">
        <f t="shared" si="33"/>
        <v>84.149253514929782</v>
      </c>
      <c r="Z110" s="10">
        <f t="shared" si="34"/>
        <v>1.5535000000000001</v>
      </c>
      <c r="AA110" s="10">
        <f t="shared" si="38"/>
        <v>2.3009999999999999E-2</v>
      </c>
      <c r="AB110" s="42">
        <f t="shared" si="39"/>
        <v>0.12177650429799451</v>
      </c>
      <c r="AC110" s="10">
        <f t="shared" si="35"/>
        <v>-0.11310000000000001</v>
      </c>
      <c r="AD110" s="42">
        <f t="shared" si="36"/>
        <v>0.30372492836676312</v>
      </c>
    </row>
    <row r="111" spans="5:30">
      <c r="F111" s="133">
        <v>11</v>
      </c>
      <c r="G111" s="133">
        <v>1.5884</v>
      </c>
      <c r="H111" s="133">
        <v>2.726E-2</v>
      </c>
      <c r="I111" s="133">
        <v>-0.10249999999999999</v>
      </c>
      <c r="J111" s="10">
        <f t="shared" si="37"/>
        <v>2.726E-2</v>
      </c>
      <c r="K111" s="1">
        <f t="shared" si="30"/>
        <v>2.52301456</v>
      </c>
      <c r="L111" s="82">
        <f t="shared" si="31"/>
        <v>2.7860578369160005E-2</v>
      </c>
      <c r="M111" s="20">
        <f t="shared" si="32"/>
        <v>57.012456057203174</v>
      </c>
      <c r="N111" s="13">
        <f t="shared" si="33"/>
        <v>73.436837507710806</v>
      </c>
      <c r="Z111" s="10">
        <f t="shared" si="34"/>
        <v>1.5884</v>
      </c>
      <c r="AA111" s="10">
        <f t="shared" si="38"/>
        <v>2.726E-2</v>
      </c>
      <c r="AB111" s="42">
        <f t="shared" si="39"/>
        <v>0</v>
      </c>
      <c r="AC111" s="10">
        <f t="shared" si="35"/>
        <v>-0.10249999999999999</v>
      </c>
      <c r="AD111" s="42">
        <f t="shared" si="36"/>
        <v>0</v>
      </c>
    </row>
    <row r="112" spans="5:30">
      <c r="F112" s="133">
        <v>12</v>
      </c>
      <c r="G112" s="133">
        <v>1.571</v>
      </c>
      <c r="H112" s="133">
        <v>3.6240000000000001E-2</v>
      </c>
      <c r="I112" s="133">
        <v>-8.8599999999999998E-2</v>
      </c>
      <c r="J112" s="10">
        <f t="shared" si="37"/>
        <v>3.6240000000000001E-2</v>
      </c>
      <c r="K112" s="1">
        <f t="shared" si="30"/>
        <v>2.4680409999999999</v>
      </c>
      <c r="L112" s="82">
        <f t="shared" si="31"/>
        <v>2.6059389067438432E-2</v>
      </c>
      <c r="M112" s="20">
        <f t="shared" si="32"/>
        <v>60.285373380567322</v>
      </c>
      <c r="N112" s="13">
        <f t="shared" si="33"/>
        <v>54.334551749116486</v>
      </c>
      <c r="Z112" s="10">
        <f t="shared" si="34"/>
        <v>1.5884</v>
      </c>
      <c r="AA112" s="10">
        <f t="shared" si="38"/>
        <v>2.726E-2</v>
      </c>
      <c r="AB112" s="42">
        <f t="shared" si="39"/>
        <v>0</v>
      </c>
      <c r="AC112" s="10">
        <f t="shared" si="35"/>
        <v>-0.10249999999999999</v>
      </c>
      <c r="AD112" s="42">
        <f t="shared" si="36"/>
        <v>0</v>
      </c>
    </row>
    <row r="113" spans="6:30">
      <c r="F113" s="133">
        <v>13</v>
      </c>
      <c r="G113" s="133">
        <v>1.5604</v>
      </c>
      <c r="H113" s="133">
        <v>4.6859999999999999E-2</v>
      </c>
      <c r="I113" s="133">
        <v>-8.1199999999999994E-2</v>
      </c>
      <c r="J113" s="10">
        <f t="shared" si="37"/>
        <v>4.6859999999999999E-2</v>
      </c>
      <c r="K113" s="1">
        <f t="shared" si="30"/>
        <v>2.43484816</v>
      </c>
      <c r="L113" s="82">
        <f t="shared" si="31"/>
        <v>2.5061902796262525E-2</v>
      </c>
      <c r="M113" s="20">
        <f t="shared" si="32"/>
        <v>62.261832738123225</v>
      </c>
      <c r="N113" s="13">
        <f t="shared" si="33"/>
        <v>41.596005618790045</v>
      </c>
      <c r="Z113" s="10">
        <f t="shared" si="34"/>
        <v>1.5884</v>
      </c>
      <c r="AA113" s="10">
        <f t="shared" si="38"/>
        <v>2.726E-2</v>
      </c>
      <c r="AB113" s="42">
        <f t="shared" si="39"/>
        <v>0</v>
      </c>
      <c r="AC113" s="10">
        <f t="shared" si="35"/>
        <v>-0.10249999999999999</v>
      </c>
      <c r="AD113" s="42">
        <f t="shared" si="36"/>
        <v>0</v>
      </c>
    </row>
    <row r="114" spans="6:30">
      <c r="F114" s="133">
        <v>14</v>
      </c>
      <c r="G114" s="133">
        <v>1.5353000000000001</v>
      </c>
      <c r="H114" s="133">
        <v>6.0999999999999999E-2</v>
      </c>
      <c r="I114" s="133">
        <v>-7.7700000000000005E-2</v>
      </c>
      <c r="J114" s="10">
        <f t="shared" si="37"/>
        <v>6.0999999999999999E-2</v>
      </c>
      <c r="K114" s="1">
        <f t="shared" si="30"/>
        <v>2.3571460900000005</v>
      </c>
      <c r="L114" s="82">
        <f t="shared" si="31"/>
        <v>2.2973085465479048E-2</v>
      </c>
      <c r="M114" s="20">
        <f t="shared" si="32"/>
        <v>66.830378631858068</v>
      </c>
      <c r="N114" s="13">
        <f t="shared" si="33"/>
        <v>31.1860262327451</v>
      </c>
      <c r="Z114" s="10">
        <f t="shared" si="34"/>
        <v>1.5884</v>
      </c>
      <c r="AA114" s="10">
        <f t="shared" si="38"/>
        <v>2.726E-2</v>
      </c>
      <c r="AB114" s="42">
        <f t="shared" si="39"/>
        <v>0</v>
      </c>
      <c r="AC114" s="10">
        <f t="shared" si="35"/>
        <v>-0.10249999999999999</v>
      </c>
      <c r="AD114" s="42">
        <f t="shared" si="36"/>
        <v>0</v>
      </c>
    </row>
    <row r="115" spans="6:30">
      <c r="F115" s="133">
        <v>15</v>
      </c>
      <c r="G115" s="133">
        <v>1.5259</v>
      </c>
      <c r="H115" s="133">
        <v>7.4410000000000004E-2</v>
      </c>
      <c r="I115" s="133">
        <v>-7.6399999999999996E-2</v>
      </c>
      <c r="J115" s="10">
        <f t="shared" si="37"/>
        <v>7.4410000000000004E-2</v>
      </c>
      <c r="K115" s="1">
        <f t="shared" si="30"/>
        <v>2.32837081</v>
      </c>
      <c r="L115" s="82">
        <f t="shared" si="31"/>
        <v>2.2281532506793766E-2</v>
      </c>
      <c r="M115" s="20">
        <f t="shared" si="32"/>
        <v>68.482722161715955</v>
      </c>
      <c r="N115" s="13">
        <f t="shared" si="33"/>
        <v>25.331319054394157</v>
      </c>
      <c r="Z115" s="10">
        <f t="shared" si="34"/>
        <v>1.5884</v>
      </c>
      <c r="AA115" s="10">
        <f t="shared" si="38"/>
        <v>2.726E-2</v>
      </c>
      <c r="AB115" s="42">
        <f t="shared" si="39"/>
        <v>0</v>
      </c>
      <c r="AC115" s="10">
        <f t="shared" si="35"/>
        <v>-0.10249999999999999</v>
      </c>
      <c r="AD115" s="42">
        <f t="shared" si="36"/>
        <v>0</v>
      </c>
    </row>
    <row r="116" spans="6:30">
      <c r="F116" s="15"/>
      <c r="G116" s="15"/>
      <c r="H116" s="15"/>
      <c r="I116" s="15"/>
      <c r="J116" s="10">
        <f t="shared" si="37"/>
        <v>0</v>
      </c>
      <c r="K116" s="1">
        <f t="shared" si="30"/>
        <v>0</v>
      </c>
      <c r="L116" s="82">
        <f t="shared" si="31"/>
        <v>3.6999999999999998E-2</v>
      </c>
      <c r="M116" s="20">
        <f t="shared" si="32"/>
        <v>0</v>
      </c>
      <c r="N116" s="13">
        <f t="shared" si="33"/>
        <v>0</v>
      </c>
      <c r="Z116" s="10">
        <f t="shared" si="34"/>
        <v>1.5884</v>
      </c>
      <c r="AA116" s="10">
        <f t="shared" si="38"/>
        <v>2.726E-2</v>
      </c>
      <c r="AB116" s="42">
        <f>AB115</f>
        <v>0</v>
      </c>
      <c r="AC116" s="10">
        <f t="shared" si="35"/>
        <v>-0.10249999999999999</v>
      </c>
      <c r="AD116" s="42">
        <f>AD115</f>
        <v>0</v>
      </c>
    </row>
    <row r="117" spans="6:30">
      <c r="G117" s="42"/>
      <c r="H117" s="42"/>
      <c r="I117" s="42"/>
      <c r="J117" s="42"/>
    </row>
  </sheetData>
  <phoneticPr fontId="19" type="noConversion"/>
  <pageMargins left="0.75" right="0.75" top="1" bottom="1" header="0.5" footer="0.5"/>
  <pageSetup paperSize="9" orientation="portrait" horizontalDpi="4294967293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3"/>
  <sheetViews>
    <sheetView topLeftCell="F1" zoomScale="90" workbookViewId="0">
      <selection activeCell="K55" sqref="K55"/>
    </sheetView>
  </sheetViews>
  <sheetFormatPr defaultRowHeight="12.75"/>
  <sheetData>
    <row r="1" spans="1:14">
      <c r="A1" s="17" t="s">
        <v>363</v>
      </c>
      <c r="J1" s="6"/>
      <c r="K1" s="6"/>
      <c r="L1" s="6"/>
      <c r="M1" s="6"/>
    </row>
    <row r="2" spans="1:14">
      <c r="J2" s="6"/>
      <c r="K2" s="6"/>
      <c r="L2" s="6"/>
      <c r="M2" s="6"/>
    </row>
    <row r="3" spans="1:14" ht="15.75">
      <c r="I3" s="9" t="s">
        <v>328</v>
      </c>
      <c r="J3" s="23"/>
      <c r="K3" s="23" t="s">
        <v>348</v>
      </c>
      <c r="L3" s="23" t="s">
        <v>349</v>
      </c>
      <c r="M3" s="23" t="s">
        <v>350</v>
      </c>
      <c r="N3" s="9" t="s">
        <v>351</v>
      </c>
    </row>
    <row r="4" spans="1:14" ht="15.75">
      <c r="B4" s="9" t="s">
        <v>50</v>
      </c>
      <c r="C4" s="9" t="s">
        <v>328</v>
      </c>
      <c r="D4" s="9" t="s">
        <v>21</v>
      </c>
      <c r="E4" s="75" t="s">
        <v>21</v>
      </c>
      <c r="F4" t="s">
        <v>375</v>
      </c>
      <c r="G4" s="75" t="s">
        <v>21</v>
      </c>
      <c r="I4" s="6"/>
      <c r="J4" s="76"/>
      <c r="K4" s="23" t="s">
        <v>352</v>
      </c>
      <c r="L4" s="23" t="s">
        <v>356</v>
      </c>
      <c r="M4" s="6"/>
    </row>
    <row r="5" spans="1:14" ht="14.25">
      <c r="D5" s="9" t="s">
        <v>353</v>
      </c>
      <c r="E5" s="9" t="s">
        <v>354</v>
      </c>
      <c r="G5" s="9" t="s">
        <v>354</v>
      </c>
      <c r="J5" s="23"/>
      <c r="K5" s="20">
        <f t="shared" ref="K5:L8" si="0">LOG(B7)</f>
        <v>4.8750612633917001</v>
      </c>
      <c r="L5" s="20">
        <f t="shared" si="0"/>
        <v>0.19251169950350122</v>
      </c>
      <c r="M5" s="20">
        <f>K5^2</f>
        <v>23.76622232182228</v>
      </c>
      <c r="N5" s="13">
        <f>K5*L5</f>
        <v>0.93850632899922204</v>
      </c>
    </row>
    <row r="6" spans="1:14">
      <c r="J6" s="6"/>
      <c r="K6" s="20">
        <f t="shared" si="0"/>
        <v>5</v>
      </c>
      <c r="L6" s="20">
        <f t="shared" si="0"/>
        <v>0.18968678259297075</v>
      </c>
      <c r="M6" s="20">
        <f>K6^2</f>
        <v>25</v>
      </c>
      <c r="N6" s="13">
        <f>K6*L6</f>
        <v>0.9484339129648538</v>
      </c>
    </row>
    <row r="7" spans="1:14">
      <c r="B7" s="6">
        <f>'Airfoil 1'!F10</f>
        <v>75000</v>
      </c>
      <c r="C7" s="16">
        <f>'Airfoil 1'!F11</f>
        <v>1.5578000000000001</v>
      </c>
      <c r="D7" s="1">
        <f>'Airfoil 1'!F13</f>
        <v>8.4726133954970493</v>
      </c>
      <c r="E7" s="1">
        <f>'Airfoil 1'!F14</f>
        <v>-3.1480573107104268</v>
      </c>
      <c r="F7" s="1">
        <f>'Airfoil 1'!F16</f>
        <v>1.3635999999999999</v>
      </c>
      <c r="G7" s="1">
        <f>ABS(E7)</f>
        <v>3.1480573107104268</v>
      </c>
      <c r="K7" s="20">
        <f t="shared" si="0"/>
        <v>5.3010299956639813</v>
      </c>
      <c r="L7" s="20">
        <f t="shared" si="0"/>
        <v>0.19237228359851166</v>
      </c>
      <c r="M7" s="20">
        <f>K7^2</f>
        <v>28.100919014929268</v>
      </c>
      <c r="N7" s="13">
        <f>K7*L7</f>
        <v>1.0197712456900885</v>
      </c>
    </row>
    <row r="8" spans="1:14">
      <c r="B8" s="6">
        <f>'Airfoil 1'!G10</f>
        <v>100000</v>
      </c>
      <c r="C8" s="16">
        <f>'Airfoil 1'!G11</f>
        <v>1.5477000000000001</v>
      </c>
      <c r="D8" s="1">
        <f>'Airfoil 1'!G13</f>
        <v>7.706691600077523</v>
      </c>
      <c r="E8" s="1">
        <f>'Airfoil 1'!G14</f>
        <v>-4.1105462555516175</v>
      </c>
      <c r="F8" s="1">
        <f>'Airfoil 1'!G16</f>
        <v>1.3777999999999999</v>
      </c>
      <c r="G8" s="1">
        <f>ABS(E8)</f>
        <v>4.1105462555516175</v>
      </c>
      <c r="J8" s="6"/>
      <c r="K8" s="20">
        <f t="shared" si="0"/>
        <v>5.3979400086720375</v>
      </c>
      <c r="L8" s="20">
        <f t="shared" si="0"/>
        <v>0.20095987839184537</v>
      </c>
      <c r="M8" s="20">
        <f>K8^2</f>
        <v>29.137756337222275</v>
      </c>
      <c r="N8" s="13">
        <f>K8*L8</f>
        <v>1.0847693677092094</v>
      </c>
    </row>
    <row r="9" spans="1:14">
      <c r="B9" s="6">
        <f>'Airfoil 1'!H10</f>
        <v>200000</v>
      </c>
      <c r="C9" s="16">
        <f>'Airfoil 1'!H11</f>
        <v>1.5572999999999999</v>
      </c>
      <c r="D9" s="1">
        <f>'Airfoil 1'!H13</f>
        <v>5.8787516058262215</v>
      </c>
      <c r="E9" s="1">
        <f>'Airfoil 1'!H14</f>
        <v>-6.7077321688022273</v>
      </c>
      <c r="F9" s="1">
        <f>'Airfoil 1'!H16</f>
        <v>1.2938000000000001</v>
      </c>
      <c r="G9" s="1">
        <f>ABS(E9)</f>
        <v>6.7077321688022273</v>
      </c>
      <c r="J9" s="77" t="s">
        <v>537</v>
      </c>
      <c r="K9" s="20">
        <f>SUM(K5:K8)</f>
        <v>20.574031267727719</v>
      </c>
      <c r="L9" s="20">
        <f>SUM(L5:L8)</f>
        <v>0.77553064408682904</v>
      </c>
      <c r="M9" s="20">
        <f>SUM(M5:M8)</f>
        <v>106.00489767397383</v>
      </c>
      <c r="N9" s="13">
        <f>SUM(N5:N8)</f>
        <v>3.991480855363374</v>
      </c>
    </row>
    <row r="10" spans="1:14">
      <c r="A10" s="6"/>
      <c r="B10" s="6">
        <f>'Airfoil 1'!I10</f>
        <v>250000</v>
      </c>
      <c r="C10" s="16">
        <f>'Airfoil 1'!I11</f>
        <v>1.5884</v>
      </c>
      <c r="D10" s="1">
        <f>'Airfoil 1'!I13</f>
        <v>5.783804314061685</v>
      </c>
      <c r="E10" s="1">
        <f>'Airfoil 1'!I14</f>
        <v>-6.9008747125694345</v>
      </c>
      <c r="F10" s="1">
        <f>'Airfoil 1'!I16</f>
        <v>1.294</v>
      </c>
      <c r="G10" s="1">
        <f>ABS(E10)</f>
        <v>6.9008747125694345</v>
      </c>
      <c r="J10" s="6"/>
      <c r="K10" s="6"/>
      <c r="L10" s="6"/>
      <c r="M10" s="6"/>
    </row>
    <row r="11" spans="1:14">
      <c r="A11" s="6"/>
      <c r="B11" s="6"/>
      <c r="C11" s="6"/>
      <c r="D11" s="6"/>
      <c r="E11" s="16"/>
      <c r="J11" s="6"/>
      <c r="K11" s="6"/>
      <c r="L11" s="6"/>
      <c r="M11" s="6"/>
    </row>
    <row r="12" spans="1:14">
      <c r="A12" s="6"/>
      <c r="B12" s="6"/>
      <c r="C12" s="6"/>
      <c r="D12" s="6"/>
      <c r="E12" s="6"/>
      <c r="J12" s="6"/>
      <c r="K12" s="6"/>
      <c r="L12" s="6"/>
      <c r="M12" s="6"/>
    </row>
    <row r="13" spans="1:14">
      <c r="A13" s="6"/>
      <c r="B13" s="6"/>
      <c r="C13" s="6"/>
      <c r="D13" s="6"/>
      <c r="E13" s="6"/>
      <c r="J13" s="6"/>
      <c r="K13" s="6"/>
      <c r="L13" s="78">
        <f>(L9-4*LOG(K14))/K9</f>
        <v>1.3901358993586084E-2</v>
      </c>
      <c r="M13" s="6"/>
    </row>
    <row r="14" spans="1:14" ht="15.75">
      <c r="J14" s="77" t="s">
        <v>357</v>
      </c>
      <c r="K14" s="42">
        <f>POWER(10,(N9/M9-L9/K9)/(K9/M9-4/K9))</f>
        <v>1.3255036023803222</v>
      </c>
      <c r="L14" s="6" t="s">
        <v>50</v>
      </c>
      <c r="M14" s="6"/>
    </row>
    <row r="15" spans="1:14">
      <c r="J15" s="6"/>
      <c r="K15" s="6"/>
      <c r="L15" s="6"/>
      <c r="M15" s="6"/>
    </row>
    <row r="16" spans="1:14">
      <c r="J16" s="6"/>
      <c r="K16" s="6"/>
      <c r="L16" s="6"/>
      <c r="M16" s="6"/>
    </row>
    <row r="17" spans="1:14">
      <c r="J17" s="6"/>
      <c r="K17" s="42"/>
      <c r="L17" s="6"/>
      <c r="M17" s="42"/>
    </row>
    <row r="18" spans="1:14">
      <c r="J18" s="6"/>
      <c r="K18" s="6"/>
      <c r="L18" s="6"/>
      <c r="M18" s="6"/>
    </row>
    <row r="19" spans="1:14">
      <c r="J19" s="6"/>
      <c r="K19" s="6"/>
      <c r="L19" s="6"/>
      <c r="M19" s="6"/>
    </row>
    <row r="20" spans="1:14">
      <c r="A20" s="6"/>
      <c r="B20" s="23"/>
      <c r="C20" s="23"/>
      <c r="D20" s="23"/>
      <c r="E20" s="23"/>
      <c r="J20" s="6"/>
      <c r="K20" s="6"/>
      <c r="L20" s="6"/>
      <c r="M20" s="6"/>
    </row>
    <row r="21" spans="1:14">
      <c r="A21" s="6"/>
      <c r="B21" s="6"/>
      <c r="C21" s="6"/>
      <c r="D21" s="6"/>
      <c r="E21" s="6"/>
    </row>
    <row r="22" spans="1:14" ht="15.75">
      <c r="A22" s="6"/>
      <c r="B22" s="16"/>
      <c r="C22" s="42"/>
      <c r="D22" s="42"/>
      <c r="E22" s="42"/>
      <c r="I22" s="9" t="s">
        <v>21</v>
      </c>
      <c r="J22" s="23"/>
      <c r="K22" s="23" t="s">
        <v>348</v>
      </c>
      <c r="L22" s="23" t="s">
        <v>349</v>
      </c>
      <c r="M22" s="23" t="s">
        <v>350</v>
      </c>
      <c r="N22" s="9" t="s">
        <v>351</v>
      </c>
    </row>
    <row r="23" spans="1:14" ht="15.75">
      <c r="A23" s="6"/>
      <c r="B23" s="16"/>
      <c r="C23" s="42"/>
      <c r="D23" s="42"/>
      <c r="E23" s="42"/>
      <c r="I23" s="6"/>
      <c r="J23" s="76"/>
      <c r="K23" s="23" t="s">
        <v>352</v>
      </c>
      <c r="L23" s="23" t="s">
        <v>358</v>
      </c>
      <c r="M23" s="6"/>
    </row>
    <row r="24" spans="1:14">
      <c r="A24" s="6"/>
      <c r="B24" s="16"/>
      <c r="C24" s="42"/>
      <c r="D24" s="42"/>
      <c r="E24" s="42"/>
      <c r="J24" s="23"/>
      <c r="K24" s="20">
        <f>LOG(B7)</f>
        <v>4.8750612633917001</v>
      </c>
      <c r="L24" s="20">
        <f>LOG(D7)</f>
        <v>0.92801739004515904</v>
      </c>
      <c r="M24" s="20">
        <f>K24^2</f>
        <v>23.76622232182228</v>
      </c>
      <c r="N24" s="13">
        <f>K24*L24</f>
        <v>4.5241416299630215</v>
      </c>
    </row>
    <row r="25" spans="1:14">
      <c r="A25" s="6"/>
      <c r="B25" s="16"/>
      <c r="C25" s="42"/>
      <c r="D25" s="42"/>
      <c r="E25" s="42"/>
      <c r="J25" s="6"/>
      <c r="K25" s="20">
        <f>LOG(B8)</f>
        <v>5</v>
      </c>
      <c r="L25" s="20">
        <f>LOG(D8)</f>
        <v>0.88686798010130741</v>
      </c>
      <c r="M25" s="20">
        <f>K25^2</f>
        <v>25</v>
      </c>
      <c r="N25" s="13">
        <f>K25*L25</f>
        <v>4.4343399005065374</v>
      </c>
    </row>
    <row r="26" spans="1:14">
      <c r="A26" s="6"/>
      <c r="B26" s="16"/>
      <c r="C26" s="42"/>
      <c r="D26" s="42"/>
      <c r="E26" s="42"/>
      <c r="K26" s="20">
        <f>LOG(B9)</f>
        <v>5.3010299956639813</v>
      </c>
      <c r="L26" s="20">
        <f>LOG(D9)</f>
        <v>0.76928511038503056</v>
      </c>
      <c r="M26" s="20">
        <f>K26^2</f>
        <v>28.100919014929268</v>
      </c>
      <c r="N26" s="13">
        <f>K26*L26</f>
        <v>4.0780034453687239</v>
      </c>
    </row>
    <row r="27" spans="1:14">
      <c r="A27" s="6"/>
      <c r="B27" s="16"/>
      <c r="C27" s="42"/>
      <c r="D27" s="42"/>
      <c r="E27" s="42"/>
      <c r="J27" s="6"/>
      <c r="K27" s="20">
        <f>LOG(B10)</f>
        <v>5.3979400086720375</v>
      </c>
      <c r="L27" s="20">
        <f>LOG(D10)</f>
        <v>0.76221359086309048</v>
      </c>
      <c r="M27" s="20">
        <f>K27^2</f>
        <v>29.137756337222275</v>
      </c>
      <c r="N27" s="13">
        <f>K27*L27</f>
        <v>4.1143832372734552</v>
      </c>
    </row>
    <row r="28" spans="1:14">
      <c r="A28" s="6"/>
      <c r="B28" s="16"/>
      <c r="C28" s="42"/>
      <c r="D28" s="42"/>
      <c r="E28" s="42"/>
      <c r="J28" s="77" t="s">
        <v>355</v>
      </c>
      <c r="K28" s="20">
        <f>SUM(K24:K27)</f>
        <v>20.574031267727719</v>
      </c>
      <c r="L28" s="20">
        <f>SUM(L24:L27)</f>
        <v>3.3463840713945876</v>
      </c>
      <c r="M28" s="20">
        <f>SUM(M24:M27)</f>
        <v>106.00489767397383</v>
      </c>
      <c r="N28" s="13">
        <f>SUM(N24:N27)</f>
        <v>17.150868213111739</v>
      </c>
    </row>
    <row r="29" spans="1:14">
      <c r="A29" s="6"/>
      <c r="B29" s="16"/>
      <c r="C29" s="42"/>
      <c r="D29" s="42"/>
      <c r="E29" s="42"/>
      <c r="J29" s="6"/>
      <c r="K29" s="6"/>
      <c r="L29" s="6"/>
      <c r="M29" s="6"/>
    </row>
    <row r="30" spans="1:14">
      <c r="A30" s="6"/>
      <c r="B30" s="16"/>
      <c r="C30" s="42"/>
      <c r="D30" s="42"/>
      <c r="E30" s="42"/>
      <c r="J30" s="6"/>
      <c r="K30" s="6"/>
      <c r="L30" s="6"/>
      <c r="M30" s="6"/>
    </row>
    <row r="31" spans="1:14">
      <c r="A31" s="6"/>
      <c r="B31" s="16"/>
      <c r="C31" s="42"/>
      <c r="D31" s="42"/>
      <c r="E31" s="42"/>
      <c r="J31" s="6"/>
      <c r="K31" s="6"/>
      <c r="L31" s="6"/>
      <c r="M31" s="6"/>
    </row>
    <row r="32" spans="1:14">
      <c r="A32" s="6"/>
      <c r="B32" s="16"/>
      <c r="C32" s="42"/>
      <c r="D32" s="42"/>
      <c r="E32" s="42"/>
      <c r="J32" s="6"/>
      <c r="K32" s="6"/>
      <c r="L32" s="78">
        <f>(L28-4*LOG(K33))/K28</f>
        <v>-0.33634497553103487</v>
      </c>
      <c r="M32" s="6"/>
    </row>
    <row r="33" spans="1:14" ht="15.75">
      <c r="A33" s="6"/>
      <c r="B33" s="16"/>
      <c r="C33" s="42"/>
      <c r="D33" s="42"/>
      <c r="E33" s="42"/>
      <c r="J33" s="77" t="s">
        <v>359</v>
      </c>
      <c r="K33" s="42">
        <f>POWER(10,(N28/M28-L28/K28)/(K28/M28-4/K28))</f>
        <v>368.62860153592601</v>
      </c>
      <c r="L33" s="6" t="s">
        <v>50</v>
      </c>
      <c r="M33" s="6"/>
    </row>
    <row r="34" spans="1:14">
      <c r="A34" s="6"/>
      <c r="B34" s="16"/>
      <c r="C34" s="42"/>
      <c r="D34" s="42"/>
      <c r="E34" s="42"/>
      <c r="J34" s="6"/>
      <c r="K34" s="6"/>
      <c r="L34" s="6"/>
      <c r="M34" s="6"/>
    </row>
    <row r="35" spans="1:14">
      <c r="A35" s="6"/>
      <c r="B35" s="16"/>
      <c r="C35" s="42"/>
      <c r="D35" s="42"/>
      <c r="E35" s="42"/>
      <c r="J35" s="6"/>
      <c r="K35" s="42"/>
      <c r="L35" s="6"/>
      <c r="M35" s="42"/>
    </row>
    <row r="36" spans="1:14">
      <c r="A36" s="6"/>
      <c r="B36" s="16"/>
      <c r="C36" s="42"/>
      <c r="D36" s="42"/>
      <c r="E36" s="42"/>
      <c r="J36" s="6"/>
      <c r="K36" s="6"/>
      <c r="L36" s="6"/>
      <c r="M36" s="6"/>
    </row>
    <row r="37" spans="1:14">
      <c r="A37" s="6"/>
      <c r="B37" s="16"/>
      <c r="C37" s="42"/>
      <c r="D37" s="42"/>
      <c r="E37" s="42"/>
      <c r="J37" s="6"/>
      <c r="K37" s="6"/>
      <c r="L37" s="6"/>
      <c r="M37" s="6"/>
    </row>
    <row r="38" spans="1:14">
      <c r="A38" s="6"/>
      <c r="B38" s="16"/>
      <c r="C38" s="42"/>
      <c r="D38" s="42"/>
      <c r="E38" s="42"/>
      <c r="J38" s="6"/>
      <c r="K38" s="6"/>
      <c r="L38" s="6"/>
      <c r="M38" s="6"/>
    </row>
    <row r="39" spans="1:14">
      <c r="A39" s="6"/>
      <c r="B39" s="6"/>
      <c r="C39" s="6"/>
      <c r="D39" s="6"/>
      <c r="E39" s="6"/>
      <c r="J39" s="6"/>
      <c r="K39" s="6"/>
      <c r="L39" s="6"/>
      <c r="M39" s="6"/>
    </row>
    <row r="40" spans="1:14">
      <c r="A40" s="6"/>
      <c r="B40" s="6"/>
      <c r="C40" s="42"/>
      <c r="D40" s="42"/>
      <c r="E40" s="42"/>
    </row>
    <row r="41" spans="1:14" ht="15.75">
      <c r="I41" s="75" t="s">
        <v>21</v>
      </c>
      <c r="J41" s="23"/>
      <c r="K41" s="23" t="s">
        <v>348</v>
      </c>
      <c r="L41" s="23" t="s">
        <v>349</v>
      </c>
      <c r="M41" s="23" t="s">
        <v>350</v>
      </c>
      <c r="N41" s="9" t="s">
        <v>351</v>
      </c>
    </row>
    <row r="42" spans="1:14" ht="15.75">
      <c r="I42" s="6"/>
      <c r="J42" s="76"/>
      <c r="K42" s="23" t="s">
        <v>352</v>
      </c>
      <c r="L42" s="23" t="s">
        <v>360</v>
      </c>
      <c r="M42" s="6"/>
    </row>
    <row r="43" spans="1:14">
      <c r="J43" s="23"/>
      <c r="K43" s="20">
        <f>LOG(B7)</f>
        <v>4.8750612633917001</v>
      </c>
      <c r="L43" s="20">
        <f>LOG(G7)</f>
        <v>0.49804263013516259</v>
      </c>
      <c r="M43" s="20">
        <f>K43^2</f>
        <v>23.76622232182228</v>
      </c>
      <c r="N43" s="13">
        <f>K43*L43</f>
        <v>2.4279883336896511</v>
      </c>
    </row>
    <row r="44" spans="1:14">
      <c r="J44" s="6"/>
      <c r="K44" s="20">
        <f>LOG(B8)</f>
        <v>5</v>
      </c>
      <c r="L44" s="20">
        <f>LOG(G8)</f>
        <v>0.61389953963952448</v>
      </c>
      <c r="M44" s="20">
        <f>K44^2</f>
        <v>25</v>
      </c>
      <c r="N44" s="13">
        <f>K44*L44</f>
        <v>3.0694976981976225</v>
      </c>
    </row>
    <row r="45" spans="1:14">
      <c r="K45" s="20">
        <f>LOG(B9)</f>
        <v>5.3010299956639813</v>
      </c>
      <c r="L45" s="20">
        <f>LOG(G9)</f>
        <v>0.82657571345500069</v>
      </c>
      <c r="M45" s="20">
        <f>K45^2</f>
        <v>28.100919014929268</v>
      </c>
      <c r="N45" s="13">
        <f>K45*L45</f>
        <v>4.3817026507123149</v>
      </c>
    </row>
    <row r="46" spans="1:14">
      <c r="J46" s="6"/>
      <c r="K46" s="20">
        <f>LOG(B10)</f>
        <v>5.3979400086720375</v>
      </c>
      <c r="L46" s="20">
        <f>LOG(G10)</f>
        <v>0.83890414273223057</v>
      </c>
      <c r="M46" s="20">
        <f>K46^2</f>
        <v>29.137756337222275</v>
      </c>
      <c r="N46" s="13">
        <f>K46*L46</f>
        <v>4.5283542354950246</v>
      </c>
    </row>
    <row r="47" spans="1:14">
      <c r="J47" s="77" t="s">
        <v>355</v>
      </c>
      <c r="K47" s="20">
        <f>SUM(K43:K46)</f>
        <v>20.574031267727719</v>
      </c>
      <c r="L47" s="20">
        <f>SUM(L43:L46)</f>
        <v>2.7774220259619185</v>
      </c>
      <c r="M47" s="20">
        <f>SUM(M43:M46)</f>
        <v>106.00489767397383</v>
      </c>
      <c r="N47" s="13">
        <f>SUM(N43:N46)</f>
        <v>14.407542918094613</v>
      </c>
    </row>
    <row r="48" spans="1:14">
      <c r="J48" s="6"/>
      <c r="K48" s="6"/>
      <c r="L48" s="6"/>
      <c r="M48" s="6"/>
    </row>
    <row r="49" spans="2:14">
      <c r="J49" s="6"/>
      <c r="K49" s="6"/>
      <c r="L49" s="6"/>
      <c r="M49" s="6"/>
    </row>
    <row r="50" spans="2:14">
      <c r="J50" s="6"/>
      <c r="K50" s="6"/>
      <c r="L50" s="6"/>
      <c r="M50" s="6"/>
    </row>
    <row r="51" spans="2:14">
      <c r="B51" s="1"/>
      <c r="C51" s="1"/>
      <c r="D51" s="1"/>
      <c r="J51" s="6"/>
      <c r="K51" s="6"/>
      <c r="L51" s="78">
        <f>(L47-4*(N47/M47-L47/K47)/(K47/M47-4/K47))/K47</f>
        <v>0.66875038564486788</v>
      </c>
      <c r="M51" s="6"/>
    </row>
    <row r="52" spans="2:14" ht="15.75">
      <c r="B52" s="1"/>
      <c r="C52" s="1"/>
      <c r="D52" s="1"/>
      <c r="J52" s="79" t="s">
        <v>359</v>
      </c>
      <c r="K52" s="42">
        <f>E7/G7*POWER(10,(N47/M47-L47/K47)/(K47/M47-4/K47))</f>
        <v>-1.7973500593860927E-3</v>
      </c>
      <c r="L52" s="6" t="s">
        <v>50</v>
      </c>
      <c r="M52" s="6"/>
    </row>
    <row r="53" spans="2:14">
      <c r="B53" s="1"/>
      <c r="C53" s="1"/>
      <c r="D53" s="1"/>
      <c r="J53" s="6"/>
      <c r="K53" s="6"/>
      <c r="L53" s="6"/>
      <c r="M53" s="6"/>
    </row>
    <row r="54" spans="2:14">
      <c r="B54" s="1"/>
      <c r="C54" s="1"/>
      <c r="D54" s="1"/>
      <c r="J54" s="6"/>
      <c r="K54" s="42"/>
      <c r="L54" s="6"/>
      <c r="M54" s="42"/>
    </row>
    <row r="55" spans="2:14">
      <c r="B55" s="1"/>
      <c r="C55" s="1"/>
      <c r="D55" s="1"/>
      <c r="J55" s="6"/>
      <c r="K55" s="6"/>
      <c r="L55" s="6"/>
      <c r="M55" s="6"/>
    </row>
    <row r="56" spans="2:14">
      <c r="B56" s="1"/>
      <c r="C56" s="1"/>
      <c r="D56" s="1"/>
      <c r="J56" s="6"/>
      <c r="K56" s="6"/>
      <c r="L56" s="6"/>
      <c r="M56" s="6"/>
    </row>
    <row r="57" spans="2:14">
      <c r="B57" s="1"/>
      <c r="C57" s="1"/>
      <c r="D57" s="1"/>
      <c r="J57" s="6"/>
      <c r="K57" s="6"/>
      <c r="L57" s="6"/>
      <c r="M57" s="6"/>
    </row>
    <row r="58" spans="2:14">
      <c r="B58" s="1"/>
      <c r="C58" s="1"/>
      <c r="D58" s="1"/>
      <c r="I58" s="9"/>
      <c r="J58" s="23"/>
      <c r="K58" s="23"/>
      <c r="L58" s="23"/>
      <c r="M58" s="23"/>
      <c r="N58" s="9"/>
    </row>
    <row r="59" spans="2:14">
      <c r="B59" s="1"/>
      <c r="C59" s="1"/>
      <c r="D59" s="1"/>
    </row>
    <row r="60" spans="2:14" ht="14.25">
      <c r="B60" s="1"/>
      <c r="C60" s="1"/>
      <c r="D60" s="1"/>
      <c r="I60" s="47" t="s">
        <v>375</v>
      </c>
      <c r="J60" s="23"/>
      <c r="K60" s="23" t="s">
        <v>348</v>
      </c>
      <c r="L60" s="23" t="s">
        <v>349</v>
      </c>
      <c r="M60" s="23" t="s">
        <v>350</v>
      </c>
      <c r="N60" s="9" t="s">
        <v>351</v>
      </c>
    </row>
    <row r="61" spans="2:14">
      <c r="B61" s="1"/>
      <c r="C61" s="1"/>
      <c r="D61" s="1"/>
      <c r="I61" s="6"/>
      <c r="J61" s="76"/>
      <c r="K61" s="23" t="s">
        <v>352</v>
      </c>
      <c r="L61" s="68" t="s">
        <v>376</v>
      </c>
      <c r="M61" s="6"/>
    </row>
    <row r="62" spans="2:14">
      <c r="B62" s="1"/>
      <c r="J62" s="23"/>
      <c r="K62" s="20">
        <f>LOG(B7)</f>
        <v>4.8750612633917001</v>
      </c>
      <c r="L62" s="20">
        <f>LOG(F7)</f>
        <v>0.13468699255685354</v>
      </c>
      <c r="M62" s="20">
        <f>K62^2</f>
        <v>23.76622232182228</v>
      </c>
      <c r="N62" s="13">
        <f>K62*L62</f>
        <v>0.6566073400966429</v>
      </c>
    </row>
    <row r="63" spans="2:14">
      <c r="B63" s="1"/>
      <c r="J63" s="6"/>
      <c r="K63" s="20">
        <f>LOG(B8)</f>
        <v>5</v>
      </c>
      <c r="L63" s="20">
        <f>LOG(F8)</f>
        <v>0.13918618041612899</v>
      </c>
      <c r="M63" s="20">
        <f>K63^2</f>
        <v>25</v>
      </c>
      <c r="N63" s="13">
        <f>K63*L63</f>
        <v>0.6959309020806449</v>
      </c>
    </row>
    <row r="64" spans="2:14">
      <c r="B64" s="1"/>
      <c r="K64" s="20">
        <f>LOG(B9)</f>
        <v>5.3010299956639813</v>
      </c>
      <c r="L64" s="20">
        <f>LOG(F9)</f>
        <v>0.11186714680446953</v>
      </c>
      <c r="M64" s="20">
        <f>K64^2</f>
        <v>28.100919014929268</v>
      </c>
      <c r="N64" s="13">
        <f>K64*L64</f>
        <v>0.59301110073983909</v>
      </c>
    </row>
    <row r="65" spans="2:14">
      <c r="B65" s="1"/>
      <c r="J65" s="6"/>
      <c r="K65" s="20">
        <f>LOG(B10)</f>
        <v>5.3979400086720375</v>
      </c>
      <c r="L65" s="20">
        <f>LOG(F10)</f>
        <v>0.11193427633268159</v>
      </c>
      <c r="M65" s="20">
        <f>K65^2</f>
        <v>29.137756337222275</v>
      </c>
      <c r="N65" s="13">
        <f>K65*L65</f>
        <v>0.60421450855793346</v>
      </c>
    </row>
    <row r="66" spans="2:14">
      <c r="B66" s="1"/>
      <c r="J66" s="77" t="s">
        <v>355</v>
      </c>
      <c r="K66" s="20">
        <f>SUM(K62:K65)</f>
        <v>20.574031267727719</v>
      </c>
      <c r="L66" s="20">
        <f>SUM(L62:L65)</f>
        <v>0.49767459611013365</v>
      </c>
      <c r="M66" s="20">
        <f>SUM(M62:M65)</f>
        <v>106.00489767397383</v>
      </c>
      <c r="N66" s="13">
        <f>SUM(N62:N65)</f>
        <v>2.5497638514750602</v>
      </c>
    </row>
    <row r="67" spans="2:14">
      <c r="B67" s="1"/>
      <c r="J67" s="6"/>
      <c r="K67" s="6"/>
      <c r="L67" s="6"/>
      <c r="M67" s="6"/>
    </row>
    <row r="68" spans="2:14">
      <c r="J68" s="6"/>
      <c r="K68" s="6"/>
      <c r="L68" s="6"/>
      <c r="M68" s="6"/>
    </row>
    <row r="69" spans="2:14">
      <c r="J69" s="6"/>
      <c r="K69" s="6"/>
      <c r="L69" s="6"/>
      <c r="M69" s="6"/>
    </row>
    <row r="70" spans="2:14">
      <c r="J70" s="6"/>
      <c r="K70" s="6"/>
      <c r="L70" s="78">
        <f>(L66-4*LOG(K71))/K66</f>
        <v>-5.5043563974363677E-2</v>
      </c>
      <c r="M70" s="6"/>
    </row>
    <row r="71" spans="2:14" ht="15.75">
      <c r="J71" s="83" t="s">
        <v>377</v>
      </c>
      <c r="K71" s="42">
        <f>POWER(10,(N66/M66-L66/K66)/(K66/M66-4/K66))</f>
        <v>2.5558516985963511</v>
      </c>
      <c r="L71" s="6" t="s">
        <v>50</v>
      </c>
      <c r="M71" s="6"/>
    </row>
    <row r="72" spans="2:14">
      <c r="J72" s="6"/>
      <c r="K72" s="6"/>
      <c r="L72" s="6"/>
      <c r="M72" s="6"/>
    </row>
    <row r="73" spans="2:14">
      <c r="J73" s="6"/>
      <c r="K73" s="42"/>
      <c r="L73" s="6"/>
      <c r="M73" s="42"/>
    </row>
    <row r="74" spans="2:14">
      <c r="J74" s="6"/>
      <c r="K74" s="6"/>
      <c r="L74" s="6"/>
      <c r="M74" s="6"/>
    </row>
    <row r="75" spans="2:14">
      <c r="J75" s="6"/>
      <c r="K75" s="6"/>
      <c r="L75" s="6"/>
      <c r="M75" s="6"/>
    </row>
    <row r="76" spans="2:14">
      <c r="J76" s="6"/>
      <c r="K76" s="6"/>
      <c r="L76" s="6"/>
      <c r="M76" s="6"/>
    </row>
    <row r="77" spans="2:14">
      <c r="I77" s="9"/>
      <c r="J77" s="23"/>
      <c r="K77" s="23"/>
      <c r="L77" s="23"/>
      <c r="M77" s="23"/>
      <c r="N77" s="9"/>
    </row>
    <row r="78" spans="2:14">
      <c r="I78" s="6"/>
      <c r="J78" s="76"/>
      <c r="K78" s="23"/>
      <c r="L78" s="23"/>
      <c r="M78" s="6"/>
    </row>
    <row r="79" spans="2:14">
      <c r="J79" s="23"/>
      <c r="K79" s="20"/>
      <c r="L79" s="20"/>
      <c r="M79" s="20"/>
      <c r="N79" s="13"/>
    </row>
    <row r="80" spans="2:14">
      <c r="J80" s="6"/>
      <c r="K80" s="20"/>
      <c r="L80" s="20"/>
      <c r="M80" s="20"/>
      <c r="N80" s="13"/>
    </row>
    <row r="81" spans="9:14">
      <c r="J81" s="6"/>
      <c r="K81" s="20"/>
      <c r="L81" s="20"/>
      <c r="M81" s="20"/>
      <c r="N81" s="13"/>
    </row>
    <row r="82" spans="9:14">
      <c r="J82" s="77"/>
      <c r="K82" s="20"/>
      <c r="L82" s="20"/>
      <c r="M82" s="20"/>
      <c r="N82" s="13"/>
    </row>
    <row r="83" spans="9:14">
      <c r="J83" s="6"/>
      <c r="K83" s="20"/>
      <c r="L83" s="6"/>
      <c r="M83" s="6"/>
    </row>
    <row r="84" spans="9:14">
      <c r="J84" s="6"/>
      <c r="K84" s="6"/>
      <c r="L84" s="6"/>
      <c r="M84" s="6"/>
    </row>
    <row r="85" spans="9:14">
      <c r="J85" s="6"/>
      <c r="K85" s="6"/>
      <c r="L85" s="6"/>
      <c r="M85" s="6"/>
    </row>
    <row r="86" spans="9:14">
      <c r="J86" s="6"/>
      <c r="K86" s="6"/>
      <c r="L86" s="6"/>
      <c r="M86" s="6"/>
    </row>
    <row r="87" spans="9:14">
      <c r="J87" s="6"/>
      <c r="K87" s="6"/>
      <c r="L87" s="78"/>
      <c r="M87" s="6"/>
    </row>
    <row r="88" spans="9:14">
      <c r="J88" s="77"/>
      <c r="K88" s="42"/>
      <c r="L88" s="6"/>
      <c r="M88" s="6"/>
    </row>
    <row r="89" spans="9:14">
      <c r="J89" s="6"/>
      <c r="K89" s="6"/>
      <c r="L89" s="6"/>
      <c r="M89" s="6"/>
    </row>
    <row r="90" spans="9:14">
      <c r="J90" s="6"/>
      <c r="K90" s="6"/>
      <c r="L90" s="6"/>
      <c r="M90" s="6"/>
    </row>
    <row r="91" spans="9:14">
      <c r="J91" s="6"/>
      <c r="K91" s="42"/>
      <c r="L91" s="6"/>
      <c r="M91" s="42"/>
    </row>
    <row r="92" spans="9:14">
      <c r="J92" s="6"/>
      <c r="K92" s="6"/>
      <c r="L92" s="6"/>
      <c r="M92" s="6"/>
    </row>
    <row r="93" spans="9:14">
      <c r="J93" s="6"/>
      <c r="K93" s="6"/>
      <c r="L93" s="6"/>
      <c r="M93" s="6"/>
    </row>
    <row r="94" spans="9:14">
      <c r="J94" s="6"/>
      <c r="K94" s="6"/>
      <c r="L94" s="6"/>
      <c r="M94" s="6"/>
    </row>
    <row r="95" spans="9:14">
      <c r="I95" s="9"/>
      <c r="J95" s="23"/>
      <c r="K95" s="23"/>
      <c r="L95" s="23"/>
      <c r="M95" s="23"/>
      <c r="N95" s="9"/>
    </row>
    <row r="96" spans="9:14">
      <c r="I96" s="6"/>
      <c r="J96" s="76"/>
      <c r="K96" s="23"/>
      <c r="L96" s="23"/>
      <c r="M96" s="6"/>
    </row>
    <row r="97" spans="10:14">
      <c r="J97" s="23"/>
      <c r="K97" s="20"/>
      <c r="L97" s="20"/>
      <c r="M97" s="20"/>
      <c r="N97" s="13"/>
    </row>
    <row r="98" spans="10:14">
      <c r="J98" s="6"/>
      <c r="K98" s="20"/>
      <c r="L98" s="20"/>
      <c r="M98" s="20"/>
      <c r="N98" s="13"/>
    </row>
    <row r="99" spans="10:14">
      <c r="J99" s="6"/>
      <c r="K99" s="20"/>
      <c r="L99" s="20"/>
      <c r="M99" s="20"/>
      <c r="N99" s="13"/>
    </row>
    <row r="100" spans="10:14">
      <c r="J100" s="77"/>
      <c r="K100" s="20"/>
      <c r="L100" s="20"/>
      <c r="M100" s="20"/>
      <c r="N100" s="13"/>
    </row>
    <row r="101" spans="10:14">
      <c r="J101" s="6"/>
      <c r="K101" s="6"/>
      <c r="L101" s="6"/>
      <c r="M101" s="6"/>
    </row>
    <row r="102" spans="10:14">
      <c r="J102" s="6"/>
      <c r="K102" s="6"/>
      <c r="L102" s="6"/>
      <c r="M102" s="6"/>
    </row>
    <row r="103" spans="10:14">
      <c r="J103" s="6"/>
      <c r="K103" s="6"/>
      <c r="L103" s="6"/>
      <c r="M103" s="6"/>
    </row>
    <row r="104" spans="10:14">
      <c r="J104" s="6"/>
      <c r="K104" s="6"/>
      <c r="L104" s="6"/>
      <c r="M104" s="6"/>
    </row>
    <row r="105" spans="10:14">
      <c r="J105" s="6"/>
      <c r="K105" s="6"/>
      <c r="L105" s="78"/>
      <c r="M105" s="6"/>
    </row>
    <row r="106" spans="10:14">
      <c r="J106" s="77"/>
      <c r="K106" s="42"/>
      <c r="L106" s="6"/>
      <c r="M106" s="6"/>
    </row>
    <row r="107" spans="10:14">
      <c r="J107" s="6"/>
      <c r="K107" s="6"/>
      <c r="L107" s="6"/>
      <c r="M107" s="6"/>
    </row>
    <row r="108" spans="10:14">
      <c r="J108" s="6"/>
      <c r="K108" s="6"/>
      <c r="L108" s="6"/>
      <c r="M108" s="6"/>
    </row>
    <row r="109" spans="10:14">
      <c r="J109" s="6"/>
      <c r="K109" s="42"/>
      <c r="L109" s="6"/>
      <c r="M109" s="42"/>
    </row>
    <row r="110" spans="10:14">
      <c r="J110" s="6"/>
      <c r="K110" s="6"/>
      <c r="L110" s="6"/>
      <c r="M110" s="6"/>
    </row>
    <row r="111" spans="10:14">
      <c r="J111" s="6"/>
      <c r="K111" s="6"/>
      <c r="L111" s="6"/>
      <c r="M111" s="6"/>
    </row>
    <row r="112" spans="10:14">
      <c r="J112" s="6"/>
      <c r="K112" s="6"/>
      <c r="L112" s="6"/>
      <c r="M112" s="6"/>
    </row>
    <row r="113" spans="9:14">
      <c r="J113" s="6"/>
      <c r="K113" s="6"/>
      <c r="L113" s="6"/>
      <c r="M113" s="6"/>
    </row>
    <row r="114" spans="9:14">
      <c r="I114" s="9"/>
      <c r="J114" s="23"/>
      <c r="K114" s="23"/>
      <c r="L114" s="23"/>
      <c r="M114" s="23"/>
      <c r="N114" s="9"/>
    </row>
    <row r="115" spans="9:14">
      <c r="I115" s="6"/>
      <c r="J115" s="76"/>
      <c r="K115" s="23"/>
      <c r="L115" s="23"/>
      <c r="M115" s="6"/>
    </row>
    <row r="116" spans="9:14">
      <c r="J116" s="23"/>
      <c r="K116" s="20"/>
      <c r="L116" s="20"/>
      <c r="M116" s="20"/>
      <c r="N116" s="13"/>
    </row>
    <row r="117" spans="9:14">
      <c r="J117" s="6"/>
      <c r="K117" s="20"/>
      <c r="L117" s="20"/>
      <c r="M117" s="20"/>
      <c r="N117" s="13"/>
    </row>
    <row r="118" spans="9:14">
      <c r="J118" s="6"/>
      <c r="K118" s="20"/>
      <c r="L118" s="20"/>
      <c r="M118" s="20"/>
      <c r="N118" s="13"/>
    </row>
    <row r="119" spans="9:14">
      <c r="J119" s="77"/>
      <c r="K119" s="20"/>
      <c r="L119" s="20"/>
      <c r="M119" s="20"/>
      <c r="N119" s="13"/>
    </row>
    <row r="120" spans="9:14">
      <c r="J120" s="6"/>
      <c r="K120" s="6"/>
      <c r="L120" s="6"/>
      <c r="M120" s="6"/>
    </row>
    <row r="121" spans="9:14">
      <c r="J121" s="6"/>
      <c r="K121" s="6"/>
      <c r="L121" s="6"/>
      <c r="M121" s="6"/>
    </row>
    <row r="122" spans="9:14">
      <c r="J122" s="6"/>
      <c r="K122" s="6"/>
      <c r="L122" s="6"/>
      <c r="M122" s="6"/>
    </row>
    <row r="123" spans="9:14">
      <c r="J123" s="6"/>
      <c r="K123" s="6"/>
      <c r="L123" s="6"/>
      <c r="M123" s="6"/>
    </row>
    <row r="124" spans="9:14">
      <c r="J124" s="6"/>
      <c r="K124" s="6"/>
      <c r="L124" s="78"/>
      <c r="M124" s="6"/>
    </row>
    <row r="125" spans="9:14">
      <c r="J125" s="77"/>
      <c r="K125" s="42"/>
      <c r="L125" s="6"/>
      <c r="M125" s="6"/>
    </row>
    <row r="126" spans="9:14">
      <c r="J126" s="6"/>
      <c r="K126" s="6"/>
      <c r="L126" s="6"/>
      <c r="M126" s="6"/>
    </row>
    <row r="127" spans="9:14">
      <c r="J127" s="6"/>
      <c r="K127" s="6"/>
      <c r="L127" s="6"/>
      <c r="M127" s="6"/>
    </row>
    <row r="128" spans="9:14">
      <c r="J128" s="6"/>
      <c r="K128" s="42"/>
      <c r="L128" s="6"/>
      <c r="M128" s="42"/>
    </row>
    <row r="129" spans="10:13">
      <c r="J129" s="6"/>
      <c r="K129" s="6"/>
      <c r="L129" s="6"/>
      <c r="M129" s="6"/>
    </row>
    <row r="130" spans="10:13">
      <c r="J130" s="6"/>
      <c r="K130" s="6"/>
      <c r="L130" s="6"/>
      <c r="M130" s="6"/>
    </row>
    <row r="131" spans="10:13">
      <c r="J131" s="6"/>
      <c r="K131" s="6"/>
      <c r="L131" s="6"/>
      <c r="M131" s="6"/>
    </row>
    <row r="132" spans="10:13">
      <c r="J132" s="6"/>
      <c r="K132" s="6"/>
      <c r="L132" s="6"/>
      <c r="M132" s="6"/>
    </row>
    <row r="133" spans="10:13">
      <c r="J133" s="6"/>
      <c r="K133" s="6"/>
      <c r="L133" s="6"/>
      <c r="M133" s="6"/>
    </row>
  </sheetData>
  <phoneticPr fontId="0" type="noConversion"/>
  <pageMargins left="0.78740157480314965" right="0.78740157480314965" top="0.78740157480314965" bottom="0.78740157480314965" header="0.51181102362204722" footer="0.51181102362204722"/>
  <pageSetup paperSize="9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CX63"/>
  <sheetViews>
    <sheetView zoomScale="90" workbookViewId="0">
      <selection activeCell="A24" sqref="A24:XFD24"/>
    </sheetView>
  </sheetViews>
  <sheetFormatPr defaultRowHeight="12.75"/>
  <cols>
    <col min="42" max="42" width="9.42578125" customWidth="1"/>
  </cols>
  <sheetData>
    <row r="1" spans="1:69">
      <c r="A1" s="17" t="s">
        <v>347</v>
      </c>
    </row>
    <row r="3" spans="1:69">
      <c r="A3" t="s">
        <v>270</v>
      </c>
      <c r="C3" s="6"/>
      <c r="D3" s="6"/>
      <c r="E3" s="6"/>
    </row>
    <row r="4" spans="1:69">
      <c r="A4" s="17"/>
      <c r="C4" s="6"/>
      <c r="D4" s="6"/>
      <c r="E4" s="6"/>
    </row>
    <row r="5" spans="1:69">
      <c r="A5" s="17"/>
      <c r="C5" s="6"/>
      <c r="D5" s="6"/>
      <c r="E5" s="6"/>
      <c r="F5" s="6"/>
      <c r="G5" s="6"/>
      <c r="H5" s="6"/>
    </row>
    <row r="6" spans="1:69">
      <c r="A6" s="17"/>
      <c r="C6" s="67"/>
      <c r="D6" s="16"/>
      <c r="E6" s="16"/>
      <c r="F6" s="6"/>
      <c r="G6" s="16"/>
      <c r="H6" s="6"/>
    </row>
    <row r="7" spans="1:69">
      <c r="A7" s="17"/>
      <c r="C7" s="6"/>
      <c r="D7" s="6"/>
      <c r="E7" s="6"/>
    </row>
    <row r="8" spans="1:69">
      <c r="A8" s="17"/>
    </row>
    <row r="9" spans="1:69">
      <c r="A9" s="17"/>
    </row>
    <row r="15" spans="1:69">
      <c r="B15" t="s">
        <v>279</v>
      </c>
      <c r="D15" t="s">
        <v>273</v>
      </c>
      <c r="G15" t="s">
        <v>278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</row>
    <row r="16" spans="1:69"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42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</row>
    <row r="17" spans="2:102"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</row>
    <row r="18" spans="2:102" ht="14.25">
      <c r="B18" s="9" t="s">
        <v>281</v>
      </c>
      <c r="D18" s="9" t="s">
        <v>29</v>
      </c>
      <c r="E18" s="9" t="s">
        <v>31</v>
      </c>
      <c r="G18" s="9" t="s">
        <v>40</v>
      </c>
      <c r="H18" s="9" t="s">
        <v>50</v>
      </c>
      <c r="I18" s="9" t="s">
        <v>335</v>
      </c>
      <c r="J18" s="9" t="s">
        <v>163</v>
      </c>
      <c r="K18" s="47" t="s">
        <v>336</v>
      </c>
      <c r="L18" s="9" t="s">
        <v>52</v>
      </c>
      <c r="M18" s="9" t="s">
        <v>337</v>
      </c>
      <c r="N18" s="23" t="s">
        <v>338</v>
      </c>
      <c r="O18" s="23" t="s">
        <v>339</v>
      </c>
      <c r="P18" s="23" t="s">
        <v>348</v>
      </c>
      <c r="Q18" s="23" t="s">
        <v>349</v>
      </c>
      <c r="R18" s="23" t="s">
        <v>350</v>
      </c>
      <c r="S18" s="9" t="s">
        <v>351</v>
      </c>
      <c r="T18" s="23" t="s">
        <v>100</v>
      </c>
      <c r="U18" s="23" t="s">
        <v>361</v>
      </c>
      <c r="V18" s="23" t="s">
        <v>366</v>
      </c>
      <c r="W18" s="9" t="s">
        <v>387</v>
      </c>
      <c r="X18" s="23" t="s">
        <v>388</v>
      </c>
      <c r="Y18" s="23" t="s">
        <v>389</v>
      </c>
      <c r="Z18" s="23" t="s">
        <v>348</v>
      </c>
      <c r="AA18" s="23" t="s">
        <v>349</v>
      </c>
      <c r="AB18" s="23" t="s">
        <v>350</v>
      </c>
      <c r="AC18" s="9" t="s">
        <v>351</v>
      </c>
      <c r="AD18" s="23" t="s">
        <v>100</v>
      </c>
      <c r="AE18" s="23" t="s">
        <v>361</v>
      </c>
      <c r="AF18" s="23" t="s">
        <v>53</v>
      </c>
      <c r="AG18" s="23"/>
      <c r="AH18" s="23"/>
      <c r="AI18" s="68" t="s">
        <v>792</v>
      </c>
      <c r="AJ18" s="23"/>
      <c r="AK18" s="68"/>
      <c r="AL18" s="68"/>
      <c r="AM18" s="68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68" t="s">
        <v>795</v>
      </c>
      <c r="BD18" s="68" t="s">
        <v>337</v>
      </c>
      <c r="BE18" s="6"/>
      <c r="BF18" s="68" t="s">
        <v>793</v>
      </c>
      <c r="BG18" s="23"/>
      <c r="BH18" s="68"/>
      <c r="BI18" s="68"/>
      <c r="BJ18" s="68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68" t="s">
        <v>794</v>
      </c>
      <c r="CA18" s="68" t="s">
        <v>338</v>
      </c>
      <c r="CC18" s="68" t="s">
        <v>796</v>
      </c>
      <c r="CD18" s="23"/>
      <c r="CE18" s="68"/>
      <c r="CF18" s="68"/>
      <c r="CG18" s="68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68" t="s">
        <v>797</v>
      </c>
      <c r="CX18" s="68" t="s">
        <v>339</v>
      </c>
    </row>
    <row r="19" spans="2:102">
      <c r="B19" s="9" t="s">
        <v>4</v>
      </c>
      <c r="D19" s="9" t="s">
        <v>30</v>
      </c>
      <c r="E19" s="9" t="s">
        <v>2</v>
      </c>
      <c r="G19" s="9" t="s">
        <v>1</v>
      </c>
      <c r="H19" s="9"/>
      <c r="I19" s="9"/>
      <c r="J19" s="9" t="s">
        <v>364</v>
      </c>
      <c r="K19" s="9" t="s">
        <v>303</v>
      </c>
      <c r="L19" s="9"/>
      <c r="N19" s="23"/>
      <c r="O19" s="23"/>
      <c r="P19" s="23" t="s">
        <v>352</v>
      </c>
      <c r="Q19" s="23" t="s">
        <v>365</v>
      </c>
      <c r="R19" s="6"/>
      <c r="T19" s="23"/>
      <c r="U19" s="23"/>
      <c r="V19" s="6"/>
      <c r="X19" s="23"/>
      <c r="Y19" s="23"/>
      <c r="Z19" s="23" t="s">
        <v>352</v>
      </c>
      <c r="AA19" s="23" t="s">
        <v>390</v>
      </c>
      <c r="AB19" s="6"/>
      <c r="AD19" s="23"/>
      <c r="AE19" s="23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23"/>
      <c r="BA19" s="23"/>
      <c r="BB19" s="23"/>
      <c r="BC19" s="23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23"/>
      <c r="BX19" s="23"/>
      <c r="BY19" s="23"/>
      <c r="BZ19" s="23"/>
      <c r="CA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23"/>
      <c r="CU19" s="23"/>
      <c r="CV19" s="23"/>
      <c r="CW19" s="23"/>
      <c r="CX19" s="6"/>
    </row>
    <row r="20" spans="2:102">
      <c r="N20" s="6"/>
      <c r="O20" s="6"/>
      <c r="P20" s="6"/>
      <c r="Q20" s="6"/>
      <c r="R20" s="6"/>
      <c r="S20" s="6"/>
      <c r="T20" s="6"/>
      <c r="U20" s="6"/>
      <c r="V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</row>
    <row r="21" spans="2:102">
      <c r="B21" s="31">
        <f>Main!B21</f>
        <v>0.33333333333333326</v>
      </c>
      <c r="D21" s="1">
        <f>Takeoff!F21</f>
        <v>1.2249994633486807</v>
      </c>
      <c r="E21" s="4">
        <f>ISA!$O$10</f>
        <v>1.783E-5</v>
      </c>
      <c r="G21" s="13">
        <f ca="1">Takeoff!T21</f>
        <v>14.629202114405427</v>
      </c>
      <c r="H21" s="5">
        <f ca="1">D21*G21*B21/E21</f>
        <v>335030.18768678309</v>
      </c>
      <c r="I21" s="16">
        <f ca="1">'Airfoil 2'!$K$14*H21^'Airfoil 2'!$L$13</f>
        <v>1.5819293645033801</v>
      </c>
      <c r="J21" s="1">
        <f ca="1">'Airfoil 2'!$K$33*H21^'Airfoil 2'!$L$32</f>
        <v>5.1080460735581799</v>
      </c>
      <c r="K21" s="13">
        <f ca="1">'Airfoil 2'!$K$52*H21^'Airfoil 2'!$L$51</f>
        <v>-8.9029654165694563</v>
      </c>
      <c r="L21" s="16">
        <f ca="1">'Aerodynamics-Takeoff'!W21</f>
        <v>0.85834468534560227</v>
      </c>
      <c r="M21" s="10">
        <f ca="1">('Airfoil 1'!$B$21+'Airfoil 1'!$B$22*L21+'Airfoil 1'!$B$23*L21^2+'Airfoil 1'!$B$24*L21^3+'Airfoil 1'!$B$25*L21^4+'Airfoil 1'!$B$26*L21^5+'Airfoil 1'!$B$27*L21^6)*0+BD21</f>
        <v>2.4580529886104558E-2</v>
      </c>
      <c r="N21" s="42">
        <f ca="1">('Airfoil 1'!$B$29+'Airfoil 1'!$B$30*L21+'Airfoil 1'!$B$31*L21^2+'Airfoil 1'!$B$32*L21^3+'Airfoil 1'!$B$33*L21^4+'Airfoil 1'!$B$34*L21^5+'Airfoil 1'!$B$35*L21^6)*0+CA21</f>
        <v>1.7099404849222805E-2</v>
      </c>
      <c r="O21" s="42">
        <f ca="1">('Airfoil 1'!$B$37+'Airfoil 1'!$B$38*L21+'Airfoil 1'!$B$39*L21^2+'Airfoil 1'!$B$40*L21^3+'Airfoil 1'!$B$41*L21^4+'Airfoil 1'!$B$42*L21^5+'Airfoil 1'!$B$43*L21^6)*0+CX21</f>
        <v>1.0776628694757458E-2</v>
      </c>
      <c r="P21" s="16">
        <f>LOG('Airfoil 1'!$F$10)+LOG('Airfoil 1'!$G$10)+LOG('Airfoil 1'!$H$10)</f>
        <v>15.176091259055681</v>
      </c>
      <c r="Q21" s="16">
        <f ca="1">LOG(M21)+LOG(N21)+LOG(O21)</f>
        <v>-5.3439448446754012</v>
      </c>
      <c r="R21" s="16">
        <f>LOG('Airfoil 1'!$F$10)^2+LOG('Airfoil 1'!$G$10)^2+LOG('Airfoil 1'!$H$10)^2</f>
        <v>76.867141336751558</v>
      </c>
      <c r="S21" s="16">
        <f ca="1">LOG('Airfoil 1'!$F$10)*LOG(M21)+LOG('Airfoil 1'!$G$10)*LOG(N21)+LOG('Airfoil 1'!$H$10)*LOG(O21)</f>
        <v>-27.110928384486137</v>
      </c>
      <c r="T21" s="16">
        <f ca="1">POWER(10,(S21/R21-Q21/P21)/(P21/R21-3/P21))</f>
        <v>203.55892081917759</v>
      </c>
      <c r="U21" s="16">
        <f ca="1">(Q21-3*LOG(T21))/P21</f>
        <v>-0.80850958619893498</v>
      </c>
      <c r="V21" s="42">
        <f ca="1">IF(Energy!$F$11=1,Energy!$T$13,1)*T21*H21^U21</f>
        <v>7.6557088267145664E-3</v>
      </c>
      <c r="W21" s="10">
        <f ca="1">'Airfoil 1'!$B$48+'Airfoil 1'!$B$49*L21+'Airfoil 1'!$B$50*L21^2+'Airfoil 1'!$B$51*L21^3+'Airfoil 1'!$B$52*L21^4+'Airfoil 1'!$B$53*L21^5+'Airfoil 1'!$B$54*L21^6</f>
        <v>-0.155</v>
      </c>
      <c r="X21" s="42">
        <f ca="1">'Airfoil 1'!$B$56+'Airfoil 1'!$B$57*L21+'Airfoil 1'!$B$58*L21^2+'Airfoil 1'!$B$59*L21^3+'Airfoil 1'!$B$60*L21^4+'Airfoil 1'!$B$61*L21^5+'Airfoil 1'!$B$62*L21^6</f>
        <v>-0.155</v>
      </c>
      <c r="Y21" s="42">
        <f ca="1">'Airfoil 1'!$B$64+'Airfoil 1'!$B$65*L21+'Airfoil 1'!$B$66*L21^2+'Airfoil 1'!$B$67*L21^3+'Airfoil 1'!$B$681*L21^4+'Airfoil 1'!$B$69*L21^5+'Airfoil 1'!$B$70*L21^6</f>
        <v>-0.155</v>
      </c>
      <c r="Z21" s="16">
        <f>LOG('Airfoil 1'!$F$10)+LOG('Airfoil 1'!$G$10)+LOG('Airfoil 1'!$H$10)</f>
        <v>15.176091259055681</v>
      </c>
      <c r="AA21" s="16">
        <f ca="1">LOG(ABS(W21))+LOG(ABS(X21))+LOG(ABS(Y21))</f>
        <v>-2.4290049054891254</v>
      </c>
      <c r="AB21" s="16">
        <f>LOG('Airfoil 1'!$F$10)^2+LOG('Airfoil 1'!$G$10)^2+LOG('Airfoil 1'!$H$10)^2</f>
        <v>76.867141336751558</v>
      </c>
      <c r="AC21" s="16">
        <f ca="1">LOG('Airfoil 1'!$F$10)*LOG(ABS(W21))+LOG('Airfoil 1'!$G$10)*LOG(ABS(X21))+LOG('Airfoil 1'!$H$10)*LOG(ABS(Y21))</f>
        <v>-12.287600038132297</v>
      </c>
      <c r="AD21" s="16">
        <f ca="1">POWER(10,(AC21/AB21-AA21/Z21)/(Z21/AB21-3/Z21))</f>
        <v>0.1550000000000121</v>
      </c>
      <c r="AE21" s="16">
        <f ca="1">(AA21-3*LOG(AD21))/Z21</f>
        <v>-6.6718325633022456E-15</v>
      </c>
      <c r="AF21" s="42">
        <f ca="1">W21/ABS(W21)*AD21*H21^AE21</f>
        <v>-0.15499999999999894</v>
      </c>
      <c r="AG21" s="16"/>
      <c r="AH21" s="42"/>
      <c r="AI21" s="16">
        <f ca="1">(L21-'Airfoil 1'!$Z$22)/ABS(L21-'Airfoil 1'!$Z$22)</f>
        <v>1</v>
      </c>
      <c r="AJ21" s="16">
        <f ca="1">(L21-'Airfoil 1'!$Z$23)/ABS(L21-'Airfoil 1'!$Z$23)</f>
        <v>1</v>
      </c>
      <c r="AK21" s="16">
        <f ca="1">(L21-'Airfoil 1'!$Z$24)/ABS(L21-'Airfoil 1'!$Z$24)</f>
        <v>1</v>
      </c>
      <c r="AL21" s="16">
        <f ca="1">(L21-'Airfoil 1'!$Z$25)/ABS(L21-'Airfoil 1'!$Z$25)</f>
        <v>1</v>
      </c>
      <c r="AM21" s="16">
        <f ca="1">(L21-'Airfoil 1'!$Z$26)/ABS(L21-'Airfoil 1'!$Z$26)</f>
        <v>1</v>
      </c>
      <c r="AN21" s="16">
        <f ca="1">(L21-'Airfoil 1'!$Z$27)/ABS(L21-'Airfoil 1'!$Z$27)</f>
        <v>1</v>
      </c>
      <c r="AO21" s="16">
        <f ca="1">(L21-'Airfoil 1'!$Z$28)/ABS(L21-'Airfoil 1'!$Z$28)</f>
        <v>1</v>
      </c>
      <c r="AP21" s="16">
        <f ca="1">(L21-'Airfoil 1'!$Z$29)/ABS(L21-'Airfoil 1'!$Z$29)</f>
        <v>-1</v>
      </c>
      <c r="AQ21" s="16">
        <f ca="1">(L21-'Airfoil 1'!$Z$30)/ABS(L21-'Airfoil 1'!$Z$30)</f>
        <v>-1</v>
      </c>
      <c r="AR21" s="16">
        <f ca="1">(L21-'Airfoil 1'!$Z$31)/ABS(L21-'Airfoil 1'!$Z$31)</f>
        <v>-1</v>
      </c>
      <c r="AS21" s="16">
        <f ca="1">(L21-'Airfoil 1'!$Z$32)/ABS(L21-'Airfoil 1'!$Z$32)</f>
        <v>-1</v>
      </c>
      <c r="AT21" s="16">
        <f ca="1">(L21-'Airfoil 1'!$Z$33)/ABS(L21-'Airfoil 1'!$Z$33)</f>
        <v>-1</v>
      </c>
      <c r="AU21" s="16">
        <f ca="1">(L21-'Airfoil 1'!$Z$34)/ABS(L21-'Airfoil 1'!$Z$34)</f>
        <v>-1</v>
      </c>
      <c r="AV21" s="16">
        <f ca="1">(L21-'Airfoil 1'!$Z$35)/ABS(L21-'Airfoil 1'!$Z$35)</f>
        <v>-1</v>
      </c>
      <c r="AW21" s="16">
        <f ca="1">(L21-'Airfoil 1'!$Z$36)/ABS(L21-'Airfoil 1'!$Z$36)</f>
        <v>-1</v>
      </c>
      <c r="AX21" s="16">
        <f ca="1">(L21-'Airfoil 1'!$Z$37)/ABS(L21-'Airfoil 1'!$Z$37)</f>
        <v>-1</v>
      </c>
      <c r="AY21" s="16">
        <f ca="1">(L21-'Airfoil 1'!$Z$38)/ABS(L21-'Airfoil 1'!$Z$38)</f>
        <v>-1</v>
      </c>
      <c r="AZ21" s="16">
        <f ca="1">(L21-'Airfoil 1'!$Z$39)/ABS(L21-'Airfoil 1'!$Z$39)</f>
        <v>-1</v>
      </c>
      <c r="BA21" s="16">
        <f ca="1">(L21-'Airfoil 1'!$Z$40)/ABS(L21-'Airfoil 1'!$Z$40)</f>
        <v>-1</v>
      </c>
      <c r="BB21" s="16">
        <f ca="1">(L21-'Airfoil 1'!$Z$41)/ABS(L21-'Airfoil 1'!$Z$41)</f>
        <v>-1</v>
      </c>
      <c r="BC21" s="5">
        <f ca="1">MAX(1,MATCH(-1,AI21:BB21,0)-1)</f>
        <v>7</v>
      </c>
      <c r="BD21" s="42">
        <f ca="1">INDEX('Airfoil 1'!$AA$22:$AA$41,BC21,1)+INDEX('Airfoil 1'!$AB$22:$AB$41,BC21,1)*(L21-INDEX('Airfoil 1'!$Z$22:$Z$41,BC21,1))</f>
        <v>2.4580529886104523E-2</v>
      </c>
      <c r="BE21" s="6"/>
      <c r="BF21" s="16">
        <f ca="1">(L21-'Airfoil 1'!$Z$47)/ABS(L21-'Airfoil 1'!$Z$47)</f>
        <v>1</v>
      </c>
      <c r="BG21" s="16">
        <f ca="1">(L21-'Airfoil 1'!$Z$48)/ABS(L21-'Airfoil 1'!$Z$48)</f>
        <v>1</v>
      </c>
      <c r="BH21" s="16">
        <f ca="1">(L21-'Airfoil 1'!$Z$49)/ABS(L21-'Airfoil 1'!$Z$49)</f>
        <v>1</v>
      </c>
      <c r="BI21" s="16">
        <f ca="1">(L21-'Airfoil 1'!$Z$50)/ABS(L21-'Airfoil 1'!$Z$50)</f>
        <v>1</v>
      </c>
      <c r="BJ21" s="16">
        <f ca="1">(L21-'Airfoil 1'!$Z$51)/ABS(L21-'Airfoil 1'!$Z$51)</f>
        <v>1</v>
      </c>
      <c r="BK21" s="16">
        <f ca="1">(L21-'Airfoil 1'!$Z$52)/ABS(L21-'Airfoil 1'!$Z$52)</f>
        <v>-1</v>
      </c>
      <c r="BL21" s="16">
        <f ca="1">(L21-'Airfoil 1'!$Z$53)/ABS(L21-'Airfoil 1'!$Z$53)</f>
        <v>-1</v>
      </c>
      <c r="BM21" s="16">
        <f ca="1">(L21-'Airfoil 1'!$Z$54)/ABS(L21-'Airfoil 1'!$Z$54)</f>
        <v>-1</v>
      </c>
      <c r="BN21" s="16">
        <f ca="1">(L21-'Airfoil 1'!$Z$55)/ABS(L21-'Airfoil 1'!$Z$55)</f>
        <v>-1</v>
      </c>
      <c r="BO21" s="16">
        <f ca="1">(L21-'Airfoil 1'!$Z$56)/ABS(L21-'Airfoil 1'!$Z$56)</f>
        <v>-1</v>
      </c>
      <c r="BP21" s="16">
        <f ca="1">(L21-'Airfoil 1'!$Z$57)/ABS(L21-'Airfoil 1'!$Z$57)</f>
        <v>-1</v>
      </c>
      <c r="BQ21" s="16">
        <f ca="1">(L21-'Airfoil 1'!$Z$58)/ABS(L21-'Airfoil 1'!$Z$58)</f>
        <v>-1</v>
      </c>
      <c r="BR21" s="16">
        <f ca="1">(L21-'Airfoil 1'!$Z$59)/ABS(L21-'Airfoil 1'!$Z$59)</f>
        <v>-1</v>
      </c>
      <c r="BS21" s="16">
        <f ca="1">(L21-'Airfoil 1'!$Z$60)/ABS(L21-'Airfoil 1'!$Z$60)</f>
        <v>-1</v>
      </c>
      <c r="BT21" s="16">
        <f ca="1">(L21-'Airfoil 1'!$Z$61)/ABS(L21-'Airfoil 1'!$Z$61)</f>
        <v>-1</v>
      </c>
      <c r="BU21" s="16">
        <f ca="1">(L21-'Airfoil 1'!$Z$62)/ABS(L21-'Airfoil 1'!$Z$62)</f>
        <v>-1</v>
      </c>
      <c r="BV21" s="16">
        <f ca="1">(L21-'Airfoil 1'!$Z$63)/ABS(L21-'Airfoil 1'!$Z$63)</f>
        <v>-1</v>
      </c>
      <c r="BW21" s="16">
        <f ca="1">(L21-'Airfoil 1'!$Z$64)/ABS(L21-'Airfoil 1'!$Z$64)</f>
        <v>-1</v>
      </c>
      <c r="BX21" s="16">
        <f ca="1">(L21-'Airfoil 1'!$Z$65)/ABS(L21-'Airfoil 1'!$Z$65)</f>
        <v>-1</v>
      </c>
      <c r="BY21" s="16">
        <f ca="1">(L21-'Airfoil 1'!$Z$66)/ABS(L21-'Airfoil 1'!$Z$66)</f>
        <v>-1</v>
      </c>
      <c r="BZ21" s="5">
        <f ca="1">MAX(1,MATCH(-1,BF21:BY21,0)-1)</f>
        <v>5</v>
      </c>
      <c r="CA21" s="42">
        <f ca="1">INDEX('Airfoil 1'!$AA$47:$AA$66,BZ21,1)+INDEX('Airfoil 1'!$AB$47:$AB$66,BZ21,1)*(L21-INDEX('Airfoil 1'!$Z$47:$Z$66,BZ21,1))</f>
        <v>1.7099404849222798E-2</v>
      </c>
      <c r="CC21" s="16">
        <f ca="1">(L21-'Airfoil 1'!$Z$72)/ABS(L21-'Airfoil 1'!$Z$72)</f>
        <v>1</v>
      </c>
      <c r="CD21" s="16">
        <f ca="1">(L21-'Airfoil 1'!$Z$73)/ABS(L21-'Airfoil 1'!$Z$73)</f>
        <v>1</v>
      </c>
      <c r="CE21" s="16">
        <f ca="1">(L21-'Airfoil 1'!$Z$74)/ABS(L21-'Airfoil 1'!$Z$74)</f>
        <v>1</v>
      </c>
      <c r="CF21" s="16">
        <f ca="1">(L21-'Airfoil 1'!$Z$75)/ABS(L21-'Airfoil 1'!$Z$75)</f>
        <v>1</v>
      </c>
      <c r="CG21" s="16">
        <f ca="1">(L21-'Airfoil 1'!$Z$76)/ABS(L21-'Airfoil 1'!$Z$76)</f>
        <v>-1</v>
      </c>
      <c r="CH21" s="16">
        <f ca="1">(L21-'Airfoil 1'!$Z$77)/ABS(L21-'Airfoil 1'!$Z$77)</f>
        <v>-1</v>
      </c>
      <c r="CI21" s="16">
        <f ca="1">(L21-'Airfoil 1'!$Z$78)/ABS(L21-'Airfoil 1'!$Z$78)</f>
        <v>-1</v>
      </c>
      <c r="CJ21" s="16">
        <f ca="1">(L21-'Airfoil 1'!$Z$79)/ABS(L21-'Airfoil 1'!$Z$79)</f>
        <v>-1</v>
      </c>
      <c r="CK21" s="16">
        <f ca="1">(L21-'Airfoil 1'!$Z$80)/ABS(L21-'Airfoil 1'!$Z$80)</f>
        <v>-1</v>
      </c>
      <c r="CL21" s="16">
        <f ca="1">(L21-'Airfoil 1'!$Z$81)/ABS(L21-'Airfoil 1'!$Z$81)</f>
        <v>-1</v>
      </c>
      <c r="CM21" s="16">
        <f ca="1">(L21-'Airfoil 1'!$Z$82)/ABS(L21-'Airfoil 1'!$Z$82)</f>
        <v>-1</v>
      </c>
      <c r="CN21" s="16">
        <f ca="1">(L21-'Airfoil 1'!$Z$83)/ABS(L21-'Airfoil 1'!$Z$83)</f>
        <v>-1</v>
      </c>
      <c r="CO21" s="16">
        <f ca="1">(L21-'Airfoil 1'!$Z$84)/ABS(L21-'Airfoil 1'!$Z$84)</f>
        <v>-1</v>
      </c>
      <c r="CP21" s="16">
        <f ca="1">(L21-'Airfoil 1'!$Z$85)/ABS(L21-'Airfoil 1'!$Z$85)</f>
        <v>-1</v>
      </c>
      <c r="CQ21" s="16">
        <f ca="1">(L21-'Airfoil 1'!$Z$86)/ABS(L21-'Airfoil 1'!$Z$86)</f>
        <v>-1</v>
      </c>
      <c r="CR21" s="16">
        <f ca="1">(L21-'Airfoil 1'!$Z$87)/ABS(L21-'Airfoil 1'!$Z$87)</f>
        <v>-1</v>
      </c>
      <c r="CS21" s="16">
        <f ca="1">(L21-'Airfoil 1'!$Z$88)/ABS(L21-'Airfoil 1'!$Z$88)</f>
        <v>-1</v>
      </c>
      <c r="CT21" s="16">
        <f ca="1">(L21-'Airfoil 1'!$Z$89)/ABS(L21-'Airfoil 1'!$Z$89)</f>
        <v>-1</v>
      </c>
      <c r="CU21" s="16">
        <f ca="1">(L21-'Airfoil 1'!$Z$90)/ABS(L21-'Airfoil 1'!$Z$90)</f>
        <v>-1</v>
      </c>
      <c r="CV21" s="16">
        <f ca="1">(L21-'Airfoil 1'!$Z$91)/ABS(L21-'Airfoil 1'!$Z$91)</f>
        <v>-1</v>
      </c>
      <c r="CW21" s="5">
        <f ca="1">MAX(1,MATCH(-1,CC21:CV21,0)-1)</f>
        <v>4</v>
      </c>
      <c r="CX21" s="42">
        <f ca="1">INDEX('Airfoil 1'!$AA$72:$AA$91,CW21,1)+INDEX('Airfoil 1'!$AB$72:$AB$91,CW21,1)*(L21-INDEX('Airfoil 1'!$Z$72:$Z$91,CW21,1))</f>
        <v>1.0776628694757588E-2</v>
      </c>
    </row>
    <row r="22" spans="2:102">
      <c r="B22" s="31">
        <f>Main!B22</f>
        <v>0.33333333333333326</v>
      </c>
      <c r="D22" s="1">
        <f>Takeoff!F22</f>
        <v>1.2249994633486807</v>
      </c>
      <c r="E22" s="4">
        <f>ISA!$O$10</f>
        <v>1.783E-5</v>
      </c>
      <c r="G22" s="13">
        <f ca="1">Takeoff!T22</f>
        <v>14.391374472657482</v>
      </c>
      <c r="H22" s="5">
        <f t="shared" ref="H22:H40" ca="1" si="0">D22*G22*B22/E22</f>
        <v>329583.58582642203</v>
      </c>
      <c r="I22" s="16">
        <f ca="1">'Airfoil 2'!$K$14*H22^'Airfoil 2'!$L$13</f>
        <v>1.5815689594422684</v>
      </c>
      <c r="J22" s="1">
        <f ca="1">'Airfoil 2'!$K$33*H22^'Airfoil 2'!$L$32</f>
        <v>5.1362840404449006</v>
      </c>
      <c r="K22" s="13">
        <f ca="1">'Airfoil 2'!$K$52*H22^'Airfoil 2'!$L$51</f>
        <v>-8.8059106851678806</v>
      </c>
      <c r="L22" s="16">
        <f ca="1">'Aerodynamics-Takeoff'!W22</f>
        <v>0.85860141694927772</v>
      </c>
      <c r="M22" s="10">
        <f ca="1">('Airfoil 1'!$B$21+'Airfoil 1'!$B$22*L22+'Airfoil 1'!$B$23*L22^2+'Airfoil 1'!$B$24*L22^3+'Airfoil 1'!$B$25*L22^4+'Airfoil 1'!$B$26*L22^5+'Airfoil 1'!$B$27*L22^6)*0+BD22</f>
        <v>2.4579967700111109E-2</v>
      </c>
      <c r="N22" s="42">
        <f ca="1">('Airfoil 1'!$B$29+'Airfoil 1'!$B$30*L22+'Airfoil 1'!$B$31*L22^2+'Airfoil 1'!$B$32*L22^3+'Airfoil 1'!$B$33*L22^4+'Airfoil 1'!$B$34*L22^5+'Airfoil 1'!$B$35*L22^6)*0+CA22</f>
        <v>1.7099280460476134E-2</v>
      </c>
      <c r="O22" s="42">
        <f ca="1">('Airfoil 1'!$B$37+'Airfoil 1'!$B$38*L22+'Airfoil 1'!$B$39*L22^2+'Airfoil 1'!$B$40*L22^3+'Airfoil 1'!$B$41*L22^4+'Airfoil 1'!$B$42*L22^5+'Airfoil 1'!$B$43*L22^6)*0+CX22</f>
        <v>1.0778685384400159E-2</v>
      </c>
      <c r="P22" s="16">
        <f>LOG('Airfoil 1'!$F$10)+LOG('Airfoil 1'!$G$10)+LOG('Airfoil 1'!$H$10)</f>
        <v>15.176091259055681</v>
      </c>
      <c r="Q22" s="16">
        <f t="shared" ref="Q22:Q40" ca="1" si="1">LOG(M22)+LOG(N22)+LOG(O22)</f>
        <v>-5.3438750608984567</v>
      </c>
      <c r="R22" s="16">
        <f>LOG('Airfoil 1'!$F$10)^2+LOG('Airfoil 1'!$G$10)^2+LOG('Airfoil 1'!$H$10)^2</f>
        <v>76.867141336751558</v>
      </c>
      <c r="S22" s="16">
        <f ca="1">LOG('Airfoil 1'!$F$10)*LOG(M22)+LOG('Airfoil 1'!$G$10)*LOG(N22)+LOG('Airfoil 1'!$H$10)*LOG(O22)</f>
        <v>-27.110553276433706</v>
      </c>
      <c r="T22" s="16">
        <f t="shared" ref="T22:T40" ca="1" si="2">POWER(10,(S22/R22-Q22/P22)/(P22/R22-3/P22))</f>
        <v>203.02424759525556</v>
      </c>
      <c r="U22" s="16">
        <f t="shared" ref="U22:U40" ca="1" si="3">(Q22-3*LOG(T22))/P22</f>
        <v>-0.80827919261545422</v>
      </c>
      <c r="V22" s="42">
        <f ca="1">IF(Energy!$F$11=1,Energy!$T$13,1)*T22*H22^U22</f>
        <v>7.7601434304446354E-3</v>
      </c>
      <c r="W22" s="10">
        <f ca="1">'Airfoil 1'!$B$48+'Airfoil 1'!$B$49*L22+'Airfoil 1'!$B$50*L22^2+'Airfoil 1'!$B$51*L22^3+'Airfoil 1'!$B$52*L22^4+'Airfoil 1'!$B$53*L22^5+'Airfoil 1'!$B$54*L22^6</f>
        <v>-0.155</v>
      </c>
      <c r="X22" s="42">
        <f ca="1">'Airfoil 1'!$B$56+'Airfoil 1'!$B$57*L22+'Airfoil 1'!$B$58*L22^2+'Airfoil 1'!$B$59*L22^3+'Airfoil 1'!$B$60*L22^4+'Airfoil 1'!$B$61*L22^5+'Airfoil 1'!$B$62*L22^6</f>
        <v>-0.155</v>
      </c>
      <c r="Y22" s="42">
        <f ca="1">'Airfoil 1'!$B$64+'Airfoil 1'!$B$65*L22+'Airfoil 1'!$B$66*L22^2+'Airfoil 1'!$B$67*L22^3+'Airfoil 1'!$B$681*L22^4+'Airfoil 1'!$B$69*L22^5+'Airfoil 1'!$B$70*L22^6</f>
        <v>-0.155</v>
      </c>
      <c r="Z22" s="16">
        <f>LOG('Airfoil 1'!$F$10)+LOG('Airfoil 1'!$G$10)+LOG('Airfoil 1'!$H$10)</f>
        <v>15.176091259055681</v>
      </c>
      <c r="AA22" s="16">
        <f t="shared" ref="AA22:AA40" ca="1" si="4">LOG(ABS(W22))+LOG(ABS(X22))+LOG(ABS(Y22))</f>
        <v>-2.4290049054891254</v>
      </c>
      <c r="AB22" s="16">
        <f>LOG('Airfoil 1'!$F$10)^2+LOG('Airfoil 1'!$G$10)^2+LOG('Airfoil 1'!$H$10)^2</f>
        <v>76.867141336751558</v>
      </c>
      <c r="AC22" s="16">
        <f ca="1">LOG('Airfoil 1'!$F$10)*LOG(ABS(W22))+LOG('Airfoil 1'!$G$10)*LOG(ABS(X22))+LOG('Airfoil 1'!$H$10)*LOG(ABS(Y22))</f>
        <v>-12.287600038132297</v>
      </c>
      <c r="AD22" s="16">
        <f t="shared" ref="AD22:AD40" ca="1" si="5">POWER(10,(AC22/AB22-AA22/Z22)/(Z22/AB22-3/Z22))</f>
        <v>0.1550000000000121</v>
      </c>
      <c r="AE22" s="16">
        <f t="shared" ref="AE22:AE40" ca="1" si="6">(AA22-3*LOG(AD22))/Z22</f>
        <v>-6.6718325633022456E-15</v>
      </c>
      <c r="AF22" s="42">
        <f t="shared" ref="AF22:AF40" ca="1" si="7">W22/ABS(W22)*AD22*H22^AE22</f>
        <v>-0.15499999999999894</v>
      </c>
      <c r="AG22" s="16"/>
      <c r="AH22" s="42"/>
      <c r="AI22" s="16">
        <f ca="1">(L22-'Airfoil 1'!$Z$22)/ABS(L22-'Airfoil 1'!$Z$22)</f>
        <v>1</v>
      </c>
      <c r="AJ22" s="16">
        <f ca="1">(L22-'Airfoil 1'!$Z$23)/ABS(L22-'Airfoil 1'!$Z$23)</f>
        <v>1</v>
      </c>
      <c r="AK22" s="16">
        <f ca="1">(L22-'Airfoil 1'!$Z$24)/ABS(L22-'Airfoil 1'!$Z$24)</f>
        <v>1</v>
      </c>
      <c r="AL22" s="16">
        <f ca="1">(L22-'Airfoil 1'!$Z$25)/ABS(L22-'Airfoil 1'!$Z$25)</f>
        <v>1</v>
      </c>
      <c r="AM22" s="16">
        <f ca="1">(L22-'Airfoil 1'!$Z$26)/ABS(L22-'Airfoil 1'!$Z$26)</f>
        <v>1</v>
      </c>
      <c r="AN22" s="16">
        <f ca="1">(L22-'Airfoil 1'!$Z$27)/ABS(L22-'Airfoil 1'!$Z$27)</f>
        <v>1</v>
      </c>
      <c r="AO22" s="16">
        <f ca="1">(L22-'Airfoil 1'!$Z$28)/ABS(L22-'Airfoil 1'!$Z$28)</f>
        <v>1</v>
      </c>
      <c r="AP22" s="16">
        <f ca="1">(L22-'Airfoil 1'!$Z$29)/ABS(L22-'Airfoil 1'!$Z$29)</f>
        <v>-1</v>
      </c>
      <c r="AQ22" s="16">
        <f ca="1">(L22-'Airfoil 1'!$Z$30)/ABS(L22-'Airfoil 1'!$Z$30)</f>
        <v>-1</v>
      </c>
      <c r="AR22" s="16">
        <f ca="1">(L22-'Airfoil 1'!$Z$31)/ABS(L22-'Airfoil 1'!$Z$31)</f>
        <v>-1</v>
      </c>
      <c r="AS22" s="16">
        <f ca="1">(L22-'Airfoil 1'!$Z$32)/ABS(L22-'Airfoil 1'!$Z$32)</f>
        <v>-1</v>
      </c>
      <c r="AT22" s="16">
        <f ca="1">(L22-'Airfoil 1'!$Z$33)/ABS(L22-'Airfoil 1'!$Z$33)</f>
        <v>-1</v>
      </c>
      <c r="AU22" s="16">
        <f ca="1">(L22-'Airfoil 1'!$Z$34)/ABS(L22-'Airfoil 1'!$Z$34)</f>
        <v>-1</v>
      </c>
      <c r="AV22" s="16">
        <f ca="1">(L22-'Airfoil 1'!$Z$35)/ABS(L22-'Airfoil 1'!$Z$35)</f>
        <v>-1</v>
      </c>
      <c r="AW22" s="16">
        <f ca="1">(L22-'Airfoil 1'!$Z$36)/ABS(L22-'Airfoil 1'!$Z$36)</f>
        <v>-1</v>
      </c>
      <c r="AX22" s="16">
        <f ca="1">(L22-'Airfoil 1'!$Z$37)/ABS(L22-'Airfoil 1'!$Z$37)</f>
        <v>-1</v>
      </c>
      <c r="AY22" s="16">
        <f ca="1">(L22-'Airfoil 1'!$Z$38)/ABS(L22-'Airfoil 1'!$Z$38)</f>
        <v>-1</v>
      </c>
      <c r="AZ22" s="16">
        <f ca="1">(L22-'Airfoil 1'!$Z$39)/ABS(L22-'Airfoil 1'!$Z$39)</f>
        <v>-1</v>
      </c>
      <c r="BA22" s="16">
        <f ca="1">(L22-'Airfoil 1'!$Z$40)/ABS(L22-'Airfoil 1'!$Z$40)</f>
        <v>-1</v>
      </c>
      <c r="BB22" s="16">
        <f ca="1">(L22-'Airfoil 1'!$Z$41)/ABS(L22-'Airfoil 1'!$Z$41)</f>
        <v>-1</v>
      </c>
      <c r="BC22" s="5">
        <f t="shared" ref="BC22:BC40" ca="1" si="8">MAX(1,MATCH(-1,AI22:BB22,0)-1)</f>
        <v>7</v>
      </c>
      <c r="BD22" s="42">
        <f ca="1">INDEX('Airfoil 1'!$AA$22:$AA$41,BC22,1)+INDEX('Airfoil 1'!$AB$22:$AB$41,BC22,1)*(L22-INDEX('Airfoil 1'!$Z$22:$Z$41,BC22,1))</f>
        <v>2.4579967700111071E-2</v>
      </c>
      <c r="BE22" s="6"/>
      <c r="BF22" s="16">
        <f ca="1">(L22-'Airfoil 1'!$Z$47)/ABS(L22-'Airfoil 1'!$Z$47)</f>
        <v>1</v>
      </c>
      <c r="BG22" s="16">
        <f ca="1">(L22-'Airfoil 1'!$Z$48)/ABS(L22-'Airfoil 1'!$Z$48)</f>
        <v>1</v>
      </c>
      <c r="BH22" s="16">
        <f ca="1">(L22-'Airfoil 1'!$Z$49)/ABS(L22-'Airfoil 1'!$Z$49)</f>
        <v>1</v>
      </c>
      <c r="BI22" s="16">
        <f ca="1">(L22-'Airfoil 1'!$Z$50)/ABS(L22-'Airfoil 1'!$Z$50)</f>
        <v>1</v>
      </c>
      <c r="BJ22" s="16">
        <f ca="1">(L22-'Airfoil 1'!$Z$51)/ABS(L22-'Airfoil 1'!$Z$51)</f>
        <v>1</v>
      </c>
      <c r="BK22" s="16">
        <f ca="1">(L22-'Airfoil 1'!$Z$52)/ABS(L22-'Airfoil 1'!$Z$52)</f>
        <v>-1</v>
      </c>
      <c r="BL22" s="16">
        <f ca="1">(L22-'Airfoil 1'!$Z$53)/ABS(L22-'Airfoil 1'!$Z$53)</f>
        <v>-1</v>
      </c>
      <c r="BM22" s="16">
        <f ca="1">(L22-'Airfoil 1'!$Z$54)/ABS(L22-'Airfoil 1'!$Z$54)</f>
        <v>-1</v>
      </c>
      <c r="BN22" s="16">
        <f ca="1">(L22-'Airfoil 1'!$Z$55)/ABS(L22-'Airfoil 1'!$Z$55)</f>
        <v>-1</v>
      </c>
      <c r="BO22" s="16">
        <f ca="1">(L22-'Airfoil 1'!$Z$56)/ABS(L22-'Airfoil 1'!$Z$56)</f>
        <v>-1</v>
      </c>
      <c r="BP22" s="16">
        <f ca="1">(L22-'Airfoil 1'!$Z$57)/ABS(L22-'Airfoil 1'!$Z$57)</f>
        <v>-1</v>
      </c>
      <c r="BQ22" s="16">
        <f ca="1">(L22-'Airfoil 1'!$Z$58)/ABS(L22-'Airfoil 1'!$Z$58)</f>
        <v>-1</v>
      </c>
      <c r="BR22" s="16">
        <f ca="1">(L22-'Airfoil 1'!$Z$59)/ABS(L22-'Airfoil 1'!$Z$59)</f>
        <v>-1</v>
      </c>
      <c r="BS22" s="16">
        <f ca="1">(L22-'Airfoil 1'!$Z$60)/ABS(L22-'Airfoil 1'!$Z$60)</f>
        <v>-1</v>
      </c>
      <c r="BT22" s="16">
        <f ca="1">(L22-'Airfoil 1'!$Z$61)/ABS(L22-'Airfoil 1'!$Z$61)</f>
        <v>-1</v>
      </c>
      <c r="BU22" s="16">
        <f ca="1">(L22-'Airfoil 1'!$Z$62)/ABS(L22-'Airfoil 1'!$Z$62)</f>
        <v>-1</v>
      </c>
      <c r="BV22" s="16">
        <f ca="1">(L22-'Airfoil 1'!$Z$63)/ABS(L22-'Airfoil 1'!$Z$63)</f>
        <v>-1</v>
      </c>
      <c r="BW22" s="16">
        <f ca="1">(L22-'Airfoil 1'!$Z$64)/ABS(L22-'Airfoil 1'!$Z$64)</f>
        <v>-1</v>
      </c>
      <c r="BX22" s="16">
        <f ca="1">(L22-'Airfoil 1'!$Z$65)/ABS(L22-'Airfoil 1'!$Z$65)</f>
        <v>-1</v>
      </c>
      <c r="BY22" s="16">
        <f ca="1">(L22-'Airfoil 1'!$Z$66)/ABS(L22-'Airfoil 1'!$Z$66)</f>
        <v>-1</v>
      </c>
      <c r="BZ22" s="5">
        <f t="shared" ref="BZ22:BZ40" ca="1" si="9">MAX(1,MATCH(-1,BF22:BY22,0)-1)</f>
        <v>5</v>
      </c>
      <c r="CA22" s="42">
        <f ca="1">INDEX('Airfoil 1'!$AA$47:$AA$66,BZ22,1)+INDEX('Airfoil 1'!$AB$47:$AB$66,BZ22,1)*(L22-INDEX('Airfoil 1'!$Z$47:$Z$66,BZ22,1))</f>
        <v>1.7099280460476127E-2</v>
      </c>
      <c r="CC22" s="16">
        <f ca="1">(L22-'Airfoil 1'!$Z$72)/ABS(L22-'Airfoil 1'!$Z$72)</f>
        <v>1</v>
      </c>
      <c r="CD22" s="16">
        <f ca="1">(L22-'Airfoil 1'!$Z$73)/ABS(L22-'Airfoil 1'!$Z$73)</f>
        <v>1</v>
      </c>
      <c r="CE22" s="16">
        <f ca="1">(L22-'Airfoil 1'!$Z$74)/ABS(L22-'Airfoil 1'!$Z$74)</f>
        <v>1</v>
      </c>
      <c r="CF22" s="16">
        <f ca="1">(L22-'Airfoil 1'!$Z$75)/ABS(L22-'Airfoil 1'!$Z$75)</f>
        <v>1</v>
      </c>
      <c r="CG22" s="16">
        <f ca="1">(L22-'Airfoil 1'!$Z$76)/ABS(L22-'Airfoil 1'!$Z$76)</f>
        <v>-1</v>
      </c>
      <c r="CH22" s="16">
        <f ca="1">(L22-'Airfoil 1'!$Z$77)/ABS(L22-'Airfoil 1'!$Z$77)</f>
        <v>-1</v>
      </c>
      <c r="CI22" s="16">
        <f ca="1">(L22-'Airfoil 1'!$Z$78)/ABS(L22-'Airfoil 1'!$Z$78)</f>
        <v>-1</v>
      </c>
      <c r="CJ22" s="16">
        <f ca="1">(L22-'Airfoil 1'!$Z$79)/ABS(L22-'Airfoil 1'!$Z$79)</f>
        <v>-1</v>
      </c>
      <c r="CK22" s="16">
        <f ca="1">(L22-'Airfoil 1'!$Z$80)/ABS(L22-'Airfoil 1'!$Z$80)</f>
        <v>-1</v>
      </c>
      <c r="CL22" s="16">
        <f ca="1">(L22-'Airfoil 1'!$Z$81)/ABS(L22-'Airfoil 1'!$Z$81)</f>
        <v>-1</v>
      </c>
      <c r="CM22" s="16">
        <f ca="1">(L22-'Airfoil 1'!$Z$82)/ABS(L22-'Airfoil 1'!$Z$82)</f>
        <v>-1</v>
      </c>
      <c r="CN22" s="16">
        <f ca="1">(L22-'Airfoil 1'!$Z$83)/ABS(L22-'Airfoil 1'!$Z$83)</f>
        <v>-1</v>
      </c>
      <c r="CO22" s="16">
        <f ca="1">(L22-'Airfoil 1'!$Z$84)/ABS(L22-'Airfoil 1'!$Z$84)</f>
        <v>-1</v>
      </c>
      <c r="CP22" s="16">
        <f ca="1">(L22-'Airfoil 1'!$Z$85)/ABS(L22-'Airfoil 1'!$Z$85)</f>
        <v>-1</v>
      </c>
      <c r="CQ22" s="16">
        <f ca="1">(L22-'Airfoil 1'!$Z$86)/ABS(L22-'Airfoil 1'!$Z$86)</f>
        <v>-1</v>
      </c>
      <c r="CR22" s="16">
        <f ca="1">(L22-'Airfoil 1'!$Z$87)/ABS(L22-'Airfoil 1'!$Z$87)</f>
        <v>-1</v>
      </c>
      <c r="CS22" s="16">
        <f ca="1">(L22-'Airfoil 1'!$Z$88)/ABS(L22-'Airfoil 1'!$Z$88)</f>
        <v>-1</v>
      </c>
      <c r="CT22" s="16">
        <f ca="1">(L22-'Airfoil 1'!$Z$89)/ABS(L22-'Airfoil 1'!$Z$89)</f>
        <v>-1</v>
      </c>
      <c r="CU22" s="16">
        <f ca="1">(L22-'Airfoil 1'!$Z$90)/ABS(L22-'Airfoil 1'!$Z$90)</f>
        <v>-1</v>
      </c>
      <c r="CV22" s="16">
        <f ca="1">(L22-'Airfoil 1'!$Z$91)/ABS(L22-'Airfoil 1'!$Z$91)</f>
        <v>-1</v>
      </c>
      <c r="CW22" s="5">
        <f t="shared" ref="CW22:CW40" ca="1" si="10">MAX(1,MATCH(-1,CC22:CV22,0)-1)</f>
        <v>4</v>
      </c>
      <c r="CX22" s="42">
        <f ca="1">INDEX('Airfoil 1'!$AA$72:$AA$91,CW22,1)+INDEX('Airfoil 1'!$AB$72:$AB$91,CW22,1)*(L22-INDEX('Airfoil 1'!$Z$72:$Z$91,CW22,1))</f>
        <v>1.0778685384400291E-2</v>
      </c>
    </row>
    <row r="23" spans="2:102">
      <c r="B23" s="31">
        <f>Main!B23</f>
        <v>0.33333333333333326</v>
      </c>
      <c r="D23" s="1">
        <f>Takeoff!F23</f>
        <v>1.2249994633486807</v>
      </c>
      <c r="E23" s="4">
        <f>ISA!$O$10</f>
        <v>1.783E-5</v>
      </c>
      <c r="G23" s="13">
        <f ca="1">Takeoff!T23</f>
        <v>14.165103874793797</v>
      </c>
      <c r="H23" s="5">
        <f t="shared" ca="1" si="0"/>
        <v>324401.6572237935</v>
      </c>
      <c r="I23" s="16">
        <f ca="1">'Airfoil 2'!$K$14*H23^'Airfoil 2'!$L$13</f>
        <v>1.5812205739068219</v>
      </c>
      <c r="J23" s="1">
        <f ca="1">'Airfoil 2'!$K$33*H23^'Airfoil 2'!$L$32</f>
        <v>5.1637348085422285</v>
      </c>
      <c r="K23" s="13">
        <f ca="1">'Airfoil 2'!$K$52*H23^'Airfoil 2'!$L$51</f>
        <v>-8.7130778585046809</v>
      </c>
      <c r="L23" s="16">
        <f ca="1">'Aerodynamics-Takeoff'!W23</f>
        <v>0.85886182278079515</v>
      </c>
      <c r="M23" s="10">
        <f ca="1">('Airfoil 1'!$B$21+'Airfoil 1'!$B$22*L23+'Airfoil 1'!$B$23*L23^2+'Airfoil 1'!$B$24*L23^3+'Airfoil 1'!$B$25*L23^4+'Airfoil 1'!$B$26*L23^5+'Airfoil 1'!$B$27*L23^6)*0+BD23</f>
        <v>2.4579397468363264E-2</v>
      </c>
      <c r="N23" s="42">
        <f ca="1">('Airfoil 1'!$B$29+'Airfoil 1'!$B$30*L23+'Airfoil 1'!$B$31*L23^2+'Airfoil 1'!$B$32*L23^3+'Airfoil 1'!$B$33*L23^4+'Airfoil 1'!$B$34*L23^5+'Airfoil 1'!$B$35*L23^6)*0+CA23</f>
        <v>1.7099154291533376E-2</v>
      </c>
      <c r="O23" s="42">
        <f ca="1">('Airfoil 1'!$B$37+'Airfoil 1'!$B$38*L23+'Airfoil 1'!$B$39*L23^2+'Airfoil 1'!$B$40*L23^3+'Airfoil 1'!$B$41*L23^4+'Airfoil 1'!$B$42*L23^5+'Airfoil 1'!$B$43*L23^6)*0+CX23</f>
        <v>1.0780771508464782E-2</v>
      </c>
      <c r="P23" s="16">
        <f>LOG('Airfoil 1'!$F$10)+LOG('Airfoil 1'!$G$10)+LOG('Airfoil 1'!$H$10)</f>
        <v>15.176091259055681</v>
      </c>
      <c r="Q23" s="16">
        <f t="shared" ca="1" si="1"/>
        <v>-5.343804294816044</v>
      </c>
      <c r="R23" s="16">
        <f>LOG('Airfoil 1'!$F$10)^2+LOG('Airfoil 1'!$G$10)^2+LOG('Airfoil 1'!$H$10)^2</f>
        <v>76.867141336751558</v>
      </c>
      <c r="S23" s="16">
        <f ca="1">LOG('Airfoil 1'!$F$10)*LOG(M23)+LOG('Airfoil 1'!$G$10)*LOG(N23)+LOG('Airfoil 1'!$H$10)*LOG(O23)</f>
        <v>-27.110172886879873</v>
      </c>
      <c r="T23" s="16">
        <f t="shared" ca="1" si="2"/>
        <v>202.48344967441275</v>
      </c>
      <c r="U23" s="16">
        <f t="shared" ca="1" si="3"/>
        <v>-0.80804554210433954</v>
      </c>
      <c r="V23" s="42">
        <f ca="1">IF(Energy!$F$11=1,Energy!$T$13,1)*T23*H23^U23</f>
        <v>7.8625247797105609E-3</v>
      </c>
      <c r="W23" s="10">
        <f ca="1">'Airfoil 1'!$B$48+'Airfoil 1'!$B$49*L23+'Airfoil 1'!$B$50*L23^2+'Airfoil 1'!$B$51*L23^3+'Airfoil 1'!$B$52*L23^4+'Airfoil 1'!$B$53*L23^5+'Airfoil 1'!$B$54*L23^6</f>
        <v>-0.155</v>
      </c>
      <c r="X23" s="42">
        <f ca="1">'Airfoil 1'!$B$56+'Airfoil 1'!$B$57*L23+'Airfoil 1'!$B$58*L23^2+'Airfoil 1'!$B$59*L23^3+'Airfoil 1'!$B$60*L23^4+'Airfoil 1'!$B$61*L23^5+'Airfoil 1'!$B$62*L23^6</f>
        <v>-0.155</v>
      </c>
      <c r="Y23" s="42">
        <f ca="1">'Airfoil 1'!$B$64+'Airfoil 1'!$B$65*L23+'Airfoil 1'!$B$66*L23^2+'Airfoil 1'!$B$67*L23^3+'Airfoil 1'!$B$681*L23^4+'Airfoil 1'!$B$69*L23^5+'Airfoil 1'!$B$70*L23^6</f>
        <v>-0.155</v>
      </c>
      <c r="Z23" s="16">
        <f>LOG('Airfoil 1'!$F$10)+LOG('Airfoil 1'!$G$10)+LOG('Airfoil 1'!$H$10)</f>
        <v>15.176091259055681</v>
      </c>
      <c r="AA23" s="16">
        <f t="shared" ca="1" si="4"/>
        <v>-2.4290049054891254</v>
      </c>
      <c r="AB23" s="16">
        <f>LOG('Airfoil 1'!$F$10)^2+LOG('Airfoil 1'!$G$10)^2+LOG('Airfoil 1'!$H$10)^2</f>
        <v>76.867141336751558</v>
      </c>
      <c r="AC23" s="16">
        <f ca="1">LOG('Airfoil 1'!$F$10)*LOG(ABS(W23))+LOG('Airfoil 1'!$G$10)*LOG(ABS(X23))+LOG('Airfoil 1'!$H$10)*LOG(ABS(Y23))</f>
        <v>-12.287600038132297</v>
      </c>
      <c r="AD23" s="16">
        <f t="shared" ca="1" si="5"/>
        <v>0.1550000000000121</v>
      </c>
      <c r="AE23" s="16">
        <f t="shared" ca="1" si="6"/>
        <v>-6.6718325633022456E-15</v>
      </c>
      <c r="AF23" s="42">
        <f t="shared" ca="1" si="7"/>
        <v>-0.154999999999999</v>
      </c>
      <c r="AG23" s="16"/>
      <c r="AH23" s="42"/>
      <c r="AI23" s="16">
        <f ca="1">(L23-'Airfoil 1'!$Z$22)/ABS(L23-'Airfoil 1'!$Z$22)</f>
        <v>1</v>
      </c>
      <c r="AJ23" s="16">
        <f ca="1">(L23-'Airfoil 1'!$Z$23)/ABS(L23-'Airfoil 1'!$Z$23)</f>
        <v>1</v>
      </c>
      <c r="AK23" s="16">
        <f ca="1">(L23-'Airfoil 1'!$Z$24)/ABS(L23-'Airfoil 1'!$Z$24)</f>
        <v>1</v>
      </c>
      <c r="AL23" s="16">
        <f ca="1">(L23-'Airfoil 1'!$Z$25)/ABS(L23-'Airfoil 1'!$Z$25)</f>
        <v>1</v>
      </c>
      <c r="AM23" s="16">
        <f ca="1">(L23-'Airfoil 1'!$Z$26)/ABS(L23-'Airfoil 1'!$Z$26)</f>
        <v>1</v>
      </c>
      <c r="AN23" s="16">
        <f ca="1">(L23-'Airfoil 1'!$Z$27)/ABS(L23-'Airfoil 1'!$Z$27)</f>
        <v>1</v>
      </c>
      <c r="AO23" s="16">
        <f ca="1">(L23-'Airfoil 1'!$Z$28)/ABS(L23-'Airfoil 1'!$Z$28)</f>
        <v>1</v>
      </c>
      <c r="AP23" s="16">
        <f ca="1">(L23-'Airfoil 1'!$Z$29)/ABS(L23-'Airfoil 1'!$Z$29)</f>
        <v>-1</v>
      </c>
      <c r="AQ23" s="16">
        <f ca="1">(L23-'Airfoil 1'!$Z$30)/ABS(L23-'Airfoil 1'!$Z$30)</f>
        <v>-1</v>
      </c>
      <c r="AR23" s="16">
        <f ca="1">(L23-'Airfoil 1'!$Z$31)/ABS(L23-'Airfoil 1'!$Z$31)</f>
        <v>-1</v>
      </c>
      <c r="AS23" s="16">
        <f ca="1">(L23-'Airfoil 1'!$Z$32)/ABS(L23-'Airfoil 1'!$Z$32)</f>
        <v>-1</v>
      </c>
      <c r="AT23" s="16">
        <f ca="1">(L23-'Airfoil 1'!$Z$33)/ABS(L23-'Airfoil 1'!$Z$33)</f>
        <v>-1</v>
      </c>
      <c r="AU23" s="16">
        <f ca="1">(L23-'Airfoil 1'!$Z$34)/ABS(L23-'Airfoil 1'!$Z$34)</f>
        <v>-1</v>
      </c>
      <c r="AV23" s="16">
        <f ca="1">(L23-'Airfoil 1'!$Z$35)/ABS(L23-'Airfoil 1'!$Z$35)</f>
        <v>-1</v>
      </c>
      <c r="AW23" s="16">
        <f ca="1">(L23-'Airfoil 1'!$Z$36)/ABS(L23-'Airfoil 1'!$Z$36)</f>
        <v>-1</v>
      </c>
      <c r="AX23" s="16">
        <f ca="1">(L23-'Airfoil 1'!$Z$37)/ABS(L23-'Airfoil 1'!$Z$37)</f>
        <v>-1</v>
      </c>
      <c r="AY23" s="16">
        <f ca="1">(L23-'Airfoil 1'!$Z$38)/ABS(L23-'Airfoil 1'!$Z$38)</f>
        <v>-1</v>
      </c>
      <c r="AZ23" s="16">
        <f ca="1">(L23-'Airfoil 1'!$Z$39)/ABS(L23-'Airfoil 1'!$Z$39)</f>
        <v>-1</v>
      </c>
      <c r="BA23" s="16">
        <f ca="1">(L23-'Airfoil 1'!$Z$40)/ABS(L23-'Airfoil 1'!$Z$40)</f>
        <v>-1</v>
      </c>
      <c r="BB23" s="16">
        <f ca="1">(L23-'Airfoil 1'!$Z$41)/ABS(L23-'Airfoil 1'!$Z$41)</f>
        <v>-1</v>
      </c>
      <c r="BC23" s="5">
        <f t="shared" ca="1" si="8"/>
        <v>7</v>
      </c>
      <c r="BD23" s="42">
        <f ca="1">INDEX('Airfoil 1'!$AA$22:$AA$41,BC23,1)+INDEX('Airfoil 1'!$AB$22:$AB$41,BC23,1)*(L23-INDEX('Airfoil 1'!$Z$22:$Z$41,BC23,1))</f>
        <v>2.4579397468363223E-2</v>
      </c>
      <c r="BE23" s="6"/>
      <c r="BF23" s="16">
        <f ca="1">(L23-'Airfoil 1'!$Z$47)/ABS(L23-'Airfoil 1'!$Z$47)</f>
        <v>1</v>
      </c>
      <c r="BG23" s="16">
        <f ca="1">(L23-'Airfoil 1'!$Z$48)/ABS(L23-'Airfoil 1'!$Z$48)</f>
        <v>1</v>
      </c>
      <c r="BH23" s="16">
        <f ca="1">(L23-'Airfoil 1'!$Z$49)/ABS(L23-'Airfoil 1'!$Z$49)</f>
        <v>1</v>
      </c>
      <c r="BI23" s="16">
        <f ca="1">(L23-'Airfoil 1'!$Z$50)/ABS(L23-'Airfoil 1'!$Z$50)</f>
        <v>1</v>
      </c>
      <c r="BJ23" s="16">
        <f ca="1">(L23-'Airfoil 1'!$Z$51)/ABS(L23-'Airfoil 1'!$Z$51)</f>
        <v>1</v>
      </c>
      <c r="BK23" s="16">
        <f ca="1">(L23-'Airfoil 1'!$Z$52)/ABS(L23-'Airfoil 1'!$Z$52)</f>
        <v>-1</v>
      </c>
      <c r="BL23" s="16">
        <f ca="1">(L23-'Airfoil 1'!$Z$53)/ABS(L23-'Airfoil 1'!$Z$53)</f>
        <v>-1</v>
      </c>
      <c r="BM23" s="16">
        <f ca="1">(L23-'Airfoil 1'!$Z$54)/ABS(L23-'Airfoil 1'!$Z$54)</f>
        <v>-1</v>
      </c>
      <c r="BN23" s="16">
        <f ca="1">(L23-'Airfoil 1'!$Z$55)/ABS(L23-'Airfoil 1'!$Z$55)</f>
        <v>-1</v>
      </c>
      <c r="BO23" s="16">
        <f ca="1">(L23-'Airfoil 1'!$Z$56)/ABS(L23-'Airfoil 1'!$Z$56)</f>
        <v>-1</v>
      </c>
      <c r="BP23" s="16">
        <f ca="1">(L23-'Airfoil 1'!$Z$57)/ABS(L23-'Airfoil 1'!$Z$57)</f>
        <v>-1</v>
      </c>
      <c r="BQ23" s="16">
        <f ca="1">(L23-'Airfoil 1'!$Z$58)/ABS(L23-'Airfoil 1'!$Z$58)</f>
        <v>-1</v>
      </c>
      <c r="BR23" s="16">
        <f ca="1">(L23-'Airfoil 1'!$Z$59)/ABS(L23-'Airfoil 1'!$Z$59)</f>
        <v>-1</v>
      </c>
      <c r="BS23" s="16">
        <f ca="1">(L23-'Airfoil 1'!$Z$60)/ABS(L23-'Airfoil 1'!$Z$60)</f>
        <v>-1</v>
      </c>
      <c r="BT23" s="16">
        <f ca="1">(L23-'Airfoil 1'!$Z$61)/ABS(L23-'Airfoil 1'!$Z$61)</f>
        <v>-1</v>
      </c>
      <c r="BU23" s="16">
        <f ca="1">(L23-'Airfoil 1'!$Z$62)/ABS(L23-'Airfoil 1'!$Z$62)</f>
        <v>-1</v>
      </c>
      <c r="BV23" s="16">
        <f ca="1">(L23-'Airfoil 1'!$Z$63)/ABS(L23-'Airfoil 1'!$Z$63)</f>
        <v>-1</v>
      </c>
      <c r="BW23" s="16">
        <f ca="1">(L23-'Airfoil 1'!$Z$64)/ABS(L23-'Airfoil 1'!$Z$64)</f>
        <v>-1</v>
      </c>
      <c r="BX23" s="16">
        <f ca="1">(L23-'Airfoil 1'!$Z$65)/ABS(L23-'Airfoil 1'!$Z$65)</f>
        <v>-1</v>
      </c>
      <c r="BY23" s="16">
        <f ca="1">(L23-'Airfoil 1'!$Z$66)/ABS(L23-'Airfoil 1'!$Z$66)</f>
        <v>-1</v>
      </c>
      <c r="BZ23" s="5">
        <f t="shared" ca="1" si="9"/>
        <v>5</v>
      </c>
      <c r="CA23" s="42">
        <f ca="1">INDEX('Airfoil 1'!$AA$47:$AA$66,BZ23,1)+INDEX('Airfoil 1'!$AB$47:$AB$66,BZ23,1)*(L23-INDEX('Airfoil 1'!$Z$47:$Z$66,BZ23,1))</f>
        <v>1.7099154291533369E-2</v>
      </c>
      <c r="CC23" s="16">
        <f ca="1">(L23-'Airfoil 1'!$Z$72)/ABS(L23-'Airfoil 1'!$Z$72)</f>
        <v>1</v>
      </c>
      <c r="CD23" s="16">
        <f ca="1">(L23-'Airfoil 1'!$Z$73)/ABS(L23-'Airfoil 1'!$Z$73)</f>
        <v>1</v>
      </c>
      <c r="CE23" s="16">
        <f ca="1">(L23-'Airfoil 1'!$Z$74)/ABS(L23-'Airfoil 1'!$Z$74)</f>
        <v>1</v>
      </c>
      <c r="CF23" s="16">
        <f ca="1">(L23-'Airfoil 1'!$Z$75)/ABS(L23-'Airfoil 1'!$Z$75)</f>
        <v>1</v>
      </c>
      <c r="CG23" s="16">
        <f ca="1">(L23-'Airfoil 1'!$Z$76)/ABS(L23-'Airfoil 1'!$Z$76)</f>
        <v>-1</v>
      </c>
      <c r="CH23" s="16">
        <f ca="1">(L23-'Airfoil 1'!$Z$77)/ABS(L23-'Airfoil 1'!$Z$77)</f>
        <v>-1</v>
      </c>
      <c r="CI23" s="16">
        <f ca="1">(L23-'Airfoil 1'!$Z$78)/ABS(L23-'Airfoil 1'!$Z$78)</f>
        <v>-1</v>
      </c>
      <c r="CJ23" s="16">
        <f ca="1">(L23-'Airfoil 1'!$Z$79)/ABS(L23-'Airfoil 1'!$Z$79)</f>
        <v>-1</v>
      </c>
      <c r="CK23" s="16">
        <f ca="1">(L23-'Airfoil 1'!$Z$80)/ABS(L23-'Airfoil 1'!$Z$80)</f>
        <v>-1</v>
      </c>
      <c r="CL23" s="16">
        <f ca="1">(L23-'Airfoil 1'!$Z$81)/ABS(L23-'Airfoil 1'!$Z$81)</f>
        <v>-1</v>
      </c>
      <c r="CM23" s="16">
        <f ca="1">(L23-'Airfoil 1'!$Z$82)/ABS(L23-'Airfoil 1'!$Z$82)</f>
        <v>-1</v>
      </c>
      <c r="CN23" s="16">
        <f ca="1">(L23-'Airfoil 1'!$Z$83)/ABS(L23-'Airfoil 1'!$Z$83)</f>
        <v>-1</v>
      </c>
      <c r="CO23" s="16">
        <f ca="1">(L23-'Airfoil 1'!$Z$84)/ABS(L23-'Airfoil 1'!$Z$84)</f>
        <v>-1</v>
      </c>
      <c r="CP23" s="16">
        <f ca="1">(L23-'Airfoil 1'!$Z$85)/ABS(L23-'Airfoil 1'!$Z$85)</f>
        <v>-1</v>
      </c>
      <c r="CQ23" s="16">
        <f ca="1">(L23-'Airfoil 1'!$Z$86)/ABS(L23-'Airfoil 1'!$Z$86)</f>
        <v>-1</v>
      </c>
      <c r="CR23" s="16">
        <f ca="1">(L23-'Airfoil 1'!$Z$87)/ABS(L23-'Airfoil 1'!$Z$87)</f>
        <v>-1</v>
      </c>
      <c r="CS23" s="16">
        <f ca="1">(L23-'Airfoil 1'!$Z$88)/ABS(L23-'Airfoil 1'!$Z$88)</f>
        <v>-1</v>
      </c>
      <c r="CT23" s="16">
        <f ca="1">(L23-'Airfoil 1'!$Z$89)/ABS(L23-'Airfoil 1'!$Z$89)</f>
        <v>-1</v>
      </c>
      <c r="CU23" s="16">
        <f ca="1">(L23-'Airfoil 1'!$Z$90)/ABS(L23-'Airfoil 1'!$Z$90)</f>
        <v>-1</v>
      </c>
      <c r="CV23" s="16">
        <f ca="1">(L23-'Airfoil 1'!$Z$91)/ABS(L23-'Airfoil 1'!$Z$91)</f>
        <v>-1</v>
      </c>
      <c r="CW23" s="5">
        <f t="shared" ca="1" si="10"/>
        <v>4</v>
      </c>
      <c r="CX23" s="42">
        <f ca="1">INDEX('Airfoil 1'!$AA$72:$AA$91,CW23,1)+INDEX('Airfoil 1'!$AB$72:$AB$91,CW23,1)*(L23-INDEX('Airfoil 1'!$Z$72:$Z$91,CW23,1))</f>
        <v>1.0780771508464933E-2</v>
      </c>
    </row>
    <row r="24" spans="2:102">
      <c r="B24" s="31">
        <f>Main!B24</f>
        <v>0.33333333333333326</v>
      </c>
      <c r="D24" s="1">
        <f>Takeoff!F24</f>
        <v>1.2249994633486807</v>
      </c>
      <c r="E24" s="4">
        <f>ISA!$O$10</f>
        <v>1.783E-5</v>
      </c>
      <c r="G24" s="13">
        <f ca="1">Takeoff!T24</f>
        <v>13.434554183218914</v>
      </c>
      <c r="H24" s="5">
        <f t="shared" ca="1" si="0"/>
        <v>307670.99765885097</v>
      </c>
      <c r="I24" s="16">
        <f ca="1">'Airfoil 2'!$K$14*H24^'Airfoil 2'!$L$13</f>
        <v>1.5800570712001374</v>
      </c>
      <c r="J24" s="1">
        <f ca="1">'Airfoil 2'!$K$33*H24^'Airfoil 2'!$L$32</f>
        <v>5.2565244524286356</v>
      </c>
      <c r="K24" s="13">
        <f ca="1">'Airfoil 2'!$K$52*H24^'Airfoil 2'!$L$51</f>
        <v>-8.4099356678416424</v>
      </c>
      <c r="L24" s="16">
        <f ca="1">'Aerodynamics-Takeoff'!W24</f>
        <v>0.8604156207945759</v>
      </c>
      <c r="M24" s="10">
        <f ca="1">('Airfoil 1'!$B$21+'Airfoil 1'!$B$22*L24+'Airfoil 1'!$B$23*L24^2+'Airfoil 1'!$B$24*L24^3+'Airfoil 1'!$B$25*L24^4+'Airfoil 1'!$B$26*L24^5+'Airfoil 1'!$B$27*L24^6)*0+BD24</f>
        <v>2.4575994990960838E-2</v>
      </c>
      <c r="N24" s="42">
        <f ca="1">('Airfoil 1'!$B$29+'Airfoil 1'!$B$30*L24+'Airfoil 1'!$B$31*L24^2+'Airfoil 1'!$B$32*L24^3+'Airfoil 1'!$B$33*L24^4+'Airfoil 1'!$B$34*L24^5+'Airfoil 1'!$B$35*L24^6)*0+CA24</f>
        <v>1.7098401462568233E-2</v>
      </c>
      <c r="O24" s="42">
        <f ca="1">('Airfoil 1'!$B$37+'Airfoil 1'!$B$38*L24+'Airfoil 1'!$B$39*L24^2+'Airfoil 1'!$B$40*L24^3+'Airfoil 1'!$B$41*L24^4+'Airfoil 1'!$B$42*L24^5+'Airfoil 1'!$B$43*L24^6)*0+CX24</f>
        <v>1.0793219061613813E-2</v>
      </c>
      <c r="P24" s="16">
        <f>LOG('Airfoil 1'!$F$10)+LOG('Airfoil 1'!$G$10)+LOG('Airfoil 1'!$H$10)</f>
        <v>15.176091259055681</v>
      </c>
      <c r="Q24" s="16">
        <f t="shared" ca="1" si="1"/>
        <v>-5.3433823885779486</v>
      </c>
      <c r="R24" s="16">
        <f>LOG('Airfoil 1'!$F$10)^2+LOG('Airfoil 1'!$G$10)^2+LOG('Airfoil 1'!$H$10)^2</f>
        <v>76.867141336751558</v>
      </c>
      <c r="S24" s="16">
        <f ca="1">LOG('Airfoil 1'!$F$10)*LOG(M24)+LOG('Airfoil 1'!$G$10)*LOG(N24)+LOG('Airfoil 1'!$H$10)*LOG(O24)</f>
        <v>-27.10790498281089</v>
      </c>
      <c r="T24" s="16">
        <f t="shared" ca="1" si="2"/>
        <v>199.28831537550812</v>
      </c>
      <c r="U24" s="16">
        <f t="shared" ca="1" si="3"/>
        <v>-0.80665223262055097</v>
      </c>
      <c r="V24" s="42">
        <f ca="1">IF(Energy!$F$11=1,Energy!$T$13,1)*T24*H24^U24</f>
        <v>8.2202146441365878E-3</v>
      </c>
      <c r="W24" s="10">
        <f ca="1">'Airfoil 1'!$B$48+'Airfoil 1'!$B$49*L24+'Airfoil 1'!$B$50*L24^2+'Airfoil 1'!$B$51*L24^3+'Airfoil 1'!$B$52*L24^4+'Airfoil 1'!$B$53*L24^5+'Airfoil 1'!$B$54*L24^6</f>
        <v>-0.155</v>
      </c>
      <c r="X24" s="42">
        <f ca="1">'Airfoil 1'!$B$56+'Airfoil 1'!$B$57*L24+'Airfoil 1'!$B$58*L24^2+'Airfoil 1'!$B$59*L24^3+'Airfoil 1'!$B$60*L24^4+'Airfoil 1'!$B$61*L24^5+'Airfoil 1'!$B$62*L24^6</f>
        <v>-0.155</v>
      </c>
      <c r="Y24" s="42">
        <f ca="1">'Airfoil 1'!$B$64+'Airfoil 1'!$B$65*L24+'Airfoil 1'!$B$66*L24^2+'Airfoil 1'!$B$67*L24^3+'Airfoil 1'!$B$681*L24^4+'Airfoil 1'!$B$69*L24^5+'Airfoil 1'!$B$70*L24^6</f>
        <v>-0.155</v>
      </c>
      <c r="Z24" s="16">
        <f>LOG('Airfoil 1'!$F$10)+LOG('Airfoil 1'!$G$10)+LOG('Airfoil 1'!$H$10)</f>
        <v>15.176091259055681</v>
      </c>
      <c r="AA24" s="16">
        <f t="shared" ca="1" si="4"/>
        <v>-2.4290049054891254</v>
      </c>
      <c r="AB24" s="16">
        <f>LOG('Airfoil 1'!$F$10)^2+LOG('Airfoil 1'!$G$10)^2+LOG('Airfoil 1'!$H$10)^2</f>
        <v>76.867141336751558</v>
      </c>
      <c r="AC24" s="16">
        <f ca="1">LOG('Airfoil 1'!$F$10)*LOG(ABS(W24))+LOG('Airfoil 1'!$G$10)*LOG(ABS(X24))+LOG('Airfoil 1'!$H$10)*LOG(ABS(Y24))</f>
        <v>-12.287600038132297</v>
      </c>
      <c r="AD24" s="16">
        <f t="shared" ca="1" si="5"/>
        <v>0.1550000000000121</v>
      </c>
      <c r="AE24" s="16">
        <f t="shared" ca="1" si="6"/>
        <v>-6.6718325633022456E-15</v>
      </c>
      <c r="AF24" s="42">
        <f t="shared" ca="1" si="7"/>
        <v>-0.15499999999999903</v>
      </c>
      <c r="AG24" s="16"/>
      <c r="AH24" s="42"/>
      <c r="AI24" s="16">
        <f ca="1">(L24-'Airfoil 1'!$Z$22)/ABS(L24-'Airfoil 1'!$Z$22)</f>
        <v>1</v>
      </c>
      <c r="AJ24" s="16">
        <f ca="1">(L24-'Airfoil 1'!$Z$23)/ABS(L24-'Airfoil 1'!$Z$23)</f>
        <v>1</v>
      </c>
      <c r="AK24" s="16">
        <f ca="1">(L24-'Airfoil 1'!$Z$24)/ABS(L24-'Airfoil 1'!$Z$24)</f>
        <v>1</v>
      </c>
      <c r="AL24" s="16">
        <f ca="1">(L24-'Airfoil 1'!$Z$25)/ABS(L24-'Airfoil 1'!$Z$25)</f>
        <v>1</v>
      </c>
      <c r="AM24" s="16">
        <f ca="1">(L24-'Airfoil 1'!$Z$26)/ABS(L24-'Airfoil 1'!$Z$26)</f>
        <v>1</v>
      </c>
      <c r="AN24" s="16">
        <f ca="1">(L24-'Airfoil 1'!$Z$27)/ABS(L24-'Airfoil 1'!$Z$27)</f>
        <v>1</v>
      </c>
      <c r="AO24" s="16">
        <f ca="1">(L24-'Airfoil 1'!$Z$28)/ABS(L24-'Airfoil 1'!$Z$28)</f>
        <v>1</v>
      </c>
      <c r="AP24" s="16">
        <f ca="1">(L24-'Airfoil 1'!$Z$29)/ABS(L24-'Airfoil 1'!$Z$29)</f>
        <v>-1</v>
      </c>
      <c r="AQ24" s="16">
        <f ca="1">(L24-'Airfoil 1'!$Z$30)/ABS(L24-'Airfoil 1'!$Z$30)</f>
        <v>-1</v>
      </c>
      <c r="AR24" s="16">
        <f ca="1">(L24-'Airfoil 1'!$Z$31)/ABS(L24-'Airfoil 1'!$Z$31)</f>
        <v>-1</v>
      </c>
      <c r="AS24" s="16">
        <f ca="1">(L24-'Airfoil 1'!$Z$32)/ABS(L24-'Airfoil 1'!$Z$32)</f>
        <v>-1</v>
      </c>
      <c r="AT24" s="16">
        <f ca="1">(L24-'Airfoil 1'!$Z$33)/ABS(L24-'Airfoil 1'!$Z$33)</f>
        <v>-1</v>
      </c>
      <c r="AU24" s="16">
        <f ca="1">(L24-'Airfoil 1'!$Z$34)/ABS(L24-'Airfoil 1'!$Z$34)</f>
        <v>-1</v>
      </c>
      <c r="AV24" s="16">
        <f ca="1">(L24-'Airfoil 1'!$Z$35)/ABS(L24-'Airfoil 1'!$Z$35)</f>
        <v>-1</v>
      </c>
      <c r="AW24" s="16">
        <f ca="1">(L24-'Airfoil 1'!$Z$36)/ABS(L24-'Airfoil 1'!$Z$36)</f>
        <v>-1</v>
      </c>
      <c r="AX24" s="16">
        <f ca="1">(L24-'Airfoil 1'!$Z$37)/ABS(L24-'Airfoil 1'!$Z$37)</f>
        <v>-1</v>
      </c>
      <c r="AY24" s="16">
        <f ca="1">(L24-'Airfoil 1'!$Z$38)/ABS(L24-'Airfoil 1'!$Z$38)</f>
        <v>-1</v>
      </c>
      <c r="AZ24" s="16">
        <f ca="1">(L24-'Airfoil 1'!$Z$39)/ABS(L24-'Airfoil 1'!$Z$39)</f>
        <v>-1</v>
      </c>
      <c r="BA24" s="16">
        <f ca="1">(L24-'Airfoil 1'!$Z$40)/ABS(L24-'Airfoil 1'!$Z$40)</f>
        <v>-1</v>
      </c>
      <c r="BB24" s="16">
        <f ca="1">(L24-'Airfoil 1'!$Z$41)/ABS(L24-'Airfoil 1'!$Z$41)</f>
        <v>-1</v>
      </c>
      <c r="BC24" s="5">
        <f t="shared" ca="1" si="8"/>
        <v>7</v>
      </c>
      <c r="BD24" s="42">
        <f ca="1">INDEX('Airfoil 1'!$AA$22:$AA$41,BC24,1)+INDEX('Airfoil 1'!$AB$22:$AB$41,BC24,1)*(L24-INDEX('Airfoil 1'!$Z$22:$Z$41,BC24,1))</f>
        <v>2.4575994990960786E-2</v>
      </c>
      <c r="BE24" s="6"/>
      <c r="BF24" s="16">
        <f ca="1">(L24-'Airfoil 1'!$Z$47)/ABS(L24-'Airfoil 1'!$Z$47)</f>
        <v>1</v>
      </c>
      <c r="BG24" s="16">
        <f ca="1">(L24-'Airfoil 1'!$Z$48)/ABS(L24-'Airfoil 1'!$Z$48)</f>
        <v>1</v>
      </c>
      <c r="BH24" s="16">
        <f ca="1">(L24-'Airfoil 1'!$Z$49)/ABS(L24-'Airfoil 1'!$Z$49)</f>
        <v>1</v>
      </c>
      <c r="BI24" s="16">
        <f ca="1">(L24-'Airfoil 1'!$Z$50)/ABS(L24-'Airfoil 1'!$Z$50)</f>
        <v>1</v>
      </c>
      <c r="BJ24" s="16">
        <f ca="1">(L24-'Airfoil 1'!$Z$51)/ABS(L24-'Airfoil 1'!$Z$51)</f>
        <v>1</v>
      </c>
      <c r="BK24" s="16">
        <f ca="1">(L24-'Airfoil 1'!$Z$52)/ABS(L24-'Airfoil 1'!$Z$52)</f>
        <v>-1</v>
      </c>
      <c r="BL24" s="16">
        <f ca="1">(L24-'Airfoil 1'!$Z$53)/ABS(L24-'Airfoil 1'!$Z$53)</f>
        <v>-1</v>
      </c>
      <c r="BM24" s="16">
        <f ca="1">(L24-'Airfoil 1'!$Z$54)/ABS(L24-'Airfoil 1'!$Z$54)</f>
        <v>-1</v>
      </c>
      <c r="BN24" s="16">
        <f ca="1">(L24-'Airfoil 1'!$Z$55)/ABS(L24-'Airfoil 1'!$Z$55)</f>
        <v>-1</v>
      </c>
      <c r="BO24" s="16">
        <f ca="1">(L24-'Airfoil 1'!$Z$56)/ABS(L24-'Airfoil 1'!$Z$56)</f>
        <v>-1</v>
      </c>
      <c r="BP24" s="16">
        <f ca="1">(L24-'Airfoil 1'!$Z$57)/ABS(L24-'Airfoil 1'!$Z$57)</f>
        <v>-1</v>
      </c>
      <c r="BQ24" s="16">
        <f ca="1">(L24-'Airfoil 1'!$Z$58)/ABS(L24-'Airfoil 1'!$Z$58)</f>
        <v>-1</v>
      </c>
      <c r="BR24" s="16">
        <f ca="1">(L24-'Airfoil 1'!$Z$59)/ABS(L24-'Airfoil 1'!$Z$59)</f>
        <v>-1</v>
      </c>
      <c r="BS24" s="16">
        <f ca="1">(L24-'Airfoil 1'!$Z$60)/ABS(L24-'Airfoil 1'!$Z$60)</f>
        <v>-1</v>
      </c>
      <c r="BT24" s="16">
        <f ca="1">(L24-'Airfoil 1'!$Z$61)/ABS(L24-'Airfoil 1'!$Z$61)</f>
        <v>-1</v>
      </c>
      <c r="BU24" s="16">
        <f ca="1">(L24-'Airfoil 1'!$Z$62)/ABS(L24-'Airfoil 1'!$Z$62)</f>
        <v>-1</v>
      </c>
      <c r="BV24" s="16">
        <f ca="1">(L24-'Airfoil 1'!$Z$63)/ABS(L24-'Airfoil 1'!$Z$63)</f>
        <v>-1</v>
      </c>
      <c r="BW24" s="16">
        <f ca="1">(L24-'Airfoil 1'!$Z$64)/ABS(L24-'Airfoil 1'!$Z$64)</f>
        <v>-1</v>
      </c>
      <c r="BX24" s="16">
        <f ca="1">(L24-'Airfoil 1'!$Z$65)/ABS(L24-'Airfoil 1'!$Z$65)</f>
        <v>-1</v>
      </c>
      <c r="BY24" s="16">
        <f ca="1">(L24-'Airfoil 1'!$Z$66)/ABS(L24-'Airfoil 1'!$Z$66)</f>
        <v>-1</v>
      </c>
      <c r="BZ24" s="5">
        <f t="shared" ca="1" si="9"/>
        <v>5</v>
      </c>
      <c r="CA24" s="42">
        <f ca="1">INDEX('Airfoil 1'!$AA$47:$AA$66,BZ24,1)+INDEX('Airfoil 1'!$AB$47:$AB$66,BZ24,1)*(L24-INDEX('Airfoil 1'!$Z$47:$Z$66,BZ24,1))</f>
        <v>1.7098401462568219E-2</v>
      </c>
      <c r="CC24" s="16">
        <f ca="1">(L24-'Airfoil 1'!$Z$72)/ABS(L24-'Airfoil 1'!$Z$72)</f>
        <v>1</v>
      </c>
      <c r="CD24" s="16">
        <f ca="1">(L24-'Airfoil 1'!$Z$73)/ABS(L24-'Airfoil 1'!$Z$73)</f>
        <v>1</v>
      </c>
      <c r="CE24" s="16">
        <f ca="1">(L24-'Airfoil 1'!$Z$74)/ABS(L24-'Airfoil 1'!$Z$74)</f>
        <v>1</v>
      </c>
      <c r="CF24" s="16">
        <f ca="1">(L24-'Airfoil 1'!$Z$75)/ABS(L24-'Airfoil 1'!$Z$75)</f>
        <v>1</v>
      </c>
      <c r="CG24" s="16">
        <f ca="1">(L24-'Airfoil 1'!$Z$76)/ABS(L24-'Airfoil 1'!$Z$76)</f>
        <v>-1</v>
      </c>
      <c r="CH24" s="16">
        <f ca="1">(L24-'Airfoil 1'!$Z$77)/ABS(L24-'Airfoil 1'!$Z$77)</f>
        <v>-1</v>
      </c>
      <c r="CI24" s="16">
        <f ca="1">(L24-'Airfoil 1'!$Z$78)/ABS(L24-'Airfoil 1'!$Z$78)</f>
        <v>-1</v>
      </c>
      <c r="CJ24" s="16">
        <f ca="1">(L24-'Airfoil 1'!$Z$79)/ABS(L24-'Airfoil 1'!$Z$79)</f>
        <v>-1</v>
      </c>
      <c r="CK24" s="16">
        <f ca="1">(L24-'Airfoil 1'!$Z$80)/ABS(L24-'Airfoil 1'!$Z$80)</f>
        <v>-1</v>
      </c>
      <c r="CL24" s="16">
        <f ca="1">(L24-'Airfoil 1'!$Z$81)/ABS(L24-'Airfoil 1'!$Z$81)</f>
        <v>-1</v>
      </c>
      <c r="CM24" s="16">
        <f ca="1">(L24-'Airfoil 1'!$Z$82)/ABS(L24-'Airfoil 1'!$Z$82)</f>
        <v>-1</v>
      </c>
      <c r="CN24" s="16">
        <f ca="1">(L24-'Airfoil 1'!$Z$83)/ABS(L24-'Airfoil 1'!$Z$83)</f>
        <v>-1</v>
      </c>
      <c r="CO24" s="16">
        <f ca="1">(L24-'Airfoil 1'!$Z$84)/ABS(L24-'Airfoil 1'!$Z$84)</f>
        <v>-1</v>
      </c>
      <c r="CP24" s="16">
        <f ca="1">(L24-'Airfoil 1'!$Z$85)/ABS(L24-'Airfoil 1'!$Z$85)</f>
        <v>-1</v>
      </c>
      <c r="CQ24" s="16">
        <f ca="1">(L24-'Airfoil 1'!$Z$86)/ABS(L24-'Airfoil 1'!$Z$86)</f>
        <v>-1</v>
      </c>
      <c r="CR24" s="16">
        <f ca="1">(L24-'Airfoil 1'!$Z$87)/ABS(L24-'Airfoil 1'!$Z$87)</f>
        <v>-1</v>
      </c>
      <c r="CS24" s="16">
        <f ca="1">(L24-'Airfoil 1'!$Z$88)/ABS(L24-'Airfoil 1'!$Z$88)</f>
        <v>-1</v>
      </c>
      <c r="CT24" s="16">
        <f ca="1">(L24-'Airfoil 1'!$Z$89)/ABS(L24-'Airfoil 1'!$Z$89)</f>
        <v>-1</v>
      </c>
      <c r="CU24" s="16">
        <f ca="1">(L24-'Airfoil 1'!$Z$90)/ABS(L24-'Airfoil 1'!$Z$90)</f>
        <v>-1</v>
      </c>
      <c r="CV24" s="16">
        <f ca="1">(L24-'Airfoil 1'!$Z$91)/ABS(L24-'Airfoil 1'!$Z$91)</f>
        <v>-1</v>
      </c>
      <c r="CW24" s="5">
        <f t="shared" ca="1" si="10"/>
        <v>4</v>
      </c>
      <c r="CX24" s="42">
        <f ca="1">INDEX('Airfoil 1'!$AA$72:$AA$91,CW24,1)+INDEX('Airfoil 1'!$AB$72:$AB$91,CW24,1)*(L24-INDEX('Airfoil 1'!$Z$72:$Z$91,CW24,1))</f>
        <v>1.0793219061614005E-2</v>
      </c>
    </row>
    <row r="25" spans="2:102">
      <c r="B25" s="31">
        <f>Main!B25</f>
        <v>0.33333333333333326</v>
      </c>
      <c r="D25" s="1">
        <f>Takeoff!F25</f>
        <v>1.2249994633486807</v>
      </c>
      <c r="E25" s="4">
        <f>ISA!$O$10</f>
        <v>1.783E-5</v>
      </c>
      <c r="G25" s="13">
        <f ca="1">Takeoff!T25</f>
        <v>13.235366392151196</v>
      </c>
      <c r="H25" s="5">
        <f t="shared" ca="1" si="0"/>
        <v>303109.30505904608</v>
      </c>
      <c r="I25" s="16">
        <f ca="1">'Airfoil 2'!$K$14*H25^'Airfoil 2'!$L$13</f>
        <v>1.5797290030978912</v>
      </c>
      <c r="J25" s="1">
        <f ca="1">'Airfoil 2'!$K$33*H25^'Airfoil 2'!$L$32</f>
        <v>5.2830005600670908</v>
      </c>
      <c r="K25" s="13">
        <f ca="1">'Airfoil 2'!$K$52*H25^'Airfoil 2'!$L$51</f>
        <v>-8.326342958834358</v>
      </c>
      <c r="L25" s="16">
        <f ca="1">'Aerodynamics-Takeoff'!W25</f>
        <v>0.86068025037784712</v>
      </c>
      <c r="M25" s="10">
        <f ca="1">('Airfoil 1'!$B$21+'Airfoil 1'!$B$22*L25+'Airfoil 1'!$B$23*L25^2+'Airfoil 1'!$B$24*L25^3+'Airfoil 1'!$B$25*L25^4+'Airfoil 1'!$B$26*L25^5+'Airfoil 1'!$B$27*L25^6)*0+BD25</f>
        <v>2.4575415510121559E-2</v>
      </c>
      <c r="N25" s="42">
        <f ca="1">('Airfoil 1'!$B$29+'Airfoil 1'!$B$30*L25+'Airfoil 1'!$B$31*L25^2+'Airfoil 1'!$B$32*L25^3+'Airfoil 1'!$B$33*L25^4+'Airfoil 1'!$B$34*L25^5+'Airfoil 1'!$B$35*L25^6)*0+CA25</f>
        <v>1.7098273247180162E-2</v>
      </c>
      <c r="O25" s="42">
        <f ca="1">('Airfoil 1'!$B$37+'Airfoil 1'!$B$38*L25+'Airfoil 1'!$B$39*L25^2+'Airfoil 1'!$B$40*L25^3+'Airfoil 1'!$B$41*L25^4+'Airfoil 1'!$B$42*L25^5+'Airfoil 1'!$B$43*L25^6)*0+CX25</f>
        <v>1.0795339022363763E-2</v>
      </c>
      <c r="P25" s="16">
        <f>LOG('Airfoil 1'!$F$10)+LOG('Airfoil 1'!$G$10)+LOG('Airfoil 1'!$H$10)</f>
        <v>15.176091259055681</v>
      </c>
      <c r="Q25" s="16">
        <f t="shared" ca="1" si="1"/>
        <v>-5.3433105916334744</v>
      </c>
      <c r="R25" s="16">
        <f>LOG('Airfoil 1'!$F$10)^2+LOG('Airfoil 1'!$G$10)^2+LOG('Airfoil 1'!$H$10)^2</f>
        <v>76.867141336751558</v>
      </c>
      <c r="S25" s="16">
        <f ca="1">LOG('Airfoil 1'!$F$10)*LOG(M25)+LOG('Airfoil 1'!$G$10)*LOG(N25)+LOG('Airfoil 1'!$H$10)*LOG(O25)</f>
        <v>-27.107519042611401</v>
      </c>
      <c r="T25" s="16">
        <f t="shared" ca="1" si="2"/>
        <v>198.74951843299337</v>
      </c>
      <c r="U25" s="16">
        <f t="shared" ca="1" si="3"/>
        <v>-0.8064150799998494</v>
      </c>
      <c r="V25" s="42">
        <f ca="1">IF(Energy!$F$11=1,Energy!$T$13,1)*T25*H25^U25</f>
        <v>8.32224257311346E-3</v>
      </c>
      <c r="W25" s="10">
        <f ca="1">'Airfoil 1'!$B$48+'Airfoil 1'!$B$49*L25+'Airfoil 1'!$B$50*L25^2+'Airfoil 1'!$B$51*L25^3+'Airfoil 1'!$B$52*L25^4+'Airfoil 1'!$B$53*L25^5+'Airfoil 1'!$B$54*L25^6</f>
        <v>-0.155</v>
      </c>
      <c r="X25" s="42">
        <f ca="1">'Airfoil 1'!$B$56+'Airfoil 1'!$B$57*L25+'Airfoil 1'!$B$58*L25^2+'Airfoil 1'!$B$59*L25^3+'Airfoil 1'!$B$60*L25^4+'Airfoil 1'!$B$61*L25^5+'Airfoil 1'!$B$62*L25^6</f>
        <v>-0.155</v>
      </c>
      <c r="Y25" s="42">
        <f ca="1">'Airfoil 1'!$B$64+'Airfoil 1'!$B$65*L25+'Airfoil 1'!$B$66*L25^2+'Airfoil 1'!$B$67*L25^3+'Airfoil 1'!$B$681*L25^4+'Airfoil 1'!$B$69*L25^5+'Airfoil 1'!$B$70*L25^6</f>
        <v>-0.155</v>
      </c>
      <c r="Z25" s="16">
        <f>LOG('Airfoil 1'!$F$10)+LOG('Airfoil 1'!$G$10)+LOG('Airfoil 1'!$H$10)</f>
        <v>15.176091259055681</v>
      </c>
      <c r="AA25" s="16">
        <f t="shared" ca="1" si="4"/>
        <v>-2.4290049054891254</v>
      </c>
      <c r="AB25" s="16">
        <f>LOG('Airfoil 1'!$F$10)^2+LOG('Airfoil 1'!$G$10)^2+LOG('Airfoil 1'!$H$10)^2</f>
        <v>76.867141336751558</v>
      </c>
      <c r="AC25" s="16">
        <f ca="1">LOG('Airfoil 1'!$F$10)*LOG(ABS(W25))+LOG('Airfoil 1'!$G$10)*LOG(ABS(X25))+LOG('Airfoil 1'!$H$10)*LOG(ABS(Y25))</f>
        <v>-12.287600038132297</v>
      </c>
      <c r="AD25" s="16">
        <f t="shared" ca="1" si="5"/>
        <v>0.1550000000000121</v>
      </c>
      <c r="AE25" s="16">
        <f t="shared" ca="1" si="6"/>
        <v>-6.6718325633022456E-15</v>
      </c>
      <c r="AF25" s="42">
        <f t="shared" ca="1" si="7"/>
        <v>-0.15499999999999906</v>
      </c>
      <c r="AG25" s="16"/>
      <c r="AH25" s="42"/>
      <c r="AI25" s="16">
        <f ca="1">(L25-'Airfoil 1'!$Z$22)/ABS(L25-'Airfoil 1'!$Z$22)</f>
        <v>1</v>
      </c>
      <c r="AJ25" s="16">
        <f ca="1">(L25-'Airfoil 1'!$Z$23)/ABS(L25-'Airfoil 1'!$Z$23)</f>
        <v>1</v>
      </c>
      <c r="AK25" s="16">
        <f ca="1">(L25-'Airfoil 1'!$Z$24)/ABS(L25-'Airfoil 1'!$Z$24)</f>
        <v>1</v>
      </c>
      <c r="AL25" s="16">
        <f ca="1">(L25-'Airfoil 1'!$Z$25)/ABS(L25-'Airfoil 1'!$Z$25)</f>
        <v>1</v>
      </c>
      <c r="AM25" s="16">
        <f ca="1">(L25-'Airfoil 1'!$Z$26)/ABS(L25-'Airfoil 1'!$Z$26)</f>
        <v>1</v>
      </c>
      <c r="AN25" s="16">
        <f ca="1">(L25-'Airfoil 1'!$Z$27)/ABS(L25-'Airfoil 1'!$Z$27)</f>
        <v>1</v>
      </c>
      <c r="AO25" s="16">
        <f ca="1">(L25-'Airfoil 1'!$Z$28)/ABS(L25-'Airfoil 1'!$Z$28)</f>
        <v>1</v>
      </c>
      <c r="AP25" s="16">
        <f ca="1">(L25-'Airfoil 1'!$Z$29)/ABS(L25-'Airfoil 1'!$Z$29)</f>
        <v>-1</v>
      </c>
      <c r="AQ25" s="16">
        <f ca="1">(L25-'Airfoil 1'!$Z$30)/ABS(L25-'Airfoil 1'!$Z$30)</f>
        <v>-1</v>
      </c>
      <c r="AR25" s="16">
        <f ca="1">(L25-'Airfoil 1'!$Z$31)/ABS(L25-'Airfoil 1'!$Z$31)</f>
        <v>-1</v>
      </c>
      <c r="AS25" s="16">
        <f ca="1">(L25-'Airfoil 1'!$Z$32)/ABS(L25-'Airfoil 1'!$Z$32)</f>
        <v>-1</v>
      </c>
      <c r="AT25" s="16">
        <f ca="1">(L25-'Airfoil 1'!$Z$33)/ABS(L25-'Airfoil 1'!$Z$33)</f>
        <v>-1</v>
      </c>
      <c r="AU25" s="16">
        <f ca="1">(L25-'Airfoil 1'!$Z$34)/ABS(L25-'Airfoil 1'!$Z$34)</f>
        <v>-1</v>
      </c>
      <c r="AV25" s="16">
        <f ca="1">(L25-'Airfoil 1'!$Z$35)/ABS(L25-'Airfoil 1'!$Z$35)</f>
        <v>-1</v>
      </c>
      <c r="AW25" s="16">
        <f ca="1">(L25-'Airfoil 1'!$Z$36)/ABS(L25-'Airfoil 1'!$Z$36)</f>
        <v>-1</v>
      </c>
      <c r="AX25" s="16">
        <f ca="1">(L25-'Airfoil 1'!$Z$37)/ABS(L25-'Airfoil 1'!$Z$37)</f>
        <v>-1</v>
      </c>
      <c r="AY25" s="16">
        <f ca="1">(L25-'Airfoil 1'!$Z$38)/ABS(L25-'Airfoil 1'!$Z$38)</f>
        <v>-1</v>
      </c>
      <c r="AZ25" s="16">
        <f ca="1">(L25-'Airfoil 1'!$Z$39)/ABS(L25-'Airfoil 1'!$Z$39)</f>
        <v>-1</v>
      </c>
      <c r="BA25" s="16">
        <f ca="1">(L25-'Airfoil 1'!$Z$40)/ABS(L25-'Airfoil 1'!$Z$40)</f>
        <v>-1</v>
      </c>
      <c r="BB25" s="16">
        <f ca="1">(L25-'Airfoil 1'!$Z$41)/ABS(L25-'Airfoil 1'!$Z$41)</f>
        <v>-1</v>
      </c>
      <c r="BC25" s="5">
        <f t="shared" ca="1" si="8"/>
        <v>7</v>
      </c>
      <c r="BD25" s="42">
        <f ca="1">INDEX('Airfoil 1'!$AA$22:$AA$41,BC25,1)+INDEX('Airfoil 1'!$AB$22:$AB$41,BC25,1)*(L25-INDEX('Airfoil 1'!$Z$22:$Z$41,BC25,1))</f>
        <v>2.4575415510121504E-2</v>
      </c>
      <c r="BE25" s="6"/>
      <c r="BF25" s="16">
        <f ca="1">(L25-'Airfoil 1'!$Z$47)/ABS(L25-'Airfoil 1'!$Z$47)</f>
        <v>1</v>
      </c>
      <c r="BG25" s="16">
        <f ca="1">(L25-'Airfoil 1'!$Z$48)/ABS(L25-'Airfoil 1'!$Z$48)</f>
        <v>1</v>
      </c>
      <c r="BH25" s="16">
        <f ca="1">(L25-'Airfoil 1'!$Z$49)/ABS(L25-'Airfoil 1'!$Z$49)</f>
        <v>1</v>
      </c>
      <c r="BI25" s="16">
        <f ca="1">(L25-'Airfoil 1'!$Z$50)/ABS(L25-'Airfoil 1'!$Z$50)</f>
        <v>1</v>
      </c>
      <c r="BJ25" s="16">
        <f ca="1">(L25-'Airfoil 1'!$Z$51)/ABS(L25-'Airfoil 1'!$Z$51)</f>
        <v>1</v>
      </c>
      <c r="BK25" s="16">
        <f ca="1">(L25-'Airfoil 1'!$Z$52)/ABS(L25-'Airfoil 1'!$Z$52)</f>
        <v>-1</v>
      </c>
      <c r="BL25" s="16">
        <f ca="1">(L25-'Airfoil 1'!$Z$53)/ABS(L25-'Airfoil 1'!$Z$53)</f>
        <v>-1</v>
      </c>
      <c r="BM25" s="16">
        <f ca="1">(L25-'Airfoil 1'!$Z$54)/ABS(L25-'Airfoil 1'!$Z$54)</f>
        <v>-1</v>
      </c>
      <c r="BN25" s="16">
        <f ca="1">(L25-'Airfoil 1'!$Z$55)/ABS(L25-'Airfoil 1'!$Z$55)</f>
        <v>-1</v>
      </c>
      <c r="BO25" s="16">
        <f ca="1">(L25-'Airfoil 1'!$Z$56)/ABS(L25-'Airfoil 1'!$Z$56)</f>
        <v>-1</v>
      </c>
      <c r="BP25" s="16">
        <f ca="1">(L25-'Airfoil 1'!$Z$57)/ABS(L25-'Airfoil 1'!$Z$57)</f>
        <v>-1</v>
      </c>
      <c r="BQ25" s="16">
        <f ca="1">(L25-'Airfoil 1'!$Z$58)/ABS(L25-'Airfoil 1'!$Z$58)</f>
        <v>-1</v>
      </c>
      <c r="BR25" s="16">
        <f ca="1">(L25-'Airfoil 1'!$Z$59)/ABS(L25-'Airfoil 1'!$Z$59)</f>
        <v>-1</v>
      </c>
      <c r="BS25" s="16">
        <f ca="1">(L25-'Airfoil 1'!$Z$60)/ABS(L25-'Airfoil 1'!$Z$60)</f>
        <v>-1</v>
      </c>
      <c r="BT25" s="16">
        <f ca="1">(L25-'Airfoil 1'!$Z$61)/ABS(L25-'Airfoil 1'!$Z$61)</f>
        <v>-1</v>
      </c>
      <c r="BU25" s="16">
        <f ca="1">(L25-'Airfoil 1'!$Z$62)/ABS(L25-'Airfoil 1'!$Z$62)</f>
        <v>-1</v>
      </c>
      <c r="BV25" s="16">
        <f ca="1">(L25-'Airfoil 1'!$Z$63)/ABS(L25-'Airfoil 1'!$Z$63)</f>
        <v>-1</v>
      </c>
      <c r="BW25" s="16">
        <f ca="1">(L25-'Airfoil 1'!$Z$64)/ABS(L25-'Airfoil 1'!$Z$64)</f>
        <v>-1</v>
      </c>
      <c r="BX25" s="16">
        <f ca="1">(L25-'Airfoil 1'!$Z$65)/ABS(L25-'Airfoil 1'!$Z$65)</f>
        <v>-1</v>
      </c>
      <c r="BY25" s="16">
        <f ca="1">(L25-'Airfoil 1'!$Z$66)/ABS(L25-'Airfoil 1'!$Z$66)</f>
        <v>-1</v>
      </c>
      <c r="BZ25" s="5">
        <f t="shared" ca="1" si="9"/>
        <v>5</v>
      </c>
      <c r="CA25" s="42">
        <f ca="1">INDEX('Airfoil 1'!$AA$47:$AA$66,BZ25,1)+INDEX('Airfoil 1'!$AB$47:$AB$66,BZ25,1)*(L25-INDEX('Airfoil 1'!$Z$47:$Z$66,BZ25,1))</f>
        <v>1.7098273247180149E-2</v>
      </c>
      <c r="CC25" s="16">
        <f ca="1">(L25-'Airfoil 1'!$Z$72)/ABS(L25-'Airfoil 1'!$Z$72)</f>
        <v>1</v>
      </c>
      <c r="CD25" s="16">
        <f ca="1">(L25-'Airfoil 1'!$Z$73)/ABS(L25-'Airfoil 1'!$Z$73)</f>
        <v>1</v>
      </c>
      <c r="CE25" s="16">
        <f ca="1">(L25-'Airfoil 1'!$Z$74)/ABS(L25-'Airfoil 1'!$Z$74)</f>
        <v>1</v>
      </c>
      <c r="CF25" s="16">
        <f ca="1">(L25-'Airfoil 1'!$Z$75)/ABS(L25-'Airfoil 1'!$Z$75)</f>
        <v>1</v>
      </c>
      <c r="CG25" s="16">
        <f ca="1">(L25-'Airfoil 1'!$Z$76)/ABS(L25-'Airfoil 1'!$Z$76)</f>
        <v>-1</v>
      </c>
      <c r="CH25" s="16">
        <f ca="1">(L25-'Airfoil 1'!$Z$77)/ABS(L25-'Airfoil 1'!$Z$77)</f>
        <v>-1</v>
      </c>
      <c r="CI25" s="16">
        <f ca="1">(L25-'Airfoil 1'!$Z$78)/ABS(L25-'Airfoil 1'!$Z$78)</f>
        <v>-1</v>
      </c>
      <c r="CJ25" s="16">
        <f ca="1">(L25-'Airfoil 1'!$Z$79)/ABS(L25-'Airfoil 1'!$Z$79)</f>
        <v>-1</v>
      </c>
      <c r="CK25" s="16">
        <f ca="1">(L25-'Airfoil 1'!$Z$80)/ABS(L25-'Airfoil 1'!$Z$80)</f>
        <v>-1</v>
      </c>
      <c r="CL25" s="16">
        <f ca="1">(L25-'Airfoil 1'!$Z$81)/ABS(L25-'Airfoil 1'!$Z$81)</f>
        <v>-1</v>
      </c>
      <c r="CM25" s="16">
        <f ca="1">(L25-'Airfoil 1'!$Z$82)/ABS(L25-'Airfoil 1'!$Z$82)</f>
        <v>-1</v>
      </c>
      <c r="CN25" s="16">
        <f ca="1">(L25-'Airfoil 1'!$Z$83)/ABS(L25-'Airfoil 1'!$Z$83)</f>
        <v>-1</v>
      </c>
      <c r="CO25" s="16">
        <f ca="1">(L25-'Airfoil 1'!$Z$84)/ABS(L25-'Airfoil 1'!$Z$84)</f>
        <v>-1</v>
      </c>
      <c r="CP25" s="16">
        <f ca="1">(L25-'Airfoil 1'!$Z$85)/ABS(L25-'Airfoil 1'!$Z$85)</f>
        <v>-1</v>
      </c>
      <c r="CQ25" s="16">
        <f ca="1">(L25-'Airfoil 1'!$Z$86)/ABS(L25-'Airfoil 1'!$Z$86)</f>
        <v>-1</v>
      </c>
      <c r="CR25" s="16">
        <f ca="1">(L25-'Airfoil 1'!$Z$87)/ABS(L25-'Airfoil 1'!$Z$87)</f>
        <v>-1</v>
      </c>
      <c r="CS25" s="16">
        <f ca="1">(L25-'Airfoil 1'!$Z$88)/ABS(L25-'Airfoil 1'!$Z$88)</f>
        <v>-1</v>
      </c>
      <c r="CT25" s="16">
        <f ca="1">(L25-'Airfoil 1'!$Z$89)/ABS(L25-'Airfoil 1'!$Z$89)</f>
        <v>-1</v>
      </c>
      <c r="CU25" s="16">
        <f ca="1">(L25-'Airfoil 1'!$Z$90)/ABS(L25-'Airfoil 1'!$Z$90)</f>
        <v>-1</v>
      </c>
      <c r="CV25" s="16">
        <f ca="1">(L25-'Airfoil 1'!$Z$91)/ABS(L25-'Airfoil 1'!$Z$91)</f>
        <v>-1</v>
      </c>
      <c r="CW25" s="5">
        <f t="shared" ca="1" si="10"/>
        <v>4</v>
      </c>
      <c r="CX25" s="42">
        <f ca="1">INDEX('Airfoil 1'!$AA$72:$AA$91,CW25,1)+INDEX('Airfoil 1'!$AB$72:$AB$91,CW25,1)*(L25-INDEX('Airfoil 1'!$Z$72:$Z$91,CW25,1))</f>
        <v>1.0795339022363969E-2</v>
      </c>
    </row>
    <row r="26" spans="2:102">
      <c r="B26" s="31">
        <f>Main!B26</f>
        <v>0.33333333333333326</v>
      </c>
      <c r="D26" s="1">
        <f>Takeoff!F26</f>
        <v>1.2249994633486807</v>
      </c>
      <c r="E26" s="4">
        <f>ISA!$O$10</f>
        <v>1.783E-5</v>
      </c>
      <c r="G26" s="13">
        <f ca="1">Takeoff!T26</f>
        <v>13.045219318895375</v>
      </c>
      <c r="H26" s="5">
        <f t="shared" ca="1" si="0"/>
        <v>298754.65815877123</v>
      </c>
      <c r="I26" s="16">
        <f ca="1">'Airfoil 2'!$K$14*H26^'Airfoil 2'!$L$13</f>
        <v>1.5794112510572189</v>
      </c>
      <c r="J26" s="1">
        <f ca="1">'Airfoil 2'!$K$33*H26^'Airfoil 2'!$L$32</f>
        <v>5.3087765351374889</v>
      </c>
      <c r="K26" s="13">
        <f ca="1">'Airfoil 2'!$K$52*H26^'Airfoil 2'!$L$51</f>
        <v>-8.2461546958617067</v>
      </c>
      <c r="L26" s="16">
        <f ca="1">'Aerodynamics-Takeoff'!W26</f>
        <v>0.86094484605128563</v>
      </c>
      <c r="M26" s="10">
        <f ca="1">('Airfoil 1'!$B$21+'Airfoil 1'!$B$22*L26+'Airfoil 1'!$B$23*L26^2+'Airfoil 1'!$B$24*L26^3+'Airfoil 1'!$B$25*L26^4+'Airfoil 1'!$B$26*L26^5+'Airfoil 1'!$B$27*L26^6)*0+BD26</f>
        <v>2.4574836103537397E-2</v>
      </c>
      <c r="N26" s="42">
        <f ca="1">('Airfoil 1'!$B$29+'Airfoil 1'!$B$30*L26+'Airfoil 1'!$B$31*L26^2+'Airfoil 1'!$B$32*L26^3+'Airfoil 1'!$B$33*L26^4+'Airfoil 1'!$B$34*L26^5+'Airfoil 1'!$B$35*L26^6)*0+CA26</f>
        <v>1.7098145048221706E-2</v>
      </c>
      <c r="O26" s="42">
        <f ca="1">('Airfoil 1'!$B$37+'Airfoil 1'!$B$38*L26+'Airfoil 1'!$B$39*L26^2+'Airfoil 1'!$B$40*L26^3+'Airfoil 1'!$B$41*L26^4+'Airfoil 1'!$B$42*L26^5+'Airfoil 1'!$B$43*L26^6)*0+CX26</f>
        <v>1.0797458711460334E-2</v>
      </c>
      <c r="P26" s="16">
        <f>LOG('Airfoil 1'!$F$10)+LOG('Airfoil 1'!$G$10)+LOG('Airfoil 1'!$H$10)</f>
        <v>15.176091259055681</v>
      </c>
      <c r="Q26" s="16">
        <f t="shared" ca="1" si="1"/>
        <v>-5.3432388208999058</v>
      </c>
      <c r="R26" s="16">
        <f>LOG('Airfoil 1'!$F$10)^2+LOG('Airfoil 1'!$G$10)^2+LOG('Airfoil 1'!$H$10)^2</f>
        <v>76.867141336751558</v>
      </c>
      <c r="S26" s="16">
        <f ca="1">LOG('Airfoil 1'!$F$10)*LOG(M26)+LOG('Airfoil 1'!$G$10)*LOG(N26)+LOG('Airfoil 1'!$H$10)*LOG(O26)</f>
        <v>-27.107133241931109</v>
      </c>
      <c r="T26" s="16">
        <f t="shared" ca="1" si="2"/>
        <v>198.21234095733124</v>
      </c>
      <c r="U26" s="16">
        <f t="shared" ca="1" si="3"/>
        <v>-0.80617799960744874</v>
      </c>
      <c r="V26" s="42">
        <f ca="1">IF(Energy!$F$11=1,Energy!$T$13,1)*T26*H26^U26</f>
        <v>8.4223066263491297E-3</v>
      </c>
      <c r="W26" s="10">
        <f ca="1">'Airfoil 1'!$B$48+'Airfoil 1'!$B$49*L26+'Airfoil 1'!$B$50*L26^2+'Airfoil 1'!$B$51*L26^3+'Airfoil 1'!$B$52*L26^4+'Airfoil 1'!$B$53*L26^5+'Airfoil 1'!$B$54*L26^6</f>
        <v>-0.155</v>
      </c>
      <c r="X26" s="42">
        <f ca="1">'Airfoil 1'!$B$56+'Airfoil 1'!$B$57*L26+'Airfoil 1'!$B$58*L26^2+'Airfoil 1'!$B$59*L26^3+'Airfoil 1'!$B$60*L26^4+'Airfoil 1'!$B$61*L26^5+'Airfoil 1'!$B$62*L26^6</f>
        <v>-0.155</v>
      </c>
      <c r="Y26" s="42">
        <f ca="1">'Airfoil 1'!$B$64+'Airfoil 1'!$B$65*L26+'Airfoil 1'!$B$66*L26^2+'Airfoil 1'!$B$67*L26^3+'Airfoil 1'!$B$681*L26^4+'Airfoil 1'!$B$69*L26^5+'Airfoil 1'!$B$70*L26^6</f>
        <v>-0.155</v>
      </c>
      <c r="Z26" s="16">
        <f>LOG('Airfoil 1'!$F$10)+LOG('Airfoil 1'!$G$10)+LOG('Airfoil 1'!$H$10)</f>
        <v>15.176091259055681</v>
      </c>
      <c r="AA26" s="16">
        <f t="shared" ca="1" si="4"/>
        <v>-2.4290049054891254</v>
      </c>
      <c r="AB26" s="16">
        <f>LOG('Airfoil 1'!$F$10)^2+LOG('Airfoil 1'!$G$10)^2+LOG('Airfoil 1'!$H$10)^2</f>
        <v>76.867141336751558</v>
      </c>
      <c r="AC26" s="16">
        <f ca="1">LOG('Airfoil 1'!$F$10)*LOG(ABS(W26))+LOG('Airfoil 1'!$G$10)*LOG(ABS(X26))+LOG('Airfoil 1'!$H$10)*LOG(ABS(Y26))</f>
        <v>-12.287600038132297</v>
      </c>
      <c r="AD26" s="16">
        <f t="shared" ca="1" si="5"/>
        <v>0.1550000000000121</v>
      </c>
      <c r="AE26" s="16">
        <f t="shared" ca="1" si="6"/>
        <v>-6.6718325633022456E-15</v>
      </c>
      <c r="AF26" s="42">
        <f t="shared" ca="1" si="7"/>
        <v>-0.15499999999999906</v>
      </c>
      <c r="AG26" s="16"/>
      <c r="AH26" s="42"/>
      <c r="AI26" s="16">
        <f ca="1">(L26-'Airfoil 1'!$Z$22)/ABS(L26-'Airfoil 1'!$Z$22)</f>
        <v>1</v>
      </c>
      <c r="AJ26" s="16">
        <f ca="1">(L26-'Airfoil 1'!$Z$23)/ABS(L26-'Airfoil 1'!$Z$23)</f>
        <v>1</v>
      </c>
      <c r="AK26" s="16">
        <f ca="1">(L26-'Airfoil 1'!$Z$24)/ABS(L26-'Airfoil 1'!$Z$24)</f>
        <v>1</v>
      </c>
      <c r="AL26" s="16">
        <f ca="1">(L26-'Airfoil 1'!$Z$25)/ABS(L26-'Airfoil 1'!$Z$25)</f>
        <v>1</v>
      </c>
      <c r="AM26" s="16">
        <f ca="1">(L26-'Airfoil 1'!$Z$26)/ABS(L26-'Airfoil 1'!$Z$26)</f>
        <v>1</v>
      </c>
      <c r="AN26" s="16">
        <f ca="1">(L26-'Airfoil 1'!$Z$27)/ABS(L26-'Airfoil 1'!$Z$27)</f>
        <v>1</v>
      </c>
      <c r="AO26" s="16">
        <f ca="1">(L26-'Airfoil 1'!$Z$28)/ABS(L26-'Airfoil 1'!$Z$28)</f>
        <v>1</v>
      </c>
      <c r="AP26" s="16">
        <f ca="1">(L26-'Airfoil 1'!$Z$29)/ABS(L26-'Airfoil 1'!$Z$29)</f>
        <v>-1</v>
      </c>
      <c r="AQ26" s="16">
        <f ca="1">(L26-'Airfoil 1'!$Z$30)/ABS(L26-'Airfoil 1'!$Z$30)</f>
        <v>-1</v>
      </c>
      <c r="AR26" s="16">
        <f ca="1">(L26-'Airfoil 1'!$Z$31)/ABS(L26-'Airfoil 1'!$Z$31)</f>
        <v>-1</v>
      </c>
      <c r="AS26" s="16">
        <f ca="1">(L26-'Airfoil 1'!$Z$32)/ABS(L26-'Airfoil 1'!$Z$32)</f>
        <v>-1</v>
      </c>
      <c r="AT26" s="16">
        <f ca="1">(L26-'Airfoil 1'!$Z$33)/ABS(L26-'Airfoil 1'!$Z$33)</f>
        <v>-1</v>
      </c>
      <c r="AU26" s="16">
        <f ca="1">(L26-'Airfoil 1'!$Z$34)/ABS(L26-'Airfoil 1'!$Z$34)</f>
        <v>-1</v>
      </c>
      <c r="AV26" s="16">
        <f ca="1">(L26-'Airfoil 1'!$Z$35)/ABS(L26-'Airfoil 1'!$Z$35)</f>
        <v>-1</v>
      </c>
      <c r="AW26" s="16">
        <f ca="1">(L26-'Airfoil 1'!$Z$36)/ABS(L26-'Airfoil 1'!$Z$36)</f>
        <v>-1</v>
      </c>
      <c r="AX26" s="16">
        <f ca="1">(L26-'Airfoil 1'!$Z$37)/ABS(L26-'Airfoil 1'!$Z$37)</f>
        <v>-1</v>
      </c>
      <c r="AY26" s="16">
        <f ca="1">(L26-'Airfoil 1'!$Z$38)/ABS(L26-'Airfoil 1'!$Z$38)</f>
        <v>-1</v>
      </c>
      <c r="AZ26" s="16">
        <f ca="1">(L26-'Airfoil 1'!$Z$39)/ABS(L26-'Airfoil 1'!$Z$39)</f>
        <v>-1</v>
      </c>
      <c r="BA26" s="16">
        <f ca="1">(L26-'Airfoil 1'!$Z$40)/ABS(L26-'Airfoil 1'!$Z$40)</f>
        <v>-1</v>
      </c>
      <c r="BB26" s="16">
        <f ca="1">(L26-'Airfoil 1'!$Z$41)/ABS(L26-'Airfoil 1'!$Z$41)</f>
        <v>-1</v>
      </c>
      <c r="BC26" s="5">
        <f t="shared" ca="1" si="8"/>
        <v>7</v>
      </c>
      <c r="BD26" s="42">
        <f ca="1">INDEX('Airfoil 1'!$AA$22:$AA$41,BC26,1)+INDEX('Airfoil 1'!$AB$22:$AB$41,BC26,1)*(L26-INDEX('Airfoil 1'!$Z$22:$Z$41,BC26,1))</f>
        <v>2.4574836103537331E-2</v>
      </c>
      <c r="BE26" s="6"/>
      <c r="BF26" s="16">
        <f ca="1">(L26-'Airfoil 1'!$Z$47)/ABS(L26-'Airfoil 1'!$Z$47)</f>
        <v>1</v>
      </c>
      <c r="BG26" s="16">
        <f ca="1">(L26-'Airfoil 1'!$Z$48)/ABS(L26-'Airfoil 1'!$Z$48)</f>
        <v>1</v>
      </c>
      <c r="BH26" s="16">
        <f ca="1">(L26-'Airfoil 1'!$Z$49)/ABS(L26-'Airfoil 1'!$Z$49)</f>
        <v>1</v>
      </c>
      <c r="BI26" s="16">
        <f ca="1">(L26-'Airfoil 1'!$Z$50)/ABS(L26-'Airfoil 1'!$Z$50)</f>
        <v>1</v>
      </c>
      <c r="BJ26" s="16">
        <f ca="1">(L26-'Airfoil 1'!$Z$51)/ABS(L26-'Airfoil 1'!$Z$51)</f>
        <v>1</v>
      </c>
      <c r="BK26" s="16">
        <f ca="1">(L26-'Airfoil 1'!$Z$52)/ABS(L26-'Airfoil 1'!$Z$52)</f>
        <v>-1</v>
      </c>
      <c r="BL26" s="16">
        <f ca="1">(L26-'Airfoil 1'!$Z$53)/ABS(L26-'Airfoil 1'!$Z$53)</f>
        <v>-1</v>
      </c>
      <c r="BM26" s="16">
        <f ca="1">(L26-'Airfoil 1'!$Z$54)/ABS(L26-'Airfoil 1'!$Z$54)</f>
        <v>-1</v>
      </c>
      <c r="BN26" s="16">
        <f ca="1">(L26-'Airfoil 1'!$Z$55)/ABS(L26-'Airfoil 1'!$Z$55)</f>
        <v>-1</v>
      </c>
      <c r="BO26" s="16">
        <f ca="1">(L26-'Airfoil 1'!$Z$56)/ABS(L26-'Airfoil 1'!$Z$56)</f>
        <v>-1</v>
      </c>
      <c r="BP26" s="16">
        <f ca="1">(L26-'Airfoil 1'!$Z$57)/ABS(L26-'Airfoil 1'!$Z$57)</f>
        <v>-1</v>
      </c>
      <c r="BQ26" s="16">
        <f ca="1">(L26-'Airfoil 1'!$Z$58)/ABS(L26-'Airfoil 1'!$Z$58)</f>
        <v>-1</v>
      </c>
      <c r="BR26" s="16">
        <f ca="1">(L26-'Airfoil 1'!$Z$59)/ABS(L26-'Airfoil 1'!$Z$59)</f>
        <v>-1</v>
      </c>
      <c r="BS26" s="16">
        <f ca="1">(L26-'Airfoil 1'!$Z$60)/ABS(L26-'Airfoil 1'!$Z$60)</f>
        <v>-1</v>
      </c>
      <c r="BT26" s="16">
        <f ca="1">(L26-'Airfoil 1'!$Z$61)/ABS(L26-'Airfoil 1'!$Z$61)</f>
        <v>-1</v>
      </c>
      <c r="BU26" s="16">
        <f ca="1">(L26-'Airfoil 1'!$Z$62)/ABS(L26-'Airfoil 1'!$Z$62)</f>
        <v>-1</v>
      </c>
      <c r="BV26" s="16">
        <f ca="1">(L26-'Airfoil 1'!$Z$63)/ABS(L26-'Airfoil 1'!$Z$63)</f>
        <v>-1</v>
      </c>
      <c r="BW26" s="16">
        <f ca="1">(L26-'Airfoil 1'!$Z$64)/ABS(L26-'Airfoil 1'!$Z$64)</f>
        <v>-1</v>
      </c>
      <c r="BX26" s="16">
        <f ca="1">(L26-'Airfoil 1'!$Z$65)/ABS(L26-'Airfoil 1'!$Z$65)</f>
        <v>-1</v>
      </c>
      <c r="BY26" s="16">
        <f ca="1">(L26-'Airfoil 1'!$Z$66)/ABS(L26-'Airfoil 1'!$Z$66)</f>
        <v>-1</v>
      </c>
      <c r="BZ26" s="5">
        <f t="shared" ca="1" si="9"/>
        <v>5</v>
      </c>
      <c r="CA26" s="42">
        <f ca="1">INDEX('Airfoil 1'!$AA$47:$AA$66,BZ26,1)+INDEX('Airfoil 1'!$AB$47:$AB$66,BZ26,1)*(L26-INDEX('Airfoil 1'!$Z$47:$Z$66,BZ26,1))</f>
        <v>1.7098145048221693E-2</v>
      </c>
      <c r="CC26" s="16">
        <f ca="1">(L26-'Airfoil 1'!$Z$72)/ABS(L26-'Airfoil 1'!$Z$72)</f>
        <v>1</v>
      </c>
      <c r="CD26" s="16">
        <f ca="1">(L26-'Airfoil 1'!$Z$73)/ABS(L26-'Airfoil 1'!$Z$73)</f>
        <v>1</v>
      </c>
      <c r="CE26" s="16">
        <f ca="1">(L26-'Airfoil 1'!$Z$74)/ABS(L26-'Airfoil 1'!$Z$74)</f>
        <v>1</v>
      </c>
      <c r="CF26" s="16">
        <f ca="1">(L26-'Airfoil 1'!$Z$75)/ABS(L26-'Airfoil 1'!$Z$75)</f>
        <v>1</v>
      </c>
      <c r="CG26" s="16">
        <f ca="1">(L26-'Airfoil 1'!$Z$76)/ABS(L26-'Airfoil 1'!$Z$76)</f>
        <v>-1</v>
      </c>
      <c r="CH26" s="16">
        <f ca="1">(L26-'Airfoil 1'!$Z$77)/ABS(L26-'Airfoil 1'!$Z$77)</f>
        <v>-1</v>
      </c>
      <c r="CI26" s="16">
        <f ca="1">(L26-'Airfoil 1'!$Z$78)/ABS(L26-'Airfoil 1'!$Z$78)</f>
        <v>-1</v>
      </c>
      <c r="CJ26" s="16">
        <f ca="1">(L26-'Airfoil 1'!$Z$79)/ABS(L26-'Airfoil 1'!$Z$79)</f>
        <v>-1</v>
      </c>
      <c r="CK26" s="16">
        <f ca="1">(L26-'Airfoil 1'!$Z$80)/ABS(L26-'Airfoil 1'!$Z$80)</f>
        <v>-1</v>
      </c>
      <c r="CL26" s="16">
        <f ca="1">(L26-'Airfoil 1'!$Z$81)/ABS(L26-'Airfoil 1'!$Z$81)</f>
        <v>-1</v>
      </c>
      <c r="CM26" s="16">
        <f ca="1">(L26-'Airfoil 1'!$Z$82)/ABS(L26-'Airfoil 1'!$Z$82)</f>
        <v>-1</v>
      </c>
      <c r="CN26" s="16">
        <f ca="1">(L26-'Airfoil 1'!$Z$83)/ABS(L26-'Airfoil 1'!$Z$83)</f>
        <v>-1</v>
      </c>
      <c r="CO26" s="16">
        <f ca="1">(L26-'Airfoil 1'!$Z$84)/ABS(L26-'Airfoil 1'!$Z$84)</f>
        <v>-1</v>
      </c>
      <c r="CP26" s="16">
        <f ca="1">(L26-'Airfoil 1'!$Z$85)/ABS(L26-'Airfoil 1'!$Z$85)</f>
        <v>-1</v>
      </c>
      <c r="CQ26" s="16">
        <f ca="1">(L26-'Airfoil 1'!$Z$86)/ABS(L26-'Airfoil 1'!$Z$86)</f>
        <v>-1</v>
      </c>
      <c r="CR26" s="16">
        <f ca="1">(L26-'Airfoil 1'!$Z$87)/ABS(L26-'Airfoil 1'!$Z$87)</f>
        <v>-1</v>
      </c>
      <c r="CS26" s="16">
        <f ca="1">(L26-'Airfoil 1'!$Z$88)/ABS(L26-'Airfoil 1'!$Z$88)</f>
        <v>-1</v>
      </c>
      <c r="CT26" s="16">
        <f ca="1">(L26-'Airfoil 1'!$Z$89)/ABS(L26-'Airfoil 1'!$Z$89)</f>
        <v>-1</v>
      </c>
      <c r="CU26" s="16">
        <f ca="1">(L26-'Airfoil 1'!$Z$90)/ABS(L26-'Airfoil 1'!$Z$90)</f>
        <v>-1</v>
      </c>
      <c r="CV26" s="16">
        <f ca="1">(L26-'Airfoil 1'!$Z$91)/ABS(L26-'Airfoil 1'!$Z$91)</f>
        <v>-1</v>
      </c>
      <c r="CW26" s="5">
        <f t="shared" ca="1" si="10"/>
        <v>4</v>
      </c>
      <c r="CX26" s="42">
        <f ca="1">INDEX('Airfoil 1'!$AA$72:$AA$91,CW26,1)+INDEX('Airfoil 1'!$AB$72:$AB$91,CW26,1)*(L26-INDEX('Airfoil 1'!$Z$72:$Z$91,CW26,1))</f>
        <v>1.0797458711460576E-2</v>
      </c>
    </row>
    <row r="27" spans="2:102">
      <c r="B27" s="31">
        <f>Main!B27</f>
        <v>0.33333333333333326</v>
      </c>
      <c r="D27" s="1">
        <f>Takeoff!F27</f>
        <v>1.2249994633486807</v>
      </c>
      <c r="E27" s="4">
        <f>ISA!$O$10</f>
        <v>1.783E-5</v>
      </c>
      <c r="G27" s="13">
        <f ca="1">Takeoff!T27</f>
        <v>12.863499584985497</v>
      </c>
      <c r="H27" s="5">
        <f t="shared" ca="1" si="0"/>
        <v>294593.00969140412</v>
      </c>
      <c r="I27" s="16">
        <f ca="1">'Airfoil 2'!$K$14*H27^'Airfoil 2'!$L$13</f>
        <v>1.5791032846034758</v>
      </c>
      <c r="J27" s="1">
        <f ca="1">'Airfoil 2'!$K$33*H27^'Airfoil 2'!$L$32</f>
        <v>5.3338836963354526</v>
      </c>
      <c r="K27" s="13">
        <f ca="1">'Airfoil 2'!$K$52*H27^'Airfoil 2'!$L$51</f>
        <v>-8.1691577871114678</v>
      </c>
      <c r="L27" s="16">
        <f ca="1">'Aerodynamics-Takeoff'!W27</f>
        <v>0.8612086793689826</v>
      </c>
      <c r="M27" s="10">
        <f ca="1">('Airfoil 1'!$B$21+'Airfoil 1'!$B$22*L27+'Airfoil 1'!$B$23*L27^2+'Airfoil 1'!$B$24*L27^3+'Airfoil 1'!$B$25*L27^4+'Airfoil 1'!$B$26*L27^5+'Airfoil 1'!$B$27*L27^6)*0+BD27</f>
        <v>2.4574258366345362E-2</v>
      </c>
      <c r="N27" s="42">
        <f ca="1">('Airfoil 1'!$B$29+'Airfoil 1'!$B$30*L27+'Airfoil 1'!$B$31*L27^2+'Airfoil 1'!$B$32*L27^3+'Airfoil 1'!$B$33*L27^4+'Airfoil 1'!$B$34*L27^5+'Airfoil 1'!$B$35*L27^6)*0+CA27</f>
        <v>1.7098017218631394E-2</v>
      </c>
      <c r="O27" s="42">
        <f ca="1">('Airfoil 1'!$B$37+'Airfoil 1'!$B$38*L27+'Airfoil 1'!$B$39*L27^2+'Airfoil 1'!$B$40*L27^3+'Airfoil 1'!$B$41*L27^4+'Airfoil 1'!$B$42*L27^5+'Airfoil 1'!$B$43*L27^6)*0+CX27</f>
        <v>1.0799572293287185E-2</v>
      </c>
      <c r="P27" s="16">
        <f>LOG('Airfoil 1'!$F$10)+LOG('Airfoil 1'!$G$10)+LOG('Airfoil 1'!$H$10)</f>
        <v>15.176091259055681</v>
      </c>
      <c r="Q27" s="16">
        <f t="shared" ca="1" si="1"/>
        <v>-5.3431672738826332</v>
      </c>
      <c r="R27" s="16">
        <f>LOG('Airfoil 1'!$F$10)^2+LOG('Airfoil 1'!$G$10)^2+LOG('Airfoil 1'!$H$10)^2</f>
        <v>76.867141336751558</v>
      </c>
      <c r="S27" s="16">
        <f ca="1">LOG('Airfoil 1'!$F$10)*LOG(M27)+LOG('Airfoil 1'!$G$10)*LOG(N27)+LOG('Airfoil 1'!$H$10)*LOG(O27)</f>
        <v>-27.106748642458946</v>
      </c>
      <c r="T27" s="16">
        <f t="shared" ca="1" si="2"/>
        <v>197.67825012296228</v>
      </c>
      <c r="U27" s="16">
        <f t="shared" ca="1" si="3"/>
        <v>-0.8059416439329129</v>
      </c>
      <c r="V27" s="42">
        <f ca="1">IF(Energy!$F$11=1,Energy!$T$13,1)*T27*H27^U27</f>
        <v>8.5204663160207469E-3</v>
      </c>
      <c r="W27" s="10">
        <f ca="1">'Airfoil 1'!$B$48+'Airfoil 1'!$B$49*L27+'Airfoil 1'!$B$50*L27^2+'Airfoil 1'!$B$51*L27^3+'Airfoil 1'!$B$52*L27^4+'Airfoil 1'!$B$53*L27^5+'Airfoil 1'!$B$54*L27^6</f>
        <v>-0.155</v>
      </c>
      <c r="X27" s="42">
        <f ca="1">'Airfoil 1'!$B$56+'Airfoil 1'!$B$57*L27+'Airfoil 1'!$B$58*L27^2+'Airfoil 1'!$B$59*L27^3+'Airfoil 1'!$B$60*L27^4+'Airfoil 1'!$B$61*L27^5+'Airfoil 1'!$B$62*L27^6</f>
        <v>-0.155</v>
      </c>
      <c r="Y27" s="42">
        <f ca="1">'Airfoil 1'!$B$64+'Airfoil 1'!$B$65*L27+'Airfoil 1'!$B$66*L27^2+'Airfoil 1'!$B$67*L27^3+'Airfoil 1'!$B$681*L27^4+'Airfoil 1'!$B$69*L27^5+'Airfoil 1'!$B$70*L27^6</f>
        <v>-0.155</v>
      </c>
      <c r="Z27" s="16">
        <f>LOG('Airfoil 1'!$F$10)+LOG('Airfoil 1'!$G$10)+LOG('Airfoil 1'!$H$10)</f>
        <v>15.176091259055681</v>
      </c>
      <c r="AA27" s="16">
        <f t="shared" ca="1" si="4"/>
        <v>-2.4290049054891254</v>
      </c>
      <c r="AB27" s="16">
        <f>LOG('Airfoil 1'!$F$10)^2+LOG('Airfoil 1'!$G$10)^2+LOG('Airfoil 1'!$H$10)^2</f>
        <v>76.867141336751558</v>
      </c>
      <c r="AC27" s="16">
        <f ca="1">LOG('Airfoil 1'!$F$10)*LOG(ABS(W27))+LOG('Airfoil 1'!$G$10)*LOG(ABS(X27))+LOG('Airfoil 1'!$H$10)*LOG(ABS(Y27))</f>
        <v>-12.287600038132297</v>
      </c>
      <c r="AD27" s="16">
        <f t="shared" ca="1" si="5"/>
        <v>0.1550000000000121</v>
      </c>
      <c r="AE27" s="16">
        <f t="shared" ca="1" si="6"/>
        <v>-6.6718325633022456E-15</v>
      </c>
      <c r="AF27" s="42">
        <f t="shared" ca="1" si="7"/>
        <v>-0.15499999999999908</v>
      </c>
      <c r="AG27" s="16"/>
      <c r="AH27" s="42"/>
      <c r="AI27" s="16">
        <f ca="1">(L27-'Airfoil 1'!$Z$22)/ABS(L27-'Airfoil 1'!$Z$22)</f>
        <v>1</v>
      </c>
      <c r="AJ27" s="16">
        <f ca="1">(L27-'Airfoil 1'!$Z$23)/ABS(L27-'Airfoil 1'!$Z$23)</f>
        <v>1</v>
      </c>
      <c r="AK27" s="16">
        <f ca="1">(L27-'Airfoil 1'!$Z$24)/ABS(L27-'Airfoil 1'!$Z$24)</f>
        <v>1</v>
      </c>
      <c r="AL27" s="16">
        <f ca="1">(L27-'Airfoil 1'!$Z$25)/ABS(L27-'Airfoil 1'!$Z$25)</f>
        <v>1</v>
      </c>
      <c r="AM27" s="16">
        <f ca="1">(L27-'Airfoil 1'!$Z$26)/ABS(L27-'Airfoil 1'!$Z$26)</f>
        <v>1</v>
      </c>
      <c r="AN27" s="16">
        <f ca="1">(L27-'Airfoil 1'!$Z$27)/ABS(L27-'Airfoil 1'!$Z$27)</f>
        <v>1</v>
      </c>
      <c r="AO27" s="16">
        <f ca="1">(L27-'Airfoil 1'!$Z$28)/ABS(L27-'Airfoil 1'!$Z$28)</f>
        <v>1</v>
      </c>
      <c r="AP27" s="16">
        <f ca="1">(L27-'Airfoil 1'!$Z$29)/ABS(L27-'Airfoil 1'!$Z$29)</f>
        <v>-1</v>
      </c>
      <c r="AQ27" s="16">
        <f ca="1">(L27-'Airfoil 1'!$Z$30)/ABS(L27-'Airfoil 1'!$Z$30)</f>
        <v>-1</v>
      </c>
      <c r="AR27" s="16">
        <f ca="1">(L27-'Airfoil 1'!$Z$31)/ABS(L27-'Airfoil 1'!$Z$31)</f>
        <v>-1</v>
      </c>
      <c r="AS27" s="16">
        <f ca="1">(L27-'Airfoil 1'!$Z$32)/ABS(L27-'Airfoil 1'!$Z$32)</f>
        <v>-1</v>
      </c>
      <c r="AT27" s="16">
        <f ca="1">(L27-'Airfoil 1'!$Z$33)/ABS(L27-'Airfoil 1'!$Z$33)</f>
        <v>-1</v>
      </c>
      <c r="AU27" s="16">
        <f ca="1">(L27-'Airfoil 1'!$Z$34)/ABS(L27-'Airfoil 1'!$Z$34)</f>
        <v>-1</v>
      </c>
      <c r="AV27" s="16">
        <f ca="1">(L27-'Airfoil 1'!$Z$35)/ABS(L27-'Airfoil 1'!$Z$35)</f>
        <v>-1</v>
      </c>
      <c r="AW27" s="16">
        <f ca="1">(L27-'Airfoil 1'!$Z$36)/ABS(L27-'Airfoil 1'!$Z$36)</f>
        <v>-1</v>
      </c>
      <c r="AX27" s="16">
        <f ca="1">(L27-'Airfoil 1'!$Z$37)/ABS(L27-'Airfoil 1'!$Z$37)</f>
        <v>-1</v>
      </c>
      <c r="AY27" s="16">
        <f ca="1">(L27-'Airfoil 1'!$Z$38)/ABS(L27-'Airfoil 1'!$Z$38)</f>
        <v>-1</v>
      </c>
      <c r="AZ27" s="16">
        <f ca="1">(L27-'Airfoil 1'!$Z$39)/ABS(L27-'Airfoil 1'!$Z$39)</f>
        <v>-1</v>
      </c>
      <c r="BA27" s="16">
        <f ca="1">(L27-'Airfoil 1'!$Z$40)/ABS(L27-'Airfoil 1'!$Z$40)</f>
        <v>-1</v>
      </c>
      <c r="BB27" s="16">
        <f ca="1">(L27-'Airfoil 1'!$Z$41)/ABS(L27-'Airfoil 1'!$Z$41)</f>
        <v>-1</v>
      </c>
      <c r="BC27" s="5">
        <f t="shared" ca="1" si="8"/>
        <v>7</v>
      </c>
      <c r="BD27" s="42">
        <f ca="1">INDEX('Airfoil 1'!$AA$22:$AA$41,BC27,1)+INDEX('Airfoil 1'!$AB$22:$AB$41,BC27,1)*(L27-INDEX('Airfoil 1'!$Z$22:$Z$41,BC27,1))</f>
        <v>2.4574258366345296E-2</v>
      </c>
      <c r="BE27" s="6"/>
      <c r="BF27" s="16">
        <f ca="1">(L27-'Airfoil 1'!$Z$47)/ABS(L27-'Airfoil 1'!$Z$47)</f>
        <v>1</v>
      </c>
      <c r="BG27" s="16">
        <f ca="1">(L27-'Airfoil 1'!$Z$48)/ABS(L27-'Airfoil 1'!$Z$48)</f>
        <v>1</v>
      </c>
      <c r="BH27" s="16">
        <f ca="1">(L27-'Airfoil 1'!$Z$49)/ABS(L27-'Airfoil 1'!$Z$49)</f>
        <v>1</v>
      </c>
      <c r="BI27" s="16">
        <f ca="1">(L27-'Airfoil 1'!$Z$50)/ABS(L27-'Airfoil 1'!$Z$50)</f>
        <v>1</v>
      </c>
      <c r="BJ27" s="16">
        <f ca="1">(L27-'Airfoil 1'!$Z$51)/ABS(L27-'Airfoil 1'!$Z$51)</f>
        <v>1</v>
      </c>
      <c r="BK27" s="16">
        <f ca="1">(L27-'Airfoil 1'!$Z$52)/ABS(L27-'Airfoil 1'!$Z$52)</f>
        <v>-1</v>
      </c>
      <c r="BL27" s="16">
        <f ca="1">(L27-'Airfoil 1'!$Z$53)/ABS(L27-'Airfoil 1'!$Z$53)</f>
        <v>-1</v>
      </c>
      <c r="BM27" s="16">
        <f ca="1">(L27-'Airfoil 1'!$Z$54)/ABS(L27-'Airfoil 1'!$Z$54)</f>
        <v>-1</v>
      </c>
      <c r="BN27" s="16">
        <f ca="1">(L27-'Airfoil 1'!$Z$55)/ABS(L27-'Airfoil 1'!$Z$55)</f>
        <v>-1</v>
      </c>
      <c r="BO27" s="16">
        <f ca="1">(L27-'Airfoil 1'!$Z$56)/ABS(L27-'Airfoil 1'!$Z$56)</f>
        <v>-1</v>
      </c>
      <c r="BP27" s="16">
        <f ca="1">(L27-'Airfoil 1'!$Z$57)/ABS(L27-'Airfoil 1'!$Z$57)</f>
        <v>-1</v>
      </c>
      <c r="BQ27" s="16">
        <f ca="1">(L27-'Airfoil 1'!$Z$58)/ABS(L27-'Airfoil 1'!$Z$58)</f>
        <v>-1</v>
      </c>
      <c r="BR27" s="16">
        <f ca="1">(L27-'Airfoil 1'!$Z$59)/ABS(L27-'Airfoil 1'!$Z$59)</f>
        <v>-1</v>
      </c>
      <c r="BS27" s="16">
        <f ca="1">(L27-'Airfoil 1'!$Z$60)/ABS(L27-'Airfoil 1'!$Z$60)</f>
        <v>-1</v>
      </c>
      <c r="BT27" s="16">
        <f ca="1">(L27-'Airfoil 1'!$Z$61)/ABS(L27-'Airfoil 1'!$Z$61)</f>
        <v>-1</v>
      </c>
      <c r="BU27" s="16">
        <f ca="1">(L27-'Airfoil 1'!$Z$62)/ABS(L27-'Airfoil 1'!$Z$62)</f>
        <v>-1</v>
      </c>
      <c r="BV27" s="16">
        <f ca="1">(L27-'Airfoil 1'!$Z$63)/ABS(L27-'Airfoil 1'!$Z$63)</f>
        <v>-1</v>
      </c>
      <c r="BW27" s="16">
        <f ca="1">(L27-'Airfoil 1'!$Z$64)/ABS(L27-'Airfoil 1'!$Z$64)</f>
        <v>-1</v>
      </c>
      <c r="BX27" s="16">
        <f ca="1">(L27-'Airfoil 1'!$Z$65)/ABS(L27-'Airfoil 1'!$Z$65)</f>
        <v>-1</v>
      </c>
      <c r="BY27" s="16">
        <f ca="1">(L27-'Airfoil 1'!$Z$66)/ABS(L27-'Airfoil 1'!$Z$66)</f>
        <v>-1</v>
      </c>
      <c r="BZ27" s="5">
        <f t="shared" ca="1" si="9"/>
        <v>5</v>
      </c>
      <c r="CA27" s="42">
        <f ca="1">INDEX('Airfoil 1'!$AA$47:$AA$66,BZ27,1)+INDEX('Airfoil 1'!$AB$47:$AB$66,BZ27,1)*(L27-INDEX('Airfoil 1'!$Z$47:$Z$66,BZ27,1))</f>
        <v>1.7098017218631377E-2</v>
      </c>
      <c r="CC27" s="16">
        <f ca="1">(L27-'Airfoil 1'!$Z$72)/ABS(L27-'Airfoil 1'!$Z$72)</f>
        <v>1</v>
      </c>
      <c r="CD27" s="16">
        <f ca="1">(L27-'Airfoil 1'!$Z$73)/ABS(L27-'Airfoil 1'!$Z$73)</f>
        <v>1</v>
      </c>
      <c r="CE27" s="16">
        <f ca="1">(L27-'Airfoil 1'!$Z$74)/ABS(L27-'Airfoil 1'!$Z$74)</f>
        <v>1</v>
      </c>
      <c r="CF27" s="16">
        <f ca="1">(L27-'Airfoil 1'!$Z$75)/ABS(L27-'Airfoil 1'!$Z$75)</f>
        <v>1</v>
      </c>
      <c r="CG27" s="16">
        <f ca="1">(L27-'Airfoil 1'!$Z$76)/ABS(L27-'Airfoil 1'!$Z$76)</f>
        <v>-1</v>
      </c>
      <c r="CH27" s="16">
        <f ca="1">(L27-'Airfoil 1'!$Z$77)/ABS(L27-'Airfoil 1'!$Z$77)</f>
        <v>-1</v>
      </c>
      <c r="CI27" s="16">
        <f ca="1">(L27-'Airfoil 1'!$Z$78)/ABS(L27-'Airfoil 1'!$Z$78)</f>
        <v>-1</v>
      </c>
      <c r="CJ27" s="16">
        <f ca="1">(L27-'Airfoil 1'!$Z$79)/ABS(L27-'Airfoil 1'!$Z$79)</f>
        <v>-1</v>
      </c>
      <c r="CK27" s="16">
        <f ca="1">(L27-'Airfoil 1'!$Z$80)/ABS(L27-'Airfoil 1'!$Z$80)</f>
        <v>-1</v>
      </c>
      <c r="CL27" s="16">
        <f ca="1">(L27-'Airfoil 1'!$Z$81)/ABS(L27-'Airfoil 1'!$Z$81)</f>
        <v>-1</v>
      </c>
      <c r="CM27" s="16">
        <f ca="1">(L27-'Airfoil 1'!$Z$82)/ABS(L27-'Airfoil 1'!$Z$82)</f>
        <v>-1</v>
      </c>
      <c r="CN27" s="16">
        <f ca="1">(L27-'Airfoil 1'!$Z$83)/ABS(L27-'Airfoil 1'!$Z$83)</f>
        <v>-1</v>
      </c>
      <c r="CO27" s="16">
        <f ca="1">(L27-'Airfoil 1'!$Z$84)/ABS(L27-'Airfoil 1'!$Z$84)</f>
        <v>-1</v>
      </c>
      <c r="CP27" s="16">
        <f ca="1">(L27-'Airfoil 1'!$Z$85)/ABS(L27-'Airfoil 1'!$Z$85)</f>
        <v>-1</v>
      </c>
      <c r="CQ27" s="16">
        <f ca="1">(L27-'Airfoil 1'!$Z$86)/ABS(L27-'Airfoil 1'!$Z$86)</f>
        <v>-1</v>
      </c>
      <c r="CR27" s="16">
        <f ca="1">(L27-'Airfoil 1'!$Z$87)/ABS(L27-'Airfoil 1'!$Z$87)</f>
        <v>-1</v>
      </c>
      <c r="CS27" s="16">
        <f ca="1">(L27-'Airfoil 1'!$Z$88)/ABS(L27-'Airfoil 1'!$Z$88)</f>
        <v>-1</v>
      </c>
      <c r="CT27" s="16">
        <f ca="1">(L27-'Airfoil 1'!$Z$89)/ABS(L27-'Airfoil 1'!$Z$89)</f>
        <v>-1</v>
      </c>
      <c r="CU27" s="16">
        <f ca="1">(L27-'Airfoil 1'!$Z$90)/ABS(L27-'Airfoil 1'!$Z$90)</f>
        <v>-1</v>
      </c>
      <c r="CV27" s="16">
        <f ca="1">(L27-'Airfoil 1'!$Z$91)/ABS(L27-'Airfoil 1'!$Z$91)</f>
        <v>-1</v>
      </c>
      <c r="CW27" s="5">
        <f t="shared" ca="1" si="10"/>
        <v>4</v>
      </c>
      <c r="CX27" s="42">
        <f ca="1">INDEX('Airfoil 1'!$AA$72:$AA$91,CW27,1)+INDEX('Airfoil 1'!$AB$72:$AB$91,CW27,1)*(L27-INDEX('Airfoil 1'!$Z$72:$Z$91,CW27,1))</f>
        <v>1.0799572293287429E-2</v>
      </c>
    </row>
    <row r="28" spans="2:102">
      <c r="B28" s="31">
        <f>Main!B28</f>
        <v>0.33333333333333326</v>
      </c>
      <c r="D28" s="1">
        <f>Takeoff!F28</f>
        <v>1.2249994633486807</v>
      </c>
      <c r="E28" s="4">
        <f>ISA!$O$10</f>
        <v>1.783E-5</v>
      </c>
      <c r="G28" s="13">
        <f ca="1">Takeoff!T28</f>
        <v>12.658704743682229</v>
      </c>
      <c r="H28" s="5">
        <f t="shared" ca="1" si="0"/>
        <v>289902.90741634183</v>
      </c>
      <c r="I28" s="16">
        <f ca="1">'Airfoil 2'!$K$14*H28^'Airfoil 2'!$L$13</f>
        <v>1.578751027710803</v>
      </c>
      <c r="J28" s="1">
        <f ca="1">'Airfoil 2'!$K$33*H28^'Airfoil 2'!$L$32</f>
        <v>5.3627533319047993</v>
      </c>
      <c r="K28" s="13">
        <f ca="1">'Airfoil 2'!$K$52*H28^'Airfoil 2'!$L$51</f>
        <v>-8.0819504526222996</v>
      </c>
      <c r="L28" s="16">
        <f ca="1">'Aerodynamics-Takeoff'!W28</f>
        <v>0.86155348591922909</v>
      </c>
      <c r="M28" s="10">
        <f ca="1">('Airfoil 1'!$B$21+'Airfoil 1'!$B$22*L28+'Airfoil 1'!$B$23*L28^2+'Airfoil 1'!$B$24*L28^3+'Airfoil 1'!$B$25*L28^4+'Airfoil 1'!$B$26*L28^5+'Airfoil 1'!$B$27*L28^6)*0+BD28</f>
        <v>2.4573503315505629E-2</v>
      </c>
      <c r="N28" s="42">
        <f ca="1">('Airfoil 1'!$B$29+'Airfoil 1'!$B$30*L28+'Airfoil 1'!$B$31*L28^2+'Airfoil 1'!$B$32*L28^3+'Airfoil 1'!$B$33*L28^4+'Airfoil 1'!$B$34*L28^5+'Airfoil 1'!$B$35*L28^6)*0+CA28</f>
        <v>1.7097850156789364E-2</v>
      </c>
      <c r="O28" s="42">
        <f ca="1">('Airfoil 1'!$B$37+'Airfoil 1'!$B$38*L28+'Airfoil 1'!$B$39*L28^2+'Airfoil 1'!$B$40*L28^3+'Airfoil 1'!$B$41*L28^4+'Airfoil 1'!$B$42*L28^5+'Airfoil 1'!$B$43*L28^6)*0+CX28</f>
        <v>1.080233455570548E-2</v>
      </c>
      <c r="P28" s="16">
        <f>LOG('Airfoil 1'!$F$10)+LOG('Airfoil 1'!$G$10)+LOG('Airfoil 1'!$H$10)</f>
        <v>15.176091259055681</v>
      </c>
      <c r="Q28" s="16">
        <f t="shared" ca="1" si="1"/>
        <v>-5.3430737938032182</v>
      </c>
      <c r="R28" s="16">
        <f>LOG('Airfoil 1'!$F$10)^2+LOG('Airfoil 1'!$G$10)^2+LOG('Airfoil 1'!$H$10)^2</f>
        <v>76.867141336751558</v>
      </c>
      <c r="S28" s="16">
        <f ca="1">LOG('Airfoil 1'!$F$10)*LOG(M28)+LOG('Airfoil 1'!$G$10)*LOG(N28)+LOG('Airfoil 1'!$H$10)*LOG(O28)</f>
        <v>-27.106246140215333</v>
      </c>
      <c r="T28" s="16">
        <f t="shared" ca="1" si="2"/>
        <v>196.98254990508914</v>
      </c>
      <c r="U28" s="16">
        <f t="shared" ca="1" si="3"/>
        <v>-0.80563281085681204</v>
      </c>
      <c r="V28" s="42">
        <f ca="1">IF(Energy!$F$11=1,Energy!$T$13,1)*T28*H28^U28</f>
        <v>8.6344854272101864E-3</v>
      </c>
      <c r="W28" s="10">
        <f ca="1">'Airfoil 1'!$B$48+'Airfoil 1'!$B$49*L28+'Airfoil 1'!$B$50*L28^2+'Airfoil 1'!$B$51*L28^3+'Airfoil 1'!$B$52*L28^4+'Airfoil 1'!$B$53*L28^5+'Airfoil 1'!$B$54*L28^6</f>
        <v>-0.155</v>
      </c>
      <c r="X28" s="42">
        <f ca="1">'Airfoil 1'!$B$56+'Airfoil 1'!$B$57*L28+'Airfoil 1'!$B$58*L28^2+'Airfoil 1'!$B$59*L28^3+'Airfoil 1'!$B$60*L28^4+'Airfoil 1'!$B$61*L28^5+'Airfoil 1'!$B$62*L28^6</f>
        <v>-0.155</v>
      </c>
      <c r="Y28" s="42">
        <f ca="1">'Airfoil 1'!$B$64+'Airfoil 1'!$B$65*L28+'Airfoil 1'!$B$66*L28^2+'Airfoil 1'!$B$67*L28^3+'Airfoil 1'!$B$681*L28^4+'Airfoil 1'!$B$69*L28^5+'Airfoil 1'!$B$70*L28^6</f>
        <v>-0.155</v>
      </c>
      <c r="Z28" s="16">
        <f>LOG('Airfoil 1'!$F$10)+LOG('Airfoil 1'!$G$10)+LOG('Airfoil 1'!$H$10)</f>
        <v>15.176091259055681</v>
      </c>
      <c r="AA28" s="16">
        <f t="shared" ca="1" si="4"/>
        <v>-2.4290049054891254</v>
      </c>
      <c r="AB28" s="16">
        <f>LOG('Airfoil 1'!$F$10)^2+LOG('Airfoil 1'!$G$10)^2+LOG('Airfoil 1'!$H$10)^2</f>
        <v>76.867141336751558</v>
      </c>
      <c r="AC28" s="16">
        <f ca="1">LOG('Airfoil 1'!$F$10)*LOG(ABS(W28))+LOG('Airfoil 1'!$G$10)*LOG(ABS(X28))+LOG('Airfoil 1'!$H$10)*LOG(ABS(Y28))</f>
        <v>-12.287600038132297</v>
      </c>
      <c r="AD28" s="16">
        <f t="shared" ca="1" si="5"/>
        <v>0.1550000000000121</v>
      </c>
      <c r="AE28" s="16">
        <f t="shared" ca="1" si="6"/>
        <v>-6.6718325633022456E-15</v>
      </c>
      <c r="AF28" s="42">
        <f t="shared" ca="1" si="7"/>
        <v>-0.15499999999999908</v>
      </c>
      <c r="AG28" s="16"/>
      <c r="AH28" s="42"/>
      <c r="AI28" s="16">
        <f ca="1">(L28-'Airfoil 1'!$Z$22)/ABS(L28-'Airfoil 1'!$Z$22)</f>
        <v>1</v>
      </c>
      <c r="AJ28" s="16">
        <f ca="1">(L28-'Airfoil 1'!$Z$23)/ABS(L28-'Airfoil 1'!$Z$23)</f>
        <v>1</v>
      </c>
      <c r="AK28" s="16">
        <f ca="1">(L28-'Airfoil 1'!$Z$24)/ABS(L28-'Airfoil 1'!$Z$24)</f>
        <v>1</v>
      </c>
      <c r="AL28" s="16">
        <f ca="1">(L28-'Airfoil 1'!$Z$25)/ABS(L28-'Airfoil 1'!$Z$25)</f>
        <v>1</v>
      </c>
      <c r="AM28" s="16">
        <f ca="1">(L28-'Airfoil 1'!$Z$26)/ABS(L28-'Airfoil 1'!$Z$26)</f>
        <v>1</v>
      </c>
      <c r="AN28" s="16">
        <f ca="1">(L28-'Airfoil 1'!$Z$27)/ABS(L28-'Airfoil 1'!$Z$27)</f>
        <v>1</v>
      </c>
      <c r="AO28" s="16">
        <f ca="1">(L28-'Airfoil 1'!$Z$28)/ABS(L28-'Airfoil 1'!$Z$28)</f>
        <v>1</v>
      </c>
      <c r="AP28" s="16">
        <f ca="1">(L28-'Airfoil 1'!$Z$29)/ABS(L28-'Airfoil 1'!$Z$29)</f>
        <v>-1</v>
      </c>
      <c r="AQ28" s="16">
        <f ca="1">(L28-'Airfoil 1'!$Z$30)/ABS(L28-'Airfoil 1'!$Z$30)</f>
        <v>-1</v>
      </c>
      <c r="AR28" s="16">
        <f ca="1">(L28-'Airfoil 1'!$Z$31)/ABS(L28-'Airfoil 1'!$Z$31)</f>
        <v>-1</v>
      </c>
      <c r="AS28" s="16">
        <f ca="1">(L28-'Airfoil 1'!$Z$32)/ABS(L28-'Airfoil 1'!$Z$32)</f>
        <v>-1</v>
      </c>
      <c r="AT28" s="16">
        <f ca="1">(L28-'Airfoil 1'!$Z$33)/ABS(L28-'Airfoil 1'!$Z$33)</f>
        <v>-1</v>
      </c>
      <c r="AU28" s="16">
        <f ca="1">(L28-'Airfoil 1'!$Z$34)/ABS(L28-'Airfoil 1'!$Z$34)</f>
        <v>-1</v>
      </c>
      <c r="AV28" s="16">
        <f ca="1">(L28-'Airfoil 1'!$Z$35)/ABS(L28-'Airfoil 1'!$Z$35)</f>
        <v>-1</v>
      </c>
      <c r="AW28" s="16">
        <f ca="1">(L28-'Airfoil 1'!$Z$36)/ABS(L28-'Airfoil 1'!$Z$36)</f>
        <v>-1</v>
      </c>
      <c r="AX28" s="16">
        <f ca="1">(L28-'Airfoil 1'!$Z$37)/ABS(L28-'Airfoil 1'!$Z$37)</f>
        <v>-1</v>
      </c>
      <c r="AY28" s="16">
        <f ca="1">(L28-'Airfoil 1'!$Z$38)/ABS(L28-'Airfoil 1'!$Z$38)</f>
        <v>-1</v>
      </c>
      <c r="AZ28" s="16">
        <f ca="1">(L28-'Airfoil 1'!$Z$39)/ABS(L28-'Airfoil 1'!$Z$39)</f>
        <v>-1</v>
      </c>
      <c r="BA28" s="16">
        <f ca="1">(L28-'Airfoil 1'!$Z$40)/ABS(L28-'Airfoil 1'!$Z$40)</f>
        <v>-1</v>
      </c>
      <c r="BB28" s="16">
        <f ca="1">(L28-'Airfoil 1'!$Z$41)/ABS(L28-'Airfoil 1'!$Z$41)</f>
        <v>-1</v>
      </c>
      <c r="BC28" s="5">
        <f t="shared" ca="1" si="8"/>
        <v>7</v>
      </c>
      <c r="BD28" s="42">
        <f ca="1">INDEX('Airfoil 1'!$AA$22:$AA$41,BC28,1)+INDEX('Airfoil 1'!$AB$22:$AB$41,BC28,1)*(L28-INDEX('Airfoil 1'!$Z$22:$Z$41,BC28,1))</f>
        <v>2.4573503315505341E-2</v>
      </c>
      <c r="BE28" s="6"/>
      <c r="BF28" s="16">
        <f ca="1">(L28-'Airfoil 1'!$Z$47)/ABS(L28-'Airfoil 1'!$Z$47)</f>
        <v>1</v>
      </c>
      <c r="BG28" s="16">
        <f ca="1">(L28-'Airfoil 1'!$Z$48)/ABS(L28-'Airfoil 1'!$Z$48)</f>
        <v>1</v>
      </c>
      <c r="BH28" s="16">
        <f ca="1">(L28-'Airfoil 1'!$Z$49)/ABS(L28-'Airfoil 1'!$Z$49)</f>
        <v>1</v>
      </c>
      <c r="BI28" s="16">
        <f ca="1">(L28-'Airfoil 1'!$Z$50)/ABS(L28-'Airfoil 1'!$Z$50)</f>
        <v>1</v>
      </c>
      <c r="BJ28" s="16">
        <f ca="1">(L28-'Airfoil 1'!$Z$51)/ABS(L28-'Airfoil 1'!$Z$51)</f>
        <v>1</v>
      </c>
      <c r="BK28" s="16">
        <f ca="1">(L28-'Airfoil 1'!$Z$52)/ABS(L28-'Airfoil 1'!$Z$52)</f>
        <v>-1</v>
      </c>
      <c r="BL28" s="16">
        <f ca="1">(L28-'Airfoil 1'!$Z$53)/ABS(L28-'Airfoil 1'!$Z$53)</f>
        <v>-1</v>
      </c>
      <c r="BM28" s="16">
        <f ca="1">(L28-'Airfoil 1'!$Z$54)/ABS(L28-'Airfoil 1'!$Z$54)</f>
        <v>-1</v>
      </c>
      <c r="BN28" s="16">
        <f ca="1">(L28-'Airfoil 1'!$Z$55)/ABS(L28-'Airfoil 1'!$Z$55)</f>
        <v>-1</v>
      </c>
      <c r="BO28" s="16">
        <f ca="1">(L28-'Airfoil 1'!$Z$56)/ABS(L28-'Airfoil 1'!$Z$56)</f>
        <v>-1</v>
      </c>
      <c r="BP28" s="16">
        <f ca="1">(L28-'Airfoil 1'!$Z$57)/ABS(L28-'Airfoil 1'!$Z$57)</f>
        <v>-1</v>
      </c>
      <c r="BQ28" s="16">
        <f ca="1">(L28-'Airfoil 1'!$Z$58)/ABS(L28-'Airfoil 1'!$Z$58)</f>
        <v>-1</v>
      </c>
      <c r="BR28" s="16">
        <f ca="1">(L28-'Airfoil 1'!$Z$59)/ABS(L28-'Airfoil 1'!$Z$59)</f>
        <v>-1</v>
      </c>
      <c r="BS28" s="16">
        <f ca="1">(L28-'Airfoil 1'!$Z$60)/ABS(L28-'Airfoil 1'!$Z$60)</f>
        <v>-1</v>
      </c>
      <c r="BT28" s="16">
        <f ca="1">(L28-'Airfoil 1'!$Z$61)/ABS(L28-'Airfoil 1'!$Z$61)</f>
        <v>-1</v>
      </c>
      <c r="BU28" s="16">
        <f ca="1">(L28-'Airfoil 1'!$Z$62)/ABS(L28-'Airfoil 1'!$Z$62)</f>
        <v>-1</v>
      </c>
      <c r="BV28" s="16">
        <f ca="1">(L28-'Airfoil 1'!$Z$63)/ABS(L28-'Airfoil 1'!$Z$63)</f>
        <v>-1</v>
      </c>
      <c r="BW28" s="16">
        <f ca="1">(L28-'Airfoil 1'!$Z$64)/ABS(L28-'Airfoil 1'!$Z$64)</f>
        <v>-1</v>
      </c>
      <c r="BX28" s="16">
        <f ca="1">(L28-'Airfoil 1'!$Z$65)/ABS(L28-'Airfoil 1'!$Z$65)</f>
        <v>-1</v>
      </c>
      <c r="BY28" s="16">
        <f ca="1">(L28-'Airfoil 1'!$Z$66)/ABS(L28-'Airfoil 1'!$Z$66)</f>
        <v>-1</v>
      </c>
      <c r="BZ28" s="5">
        <f t="shared" ca="1" si="9"/>
        <v>5</v>
      </c>
      <c r="CA28" s="42">
        <f ca="1">INDEX('Airfoil 1'!$AA$47:$AA$66,BZ28,1)+INDEX('Airfoil 1'!$AB$47:$AB$66,BZ28,1)*(L28-INDEX('Airfoil 1'!$Z$47:$Z$66,BZ28,1))</f>
        <v>1.7097850156789302E-2</v>
      </c>
      <c r="CC28" s="16">
        <f ca="1">(L28-'Airfoil 1'!$Z$72)/ABS(L28-'Airfoil 1'!$Z$72)</f>
        <v>1</v>
      </c>
      <c r="CD28" s="16">
        <f ca="1">(L28-'Airfoil 1'!$Z$73)/ABS(L28-'Airfoil 1'!$Z$73)</f>
        <v>1</v>
      </c>
      <c r="CE28" s="16">
        <f ca="1">(L28-'Airfoil 1'!$Z$74)/ABS(L28-'Airfoil 1'!$Z$74)</f>
        <v>1</v>
      </c>
      <c r="CF28" s="16">
        <f ca="1">(L28-'Airfoil 1'!$Z$75)/ABS(L28-'Airfoil 1'!$Z$75)</f>
        <v>1</v>
      </c>
      <c r="CG28" s="16">
        <f ca="1">(L28-'Airfoil 1'!$Z$76)/ABS(L28-'Airfoil 1'!$Z$76)</f>
        <v>-1</v>
      </c>
      <c r="CH28" s="16">
        <f ca="1">(L28-'Airfoil 1'!$Z$77)/ABS(L28-'Airfoil 1'!$Z$77)</f>
        <v>-1</v>
      </c>
      <c r="CI28" s="16">
        <f ca="1">(L28-'Airfoil 1'!$Z$78)/ABS(L28-'Airfoil 1'!$Z$78)</f>
        <v>-1</v>
      </c>
      <c r="CJ28" s="16">
        <f ca="1">(L28-'Airfoil 1'!$Z$79)/ABS(L28-'Airfoil 1'!$Z$79)</f>
        <v>-1</v>
      </c>
      <c r="CK28" s="16">
        <f ca="1">(L28-'Airfoil 1'!$Z$80)/ABS(L28-'Airfoil 1'!$Z$80)</f>
        <v>-1</v>
      </c>
      <c r="CL28" s="16">
        <f ca="1">(L28-'Airfoil 1'!$Z$81)/ABS(L28-'Airfoil 1'!$Z$81)</f>
        <v>-1</v>
      </c>
      <c r="CM28" s="16">
        <f ca="1">(L28-'Airfoil 1'!$Z$82)/ABS(L28-'Airfoil 1'!$Z$82)</f>
        <v>-1</v>
      </c>
      <c r="CN28" s="16">
        <f ca="1">(L28-'Airfoil 1'!$Z$83)/ABS(L28-'Airfoil 1'!$Z$83)</f>
        <v>-1</v>
      </c>
      <c r="CO28" s="16">
        <f ca="1">(L28-'Airfoil 1'!$Z$84)/ABS(L28-'Airfoil 1'!$Z$84)</f>
        <v>-1</v>
      </c>
      <c r="CP28" s="16">
        <f ca="1">(L28-'Airfoil 1'!$Z$85)/ABS(L28-'Airfoil 1'!$Z$85)</f>
        <v>-1</v>
      </c>
      <c r="CQ28" s="16">
        <f ca="1">(L28-'Airfoil 1'!$Z$86)/ABS(L28-'Airfoil 1'!$Z$86)</f>
        <v>-1</v>
      </c>
      <c r="CR28" s="16">
        <f ca="1">(L28-'Airfoil 1'!$Z$87)/ABS(L28-'Airfoil 1'!$Z$87)</f>
        <v>-1</v>
      </c>
      <c r="CS28" s="16">
        <f ca="1">(L28-'Airfoil 1'!$Z$88)/ABS(L28-'Airfoil 1'!$Z$88)</f>
        <v>-1</v>
      </c>
      <c r="CT28" s="16">
        <f ca="1">(L28-'Airfoil 1'!$Z$89)/ABS(L28-'Airfoil 1'!$Z$89)</f>
        <v>-1</v>
      </c>
      <c r="CU28" s="16">
        <f ca="1">(L28-'Airfoil 1'!$Z$90)/ABS(L28-'Airfoil 1'!$Z$90)</f>
        <v>-1</v>
      </c>
      <c r="CV28" s="16">
        <f ca="1">(L28-'Airfoil 1'!$Z$91)/ABS(L28-'Airfoil 1'!$Z$91)</f>
        <v>-1</v>
      </c>
      <c r="CW28" s="5">
        <f t="shared" ca="1" si="10"/>
        <v>4</v>
      </c>
      <c r="CX28" s="42">
        <f ca="1">INDEX('Airfoil 1'!$AA$72:$AA$91,CW28,1)+INDEX('Airfoil 1'!$AB$72:$AB$91,CW28,1)*(L28-INDEX('Airfoil 1'!$Z$72:$Z$91,CW28,1))</f>
        <v>1.0802334555706531E-2</v>
      </c>
    </row>
    <row r="29" spans="2:102">
      <c r="B29" s="31">
        <f>Main!B29</f>
        <v>0.33333333333333326</v>
      </c>
      <c r="D29" s="1">
        <f>Takeoff!F29</f>
        <v>1.2249994633486807</v>
      </c>
      <c r="E29" s="4">
        <f>ISA!$O$10</f>
        <v>1.783E-5</v>
      </c>
      <c r="G29" s="13">
        <f ca="1">Takeoff!T29</f>
        <v>12.409597035986524</v>
      </c>
      <c r="H29" s="5">
        <f t="shared" ca="1" si="0"/>
        <v>284197.97549928707</v>
      </c>
      <c r="I29" s="16">
        <f ca="1">'Airfoil 2'!$K$14*H29^'Airfoil 2'!$L$13</f>
        <v>1.5783148962123403</v>
      </c>
      <c r="J29" s="1">
        <f ca="1">'Airfoil 2'!$K$33*H29^'Airfoil 2'!$L$32</f>
        <v>5.3987226092915641</v>
      </c>
      <c r="K29" s="13">
        <f ca="1">'Airfoil 2'!$K$52*H29^'Airfoil 2'!$L$51</f>
        <v>-7.9752407822225404</v>
      </c>
      <c r="L29" s="16">
        <f ca="1">'Aerodynamics-Takeoff'!W29</f>
        <v>0.86203781238134802</v>
      </c>
      <c r="M29" s="10">
        <f ca="1">('Airfoil 1'!$B$21+'Airfoil 1'!$B$22*L29+'Airfoil 1'!$B$23*L29^2+'Airfoil 1'!$B$24*L29^3+'Airfoil 1'!$B$25*L29^4+'Airfoil 1'!$B$26*L29^5+'Airfoil 1'!$B$27*L29^6)*0+BD29</f>
        <v>2.4572442746610482E-2</v>
      </c>
      <c r="N29" s="42">
        <f ca="1">('Airfoil 1'!$B$29+'Airfoil 1'!$B$30*L29+'Airfoil 1'!$B$31*L29^2+'Airfoil 1'!$B$32*L29^3+'Airfoil 1'!$B$33*L29^4+'Airfoil 1'!$B$34*L29^5+'Airfoil 1'!$B$35*L29^6)*0+CA29</f>
        <v>1.709761549630838E-2</v>
      </c>
      <c r="O29" s="42">
        <f ca="1">('Airfoil 1'!$B$37+'Airfoil 1'!$B$38*L29+'Airfoil 1'!$B$39*L29^2+'Airfoil 1'!$B$40*L29^3+'Airfoil 1'!$B$41*L29^4+'Airfoil 1'!$B$42*L29^5+'Airfoil 1'!$B$43*L29^6)*0+CX29</f>
        <v>1.0806214519076028E-2</v>
      </c>
      <c r="P29" s="16">
        <f>LOG('Airfoil 1'!$F$10)+LOG('Airfoil 1'!$G$10)+LOG('Airfoil 1'!$H$10)</f>
        <v>15.176091259055681</v>
      </c>
      <c r="Q29" s="16">
        <f t="shared" ca="1" si="1"/>
        <v>-5.342942537369276</v>
      </c>
      <c r="R29" s="16">
        <f>LOG('Airfoil 1'!$F$10)^2+LOG('Airfoil 1'!$G$10)^2+LOG('Airfoil 1'!$H$10)^2</f>
        <v>76.867141336751558</v>
      </c>
      <c r="S29" s="16">
        <f ca="1">LOG('Airfoil 1'!$F$10)*LOG(M29)+LOG('Airfoil 1'!$G$10)*LOG(N29)+LOG('Airfoil 1'!$H$10)*LOG(O29)</f>
        <v>-27.105540567202926</v>
      </c>
      <c r="T29" s="16">
        <f t="shared" ca="1" si="2"/>
        <v>196.009746004005</v>
      </c>
      <c r="U29" s="16">
        <f t="shared" ca="1" si="3"/>
        <v>-0.80519913372144802</v>
      </c>
      <c r="V29" s="42">
        <f ca="1">IF(Energy!$F$11=1,Energy!$T$13,1)*T29*H29^U29</f>
        <v>8.7781980582178881E-3</v>
      </c>
      <c r="W29" s="10">
        <f ca="1">'Airfoil 1'!$B$48+'Airfoil 1'!$B$49*L29+'Airfoil 1'!$B$50*L29^2+'Airfoil 1'!$B$51*L29^3+'Airfoil 1'!$B$52*L29^4+'Airfoil 1'!$B$53*L29^5+'Airfoil 1'!$B$54*L29^6</f>
        <v>-0.155</v>
      </c>
      <c r="X29" s="42">
        <f ca="1">'Airfoil 1'!$B$56+'Airfoil 1'!$B$57*L29+'Airfoil 1'!$B$58*L29^2+'Airfoil 1'!$B$59*L29^3+'Airfoil 1'!$B$60*L29^4+'Airfoil 1'!$B$61*L29^5+'Airfoil 1'!$B$62*L29^6</f>
        <v>-0.155</v>
      </c>
      <c r="Y29" s="42">
        <f ca="1">'Airfoil 1'!$B$64+'Airfoil 1'!$B$65*L29+'Airfoil 1'!$B$66*L29^2+'Airfoil 1'!$B$67*L29^3+'Airfoil 1'!$B$681*L29^4+'Airfoil 1'!$B$69*L29^5+'Airfoil 1'!$B$70*L29^6</f>
        <v>-0.155</v>
      </c>
      <c r="Z29" s="16">
        <f>LOG('Airfoil 1'!$F$10)+LOG('Airfoil 1'!$G$10)+LOG('Airfoil 1'!$H$10)</f>
        <v>15.176091259055681</v>
      </c>
      <c r="AA29" s="16">
        <f t="shared" ca="1" si="4"/>
        <v>-2.4290049054891254</v>
      </c>
      <c r="AB29" s="16">
        <f>LOG('Airfoil 1'!$F$10)^2+LOG('Airfoil 1'!$G$10)^2+LOG('Airfoil 1'!$H$10)^2</f>
        <v>76.867141336751558</v>
      </c>
      <c r="AC29" s="16">
        <f ca="1">LOG('Airfoil 1'!$F$10)*LOG(ABS(W29))+LOG('Airfoil 1'!$G$10)*LOG(ABS(X29))+LOG('Airfoil 1'!$H$10)*LOG(ABS(Y29))</f>
        <v>-12.287600038132297</v>
      </c>
      <c r="AD29" s="16">
        <f t="shared" ca="1" si="5"/>
        <v>0.1550000000000121</v>
      </c>
      <c r="AE29" s="16">
        <f t="shared" ca="1" si="6"/>
        <v>-6.6718325633022456E-15</v>
      </c>
      <c r="AF29" s="42">
        <f t="shared" ca="1" si="7"/>
        <v>-0.15499999999999914</v>
      </c>
      <c r="AG29" s="16"/>
      <c r="AH29" s="42"/>
      <c r="AI29" s="16">
        <f ca="1">(L29-'Airfoil 1'!$Z$22)/ABS(L29-'Airfoil 1'!$Z$22)</f>
        <v>1</v>
      </c>
      <c r="AJ29" s="16">
        <f ca="1">(L29-'Airfoil 1'!$Z$23)/ABS(L29-'Airfoil 1'!$Z$23)</f>
        <v>1</v>
      </c>
      <c r="AK29" s="16">
        <f ca="1">(L29-'Airfoil 1'!$Z$24)/ABS(L29-'Airfoil 1'!$Z$24)</f>
        <v>1</v>
      </c>
      <c r="AL29" s="16">
        <f ca="1">(L29-'Airfoil 1'!$Z$25)/ABS(L29-'Airfoil 1'!$Z$25)</f>
        <v>1</v>
      </c>
      <c r="AM29" s="16">
        <f ca="1">(L29-'Airfoil 1'!$Z$26)/ABS(L29-'Airfoil 1'!$Z$26)</f>
        <v>1</v>
      </c>
      <c r="AN29" s="16">
        <f ca="1">(L29-'Airfoil 1'!$Z$27)/ABS(L29-'Airfoil 1'!$Z$27)</f>
        <v>1</v>
      </c>
      <c r="AO29" s="16">
        <f ca="1">(L29-'Airfoil 1'!$Z$28)/ABS(L29-'Airfoil 1'!$Z$28)</f>
        <v>1</v>
      </c>
      <c r="AP29" s="16">
        <f ca="1">(L29-'Airfoil 1'!$Z$29)/ABS(L29-'Airfoil 1'!$Z$29)</f>
        <v>-1</v>
      </c>
      <c r="AQ29" s="16">
        <f ca="1">(L29-'Airfoil 1'!$Z$30)/ABS(L29-'Airfoil 1'!$Z$30)</f>
        <v>-1</v>
      </c>
      <c r="AR29" s="16">
        <f ca="1">(L29-'Airfoil 1'!$Z$31)/ABS(L29-'Airfoil 1'!$Z$31)</f>
        <v>-1</v>
      </c>
      <c r="AS29" s="16">
        <f ca="1">(L29-'Airfoil 1'!$Z$32)/ABS(L29-'Airfoil 1'!$Z$32)</f>
        <v>-1</v>
      </c>
      <c r="AT29" s="16">
        <f ca="1">(L29-'Airfoil 1'!$Z$33)/ABS(L29-'Airfoil 1'!$Z$33)</f>
        <v>-1</v>
      </c>
      <c r="AU29" s="16">
        <f ca="1">(L29-'Airfoil 1'!$Z$34)/ABS(L29-'Airfoil 1'!$Z$34)</f>
        <v>-1</v>
      </c>
      <c r="AV29" s="16">
        <f ca="1">(L29-'Airfoil 1'!$Z$35)/ABS(L29-'Airfoil 1'!$Z$35)</f>
        <v>-1</v>
      </c>
      <c r="AW29" s="16">
        <f ca="1">(L29-'Airfoil 1'!$Z$36)/ABS(L29-'Airfoil 1'!$Z$36)</f>
        <v>-1</v>
      </c>
      <c r="AX29" s="16">
        <f ca="1">(L29-'Airfoil 1'!$Z$37)/ABS(L29-'Airfoil 1'!$Z$37)</f>
        <v>-1</v>
      </c>
      <c r="AY29" s="16">
        <f ca="1">(L29-'Airfoil 1'!$Z$38)/ABS(L29-'Airfoil 1'!$Z$38)</f>
        <v>-1</v>
      </c>
      <c r="AZ29" s="16">
        <f ca="1">(L29-'Airfoil 1'!$Z$39)/ABS(L29-'Airfoil 1'!$Z$39)</f>
        <v>-1</v>
      </c>
      <c r="BA29" s="16">
        <f ca="1">(L29-'Airfoil 1'!$Z$40)/ABS(L29-'Airfoil 1'!$Z$40)</f>
        <v>-1</v>
      </c>
      <c r="BB29" s="16">
        <f ca="1">(L29-'Airfoil 1'!$Z$41)/ABS(L29-'Airfoil 1'!$Z$41)</f>
        <v>-1</v>
      </c>
      <c r="BC29" s="5">
        <f t="shared" ca="1" si="8"/>
        <v>7</v>
      </c>
      <c r="BD29" s="42">
        <f ca="1">INDEX('Airfoil 1'!$AA$22:$AA$41,BC29,1)+INDEX('Airfoil 1'!$AB$22:$AB$41,BC29,1)*(L29-INDEX('Airfoil 1'!$Z$22:$Z$41,BC29,1))</f>
        <v>2.4572442746610187E-2</v>
      </c>
      <c r="BE29" s="6"/>
      <c r="BF29" s="16">
        <f ca="1">(L29-'Airfoil 1'!$Z$47)/ABS(L29-'Airfoil 1'!$Z$47)</f>
        <v>1</v>
      </c>
      <c r="BG29" s="16">
        <f ca="1">(L29-'Airfoil 1'!$Z$48)/ABS(L29-'Airfoil 1'!$Z$48)</f>
        <v>1</v>
      </c>
      <c r="BH29" s="16">
        <f ca="1">(L29-'Airfoil 1'!$Z$49)/ABS(L29-'Airfoil 1'!$Z$49)</f>
        <v>1</v>
      </c>
      <c r="BI29" s="16">
        <f ca="1">(L29-'Airfoil 1'!$Z$50)/ABS(L29-'Airfoil 1'!$Z$50)</f>
        <v>1</v>
      </c>
      <c r="BJ29" s="16">
        <f ca="1">(L29-'Airfoil 1'!$Z$51)/ABS(L29-'Airfoil 1'!$Z$51)</f>
        <v>1</v>
      </c>
      <c r="BK29" s="16">
        <f ca="1">(L29-'Airfoil 1'!$Z$52)/ABS(L29-'Airfoil 1'!$Z$52)</f>
        <v>-1</v>
      </c>
      <c r="BL29" s="16">
        <f ca="1">(L29-'Airfoil 1'!$Z$53)/ABS(L29-'Airfoil 1'!$Z$53)</f>
        <v>-1</v>
      </c>
      <c r="BM29" s="16">
        <f ca="1">(L29-'Airfoil 1'!$Z$54)/ABS(L29-'Airfoil 1'!$Z$54)</f>
        <v>-1</v>
      </c>
      <c r="BN29" s="16">
        <f ca="1">(L29-'Airfoil 1'!$Z$55)/ABS(L29-'Airfoil 1'!$Z$55)</f>
        <v>-1</v>
      </c>
      <c r="BO29" s="16">
        <f ca="1">(L29-'Airfoil 1'!$Z$56)/ABS(L29-'Airfoil 1'!$Z$56)</f>
        <v>-1</v>
      </c>
      <c r="BP29" s="16">
        <f ca="1">(L29-'Airfoil 1'!$Z$57)/ABS(L29-'Airfoil 1'!$Z$57)</f>
        <v>-1</v>
      </c>
      <c r="BQ29" s="16">
        <f ca="1">(L29-'Airfoil 1'!$Z$58)/ABS(L29-'Airfoil 1'!$Z$58)</f>
        <v>-1</v>
      </c>
      <c r="BR29" s="16">
        <f ca="1">(L29-'Airfoil 1'!$Z$59)/ABS(L29-'Airfoil 1'!$Z$59)</f>
        <v>-1</v>
      </c>
      <c r="BS29" s="16">
        <f ca="1">(L29-'Airfoil 1'!$Z$60)/ABS(L29-'Airfoil 1'!$Z$60)</f>
        <v>-1</v>
      </c>
      <c r="BT29" s="16">
        <f ca="1">(L29-'Airfoil 1'!$Z$61)/ABS(L29-'Airfoil 1'!$Z$61)</f>
        <v>-1</v>
      </c>
      <c r="BU29" s="16">
        <f ca="1">(L29-'Airfoil 1'!$Z$62)/ABS(L29-'Airfoil 1'!$Z$62)</f>
        <v>-1</v>
      </c>
      <c r="BV29" s="16">
        <f ca="1">(L29-'Airfoil 1'!$Z$63)/ABS(L29-'Airfoil 1'!$Z$63)</f>
        <v>-1</v>
      </c>
      <c r="BW29" s="16">
        <f ca="1">(L29-'Airfoil 1'!$Z$64)/ABS(L29-'Airfoil 1'!$Z$64)</f>
        <v>-1</v>
      </c>
      <c r="BX29" s="16">
        <f ca="1">(L29-'Airfoil 1'!$Z$65)/ABS(L29-'Airfoil 1'!$Z$65)</f>
        <v>-1</v>
      </c>
      <c r="BY29" s="16">
        <f ca="1">(L29-'Airfoil 1'!$Z$66)/ABS(L29-'Airfoil 1'!$Z$66)</f>
        <v>-1</v>
      </c>
      <c r="BZ29" s="5">
        <f t="shared" ca="1" si="9"/>
        <v>5</v>
      </c>
      <c r="CA29" s="42">
        <f ca="1">INDEX('Airfoil 1'!$AA$47:$AA$66,BZ29,1)+INDEX('Airfoil 1'!$AB$47:$AB$66,BZ29,1)*(L29-INDEX('Airfoil 1'!$Z$47:$Z$66,BZ29,1))</f>
        <v>1.7097615496308314E-2</v>
      </c>
      <c r="CC29" s="16">
        <f ca="1">(L29-'Airfoil 1'!$Z$72)/ABS(L29-'Airfoil 1'!$Z$72)</f>
        <v>1</v>
      </c>
      <c r="CD29" s="16">
        <f ca="1">(L29-'Airfoil 1'!$Z$73)/ABS(L29-'Airfoil 1'!$Z$73)</f>
        <v>1</v>
      </c>
      <c r="CE29" s="16">
        <f ca="1">(L29-'Airfoil 1'!$Z$74)/ABS(L29-'Airfoil 1'!$Z$74)</f>
        <v>1</v>
      </c>
      <c r="CF29" s="16">
        <f ca="1">(L29-'Airfoil 1'!$Z$75)/ABS(L29-'Airfoil 1'!$Z$75)</f>
        <v>1</v>
      </c>
      <c r="CG29" s="16">
        <f ca="1">(L29-'Airfoil 1'!$Z$76)/ABS(L29-'Airfoil 1'!$Z$76)</f>
        <v>-1</v>
      </c>
      <c r="CH29" s="16">
        <f ca="1">(L29-'Airfoil 1'!$Z$77)/ABS(L29-'Airfoil 1'!$Z$77)</f>
        <v>-1</v>
      </c>
      <c r="CI29" s="16">
        <f ca="1">(L29-'Airfoil 1'!$Z$78)/ABS(L29-'Airfoil 1'!$Z$78)</f>
        <v>-1</v>
      </c>
      <c r="CJ29" s="16">
        <f ca="1">(L29-'Airfoil 1'!$Z$79)/ABS(L29-'Airfoil 1'!$Z$79)</f>
        <v>-1</v>
      </c>
      <c r="CK29" s="16">
        <f ca="1">(L29-'Airfoil 1'!$Z$80)/ABS(L29-'Airfoil 1'!$Z$80)</f>
        <v>-1</v>
      </c>
      <c r="CL29" s="16">
        <f ca="1">(L29-'Airfoil 1'!$Z$81)/ABS(L29-'Airfoil 1'!$Z$81)</f>
        <v>-1</v>
      </c>
      <c r="CM29" s="16">
        <f ca="1">(L29-'Airfoil 1'!$Z$82)/ABS(L29-'Airfoil 1'!$Z$82)</f>
        <v>-1</v>
      </c>
      <c r="CN29" s="16">
        <f ca="1">(L29-'Airfoil 1'!$Z$83)/ABS(L29-'Airfoil 1'!$Z$83)</f>
        <v>-1</v>
      </c>
      <c r="CO29" s="16">
        <f ca="1">(L29-'Airfoil 1'!$Z$84)/ABS(L29-'Airfoil 1'!$Z$84)</f>
        <v>-1</v>
      </c>
      <c r="CP29" s="16">
        <f ca="1">(L29-'Airfoil 1'!$Z$85)/ABS(L29-'Airfoil 1'!$Z$85)</f>
        <v>-1</v>
      </c>
      <c r="CQ29" s="16">
        <f ca="1">(L29-'Airfoil 1'!$Z$86)/ABS(L29-'Airfoil 1'!$Z$86)</f>
        <v>-1</v>
      </c>
      <c r="CR29" s="16">
        <f ca="1">(L29-'Airfoil 1'!$Z$87)/ABS(L29-'Airfoil 1'!$Z$87)</f>
        <v>-1</v>
      </c>
      <c r="CS29" s="16">
        <f ca="1">(L29-'Airfoil 1'!$Z$88)/ABS(L29-'Airfoil 1'!$Z$88)</f>
        <v>-1</v>
      </c>
      <c r="CT29" s="16">
        <f ca="1">(L29-'Airfoil 1'!$Z$89)/ABS(L29-'Airfoil 1'!$Z$89)</f>
        <v>-1</v>
      </c>
      <c r="CU29" s="16">
        <f ca="1">(L29-'Airfoil 1'!$Z$90)/ABS(L29-'Airfoil 1'!$Z$90)</f>
        <v>-1</v>
      </c>
      <c r="CV29" s="16">
        <f ca="1">(L29-'Airfoil 1'!$Z$91)/ABS(L29-'Airfoil 1'!$Z$91)</f>
        <v>-1</v>
      </c>
      <c r="CW29" s="5">
        <f t="shared" ca="1" si="10"/>
        <v>4</v>
      </c>
      <c r="CX29" s="42">
        <f ca="1">INDEX('Airfoil 1'!$AA$72:$AA$91,CW29,1)+INDEX('Airfoil 1'!$AB$72:$AB$91,CW29,1)*(L29-INDEX('Airfoil 1'!$Z$72:$Z$91,CW29,1))</f>
        <v>1.0806214519077097E-2</v>
      </c>
    </row>
    <row r="30" spans="2:102">
      <c r="B30" s="31">
        <f>Main!B30</f>
        <v>0.33333333333333326</v>
      </c>
      <c r="D30" s="1">
        <f>Takeoff!F30</f>
        <v>1.2249994633486807</v>
      </c>
      <c r="E30" s="4">
        <f>ISA!$O$10</f>
        <v>1.783E-5</v>
      </c>
      <c r="G30" s="13">
        <f ca="1">Takeoff!T30</f>
        <v>12.177080745869123</v>
      </c>
      <c r="H30" s="5">
        <f t="shared" ca="1" si="0"/>
        <v>278873.01138237474</v>
      </c>
      <c r="I30" s="16">
        <f ca="1">'Airfoil 2'!$K$14*H30^'Airfoil 2'!$L$13</f>
        <v>1.5778999514397647</v>
      </c>
      <c r="J30" s="1">
        <f ca="1">'Airfoil 2'!$K$33*H30^'Airfoil 2'!$L$32</f>
        <v>5.4331777970404236</v>
      </c>
      <c r="K30" s="13">
        <f ca="1">'Airfoil 2'!$K$52*H30^'Airfoil 2'!$L$51</f>
        <v>-7.8749962946250172</v>
      </c>
      <c r="L30" s="16">
        <f ca="1">'Aerodynamics-Takeoff'!W30</f>
        <v>0.86249884476051375</v>
      </c>
      <c r="M30" s="10">
        <f ca="1">('Airfoil 1'!$B$21+'Airfoil 1'!$B$22*L30+'Airfoil 1'!$B$23*L30^2+'Airfoil 1'!$B$24*L30^3+'Airfoil 1'!$B$25*L30^4+'Airfoil 1'!$B$26*L30^5+'Airfoil 1'!$B$27*L30^6)*0+BD30</f>
        <v>2.4571433186656104E-2</v>
      </c>
      <c r="N30" s="42">
        <f ca="1">('Airfoil 1'!$B$29+'Airfoil 1'!$B$30*L30+'Airfoil 1'!$B$31*L30^2+'Airfoil 1'!$B$32*L30^3+'Airfoil 1'!$B$33*L30^4+'Airfoil 1'!$B$34*L30^5+'Airfoil 1'!$B$35*L30^6)*0+CA30</f>
        <v>1.7097392122017881E-2</v>
      </c>
      <c r="O30" s="42">
        <f ca="1">('Airfoil 1'!$B$37+'Airfoil 1'!$B$38*L30+'Airfoil 1'!$B$39*L30^2+'Airfoil 1'!$B$40*L30^3+'Airfoil 1'!$B$41*L30^4+'Airfoil 1'!$B$42*L30^5+'Airfoil 1'!$B$43*L30^6)*0+CX30</f>
        <v>1.0809907872389779E-2</v>
      </c>
      <c r="P30" s="16">
        <f>LOG('Airfoil 1'!$F$10)+LOG('Airfoil 1'!$G$10)+LOG('Airfoil 1'!$H$10)</f>
        <v>15.176091259055681</v>
      </c>
      <c r="Q30" s="16">
        <f t="shared" ca="1" si="1"/>
        <v>-5.3428176466638719</v>
      </c>
      <c r="R30" s="16">
        <f>LOG('Airfoil 1'!$F$10)^2+LOG('Airfoil 1'!$G$10)^2+LOG('Airfoil 1'!$H$10)^2</f>
        <v>76.867141336751558</v>
      </c>
      <c r="S30" s="16">
        <f ca="1">LOG('Airfoil 1'!$F$10)*LOG(M30)+LOG('Airfoil 1'!$G$10)*LOG(N30)+LOG('Airfoil 1'!$H$10)*LOG(O30)</f>
        <v>-27.104869209081002</v>
      </c>
      <c r="T30" s="16">
        <f t="shared" ca="1" si="2"/>
        <v>195.08848085797192</v>
      </c>
      <c r="U30" s="16">
        <f t="shared" ca="1" si="3"/>
        <v>-0.80478644460738413</v>
      </c>
      <c r="V30" s="42">
        <f ca="1">IF(Energy!$F$11=1,Energy!$T$13,1)*T30*H30^U30</f>
        <v>8.9170437908973419E-3</v>
      </c>
      <c r="W30" s="10">
        <f ca="1">'Airfoil 1'!$B$48+'Airfoil 1'!$B$49*L30+'Airfoil 1'!$B$50*L30^2+'Airfoil 1'!$B$51*L30^3+'Airfoil 1'!$B$52*L30^4+'Airfoil 1'!$B$53*L30^5+'Airfoil 1'!$B$54*L30^6</f>
        <v>-0.155</v>
      </c>
      <c r="X30" s="42">
        <f ca="1">'Airfoil 1'!$B$56+'Airfoil 1'!$B$57*L30+'Airfoil 1'!$B$58*L30^2+'Airfoil 1'!$B$59*L30^3+'Airfoil 1'!$B$60*L30^4+'Airfoil 1'!$B$61*L30^5+'Airfoil 1'!$B$62*L30^6</f>
        <v>-0.155</v>
      </c>
      <c r="Y30" s="42">
        <f ca="1">'Airfoil 1'!$B$64+'Airfoil 1'!$B$65*L30+'Airfoil 1'!$B$66*L30^2+'Airfoil 1'!$B$67*L30^3+'Airfoil 1'!$B$681*L30^4+'Airfoil 1'!$B$69*L30^5+'Airfoil 1'!$B$70*L30^6</f>
        <v>-0.155</v>
      </c>
      <c r="Z30" s="16">
        <f>LOG('Airfoil 1'!$F$10)+LOG('Airfoil 1'!$G$10)+LOG('Airfoil 1'!$H$10)</f>
        <v>15.176091259055681</v>
      </c>
      <c r="AA30" s="16">
        <f t="shared" ca="1" si="4"/>
        <v>-2.4290049054891254</v>
      </c>
      <c r="AB30" s="16">
        <f>LOG('Airfoil 1'!$F$10)^2+LOG('Airfoil 1'!$G$10)^2+LOG('Airfoil 1'!$H$10)^2</f>
        <v>76.867141336751558</v>
      </c>
      <c r="AC30" s="16">
        <f ca="1">LOG('Airfoil 1'!$F$10)*LOG(ABS(W30))+LOG('Airfoil 1'!$G$10)*LOG(ABS(X30))+LOG('Airfoil 1'!$H$10)*LOG(ABS(Y30))</f>
        <v>-12.287600038132297</v>
      </c>
      <c r="AD30" s="16">
        <f t="shared" ca="1" si="5"/>
        <v>0.1550000000000121</v>
      </c>
      <c r="AE30" s="16">
        <f t="shared" ca="1" si="6"/>
        <v>-6.6718325633022456E-15</v>
      </c>
      <c r="AF30" s="42">
        <f t="shared" ca="1" si="7"/>
        <v>-0.15499999999999914</v>
      </c>
      <c r="AG30" s="16"/>
      <c r="AH30" s="42"/>
      <c r="AI30" s="16">
        <f ca="1">(L30-'Airfoil 1'!$Z$22)/ABS(L30-'Airfoil 1'!$Z$22)</f>
        <v>1</v>
      </c>
      <c r="AJ30" s="16">
        <f ca="1">(L30-'Airfoil 1'!$Z$23)/ABS(L30-'Airfoil 1'!$Z$23)</f>
        <v>1</v>
      </c>
      <c r="AK30" s="16">
        <f ca="1">(L30-'Airfoil 1'!$Z$24)/ABS(L30-'Airfoil 1'!$Z$24)</f>
        <v>1</v>
      </c>
      <c r="AL30" s="16">
        <f ca="1">(L30-'Airfoil 1'!$Z$25)/ABS(L30-'Airfoil 1'!$Z$25)</f>
        <v>1</v>
      </c>
      <c r="AM30" s="16">
        <f ca="1">(L30-'Airfoil 1'!$Z$26)/ABS(L30-'Airfoil 1'!$Z$26)</f>
        <v>1</v>
      </c>
      <c r="AN30" s="16">
        <f ca="1">(L30-'Airfoil 1'!$Z$27)/ABS(L30-'Airfoil 1'!$Z$27)</f>
        <v>1</v>
      </c>
      <c r="AO30" s="16">
        <f ca="1">(L30-'Airfoil 1'!$Z$28)/ABS(L30-'Airfoil 1'!$Z$28)</f>
        <v>1</v>
      </c>
      <c r="AP30" s="16">
        <f ca="1">(L30-'Airfoil 1'!$Z$29)/ABS(L30-'Airfoil 1'!$Z$29)</f>
        <v>-1</v>
      </c>
      <c r="AQ30" s="16">
        <f ca="1">(L30-'Airfoil 1'!$Z$30)/ABS(L30-'Airfoil 1'!$Z$30)</f>
        <v>-1</v>
      </c>
      <c r="AR30" s="16">
        <f ca="1">(L30-'Airfoil 1'!$Z$31)/ABS(L30-'Airfoil 1'!$Z$31)</f>
        <v>-1</v>
      </c>
      <c r="AS30" s="16">
        <f ca="1">(L30-'Airfoil 1'!$Z$32)/ABS(L30-'Airfoil 1'!$Z$32)</f>
        <v>-1</v>
      </c>
      <c r="AT30" s="16">
        <f ca="1">(L30-'Airfoil 1'!$Z$33)/ABS(L30-'Airfoil 1'!$Z$33)</f>
        <v>-1</v>
      </c>
      <c r="AU30" s="16">
        <f ca="1">(L30-'Airfoil 1'!$Z$34)/ABS(L30-'Airfoil 1'!$Z$34)</f>
        <v>-1</v>
      </c>
      <c r="AV30" s="16">
        <f ca="1">(L30-'Airfoil 1'!$Z$35)/ABS(L30-'Airfoil 1'!$Z$35)</f>
        <v>-1</v>
      </c>
      <c r="AW30" s="16">
        <f ca="1">(L30-'Airfoil 1'!$Z$36)/ABS(L30-'Airfoil 1'!$Z$36)</f>
        <v>-1</v>
      </c>
      <c r="AX30" s="16">
        <f ca="1">(L30-'Airfoil 1'!$Z$37)/ABS(L30-'Airfoil 1'!$Z$37)</f>
        <v>-1</v>
      </c>
      <c r="AY30" s="16">
        <f ca="1">(L30-'Airfoil 1'!$Z$38)/ABS(L30-'Airfoil 1'!$Z$38)</f>
        <v>-1</v>
      </c>
      <c r="AZ30" s="16">
        <f ca="1">(L30-'Airfoil 1'!$Z$39)/ABS(L30-'Airfoil 1'!$Z$39)</f>
        <v>-1</v>
      </c>
      <c r="BA30" s="16">
        <f ca="1">(L30-'Airfoil 1'!$Z$40)/ABS(L30-'Airfoil 1'!$Z$40)</f>
        <v>-1</v>
      </c>
      <c r="BB30" s="16">
        <f ca="1">(L30-'Airfoil 1'!$Z$41)/ABS(L30-'Airfoil 1'!$Z$41)</f>
        <v>-1</v>
      </c>
      <c r="BC30" s="5">
        <f t="shared" ca="1" si="8"/>
        <v>7</v>
      </c>
      <c r="BD30" s="42">
        <f ca="1">INDEX('Airfoil 1'!$AA$22:$AA$41,BC30,1)+INDEX('Airfoil 1'!$AB$22:$AB$41,BC30,1)*(L30-INDEX('Airfoil 1'!$Z$22:$Z$41,BC30,1))</f>
        <v>2.4571433186655812E-2</v>
      </c>
      <c r="BE30" s="6"/>
      <c r="BF30" s="16">
        <f ca="1">(L30-'Airfoil 1'!$Z$47)/ABS(L30-'Airfoil 1'!$Z$47)</f>
        <v>1</v>
      </c>
      <c r="BG30" s="16">
        <f ca="1">(L30-'Airfoil 1'!$Z$48)/ABS(L30-'Airfoil 1'!$Z$48)</f>
        <v>1</v>
      </c>
      <c r="BH30" s="16">
        <f ca="1">(L30-'Airfoil 1'!$Z$49)/ABS(L30-'Airfoil 1'!$Z$49)</f>
        <v>1</v>
      </c>
      <c r="BI30" s="16">
        <f ca="1">(L30-'Airfoil 1'!$Z$50)/ABS(L30-'Airfoil 1'!$Z$50)</f>
        <v>1</v>
      </c>
      <c r="BJ30" s="16">
        <f ca="1">(L30-'Airfoil 1'!$Z$51)/ABS(L30-'Airfoil 1'!$Z$51)</f>
        <v>1</v>
      </c>
      <c r="BK30" s="16">
        <f ca="1">(L30-'Airfoil 1'!$Z$52)/ABS(L30-'Airfoil 1'!$Z$52)</f>
        <v>-1</v>
      </c>
      <c r="BL30" s="16">
        <f ca="1">(L30-'Airfoil 1'!$Z$53)/ABS(L30-'Airfoil 1'!$Z$53)</f>
        <v>-1</v>
      </c>
      <c r="BM30" s="16">
        <f ca="1">(L30-'Airfoil 1'!$Z$54)/ABS(L30-'Airfoil 1'!$Z$54)</f>
        <v>-1</v>
      </c>
      <c r="BN30" s="16">
        <f ca="1">(L30-'Airfoil 1'!$Z$55)/ABS(L30-'Airfoil 1'!$Z$55)</f>
        <v>-1</v>
      </c>
      <c r="BO30" s="16">
        <f ca="1">(L30-'Airfoil 1'!$Z$56)/ABS(L30-'Airfoil 1'!$Z$56)</f>
        <v>-1</v>
      </c>
      <c r="BP30" s="16">
        <f ca="1">(L30-'Airfoil 1'!$Z$57)/ABS(L30-'Airfoil 1'!$Z$57)</f>
        <v>-1</v>
      </c>
      <c r="BQ30" s="16">
        <f ca="1">(L30-'Airfoil 1'!$Z$58)/ABS(L30-'Airfoil 1'!$Z$58)</f>
        <v>-1</v>
      </c>
      <c r="BR30" s="16">
        <f ca="1">(L30-'Airfoil 1'!$Z$59)/ABS(L30-'Airfoil 1'!$Z$59)</f>
        <v>-1</v>
      </c>
      <c r="BS30" s="16">
        <f ca="1">(L30-'Airfoil 1'!$Z$60)/ABS(L30-'Airfoil 1'!$Z$60)</f>
        <v>-1</v>
      </c>
      <c r="BT30" s="16">
        <f ca="1">(L30-'Airfoil 1'!$Z$61)/ABS(L30-'Airfoil 1'!$Z$61)</f>
        <v>-1</v>
      </c>
      <c r="BU30" s="16">
        <f ca="1">(L30-'Airfoil 1'!$Z$62)/ABS(L30-'Airfoil 1'!$Z$62)</f>
        <v>-1</v>
      </c>
      <c r="BV30" s="16">
        <f ca="1">(L30-'Airfoil 1'!$Z$63)/ABS(L30-'Airfoil 1'!$Z$63)</f>
        <v>-1</v>
      </c>
      <c r="BW30" s="16">
        <f ca="1">(L30-'Airfoil 1'!$Z$64)/ABS(L30-'Airfoil 1'!$Z$64)</f>
        <v>-1</v>
      </c>
      <c r="BX30" s="16">
        <f ca="1">(L30-'Airfoil 1'!$Z$65)/ABS(L30-'Airfoil 1'!$Z$65)</f>
        <v>-1</v>
      </c>
      <c r="BY30" s="16">
        <f ca="1">(L30-'Airfoil 1'!$Z$66)/ABS(L30-'Airfoil 1'!$Z$66)</f>
        <v>-1</v>
      </c>
      <c r="BZ30" s="5">
        <f t="shared" ca="1" si="9"/>
        <v>5</v>
      </c>
      <c r="CA30" s="42">
        <f ca="1">INDEX('Airfoil 1'!$AA$47:$AA$66,BZ30,1)+INDEX('Airfoil 1'!$AB$47:$AB$66,BZ30,1)*(L30-INDEX('Airfoil 1'!$Z$47:$Z$66,BZ30,1))</f>
        <v>1.7097392122017815E-2</v>
      </c>
      <c r="CC30" s="16">
        <f ca="1">(L30-'Airfoil 1'!$Z$72)/ABS(L30-'Airfoil 1'!$Z$72)</f>
        <v>1</v>
      </c>
      <c r="CD30" s="16">
        <f ca="1">(L30-'Airfoil 1'!$Z$73)/ABS(L30-'Airfoil 1'!$Z$73)</f>
        <v>1</v>
      </c>
      <c r="CE30" s="16">
        <f ca="1">(L30-'Airfoil 1'!$Z$74)/ABS(L30-'Airfoil 1'!$Z$74)</f>
        <v>1</v>
      </c>
      <c r="CF30" s="16">
        <f ca="1">(L30-'Airfoil 1'!$Z$75)/ABS(L30-'Airfoil 1'!$Z$75)</f>
        <v>1</v>
      </c>
      <c r="CG30" s="16">
        <f ca="1">(L30-'Airfoil 1'!$Z$76)/ABS(L30-'Airfoil 1'!$Z$76)</f>
        <v>-1</v>
      </c>
      <c r="CH30" s="16">
        <f ca="1">(L30-'Airfoil 1'!$Z$77)/ABS(L30-'Airfoil 1'!$Z$77)</f>
        <v>-1</v>
      </c>
      <c r="CI30" s="16">
        <f ca="1">(L30-'Airfoil 1'!$Z$78)/ABS(L30-'Airfoil 1'!$Z$78)</f>
        <v>-1</v>
      </c>
      <c r="CJ30" s="16">
        <f ca="1">(L30-'Airfoil 1'!$Z$79)/ABS(L30-'Airfoil 1'!$Z$79)</f>
        <v>-1</v>
      </c>
      <c r="CK30" s="16">
        <f ca="1">(L30-'Airfoil 1'!$Z$80)/ABS(L30-'Airfoil 1'!$Z$80)</f>
        <v>-1</v>
      </c>
      <c r="CL30" s="16">
        <f ca="1">(L30-'Airfoil 1'!$Z$81)/ABS(L30-'Airfoil 1'!$Z$81)</f>
        <v>-1</v>
      </c>
      <c r="CM30" s="16">
        <f ca="1">(L30-'Airfoil 1'!$Z$82)/ABS(L30-'Airfoil 1'!$Z$82)</f>
        <v>-1</v>
      </c>
      <c r="CN30" s="16">
        <f ca="1">(L30-'Airfoil 1'!$Z$83)/ABS(L30-'Airfoil 1'!$Z$83)</f>
        <v>-1</v>
      </c>
      <c r="CO30" s="16">
        <f ca="1">(L30-'Airfoil 1'!$Z$84)/ABS(L30-'Airfoil 1'!$Z$84)</f>
        <v>-1</v>
      </c>
      <c r="CP30" s="16">
        <f ca="1">(L30-'Airfoil 1'!$Z$85)/ABS(L30-'Airfoil 1'!$Z$85)</f>
        <v>-1</v>
      </c>
      <c r="CQ30" s="16">
        <f ca="1">(L30-'Airfoil 1'!$Z$86)/ABS(L30-'Airfoil 1'!$Z$86)</f>
        <v>-1</v>
      </c>
      <c r="CR30" s="16">
        <f ca="1">(L30-'Airfoil 1'!$Z$87)/ABS(L30-'Airfoil 1'!$Z$87)</f>
        <v>-1</v>
      </c>
      <c r="CS30" s="16">
        <f ca="1">(L30-'Airfoil 1'!$Z$88)/ABS(L30-'Airfoil 1'!$Z$88)</f>
        <v>-1</v>
      </c>
      <c r="CT30" s="16">
        <f ca="1">(L30-'Airfoil 1'!$Z$89)/ABS(L30-'Airfoil 1'!$Z$89)</f>
        <v>-1</v>
      </c>
      <c r="CU30" s="16">
        <f ca="1">(L30-'Airfoil 1'!$Z$90)/ABS(L30-'Airfoil 1'!$Z$90)</f>
        <v>-1</v>
      </c>
      <c r="CV30" s="16">
        <f ca="1">(L30-'Airfoil 1'!$Z$91)/ABS(L30-'Airfoil 1'!$Z$91)</f>
        <v>-1</v>
      </c>
      <c r="CW30" s="5">
        <f t="shared" ca="1" si="10"/>
        <v>4</v>
      </c>
      <c r="CX30" s="42">
        <f ca="1">INDEX('Airfoil 1'!$AA$72:$AA$91,CW30,1)+INDEX('Airfoil 1'!$AB$72:$AB$91,CW30,1)*(L30-INDEX('Airfoil 1'!$Z$72:$Z$91,CW30,1))</f>
        <v>1.0809907872390856E-2</v>
      </c>
    </row>
    <row r="31" spans="2:102">
      <c r="B31" s="31">
        <f>Main!B31</f>
        <v>0.33333333333333326</v>
      </c>
      <c r="D31" s="1">
        <f>Takeoff!F31</f>
        <v>1.2249994633486807</v>
      </c>
      <c r="E31" s="4">
        <f>ISA!$O$10</f>
        <v>1.783E-5</v>
      </c>
      <c r="G31" s="13">
        <f ca="1">Takeoff!T31</f>
        <v>11.959376547462874</v>
      </c>
      <c r="H31" s="5">
        <f t="shared" ca="1" si="0"/>
        <v>273887.26589319156</v>
      </c>
      <c r="I31" s="16">
        <f ca="1">'Airfoil 2'!$K$14*H31^'Airfoil 2'!$L$13</f>
        <v>1.5775042958377845</v>
      </c>
      <c r="J31" s="1">
        <f ca="1">'Airfoil 2'!$K$33*H31^'Airfoil 2'!$L$32</f>
        <v>5.4662445957901253</v>
      </c>
      <c r="K31" s="13">
        <f ca="1">'Airfoil 2'!$K$52*H31^'Airfoil 2'!$L$51</f>
        <v>-7.7805614264060701</v>
      </c>
      <c r="L31" s="16">
        <f ca="1">'Aerodynamics-Takeoff'!W31</f>
        <v>0.86293879254847583</v>
      </c>
      <c r="M31" s="10">
        <f ca="1">('Airfoil 1'!$B$21+'Airfoil 1'!$B$22*L31+'Airfoil 1'!$B$23*L31^2+'Airfoil 1'!$B$24*L31^3+'Airfoil 1'!$B$25*L31^4+'Airfoil 1'!$B$26*L31^5+'Airfoil 1'!$B$27*L31^6)*0+BD31</f>
        <v>2.4570469797339418E-2</v>
      </c>
      <c r="N31" s="42">
        <f ca="1">('Airfoil 1'!$B$29+'Airfoil 1'!$B$30*L31+'Airfoil 1'!$B$31*L31^2+'Airfoil 1'!$B$32*L31^3+'Airfoil 1'!$B$33*L31^4+'Airfoil 1'!$B$34*L31^5+'Airfoil 1'!$B$35*L31^6)*0+CA31</f>
        <v>1.7097178963399459E-2</v>
      </c>
      <c r="O31" s="42">
        <f ca="1">('Airfoil 1'!$B$37+'Airfoil 1'!$B$38*L31+'Airfoil 1'!$B$39*L31^2+'Airfoil 1'!$B$40*L31^3+'Airfoil 1'!$B$41*L31^4+'Airfoil 1'!$B$42*L31^5+'Airfoil 1'!$B$43*L31^6)*0+CX31</f>
        <v>1.081343231599494E-2</v>
      </c>
      <c r="P31" s="16">
        <f>LOG('Airfoil 1'!$F$10)+LOG('Airfoil 1'!$G$10)+LOG('Airfoil 1'!$H$10)</f>
        <v>15.176091259055681</v>
      </c>
      <c r="Q31" s="16">
        <f t="shared" ca="1" si="1"/>
        <v>-5.3426985156639768</v>
      </c>
      <c r="R31" s="16">
        <f>LOG('Airfoil 1'!$F$10)^2+LOG('Airfoil 1'!$G$10)^2+LOG('Airfoil 1'!$H$10)^2</f>
        <v>76.867141336751558</v>
      </c>
      <c r="S31" s="16">
        <f ca="1">LOG('Airfoil 1'!$F$10)*LOG(M31)+LOG('Airfoil 1'!$G$10)*LOG(N31)+LOG('Airfoil 1'!$H$10)*LOG(O31)</f>
        <v>-27.104228808739634</v>
      </c>
      <c r="T31" s="16">
        <f t="shared" ca="1" si="2"/>
        <v>194.21364617627722</v>
      </c>
      <c r="U31" s="16">
        <f t="shared" ca="1" si="3"/>
        <v>-0.80439274729386057</v>
      </c>
      <c r="V31" s="42">
        <f ca="1">IF(Energy!$F$11=1,Energy!$T$13,1)*T31*H31^U31</f>
        <v>9.0513839674754952E-3</v>
      </c>
      <c r="W31" s="10">
        <f ca="1">'Airfoil 1'!$B$48+'Airfoil 1'!$B$49*L31+'Airfoil 1'!$B$50*L31^2+'Airfoil 1'!$B$51*L31^3+'Airfoil 1'!$B$52*L31^4+'Airfoil 1'!$B$53*L31^5+'Airfoil 1'!$B$54*L31^6</f>
        <v>-0.155</v>
      </c>
      <c r="X31" s="42">
        <f ca="1">'Airfoil 1'!$B$56+'Airfoil 1'!$B$57*L31+'Airfoil 1'!$B$58*L31^2+'Airfoil 1'!$B$59*L31^3+'Airfoil 1'!$B$60*L31^4+'Airfoil 1'!$B$61*L31^5+'Airfoil 1'!$B$62*L31^6</f>
        <v>-0.155</v>
      </c>
      <c r="Y31" s="42">
        <f ca="1">'Airfoil 1'!$B$64+'Airfoil 1'!$B$65*L31+'Airfoil 1'!$B$66*L31^2+'Airfoil 1'!$B$67*L31^3+'Airfoil 1'!$B$681*L31^4+'Airfoil 1'!$B$69*L31^5+'Airfoil 1'!$B$70*L31^6</f>
        <v>-0.155</v>
      </c>
      <c r="Z31" s="16">
        <f>LOG('Airfoil 1'!$F$10)+LOG('Airfoil 1'!$G$10)+LOG('Airfoil 1'!$H$10)</f>
        <v>15.176091259055681</v>
      </c>
      <c r="AA31" s="16">
        <f t="shared" ca="1" si="4"/>
        <v>-2.4290049054891254</v>
      </c>
      <c r="AB31" s="16">
        <f>LOG('Airfoil 1'!$F$10)^2+LOG('Airfoil 1'!$G$10)^2+LOG('Airfoil 1'!$H$10)^2</f>
        <v>76.867141336751558</v>
      </c>
      <c r="AC31" s="16">
        <f ca="1">LOG('Airfoil 1'!$F$10)*LOG(ABS(W31))+LOG('Airfoil 1'!$G$10)*LOG(ABS(X31))+LOG('Airfoil 1'!$H$10)*LOG(ABS(Y31))</f>
        <v>-12.287600038132297</v>
      </c>
      <c r="AD31" s="16">
        <f t="shared" ca="1" si="5"/>
        <v>0.1550000000000121</v>
      </c>
      <c r="AE31" s="16">
        <f t="shared" ca="1" si="6"/>
        <v>-6.6718325633022456E-15</v>
      </c>
      <c r="AF31" s="42">
        <f t="shared" ca="1" si="7"/>
        <v>-0.15499999999999917</v>
      </c>
      <c r="AG31" s="16"/>
      <c r="AH31" s="42"/>
      <c r="AI31" s="16">
        <f ca="1">(L31-'Airfoil 1'!$Z$22)/ABS(L31-'Airfoil 1'!$Z$22)</f>
        <v>1</v>
      </c>
      <c r="AJ31" s="16">
        <f ca="1">(L31-'Airfoil 1'!$Z$23)/ABS(L31-'Airfoil 1'!$Z$23)</f>
        <v>1</v>
      </c>
      <c r="AK31" s="16">
        <f ca="1">(L31-'Airfoil 1'!$Z$24)/ABS(L31-'Airfoil 1'!$Z$24)</f>
        <v>1</v>
      </c>
      <c r="AL31" s="16">
        <f ca="1">(L31-'Airfoil 1'!$Z$25)/ABS(L31-'Airfoil 1'!$Z$25)</f>
        <v>1</v>
      </c>
      <c r="AM31" s="16">
        <f ca="1">(L31-'Airfoil 1'!$Z$26)/ABS(L31-'Airfoil 1'!$Z$26)</f>
        <v>1</v>
      </c>
      <c r="AN31" s="16">
        <f ca="1">(L31-'Airfoil 1'!$Z$27)/ABS(L31-'Airfoil 1'!$Z$27)</f>
        <v>1</v>
      </c>
      <c r="AO31" s="16">
        <f ca="1">(L31-'Airfoil 1'!$Z$28)/ABS(L31-'Airfoil 1'!$Z$28)</f>
        <v>1</v>
      </c>
      <c r="AP31" s="16">
        <f ca="1">(L31-'Airfoil 1'!$Z$29)/ABS(L31-'Airfoil 1'!$Z$29)</f>
        <v>-1</v>
      </c>
      <c r="AQ31" s="16">
        <f ca="1">(L31-'Airfoil 1'!$Z$30)/ABS(L31-'Airfoil 1'!$Z$30)</f>
        <v>-1</v>
      </c>
      <c r="AR31" s="16">
        <f ca="1">(L31-'Airfoil 1'!$Z$31)/ABS(L31-'Airfoil 1'!$Z$31)</f>
        <v>-1</v>
      </c>
      <c r="AS31" s="16">
        <f ca="1">(L31-'Airfoil 1'!$Z$32)/ABS(L31-'Airfoil 1'!$Z$32)</f>
        <v>-1</v>
      </c>
      <c r="AT31" s="16">
        <f ca="1">(L31-'Airfoil 1'!$Z$33)/ABS(L31-'Airfoil 1'!$Z$33)</f>
        <v>-1</v>
      </c>
      <c r="AU31" s="16">
        <f ca="1">(L31-'Airfoil 1'!$Z$34)/ABS(L31-'Airfoil 1'!$Z$34)</f>
        <v>-1</v>
      </c>
      <c r="AV31" s="16">
        <f ca="1">(L31-'Airfoil 1'!$Z$35)/ABS(L31-'Airfoil 1'!$Z$35)</f>
        <v>-1</v>
      </c>
      <c r="AW31" s="16">
        <f ca="1">(L31-'Airfoil 1'!$Z$36)/ABS(L31-'Airfoil 1'!$Z$36)</f>
        <v>-1</v>
      </c>
      <c r="AX31" s="16">
        <f ca="1">(L31-'Airfoil 1'!$Z$37)/ABS(L31-'Airfoil 1'!$Z$37)</f>
        <v>-1</v>
      </c>
      <c r="AY31" s="16">
        <f ca="1">(L31-'Airfoil 1'!$Z$38)/ABS(L31-'Airfoil 1'!$Z$38)</f>
        <v>-1</v>
      </c>
      <c r="AZ31" s="16">
        <f ca="1">(L31-'Airfoil 1'!$Z$39)/ABS(L31-'Airfoil 1'!$Z$39)</f>
        <v>-1</v>
      </c>
      <c r="BA31" s="16">
        <f ca="1">(L31-'Airfoil 1'!$Z$40)/ABS(L31-'Airfoil 1'!$Z$40)</f>
        <v>-1</v>
      </c>
      <c r="BB31" s="16">
        <f ca="1">(L31-'Airfoil 1'!$Z$41)/ABS(L31-'Airfoil 1'!$Z$41)</f>
        <v>-1</v>
      </c>
      <c r="BC31" s="5">
        <f t="shared" ca="1" si="8"/>
        <v>7</v>
      </c>
      <c r="BD31" s="42">
        <f ca="1">INDEX('Airfoil 1'!$AA$22:$AA$41,BC31,1)+INDEX('Airfoil 1'!$AB$22:$AB$41,BC31,1)*(L31-INDEX('Airfoil 1'!$Z$22:$Z$41,BC31,1))</f>
        <v>2.4570469797339105E-2</v>
      </c>
      <c r="BE31" s="6"/>
      <c r="BF31" s="16">
        <f ca="1">(L31-'Airfoil 1'!$Z$47)/ABS(L31-'Airfoil 1'!$Z$47)</f>
        <v>1</v>
      </c>
      <c r="BG31" s="16">
        <f ca="1">(L31-'Airfoil 1'!$Z$48)/ABS(L31-'Airfoil 1'!$Z$48)</f>
        <v>1</v>
      </c>
      <c r="BH31" s="16">
        <f ca="1">(L31-'Airfoil 1'!$Z$49)/ABS(L31-'Airfoil 1'!$Z$49)</f>
        <v>1</v>
      </c>
      <c r="BI31" s="16">
        <f ca="1">(L31-'Airfoil 1'!$Z$50)/ABS(L31-'Airfoil 1'!$Z$50)</f>
        <v>1</v>
      </c>
      <c r="BJ31" s="16">
        <f ca="1">(L31-'Airfoil 1'!$Z$51)/ABS(L31-'Airfoil 1'!$Z$51)</f>
        <v>1</v>
      </c>
      <c r="BK31" s="16">
        <f ca="1">(L31-'Airfoil 1'!$Z$52)/ABS(L31-'Airfoil 1'!$Z$52)</f>
        <v>-1</v>
      </c>
      <c r="BL31" s="16">
        <f ca="1">(L31-'Airfoil 1'!$Z$53)/ABS(L31-'Airfoil 1'!$Z$53)</f>
        <v>-1</v>
      </c>
      <c r="BM31" s="16">
        <f ca="1">(L31-'Airfoil 1'!$Z$54)/ABS(L31-'Airfoil 1'!$Z$54)</f>
        <v>-1</v>
      </c>
      <c r="BN31" s="16">
        <f ca="1">(L31-'Airfoil 1'!$Z$55)/ABS(L31-'Airfoil 1'!$Z$55)</f>
        <v>-1</v>
      </c>
      <c r="BO31" s="16">
        <f ca="1">(L31-'Airfoil 1'!$Z$56)/ABS(L31-'Airfoil 1'!$Z$56)</f>
        <v>-1</v>
      </c>
      <c r="BP31" s="16">
        <f ca="1">(L31-'Airfoil 1'!$Z$57)/ABS(L31-'Airfoil 1'!$Z$57)</f>
        <v>-1</v>
      </c>
      <c r="BQ31" s="16">
        <f ca="1">(L31-'Airfoil 1'!$Z$58)/ABS(L31-'Airfoil 1'!$Z$58)</f>
        <v>-1</v>
      </c>
      <c r="BR31" s="16">
        <f ca="1">(L31-'Airfoil 1'!$Z$59)/ABS(L31-'Airfoil 1'!$Z$59)</f>
        <v>-1</v>
      </c>
      <c r="BS31" s="16">
        <f ca="1">(L31-'Airfoil 1'!$Z$60)/ABS(L31-'Airfoil 1'!$Z$60)</f>
        <v>-1</v>
      </c>
      <c r="BT31" s="16">
        <f ca="1">(L31-'Airfoil 1'!$Z$61)/ABS(L31-'Airfoil 1'!$Z$61)</f>
        <v>-1</v>
      </c>
      <c r="BU31" s="16">
        <f ca="1">(L31-'Airfoil 1'!$Z$62)/ABS(L31-'Airfoil 1'!$Z$62)</f>
        <v>-1</v>
      </c>
      <c r="BV31" s="16">
        <f ca="1">(L31-'Airfoil 1'!$Z$63)/ABS(L31-'Airfoil 1'!$Z$63)</f>
        <v>-1</v>
      </c>
      <c r="BW31" s="16">
        <f ca="1">(L31-'Airfoil 1'!$Z$64)/ABS(L31-'Airfoil 1'!$Z$64)</f>
        <v>-1</v>
      </c>
      <c r="BX31" s="16">
        <f ca="1">(L31-'Airfoil 1'!$Z$65)/ABS(L31-'Airfoil 1'!$Z$65)</f>
        <v>-1</v>
      </c>
      <c r="BY31" s="16">
        <f ca="1">(L31-'Airfoil 1'!$Z$66)/ABS(L31-'Airfoil 1'!$Z$66)</f>
        <v>-1</v>
      </c>
      <c r="BZ31" s="5">
        <f t="shared" ca="1" si="9"/>
        <v>5</v>
      </c>
      <c r="CA31" s="42">
        <f ca="1">INDEX('Airfoil 1'!$AA$47:$AA$66,BZ31,1)+INDEX('Airfoil 1'!$AB$47:$AB$66,BZ31,1)*(L31-INDEX('Airfoil 1'!$Z$47:$Z$66,BZ31,1))</f>
        <v>1.7097178963399389E-2</v>
      </c>
      <c r="CC31" s="16">
        <f ca="1">(L31-'Airfoil 1'!$Z$72)/ABS(L31-'Airfoil 1'!$Z$72)</f>
        <v>1</v>
      </c>
      <c r="CD31" s="16">
        <f ca="1">(L31-'Airfoil 1'!$Z$73)/ABS(L31-'Airfoil 1'!$Z$73)</f>
        <v>1</v>
      </c>
      <c r="CE31" s="16">
        <f ca="1">(L31-'Airfoil 1'!$Z$74)/ABS(L31-'Airfoil 1'!$Z$74)</f>
        <v>1</v>
      </c>
      <c r="CF31" s="16">
        <f ca="1">(L31-'Airfoil 1'!$Z$75)/ABS(L31-'Airfoil 1'!$Z$75)</f>
        <v>1</v>
      </c>
      <c r="CG31" s="16">
        <f ca="1">(L31-'Airfoil 1'!$Z$76)/ABS(L31-'Airfoil 1'!$Z$76)</f>
        <v>-1</v>
      </c>
      <c r="CH31" s="16">
        <f ca="1">(L31-'Airfoil 1'!$Z$77)/ABS(L31-'Airfoil 1'!$Z$77)</f>
        <v>-1</v>
      </c>
      <c r="CI31" s="16">
        <f ca="1">(L31-'Airfoil 1'!$Z$78)/ABS(L31-'Airfoil 1'!$Z$78)</f>
        <v>-1</v>
      </c>
      <c r="CJ31" s="16">
        <f ca="1">(L31-'Airfoil 1'!$Z$79)/ABS(L31-'Airfoil 1'!$Z$79)</f>
        <v>-1</v>
      </c>
      <c r="CK31" s="16">
        <f ca="1">(L31-'Airfoil 1'!$Z$80)/ABS(L31-'Airfoil 1'!$Z$80)</f>
        <v>-1</v>
      </c>
      <c r="CL31" s="16">
        <f ca="1">(L31-'Airfoil 1'!$Z$81)/ABS(L31-'Airfoil 1'!$Z$81)</f>
        <v>-1</v>
      </c>
      <c r="CM31" s="16">
        <f ca="1">(L31-'Airfoil 1'!$Z$82)/ABS(L31-'Airfoil 1'!$Z$82)</f>
        <v>-1</v>
      </c>
      <c r="CN31" s="16">
        <f ca="1">(L31-'Airfoil 1'!$Z$83)/ABS(L31-'Airfoil 1'!$Z$83)</f>
        <v>-1</v>
      </c>
      <c r="CO31" s="16">
        <f ca="1">(L31-'Airfoil 1'!$Z$84)/ABS(L31-'Airfoil 1'!$Z$84)</f>
        <v>-1</v>
      </c>
      <c r="CP31" s="16">
        <f ca="1">(L31-'Airfoil 1'!$Z$85)/ABS(L31-'Airfoil 1'!$Z$85)</f>
        <v>-1</v>
      </c>
      <c r="CQ31" s="16">
        <f ca="1">(L31-'Airfoil 1'!$Z$86)/ABS(L31-'Airfoil 1'!$Z$86)</f>
        <v>-1</v>
      </c>
      <c r="CR31" s="16">
        <f ca="1">(L31-'Airfoil 1'!$Z$87)/ABS(L31-'Airfoil 1'!$Z$87)</f>
        <v>-1</v>
      </c>
      <c r="CS31" s="16">
        <f ca="1">(L31-'Airfoil 1'!$Z$88)/ABS(L31-'Airfoil 1'!$Z$88)</f>
        <v>-1</v>
      </c>
      <c r="CT31" s="16">
        <f ca="1">(L31-'Airfoil 1'!$Z$89)/ABS(L31-'Airfoil 1'!$Z$89)</f>
        <v>-1</v>
      </c>
      <c r="CU31" s="16">
        <f ca="1">(L31-'Airfoil 1'!$Z$90)/ABS(L31-'Airfoil 1'!$Z$90)</f>
        <v>-1</v>
      </c>
      <c r="CV31" s="16">
        <f ca="1">(L31-'Airfoil 1'!$Z$91)/ABS(L31-'Airfoil 1'!$Z$91)</f>
        <v>-1</v>
      </c>
      <c r="CW31" s="5">
        <f t="shared" ca="1" si="10"/>
        <v>4</v>
      </c>
      <c r="CX31" s="42">
        <f ca="1">INDEX('Airfoil 1'!$AA$72:$AA$91,CW31,1)+INDEX('Airfoil 1'!$AB$72:$AB$91,CW31,1)*(L31-INDEX('Airfoil 1'!$Z$72:$Z$91,CW31,1))</f>
        <v>1.0813432315996078E-2</v>
      </c>
    </row>
    <row r="32" spans="2:102">
      <c r="B32" s="31">
        <f>Main!B32</f>
        <v>0.33333333333333326</v>
      </c>
      <c r="D32" s="1">
        <f>Takeoff!F32</f>
        <v>1.2249994633486807</v>
      </c>
      <c r="E32" s="4">
        <f>ISA!$O$10</f>
        <v>1.783E-5</v>
      </c>
      <c r="G32" s="13">
        <f ca="1">Takeoff!T32</f>
        <v>11.754972136958465</v>
      </c>
      <c r="H32" s="5">
        <f t="shared" ca="1" si="0"/>
        <v>269206.10505613778</v>
      </c>
      <c r="I32" s="16">
        <f ca="1">'Airfoil 2'!$K$14*H32^'Airfoil 2'!$L$13</f>
        <v>1.5771262925443723</v>
      </c>
      <c r="J32" s="1">
        <f ca="1">'Airfoil 2'!$K$33*H32^'Airfoil 2'!$L$32</f>
        <v>5.4980318871725942</v>
      </c>
      <c r="K32" s="13">
        <f ca="1">'Airfoil 2'!$K$52*H32^'Airfoil 2'!$L$51</f>
        <v>-7.6913760287219537</v>
      </c>
      <c r="L32" s="16">
        <f ca="1">'Aerodynamics-Takeoff'!W32</f>
        <v>0.86335952916954373</v>
      </c>
      <c r="M32" s="10">
        <f ca="1">('Airfoil 1'!$B$21+'Airfoil 1'!$B$22*L32+'Airfoil 1'!$B$23*L32^2+'Airfoil 1'!$B$24*L32^3+'Airfoil 1'!$B$25*L32^4+'Airfoil 1'!$B$26*L32^5+'Airfoil 1'!$B$27*L32^6)*0+BD32</f>
        <v>2.4569548476271384E-2</v>
      </c>
      <c r="N32" s="42">
        <f ca="1">('Airfoil 1'!$B$29+'Airfoil 1'!$B$30*L32+'Airfoil 1'!$B$31*L32^2+'Airfoil 1'!$B$32*L32^3+'Airfoil 1'!$B$33*L32^4+'Airfoil 1'!$B$34*L32^5+'Airfoil 1'!$B$35*L32^6)*0+CA32</f>
        <v>1.7096975112762355E-2</v>
      </c>
      <c r="O32" s="42">
        <f ca="1">('Airfoil 1'!$B$37+'Airfoil 1'!$B$38*L32+'Airfoil 1'!$B$39*L32^2+'Airfoil 1'!$B$40*L32^3+'Airfoil 1'!$B$41*L32^4+'Airfoil 1'!$B$42*L32^5+'Airfoil 1'!$B$43*L32^6)*0+CX32</f>
        <v>1.0816802857986927E-2</v>
      </c>
      <c r="P32" s="16">
        <f>LOG('Airfoil 1'!$F$10)+LOG('Airfoil 1'!$G$10)+LOG('Airfoil 1'!$H$10)</f>
        <v>15.176091259055681</v>
      </c>
      <c r="Q32" s="16">
        <f t="shared" ca="1" si="1"/>
        <v>-5.3425846305945033</v>
      </c>
      <c r="R32" s="16">
        <f>LOG('Airfoil 1'!$F$10)^2+LOG('Airfoil 1'!$G$10)^2+LOG('Airfoil 1'!$H$10)^2</f>
        <v>76.867141336751558</v>
      </c>
      <c r="S32" s="16">
        <f ca="1">LOG('Airfoil 1'!$F$10)*LOG(M32)+LOG('Airfoil 1'!$G$10)*LOG(N32)+LOG('Airfoil 1'!$H$10)*LOG(O32)</f>
        <v>-27.103616604855752</v>
      </c>
      <c r="T32" s="16">
        <f t="shared" ca="1" si="2"/>
        <v>193.38091925862122</v>
      </c>
      <c r="U32" s="16">
        <f t="shared" ca="1" si="3"/>
        <v>-0.80401634936293387</v>
      </c>
      <c r="V32" s="42">
        <f ca="1">IF(Energy!$F$11=1,Energy!$T$13,1)*T32*H32^U32</f>
        <v>9.1815325201177814E-3</v>
      </c>
      <c r="W32" s="10">
        <f ca="1">'Airfoil 1'!$B$48+'Airfoil 1'!$B$49*L32+'Airfoil 1'!$B$50*L32^2+'Airfoil 1'!$B$51*L32^3+'Airfoil 1'!$B$52*L32^4+'Airfoil 1'!$B$53*L32^5+'Airfoil 1'!$B$54*L32^6</f>
        <v>-0.155</v>
      </c>
      <c r="X32" s="42">
        <f ca="1">'Airfoil 1'!$B$56+'Airfoil 1'!$B$57*L32+'Airfoil 1'!$B$58*L32^2+'Airfoil 1'!$B$59*L32^3+'Airfoil 1'!$B$60*L32^4+'Airfoil 1'!$B$61*L32^5+'Airfoil 1'!$B$62*L32^6</f>
        <v>-0.155</v>
      </c>
      <c r="Y32" s="42">
        <f ca="1">'Airfoil 1'!$B$64+'Airfoil 1'!$B$65*L32+'Airfoil 1'!$B$66*L32^2+'Airfoil 1'!$B$67*L32^3+'Airfoil 1'!$B$681*L32^4+'Airfoil 1'!$B$69*L32^5+'Airfoil 1'!$B$70*L32^6</f>
        <v>-0.155</v>
      </c>
      <c r="Z32" s="16">
        <f>LOG('Airfoil 1'!$F$10)+LOG('Airfoil 1'!$G$10)+LOG('Airfoil 1'!$H$10)</f>
        <v>15.176091259055681</v>
      </c>
      <c r="AA32" s="16">
        <f t="shared" ca="1" si="4"/>
        <v>-2.4290049054891254</v>
      </c>
      <c r="AB32" s="16">
        <f>LOG('Airfoil 1'!$F$10)^2+LOG('Airfoil 1'!$G$10)^2+LOG('Airfoil 1'!$H$10)^2</f>
        <v>76.867141336751558</v>
      </c>
      <c r="AC32" s="16">
        <f ca="1">LOG('Airfoil 1'!$F$10)*LOG(ABS(W32))+LOG('Airfoil 1'!$G$10)*LOG(ABS(X32))+LOG('Airfoil 1'!$H$10)*LOG(ABS(Y32))</f>
        <v>-12.287600038132297</v>
      </c>
      <c r="AD32" s="16">
        <f t="shared" ca="1" si="5"/>
        <v>0.1550000000000121</v>
      </c>
      <c r="AE32" s="16">
        <f t="shared" ca="1" si="6"/>
        <v>-6.6718325633022456E-15</v>
      </c>
      <c r="AF32" s="42">
        <f t="shared" ca="1" si="7"/>
        <v>-0.15499999999999917</v>
      </c>
      <c r="AG32" s="16"/>
      <c r="AH32" s="42"/>
      <c r="AI32" s="16">
        <f ca="1">(L32-'Airfoil 1'!$Z$22)/ABS(L32-'Airfoil 1'!$Z$22)</f>
        <v>1</v>
      </c>
      <c r="AJ32" s="16">
        <f ca="1">(L32-'Airfoil 1'!$Z$23)/ABS(L32-'Airfoil 1'!$Z$23)</f>
        <v>1</v>
      </c>
      <c r="AK32" s="16">
        <f ca="1">(L32-'Airfoil 1'!$Z$24)/ABS(L32-'Airfoil 1'!$Z$24)</f>
        <v>1</v>
      </c>
      <c r="AL32" s="16">
        <f ca="1">(L32-'Airfoil 1'!$Z$25)/ABS(L32-'Airfoil 1'!$Z$25)</f>
        <v>1</v>
      </c>
      <c r="AM32" s="16">
        <f ca="1">(L32-'Airfoil 1'!$Z$26)/ABS(L32-'Airfoil 1'!$Z$26)</f>
        <v>1</v>
      </c>
      <c r="AN32" s="16">
        <f ca="1">(L32-'Airfoil 1'!$Z$27)/ABS(L32-'Airfoil 1'!$Z$27)</f>
        <v>1</v>
      </c>
      <c r="AO32" s="16">
        <f ca="1">(L32-'Airfoil 1'!$Z$28)/ABS(L32-'Airfoil 1'!$Z$28)</f>
        <v>1</v>
      </c>
      <c r="AP32" s="16">
        <f ca="1">(L32-'Airfoil 1'!$Z$29)/ABS(L32-'Airfoil 1'!$Z$29)</f>
        <v>-1</v>
      </c>
      <c r="AQ32" s="16">
        <f ca="1">(L32-'Airfoil 1'!$Z$30)/ABS(L32-'Airfoil 1'!$Z$30)</f>
        <v>-1</v>
      </c>
      <c r="AR32" s="16">
        <f ca="1">(L32-'Airfoil 1'!$Z$31)/ABS(L32-'Airfoil 1'!$Z$31)</f>
        <v>-1</v>
      </c>
      <c r="AS32" s="16">
        <f ca="1">(L32-'Airfoil 1'!$Z$32)/ABS(L32-'Airfoil 1'!$Z$32)</f>
        <v>-1</v>
      </c>
      <c r="AT32" s="16">
        <f ca="1">(L32-'Airfoil 1'!$Z$33)/ABS(L32-'Airfoil 1'!$Z$33)</f>
        <v>-1</v>
      </c>
      <c r="AU32" s="16">
        <f ca="1">(L32-'Airfoil 1'!$Z$34)/ABS(L32-'Airfoil 1'!$Z$34)</f>
        <v>-1</v>
      </c>
      <c r="AV32" s="16">
        <f ca="1">(L32-'Airfoil 1'!$Z$35)/ABS(L32-'Airfoil 1'!$Z$35)</f>
        <v>-1</v>
      </c>
      <c r="AW32" s="16">
        <f ca="1">(L32-'Airfoil 1'!$Z$36)/ABS(L32-'Airfoil 1'!$Z$36)</f>
        <v>-1</v>
      </c>
      <c r="AX32" s="16">
        <f ca="1">(L32-'Airfoil 1'!$Z$37)/ABS(L32-'Airfoil 1'!$Z$37)</f>
        <v>-1</v>
      </c>
      <c r="AY32" s="16">
        <f ca="1">(L32-'Airfoil 1'!$Z$38)/ABS(L32-'Airfoil 1'!$Z$38)</f>
        <v>-1</v>
      </c>
      <c r="AZ32" s="16">
        <f ca="1">(L32-'Airfoil 1'!$Z$39)/ABS(L32-'Airfoil 1'!$Z$39)</f>
        <v>-1</v>
      </c>
      <c r="BA32" s="16">
        <f ca="1">(L32-'Airfoil 1'!$Z$40)/ABS(L32-'Airfoil 1'!$Z$40)</f>
        <v>-1</v>
      </c>
      <c r="BB32" s="16">
        <f ca="1">(L32-'Airfoil 1'!$Z$41)/ABS(L32-'Airfoil 1'!$Z$41)</f>
        <v>-1</v>
      </c>
      <c r="BC32" s="5">
        <f t="shared" ca="1" si="8"/>
        <v>7</v>
      </c>
      <c r="BD32" s="42">
        <f ca="1">INDEX('Airfoil 1'!$AA$22:$AA$41,BC32,1)+INDEX('Airfoil 1'!$AB$22:$AB$41,BC32,1)*(L32-INDEX('Airfoil 1'!$Z$22:$Z$41,BC32,1))</f>
        <v>2.4569548476271075E-2</v>
      </c>
      <c r="BE32" s="6"/>
      <c r="BF32" s="16">
        <f ca="1">(L32-'Airfoil 1'!$Z$47)/ABS(L32-'Airfoil 1'!$Z$47)</f>
        <v>1</v>
      </c>
      <c r="BG32" s="16">
        <f ca="1">(L32-'Airfoil 1'!$Z$48)/ABS(L32-'Airfoil 1'!$Z$48)</f>
        <v>1</v>
      </c>
      <c r="BH32" s="16">
        <f ca="1">(L32-'Airfoil 1'!$Z$49)/ABS(L32-'Airfoil 1'!$Z$49)</f>
        <v>1</v>
      </c>
      <c r="BI32" s="16">
        <f ca="1">(L32-'Airfoil 1'!$Z$50)/ABS(L32-'Airfoil 1'!$Z$50)</f>
        <v>1</v>
      </c>
      <c r="BJ32" s="16">
        <f ca="1">(L32-'Airfoil 1'!$Z$51)/ABS(L32-'Airfoil 1'!$Z$51)</f>
        <v>1</v>
      </c>
      <c r="BK32" s="16">
        <f ca="1">(L32-'Airfoil 1'!$Z$52)/ABS(L32-'Airfoil 1'!$Z$52)</f>
        <v>-1</v>
      </c>
      <c r="BL32" s="16">
        <f ca="1">(L32-'Airfoil 1'!$Z$53)/ABS(L32-'Airfoil 1'!$Z$53)</f>
        <v>-1</v>
      </c>
      <c r="BM32" s="16">
        <f ca="1">(L32-'Airfoil 1'!$Z$54)/ABS(L32-'Airfoil 1'!$Z$54)</f>
        <v>-1</v>
      </c>
      <c r="BN32" s="16">
        <f ca="1">(L32-'Airfoil 1'!$Z$55)/ABS(L32-'Airfoil 1'!$Z$55)</f>
        <v>-1</v>
      </c>
      <c r="BO32" s="16">
        <f ca="1">(L32-'Airfoil 1'!$Z$56)/ABS(L32-'Airfoil 1'!$Z$56)</f>
        <v>-1</v>
      </c>
      <c r="BP32" s="16">
        <f ca="1">(L32-'Airfoil 1'!$Z$57)/ABS(L32-'Airfoil 1'!$Z$57)</f>
        <v>-1</v>
      </c>
      <c r="BQ32" s="16">
        <f ca="1">(L32-'Airfoil 1'!$Z$58)/ABS(L32-'Airfoil 1'!$Z$58)</f>
        <v>-1</v>
      </c>
      <c r="BR32" s="16">
        <f ca="1">(L32-'Airfoil 1'!$Z$59)/ABS(L32-'Airfoil 1'!$Z$59)</f>
        <v>-1</v>
      </c>
      <c r="BS32" s="16">
        <f ca="1">(L32-'Airfoil 1'!$Z$60)/ABS(L32-'Airfoil 1'!$Z$60)</f>
        <v>-1</v>
      </c>
      <c r="BT32" s="16">
        <f ca="1">(L32-'Airfoil 1'!$Z$61)/ABS(L32-'Airfoil 1'!$Z$61)</f>
        <v>-1</v>
      </c>
      <c r="BU32" s="16">
        <f ca="1">(L32-'Airfoil 1'!$Z$62)/ABS(L32-'Airfoil 1'!$Z$62)</f>
        <v>-1</v>
      </c>
      <c r="BV32" s="16">
        <f ca="1">(L32-'Airfoil 1'!$Z$63)/ABS(L32-'Airfoil 1'!$Z$63)</f>
        <v>-1</v>
      </c>
      <c r="BW32" s="16">
        <f ca="1">(L32-'Airfoil 1'!$Z$64)/ABS(L32-'Airfoil 1'!$Z$64)</f>
        <v>-1</v>
      </c>
      <c r="BX32" s="16">
        <f ca="1">(L32-'Airfoil 1'!$Z$65)/ABS(L32-'Airfoil 1'!$Z$65)</f>
        <v>-1</v>
      </c>
      <c r="BY32" s="16">
        <f ca="1">(L32-'Airfoil 1'!$Z$66)/ABS(L32-'Airfoil 1'!$Z$66)</f>
        <v>-1</v>
      </c>
      <c r="BZ32" s="5">
        <f t="shared" ca="1" si="9"/>
        <v>5</v>
      </c>
      <c r="CA32" s="42">
        <f ca="1">INDEX('Airfoil 1'!$AA$47:$AA$66,BZ32,1)+INDEX('Airfoil 1'!$AB$47:$AB$66,BZ32,1)*(L32-INDEX('Airfoil 1'!$Z$47:$Z$66,BZ32,1))</f>
        <v>1.7096975112762286E-2</v>
      </c>
      <c r="CC32" s="16">
        <f ca="1">(L32-'Airfoil 1'!$Z$72)/ABS(L32-'Airfoil 1'!$Z$72)</f>
        <v>1</v>
      </c>
      <c r="CD32" s="16">
        <f ca="1">(L32-'Airfoil 1'!$Z$73)/ABS(L32-'Airfoil 1'!$Z$73)</f>
        <v>1</v>
      </c>
      <c r="CE32" s="16">
        <f ca="1">(L32-'Airfoil 1'!$Z$74)/ABS(L32-'Airfoil 1'!$Z$74)</f>
        <v>1</v>
      </c>
      <c r="CF32" s="16">
        <f ca="1">(L32-'Airfoil 1'!$Z$75)/ABS(L32-'Airfoil 1'!$Z$75)</f>
        <v>1</v>
      </c>
      <c r="CG32" s="16">
        <f ca="1">(L32-'Airfoil 1'!$Z$76)/ABS(L32-'Airfoil 1'!$Z$76)</f>
        <v>-1</v>
      </c>
      <c r="CH32" s="16">
        <f ca="1">(L32-'Airfoil 1'!$Z$77)/ABS(L32-'Airfoil 1'!$Z$77)</f>
        <v>-1</v>
      </c>
      <c r="CI32" s="16">
        <f ca="1">(L32-'Airfoil 1'!$Z$78)/ABS(L32-'Airfoil 1'!$Z$78)</f>
        <v>-1</v>
      </c>
      <c r="CJ32" s="16">
        <f ca="1">(L32-'Airfoil 1'!$Z$79)/ABS(L32-'Airfoil 1'!$Z$79)</f>
        <v>-1</v>
      </c>
      <c r="CK32" s="16">
        <f ca="1">(L32-'Airfoil 1'!$Z$80)/ABS(L32-'Airfoil 1'!$Z$80)</f>
        <v>-1</v>
      </c>
      <c r="CL32" s="16">
        <f ca="1">(L32-'Airfoil 1'!$Z$81)/ABS(L32-'Airfoil 1'!$Z$81)</f>
        <v>-1</v>
      </c>
      <c r="CM32" s="16">
        <f ca="1">(L32-'Airfoil 1'!$Z$82)/ABS(L32-'Airfoil 1'!$Z$82)</f>
        <v>-1</v>
      </c>
      <c r="CN32" s="16">
        <f ca="1">(L32-'Airfoil 1'!$Z$83)/ABS(L32-'Airfoil 1'!$Z$83)</f>
        <v>-1</v>
      </c>
      <c r="CO32" s="16">
        <f ca="1">(L32-'Airfoil 1'!$Z$84)/ABS(L32-'Airfoil 1'!$Z$84)</f>
        <v>-1</v>
      </c>
      <c r="CP32" s="16">
        <f ca="1">(L32-'Airfoil 1'!$Z$85)/ABS(L32-'Airfoil 1'!$Z$85)</f>
        <v>-1</v>
      </c>
      <c r="CQ32" s="16">
        <f ca="1">(L32-'Airfoil 1'!$Z$86)/ABS(L32-'Airfoil 1'!$Z$86)</f>
        <v>-1</v>
      </c>
      <c r="CR32" s="16">
        <f ca="1">(L32-'Airfoil 1'!$Z$87)/ABS(L32-'Airfoil 1'!$Z$87)</f>
        <v>-1</v>
      </c>
      <c r="CS32" s="16">
        <f ca="1">(L32-'Airfoil 1'!$Z$88)/ABS(L32-'Airfoil 1'!$Z$88)</f>
        <v>-1</v>
      </c>
      <c r="CT32" s="16">
        <f ca="1">(L32-'Airfoil 1'!$Z$89)/ABS(L32-'Airfoil 1'!$Z$89)</f>
        <v>-1</v>
      </c>
      <c r="CU32" s="16">
        <f ca="1">(L32-'Airfoil 1'!$Z$90)/ABS(L32-'Airfoil 1'!$Z$90)</f>
        <v>-1</v>
      </c>
      <c r="CV32" s="16">
        <f ca="1">(L32-'Airfoil 1'!$Z$91)/ABS(L32-'Airfoil 1'!$Z$91)</f>
        <v>-1</v>
      </c>
      <c r="CW32" s="5">
        <f t="shared" ca="1" si="10"/>
        <v>4</v>
      </c>
      <c r="CX32" s="42">
        <f ca="1">INDEX('Airfoil 1'!$AA$72:$AA$91,CW32,1)+INDEX('Airfoil 1'!$AB$72:$AB$91,CW32,1)*(L32-INDEX('Airfoil 1'!$Z$72:$Z$91,CW32,1))</f>
        <v>1.0816802857988058E-2</v>
      </c>
    </row>
    <row r="33" spans="2:102">
      <c r="B33" s="31">
        <f>Main!B33</f>
        <v>0.33333333333333326</v>
      </c>
      <c r="D33" s="1">
        <f>Takeoff!F33</f>
        <v>1.2249994633486807</v>
      </c>
      <c r="E33" s="4">
        <f>ISA!$O$10</f>
        <v>1.783E-5</v>
      </c>
      <c r="G33" s="13">
        <f ca="1">Takeoff!T33</f>
        <v>11.562571144367805</v>
      </c>
      <c r="H33" s="5">
        <f t="shared" ca="1" si="0"/>
        <v>264799.84009686852</v>
      </c>
      <c r="I33" s="16">
        <f ca="1">'Airfoil 2'!$K$14*H33^'Airfoil 2'!$L$13</f>
        <v>1.5767645177678962</v>
      </c>
      <c r="J33" s="1">
        <f ca="1">'Airfoil 2'!$K$33*H33^'Airfoil 2'!$L$32</f>
        <v>5.5286347776920062</v>
      </c>
      <c r="K33" s="13">
        <f ca="1">'Airfoil 2'!$K$52*H33^'Airfoil 2'!$L$51</f>
        <v>-7.6069574310428658</v>
      </c>
      <c r="L33" s="16">
        <f ca="1">'Aerodynamics-Takeoff'!W33</f>
        <v>0.86376265991264545</v>
      </c>
      <c r="M33" s="10">
        <f ca="1">('Airfoil 1'!$B$21+'Airfoil 1'!$B$22*L33+'Airfoil 1'!$B$23*L33^2+'Airfoil 1'!$B$24*L33^3+'Airfoil 1'!$B$25*L33^4+'Airfoil 1'!$B$26*L33^5+'Airfoil 1'!$B$27*L33^6)*0+BD33</f>
        <v>2.4568665708220805E-2</v>
      </c>
      <c r="N33" s="42">
        <f ca="1">('Airfoil 1'!$B$29+'Airfoil 1'!$B$30*L33+'Airfoil 1'!$B$31*L33^2+'Airfoil 1'!$B$32*L33^3+'Airfoil 1'!$B$33*L33^4+'Airfoil 1'!$B$34*L33^5+'Airfoil 1'!$B$35*L33^6)*0+CA33</f>
        <v>1.7096779792329805E-2</v>
      </c>
      <c r="O33" s="42">
        <f ca="1">('Airfoil 1'!$B$37+'Airfoil 1'!$B$38*L33+'Airfoil 1'!$B$39*L33^2+'Airfoil 1'!$B$40*L33^3+'Airfoil 1'!$B$41*L33^4+'Airfoil 1'!$B$42*L33^5+'Airfoil 1'!$B$43*L33^6)*0+CX33</f>
        <v>1.082003235841506E-2</v>
      </c>
      <c r="P33" s="16">
        <f>LOG('Airfoil 1'!$F$10)+LOG('Airfoil 1'!$G$10)+LOG('Airfoil 1'!$H$10)</f>
        <v>15.176091259055681</v>
      </c>
      <c r="Q33" s="16">
        <f t="shared" ca="1" si="1"/>
        <v>-5.3424755512769941</v>
      </c>
      <c r="R33" s="16">
        <f>LOG('Airfoil 1'!$F$10)^2+LOG('Airfoil 1'!$G$10)^2+LOG('Airfoil 1'!$H$10)^2</f>
        <v>76.867141336751558</v>
      </c>
      <c r="S33" s="16">
        <f ca="1">LOG('Airfoil 1'!$F$10)*LOG(M33)+LOG('Airfoil 1'!$G$10)*LOG(N33)+LOG('Airfoil 1'!$H$10)*LOG(O33)</f>
        <v>-27.103030231652006</v>
      </c>
      <c r="T33" s="16">
        <f t="shared" ca="1" si="2"/>
        <v>192.58660356700707</v>
      </c>
      <c r="U33" s="16">
        <f t="shared" ca="1" si="3"/>
        <v>-0.80365580077860899</v>
      </c>
      <c r="V33" s="42">
        <f ca="1">IF(Energy!$F$11=1,Energy!$T$13,1)*T33*H33^U33</f>
        <v>9.3077645881015601E-3</v>
      </c>
      <c r="W33" s="10">
        <f ca="1">'Airfoil 1'!$B$48+'Airfoil 1'!$B$49*L33+'Airfoil 1'!$B$50*L33^2+'Airfoil 1'!$B$51*L33^3+'Airfoil 1'!$B$52*L33^4+'Airfoil 1'!$B$53*L33^5+'Airfoil 1'!$B$54*L33^6</f>
        <v>-0.155</v>
      </c>
      <c r="X33" s="42">
        <f ca="1">'Airfoil 1'!$B$56+'Airfoil 1'!$B$57*L33+'Airfoil 1'!$B$58*L33^2+'Airfoil 1'!$B$59*L33^3+'Airfoil 1'!$B$60*L33^4+'Airfoil 1'!$B$61*L33^5+'Airfoil 1'!$B$62*L33^6</f>
        <v>-0.155</v>
      </c>
      <c r="Y33" s="42">
        <f ca="1">'Airfoil 1'!$B$64+'Airfoil 1'!$B$65*L33+'Airfoil 1'!$B$66*L33^2+'Airfoil 1'!$B$67*L33^3+'Airfoil 1'!$B$681*L33^4+'Airfoil 1'!$B$69*L33^5+'Airfoil 1'!$B$70*L33^6</f>
        <v>-0.155</v>
      </c>
      <c r="Z33" s="16">
        <f>LOG('Airfoil 1'!$F$10)+LOG('Airfoil 1'!$G$10)+LOG('Airfoil 1'!$H$10)</f>
        <v>15.176091259055681</v>
      </c>
      <c r="AA33" s="16">
        <f t="shared" ca="1" si="4"/>
        <v>-2.4290049054891254</v>
      </c>
      <c r="AB33" s="16">
        <f>LOG('Airfoil 1'!$F$10)^2+LOG('Airfoil 1'!$G$10)^2+LOG('Airfoil 1'!$H$10)^2</f>
        <v>76.867141336751558</v>
      </c>
      <c r="AC33" s="16">
        <f ca="1">LOG('Airfoil 1'!$F$10)*LOG(ABS(W33))+LOG('Airfoil 1'!$G$10)*LOG(ABS(X33))+LOG('Airfoil 1'!$H$10)*LOG(ABS(Y33))</f>
        <v>-12.287600038132297</v>
      </c>
      <c r="AD33" s="16">
        <f t="shared" ca="1" si="5"/>
        <v>0.1550000000000121</v>
      </c>
      <c r="AE33" s="16">
        <f t="shared" ca="1" si="6"/>
        <v>-6.6718325633022456E-15</v>
      </c>
      <c r="AF33" s="42">
        <f t="shared" ca="1" si="7"/>
        <v>-0.15499999999999919</v>
      </c>
      <c r="AG33" s="16"/>
      <c r="AH33" s="42"/>
      <c r="AI33" s="16">
        <f ca="1">(L33-'Airfoil 1'!$Z$22)/ABS(L33-'Airfoil 1'!$Z$22)</f>
        <v>1</v>
      </c>
      <c r="AJ33" s="16">
        <f ca="1">(L33-'Airfoil 1'!$Z$23)/ABS(L33-'Airfoil 1'!$Z$23)</f>
        <v>1</v>
      </c>
      <c r="AK33" s="16">
        <f ca="1">(L33-'Airfoil 1'!$Z$24)/ABS(L33-'Airfoil 1'!$Z$24)</f>
        <v>1</v>
      </c>
      <c r="AL33" s="16">
        <f ca="1">(L33-'Airfoil 1'!$Z$25)/ABS(L33-'Airfoil 1'!$Z$25)</f>
        <v>1</v>
      </c>
      <c r="AM33" s="16">
        <f ca="1">(L33-'Airfoil 1'!$Z$26)/ABS(L33-'Airfoil 1'!$Z$26)</f>
        <v>1</v>
      </c>
      <c r="AN33" s="16">
        <f ca="1">(L33-'Airfoil 1'!$Z$27)/ABS(L33-'Airfoil 1'!$Z$27)</f>
        <v>1</v>
      </c>
      <c r="AO33" s="16">
        <f ca="1">(L33-'Airfoil 1'!$Z$28)/ABS(L33-'Airfoil 1'!$Z$28)</f>
        <v>1</v>
      </c>
      <c r="AP33" s="16">
        <f ca="1">(L33-'Airfoil 1'!$Z$29)/ABS(L33-'Airfoil 1'!$Z$29)</f>
        <v>-1</v>
      </c>
      <c r="AQ33" s="16">
        <f ca="1">(L33-'Airfoil 1'!$Z$30)/ABS(L33-'Airfoil 1'!$Z$30)</f>
        <v>-1</v>
      </c>
      <c r="AR33" s="16">
        <f ca="1">(L33-'Airfoil 1'!$Z$31)/ABS(L33-'Airfoil 1'!$Z$31)</f>
        <v>-1</v>
      </c>
      <c r="AS33" s="16">
        <f ca="1">(L33-'Airfoil 1'!$Z$32)/ABS(L33-'Airfoil 1'!$Z$32)</f>
        <v>-1</v>
      </c>
      <c r="AT33" s="16">
        <f ca="1">(L33-'Airfoil 1'!$Z$33)/ABS(L33-'Airfoil 1'!$Z$33)</f>
        <v>-1</v>
      </c>
      <c r="AU33" s="16">
        <f ca="1">(L33-'Airfoil 1'!$Z$34)/ABS(L33-'Airfoil 1'!$Z$34)</f>
        <v>-1</v>
      </c>
      <c r="AV33" s="16">
        <f ca="1">(L33-'Airfoil 1'!$Z$35)/ABS(L33-'Airfoil 1'!$Z$35)</f>
        <v>-1</v>
      </c>
      <c r="AW33" s="16">
        <f ca="1">(L33-'Airfoil 1'!$Z$36)/ABS(L33-'Airfoil 1'!$Z$36)</f>
        <v>-1</v>
      </c>
      <c r="AX33" s="16">
        <f ca="1">(L33-'Airfoil 1'!$Z$37)/ABS(L33-'Airfoil 1'!$Z$37)</f>
        <v>-1</v>
      </c>
      <c r="AY33" s="16">
        <f ca="1">(L33-'Airfoil 1'!$Z$38)/ABS(L33-'Airfoil 1'!$Z$38)</f>
        <v>-1</v>
      </c>
      <c r="AZ33" s="16">
        <f ca="1">(L33-'Airfoil 1'!$Z$39)/ABS(L33-'Airfoil 1'!$Z$39)</f>
        <v>-1</v>
      </c>
      <c r="BA33" s="16">
        <f ca="1">(L33-'Airfoil 1'!$Z$40)/ABS(L33-'Airfoil 1'!$Z$40)</f>
        <v>-1</v>
      </c>
      <c r="BB33" s="16">
        <f ca="1">(L33-'Airfoil 1'!$Z$41)/ABS(L33-'Airfoil 1'!$Z$41)</f>
        <v>-1</v>
      </c>
      <c r="BC33" s="5">
        <f t="shared" ca="1" si="8"/>
        <v>7</v>
      </c>
      <c r="BD33" s="42">
        <f ca="1">INDEX('Airfoil 1'!$AA$22:$AA$41,BC33,1)+INDEX('Airfoil 1'!$AB$22:$AB$41,BC33,1)*(L33-INDEX('Airfoil 1'!$Z$22:$Z$41,BC33,1))</f>
        <v>2.4568665708220486E-2</v>
      </c>
      <c r="BE33" s="6"/>
      <c r="BF33" s="16">
        <f ca="1">(L33-'Airfoil 1'!$Z$47)/ABS(L33-'Airfoil 1'!$Z$47)</f>
        <v>1</v>
      </c>
      <c r="BG33" s="16">
        <f ca="1">(L33-'Airfoil 1'!$Z$48)/ABS(L33-'Airfoil 1'!$Z$48)</f>
        <v>1</v>
      </c>
      <c r="BH33" s="16">
        <f ca="1">(L33-'Airfoil 1'!$Z$49)/ABS(L33-'Airfoil 1'!$Z$49)</f>
        <v>1</v>
      </c>
      <c r="BI33" s="16">
        <f ca="1">(L33-'Airfoil 1'!$Z$50)/ABS(L33-'Airfoil 1'!$Z$50)</f>
        <v>1</v>
      </c>
      <c r="BJ33" s="16">
        <f ca="1">(L33-'Airfoil 1'!$Z$51)/ABS(L33-'Airfoil 1'!$Z$51)</f>
        <v>1</v>
      </c>
      <c r="BK33" s="16">
        <f ca="1">(L33-'Airfoil 1'!$Z$52)/ABS(L33-'Airfoil 1'!$Z$52)</f>
        <v>-1</v>
      </c>
      <c r="BL33" s="16">
        <f ca="1">(L33-'Airfoil 1'!$Z$53)/ABS(L33-'Airfoil 1'!$Z$53)</f>
        <v>-1</v>
      </c>
      <c r="BM33" s="16">
        <f ca="1">(L33-'Airfoil 1'!$Z$54)/ABS(L33-'Airfoil 1'!$Z$54)</f>
        <v>-1</v>
      </c>
      <c r="BN33" s="16">
        <f ca="1">(L33-'Airfoil 1'!$Z$55)/ABS(L33-'Airfoil 1'!$Z$55)</f>
        <v>-1</v>
      </c>
      <c r="BO33" s="16">
        <f ca="1">(L33-'Airfoil 1'!$Z$56)/ABS(L33-'Airfoil 1'!$Z$56)</f>
        <v>-1</v>
      </c>
      <c r="BP33" s="16">
        <f ca="1">(L33-'Airfoil 1'!$Z$57)/ABS(L33-'Airfoil 1'!$Z$57)</f>
        <v>-1</v>
      </c>
      <c r="BQ33" s="16">
        <f ca="1">(L33-'Airfoil 1'!$Z$58)/ABS(L33-'Airfoil 1'!$Z$58)</f>
        <v>-1</v>
      </c>
      <c r="BR33" s="16">
        <f ca="1">(L33-'Airfoil 1'!$Z$59)/ABS(L33-'Airfoil 1'!$Z$59)</f>
        <v>-1</v>
      </c>
      <c r="BS33" s="16">
        <f ca="1">(L33-'Airfoil 1'!$Z$60)/ABS(L33-'Airfoil 1'!$Z$60)</f>
        <v>-1</v>
      </c>
      <c r="BT33" s="16">
        <f ca="1">(L33-'Airfoil 1'!$Z$61)/ABS(L33-'Airfoil 1'!$Z$61)</f>
        <v>-1</v>
      </c>
      <c r="BU33" s="16">
        <f ca="1">(L33-'Airfoil 1'!$Z$62)/ABS(L33-'Airfoil 1'!$Z$62)</f>
        <v>-1</v>
      </c>
      <c r="BV33" s="16">
        <f ca="1">(L33-'Airfoil 1'!$Z$63)/ABS(L33-'Airfoil 1'!$Z$63)</f>
        <v>-1</v>
      </c>
      <c r="BW33" s="16">
        <f ca="1">(L33-'Airfoil 1'!$Z$64)/ABS(L33-'Airfoil 1'!$Z$64)</f>
        <v>-1</v>
      </c>
      <c r="BX33" s="16">
        <f ca="1">(L33-'Airfoil 1'!$Z$65)/ABS(L33-'Airfoil 1'!$Z$65)</f>
        <v>-1</v>
      </c>
      <c r="BY33" s="16">
        <f ca="1">(L33-'Airfoil 1'!$Z$66)/ABS(L33-'Airfoil 1'!$Z$66)</f>
        <v>-1</v>
      </c>
      <c r="BZ33" s="5">
        <f t="shared" ca="1" si="9"/>
        <v>5</v>
      </c>
      <c r="CA33" s="42">
        <f ca="1">INDEX('Airfoil 1'!$AA$47:$AA$66,BZ33,1)+INDEX('Airfoil 1'!$AB$47:$AB$66,BZ33,1)*(L33-INDEX('Airfoil 1'!$Z$47:$Z$66,BZ33,1))</f>
        <v>1.7096779792329736E-2</v>
      </c>
      <c r="CC33" s="16">
        <f ca="1">(L33-'Airfoil 1'!$Z$72)/ABS(L33-'Airfoil 1'!$Z$72)</f>
        <v>1</v>
      </c>
      <c r="CD33" s="16">
        <f ca="1">(L33-'Airfoil 1'!$Z$73)/ABS(L33-'Airfoil 1'!$Z$73)</f>
        <v>1</v>
      </c>
      <c r="CE33" s="16">
        <f ca="1">(L33-'Airfoil 1'!$Z$74)/ABS(L33-'Airfoil 1'!$Z$74)</f>
        <v>1</v>
      </c>
      <c r="CF33" s="16">
        <f ca="1">(L33-'Airfoil 1'!$Z$75)/ABS(L33-'Airfoil 1'!$Z$75)</f>
        <v>1</v>
      </c>
      <c r="CG33" s="16">
        <f ca="1">(L33-'Airfoil 1'!$Z$76)/ABS(L33-'Airfoil 1'!$Z$76)</f>
        <v>-1</v>
      </c>
      <c r="CH33" s="16">
        <f ca="1">(L33-'Airfoil 1'!$Z$77)/ABS(L33-'Airfoil 1'!$Z$77)</f>
        <v>-1</v>
      </c>
      <c r="CI33" s="16">
        <f ca="1">(L33-'Airfoil 1'!$Z$78)/ABS(L33-'Airfoil 1'!$Z$78)</f>
        <v>-1</v>
      </c>
      <c r="CJ33" s="16">
        <f ca="1">(L33-'Airfoil 1'!$Z$79)/ABS(L33-'Airfoil 1'!$Z$79)</f>
        <v>-1</v>
      </c>
      <c r="CK33" s="16">
        <f ca="1">(L33-'Airfoil 1'!$Z$80)/ABS(L33-'Airfoil 1'!$Z$80)</f>
        <v>-1</v>
      </c>
      <c r="CL33" s="16">
        <f ca="1">(L33-'Airfoil 1'!$Z$81)/ABS(L33-'Airfoil 1'!$Z$81)</f>
        <v>-1</v>
      </c>
      <c r="CM33" s="16">
        <f ca="1">(L33-'Airfoil 1'!$Z$82)/ABS(L33-'Airfoil 1'!$Z$82)</f>
        <v>-1</v>
      </c>
      <c r="CN33" s="16">
        <f ca="1">(L33-'Airfoil 1'!$Z$83)/ABS(L33-'Airfoil 1'!$Z$83)</f>
        <v>-1</v>
      </c>
      <c r="CO33" s="16">
        <f ca="1">(L33-'Airfoil 1'!$Z$84)/ABS(L33-'Airfoil 1'!$Z$84)</f>
        <v>-1</v>
      </c>
      <c r="CP33" s="16">
        <f ca="1">(L33-'Airfoil 1'!$Z$85)/ABS(L33-'Airfoil 1'!$Z$85)</f>
        <v>-1</v>
      </c>
      <c r="CQ33" s="16">
        <f ca="1">(L33-'Airfoil 1'!$Z$86)/ABS(L33-'Airfoil 1'!$Z$86)</f>
        <v>-1</v>
      </c>
      <c r="CR33" s="16">
        <f ca="1">(L33-'Airfoil 1'!$Z$87)/ABS(L33-'Airfoil 1'!$Z$87)</f>
        <v>-1</v>
      </c>
      <c r="CS33" s="16">
        <f ca="1">(L33-'Airfoil 1'!$Z$88)/ABS(L33-'Airfoil 1'!$Z$88)</f>
        <v>-1</v>
      </c>
      <c r="CT33" s="16">
        <f ca="1">(L33-'Airfoil 1'!$Z$89)/ABS(L33-'Airfoil 1'!$Z$89)</f>
        <v>-1</v>
      </c>
      <c r="CU33" s="16">
        <f ca="1">(L33-'Airfoil 1'!$Z$90)/ABS(L33-'Airfoil 1'!$Z$90)</f>
        <v>-1</v>
      </c>
      <c r="CV33" s="16">
        <f ca="1">(L33-'Airfoil 1'!$Z$91)/ABS(L33-'Airfoil 1'!$Z$91)</f>
        <v>-1</v>
      </c>
      <c r="CW33" s="5">
        <f t="shared" ca="1" si="10"/>
        <v>4</v>
      </c>
      <c r="CX33" s="42">
        <f ca="1">INDEX('Airfoil 1'!$AA$72:$AA$91,CW33,1)+INDEX('Airfoil 1'!$AB$72:$AB$91,CW33,1)*(L33-INDEX('Airfoil 1'!$Z$72:$Z$91,CW33,1))</f>
        <v>1.0820032358416221E-2</v>
      </c>
    </row>
    <row r="34" spans="2:102">
      <c r="B34" s="31">
        <f>Main!B34</f>
        <v>0.33333333333333326</v>
      </c>
      <c r="D34" s="1">
        <f>Takeoff!F34</f>
        <v>1.2249994633486807</v>
      </c>
      <c r="E34" s="4">
        <f>ISA!$O$10</f>
        <v>1.783E-5</v>
      </c>
      <c r="G34" s="13">
        <f ca="1">Takeoff!T34</f>
        <v>11.381001633492176</v>
      </c>
      <c r="H34" s="5">
        <f t="shared" ca="1" si="0"/>
        <v>260641.63195734477</v>
      </c>
      <c r="I34" s="16">
        <f ca="1">'Airfoil 2'!$K$14*H34^'Airfoil 2'!$L$13</f>
        <v>1.5764176233925358</v>
      </c>
      <c r="J34" s="1">
        <f ca="1">'Airfoil 2'!$K$33*H34^'Airfoil 2'!$L$32</f>
        <v>5.5581455315235431</v>
      </c>
      <c r="K34" s="13">
        <f ca="1">'Airfoil 2'!$K$52*H34^'Airfoil 2'!$L$51</f>
        <v>-7.5268635156077028</v>
      </c>
      <c r="L34" s="16">
        <f ca="1">'Aerodynamics-Takeoff'!W34</f>
        <v>0.86414972349379637</v>
      </c>
      <c r="M34" s="10">
        <f ca="1">('Airfoil 1'!$B$21+'Airfoil 1'!$B$22*L34+'Airfoil 1'!$B$23*L34^2+'Airfoil 1'!$B$24*L34^3+'Airfoil 1'!$B$25*L34^4+'Airfoil 1'!$B$26*L34^5+'Airfoil 1'!$B$27*L34^6)*0+BD34</f>
        <v>2.456781812373654E-2</v>
      </c>
      <c r="N34" s="42">
        <f ca="1">('Airfoil 1'!$B$29+'Airfoil 1'!$B$30*L34+'Airfoil 1'!$B$31*L34^2+'Airfoil 1'!$B$32*L34^3+'Airfoil 1'!$B$33*L34^4+'Airfoil 1'!$B$34*L34^5+'Airfoil 1'!$B$35*L34^6)*0+CA34</f>
        <v>1.7096592256580206E-2</v>
      </c>
      <c r="O34" s="42">
        <f ca="1">('Airfoil 1'!$B$37+'Airfoil 1'!$B$38*L34+'Airfoil 1'!$B$39*L34^2+'Airfoil 1'!$B$40*L34^3+'Airfoil 1'!$B$41*L34^4+'Airfoil 1'!$B$42*L34^5+'Airfoil 1'!$B$43*L34^6)*0+CX34</f>
        <v>1.0823133144009886E-2</v>
      </c>
      <c r="P34" s="16">
        <f>LOG('Airfoil 1'!$F$10)+LOG('Airfoil 1'!$G$10)+LOG('Airfoil 1'!$H$10)</f>
        <v>15.176091259055681</v>
      </c>
      <c r="Q34" s="16">
        <f t="shared" ca="1" si="1"/>
        <v>-5.3423708564090306</v>
      </c>
      <c r="R34" s="16">
        <f>LOG('Airfoil 1'!$F$10)^2+LOG('Airfoil 1'!$G$10)^2+LOG('Airfoil 1'!$H$10)^2</f>
        <v>76.867141336751558</v>
      </c>
      <c r="S34" s="16">
        <f ca="1">LOG('Airfoil 1'!$F$10)*LOG(M34)+LOG('Airfoil 1'!$G$10)*LOG(N34)+LOG('Airfoil 1'!$H$10)*LOG(O34)</f>
        <v>-27.102467424752234</v>
      </c>
      <c r="T34" s="16">
        <f t="shared" ca="1" si="2"/>
        <v>191.82721426489658</v>
      </c>
      <c r="U34" s="16">
        <f t="shared" ca="1" si="3"/>
        <v>-0.80330971316781419</v>
      </c>
      <c r="V34" s="42">
        <f ca="1">IF(Energy!$F$11=1,Energy!$T$13,1)*T34*H34^U34</f>
        <v>9.4303592537395339E-3</v>
      </c>
      <c r="W34" s="10">
        <f ca="1">'Airfoil 1'!$B$48+'Airfoil 1'!$B$49*L34+'Airfoil 1'!$B$50*L34^2+'Airfoil 1'!$B$51*L34^3+'Airfoil 1'!$B$52*L34^4+'Airfoil 1'!$B$53*L34^5+'Airfoil 1'!$B$54*L34^6</f>
        <v>-0.155</v>
      </c>
      <c r="X34" s="42">
        <f ca="1">'Airfoil 1'!$B$56+'Airfoil 1'!$B$57*L34+'Airfoil 1'!$B$58*L34^2+'Airfoil 1'!$B$59*L34^3+'Airfoil 1'!$B$60*L34^4+'Airfoil 1'!$B$61*L34^5+'Airfoil 1'!$B$62*L34^6</f>
        <v>-0.155</v>
      </c>
      <c r="Y34" s="42">
        <f ca="1">'Airfoil 1'!$B$64+'Airfoil 1'!$B$65*L34+'Airfoil 1'!$B$66*L34^2+'Airfoil 1'!$B$67*L34^3+'Airfoil 1'!$B$681*L34^4+'Airfoil 1'!$B$69*L34^5+'Airfoil 1'!$B$70*L34^6</f>
        <v>-0.155</v>
      </c>
      <c r="Z34" s="16">
        <f>LOG('Airfoil 1'!$F$10)+LOG('Airfoil 1'!$G$10)+LOG('Airfoil 1'!$H$10)</f>
        <v>15.176091259055681</v>
      </c>
      <c r="AA34" s="16">
        <f t="shared" ca="1" si="4"/>
        <v>-2.4290049054891254</v>
      </c>
      <c r="AB34" s="16">
        <f>LOG('Airfoil 1'!$F$10)^2+LOG('Airfoil 1'!$G$10)^2+LOG('Airfoil 1'!$H$10)^2</f>
        <v>76.867141336751558</v>
      </c>
      <c r="AC34" s="16">
        <f ca="1">LOG('Airfoil 1'!$F$10)*LOG(ABS(W34))+LOG('Airfoil 1'!$G$10)*LOG(ABS(X34))+LOG('Airfoil 1'!$H$10)*LOG(ABS(Y34))</f>
        <v>-12.287600038132297</v>
      </c>
      <c r="AD34" s="16">
        <f t="shared" ca="1" si="5"/>
        <v>0.1550000000000121</v>
      </c>
      <c r="AE34" s="16">
        <f t="shared" ca="1" si="6"/>
        <v>-6.6718325633022456E-15</v>
      </c>
      <c r="AF34" s="42">
        <f t="shared" ca="1" si="7"/>
        <v>-0.15499999999999919</v>
      </c>
      <c r="AG34" s="16"/>
      <c r="AH34" s="42"/>
      <c r="AI34" s="16">
        <f ca="1">(L34-'Airfoil 1'!$Z$22)/ABS(L34-'Airfoil 1'!$Z$22)</f>
        <v>1</v>
      </c>
      <c r="AJ34" s="16">
        <f ca="1">(L34-'Airfoil 1'!$Z$23)/ABS(L34-'Airfoil 1'!$Z$23)</f>
        <v>1</v>
      </c>
      <c r="AK34" s="16">
        <f ca="1">(L34-'Airfoil 1'!$Z$24)/ABS(L34-'Airfoil 1'!$Z$24)</f>
        <v>1</v>
      </c>
      <c r="AL34" s="16">
        <f ca="1">(L34-'Airfoil 1'!$Z$25)/ABS(L34-'Airfoil 1'!$Z$25)</f>
        <v>1</v>
      </c>
      <c r="AM34" s="16">
        <f ca="1">(L34-'Airfoil 1'!$Z$26)/ABS(L34-'Airfoil 1'!$Z$26)</f>
        <v>1</v>
      </c>
      <c r="AN34" s="16">
        <f ca="1">(L34-'Airfoil 1'!$Z$27)/ABS(L34-'Airfoil 1'!$Z$27)</f>
        <v>1</v>
      </c>
      <c r="AO34" s="16">
        <f ca="1">(L34-'Airfoil 1'!$Z$28)/ABS(L34-'Airfoil 1'!$Z$28)</f>
        <v>1</v>
      </c>
      <c r="AP34" s="16">
        <f ca="1">(L34-'Airfoil 1'!$Z$29)/ABS(L34-'Airfoil 1'!$Z$29)</f>
        <v>-1</v>
      </c>
      <c r="AQ34" s="16">
        <f ca="1">(L34-'Airfoil 1'!$Z$30)/ABS(L34-'Airfoil 1'!$Z$30)</f>
        <v>-1</v>
      </c>
      <c r="AR34" s="16">
        <f ca="1">(L34-'Airfoil 1'!$Z$31)/ABS(L34-'Airfoil 1'!$Z$31)</f>
        <v>-1</v>
      </c>
      <c r="AS34" s="16">
        <f ca="1">(L34-'Airfoil 1'!$Z$32)/ABS(L34-'Airfoil 1'!$Z$32)</f>
        <v>-1</v>
      </c>
      <c r="AT34" s="16">
        <f ca="1">(L34-'Airfoil 1'!$Z$33)/ABS(L34-'Airfoil 1'!$Z$33)</f>
        <v>-1</v>
      </c>
      <c r="AU34" s="16">
        <f ca="1">(L34-'Airfoil 1'!$Z$34)/ABS(L34-'Airfoil 1'!$Z$34)</f>
        <v>-1</v>
      </c>
      <c r="AV34" s="16">
        <f ca="1">(L34-'Airfoil 1'!$Z$35)/ABS(L34-'Airfoil 1'!$Z$35)</f>
        <v>-1</v>
      </c>
      <c r="AW34" s="16">
        <f ca="1">(L34-'Airfoil 1'!$Z$36)/ABS(L34-'Airfoil 1'!$Z$36)</f>
        <v>-1</v>
      </c>
      <c r="AX34" s="16">
        <f ca="1">(L34-'Airfoil 1'!$Z$37)/ABS(L34-'Airfoil 1'!$Z$37)</f>
        <v>-1</v>
      </c>
      <c r="AY34" s="16">
        <f ca="1">(L34-'Airfoil 1'!$Z$38)/ABS(L34-'Airfoil 1'!$Z$38)</f>
        <v>-1</v>
      </c>
      <c r="AZ34" s="16">
        <f ca="1">(L34-'Airfoil 1'!$Z$39)/ABS(L34-'Airfoil 1'!$Z$39)</f>
        <v>-1</v>
      </c>
      <c r="BA34" s="16">
        <f ca="1">(L34-'Airfoil 1'!$Z$40)/ABS(L34-'Airfoil 1'!$Z$40)</f>
        <v>-1</v>
      </c>
      <c r="BB34" s="16">
        <f ca="1">(L34-'Airfoil 1'!$Z$41)/ABS(L34-'Airfoil 1'!$Z$41)</f>
        <v>-1</v>
      </c>
      <c r="BC34" s="5">
        <f t="shared" ca="1" si="8"/>
        <v>7</v>
      </c>
      <c r="BD34" s="42">
        <f ca="1">INDEX('Airfoil 1'!$AA$22:$AA$41,BC34,1)+INDEX('Airfoil 1'!$AB$22:$AB$41,BC34,1)*(L34-INDEX('Airfoil 1'!$Z$22:$Z$41,BC34,1))</f>
        <v>2.4567818123736214E-2</v>
      </c>
      <c r="BE34" s="6"/>
      <c r="BF34" s="16">
        <f ca="1">(L34-'Airfoil 1'!$Z$47)/ABS(L34-'Airfoil 1'!$Z$47)</f>
        <v>1</v>
      </c>
      <c r="BG34" s="16">
        <f ca="1">(L34-'Airfoil 1'!$Z$48)/ABS(L34-'Airfoil 1'!$Z$48)</f>
        <v>1</v>
      </c>
      <c r="BH34" s="16">
        <f ca="1">(L34-'Airfoil 1'!$Z$49)/ABS(L34-'Airfoil 1'!$Z$49)</f>
        <v>1</v>
      </c>
      <c r="BI34" s="16">
        <f ca="1">(L34-'Airfoil 1'!$Z$50)/ABS(L34-'Airfoil 1'!$Z$50)</f>
        <v>1</v>
      </c>
      <c r="BJ34" s="16">
        <f ca="1">(L34-'Airfoil 1'!$Z$51)/ABS(L34-'Airfoil 1'!$Z$51)</f>
        <v>1</v>
      </c>
      <c r="BK34" s="16">
        <f ca="1">(L34-'Airfoil 1'!$Z$52)/ABS(L34-'Airfoil 1'!$Z$52)</f>
        <v>-1</v>
      </c>
      <c r="BL34" s="16">
        <f ca="1">(L34-'Airfoil 1'!$Z$53)/ABS(L34-'Airfoil 1'!$Z$53)</f>
        <v>-1</v>
      </c>
      <c r="BM34" s="16">
        <f ca="1">(L34-'Airfoil 1'!$Z$54)/ABS(L34-'Airfoil 1'!$Z$54)</f>
        <v>-1</v>
      </c>
      <c r="BN34" s="16">
        <f ca="1">(L34-'Airfoil 1'!$Z$55)/ABS(L34-'Airfoil 1'!$Z$55)</f>
        <v>-1</v>
      </c>
      <c r="BO34" s="16">
        <f ca="1">(L34-'Airfoil 1'!$Z$56)/ABS(L34-'Airfoil 1'!$Z$56)</f>
        <v>-1</v>
      </c>
      <c r="BP34" s="16">
        <f ca="1">(L34-'Airfoil 1'!$Z$57)/ABS(L34-'Airfoil 1'!$Z$57)</f>
        <v>-1</v>
      </c>
      <c r="BQ34" s="16">
        <f ca="1">(L34-'Airfoil 1'!$Z$58)/ABS(L34-'Airfoil 1'!$Z$58)</f>
        <v>-1</v>
      </c>
      <c r="BR34" s="16">
        <f ca="1">(L34-'Airfoil 1'!$Z$59)/ABS(L34-'Airfoil 1'!$Z$59)</f>
        <v>-1</v>
      </c>
      <c r="BS34" s="16">
        <f ca="1">(L34-'Airfoil 1'!$Z$60)/ABS(L34-'Airfoil 1'!$Z$60)</f>
        <v>-1</v>
      </c>
      <c r="BT34" s="16">
        <f ca="1">(L34-'Airfoil 1'!$Z$61)/ABS(L34-'Airfoil 1'!$Z$61)</f>
        <v>-1</v>
      </c>
      <c r="BU34" s="16">
        <f ca="1">(L34-'Airfoil 1'!$Z$62)/ABS(L34-'Airfoil 1'!$Z$62)</f>
        <v>-1</v>
      </c>
      <c r="BV34" s="16">
        <f ca="1">(L34-'Airfoil 1'!$Z$63)/ABS(L34-'Airfoil 1'!$Z$63)</f>
        <v>-1</v>
      </c>
      <c r="BW34" s="16">
        <f ca="1">(L34-'Airfoil 1'!$Z$64)/ABS(L34-'Airfoil 1'!$Z$64)</f>
        <v>-1</v>
      </c>
      <c r="BX34" s="16">
        <f ca="1">(L34-'Airfoil 1'!$Z$65)/ABS(L34-'Airfoil 1'!$Z$65)</f>
        <v>-1</v>
      </c>
      <c r="BY34" s="16">
        <f ca="1">(L34-'Airfoil 1'!$Z$66)/ABS(L34-'Airfoil 1'!$Z$66)</f>
        <v>-1</v>
      </c>
      <c r="BZ34" s="5">
        <f t="shared" ca="1" si="9"/>
        <v>5</v>
      </c>
      <c r="CA34" s="42">
        <f ca="1">INDEX('Airfoil 1'!$AA$47:$AA$66,BZ34,1)+INDEX('Airfoil 1'!$AB$47:$AB$66,BZ34,1)*(L34-INDEX('Airfoil 1'!$Z$47:$Z$66,BZ34,1))</f>
        <v>1.7096592256580133E-2</v>
      </c>
      <c r="CC34" s="16">
        <f ca="1">(L34-'Airfoil 1'!$Z$72)/ABS(L34-'Airfoil 1'!$Z$72)</f>
        <v>1</v>
      </c>
      <c r="CD34" s="16">
        <f ca="1">(L34-'Airfoil 1'!$Z$73)/ABS(L34-'Airfoil 1'!$Z$73)</f>
        <v>1</v>
      </c>
      <c r="CE34" s="16">
        <f ca="1">(L34-'Airfoil 1'!$Z$74)/ABS(L34-'Airfoil 1'!$Z$74)</f>
        <v>1</v>
      </c>
      <c r="CF34" s="16">
        <f ca="1">(L34-'Airfoil 1'!$Z$75)/ABS(L34-'Airfoil 1'!$Z$75)</f>
        <v>1</v>
      </c>
      <c r="CG34" s="16">
        <f ca="1">(L34-'Airfoil 1'!$Z$76)/ABS(L34-'Airfoil 1'!$Z$76)</f>
        <v>-1</v>
      </c>
      <c r="CH34" s="16">
        <f ca="1">(L34-'Airfoil 1'!$Z$77)/ABS(L34-'Airfoil 1'!$Z$77)</f>
        <v>-1</v>
      </c>
      <c r="CI34" s="16">
        <f ca="1">(L34-'Airfoil 1'!$Z$78)/ABS(L34-'Airfoil 1'!$Z$78)</f>
        <v>-1</v>
      </c>
      <c r="CJ34" s="16">
        <f ca="1">(L34-'Airfoil 1'!$Z$79)/ABS(L34-'Airfoil 1'!$Z$79)</f>
        <v>-1</v>
      </c>
      <c r="CK34" s="16">
        <f ca="1">(L34-'Airfoil 1'!$Z$80)/ABS(L34-'Airfoil 1'!$Z$80)</f>
        <v>-1</v>
      </c>
      <c r="CL34" s="16">
        <f ca="1">(L34-'Airfoil 1'!$Z$81)/ABS(L34-'Airfoil 1'!$Z$81)</f>
        <v>-1</v>
      </c>
      <c r="CM34" s="16">
        <f ca="1">(L34-'Airfoil 1'!$Z$82)/ABS(L34-'Airfoil 1'!$Z$82)</f>
        <v>-1</v>
      </c>
      <c r="CN34" s="16">
        <f ca="1">(L34-'Airfoil 1'!$Z$83)/ABS(L34-'Airfoil 1'!$Z$83)</f>
        <v>-1</v>
      </c>
      <c r="CO34" s="16">
        <f ca="1">(L34-'Airfoil 1'!$Z$84)/ABS(L34-'Airfoil 1'!$Z$84)</f>
        <v>-1</v>
      </c>
      <c r="CP34" s="16">
        <f ca="1">(L34-'Airfoil 1'!$Z$85)/ABS(L34-'Airfoil 1'!$Z$85)</f>
        <v>-1</v>
      </c>
      <c r="CQ34" s="16">
        <f ca="1">(L34-'Airfoil 1'!$Z$86)/ABS(L34-'Airfoil 1'!$Z$86)</f>
        <v>-1</v>
      </c>
      <c r="CR34" s="16">
        <f ca="1">(L34-'Airfoil 1'!$Z$87)/ABS(L34-'Airfoil 1'!$Z$87)</f>
        <v>-1</v>
      </c>
      <c r="CS34" s="16">
        <f ca="1">(L34-'Airfoil 1'!$Z$88)/ABS(L34-'Airfoil 1'!$Z$88)</f>
        <v>-1</v>
      </c>
      <c r="CT34" s="16">
        <f ca="1">(L34-'Airfoil 1'!$Z$89)/ABS(L34-'Airfoil 1'!$Z$89)</f>
        <v>-1</v>
      </c>
      <c r="CU34" s="16">
        <f ca="1">(L34-'Airfoil 1'!$Z$90)/ABS(L34-'Airfoil 1'!$Z$90)</f>
        <v>-1</v>
      </c>
      <c r="CV34" s="16">
        <f ca="1">(L34-'Airfoil 1'!$Z$91)/ABS(L34-'Airfoil 1'!$Z$91)</f>
        <v>-1</v>
      </c>
      <c r="CW34" s="5">
        <f t="shared" ca="1" si="10"/>
        <v>4</v>
      </c>
      <c r="CX34" s="42">
        <f ca="1">INDEX('Airfoil 1'!$AA$72:$AA$91,CW34,1)+INDEX('Airfoil 1'!$AB$72:$AB$91,CW34,1)*(L34-INDEX('Airfoil 1'!$Z$72:$Z$91,CW34,1))</f>
        <v>1.0823133144011076E-2</v>
      </c>
    </row>
    <row r="35" spans="2:102">
      <c r="B35" s="31">
        <f>Main!B35</f>
        <v>0.33333333333333326</v>
      </c>
      <c r="D35" s="1">
        <f>Takeoff!F35</f>
        <v>1.2249994633486807</v>
      </c>
      <c r="E35" s="4">
        <f>ISA!$O$10</f>
        <v>1.783E-5</v>
      </c>
      <c r="G35" s="13">
        <f ca="1">Takeoff!T35</f>
        <v>11.209097688879872</v>
      </c>
      <c r="H35" s="5">
        <f t="shared" ca="1" si="0"/>
        <v>256704.77946346562</v>
      </c>
      <c r="I35" s="16">
        <f ca="1">'Airfoil 2'!$K$14*H35^'Airfoil 2'!$L$13</f>
        <v>1.5760841288901215</v>
      </c>
      <c r="J35" s="1">
        <f ca="1">'Airfoil 2'!$K$33*H35^'Airfoil 2'!$L$32</f>
        <v>5.5866710144210563</v>
      </c>
      <c r="K35" s="13">
        <f ca="1">'Airfoil 2'!$K$52*H35^'Airfoil 2'!$L$51</f>
        <v>-7.4506422986854126</v>
      </c>
      <c r="L35" s="16">
        <f ca="1">'Aerodynamics-Takeoff'!W35</f>
        <v>0.86452249513575041</v>
      </c>
      <c r="M35" s="10">
        <f ca="1">('Airfoil 1'!$B$21+'Airfoil 1'!$B$22*L35+'Airfoil 1'!$B$23*L35^2+'Airfoil 1'!$B$24*L35^3+'Airfoil 1'!$B$25*L35^4+'Airfoil 1'!$B$26*L35^5+'Airfoil 1'!$B$27*L35^6)*0+BD35</f>
        <v>2.4567001835469494E-2</v>
      </c>
      <c r="N35" s="42">
        <f ca="1">('Airfoil 1'!$B$29+'Airfoil 1'!$B$30*L35+'Airfoil 1'!$B$31*L35^2+'Airfoil 1'!$B$32*L35^3+'Airfoil 1'!$B$33*L35^4+'Airfoil 1'!$B$34*L35^5+'Airfoil 1'!$B$35*L35^6)*0+CA35</f>
        <v>1.7096411645402331E-2</v>
      </c>
      <c r="O35" s="42">
        <f ca="1">('Airfoil 1'!$B$37+'Airfoil 1'!$B$38*L35+'Airfoil 1'!$B$39*L35^2+'Airfoil 1'!$B$40*L35^3+'Airfoil 1'!$B$41*L35^4+'Airfoil 1'!$B$42*L35^5+'Airfoil 1'!$B$43*L35^6)*0+CX35</f>
        <v>1.0826119436169165E-2</v>
      </c>
      <c r="P35" s="16">
        <f>LOG('Airfoil 1'!$F$10)+LOG('Airfoil 1'!$G$10)+LOG('Airfoil 1'!$H$10)</f>
        <v>15.176091259055681</v>
      </c>
      <c r="Q35" s="16">
        <f t="shared" ca="1" si="1"/>
        <v>-5.3422700615304572</v>
      </c>
      <c r="R35" s="16">
        <f>LOG('Airfoil 1'!$F$10)^2+LOG('Airfoil 1'!$G$10)^2+LOG('Airfoil 1'!$H$10)^2</f>
        <v>76.867141336751558</v>
      </c>
      <c r="S35" s="16">
        <f ca="1">LOG('Airfoil 1'!$F$10)*LOG(M35)+LOG('Airfoil 1'!$G$10)*LOG(N35)+LOG('Airfoil 1'!$H$10)*LOG(O35)</f>
        <v>-27.101925580198007</v>
      </c>
      <c r="T35" s="16">
        <f t="shared" ca="1" si="2"/>
        <v>191.09887772795219</v>
      </c>
      <c r="U35" s="16">
        <f t="shared" ca="1" si="3"/>
        <v>-0.80297648869001126</v>
      </c>
      <c r="V35" s="42">
        <f ca="1">IF(Energy!$F$11=1,Energy!$T$13,1)*T35*H35^U35</f>
        <v>9.5496719283972731E-3</v>
      </c>
      <c r="W35" s="10">
        <f ca="1">'Airfoil 1'!$B$48+'Airfoil 1'!$B$49*L35+'Airfoil 1'!$B$50*L35^2+'Airfoil 1'!$B$51*L35^3+'Airfoil 1'!$B$52*L35^4+'Airfoil 1'!$B$53*L35^5+'Airfoil 1'!$B$54*L35^6</f>
        <v>-0.155</v>
      </c>
      <c r="X35" s="42">
        <f ca="1">'Airfoil 1'!$B$56+'Airfoil 1'!$B$57*L35+'Airfoil 1'!$B$58*L35^2+'Airfoil 1'!$B$59*L35^3+'Airfoil 1'!$B$60*L35^4+'Airfoil 1'!$B$61*L35^5+'Airfoil 1'!$B$62*L35^6</f>
        <v>-0.155</v>
      </c>
      <c r="Y35" s="42">
        <f ca="1">'Airfoil 1'!$B$64+'Airfoil 1'!$B$65*L35+'Airfoil 1'!$B$66*L35^2+'Airfoil 1'!$B$67*L35^3+'Airfoil 1'!$B$681*L35^4+'Airfoil 1'!$B$69*L35^5+'Airfoil 1'!$B$70*L35^6</f>
        <v>-0.155</v>
      </c>
      <c r="Z35" s="16">
        <f>LOG('Airfoil 1'!$F$10)+LOG('Airfoil 1'!$G$10)+LOG('Airfoil 1'!$H$10)</f>
        <v>15.176091259055681</v>
      </c>
      <c r="AA35" s="16">
        <f t="shared" ca="1" si="4"/>
        <v>-2.4290049054891254</v>
      </c>
      <c r="AB35" s="16">
        <f>LOG('Airfoil 1'!$F$10)^2+LOG('Airfoil 1'!$G$10)^2+LOG('Airfoil 1'!$H$10)^2</f>
        <v>76.867141336751558</v>
      </c>
      <c r="AC35" s="16">
        <f ca="1">LOG('Airfoil 1'!$F$10)*LOG(ABS(W35))+LOG('Airfoil 1'!$G$10)*LOG(ABS(X35))+LOG('Airfoil 1'!$H$10)*LOG(ABS(Y35))</f>
        <v>-12.287600038132297</v>
      </c>
      <c r="AD35" s="16">
        <f t="shared" ca="1" si="5"/>
        <v>0.1550000000000121</v>
      </c>
      <c r="AE35" s="16">
        <f t="shared" ca="1" si="6"/>
        <v>-6.6718325633022456E-15</v>
      </c>
      <c r="AF35" s="42">
        <f t="shared" ca="1" si="7"/>
        <v>-0.15499999999999922</v>
      </c>
      <c r="AG35" s="16"/>
      <c r="AH35" s="42"/>
      <c r="AI35" s="16">
        <f ca="1">(L35-'Airfoil 1'!$Z$22)/ABS(L35-'Airfoil 1'!$Z$22)</f>
        <v>1</v>
      </c>
      <c r="AJ35" s="16">
        <f ca="1">(L35-'Airfoil 1'!$Z$23)/ABS(L35-'Airfoil 1'!$Z$23)</f>
        <v>1</v>
      </c>
      <c r="AK35" s="16">
        <f ca="1">(L35-'Airfoil 1'!$Z$24)/ABS(L35-'Airfoil 1'!$Z$24)</f>
        <v>1</v>
      </c>
      <c r="AL35" s="16">
        <f ca="1">(L35-'Airfoil 1'!$Z$25)/ABS(L35-'Airfoil 1'!$Z$25)</f>
        <v>1</v>
      </c>
      <c r="AM35" s="16">
        <f ca="1">(L35-'Airfoil 1'!$Z$26)/ABS(L35-'Airfoil 1'!$Z$26)</f>
        <v>1</v>
      </c>
      <c r="AN35" s="16">
        <f ca="1">(L35-'Airfoil 1'!$Z$27)/ABS(L35-'Airfoil 1'!$Z$27)</f>
        <v>1</v>
      </c>
      <c r="AO35" s="16">
        <f ca="1">(L35-'Airfoil 1'!$Z$28)/ABS(L35-'Airfoil 1'!$Z$28)</f>
        <v>1</v>
      </c>
      <c r="AP35" s="16">
        <f ca="1">(L35-'Airfoil 1'!$Z$29)/ABS(L35-'Airfoil 1'!$Z$29)</f>
        <v>-1</v>
      </c>
      <c r="AQ35" s="16">
        <f ca="1">(L35-'Airfoil 1'!$Z$30)/ABS(L35-'Airfoil 1'!$Z$30)</f>
        <v>-1</v>
      </c>
      <c r="AR35" s="16">
        <f ca="1">(L35-'Airfoil 1'!$Z$31)/ABS(L35-'Airfoil 1'!$Z$31)</f>
        <v>-1</v>
      </c>
      <c r="AS35" s="16">
        <f ca="1">(L35-'Airfoil 1'!$Z$32)/ABS(L35-'Airfoil 1'!$Z$32)</f>
        <v>-1</v>
      </c>
      <c r="AT35" s="16">
        <f ca="1">(L35-'Airfoil 1'!$Z$33)/ABS(L35-'Airfoil 1'!$Z$33)</f>
        <v>-1</v>
      </c>
      <c r="AU35" s="16">
        <f ca="1">(L35-'Airfoil 1'!$Z$34)/ABS(L35-'Airfoil 1'!$Z$34)</f>
        <v>-1</v>
      </c>
      <c r="AV35" s="16">
        <f ca="1">(L35-'Airfoil 1'!$Z$35)/ABS(L35-'Airfoil 1'!$Z$35)</f>
        <v>-1</v>
      </c>
      <c r="AW35" s="16">
        <f ca="1">(L35-'Airfoil 1'!$Z$36)/ABS(L35-'Airfoil 1'!$Z$36)</f>
        <v>-1</v>
      </c>
      <c r="AX35" s="16">
        <f ca="1">(L35-'Airfoil 1'!$Z$37)/ABS(L35-'Airfoil 1'!$Z$37)</f>
        <v>-1</v>
      </c>
      <c r="AY35" s="16">
        <f ca="1">(L35-'Airfoil 1'!$Z$38)/ABS(L35-'Airfoil 1'!$Z$38)</f>
        <v>-1</v>
      </c>
      <c r="AZ35" s="16">
        <f ca="1">(L35-'Airfoil 1'!$Z$39)/ABS(L35-'Airfoil 1'!$Z$39)</f>
        <v>-1</v>
      </c>
      <c r="BA35" s="16">
        <f ca="1">(L35-'Airfoil 1'!$Z$40)/ABS(L35-'Airfoil 1'!$Z$40)</f>
        <v>-1</v>
      </c>
      <c r="BB35" s="16">
        <f ca="1">(L35-'Airfoil 1'!$Z$41)/ABS(L35-'Airfoil 1'!$Z$41)</f>
        <v>-1</v>
      </c>
      <c r="BC35" s="5">
        <f t="shared" ca="1" si="8"/>
        <v>7</v>
      </c>
      <c r="BD35" s="42">
        <f ca="1">INDEX('Airfoil 1'!$AA$22:$AA$41,BC35,1)+INDEX('Airfoil 1'!$AB$22:$AB$41,BC35,1)*(L35-INDEX('Airfoil 1'!$Z$22:$Z$41,BC35,1))</f>
        <v>2.4567001835469161E-2</v>
      </c>
      <c r="BE35" s="6"/>
      <c r="BF35" s="16">
        <f ca="1">(L35-'Airfoil 1'!$Z$47)/ABS(L35-'Airfoil 1'!$Z$47)</f>
        <v>1</v>
      </c>
      <c r="BG35" s="16">
        <f ca="1">(L35-'Airfoil 1'!$Z$48)/ABS(L35-'Airfoil 1'!$Z$48)</f>
        <v>1</v>
      </c>
      <c r="BH35" s="16">
        <f ca="1">(L35-'Airfoil 1'!$Z$49)/ABS(L35-'Airfoil 1'!$Z$49)</f>
        <v>1</v>
      </c>
      <c r="BI35" s="16">
        <f ca="1">(L35-'Airfoil 1'!$Z$50)/ABS(L35-'Airfoil 1'!$Z$50)</f>
        <v>1</v>
      </c>
      <c r="BJ35" s="16">
        <f ca="1">(L35-'Airfoil 1'!$Z$51)/ABS(L35-'Airfoil 1'!$Z$51)</f>
        <v>1</v>
      </c>
      <c r="BK35" s="16">
        <f ca="1">(L35-'Airfoil 1'!$Z$52)/ABS(L35-'Airfoil 1'!$Z$52)</f>
        <v>-1</v>
      </c>
      <c r="BL35" s="16">
        <f ca="1">(L35-'Airfoil 1'!$Z$53)/ABS(L35-'Airfoil 1'!$Z$53)</f>
        <v>-1</v>
      </c>
      <c r="BM35" s="16">
        <f ca="1">(L35-'Airfoil 1'!$Z$54)/ABS(L35-'Airfoil 1'!$Z$54)</f>
        <v>-1</v>
      </c>
      <c r="BN35" s="16">
        <f ca="1">(L35-'Airfoil 1'!$Z$55)/ABS(L35-'Airfoil 1'!$Z$55)</f>
        <v>-1</v>
      </c>
      <c r="BO35" s="16">
        <f ca="1">(L35-'Airfoil 1'!$Z$56)/ABS(L35-'Airfoil 1'!$Z$56)</f>
        <v>-1</v>
      </c>
      <c r="BP35" s="16">
        <f ca="1">(L35-'Airfoil 1'!$Z$57)/ABS(L35-'Airfoil 1'!$Z$57)</f>
        <v>-1</v>
      </c>
      <c r="BQ35" s="16">
        <f ca="1">(L35-'Airfoil 1'!$Z$58)/ABS(L35-'Airfoil 1'!$Z$58)</f>
        <v>-1</v>
      </c>
      <c r="BR35" s="16">
        <f ca="1">(L35-'Airfoil 1'!$Z$59)/ABS(L35-'Airfoil 1'!$Z$59)</f>
        <v>-1</v>
      </c>
      <c r="BS35" s="16">
        <f ca="1">(L35-'Airfoil 1'!$Z$60)/ABS(L35-'Airfoil 1'!$Z$60)</f>
        <v>-1</v>
      </c>
      <c r="BT35" s="16">
        <f ca="1">(L35-'Airfoil 1'!$Z$61)/ABS(L35-'Airfoil 1'!$Z$61)</f>
        <v>-1</v>
      </c>
      <c r="BU35" s="16">
        <f ca="1">(L35-'Airfoil 1'!$Z$62)/ABS(L35-'Airfoil 1'!$Z$62)</f>
        <v>-1</v>
      </c>
      <c r="BV35" s="16">
        <f ca="1">(L35-'Airfoil 1'!$Z$63)/ABS(L35-'Airfoil 1'!$Z$63)</f>
        <v>-1</v>
      </c>
      <c r="BW35" s="16">
        <f ca="1">(L35-'Airfoil 1'!$Z$64)/ABS(L35-'Airfoil 1'!$Z$64)</f>
        <v>-1</v>
      </c>
      <c r="BX35" s="16">
        <f ca="1">(L35-'Airfoil 1'!$Z$65)/ABS(L35-'Airfoil 1'!$Z$65)</f>
        <v>-1</v>
      </c>
      <c r="BY35" s="16">
        <f ca="1">(L35-'Airfoil 1'!$Z$66)/ABS(L35-'Airfoil 1'!$Z$66)</f>
        <v>-1</v>
      </c>
      <c r="BZ35" s="5">
        <f t="shared" ca="1" si="9"/>
        <v>5</v>
      </c>
      <c r="CA35" s="42">
        <f ca="1">INDEX('Airfoil 1'!$AA$47:$AA$66,BZ35,1)+INDEX('Airfoil 1'!$AB$47:$AB$66,BZ35,1)*(L35-INDEX('Airfoil 1'!$Z$47:$Z$66,BZ35,1))</f>
        <v>1.7096411645402258E-2</v>
      </c>
      <c r="CC35" s="16">
        <f ca="1">(L35-'Airfoil 1'!$Z$72)/ABS(L35-'Airfoil 1'!$Z$72)</f>
        <v>1</v>
      </c>
      <c r="CD35" s="16">
        <f ca="1">(L35-'Airfoil 1'!$Z$73)/ABS(L35-'Airfoil 1'!$Z$73)</f>
        <v>1</v>
      </c>
      <c r="CE35" s="16">
        <f ca="1">(L35-'Airfoil 1'!$Z$74)/ABS(L35-'Airfoil 1'!$Z$74)</f>
        <v>1</v>
      </c>
      <c r="CF35" s="16">
        <f ca="1">(L35-'Airfoil 1'!$Z$75)/ABS(L35-'Airfoil 1'!$Z$75)</f>
        <v>1</v>
      </c>
      <c r="CG35" s="16">
        <f ca="1">(L35-'Airfoil 1'!$Z$76)/ABS(L35-'Airfoil 1'!$Z$76)</f>
        <v>-1</v>
      </c>
      <c r="CH35" s="16">
        <f ca="1">(L35-'Airfoil 1'!$Z$77)/ABS(L35-'Airfoil 1'!$Z$77)</f>
        <v>-1</v>
      </c>
      <c r="CI35" s="16">
        <f ca="1">(L35-'Airfoil 1'!$Z$78)/ABS(L35-'Airfoil 1'!$Z$78)</f>
        <v>-1</v>
      </c>
      <c r="CJ35" s="16">
        <f ca="1">(L35-'Airfoil 1'!$Z$79)/ABS(L35-'Airfoil 1'!$Z$79)</f>
        <v>-1</v>
      </c>
      <c r="CK35" s="16">
        <f ca="1">(L35-'Airfoil 1'!$Z$80)/ABS(L35-'Airfoil 1'!$Z$80)</f>
        <v>-1</v>
      </c>
      <c r="CL35" s="16">
        <f ca="1">(L35-'Airfoil 1'!$Z$81)/ABS(L35-'Airfoil 1'!$Z$81)</f>
        <v>-1</v>
      </c>
      <c r="CM35" s="16">
        <f ca="1">(L35-'Airfoil 1'!$Z$82)/ABS(L35-'Airfoil 1'!$Z$82)</f>
        <v>-1</v>
      </c>
      <c r="CN35" s="16">
        <f ca="1">(L35-'Airfoil 1'!$Z$83)/ABS(L35-'Airfoil 1'!$Z$83)</f>
        <v>-1</v>
      </c>
      <c r="CO35" s="16">
        <f ca="1">(L35-'Airfoil 1'!$Z$84)/ABS(L35-'Airfoil 1'!$Z$84)</f>
        <v>-1</v>
      </c>
      <c r="CP35" s="16">
        <f ca="1">(L35-'Airfoil 1'!$Z$85)/ABS(L35-'Airfoil 1'!$Z$85)</f>
        <v>-1</v>
      </c>
      <c r="CQ35" s="16">
        <f ca="1">(L35-'Airfoil 1'!$Z$86)/ABS(L35-'Airfoil 1'!$Z$86)</f>
        <v>-1</v>
      </c>
      <c r="CR35" s="16">
        <f ca="1">(L35-'Airfoil 1'!$Z$87)/ABS(L35-'Airfoil 1'!$Z$87)</f>
        <v>-1</v>
      </c>
      <c r="CS35" s="16">
        <f ca="1">(L35-'Airfoil 1'!$Z$88)/ABS(L35-'Airfoil 1'!$Z$88)</f>
        <v>-1</v>
      </c>
      <c r="CT35" s="16">
        <f ca="1">(L35-'Airfoil 1'!$Z$89)/ABS(L35-'Airfoil 1'!$Z$89)</f>
        <v>-1</v>
      </c>
      <c r="CU35" s="16">
        <f ca="1">(L35-'Airfoil 1'!$Z$90)/ABS(L35-'Airfoil 1'!$Z$90)</f>
        <v>-1</v>
      </c>
      <c r="CV35" s="16">
        <f ca="1">(L35-'Airfoil 1'!$Z$91)/ABS(L35-'Airfoil 1'!$Z$91)</f>
        <v>-1</v>
      </c>
      <c r="CW35" s="5">
        <f t="shared" ca="1" si="10"/>
        <v>4</v>
      </c>
      <c r="CX35" s="42">
        <f ca="1">INDEX('Airfoil 1'!$AA$72:$AA$91,CW35,1)+INDEX('Airfoil 1'!$AB$72:$AB$91,CW35,1)*(L35-INDEX('Airfoil 1'!$Z$72:$Z$91,CW35,1))</f>
        <v>1.0826119436170376E-2</v>
      </c>
    </row>
    <row r="36" spans="2:102">
      <c r="B36" s="31">
        <f>Main!B36</f>
        <v>0.33333333333333326</v>
      </c>
      <c r="D36" s="1">
        <f>Takeoff!F36</f>
        <v>1.2249994633486807</v>
      </c>
      <c r="E36" s="4">
        <f>ISA!$O$10</f>
        <v>1.783E-5</v>
      </c>
      <c r="G36" s="13">
        <f ca="1">Takeoff!T36</f>
        <v>11.04629417170349</v>
      </c>
      <c r="H36" s="5">
        <f t="shared" ca="1" si="0"/>
        <v>252976.34010709351</v>
      </c>
      <c r="I36" s="16">
        <f ca="1">'Airfoil 2'!$K$14*H36^'Airfoil 2'!$L$13</f>
        <v>1.5757636062063025</v>
      </c>
      <c r="J36" s="1">
        <f ca="1">'Airfoil 2'!$K$33*H36^'Airfoil 2'!$L$32</f>
        <v>5.6142306414983718</v>
      </c>
      <c r="K36" s="13">
        <f ca="1">'Airfoil 2'!$K$52*H36^'Airfoil 2'!$L$51</f>
        <v>-7.3780983593742757</v>
      </c>
      <c r="L36" s="16">
        <f ca="1">'Aerodynamics-Takeoff'!W36</f>
        <v>0.86488121784987648</v>
      </c>
      <c r="M36" s="10">
        <f ca="1">('Airfoil 1'!$B$21+'Airfoil 1'!$B$22*L36+'Airfoil 1'!$B$23*L36^2+'Airfoil 1'!$B$24*L36^3+'Airfoil 1'!$B$25*L36^4+'Airfoil 1'!$B$26*L36^5+'Airfoil 1'!$B$27*L36^6)*0+BD36</f>
        <v>2.4566216311277974E-2</v>
      </c>
      <c r="N36" s="42">
        <f ca="1">('Airfoil 1'!$B$29+'Airfoil 1'!$B$30*L36+'Airfoil 1'!$B$31*L36^2+'Airfoil 1'!$B$32*L36^3+'Airfoil 1'!$B$33*L36^4+'Airfoil 1'!$B$34*L36^5+'Airfoil 1'!$B$35*L36^6)*0+CA36</f>
        <v>1.7096237841055014E-2</v>
      </c>
      <c r="O36" s="42">
        <f ca="1">('Airfoil 1'!$B$37+'Airfoil 1'!$B$38*L36+'Airfoil 1'!$B$39*L36^2+'Airfoil 1'!$B$40*L36^3+'Airfoil 1'!$B$41*L36^4+'Airfoil 1'!$B$42*L36^5+'Airfoil 1'!$B$43*L36^6)*0+CX36</f>
        <v>1.0828993181669072E-2</v>
      </c>
      <c r="P36" s="16">
        <f>LOG('Airfoil 1'!$F$10)+LOG('Airfoil 1'!$G$10)+LOG('Airfoil 1'!$H$10)</f>
        <v>15.176091259055681</v>
      </c>
      <c r="Q36" s="16">
        <f t="shared" ca="1" si="1"/>
        <v>-5.3421730970838759</v>
      </c>
      <c r="R36" s="16">
        <f>LOG('Airfoil 1'!$F$10)^2+LOG('Airfoil 1'!$G$10)^2+LOG('Airfoil 1'!$H$10)^2</f>
        <v>76.867141336751558</v>
      </c>
      <c r="S36" s="16">
        <f ca="1">LOG('Airfoil 1'!$F$10)*LOG(M36)+LOG('Airfoil 1'!$G$10)*LOG(N36)+LOG('Airfoil 1'!$H$10)*LOG(O36)</f>
        <v>-27.101404324380958</v>
      </c>
      <c r="T36" s="16">
        <f t="shared" ca="1" si="2"/>
        <v>190.40076994562651</v>
      </c>
      <c r="U36" s="16">
        <f t="shared" ca="1" si="3"/>
        <v>-0.80265590064845305</v>
      </c>
      <c r="V36" s="42">
        <f ca="1">IF(Energy!$F$11=1,Energy!$T$13,1)*T36*H36^U36</f>
        <v>9.6657004285173754E-3</v>
      </c>
      <c r="W36" s="10">
        <f ca="1">'Airfoil 1'!$B$48+'Airfoil 1'!$B$49*L36+'Airfoil 1'!$B$50*L36^2+'Airfoil 1'!$B$51*L36^3+'Airfoil 1'!$B$52*L36^4+'Airfoil 1'!$B$53*L36^5+'Airfoil 1'!$B$54*L36^6</f>
        <v>-0.155</v>
      </c>
      <c r="X36" s="42">
        <f ca="1">'Airfoil 1'!$B$56+'Airfoil 1'!$B$57*L36+'Airfoil 1'!$B$58*L36^2+'Airfoil 1'!$B$59*L36^3+'Airfoil 1'!$B$60*L36^4+'Airfoil 1'!$B$61*L36^5+'Airfoil 1'!$B$62*L36^6</f>
        <v>-0.155</v>
      </c>
      <c r="Y36" s="42">
        <f ca="1">'Airfoil 1'!$B$64+'Airfoil 1'!$B$65*L36+'Airfoil 1'!$B$66*L36^2+'Airfoil 1'!$B$67*L36^3+'Airfoil 1'!$B$681*L36^4+'Airfoil 1'!$B$69*L36^5+'Airfoil 1'!$B$70*L36^6</f>
        <v>-0.155</v>
      </c>
      <c r="Z36" s="16">
        <f>LOG('Airfoil 1'!$F$10)+LOG('Airfoil 1'!$G$10)+LOG('Airfoil 1'!$H$10)</f>
        <v>15.176091259055681</v>
      </c>
      <c r="AA36" s="16">
        <f t="shared" ca="1" si="4"/>
        <v>-2.4290049054891254</v>
      </c>
      <c r="AB36" s="16">
        <f>LOG('Airfoil 1'!$F$10)^2+LOG('Airfoil 1'!$G$10)^2+LOG('Airfoil 1'!$H$10)^2</f>
        <v>76.867141336751558</v>
      </c>
      <c r="AC36" s="16">
        <f ca="1">LOG('Airfoil 1'!$F$10)*LOG(ABS(W36))+LOG('Airfoil 1'!$G$10)*LOG(ABS(X36))+LOG('Airfoil 1'!$H$10)*LOG(ABS(Y36))</f>
        <v>-12.287600038132297</v>
      </c>
      <c r="AD36" s="16">
        <f t="shared" ca="1" si="5"/>
        <v>0.1550000000000121</v>
      </c>
      <c r="AE36" s="16">
        <f t="shared" ca="1" si="6"/>
        <v>-6.6718325633022456E-15</v>
      </c>
      <c r="AF36" s="42">
        <f t="shared" ca="1" si="7"/>
        <v>-0.15499999999999922</v>
      </c>
      <c r="AG36" s="16"/>
      <c r="AH36" s="42"/>
      <c r="AI36" s="16">
        <f ca="1">(L36-'Airfoil 1'!$Z$22)/ABS(L36-'Airfoil 1'!$Z$22)</f>
        <v>1</v>
      </c>
      <c r="AJ36" s="16">
        <f ca="1">(L36-'Airfoil 1'!$Z$23)/ABS(L36-'Airfoil 1'!$Z$23)</f>
        <v>1</v>
      </c>
      <c r="AK36" s="16">
        <f ca="1">(L36-'Airfoil 1'!$Z$24)/ABS(L36-'Airfoil 1'!$Z$24)</f>
        <v>1</v>
      </c>
      <c r="AL36" s="16">
        <f ca="1">(L36-'Airfoil 1'!$Z$25)/ABS(L36-'Airfoil 1'!$Z$25)</f>
        <v>1</v>
      </c>
      <c r="AM36" s="16">
        <f ca="1">(L36-'Airfoil 1'!$Z$26)/ABS(L36-'Airfoil 1'!$Z$26)</f>
        <v>1</v>
      </c>
      <c r="AN36" s="16">
        <f ca="1">(L36-'Airfoil 1'!$Z$27)/ABS(L36-'Airfoil 1'!$Z$27)</f>
        <v>1</v>
      </c>
      <c r="AO36" s="16">
        <f ca="1">(L36-'Airfoil 1'!$Z$28)/ABS(L36-'Airfoil 1'!$Z$28)</f>
        <v>1</v>
      </c>
      <c r="AP36" s="16">
        <f ca="1">(L36-'Airfoil 1'!$Z$29)/ABS(L36-'Airfoil 1'!$Z$29)</f>
        <v>-1</v>
      </c>
      <c r="AQ36" s="16">
        <f ca="1">(L36-'Airfoil 1'!$Z$30)/ABS(L36-'Airfoil 1'!$Z$30)</f>
        <v>-1</v>
      </c>
      <c r="AR36" s="16">
        <f ca="1">(L36-'Airfoil 1'!$Z$31)/ABS(L36-'Airfoil 1'!$Z$31)</f>
        <v>-1</v>
      </c>
      <c r="AS36" s="16">
        <f ca="1">(L36-'Airfoil 1'!$Z$32)/ABS(L36-'Airfoil 1'!$Z$32)</f>
        <v>-1</v>
      </c>
      <c r="AT36" s="16">
        <f ca="1">(L36-'Airfoil 1'!$Z$33)/ABS(L36-'Airfoil 1'!$Z$33)</f>
        <v>-1</v>
      </c>
      <c r="AU36" s="16">
        <f ca="1">(L36-'Airfoil 1'!$Z$34)/ABS(L36-'Airfoil 1'!$Z$34)</f>
        <v>-1</v>
      </c>
      <c r="AV36" s="16">
        <f ca="1">(L36-'Airfoil 1'!$Z$35)/ABS(L36-'Airfoil 1'!$Z$35)</f>
        <v>-1</v>
      </c>
      <c r="AW36" s="16">
        <f ca="1">(L36-'Airfoil 1'!$Z$36)/ABS(L36-'Airfoil 1'!$Z$36)</f>
        <v>-1</v>
      </c>
      <c r="AX36" s="16">
        <f ca="1">(L36-'Airfoil 1'!$Z$37)/ABS(L36-'Airfoil 1'!$Z$37)</f>
        <v>-1</v>
      </c>
      <c r="AY36" s="16">
        <f ca="1">(L36-'Airfoil 1'!$Z$38)/ABS(L36-'Airfoil 1'!$Z$38)</f>
        <v>-1</v>
      </c>
      <c r="AZ36" s="16">
        <f ca="1">(L36-'Airfoil 1'!$Z$39)/ABS(L36-'Airfoil 1'!$Z$39)</f>
        <v>-1</v>
      </c>
      <c r="BA36" s="16">
        <f ca="1">(L36-'Airfoil 1'!$Z$40)/ABS(L36-'Airfoil 1'!$Z$40)</f>
        <v>-1</v>
      </c>
      <c r="BB36" s="16">
        <f ca="1">(L36-'Airfoil 1'!$Z$41)/ABS(L36-'Airfoil 1'!$Z$41)</f>
        <v>-1</v>
      </c>
      <c r="BC36" s="5">
        <f t="shared" ca="1" si="8"/>
        <v>7</v>
      </c>
      <c r="BD36" s="42">
        <f ca="1">INDEX('Airfoil 1'!$AA$22:$AA$41,BC36,1)+INDEX('Airfoil 1'!$AB$22:$AB$41,BC36,1)*(L36-INDEX('Airfoil 1'!$Z$22:$Z$41,BC36,1))</f>
        <v>2.4566216311277644E-2</v>
      </c>
      <c r="BE36" s="6"/>
      <c r="BF36" s="16">
        <f ca="1">(L36-'Airfoil 1'!$Z$47)/ABS(L36-'Airfoil 1'!$Z$47)</f>
        <v>1</v>
      </c>
      <c r="BG36" s="16">
        <f ca="1">(L36-'Airfoil 1'!$Z$48)/ABS(L36-'Airfoil 1'!$Z$48)</f>
        <v>1</v>
      </c>
      <c r="BH36" s="16">
        <f ca="1">(L36-'Airfoil 1'!$Z$49)/ABS(L36-'Airfoil 1'!$Z$49)</f>
        <v>1</v>
      </c>
      <c r="BI36" s="16">
        <f ca="1">(L36-'Airfoil 1'!$Z$50)/ABS(L36-'Airfoil 1'!$Z$50)</f>
        <v>1</v>
      </c>
      <c r="BJ36" s="16">
        <f ca="1">(L36-'Airfoil 1'!$Z$51)/ABS(L36-'Airfoil 1'!$Z$51)</f>
        <v>1</v>
      </c>
      <c r="BK36" s="16">
        <f ca="1">(L36-'Airfoil 1'!$Z$52)/ABS(L36-'Airfoil 1'!$Z$52)</f>
        <v>-1</v>
      </c>
      <c r="BL36" s="16">
        <f ca="1">(L36-'Airfoil 1'!$Z$53)/ABS(L36-'Airfoil 1'!$Z$53)</f>
        <v>-1</v>
      </c>
      <c r="BM36" s="16">
        <f ca="1">(L36-'Airfoil 1'!$Z$54)/ABS(L36-'Airfoil 1'!$Z$54)</f>
        <v>-1</v>
      </c>
      <c r="BN36" s="16">
        <f ca="1">(L36-'Airfoil 1'!$Z$55)/ABS(L36-'Airfoil 1'!$Z$55)</f>
        <v>-1</v>
      </c>
      <c r="BO36" s="16">
        <f ca="1">(L36-'Airfoil 1'!$Z$56)/ABS(L36-'Airfoil 1'!$Z$56)</f>
        <v>-1</v>
      </c>
      <c r="BP36" s="16">
        <f ca="1">(L36-'Airfoil 1'!$Z$57)/ABS(L36-'Airfoil 1'!$Z$57)</f>
        <v>-1</v>
      </c>
      <c r="BQ36" s="16">
        <f ca="1">(L36-'Airfoil 1'!$Z$58)/ABS(L36-'Airfoil 1'!$Z$58)</f>
        <v>-1</v>
      </c>
      <c r="BR36" s="16">
        <f ca="1">(L36-'Airfoil 1'!$Z$59)/ABS(L36-'Airfoil 1'!$Z$59)</f>
        <v>-1</v>
      </c>
      <c r="BS36" s="16">
        <f ca="1">(L36-'Airfoil 1'!$Z$60)/ABS(L36-'Airfoil 1'!$Z$60)</f>
        <v>-1</v>
      </c>
      <c r="BT36" s="16">
        <f ca="1">(L36-'Airfoil 1'!$Z$61)/ABS(L36-'Airfoil 1'!$Z$61)</f>
        <v>-1</v>
      </c>
      <c r="BU36" s="16">
        <f ca="1">(L36-'Airfoil 1'!$Z$62)/ABS(L36-'Airfoil 1'!$Z$62)</f>
        <v>-1</v>
      </c>
      <c r="BV36" s="16">
        <f ca="1">(L36-'Airfoil 1'!$Z$63)/ABS(L36-'Airfoil 1'!$Z$63)</f>
        <v>-1</v>
      </c>
      <c r="BW36" s="16">
        <f ca="1">(L36-'Airfoil 1'!$Z$64)/ABS(L36-'Airfoil 1'!$Z$64)</f>
        <v>-1</v>
      </c>
      <c r="BX36" s="16">
        <f ca="1">(L36-'Airfoil 1'!$Z$65)/ABS(L36-'Airfoil 1'!$Z$65)</f>
        <v>-1</v>
      </c>
      <c r="BY36" s="16">
        <f ca="1">(L36-'Airfoil 1'!$Z$66)/ABS(L36-'Airfoil 1'!$Z$66)</f>
        <v>-1</v>
      </c>
      <c r="BZ36" s="5">
        <f t="shared" ca="1" si="9"/>
        <v>5</v>
      </c>
      <c r="CA36" s="42">
        <f ca="1">INDEX('Airfoil 1'!$AA$47:$AA$66,BZ36,1)+INDEX('Airfoil 1'!$AB$47:$AB$66,BZ36,1)*(L36-INDEX('Airfoil 1'!$Z$47:$Z$66,BZ36,1))</f>
        <v>1.7096237841054941E-2</v>
      </c>
      <c r="CC36" s="16">
        <f ca="1">(L36-'Airfoil 1'!$Z$72)/ABS(L36-'Airfoil 1'!$Z$72)</f>
        <v>1</v>
      </c>
      <c r="CD36" s="16">
        <f ca="1">(L36-'Airfoil 1'!$Z$73)/ABS(L36-'Airfoil 1'!$Z$73)</f>
        <v>1</v>
      </c>
      <c r="CE36" s="16">
        <f ca="1">(L36-'Airfoil 1'!$Z$74)/ABS(L36-'Airfoil 1'!$Z$74)</f>
        <v>1</v>
      </c>
      <c r="CF36" s="16">
        <f ca="1">(L36-'Airfoil 1'!$Z$75)/ABS(L36-'Airfoil 1'!$Z$75)</f>
        <v>1</v>
      </c>
      <c r="CG36" s="16">
        <f ca="1">(L36-'Airfoil 1'!$Z$76)/ABS(L36-'Airfoil 1'!$Z$76)</f>
        <v>-1</v>
      </c>
      <c r="CH36" s="16">
        <f ca="1">(L36-'Airfoil 1'!$Z$77)/ABS(L36-'Airfoil 1'!$Z$77)</f>
        <v>-1</v>
      </c>
      <c r="CI36" s="16">
        <f ca="1">(L36-'Airfoil 1'!$Z$78)/ABS(L36-'Airfoil 1'!$Z$78)</f>
        <v>-1</v>
      </c>
      <c r="CJ36" s="16">
        <f ca="1">(L36-'Airfoil 1'!$Z$79)/ABS(L36-'Airfoil 1'!$Z$79)</f>
        <v>-1</v>
      </c>
      <c r="CK36" s="16">
        <f ca="1">(L36-'Airfoil 1'!$Z$80)/ABS(L36-'Airfoil 1'!$Z$80)</f>
        <v>-1</v>
      </c>
      <c r="CL36" s="16">
        <f ca="1">(L36-'Airfoil 1'!$Z$81)/ABS(L36-'Airfoil 1'!$Z$81)</f>
        <v>-1</v>
      </c>
      <c r="CM36" s="16">
        <f ca="1">(L36-'Airfoil 1'!$Z$82)/ABS(L36-'Airfoil 1'!$Z$82)</f>
        <v>-1</v>
      </c>
      <c r="CN36" s="16">
        <f ca="1">(L36-'Airfoil 1'!$Z$83)/ABS(L36-'Airfoil 1'!$Z$83)</f>
        <v>-1</v>
      </c>
      <c r="CO36" s="16">
        <f ca="1">(L36-'Airfoil 1'!$Z$84)/ABS(L36-'Airfoil 1'!$Z$84)</f>
        <v>-1</v>
      </c>
      <c r="CP36" s="16">
        <f ca="1">(L36-'Airfoil 1'!$Z$85)/ABS(L36-'Airfoil 1'!$Z$85)</f>
        <v>-1</v>
      </c>
      <c r="CQ36" s="16">
        <f ca="1">(L36-'Airfoil 1'!$Z$86)/ABS(L36-'Airfoil 1'!$Z$86)</f>
        <v>-1</v>
      </c>
      <c r="CR36" s="16">
        <f ca="1">(L36-'Airfoil 1'!$Z$87)/ABS(L36-'Airfoil 1'!$Z$87)</f>
        <v>-1</v>
      </c>
      <c r="CS36" s="16">
        <f ca="1">(L36-'Airfoil 1'!$Z$88)/ABS(L36-'Airfoil 1'!$Z$88)</f>
        <v>-1</v>
      </c>
      <c r="CT36" s="16">
        <f ca="1">(L36-'Airfoil 1'!$Z$89)/ABS(L36-'Airfoil 1'!$Z$89)</f>
        <v>-1</v>
      </c>
      <c r="CU36" s="16">
        <f ca="1">(L36-'Airfoil 1'!$Z$90)/ABS(L36-'Airfoil 1'!$Z$90)</f>
        <v>-1</v>
      </c>
      <c r="CV36" s="16">
        <f ca="1">(L36-'Airfoil 1'!$Z$91)/ABS(L36-'Airfoil 1'!$Z$91)</f>
        <v>-1</v>
      </c>
      <c r="CW36" s="5">
        <f t="shared" ca="1" si="10"/>
        <v>4</v>
      </c>
      <c r="CX36" s="42">
        <f ca="1">INDEX('Airfoil 1'!$AA$72:$AA$91,CW36,1)+INDEX('Airfoil 1'!$AB$72:$AB$91,CW36,1)*(L36-INDEX('Airfoil 1'!$Z$72:$Z$91,CW36,1))</f>
        <v>1.0828993181670282E-2</v>
      </c>
    </row>
    <row r="37" spans="2:102">
      <c r="B37" s="31">
        <f>Main!B37</f>
        <v>0.33333333333333326</v>
      </c>
      <c r="D37" s="1">
        <f>Takeoff!F37</f>
        <v>1.2249994633486807</v>
      </c>
      <c r="E37" s="4">
        <f>ISA!$O$10</f>
        <v>1.783E-5</v>
      </c>
      <c r="G37" s="13">
        <f ca="1">Takeoff!T37</f>
        <v>10.891834490699978</v>
      </c>
      <c r="H37" s="5">
        <f t="shared" ca="1" si="0"/>
        <v>249438.98683847676</v>
      </c>
      <c r="I37" s="16">
        <f ca="1">'Airfoil 2'!$K$14*H37^'Airfoil 2'!$L$13</f>
        <v>1.5754551748352821</v>
      </c>
      <c r="J37" s="1">
        <f ca="1">'Airfoil 2'!$K$33*H37^'Airfoil 2'!$L$32</f>
        <v>5.6408842980777605</v>
      </c>
      <c r="K37" s="13">
        <f ca="1">'Airfoil 2'!$K$52*H37^'Airfoil 2'!$L$51</f>
        <v>-7.3089442612409012</v>
      </c>
      <c r="L37" s="16">
        <f ca="1">'Aerodynamics-Takeoff'!W37</f>
        <v>0.86522684907792258</v>
      </c>
      <c r="M37" s="10">
        <f ca="1">('Airfoil 1'!$B$21+'Airfoil 1'!$B$22*L37+'Airfoil 1'!$B$23*L37^2+'Airfoil 1'!$B$24*L37^3+'Airfoil 1'!$B$25*L37^4+'Airfoil 1'!$B$26*L37^5+'Airfoil 1'!$B$27*L37^6)*0+BD37</f>
        <v>2.456545945457423E-2</v>
      </c>
      <c r="N37" s="42">
        <f ca="1">('Airfoil 1'!$B$29+'Airfoil 1'!$B$30*L37+'Airfoil 1'!$B$31*L37^2+'Airfoil 1'!$B$32*L37^3+'Airfoil 1'!$B$33*L37^4+'Airfoil 1'!$B$34*L37^5+'Airfoil 1'!$B$35*L37^6)*0+CA37</f>
        <v>1.7096070379649202E-2</v>
      </c>
      <c r="O37" s="42">
        <f ca="1">('Airfoil 1'!$B$37+'Airfoil 1'!$B$38*L37+'Airfoil 1'!$B$39*L37^2+'Airfoil 1'!$B$40*L37^3+'Airfoil 1'!$B$41*L37^4+'Airfoil 1'!$B$42*L37^5+'Airfoil 1'!$B$43*L37^6)*0+CX37</f>
        <v>1.0831762050623008E-2</v>
      </c>
      <c r="P37" s="16">
        <f>LOG('Airfoil 1'!$F$10)+LOG('Airfoil 1'!$G$10)+LOG('Airfoil 1'!$H$10)</f>
        <v>15.176091259055681</v>
      </c>
      <c r="Q37" s="16">
        <f t="shared" ca="1" si="1"/>
        <v>-5.3420797007214222</v>
      </c>
      <c r="R37" s="16">
        <f>LOG('Airfoil 1'!$F$10)^2+LOG('Airfoil 1'!$G$10)^2+LOG('Airfoil 1'!$H$10)^2</f>
        <v>76.867141336751558</v>
      </c>
      <c r="S37" s="16">
        <f ca="1">LOG('Airfoil 1'!$F$10)*LOG(M37)+LOG('Airfoil 1'!$G$10)*LOG(N37)+LOG('Airfoil 1'!$H$10)*LOG(O37)</f>
        <v>-27.100902247274739</v>
      </c>
      <c r="T37" s="16">
        <f t="shared" ca="1" si="2"/>
        <v>189.73070734834258</v>
      </c>
      <c r="U37" s="16">
        <f t="shared" ca="1" si="3"/>
        <v>-0.80234708466069371</v>
      </c>
      <c r="V37" s="42">
        <f ca="1">IF(Energy!$F$11=1,Energy!$T$13,1)*T37*H37^U37</f>
        <v>9.7786212396046585E-3</v>
      </c>
      <c r="W37" s="10">
        <f ca="1">'Airfoil 1'!$B$48+'Airfoil 1'!$B$49*L37+'Airfoil 1'!$B$50*L37^2+'Airfoil 1'!$B$51*L37^3+'Airfoil 1'!$B$52*L37^4+'Airfoil 1'!$B$53*L37^5+'Airfoil 1'!$B$54*L37^6</f>
        <v>-0.155</v>
      </c>
      <c r="X37" s="42">
        <f ca="1">'Airfoil 1'!$B$56+'Airfoil 1'!$B$57*L37+'Airfoil 1'!$B$58*L37^2+'Airfoil 1'!$B$59*L37^3+'Airfoil 1'!$B$60*L37^4+'Airfoil 1'!$B$61*L37^5+'Airfoil 1'!$B$62*L37^6</f>
        <v>-0.155</v>
      </c>
      <c r="Y37" s="42">
        <f ca="1">'Airfoil 1'!$B$64+'Airfoil 1'!$B$65*L37+'Airfoil 1'!$B$66*L37^2+'Airfoil 1'!$B$67*L37^3+'Airfoil 1'!$B$681*L37^4+'Airfoil 1'!$B$69*L37^5+'Airfoil 1'!$B$70*L37^6</f>
        <v>-0.155</v>
      </c>
      <c r="Z37" s="16">
        <f>LOG('Airfoil 1'!$F$10)+LOG('Airfoil 1'!$G$10)+LOG('Airfoil 1'!$H$10)</f>
        <v>15.176091259055681</v>
      </c>
      <c r="AA37" s="16">
        <f t="shared" ca="1" si="4"/>
        <v>-2.4290049054891254</v>
      </c>
      <c r="AB37" s="16">
        <f>LOG('Airfoil 1'!$F$10)^2+LOG('Airfoil 1'!$G$10)^2+LOG('Airfoil 1'!$H$10)^2</f>
        <v>76.867141336751558</v>
      </c>
      <c r="AC37" s="16">
        <f ca="1">LOG('Airfoil 1'!$F$10)*LOG(ABS(W37))+LOG('Airfoil 1'!$G$10)*LOG(ABS(X37))+LOG('Airfoil 1'!$H$10)*LOG(ABS(Y37))</f>
        <v>-12.287600038132297</v>
      </c>
      <c r="AD37" s="16">
        <f t="shared" ca="1" si="5"/>
        <v>0.1550000000000121</v>
      </c>
      <c r="AE37" s="16">
        <f t="shared" ca="1" si="6"/>
        <v>-6.6718325633022456E-15</v>
      </c>
      <c r="AF37" s="42">
        <f t="shared" ca="1" si="7"/>
        <v>-0.15499999999999925</v>
      </c>
      <c r="AG37" s="16"/>
      <c r="AH37" s="42"/>
      <c r="AI37" s="16">
        <f ca="1">(L37-'Airfoil 1'!$Z$22)/ABS(L37-'Airfoil 1'!$Z$22)</f>
        <v>1</v>
      </c>
      <c r="AJ37" s="16">
        <f ca="1">(L37-'Airfoil 1'!$Z$23)/ABS(L37-'Airfoil 1'!$Z$23)</f>
        <v>1</v>
      </c>
      <c r="AK37" s="16">
        <f ca="1">(L37-'Airfoil 1'!$Z$24)/ABS(L37-'Airfoil 1'!$Z$24)</f>
        <v>1</v>
      </c>
      <c r="AL37" s="16">
        <f ca="1">(L37-'Airfoil 1'!$Z$25)/ABS(L37-'Airfoil 1'!$Z$25)</f>
        <v>1</v>
      </c>
      <c r="AM37" s="16">
        <f ca="1">(L37-'Airfoil 1'!$Z$26)/ABS(L37-'Airfoil 1'!$Z$26)</f>
        <v>1</v>
      </c>
      <c r="AN37" s="16">
        <f ca="1">(L37-'Airfoil 1'!$Z$27)/ABS(L37-'Airfoil 1'!$Z$27)</f>
        <v>1</v>
      </c>
      <c r="AO37" s="16">
        <f ca="1">(L37-'Airfoil 1'!$Z$28)/ABS(L37-'Airfoil 1'!$Z$28)</f>
        <v>1</v>
      </c>
      <c r="AP37" s="16">
        <f ca="1">(L37-'Airfoil 1'!$Z$29)/ABS(L37-'Airfoil 1'!$Z$29)</f>
        <v>-1</v>
      </c>
      <c r="AQ37" s="16">
        <f ca="1">(L37-'Airfoil 1'!$Z$30)/ABS(L37-'Airfoil 1'!$Z$30)</f>
        <v>-1</v>
      </c>
      <c r="AR37" s="16">
        <f ca="1">(L37-'Airfoil 1'!$Z$31)/ABS(L37-'Airfoil 1'!$Z$31)</f>
        <v>-1</v>
      </c>
      <c r="AS37" s="16">
        <f ca="1">(L37-'Airfoil 1'!$Z$32)/ABS(L37-'Airfoil 1'!$Z$32)</f>
        <v>-1</v>
      </c>
      <c r="AT37" s="16">
        <f ca="1">(L37-'Airfoil 1'!$Z$33)/ABS(L37-'Airfoil 1'!$Z$33)</f>
        <v>-1</v>
      </c>
      <c r="AU37" s="16">
        <f ca="1">(L37-'Airfoil 1'!$Z$34)/ABS(L37-'Airfoil 1'!$Z$34)</f>
        <v>-1</v>
      </c>
      <c r="AV37" s="16">
        <f ca="1">(L37-'Airfoil 1'!$Z$35)/ABS(L37-'Airfoil 1'!$Z$35)</f>
        <v>-1</v>
      </c>
      <c r="AW37" s="16">
        <f ca="1">(L37-'Airfoil 1'!$Z$36)/ABS(L37-'Airfoil 1'!$Z$36)</f>
        <v>-1</v>
      </c>
      <c r="AX37" s="16">
        <f ca="1">(L37-'Airfoil 1'!$Z$37)/ABS(L37-'Airfoil 1'!$Z$37)</f>
        <v>-1</v>
      </c>
      <c r="AY37" s="16">
        <f ca="1">(L37-'Airfoil 1'!$Z$38)/ABS(L37-'Airfoil 1'!$Z$38)</f>
        <v>-1</v>
      </c>
      <c r="AZ37" s="16">
        <f ca="1">(L37-'Airfoil 1'!$Z$39)/ABS(L37-'Airfoil 1'!$Z$39)</f>
        <v>-1</v>
      </c>
      <c r="BA37" s="16">
        <f ca="1">(L37-'Airfoil 1'!$Z$40)/ABS(L37-'Airfoil 1'!$Z$40)</f>
        <v>-1</v>
      </c>
      <c r="BB37" s="16">
        <f ca="1">(L37-'Airfoil 1'!$Z$41)/ABS(L37-'Airfoil 1'!$Z$41)</f>
        <v>-1</v>
      </c>
      <c r="BC37" s="5">
        <f t="shared" ca="1" si="8"/>
        <v>7</v>
      </c>
      <c r="BD37" s="42">
        <f ca="1">INDEX('Airfoil 1'!$AA$22:$AA$41,BC37,1)+INDEX('Airfoil 1'!$AB$22:$AB$41,BC37,1)*(L37-INDEX('Airfoil 1'!$Z$22:$Z$41,BC37,1))</f>
        <v>2.4565459454573894E-2</v>
      </c>
      <c r="BE37" s="6"/>
      <c r="BF37" s="16">
        <f ca="1">(L37-'Airfoil 1'!$Z$47)/ABS(L37-'Airfoil 1'!$Z$47)</f>
        <v>1</v>
      </c>
      <c r="BG37" s="16">
        <f ca="1">(L37-'Airfoil 1'!$Z$48)/ABS(L37-'Airfoil 1'!$Z$48)</f>
        <v>1</v>
      </c>
      <c r="BH37" s="16">
        <f ca="1">(L37-'Airfoil 1'!$Z$49)/ABS(L37-'Airfoil 1'!$Z$49)</f>
        <v>1</v>
      </c>
      <c r="BI37" s="16">
        <f ca="1">(L37-'Airfoil 1'!$Z$50)/ABS(L37-'Airfoil 1'!$Z$50)</f>
        <v>1</v>
      </c>
      <c r="BJ37" s="16">
        <f ca="1">(L37-'Airfoil 1'!$Z$51)/ABS(L37-'Airfoil 1'!$Z$51)</f>
        <v>1</v>
      </c>
      <c r="BK37" s="16">
        <f ca="1">(L37-'Airfoil 1'!$Z$52)/ABS(L37-'Airfoil 1'!$Z$52)</f>
        <v>-1</v>
      </c>
      <c r="BL37" s="16">
        <f ca="1">(L37-'Airfoil 1'!$Z$53)/ABS(L37-'Airfoil 1'!$Z$53)</f>
        <v>-1</v>
      </c>
      <c r="BM37" s="16">
        <f ca="1">(L37-'Airfoil 1'!$Z$54)/ABS(L37-'Airfoil 1'!$Z$54)</f>
        <v>-1</v>
      </c>
      <c r="BN37" s="16">
        <f ca="1">(L37-'Airfoil 1'!$Z$55)/ABS(L37-'Airfoil 1'!$Z$55)</f>
        <v>-1</v>
      </c>
      <c r="BO37" s="16">
        <f ca="1">(L37-'Airfoil 1'!$Z$56)/ABS(L37-'Airfoil 1'!$Z$56)</f>
        <v>-1</v>
      </c>
      <c r="BP37" s="16">
        <f ca="1">(L37-'Airfoil 1'!$Z$57)/ABS(L37-'Airfoil 1'!$Z$57)</f>
        <v>-1</v>
      </c>
      <c r="BQ37" s="16">
        <f ca="1">(L37-'Airfoil 1'!$Z$58)/ABS(L37-'Airfoil 1'!$Z$58)</f>
        <v>-1</v>
      </c>
      <c r="BR37" s="16">
        <f ca="1">(L37-'Airfoil 1'!$Z$59)/ABS(L37-'Airfoil 1'!$Z$59)</f>
        <v>-1</v>
      </c>
      <c r="BS37" s="16">
        <f ca="1">(L37-'Airfoil 1'!$Z$60)/ABS(L37-'Airfoil 1'!$Z$60)</f>
        <v>-1</v>
      </c>
      <c r="BT37" s="16">
        <f ca="1">(L37-'Airfoil 1'!$Z$61)/ABS(L37-'Airfoil 1'!$Z$61)</f>
        <v>-1</v>
      </c>
      <c r="BU37" s="16">
        <f ca="1">(L37-'Airfoil 1'!$Z$62)/ABS(L37-'Airfoil 1'!$Z$62)</f>
        <v>-1</v>
      </c>
      <c r="BV37" s="16">
        <f ca="1">(L37-'Airfoil 1'!$Z$63)/ABS(L37-'Airfoil 1'!$Z$63)</f>
        <v>-1</v>
      </c>
      <c r="BW37" s="16">
        <f ca="1">(L37-'Airfoil 1'!$Z$64)/ABS(L37-'Airfoil 1'!$Z$64)</f>
        <v>-1</v>
      </c>
      <c r="BX37" s="16">
        <f ca="1">(L37-'Airfoil 1'!$Z$65)/ABS(L37-'Airfoil 1'!$Z$65)</f>
        <v>-1</v>
      </c>
      <c r="BY37" s="16">
        <f ca="1">(L37-'Airfoil 1'!$Z$66)/ABS(L37-'Airfoil 1'!$Z$66)</f>
        <v>-1</v>
      </c>
      <c r="BZ37" s="5">
        <f t="shared" ca="1" si="9"/>
        <v>5</v>
      </c>
      <c r="CA37" s="42">
        <f ca="1">INDEX('Airfoil 1'!$AA$47:$AA$66,BZ37,1)+INDEX('Airfoil 1'!$AB$47:$AB$66,BZ37,1)*(L37-INDEX('Airfoil 1'!$Z$47:$Z$66,BZ37,1))</f>
        <v>1.709607037964913E-2</v>
      </c>
      <c r="CC37" s="16">
        <f ca="1">(L37-'Airfoil 1'!$Z$72)/ABS(L37-'Airfoil 1'!$Z$72)</f>
        <v>1</v>
      </c>
      <c r="CD37" s="16">
        <f ca="1">(L37-'Airfoil 1'!$Z$73)/ABS(L37-'Airfoil 1'!$Z$73)</f>
        <v>1</v>
      </c>
      <c r="CE37" s="16">
        <f ca="1">(L37-'Airfoil 1'!$Z$74)/ABS(L37-'Airfoil 1'!$Z$74)</f>
        <v>1</v>
      </c>
      <c r="CF37" s="16">
        <f ca="1">(L37-'Airfoil 1'!$Z$75)/ABS(L37-'Airfoil 1'!$Z$75)</f>
        <v>1</v>
      </c>
      <c r="CG37" s="16">
        <f ca="1">(L37-'Airfoil 1'!$Z$76)/ABS(L37-'Airfoil 1'!$Z$76)</f>
        <v>-1</v>
      </c>
      <c r="CH37" s="16">
        <f ca="1">(L37-'Airfoil 1'!$Z$77)/ABS(L37-'Airfoil 1'!$Z$77)</f>
        <v>-1</v>
      </c>
      <c r="CI37" s="16">
        <f ca="1">(L37-'Airfoil 1'!$Z$78)/ABS(L37-'Airfoil 1'!$Z$78)</f>
        <v>-1</v>
      </c>
      <c r="CJ37" s="16">
        <f ca="1">(L37-'Airfoil 1'!$Z$79)/ABS(L37-'Airfoil 1'!$Z$79)</f>
        <v>-1</v>
      </c>
      <c r="CK37" s="16">
        <f ca="1">(L37-'Airfoil 1'!$Z$80)/ABS(L37-'Airfoil 1'!$Z$80)</f>
        <v>-1</v>
      </c>
      <c r="CL37" s="16">
        <f ca="1">(L37-'Airfoil 1'!$Z$81)/ABS(L37-'Airfoil 1'!$Z$81)</f>
        <v>-1</v>
      </c>
      <c r="CM37" s="16">
        <f ca="1">(L37-'Airfoil 1'!$Z$82)/ABS(L37-'Airfoil 1'!$Z$82)</f>
        <v>-1</v>
      </c>
      <c r="CN37" s="16">
        <f ca="1">(L37-'Airfoil 1'!$Z$83)/ABS(L37-'Airfoil 1'!$Z$83)</f>
        <v>-1</v>
      </c>
      <c r="CO37" s="16">
        <f ca="1">(L37-'Airfoil 1'!$Z$84)/ABS(L37-'Airfoil 1'!$Z$84)</f>
        <v>-1</v>
      </c>
      <c r="CP37" s="16">
        <f ca="1">(L37-'Airfoil 1'!$Z$85)/ABS(L37-'Airfoil 1'!$Z$85)</f>
        <v>-1</v>
      </c>
      <c r="CQ37" s="16">
        <f ca="1">(L37-'Airfoil 1'!$Z$86)/ABS(L37-'Airfoil 1'!$Z$86)</f>
        <v>-1</v>
      </c>
      <c r="CR37" s="16">
        <f ca="1">(L37-'Airfoil 1'!$Z$87)/ABS(L37-'Airfoil 1'!$Z$87)</f>
        <v>-1</v>
      </c>
      <c r="CS37" s="16">
        <f ca="1">(L37-'Airfoil 1'!$Z$88)/ABS(L37-'Airfoil 1'!$Z$88)</f>
        <v>-1</v>
      </c>
      <c r="CT37" s="16">
        <f ca="1">(L37-'Airfoil 1'!$Z$89)/ABS(L37-'Airfoil 1'!$Z$89)</f>
        <v>-1</v>
      </c>
      <c r="CU37" s="16">
        <f ca="1">(L37-'Airfoil 1'!$Z$90)/ABS(L37-'Airfoil 1'!$Z$90)</f>
        <v>-1</v>
      </c>
      <c r="CV37" s="16">
        <f ca="1">(L37-'Airfoil 1'!$Z$91)/ABS(L37-'Airfoil 1'!$Z$91)</f>
        <v>-1</v>
      </c>
      <c r="CW37" s="5">
        <f t="shared" ca="1" si="10"/>
        <v>4</v>
      </c>
      <c r="CX37" s="42">
        <f ca="1">INDEX('Airfoil 1'!$AA$72:$AA$91,CW37,1)+INDEX('Airfoil 1'!$AB$72:$AB$91,CW37,1)*(L37-INDEX('Airfoil 1'!$Z$72:$Z$91,CW37,1))</f>
        <v>1.0831762050624243E-2</v>
      </c>
    </row>
    <row r="38" spans="2:102">
      <c r="B38" s="31">
        <f>Main!B38</f>
        <v>0.33333333333333326</v>
      </c>
      <c r="D38" s="1">
        <f>Takeoff!F38</f>
        <v>1.2249994633486807</v>
      </c>
      <c r="E38" s="4">
        <f>ISA!$O$10</f>
        <v>1.783E-5</v>
      </c>
      <c r="G38" s="13">
        <f ca="1">Takeoff!T38</f>
        <v>10.745049877378921</v>
      </c>
      <c r="H38" s="5">
        <f t="shared" ca="1" si="0"/>
        <v>246077.40387818252</v>
      </c>
      <c r="I38" s="16">
        <f ca="1">'Airfoil 2'!$K$14*H38^'Airfoil 2'!$L$13</f>
        <v>1.5751580459865451</v>
      </c>
      <c r="J38" s="1">
        <f ca="1">'Airfoil 2'!$K$33*H38^'Airfoil 2'!$L$32</f>
        <v>5.6666858573827659</v>
      </c>
      <c r="K38" s="13">
        <f ca="1">'Airfoil 2'!$K$52*H38^'Airfoil 2'!$L$51</f>
        <v>-7.2429247485950867</v>
      </c>
      <c r="L38" s="16">
        <f ca="1">'Aerodynamics-Takeoff'!W38</f>
        <v>0.86556024056452818</v>
      </c>
      <c r="M38" s="10">
        <f ca="1">('Airfoil 1'!$B$21+'Airfoil 1'!$B$22*L38+'Airfoil 1'!$B$23*L38^2+'Airfoil 1'!$B$24*L38^3+'Airfoil 1'!$B$25*L38^4+'Airfoil 1'!$B$26*L38^5+'Airfoil 1'!$B$27*L38^6)*0+BD38</f>
        <v>2.4564729400224007E-2</v>
      </c>
      <c r="N38" s="42">
        <f ca="1">('Airfoil 1'!$B$29+'Airfoil 1'!$B$30*L38+'Airfoil 1'!$B$31*L38^2+'Airfoil 1'!$B$32*L38^3+'Airfoil 1'!$B$33*L38^4+'Airfoil 1'!$B$34*L38^5+'Airfoil 1'!$B$35*L38^6)*0+CA38</f>
        <v>1.7095908848507046E-2</v>
      </c>
      <c r="O38" s="42">
        <f ca="1">('Airfoil 1'!$B$37+'Airfoil 1'!$B$38*L38+'Airfoil 1'!$B$39*L38^2+'Airfoil 1'!$B$40*L38^3+'Airfoil 1'!$B$41*L38^4+'Airfoil 1'!$B$42*L38^5+'Airfoil 1'!$B$43*L38^6)*0+CX38</f>
        <v>1.083443286639966E-2</v>
      </c>
      <c r="P38" s="16">
        <f>LOG('Airfoil 1'!$F$10)+LOG('Airfoil 1'!$G$10)+LOG('Airfoil 1'!$H$10)</f>
        <v>15.176091259055681</v>
      </c>
      <c r="Q38" s="16">
        <f t="shared" ca="1" si="1"/>
        <v>-5.341989639097279</v>
      </c>
      <c r="R38" s="16">
        <f>LOG('Airfoil 1'!$F$10)^2+LOG('Airfoil 1'!$G$10)^2+LOG('Airfoil 1'!$H$10)^2</f>
        <v>76.867141336751558</v>
      </c>
      <c r="S38" s="16">
        <f ca="1">LOG('Airfoil 1'!$F$10)*LOG(M38)+LOG('Airfoil 1'!$G$10)*LOG(N38)+LOG('Airfoil 1'!$H$10)*LOG(O38)</f>
        <v>-27.100418094725459</v>
      </c>
      <c r="T38" s="16">
        <f t="shared" ca="1" si="2"/>
        <v>189.08675189838476</v>
      </c>
      <c r="U38" s="16">
        <f t="shared" ca="1" si="3"/>
        <v>-0.80204927186645047</v>
      </c>
      <c r="V38" s="42">
        <f ca="1">IF(Energy!$F$11=1,Energy!$T$13,1)*T38*H38^U38</f>
        <v>9.8885938372579446E-3</v>
      </c>
      <c r="W38" s="10">
        <f ca="1">'Airfoil 1'!$B$48+'Airfoil 1'!$B$49*L38+'Airfoil 1'!$B$50*L38^2+'Airfoil 1'!$B$51*L38^3+'Airfoil 1'!$B$52*L38^4+'Airfoil 1'!$B$53*L38^5+'Airfoil 1'!$B$54*L38^6</f>
        <v>-0.155</v>
      </c>
      <c r="X38" s="42">
        <f ca="1">'Airfoil 1'!$B$56+'Airfoil 1'!$B$57*L38+'Airfoil 1'!$B$58*L38^2+'Airfoil 1'!$B$59*L38^3+'Airfoil 1'!$B$60*L38^4+'Airfoil 1'!$B$61*L38^5+'Airfoil 1'!$B$62*L38^6</f>
        <v>-0.155</v>
      </c>
      <c r="Y38" s="42">
        <f ca="1">'Airfoil 1'!$B$64+'Airfoil 1'!$B$65*L38+'Airfoil 1'!$B$66*L38^2+'Airfoil 1'!$B$67*L38^3+'Airfoil 1'!$B$681*L38^4+'Airfoil 1'!$B$69*L38^5+'Airfoil 1'!$B$70*L38^6</f>
        <v>-0.155</v>
      </c>
      <c r="Z38" s="16">
        <f>LOG('Airfoil 1'!$F$10)+LOG('Airfoil 1'!$G$10)+LOG('Airfoil 1'!$H$10)</f>
        <v>15.176091259055681</v>
      </c>
      <c r="AA38" s="16">
        <f t="shared" ca="1" si="4"/>
        <v>-2.4290049054891254</v>
      </c>
      <c r="AB38" s="16">
        <f>LOG('Airfoil 1'!$F$10)^2+LOG('Airfoil 1'!$G$10)^2+LOG('Airfoil 1'!$H$10)^2</f>
        <v>76.867141336751558</v>
      </c>
      <c r="AC38" s="16">
        <f ca="1">LOG('Airfoil 1'!$F$10)*LOG(ABS(W38))+LOG('Airfoil 1'!$G$10)*LOG(ABS(X38))+LOG('Airfoil 1'!$H$10)*LOG(ABS(Y38))</f>
        <v>-12.287600038132297</v>
      </c>
      <c r="AD38" s="16">
        <f t="shared" ca="1" si="5"/>
        <v>0.1550000000000121</v>
      </c>
      <c r="AE38" s="16">
        <f t="shared" ca="1" si="6"/>
        <v>-6.6718325633022456E-15</v>
      </c>
      <c r="AF38" s="42">
        <f t="shared" ca="1" si="7"/>
        <v>-0.15499999999999925</v>
      </c>
      <c r="AG38" s="16"/>
      <c r="AH38" s="42"/>
      <c r="AI38" s="16">
        <f ca="1">(L38-'Airfoil 1'!$Z$22)/ABS(L38-'Airfoil 1'!$Z$22)</f>
        <v>1</v>
      </c>
      <c r="AJ38" s="16">
        <f ca="1">(L38-'Airfoil 1'!$Z$23)/ABS(L38-'Airfoil 1'!$Z$23)</f>
        <v>1</v>
      </c>
      <c r="AK38" s="16">
        <f ca="1">(L38-'Airfoil 1'!$Z$24)/ABS(L38-'Airfoil 1'!$Z$24)</f>
        <v>1</v>
      </c>
      <c r="AL38" s="16">
        <f ca="1">(L38-'Airfoil 1'!$Z$25)/ABS(L38-'Airfoil 1'!$Z$25)</f>
        <v>1</v>
      </c>
      <c r="AM38" s="16">
        <f ca="1">(L38-'Airfoil 1'!$Z$26)/ABS(L38-'Airfoil 1'!$Z$26)</f>
        <v>1</v>
      </c>
      <c r="AN38" s="16">
        <f ca="1">(L38-'Airfoil 1'!$Z$27)/ABS(L38-'Airfoil 1'!$Z$27)</f>
        <v>1</v>
      </c>
      <c r="AO38" s="16">
        <f ca="1">(L38-'Airfoil 1'!$Z$28)/ABS(L38-'Airfoil 1'!$Z$28)</f>
        <v>1</v>
      </c>
      <c r="AP38" s="16">
        <f ca="1">(L38-'Airfoil 1'!$Z$29)/ABS(L38-'Airfoil 1'!$Z$29)</f>
        <v>-1</v>
      </c>
      <c r="AQ38" s="16">
        <f ca="1">(L38-'Airfoil 1'!$Z$30)/ABS(L38-'Airfoil 1'!$Z$30)</f>
        <v>-1</v>
      </c>
      <c r="AR38" s="16">
        <f ca="1">(L38-'Airfoil 1'!$Z$31)/ABS(L38-'Airfoil 1'!$Z$31)</f>
        <v>-1</v>
      </c>
      <c r="AS38" s="16">
        <f ca="1">(L38-'Airfoil 1'!$Z$32)/ABS(L38-'Airfoil 1'!$Z$32)</f>
        <v>-1</v>
      </c>
      <c r="AT38" s="16">
        <f ca="1">(L38-'Airfoil 1'!$Z$33)/ABS(L38-'Airfoil 1'!$Z$33)</f>
        <v>-1</v>
      </c>
      <c r="AU38" s="16">
        <f ca="1">(L38-'Airfoil 1'!$Z$34)/ABS(L38-'Airfoil 1'!$Z$34)</f>
        <v>-1</v>
      </c>
      <c r="AV38" s="16">
        <f ca="1">(L38-'Airfoil 1'!$Z$35)/ABS(L38-'Airfoil 1'!$Z$35)</f>
        <v>-1</v>
      </c>
      <c r="AW38" s="16">
        <f ca="1">(L38-'Airfoil 1'!$Z$36)/ABS(L38-'Airfoil 1'!$Z$36)</f>
        <v>-1</v>
      </c>
      <c r="AX38" s="16">
        <f ca="1">(L38-'Airfoil 1'!$Z$37)/ABS(L38-'Airfoil 1'!$Z$37)</f>
        <v>-1</v>
      </c>
      <c r="AY38" s="16">
        <f ca="1">(L38-'Airfoil 1'!$Z$38)/ABS(L38-'Airfoil 1'!$Z$38)</f>
        <v>-1</v>
      </c>
      <c r="AZ38" s="16">
        <f ca="1">(L38-'Airfoil 1'!$Z$39)/ABS(L38-'Airfoil 1'!$Z$39)</f>
        <v>-1</v>
      </c>
      <c r="BA38" s="16">
        <f ca="1">(L38-'Airfoil 1'!$Z$40)/ABS(L38-'Airfoil 1'!$Z$40)</f>
        <v>-1</v>
      </c>
      <c r="BB38" s="16">
        <f ca="1">(L38-'Airfoil 1'!$Z$41)/ABS(L38-'Airfoil 1'!$Z$41)</f>
        <v>-1</v>
      </c>
      <c r="BC38" s="5">
        <f t="shared" ca="1" si="8"/>
        <v>7</v>
      </c>
      <c r="BD38" s="42">
        <f ca="1">INDEX('Airfoil 1'!$AA$22:$AA$41,BC38,1)+INDEX('Airfoil 1'!$AB$22:$AB$41,BC38,1)*(L38-INDEX('Airfoil 1'!$Z$22:$Z$41,BC38,1))</f>
        <v>2.4564729400223664E-2</v>
      </c>
      <c r="BE38" s="6"/>
      <c r="BF38" s="16">
        <f ca="1">(L38-'Airfoil 1'!$Z$47)/ABS(L38-'Airfoil 1'!$Z$47)</f>
        <v>1</v>
      </c>
      <c r="BG38" s="16">
        <f ca="1">(L38-'Airfoil 1'!$Z$48)/ABS(L38-'Airfoil 1'!$Z$48)</f>
        <v>1</v>
      </c>
      <c r="BH38" s="16">
        <f ca="1">(L38-'Airfoil 1'!$Z$49)/ABS(L38-'Airfoil 1'!$Z$49)</f>
        <v>1</v>
      </c>
      <c r="BI38" s="16">
        <f ca="1">(L38-'Airfoil 1'!$Z$50)/ABS(L38-'Airfoil 1'!$Z$50)</f>
        <v>1</v>
      </c>
      <c r="BJ38" s="16">
        <f ca="1">(L38-'Airfoil 1'!$Z$51)/ABS(L38-'Airfoil 1'!$Z$51)</f>
        <v>1</v>
      </c>
      <c r="BK38" s="16">
        <f ca="1">(L38-'Airfoil 1'!$Z$52)/ABS(L38-'Airfoil 1'!$Z$52)</f>
        <v>-1</v>
      </c>
      <c r="BL38" s="16">
        <f ca="1">(L38-'Airfoil 1'!$Z$53)/ABS(L38-'Airfoil 1'!$Z$53)</f>
        <v>-1</v>
      </c>
      <c r="BM38" s="16">
        <f ca="1">(L38-'Airfoil 1'!$Z$54)/ABS(L38-'Airfoil 1'!$Z$54)</f>
        <v>-1</v>
      </c>
      <c r="BN38" s="16">
        <f ca="1">(L38-'Airfoil 1'!$Z$55)/ABS(L38-'Airfoil 1'!$Z$55)</f>
        <v>-1</v>
      </c>
      <c r="BO38" s="16">
        <f ca="1">(L38-'Airfoil 1'!$Z$56)/ABS(L38-'Airfoil 1'!$Z$56)</f>
        <v>-1</v>
      </c>
      <c r="BP38" s="16">
        <f ca="1">(L38-'Airfoil 1'!$Z$57)/ABS(L38-'Airfoil 1'!$Z$57)</f>
        <v>-1</v>
      </c>
      <c r="BQ38" s="16">
        <f ca="1">(L38-'Airfoil 1'!$Z$58)/ABS(L38-'Airfoil 1'!$Z$58)</f>
        <v>-1</v>
      </c>
      <c r="BR38" s="16">
        <f ca="1">(L38-'Airfoil 1'!$Z$59)/ABS(L38-'Airfoil 1'!$Z$59)</f>
        <v>-1</v>
      </c>
      <c r="BS38" s="16">
        <f ca="1">(L38-'Airfoil 1'!$Z$60)/ABS(L38-'Airfoil 1'!$Z$60)</f>
        <v>-1</v>
      </c>
      <c r="BT38" s="16">
        <f ca="1">(L38-'Airfoil 1'!$Z$61)/ABS(L38-'Airfoil 1'!$Z$61)</f>
        <v>-1</v>
      </c>
      <c r="BU38" s="16">
        <f ca="1">(L38-'Airfoil 1'!$Z$62)/ABS(L38-'Airfoil 1'!$Z$62)</f>
        <v>-1</v>
      </c>
      <c r="BV38" s="16">
        <f ca="1">(L38-'Airfoil 1'!$Z$63)/ABS(L38-'Airfoil 1'!$Z$63)</f>
        <v>-1</v>
      </c>
      <c r="BW38" s="16">
        <f ca="1">(L38-'Airfoil 1'!$Z$64)/ABS(L38-'Airfoil 1'!$Z$64)</f>
        <v>-1</v>
      </c>
      <c r="BX38" s="16">
        <f ca="1">(L38-'Airfoil 1'!$Z$65)/ABS(L38-'Airfoil 1'!$Z$65)</f>
        <v>-1</v>
      </c>
      <c r="BY38" s="16">
        <f ca="1">(L38-'Airfoil 1'!$Z$66)/ABS(L38-'Airfoil 1'!$Z$66)</f>
        <v>-1</v>
      </c>
      <c r="BZ38" s="5">
        <f t="shared" ca="1" si="9"/>
        <v>5</v>
      </c>
      <c r="CA38" s="42">
        <f ca="1">INDEX('Airfoil 1'!$AA$47:$AA$66,BZ38,1)+INDEX('Airfoil 1'!$AB$47:$AB$66,BZ38,1)*(L38-INDEX('Airfoil 1'!$Z$47:$Z$66,BZ38,1))</f>
        <v>1.7095908848506969E-2</v>
      </c>
      <c r="CC38" s="16">
        <f ca="1">(L38-'Airfoil 1'!$Z$72)/ABS(L38-'Airfoil 1'!$Z$72)</f>
        <v>1</v>
      </c>
      <c r="CD38" s="16">
        <f ca="1">(L38-'Airfoil 1'!$Z$73)/ABS(L38-'Airfoil 1'!$Z$73)</f>
        <v>1</v>
      </c>
      <c r="CE38" s="16">
        <f ca="1">(L38-'Airfoil 1'!$Z$74)/ABS(L38-'Airfoil 1'!$Z$74)</f>
        <v>1</v>
      </c>
      <c r="CF38" s="16">
        <f ca="1">(L38-'Airfoil 1'!$Z$75)/ABS(L38-'Airfoil 1'!$Z$75)</f>
        <v>1</v>
      </c>
      <c r="CG38" s="16">
        <f ca="1">(L38-'Airfoil 1'!$Z$76)/ABS(L38-'Airfoil 1'!$Z$76)</f>
        <v>-1</v>
      </c>
      <c r="CH38" s="16">
        <f ca="1">(L38-'Airfoil 1'!$Z$77)/ABS(L38-'Airfoil 1'!$Z$77)</f>
        <v>-1</v>
      </c>
      <c r="CI38" s="16">
        <f ca="1">(L38-'Airfoil 1'!$Z$78)/ABS(L38-'Airfoil 1'!$Z$78)</f>
        <v>-1</v>
      </c>
      <c r="CJ38" s="16">
        <f ca="1">(L38-'Airfoil 1'!$Z$79)/ABS(L38-'Airfoil 1'!$Z$79)</f>
        <v>-1</v>
      </c>
      <c r="CK38" s="16">
        <f ca="1">(L38-'Airfoil 1'!$Z$80)/ABS(L38-'Airfoil 1'!$Z$80)</f>
        <v>-1</v>
      </c>
      <c r="CL38" s="16">
        <f ca="1">(L38-'Airfoil 1'!$Z$81)/ABS(L38-'Airfoil 1'!$Z$81)</f>
        <v>-1</v>
      </c>
      <c r="CM38" s="16">
        <f ca="1">(L38-'Airfoil 1'!$Z$82)/ABS(L38-'Airfoil 1'!$Z$82)</f>
        <v>-1</v>
      </c>
      <c r="CN38" s="16">
        <f ca="1">(L38-'Airfoil 1'!$Z$83)/ABS(L38-'Airfoil 1'!$Z$83)</f>
        <v>-1</v>
      </c>
      <c r="CO38" s="16">
        <f ca="1">(L38-'Airfoil 1'!$Z$84)/ABS(L38-'Airfoil 1'!$Z$84)</f>
        <v>-1</v>
      </c>
      <c r="CP38" s="16">
        <f ca="1">(L38-'Airfoil 1'!$Z$85)/ABS(L38-'Airfoil 1'!$Z$85)</f>
        <v>-1</v>
      </c>
      <c r="CQ38" s="16">
        <f ca="1">(L38-'Airfoil 1'!$Z$86)/ABS(L38-'Airfoil 1'!$Z$86)</f>
        <v>-1</v>
      </c>
      <c r="CR38" s="16">
        <f ca="1">(L38-'Airfoil 1'!$Z$87)/ABS(L38-'Airfoil 1'!$Z$87)</f>
        <v>-1</v>
      </c>
      <c r="CS38" s="16">
        <f ca="1">(L38-'Airfoil 1'!$Z$88)/ABS(L38-'Airfoil 1'!$Z$88)</f>
        <v>-1</v>
      </c>
      <c r="CT38" s="16">
        <f ca="1">(L38-'Airfoil 1'!$Z$89)/ABS(L38-'Airfoil 1'!$Z$89)</f>
        <v>-1</v>
      </c>
      <c r="CU38" s="16">
        <f ca="1">(L38-'Airfoil 1'!$Z$90)/ABS(L38-'Airfoil 1'!$Z$90)</f>
        <v>-1</v>
      </c>
      <c r="CV38" s="16">
        <f ca="1">(L38-'Airfoil 1'!$Z$91)/ABS(L38-'Airfoil 1'!$Z$91)</f>
        <v>-1</v>
      </c>
      <c r="CW38" s="5">
        <f t="shared" ca="1" si="10"/>
        <v>4</v>
      </c>
      <c r="CX38" s="42">
        <f ca="1">INDEX('Airfoil 1'!$AA$72:$AA$91,CW38,1)+INDEX('Airfoil 1'!$AB$72:$AB$91,CW38,1)*(L38-INDEX('Airfoil 1'!$Z$72:$Z$91,CW38,1))</f>
        <v>1.0834432866400916E-2</v>
      </c>
    </row>
    <row r="39" spans="2:102">
      <c r="B39" s="31">
        <f>Main!B39</f>
        <v>0.33333333333333326</v>
      </c>
      <c r="D39" s="1">
        <f>Takeoff!F39</f>
        <v>1.2249994633486807</v>
      </c>
      <c r="E39" s="4">
        <f>ISA!$O$10</f>
        <v>1.783E-5</v>
      </c>
      <c r="G39" s="13">
        <f ca="1">Takeoff!T39</f>
        <v>10.605346376012445</v>
      </c>
      <c r="H39" s="5">
        <f t="shared" ca="1" si="0"/>
        <v>242877.98876878142</v>
      </c>
      <c r="I39" s="16">
        <f ca="1">'Airfoil 2'!$K$14*H39^'Airfoil 2'!$L$13</f>
        <v>1.5748715098269466</v>
      </c>
      <c r="J39" s="1">
        <f ca="1">'Airfoil 2'!$K$33*H39^'Airfoil 2'!$L$32</f>
        <v>5.6916840033192369</v>
      </c>
      <c r="K39" s="13">
        <f ca="1">'Airfoil 2'!$K$52*H39^'Airfoil 2'!$L$51</f>
        <v>-7.1798120860690027</v>
      </c>
      <c r="L39" s="16">
        <f ca="1">'Aerodynamics-Takeoff'!W39</f>
        <v>0.86588215438252525</v>
      </c>
      <c r="M39" s="10">
        <f ca="1">('Airfoil 1'!$B$21+'Airfoil 1'!$B$22*L39+'Airfoil 1'!$B$23*L39^2+'Airfoil 1'!$B$24*L39^3+'Airfoil 1'!$B$25*L39^4+'Airfoil 1'!$B$26*L39^5+'Airfoil 1'!$B$27*L39^6)*0+BD39</f>
        <v>2.4564024479454678E-2</v>
      </c>
      <c r="N39" s="42">
        <f ca="1">('Airfoil 1'!$B$29+'Airfoil 1'!$B$30*L39+'Airfoil 1'!$B$31*L39^2+'Airfoil 1'!$B$32*L39^3+'Airfoil 1'!$B$33*L39^4+'Airfoil 1'!$B$34*L39^5+'Airfoil 1'!$B$35*L39^6)*0+CA39</f>
        <v>1.7095752878397472E-2</v>
      </c>
      <c r="O39" s="42">
        <f ca="1">('Airfoil 1'!$B$37+'Airfoil 1'!$B$38*L39+'Airfoil 1'!$B$39*L39^2+'Airfoil 1'!$B$40*L39^3+'Airfoil 1'!$B$41*L39^4+'Airfoil 1'!$B$42*L39^5+'Airfoil 1'!$B$43*L39^6)*0+CX39</f>
        <v>1.0837011734002373E-2</v>
      </c>
      <c r="P39" s="16">
        <f>LOG('Airfoil 1'!$F$10)+LOG('Airfoil 1'!$G$10)+LOG('Airfoil 1'!$H$10)</f>
        <v>15.176091259055681</v>
      </c>
      <c r="Q39" s="16">
        <f t="shared" ca="1" si="1"/>
        <v>-5.3419027034696116</v>
      </c>
      <c r="R39" s="16">
        <f>LOG('Airfoil 1'!$F$10)^2+LOG('Airfoil 1'!$G$10)^2+LOG('Airfoil 1'!$H$10)^2</f>
        <v>76.867141336751558</v>
      </c>
      <c r="S39" s="16">
        <f ca="1">LOG('Airfoil 1'!$F$10)*LOG(M39)+LOG('Airfoil 1'!$G$10)*LOG(N39)+LOG('Airfoil 1'!$H$10)*LOG(O39)</f>
        <v>-27.099950744814262</v>
      </c>
      <c r="T39" s="16">
        <f t="shared" ca="1" si="2"/>
        <v>188.46717370749835</v>
      </c>
      <c r="U39" s="16">
        <f t="shared" ca="1" si="3"/>
        <v>-0.80176177444341457</v>
      </c>
      <c r="V39" s="42">
        <f ca="1">IF(Energy!$F$11=1,Energy!$T$13,1)*T39*H39^U39</f>
        <v>9.9957629997013096E-3</v>
      </c>
      <c r="W39" s="10">
        <f ca="1">'Airfoil 1'!$B$48+'Airfoil 1'!$B$49*L39+'Airfoil 1'!$B$50*L39^2+'Airfoil 1'!$B$51*L39^3+'Airfoil 1'!$B$52*L39^4+'Airfoil 1'!$B$53*L39^5+'Airfoil 1'!$B$54*L39^6</f>
        <v>-0.155</v>
      </c>
      <c r="X39" s="42">
        <f ca="1">'Airfoil 1'!$B$56+'Airfoil 1'!$B$57*L39+'Airfoil 1'!$B$58*L39^2+'Airfoil 1'!$B$59*L39^3+'Airfoil 1'!$B$60*L39^4+'Airfoil 1'!$B$61*L39^5+'Airfoil 1'!$B$62*L39^6</f>
        <v>-0.155</v>
      </c>
      <c r="Y39" s="42">
        <f ca="1">'Airfoil 1'!$B$64+'Airfoil 1'!$B$65*L39+'Airfoil 1'!$B$66*L39^2+'Airfoil 1'!$B$67*L39^3+'Airfoil 1'!$B$681*L39^4+'Airfoil 1'!$B$69*L39^5+'Airfoil 1'!$B$70*L39^6</f>
        <v>-0.155</v>
      </c>
      <c r="Z39" s="16">
        <f>LOG('Airfoil 1'!$F$10)+LOG('Airfoil 1'!$G$10)+LOG('Airfoil 1'!$H$10)</f>
        <v>15.176091259055681</v>
      </c>
      <c r="AA39" s="16">
        <f t="shared" ca="1" si="4"/>
        <v>-2.4290049054891254</v>
      </c>
      <c r="AB39" s="16">
        <f>LOG('Airfoil 1'!$F$10)^2+LOG('Airfoil 1'!$G$10)^2+LOG('Airfoil 1'!$H$10)^2</f>
        <v>76.867141336751558</v>
      </c>
      <c r="AC39" s="16">
        <f ca="1">LOG('Airfoil 1'!$F$10)*LOG(ABS(W39))+LOG('Airfoil 1'!$G$10)*LOG(ABS(X39))+LOG('Airfoil 1'!$H$10)*LOG(ABS(Y39))</f>
        <v>-12.287600038132297</v>
      </c>
      <c r="AD39" s="16">
        <f t="shared" ca="1" si="5"/>
        <v>0.1550000000000121</v>
      </c>
      <c r="AE39" s="16">
        <f t="shared" ca="1" si="6"/>
        <v>-6.6718325633022456E-15</v>
      </c>
      <c r="AF39" s="42">
        <f t="shared" ca="1" si="7"/>
        <v>-0.15499999999999925</v>
      </c>
      <c r="AG39" s="16"/>
      <c r="AH39" s="42"/>
      <c r="AI39" s="16">
        <f ca="1">(L39-'Airfoil 1'!$Z$22)/ABS(L39-'Airfoil 1'!$Z$22)</f>
        <v>1</v>
      </c>
      <c r="AJ39" s="16">
        <f ca="1">(L39-'Airfoil 1'!$Z$23)/ABS(L39-'Airfoil 1'!$Z$23)</f>
        <v>1</v>
      </c>
      <c r="AK39" s="16">
        <f ca="1">(L39-'Airfoil 1'!$Z$24)/ABS(L39-'Airfoil 1'!$Z$24)</f>
        <v>1</v>
      </c>
      <c r="AL39" s="16">
        <f ca="1">(L39-'Airfoil 1'!$Z$25)/ABS(L39-'Airfoil 1'!$Z$25)</f>
        <v>1</v>
      </c>
      <c r="AM39" s="16">
        <f ca="1">(L39-'Airfoil 1'!$Z$26)/ABS(L39-'Airfoil 1'!$Z$26)</f>
        <v>1</v>
      </c>
      <c r="AN39" s="16">
        <f ca="1">(L39-'Airfoil 1'!$Z$27)/ABS(L39-'Airfoil 1'!$Z$27)</f>
        <v>1</v>
      </c>
      <c r="AO39" s="16">
        <f ca="1">(L39-'Airfoil 1'!$Z$28)/ABS(L39-'Airfoil 1'!$Z$28)</f>
        <v>1</v>
      </c>
      <c r="AP39" s="16">
        <f ca="1">(L39-'Airfoil 1'!$Z$29)/ABS(L39-'Airfoil 1'!$Z$29)</f>
        <v>-1</v>
      </c>
      <c r="AQ39" s="16">
        <f ca="1">(L39-'Airfoil 1'!$Z$30)/ABS(L39-'Airfoil 1'!$Z$30)</f>
        <v>-1</v>
      </c>
      <c r="AR39" s="16">
        <f ca="1">(L39-'Airfoil 1'!$Z$31)/ABS(L39-'Airfoil 1'!$Z$31)</f>
        <v>-1</v>
      </c>
      <c r="AS39" s="16">
        <f ca="1">(L39-'Airfoil 1'!$Z$32)/ABS(L39-'Airfoil 1'!$Z$32)</f>
        <v>-1</v>
      </c>
      <c r="AT39" s="16">
        <f ca="1">(L39-'Airfoil 1'!$Z$33)/ABS(L39-'Airfoil 1'!$Z$33)</f>
        <v>-1</v>
      </c>
      <c r="AU39" s="16">
        <f ca="1">(L39-'Airfoil 1'!$Z$34)/ABS(L39-'Airfoil 1'!$Z$34)</f>
        <v>-1</v>
      </c>
      <c r="AV39" s="16">
        <f ca="1">(L39-'Airfoil 1'!$Z$35)/ABS(L39-'Airfoil 1'!$Z$35)</f>
        <v>-1</v>
      </c>
      <c r="AW39" s="16">
        <f ca="1">(L39-'Airfoil 1'!$Z$36)/ABS(L39-'Airfoil 1'!$Z$36)</f>
        <v>-1</v>
      </c>
      <c r="AX39" s="16">
        <f ca="1">(L39-'Airfoil 1'!$Z$37)/ABS(L39-'Airfoil 1'!$Z$37)</f>
        <v>-1</v>
      </c>
      <c r="AY39" s="16">
        <f ca="1">(L39-'Airfoil 1'!$Z$38)/ABS(L39-'Airfoil 1'!$Z$38)</f>
        <v>-1</v>
      </c>
      <c r="AZ39" s="16">
        <f ca="1">(L39-'Airfoil 1'!$Z$39)/ABS(L39-'Airfoil 1'!$Z$39)</f>
        <v>-1</v>
      </c>
      <c r="BA39" s="16">
        <f ca="1">(L39-'Airfoil 1'!$Z$40)/ABS(L39-'Airfoil 1'!$Z$40)</f>
        <v>-1</v>
      </c>
      <c r="BB39" s="16">
        <f ca="1">(L39-'Airfoil 1'!$Z$41)/ABS(L39-'Airfoil 1'!$Z$41)</f>
        <v>-1</v>
      </c>
      <c r="BC39" s="5">
        <f t="shared" ca="1" si="8"/>
        <v>7</v>
      </c>
      <c r="BD39" s="42">
        <f ca="1">INDEX('Airfoil 1'!$AA$22:$AA$41,BC39,1)+INDEX('Airfoil 1'!$AB$22:$AB$41,BC39,1)*(L39-INDEX('Airfoil 1'!$Z$22:$Z$41,BC39,1))</f>
        <v>2.4564024479454327E-2</v>
      </c>
      <c r="BE39" s="6"/>
      <c r="BF39" s="16">
        <f ca="1">(L39-'Airfoil 1'!$Z$47)/ABS(L39-'Airfoil 1'!$Z$47)</f>
        <v>1</v>
      </c>
      <c r="BG39" s="16">
        <f ca="1">(L39-'Airfoil 1'!$Z$48)/ABS(L39-'Airfoil 1'!$Z$48)</f>
        <v>1</v>
      </c>
      <c r="BH39" s="16">
        <f ca="1">(L39-'Airfoil 1'!$Z$49)/ABS(L39-'Airfoil 1'!$Z$49)</f>
        <v>1</v>
      </c>
      <c r="BI39" s="16">
        <f ca="1">(L39-'Airfoil 1'!$Z$50)/ABS(L39-'Airfoil 1'!$Z$50)</f>
        <v>1</v>
      </c>
      <c r="BJ39" s="16">
        <f ca="1">(L39-'Airfoil 1'!$Z$51)/ABS(L39-'Airfoil 1'!$Z$51)</f>
        <v>1</v>
      </c>
      <c r="BK39" s="16">
        <f ca="1">(L39-'Airfoil 1'!$Z$52)/ABS(L39-'Airfoil 1'!$Z$52)</f>
        <v>-1</v>
      </c>
      <c r="BL39" s="16">
        <f ca="1">(L39-'Airfoil 1'!$Z$53)/ABS(L39-'Airfoil 1'!$Z$53)</f>
        <v>-1</v>
      </c>
      <c r="BM39" s="16">
        <f ca="1">(L39-'Airfoil 1'!$Z$54)/ABS(L39-'Airfoil 1'!$Z$54)</f>
        <v>-1</v>
      </c>
      <c r="BN39" s="16">
        <f ca="1">(L39-'Airfoil 1'!$Z$55)/ABS(L39-'Airfoil 1'!$Z$55)</f>
        <v>-1</v>
      </c>
      <c r="BO39" s="16">
        <f ca="1">(L39-'Airfoil 1'!$Z$56)/ABS(L39-'Airfoil 1'!$Z$56)</f>
        <v>-1</v>
      </c>
      <c r="BP39" s="16">
        <f ca="1">(L39-'Airfoil 1'!$Z$57)/ABS(L39-'Airfoil 1'!$Z$57)</f>
        <v>-1</v>
      </c>
      <c r="BQ39" s="16">
        <f ca="1">(L39-'Airfoil 1'!$Z$58)/ABS(L39-'Airfoil 1'!$Z$58)</f>
        <v>-1</v>
      </c>
      <c r="BR39" s="16">
        <f ca="1">(L39-'Airfoil 1'!$Z$59)/ABS(L39-'Airfoil 1'!$Z$59)</f>
        <v>-1</v>
      </c>
      <c r="BS39" s="16">
        <f ca="1">(L39-'Airfoil 1'!$Z$60)/ABS(L39-'Airfoil 1'!$Z$60)</f>
        <v>-1</v>
      </c>
      <c r="BT39" s="16">
        <f ca="1">(L39-'Airfoil 1'!$Z$61)/ABS(L39-'Airfoil 1'!$Z$61)</f>
        <v>-1</v>
      </c>
      <c r="BU39" s="16">
        <f ca="1">(L39-'Airfoil 1'!$Z$62)/ABS(L39-'Airfoil 1'!$Z$62)</f>
        <v>-1</v>
      </c>
      <c r="BV39" s="16">
        <f ca="1">(L39-'Airfoil 1'!$Z$63)/ABS(L39-'Airfoil 1'!$Z$63)</f>
        <v>-1</v>
      </c>
      <c r="BW39" s="16">
        <f ca="1">(L39-'Airfoil 1'!$Z$64)/ABS(L39-'Airfoil 1'!$Z$64)</f>
        <v>-1</v>
      </c>
      <c r="BX39" s="16">
        <f ca="1">(L39-'Airfoil 1'!$Z$65)/ABS(L39-'Airfoil 1'!$Z$65)</f>
        <v>-1</v>
      </c>
      <c r="BY39" s="16">
        <f ca="1">(L39-'Airfoil 1'!$Z$66)/ABS(L39-'Airfoil 1'!$Z$66)</f>
        <v>-1</v>
      </c>
      <c r="BZ39" s="5">
        <f t="shared" ca="1" si="9"/>
        <v>5</v>
      </c>
      <c r="CA39" s="42">
        <f ca="1">INDEX('Airfoil 1'!$AA$47:$AA$66,BZ39,1)+INDEX('Airfoil 1'!$AB$47:$AB$66,BZ39,1)*(L39-INDEX('Airfoil 1'!$Z$47:$Z$66,BZ39,1))</f>
        <v>1.7095752878397395E-2</v>
      </c>
      <c r="CC39" s="16">
        <f ca="1">(L39-'Airfoil 1'!$Z$72)/ABS(L39-'Airfoil 1'!$Z$72)</f>
        <v>1</v>
      </c>
      <c r="CD39" s="16">
        <f ca="1">(L39-'Airfoil 1'!$Z$73)/ABS(L39-'Airfoil 1'!$Z$73)</f>
        <v>1</v>
      </c>
      <c r="CE39" s="16">
        <f ca="1">(L39-'Airfoil 1'!$Z$74)/ABS(L39-'Airfoil 1'!$Z$74)</f>
        <v>1</v>
      </c>
      <c r="CF39" s="16">
        <f ca="1">(L39-'Airfoil 1'!$Z$75)/ABS(L39-'Airfoil 1'!$Z$75)</f>
        <v>1</v>
      </c>
      <c r="CG39" s="16">
        <f ca="1">(L39-'Airfoil 1'!$Z$76)/ABS(L39-'Airfoil 1'!$Z$76)</f>
        <v>-1</v>
      </c>
      <c r="CH39" s="16">
        <f ca="1">(L39-'Airfoil 1'!$Z$77)/ABS(L39-'Airfoil 1'!$Z$77)</f>
        <v>-1</v>
      </c>
      <c r="CI39" s="16">
        <f ca="1">(L39-'Airfoil 1'!$Z$78)/ABS(L39-'Airfoil 1'!$Z$78)</f>
        <v>-1</v>
      </c>
      <c r="CJ39" s="16">
        <f ca="1">(L39-'Airfoil 1'!$Z$79)/ABS(L39-'Airfoil 1'!$Z$79)</f>
        <v>-1</v>
      </c>
      <c r="CK39" s="16">
        <f ca="1">(L39-'Airfoil 1'!$Z$80)/ABS(L39-'Airfoil 1'!$Z$80)</f>
        <v>-1</v>
      </c>
      <c r="CL39" s="16">
        <f ca="1">(L39-'Airfoil 1'!$Z$81)/ABS(L39-'Airfoil 1'!$Z$81)</f>
        <v>-1</v>
      </c>
      <c r="CM39" s="16">
        <f ca="1">(L39-'Airfoil 1'!$Z$82)/ABS(L39-'Airfoil 1'!$Z$82)</f>
        <v>-1</v>
      </c>
      <c r="CN39" s="16">
        <f ca="1">(L39-'Airfoil 1'!$Z$83)/ABS(L39-'Airfoil 1'!$Z$83)</f>
        <v>-1</v>
      </c>
      <c r="CO39" s="16">
        <f ca="1">(L39-'Airfoil 1'!$Z$84)/ABS(L39-'Airfoil 1'!$Z$84)</f>
        <v>-1</v>
      </c>
      <c r="CP39" s="16">
        <f ca="1">(L39-'Airfoil 1'!$Z$85)/ABS(L39-'Airfoil 1'!$Z$85)</f>
        <v>-1</v>
      </c>
      <c r="CQ39" s="16">
        <f ca="1">(L39-'Airfoil 1'!$Z$86)/ABS(L39-'Airfoil 1'!$Z$86)</f>
        <v>-1</v>
      </c>
      <c r="CR39" s="16">
        <f ca="1">(L39-'Airfoil 1'!$Z$87)/ABS(L39-'Airfoil 1'!$Z$87)</f>
        <v>-1</v>
      </c>
      <c r="CS39" s="16">
        <f ca="1">(L39-'Airfoil 1'!$Z$88)/ABS(L39-'Airfoil 1'!$Z$88)</f>
        <v>-1</v>
      </c>
      <c r="CT39" s="16">
        <f ca="1">(L39-'Airfoil 1'!$Z$89)/ABS(L39-'Airfoil 1'!$Z$89)</f>
        <v>-1</v>
      </c>
      <c r="CU39" s="16">
        <f ca="1">(L39-'Airfoil 1'!$Z$90)/ABS(L39-'Airfoil 1'!$Z$90)</f>
        <v>-1</v>
      </c>
      <c r="CV39" s="16">
        <f ca="1">(L39-'Airfoil 1'!$Z$91)/ABS(L39-'Airfoil 1'!$Z$91)</f>
        <v>-1</v>
      </c>
      <c r="CW39" s="5">
        <f t="shared" ca="1" si="10"/>
        <v>4</v>
      </c>
      <c r="CX39" s="42">
        <f ca="1">INDEX('Airfoil 1'!$AA$72:$AA$91,CW39,1)+INDEX('Airfoil 1'!$AB$72:$AB$91,CW39,1)*(L39-INDEX('Airfoil 1'!$Z$72:$Z$91,CW39,1))</f>
        <v>1.0837011734003655E-2</v>
      </c>
    </row>
    <row r="40" spans="2:102">
      <c r="B40" s="31">
        <f>Main!B40</f>
        <v>0.33333333333333326</v>
      </c>
      <c r="D40" s="1">
        <f>Takeoff!F40</f>
        <v>1.2249994633486807</v>
      </c>
      <c r="E40" s="4">
        <f>ISA!$O$10</f>
        <v>1.783E-5</v>
      </c>
      <c r="G40" s="13">
        <f ca="1">Takeoff!T40</f>
        <v>9.5359142313991931</v>
      </c>
      <c r="H40" s="5">
        <f t="shared" ca="1" si="0"/>
        <v>218386.42392976361</v>
      </c>
      <c r="I40" s="16">
        <f ca="1">'Airfoil 2'!$K$14*H40^'Airfoil 2'!$L$13</f>
        <v>1.5725461681691741</v>
      </c>
      <c r="J40" s="1">
        <f ca="1">'Airfoil 2'!$K$33*H40^'Airfoil 2'!$L$32</f>
        <v>5.8988494531957176</v>
      </c>
      <c r="K40" s="13">
        <f ca="1">'Airfoil 2'!$K$52*H40^'Airfoil 2'!$L$51</f>
        <v>-6.6871624567935273</v>
      </c>
      <c r="L40" s="16">
        <f ca="1">'Aerodynamics-Takeoff'!W40</f>
        <v>0.86912516506377613</v>
      </c>
      <c r="M40" s="10">
        <f ca="1">('Airfoil 1'!$B$21+'Airfoil 1'!$B$22*L40+'Airfoil 1'!$B$23*L40^2+'Airfoil 1'!$B$24*L40^3+'Airfoil 1'!$B$25*L40^4+'Airfoil 1'!$B$26*L40^5+'Airfoil 1'!$B$27*L40^6)*0+BD40</f>
        <v>2.4556923694637189E-2</v>
      </c>
      <c r="N40" s="42">
        <f ca="1">('Airfoil 1'!$B$29+'Airfoil 1'!$B$30*L40+'Airfoil 1'!$B$31*L40^2+'Airfoil 1'!$B$32*L40^3+'Airfoil 1'!$B$33*L40^4+'Airfoil 1'!$B$34*L40^5+'Airfoil 1'!$B$35*L40^6)*0+CA40</f>
        <v>1.70941817653955E-2</v>
      </c>
      <c r="O40" s="42">
        <f ca="1">('Airfoil 1'!$B$37+'Airfoil 1'!$B$38*L40+'Airfoil 1'!$B$39*L40^2+'Airfoil 1'!$B$40*L40^3+'Airfoil 1'!$B$41*L40^4+'Airfoil 1'!$B$42*L40^5+'Airfoil 1'!$B$43*L40^6)*0+CX40</f>
        <v>1.0862989098716807E-2</v>
      </c>
      <c r="P40" s="16">
        <f>LOG('Airfoil 1'!$F$10)+LOG('Airfoil 1'!$G$10)+LOG('Airfoil 1'!$H$10)</f>
        <v>15.176091259055681</v>
      </c>
      <c r="Q40" s="16">
        <f t="shared" ca="1" si="1"/>
        <v>-5.3410283779584393</v>
      </c>
      <c r="R40" s="16">
        <f>LOG('Airfoil 1'!$F$10)^2+LOG('Airfoil 1'!$G$10)^2+LOG('Airfoil 1'!$H$10)^2</f>
        <v>76.867141336751558</v>
      </c>
      <c r="S40" s="16">
        <f ca="1">LOG('Airfoil 1'!$F$10)*LOG(M40)+LOG('Airfoil 1'!$G$10)*LOG(N40)+LOG('Airfoil 1'!$H$10)*LOG(O40)</f>
        <v>-27.095250418836045</v>
      </c>
      <c r="T40" s="16">
        <f t="shared" ca="1" si="2"/>
        <v>182.34524138201934</v>
      </c>
      <c r="U40" s="16">
        <f t="shared" ca="1" si="3"/>
        <v>-0.79886918662900319</v>
      </c>
      <c r="V40" s="42">
        <f ca="1">IF(Energy!$F$11=1,Energy!$T$13,1)*T40*H40^U40</f>
        <v>1.0912649100650464E-2</v>
      </c>
      <c r="W40" s="10">
        <f ca="1">'Airfoil 1'!$B$48+'Airfoil 1'!$B$49*L40+'Airfoil 1'!$B$50*L40^2+'Airfoil 1'!$B$51*L40^3+'Airfoil 1'!$B$52*L40^4+'Airfoil 1'!$B$53*L40^5+'Airfoil 1'!$B$54*L40^6</f>
        <v>-0.155</v>
      </c>
      <c r="X40" s="42">
        <f ca="1">'Airfoil 1'!$B$56+'Airfoil 1'!$B$57*L40+'Airfoil 1'!$B$58*L40^2+'Airfoil 1'!$B$59*L40^3+'Airfoil 1'!$B$60*L40^4+'Airfoil 1'!$B$61*L40^5+'Airfoil 1'!$B$62*L40^6</f>
        <v>-0.155</v>
      </c>
      <c r="Y40" s="42">
        <f ca="1">'Airfoil 1'!$B$64+'Airfoil 1'!$B$65*L40+'Airfoil 1'!$B$66*L40^2+'Airfoil 1'!$B$67*L40^3+'Airfoil 1'!$B$681*L40^4+'Airfoil 1'!$B$69*L40^5+'Airfoil 1'!$B$70*L40^6</f>
        <v>-0.155</v>
      </c>
      <c r="Z40" s="16">
        <f>LOG('Airfoil 1'!$F$10)+LOG('Airfoil 1'!$G$10)+LOG('Airfoil 1'!$H$10)</f>
        <v>15.176091259055681</v>
      </c>
      <c r="AA40" s="16">
        <f t="shared" ca="1" si="4"/>
        <v>-2.4290049054891254</v>
      </c>
      <c r="AB40" s="16">
        <f>LOG('Airfoil 1'!$F$10)^2+LOG('Airfoil 1'!$G$10)^2+LOG('Airfoil 1'!$H$10)^2</f>
        <v>76.867141336751558</v>
      </c>
      <c r="AC40" s="16">
        <f ca="1">LOG('Airfoil 1'!$F$10)*LOG(ABS(W40))+LOG('Airfoil 1'!$G$10)*LOG(ABS(X40))+LOG('Airfoil 1'!$H$10)*LOG(ABS(Y40))</f>
        <v>-12.287600038132297</v>
      </c>
      <c r="AD40" s="16">
        <f t="shared" ca="1" si="5"/>
        <v>0.1550000000000121</v>
      </c>
      <c r="AE40" s="16">
        <f t="shared" ca="1" si="6"/>
        <v>-6.6718325633022456E-15</v>
      </c>
      <c r="AF40" s="42">
        <f t="shared" ca="1" si="7"/>
        <v>-0.15499999999999939</v>
      </c>
      <c r="AG40" s="16"/>
      <c r="AH40" s="42"/>
      <c r="AI40" s="16">
        <f ca="1">(L40-'Airfoil 1'!$Z$22)/ABS(L40-'Airfoil 1'!$Z$22)</f>
        <v>1</v>
      </c>
      <c r="AJ40" s="16">
        <f ca="1">(L40-'Airfoil 1'!$Z$23)/ABS(L40-'Airfoil 1'!$Z$23)</f>
        <v>1</v>
      </c>
      <c r="AK40" s="16">
        <f ca="1">(L40-'Airfoil 1'!$Z$24)/ABS(L40-'Airfoil 1'!$Z$24)</f>
        <v>1</v>
      </c>
      <c r="AL40" s="16">
        <f ca="1">(L40-'Airfoil 1'!$Z$25)/ABS(L40-'Airfoil 1'!$Z$25)</f>
        <v>1</v>
      </c>
      <c r="AM40" s="16">
        <f ca="1">(L40-'Airfoil 1'!$Z$26)/ABS(L40-'Airfoil 1'!$Z$26)</f>
        <v>1</v>
      </c>
      <c r="AN40" s="16">
        <f ca="1">(L40-'Airfoil 1'!$Z$27)/ABS(L40-'Airfoil 1'!$Z$27)</f>
        <v>1</v>
      </c>
      <c r="AO40" s="16">
        <f ca="1">(L40-'Airfoil 1'!$Z$28)/ABS(L40-'Airfoil 1'!$Z$28)</f>
        <v>1</v>
      </c>
      <c r="AP40" s="16">
        <f ca="1">(L40-'Airfoil 1'!$Z$29)/ABS(L40-'Airfoil 1'!$Z$29)</f>
        <v>-1</v>
      </c>
      <c r="AQ40" s="16">
        <f ca="1">(L40-'Airfoil 1'!$Z$30)/ABS(L40-'Airfoil 1'!$Z$30)</f>
        <v>-1</v>
      </c>
      <c r="AR40" s="16">
        <f ca="1">(L40-'Airfoil 1'!$Z$31)/ABS(L40-'Airfoil 1'!$Z$31)</f>
        <v>-1</v>
      </c>
      <c r="AS40" s="16">
        <f ca="1">(L40-'Airfoil 1'!$Z$32)/ABS(L40-'Airfoil 1'!$Z$32)</f>
        <v>-1</v>
      </c>
      <c r="AT40" s="16">
        <f ca="1">(L40-'Airfoil 1'!$Z$33)/ABS(L40-'Airfoil 1'!$Z$33)</f>
        <v>-1</v>
      </c>
      <c r="AU40" s="16">
        <f ca="1">(L40-'Airfoil 1'!$Z$34)/ABS(L40-'Airfoil 1'!$Z$34)</f>
        <v>-1</v>
      </c>
      <c r="AV40" s="16">
        <f ca="1">(L40-'Airfoil 1'!$Z$35)/ABS(L40-'Airfoil 1'!$Z$35)</f>
        <v>-1</v>
      </c>
      <c r="AW40" s="16">
        <f ca="1">(L40-'Airfoil 1'!$Z$36)/ABS(L40-'Airfoil 1'!$Z$36)</f>
        <v>-1</v>
      </c>
      <c r="AX40" s="16">
        <f ca="1">(L40-'Airfoil 1'!$Z$37)/ABS(L40-'Airfoil 1'!$Z$37)</f>
        <v>-1</v>
      </c>
      <c r="AY40" s="16">
        <f ca="1">(L40-'Airfoil 1'!$Z$38)/ABS(L40-'Airfoil 1'!$Z$38)</f>
        <v>-1</v>
      </c>
      <c r="AZ40" s="16">
        <f ca="1">(L40-'Airfoil 1'!$Z$39)/ABS(L40-'Airfoil 1'!$Z$39)</f>
        <v>-1</v>
      </c>
      <c r="BA40" s="16">
        <f ca="1">(L40-'Airfoil 1'!$Z$40)/ABS(L40-'Airfoil 1'!$Z$40)</f>
        <v>-1</v>
      </c>
      <c r="BB40" s="16">
        <f ca="1">(L40-'Airfoil 1'!$Z$41)/ABS(L40-'Airfoil 1'!$Z$41)</f>
        <v>-1</v>
      </c>
      <c r="BC40" s="5">
        <f t="shared" ca="1" si="8"/>
        <v>7</v>
      </c>
      <c r="BD40" s="42">
        <f ca="1">INDEX('Airfoil 1'!$AA$22:$AA$41,BC40,1)+INDEX('Airfoil 1'!$AB$22:$AB$41,BC40,1)*(L40-INDEX('Airfoil 1'!$Z$22:$Z$41,BC40,1))</f>
        <v>2.455692299621071E-2</v>
      </c>
      <c r="BE40" s="6"/>
      <c r="BF40" s="16">
        <f ca="1">(L40-'Airfoil 1'!$Z$47)/ABS(L40-'Airfoil 1'!$Z$47)</f>
        <v>1</v>
      </c>
      <c r="BG40" s="16">
        <f ca="1">(L40-'Airfoil 1'!$Z$48)/ABS(L40-'Airfoil 1'!$Z$48)</f>
        <v>1</v>
      </c>
      <c r="BH40" s="16">
        <f ca="1">(L40-'Airfoil 1'!$Z$49)/ABS(L40-'Airfoil 1'!$Z$49)</f>
        <v>1</v>
      </c>
      <c r="BI40" s="16">
        <f ca="1">(L40-'Airfoil 1'!$Z$50)/ABS(L40-'Airfoil 1'!$Z$50)</f>
        <v>1</v>
      </c>
      <c r="BJ40" s="16">
        <f ca="1">(L40-'Airfoil 1'!$Z$51)/ABS(L40-'Airfoil 1'!$Z$51)</f>
        <v>1</v>
      </c>
      <c r="BK40" s="16">
        <f ca="1">(L40-'Airfoil 1'!$Z$52)/ABS(L40-'Airfoil 1'!$Z$52)</f>
        <v>-1</v>
      </c>
      <c r="BL40" s="16">
        <f ca="1">(L40-'Airfoil 1'!$Z$53)/ABS(L40-'Airfoil 1'!$Z$53)</f>
        <v>-1</v>
      </c>
      <c r="BM40" s="16">
        <f ca="1">(L40-'Airfoil 1'!$Z$54)/ABS(L40-'Airfoil 1'!$Z$54)</f>
        <v>-1</v>
      </c>
      <c r="BN40" s="16">
        <f ca="1">(L40-'Airfoil 1'!$Z$55)/ABS(L40-'Airfoil 1'!$Z$55)</f>
        <v>-1</v>
      </c>
      <c r="BO40" s="16">
        <f ca="1">(L40-'Airfoil 1'!$Z$56)/ABS(L40-'Airfoil 1'!$Z$56)</f>
        <v>-1</v>
      </c>
      <c r="BP40" s="16">
        <f ca="1">(L40-'Airfoil 1'!$Z$57)/ABS(L40-'Airfoil 1'!$Z$57)</f>
        <v>-1</v>
      </c>
      <c r="BQ40" s="16">
        <f ca="1">(L40-'Airfoil 1'!$Z$58)/ABS(L40-'Airfoil 1'!$Z$58)</f>
        <v>-1</v>
      </c>
      <c r="BR40" s="16">
        <f ca="1">(L40-'Airfoil 1'!$Z$59)/ABS(L40-'Airfoil 1'!$Z$59)</f>
        <v>-1</v>
      </c>
      <c r="BS40" s="16">
        <f ca="1">(L40-'Airfoil 1'!$Z$60)/ABS(L40-'Airfoil 1'!$Z$60)</f>
        <v>-1</v>
      </c>
      <c r="BT40" s="16">
        <f ca="1">(L40-'Airfoil 1'!$Z$61)/ABS(L40-'Airfoil 1'!$Z$61)</f>
        <v>-1</v>
      </c>
      <c r="BU40" s="16">
        <f ca="1">(L40-'Airfoil 1'!$Z$62)/ABS(L40-'Airfoil 1'!$Z$62)</f>
        <v>-1</v>
      </c>
      <c r="BV40" s="16">
        <f ca="1">(L40-'Airfoil 1'!$Z$63)/ABS(L40-'Airfoil 1'!$Z$63)</f>
        <v>-1</v>
      </c>
      <c r="BW40" s="16">
        <f ca="1">(L40-'Airfoil 1'!$Z$64)/ABS(L40-'Airfoil 1'!$Z$64)</f>
        <v>-1</v>
      </c>
      <c r="BX40" s="16">
        <f ca="1">(L40-'Airfoil 1'!$Z$65)/ABS(L40-'Airfoil 1'!$Z$65)</f>
        <v>-1</v>
      </c>
      <c r="BY40" s="16">
        <f ca="1">(L40-'Airfoil 1'!$Z$66)/ABS(L40-'Airfoil 1'!$Z$66)</f>
        <v>-1</v>
      </c>
      <c r="BZ40" s="5">
        <f t="shared" ca="1" si="9"/>
        <v>5</v>
      </c>
      <c r="CA40" s="42">
        <f ca="1">INDEX('Airfoil 1'!$AA$47:$AA$66,BZ40,1)+INDEX('Airfoil 1'!$AB$47:$AB$66,BZ40,1)*(L40-INDEX('Airfoil 1'!$Z$47:$Z$66,BZ40,1))</f>
        <v>1.7094181610862312E-2</v>
      </c>
      <c r="CC40" s="16">
        <f ca="1">(L40-'Airfoil 1'!$Z$72)/ABS(L40-'Airfoil 1'!$Z$72)</f>
        <v>1</v>
      </c>
      <c r="CD40" s="16">
        <f ca="1">(L40-'Airfoil 1'!$Z$73)/ABS(L40-'Airfoil 1'!$Z$73)</f>
        <v>1</v>
      </c>
      <c r="CE40" s="16">
        <f ca="1">(L40-'Airfoil 1'!$Z$74)/ABS(L40-'Airfoil 1'!$Z$74)</f>
        <v>1</v>
      </c>
      <c r="CF40" s="16">
        <f ca="1">(L40-'Airfoil 1'!$Z$75)/ABS(L40-'Airfoil 1'!$Z$75)</f>
        <v>1</v>
      </c>
      <c r="CG40" s="16">
        <f ca="1">(L40-'Airfoil 1'!$Z$76)/ABS(L40-'Airfoil 1'!$Z$76)</f>
        <v>-1</v>
      </c>
      <c r="CH40" s="16">
        <f ca="1">(L40-'Airfoil 1'!$Z$77)/ABS(L40-'Airfoil 1'!$Z$77)</f>
        <v>-1</v>
      </c>
      <c r="CI40" s="16">
        <f ca="1">(L40-'Airfoil 1'!$Z$78)/ABS(L40-'Airfoil 1'!$Z$78)</f>
        <v>-1</v>
      </c>
      <c r="CJ40" s="16">
        <f ca="1">(L40-'Airfoil 1'!$Z$79)/ABS(L40-'Airfoil 1'!$Z$79)</f>
        <v>-1</v>
      </c>
      <c r="CK40" s="16">
        <f ca="1">(L40-'Airfoil 1'!$Z$80)/ABS(L40-'Airfoil 1'!$Z$80)</f>
        <v>-1</v>
      </c>
      <c r="CL40" s="16">
        <f ca="1">(L40-'Airfoil 1'!$Z$81)/ABS(L40-'Airfoil 1'!$Z$81)</f>
        <v>-1</v>
      </c>
      <c r="CM40" s="16">
        <f ca="1">(L40-'Airfoil 1'!$Z$82)/ABS(L40-'Airfoil 1'!$Z$82)</f>
        <v>-1</v>
      </c>
      <c r="CN40" s="16">
        <f ca="1">(L40-'Airfoil 1'!$Z$83)/ABS(L40-'Airfoil 1'!$Z$83)</f>
        <v>-1</v>
      </c>
      <c r="CO40" s="16">
        <f ca="1">(L40-'Airfoil 1'!$Z$84)/ABS(L40-'Airfoil 1'!$Z$84)</f>
        <v>-1</v>
      </c>
      <c r="CP40" s="16">
        <f ca="1">(L40-'Airfoil 1'!$Z$85)/ABS(L40-'Airfoil 1'!$Z$85)</f>
        <v>-1</v>
      </c>
      <c r="CQ40" s="16">
        <f ca="1">(L40-'Airfoil 1'!$Z$86)/ABS(L40-'Airfoil 1'!$Z$86)</f>
        <v>-1</v>
      </c>
      <c r="CR40" s="16">
        <f ca="1">(L40-'Airfoil 1'!$Z$87)/ABS(L40-'Airfoil 1'!$Z$87)</f>
        <v>-1</v>
      </c>
      <c r="CS40" s="16">
        <f ca="1">(L40-'Airfoil 1'!$Z$88)/ABS(L40-'Airfoil 1'!$Z$88)</f>
        <v>-1</v>
      </c>
      <c r="CT40" s="16">
        <f ca="1">(L40-'Airfoil 1'!$Z$89)/ABS(L40-'Airfoil 1'!$Z$89)</f>
        <v>-1</v>
      </c>
      <c r="CU40" s="16">
        <f ca="1">(L40-'Airfoil 1'!$Z$90)/ABS(L40-'Airfoil 1'!$Z$90)</f>
        <v>-1</v>
      </c>
      <c r="CV40" s="16">
        <f ca="1">(L40-'Airfoil 1'!$Z$91)/ABS(L40-'Airfoil 1'!$Z$91)</f>
        <v>-1</v>
      </c>
      <c r="CW40" s="5">
        <f t="shared" ca="1" si="10"/>
        <v>4</v>
      </c>
      <c r="CX40" s="42">
        <f ca="1">INDEX('Airfoil 1'!$AA$72:$AA$91,CW40,1)+INDEX('Airfoil 1'!$AB$72:$AB$91,CW40,1)*(L40-INDEX('Airfoil 1'!$Z$72:$Z$91,CW40,1))</f>
        <v>1.0862991653825831E-2</v>
      </c>
    </row>
    <row r="41" spans="2:102"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</row>
    <row r="42" spans="2:102">
      <c r="D42" s="4"/>
    </row>
    <row r="44" spans="2:102">
      <c r="I44" s="14"/>
      <c r="M44" s="1"/>
      <c r="N44" s="1"/>
      <c r="O44" s="1"/>
      <c r="P44" s="1"/>
    </row>
    <row r="45" spans="2:102">
      <c r="I45" s="14"/>
    </row>
    <row r="46" spans="2:102">
      <c r="I46" s="14"/>
    </row>
    <row r="47" spans="2:102">
      <c r="I47" s="14"/>
    </row>
    <row r="48" spans="2:102">
      <c r="I48" s="14"/>
    </row>
    <row r="49" spans="9:9">
      <c r="I49" s="14"/>
    </row>
    <row r="50" spans="9:9">
      <c r="I50" s="14"/>
    </row>
    <row r="51" spans="9:9">
      <c r="I51" s="14"/>
    </row>
    <row r="52" spans="9:9">
      <c r="I52" s="14"/>
    </row>
    <row r="53" spans="9:9">
      <c r="I53" s="14"/>
    </row>
    <row r="54" spans="9:9">
      <c r="I54" s="14"/>
    </row>
    <row r="55" spans="9:9">
      <c r="I55" s="14"/>
    </row>
    <row r="56" spans="9:9">
      <c r="I56" s="14"/>
    </row>
    <row r="57" spans="9:9">
      <c r="I57" s="14"/>
    </row>
    <row r="58" spans="9:9">
      <c r="I58" s="14"/>
    </row>
    <row r="59" spans="9:9">
      <c r="I59" s="14"/>
    </row>
    <row r="60" spans="9:9">
      <c r="I60" s="14"/>
    </row>
    <row r="61" spans="9:9">
      <c r="I61" s="14"/>
    </row>
    <row r="62" spans="9:9">
      <c r="I62" s="14"/>
    </row>
    <row r="63" spans="9:9">
      <c r="I63" s="14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CX63"/>
  <sheetViews>
    <sheetView zoomScale="90" workbookViewId="0">
      <selection activeCell="M21" sqref="M21:O40"/>
    </sheetView>
  </sheetViews>
  <sheetFormatPr defaultRowHeight="12.75"/>
  <cols>
    <col min="42" max="42" width="9.42578125" customWidth="1"/>
  </cols>
  <sheetData>
    <row r="1" spans="1:69">
      <c r="A1" s="17" t="s">
        <v>726</v>
      </c>
    </row>
    <row r="3" spans="1:69">
      <c r="A3" t="s">
        <v>270</v>
      </c>
      <c r="C3" s="6"/>
      <c r="D3" s="6"/>
      <c r="E3" s="6"/>
    </row>
    <row r="4" spans="1:69">
      <c r="A4" s="17"/>
      <c r="C4" s="6"/>
      <c r="D4" s="6"/>
      <c r="E4" s="6"/>
    </row>
    <row r="5" spans="1:69">
      <c r="A5" s="17"/>
      <c r="C5" s="6"/>
      <c r="D5" s="6"/>
      <c r="E5" s="6"/>
      <c r="F5" s="6"/>
      <c r="G5" s="6"/>
      <c r="H5" s="6"/>
    </row>
    <row r="6" spans="1:69">
      <c r="A6" s="17"/>
      <c r="C6" s="67"/>
      <c r="D6" s="16"/>
      <c r="E6" s="16"/>
      <c r="F6" s="6"/>
      <c r="G6" s="16"/>
      <c r="H6" s="6"/>
    </row>
    <row r="7" spans="1:69">
      <c r="A7" s="17"/>
      <c r="C7" s="6"/>
      <c r="D7" s="6"/>
      <c r="E7" s="6"/>
    </row>
    <row r="8" spans="1:69">
      <c r="A8" s="17"/>
    </row>
    <row r="9" spans="1:69">
      <c r="A9" s="17"/>
    </row>
    <row r="15" spans="1:69">
      <c r="B15" t="s">
        <v>279</v>
      </c>
      <c r="D15" t="s">
        <v>273</v>
      </c>
      <c r="G15" t="s">
        <v>278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</row>
    <row r="16" spans="1:69"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42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</row>
    <row r="17" spans="2:102"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</row>
    <row r="18" spans="2:102" ht="14.25">
      <c r="B18" s="9" t="s">
        <v>281</v>
      </c>
      <c r="D18" s="9" t="s">
        <v>29</v>
      </c>
      <c r="E18" s="9" t="s">
        <v>31</v>
      </c>
      <c r="G18" s="9" t="s">
        <v>40</v>
      </c>
      <c r="H18" s="9" t="s">
        <v>50</v>
      </c>
      <c r="I18" s="9" t="s">
        <v>335</v>
      </c>
      <c r="J18" s="9" t="s">
        <v>163</v>
      </c>
      <c r="K18" s="47" t="s">
        <v>336</v>
      </c>
      <c r="L18" s="9" t="s">
        <v>52</v>
      </c>
      <c r="M18" s="9" t="s">
        <v>337</v>
      </c>
      <c r="N18" s="23" t="s">
        <v>338</v>
      </c>
      <c r="O18" s="23" t="s">
        <v>339</v>
      </c>
      <c r="P18" s="23" t="s">
        <v>348</v>
      </c>
      <c r="Q18" s="23" t="s">
        <v>349</v>
      </c>
      <c r="R18" s="23" t="s">
        <v>350</v>
      </c>
      <c r="S18" s="9" t="s">
        <v>351</v>
      </c>
      <c r="T18" s="23" t="s">
        <v>100</v>
      </c>
      <c r="U18" s="23" t="s">
        <v>361</v>
      </c>
      <c r="V18" s="23" t="s">
        <v>366</v>
      </c>
      <c r="W18" s="9" t="s">
        <v>387</v>
      </c>
      <c r="X18" s="23" t="s">
        <v>388</v>
      </c>
      <c r="Y18" s="23" t="s">
        <v>389</v>
      </c>
      <c r="Z18" s="23" t="s">
        <v>348</v>
      </c>
      <c r="AA18" s="23" t="s">
        <v>349</v>
      </c>
      <c r="AB18" s="23" t="s">
        <v>350</v>
      </c>
      <c r="AC18" s="9" t="s">
        <v>351</v>
      </c>
      <c r="AD18" s="23" t="s">
        <v>100</v>
      </c>
      <c r="AE18" s="23" t="s">
        <v>361</v>
      </c>
      <c r="AF18" s="23" t="s">
        <v>53</v>
      </c>
      <c r="AG18" s="23"/>
      <c r="AH18" s="23"/>
      <c r="AI18" s="68" t="s">
        <v>792</v>
      </c>
      <c r="AJ18" s="23"/>
      <c r="AK18" s="68"/>
      <c r="AL18" s="68"/>
      <c r="AM18" s="68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68" t="s">
        <v>795</v>
      </c>
      <c r="BD18" s="68" t="s">
        <v>337</v>
      </c>
      <c r="BE18" s="6"/>
      <c r="BF18" s="68" t="s">
        <v>793</v>
      </c>
      <c r="BG18" s="23"/>
      <c r="BH18" s="68"/>
      <c r="BI18" s="68"/>
      <c r="BJ18" s="68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68" t="s">
        <v>794</v>
      </c>
      <c r="CA18" s="68" t="s">
        <v>338</v>
      </c>
      <c r="CC18" s="68" t="s">
        <v>796</v>
      </c>
      <c r="CD18" s="23"/>
      <c r="CE18" s="68"/>
      <c r="CF18" s="68"/>
      <c r="CG18" s="68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68" t="s">
        <v>797</v>
      </c>
      <c r="CX18" s="68" t="s">
        <v>339</v>
      </c>
    </row>
    <row r="19" spans="2:102">
      <c r="B19" s="9" t="s">
        <v>4</v>
      </c>
      <c r="D19" s="9" t="s">
        <v>30</v>
      </c>
      <c r="E19" s="9" t="s">
        <v>2</v>
      </c>
      <c r="G19" s="9" t="s">
        <v>1</v>
      </c>
      <c r="H19" s="9"/>
      <c r="I19" s="9"/>
      <c r="J19" s="9" t="s">
        <v>364</v>
      </c>
      <c r="K19" s="9" t="s">
        <v>303</v>
      </c>
      <c r="L19" s="9"/>
      <c r="N19" s="23"/>
      <c r="O19" s="23"/>
      <c r="P19" s="23" t="s">
        <v>352</v>
      </c>
      <c r="Q19" s="23" t="s">
        <v>365</v>
      </c>
      <c r="R19" s="6"/>
      <c r="T19" s="23"/>
      <c r="U19" s="23"/>
      <c r="V19" s="6"/>
      <c r="X19" s="23"/>
      <c r="Y19" s="23"/>
      <c r="Z19" s="23" t="s">
        <v>352</v>
      </c>
      <c r="AA19" s="23" t="s">
        <v>390</v>
      </c>
      <c r="AB19" s="6"/>
      <c r="AD19" s="23"/>
      <c r="AE19" s="23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23"/>
      <c r="BA19" s="23"/>
      <c r="BB19" s="23"/>
      <c r="BC19" s="23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23"/>
      <c r="BX19" s="23"/>
      <c r="BY19" s="23"/>
      <c r="BZ19" s="23"/>
      <c r="CA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23"/>
      <c r="CU19" s="23"/>
      <c r="CV19" s="23"/>
      <c r="CW19" s="23"/>
      <c r="CX19" s="6"/>
    </row>
    <row r="20" spans="2:102">
      <c r="N20" s="6"/>
      <c r="O20" s="6"/>
      <c r="P20" s="6"/>
      <c r="Q20" s="6"/>
      <c r="R20" s="6"/>
      <c r="S20" s="6"/>
      <c r="T20" s="6"/>
      <c r="U20" s="6"/>
      <c r="V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</row>
    <row r="21" spans="2:102">
      <c r="B21" s="31">
        <f>Main!B21</f>
        <v>0.33333333333333326</v>
      </c>
      <c r="D21" s="1">
        <f>'RC'!F21</f>
        <v>0.65969672852566186</v>
      </c>
      <c r="E21" s="4">
        <f>ISA!$R$10</f>
        <v>1.5987591530356481E-5</v>
      </c>
      <c r="G21" s="13">
        <f ca="1">'RC'!X21</f>
        <v>29.912886947189744</v>
      </c>
      <c r="H21" s="5">
        <f t="shared" ref="H21:H40" ca="1" si="0">D21*G21*B21/E21</f>
        <v>411432.27905529388</v>
      </c>
      <c r="I21" s="16">
        <f ca="1">'Airfoil 2'!$K$14*H21^'Airfoil 2'!$L$13</f>
        <v>1.5864532889565215</v>
      </c>
      <c r="J21" s="1">
        <f ca="1">'Airfoil 2'!$K$33*H21^'Airfoil 2'!$L$32</f>
        <v>4.7670310826764712</v>
      </c>
      <c r="K21" s="13">
        <f ca="1">'Airfoil 2'!$K$52*H21^'Airfoil 2'!$L$51</f>
        <v>-10.214023780868626</v>
      </c>
      <c r="L21" s="16">
        <f ca="1">'Aerodynamics-RCmax'!W21</f>
        <v>0.9</v>
      </c>
      <c r="M21" s="10">
        <f ca="1">('Airfoil 1'!$B$21+'Airfoil 1'!$B$22*L21+'Airfoil 1'!$B$23*L21^2+'Airfoil 1'!$B$24*L21^3+'Airfoil 1'!$B$25*L21^4+'Airfoil 1'!$B$26*L21^5+'Airfoil 1'!$B$27*L21^6)*0+BD21</f>
        <v>2.4489313868613138E-2</v>
      </c>
      <c r="N21" s="42">
        <f ca="1">('Airfoil 1'!$B$29+'Airfoil 1'!$B$30*L21+'Airfoil 1'!$B$31*L21^2+'Airfoil 1'!$B$32*L21^3+'Airfoil 1'!$B$33*L21^4+'Airfoil 1'!$B$34*L21^5+'Airfoil 1'!$B$35*L21^6)*0+CA21</f>
        <v>1.7370857855361597E-2</v>
      </c>
      <c r="O21" s="42">
        <f ca="1">('Airfoil 1'!$B$37+'Airfoil 1'!$B$38*L21+'Airfoil 1'!$B$39*L21^2+'Airfoil 1'!$B$40*L21^3+'Airfoil 1'!$B$41*L21^4+'Airfoil 1'!$B$42*L21^5+'Airfoil 1'!$B$43*L21^6)*0+CX21</f>
        <v>1.1110331491712706E-2</v>
      </c>
      <c r="P21" s="16">
        <f>LOG('Airfoil 1'!$F$10)+LOG('Airfoil 1'!$G$10)+LOG('Airfoil 1'!$H$10)</f>
        <v>15.176091259055681</v>
      </c>
      <c r="Q21" s="16">
        <f t="shared" ref="Q21:Q40" ca="1" si="1">LOG(M21)+LOG(N21)+LOG(O21)</f>
        <v>-5.3254750991929125</v>
      </c>
      <c r="R21" s="16">
        <f>LOG('Airfoil 1'!$F$10)^2+LOG('Airfoil 1'!$G$10)^2+LOG('Airfoil 1'!$H$10)^2</f>
        <v>76.867141336751558</v>
      </c>
      <c r="S21" s="16">
        <f ca="1">LOG('Airfoil 1'!$F$10)*LOG(M21)+LOG('Airfoil 1'!$G$10)*LOG(N21)+LOG('Airfoil 1'!$H$10)*LOG(O21)</f>
        <v>-27.014391057528009</v>
      </c>
      <c r="T21" s="16">
        <f t="shared" ref="T21:T40" ca="1" si="2">POWER(10,(S21/R21-Q21/P21)/(P21/R21-3/P21))</f>
        <v>141.60346469083578</v>
      </c>
      <c r="U21" s="16">
        <f t="shared" ref="U21:U40" ca="1" si="3">(Q21-3*LOG(T21))/P21</f>
        <v>-0.77613507568957385</v>
      </c>
      <c r="V21" s="42">
        <f ca="1">IF(Energy!$F$11=1,Energy!$T$13,1)*T21*H21^U21</f>
        <v>6.8548600734337972E-3</v>
      </c>
      <c r="W21" s="10">
        <f ca="1">'Airfoil 1'!$B$48+'Airfoil 1'!$B$49*L21+'Airfoil 1'!$B$50*L21^2+'Airfoil 1'!$B$51*L21^3+'Airfoil 1'!$B$52*L21^4+'Airfoil 1'!$B$53*L21^5+'Airfoil 1'!$B$54*L21^6</f>
        <v>-0.155</v>
      </c>
      <c r="X21" s="42">
        <f ca="1">'Airfoil 1'!$B$56+'Airfoil 1'!$B$57*L21+'Airfoil 1'!$B$58*L21^2+'Airfoil 1'!$B$59*L21^3+'Airfoil 1'!$B$60*L21^4+'Airfoil 1'!$B$61*L21^5+'Airfoil 1'!$B$62*L21^6</f>
        <v>-0.155</v>
      </c>
      <c r="Y21" s="42">
        <f ca="1">'Airfoil 1'!$B$64+'Airfoil 1'!$B$65*L21+'Airfoil 1'!$B$66*L21^2+'Airfoil 1'!$B$67*L21^3+'Airfoil 1'!$B$681*L21^4+'Airfoil 1'!$B$69*L21^5+'Airfoil 1'!$B$70*L21^6</f>
        <v>-0.155</v>
      </c>
      <c r="Z21" s="16">
        <f>LOG('Airfoil 1'!$F$10)+LOG('Airfoil 1'!$G$10)+LOG('Airfoil 1'!$H$10)</f>
        <v>15.176091259055681</v>
      </c>
      <c r="AA21" s="16">
        <f t="shared" ref="AA21:AA40" ca="1" si="4">LOG(ABS(W21))+LOG(ABS(X21))+LOG(ABS(Y21))</f>
        <v>-2.4290049054891254</v>
      </c>
      <c r="AB21" s="16">
        <f>LOG('Airfoil 1'!$F$10)^2+LOG('Airfoil 1'!$G$10)^2+LOG('Airfoil 1'!$H$10)^2</f>
        <v>76.867141336751558</v>
      </c>
      <c r="AC21" s="16">
        <f ca="1">LOG('Airfoil 1'!$F$10)*LOG(ABS(W21))+LOG('Airfoil 1'!$G$10)*LOG(ABS(X21))+LOG('Airfoil 1'!$H$10)*LOG(ABS(Y21))</f>
        <v>-12.287600038132297</v>
      </c>
      <c r="AD21" s="16">
        <f t="shared" ref="AD21:AD40" ca="1" si="5">POWER(10,(AC21/AB21-AA21/Z21)/(Z21/AB21-3/Z21))</f>
        <v>0.1550000000000121</v>
      </c>
      <c r="AE21" s="16">
        <f t="shared" ref="AE21:AE40" ca="1" si="6">(AA21-3*LOG(AD21))/Z21</f>
        <v>-6.6718325633022456E-15</v>
      </c>
      <c r="AF21" s="42">
        <f t="shared" ref="AF21:AF40" ca="1" si="7">W21/ABS(W21)*AD21*H21^AE21</f>
        <v>-0.15499999999999875</v>
      </c>
      <c r="AG21" s="16"/>
      <c r="AH21" s="42"/>
      <c r="AI21" s="16">
        <f ca="1">(L21-'Airfoil 1'!$Z$22)/ABS(L21-'Airfoil 1'!$Z$22)</f>
        <v>1</v>
      </c>
      <c r="AJ21" s="16">
        <f ca="1">(L21-'Airfoil 1'!$Z$23)/ABS(L21-'Airfoil 1'!$Z$23)</f>
        <v>1</v>
      </c>
      <c r="AK21" s="16">
        <f ca="1">(L21-'Airfoil 1'!$Z$24)/ABS(L21-'Airfoil 1'!$Z$24)</f>
        <v>1</v>
      </c>
      <c r="AL21" s="16">
        <f ca="1">(L21-'Airfoil 1'!$Z$25)/ABS(L21-'Airfoil 1'!$Z$25)</f>
        <v>1</v>
      </c>
      <c r="AM21" s="16">
        <f ca="1">(L21-'Airfoil 1'!$Z$26)/ABS(L21-'Airfoil 1'!$Z$26)</f>
        <v>1</v>
      </c>
      <c r="AN21" s="16">
        <f ca="1">(L21-'Airfoil 1'!$Z$27)/ABS(L21-'Airfoil 1'!$Z$27)</f>
        <v>1</v>
      </c>
      <c r="AO21" s="16">
        <f ca="1">(L21-'Airfoil 1'!$Z$28)/ABS(L21-'Airfoil 1'!$Z$28)</f>
        <v>1</v>
      </c>
      <c r="AP21" s="16">
        <f ca="1">(L21-'Airfoil 1'!$Z$29)/ABS(L21-'Airfoil 1'!$Z$29)</f>
        <v>-1</v>
      </c>
      <c r="AQ21" s="16">
        <f ca="1">(L21-'Airfoil 1'!$Z$30)/ABS(L21-'Airfoil 1'!$Z$30)</f>
        <v>-1</v>
      </c>
      <c r="AR21" s="16">
        <f ca="1">(L21-'Airfoil 1'!$Z$31)/ABS(L21-'Airfoil 1'!$Z$31)</f>
        <v>-1</v>
      </c>
      <c r="AS21" s="16">
        <f ca="1">(L21-'Airfoil 1'!$Z$32)/ABS(L21-'Airfoil 1'!$Z$32)</f>
        <v>-1</v>
      </c>
      <c r="AT21" s="16">
        <f ca="1">(L21-'Airfoil 1'!$Z$33)/ABS(L21-'Airfoil 1'!$Z$33)</f>
        <v>-1</v>
      </c>
      <c r="AU21" s="16">
        <f ca="1">(L21-'Airfoil 1'!$Z$34)/ABS(L21-'Airfoil 1'!$Z$34)</f>
        <v>-1</v>
      </c>
      <c r="AV21" s="16">
        <f ca="1">(L21-'Airfoil 1'!$Z$35)/ABS(L21-'Airfoil 1'!$Z$35)</f>
        <v>-1</v>
      </c>
      <c r="AW21" s="16">
        <f ca="1">(L21-'Airfoil 1'!$Z$36)/ABS(L21-'Airfoil 1'!$Z$36)</f>
        <v>-1</v>
      </c>
      <c r="AX21" s="16">
        <f ca="1">(L21-'Airfoil 1'!$Z$37)/ABS(L21-'Airfoil 1'!$Z$37)</f>
        <v>-1</v>
      </c>
      <c r="AY21" s="16">
        <f ca="1">(L21-'Airfoil 1'!$Z$38)/ABS(L21-'Airfoil 1'!$Z$38)</f>
        <v>-1</v>
      </c>
      <c r="AZ21" s="16">
        <f ca="1">(L21-'Airfoil 1'!$Z$39)/ABS(L21-'Airfoil 1'!$Z$39)</f>
        <v>-1</v>
      </c>
      <c r="BA21" s="16">
        <f ca="1">(L21-'Airfoil 1'!$Z$40)/ABS(L21-'Airfoil 1'!$Z$40)</f>
        <v>-1</v>
      </c>
      <c r="BB21" s="16">
        <f ca="1">(L21-'Airfoil 1'!$Z$41)/ABS(L21-'Airfoil 1'!$Z$41)</f>
        <v>-1</v>
      </c>
      <c r="BC21" s="5">
        <f ca="1">MAX(1,MATCH(-1,AI21:BB21,0)-1)</f>
        <v>7</v>
      </c>
      <c r="BD21" s="42">
        <f ca="1">INDEX('Airfoil 1'!$AA$22:$AA$41,BC21,1)+INDEX('Airfoil 1'!$AB$22:$AB$41,BC21,1)*(L21-INDEX('Airfoil 1'!$Z$22:$Z$41,BC21,1))</f>
        <v>2.4489313868613138E-2</v>
      </c>
      <c r="BE21" s="6"/>
      <c r="BF21" s="16">
        <f ca="1">(L21-'Airfoil 1'!$Z$47)/ABS(L21-'Airfoil 1'!$Z$47)</f>
        <v>1</v>
      </c>
      <c r="BG21" s="16">
        <f ca="1">(L21-'Airfoil 1'!$Z$48)/ABS(L21-'Airfoil 1'!$Z$48)</f>
        <v>1</v>
      </c>
      <c r="BH21" s="16">
        <f ca="1">(L21-'Airfoil 1'!$Z$49)/ABS(L21-'Airfoil 1'!$Z$49)</f>
        <v>1</v>
      </c>
      <c r="BI21" s="16">
        <f ca="1">(L21-'Airfoil 1'!$Z$50)/ABS(L21-'Airfoil 1'!$Z$50)</f>
        <v>1</v>
      </c>
      <c r="BJ21" s="16">
        <f ca="1">(L21-'Airfoil 1'!$Z$51)/ABS(L21-'Airfoil 1'!$Z$51)</f>
        <v>1</v>
      </c>
      <c r="BK21" s="16">
        <f ca="1">(L21-'Airfoil 1'!$Z$52)/ABS(L21-'Airfoil 1'!$Z$52)</f>
        <v>1</v>
      </c>
      <c r="BL21" s="16">
        <f ca="1">(L21-'Airfoil 1'!$Z$53)/ABS(L21-'Airfoil 1'!$Z$53)</f>
        <v>-1</v>
      </c>
      <c r="BM21" s="16">
        <f ca="1">(L21-'Airfoil 1'!$Z$54)/ABS(L21-'Airfoil 1'!$Z$54)</f>
        <v>-1</v>
      </c>
      <c r="BN21" s="16">
        <f ca="1">(L21-'Airfoil 1'!$Z$55)/ABS(L21-'Airfoil 1'!$Z$55)</f>
        <v>-1</v>
      </c>
      <c r="BO21" s="16">
        <f ca="1">(L21-'Airfoil 1'!$Z$56)/ABS(L21-'Airfoil 1'!$Z$56)</f>
        <v>-1</v>
      </c>
      <c r="BP21" s="16">
        <f ca="1">(L21-'Airfoil 1'!$Z$57)/ABS(L21-'Airfoil 1'!$Z$57)</f>
        <v>-1</v>
      </c>
      <c r="BQ21" s="16">
        <f ca="1">(L21-'Airfoil 1'!$Z$58)/ABS(L21-'Airfoil 1'!$Z$58)</f>
        <v>-1</v>
      </c>
      <c r="BR21" s="16">
        <f ca="1">(L21-'Airfoil 1'!$Z$59)/ABS(L21-'Airfoil 1'!$Z$59)</f>
        <v>-1</v>
      </c>
      <c r="BS21" s="16">
        <f ca="1">(L21-'Airfoil 1'!$Z$60)/ABS(L21-'Airfoil 1'!$Z$60)</f>
        <v>-1</v>
      </c>
      <c r="BT21" s="16">
        <f ca="1">(L21-'Airfoil 1'!$Z$61)/ABS(L21-'Airfoil 1'!$Z$61)</f>
        <v>-1</v>
      </c>
      <c r="BU21" s="16">
        <f ca="1">(L21-'Airfoil 1'!$Z$62)/ABS(L21-'Airfoil 1'!$Z$62)</f>
        <v>-1</v>
      </c>
      <c r="BV21" s="16">
        <f ca="1">(L21-'Airfoil 1'!$Z$63)/ABS(L21-'Airfoil 1'!$Z$63)</f>
        <v>-1</v>
      </c>
      <c r="BW21" s="16">
        <f ca="1">(L21-'Airfoil 1'!$Z$64)/ABS(L21-'Airfoil 1'!$Z$64)</f>
        <v>-1</v>
      </c>
      <c r="BX21" s="16">
        <f ca="1">(L21-'Airfoil 1'!$Z$65)/ABS(L21-'Airfoil 1'!$Z$65)</f>
        <v>-1</v>
      </c>
      <c r="BY21" s="16">
        <f ca="1">(L21-'Airfoil 1'!$Z$66)/ABS(L21-'Airfoil 1'!$Z$66)</f>
        <v>-1</v>
      </c>
      <c r="BZ21" s="5">
        <f ca="1">MAX(1,MATCH(-1,BF21:BY21,0)-1)</f>
        <v>6</v>
      </c>
      <c r="CA21" s="42">
        <f ca="1">INDEX('Airfoil 1'!$AA$47:$AA$66,BZ21,1)+INDEX('Airfoil 1'!$AB$47:$AB$66,BZ21,1)*(L21-INDEX('Airfoil 1'!$Z$47:$Z$66,BZ21,1))</f>
        <v>1.7370857855361597E-2</v>
      </c>
      <c r="CC21" s="16">
        <f ca="1">(L21-'Airfoil 1'!$Z$72)/ABS(L21-'Airfoil 1'!$Z$72)</f>
        <v>1</v>
      </c>
      <c r="CD21" s="16">
        <f ca="1">(L21-'Airfoil 1'!$Z$73)/ABS(L21-'Airfoil 1'!$Z$73)</f>
        <v>1</v>
      </c>
      <c r="CE21" s="16">
        <f ca="1">(L21-'Airfoil 1'!$Z$74)/ABS(L21-'Airfoil 1'!$Z$74)</f>
        <v>1</v>
      </c>
      <c r="CF21" s="16">
        <f ca="1">(L21-'Airfoil 1'!$Z$75)/ABS(L21-'Airfoil 1'!$Z$75)</f>
        <v>1</v>
      </c>
      <c r="CG21" s="16">
        <f ca="1">(L21-'Airfoil 1'!$Z$76)/ABS(L21-'Airfoil 1'!$Z$76)</f>
        <v>-1</v>
      </c>
      <c r="CH21" s="16">
        <f ca="1">(L21-'Airfoil 1'!$Z$77)/ABS(L21-'Airfoil 1'!$Z$77)</f>
        <v>-1</v>
      </c>
      <c r="CI21" s="16">
        <f ca="1">(L21-'Airfoil 1'!$Z$78)/ABS(L21-'Airfoil 1'!$Z$78)</f>
        <v>-1</v>
      </c>
      <c r="CJ21" s="16">
        <f ca="1">(L21-'Airfoil 1'!$Z$79)/ABS(L21-'Airfoil 1'!$Z$79)</f>
        <v>-1</v>
      </c>
      <c r="CK21" s="16">
        <f ca="1">(L21-'Airfoil 1'!$Z$80)/ABS(L21-'Airfoil 1'!$Z$80)</f>
        <v>-1</v>
      </c>
      <c r="CL21" s="16">
        <f ca="1">(L21-'Airfoil 1'!$Z$81)/ABS(L21-'Airfoil 1'!$Z$81)</f>
        <v>-1</v>
      </c>
      <c r="CM21" s="16">
        <f ca="1">(L21-'Airfoil 1'!$Z$82)/ABS(L21-'Airfoil 1'!$Z$82)</f>
        <v>-1</v>
      </c>
      <c r="CN21" s="16">
        <f ca="1">(L21-'Airfoil 1'!$Z$83)/ABS(L21-'Airfoil 1'!$Z$83)</f>
        <v>-1</v>
      </c>
      <c r="CO21" s="16">
        <f ca="1">(L21-'Airfoil 1'!$Z$84)/ABS(L21-'Airfoil 1'!$Z$84)</f>
        <v>-1</v>
      </c>
      <c r="CP21" s="16">
        <f ca="1">(L21-'Airfoil 1'!$Z$85)/ABS(L21-'Airfoil 1'!$Z$85)</f>
        <v>-1</v>
      </c>
      <c r="CQ21" s="16">
        <f ca="1">(L21-'Airfoil 1'!$Z$86)/ABS(L21-'Airfoil 1'!$Z$86)</f>
        <v>-1</v>
      </c>
      <c r="CR21" s="16">
        <f ca="1">(L21-'Airfoil 1'!$Z$87)/ABS(L21-'Airfoil 1'!$Z$87)</f>
        <v>-1</v>
      </c>
      <c r="CS21" s="16">
        <f ca="1">(L21-'Airfoil 1'!$Z$88)/ABS(L21-'Airfoil 1'!$Z$88)</f>
        <v>-1</v>
      </c>
      <c r="CT21" s="16">
        <f ca="1">(L21-'Airfoil 1'!$Z$89)/ABS(L21-'Airfoil 1'!$Z$89)</f>
        <v>-1</v>
      </c>
      <c r="CU21" s="16">
        <f ca="1">(L21-'Airfoil 1'!$Z$90)/ABS(L21-'Airfoil 1'!$Z$90)</f>
        <v>-1</v>
      </c>
      <c r="CV21" s="16">
        <f ca="1">(L21-'Airfoil 1'!$Z$91)/ABS(L21-'Airfoil 1'!$Z$91)</f>
        <v>-1</v>
      </c>
      <c r="CW21" s="5">
        <f ca="1">MAX(1,MATCH(-1,CC21:CV21,0)-1)</f>
        <v>4</v>
      </c>
      <c r="CX21" s="42">
        <f ca="1">INDEX('Airfoil 1'!$AA$72:$AA$91,CW21,1)+INDEX('Airfoil 1'!$AB$72:$AB$91,CW21,1)*(L21-INDEX('Airfoil 1'!$Z$72:$Z$91,CW21,1))</f>
        <v>1.1110331491712706E-2</v>
      </c>
    </row>
    <row r="22" spans="2:102">
      <c r="B22" s="31">
        <f>Main!B22</f>
        <v>0.33333333333333326</v>
      </c>
      <c r="D22" s="1">
        <f>'RC'!F22</f>
        <v>0.65969672852566186</v>
      </c>
      <c r="E22" s="4">
        <f>ISA!$R$10</f>
        <v>1.5987591530356481E-5</v>
      </c>
      <c r="G22" s="13">
        <f ca="1">'RC'!X22</f>
        <v>29.421519599178584</v>
      </c>
      <c r="H22" s="5">
        <f t="shared" ca="1" si="0"/>
        <v>404673.84118861449</v>
      </c>
      <c r="I22" s="16">
        <f ca="1">'Airfoil 2'!$K$14*H22^'Airfoil 2'!$L$13</f>
        <v>1.5860880524618259</v>
      </c>
      <c r="J22" s="1">
        <f ca="1">'Airfoil 2'!$K$33*H22^'Airfoil 2'!$L$32</f>
        <v>4.7936617965010377</v>
      </c>
      <c r="K22" s="13">
        <f ca="1">'Airfoil 2'!$K$52*H22^'Airfoil 2'!$L$51</f>
        <v>-10.101512127324884</v>
      </c>
      <c r="L22" s="16">
        <f ca="1">'Aerodynamics-RCmax'!W22</f>
        <v>0.9</v>
      </c>
      <c r="M22" s="10">
        <f ca="1">('Airfoil 1'!$B$21+'Airfoil 1'!$B$22*L22+'Airfoil 1'!$B$23*L22^2+'Airfoil 1'!$B$24*L22^3+'Airfoil 1'!$B$25*L22^4+'Airfoil 1'!$B$26*L22^5+'Airfoil 1'!$B$27*L22^6)*0+BD22</f>
        <v>2.4489313868613138E-2</v>
      </c>
      <c r="N22" s="42">
        <f ca="1">('Airfoil 1'!$B$29+'Airfoil 1'!$B$30*L22+'Airfoil 1'!$B$31*L22^2+'Airfoil 1'!$B$32*L22^3+'Airfoil 1'!$B$33*L22^4+'Airfoil 1'!$B$34*L22^5+'Airfoil 1'!$B$35*L22^6)*0+CA22</f>
        <v>1.7370857855361597E-2</v>
      </c>
      <c r="O22" s="42">
        <f ca="1">('Airfoil 1'!$B$37+'Airfoil 1'!$B$38*L22+'Airfoil 1'!$B$39*L22^2+'Airfoil 1'!$B$40*L22^3+'Airfoil 1'!$B$41*L22^4+'Airfoil 1'!$B$42*L22^5+'Airfoil 1'!$B$43*L22^6)*0+CX22</f>
        <v>1.1110331491712706E-2</v>
      </c>
      <c r="P22" s="16">
        <f>LOG('Airfoil 1'!$F$10)+LOG('Airfoil 1'!$G$10)+LOG('Airfoil 1'!$H$10)</f>
        <v>15.176091259055681</v>
      </c>
      <c r="Q22" s="16">
        <f t="shared" ca="1" si="1"/>
        <v>-5.3254750991929125</v>
      </c>
      <c r="R22" s="16">
        <f>LOG('Airfoil 1'!$F$10)^2+LOG('Airfoil 1'!$G$10)^2+LOG('Airfoil 1'!$H$10)^2</f>
        <v>76.867141336751558</v>
      </c>
      <c r="S22" s="16">
        <f ca="1">LOG('Airfoil 1'!$F$10)*LOG(M22)+LOG('Airfoil 1'!$G$10)*LOG(N22)+LOG('Airfoil 1'!$H$10)*LOG(O22)</f>
        <v>-27.014391057528009</v>
      </c>
      <c r="T22" s="16">
        <f t="shared" ca="1" si="2"/>
        <v>141.60346469083578</v>
      </c>
      <c r="U22" s="16">
        <f t="shared" ca="1" si="3"/>
        <v>-0.77613507568957385</v>
      </c>
      <c r="V22" s="42">
        <f ca="1">IF(Energy!$F$11=1,Energy!$T$13,1)*T22*H22^U22</f>
        <v>6.9435491164810993E-3</v>
      </c>
      <c r="W22" s="10">
        <f ca="1">'Airfoil 1'!$B$48+'Airfoil 1'!$B$49*L22+'Airfoil 1'!$B$50*L22^2+'Airfoil 1'!$B$51*L22^3+'Airfoil 1'!$B$52*L22^4+'Airfoil 1'!$B$53*L22^5+'Airfoil 1'!$B$54*L22^6</f>
        <v>-0.155</v>
      </c>
      <c r="X22" s="42">
        <f ca="1">'Airfoil 1'!$B$56+'Airfoil 1'!$B$57*L22+'Airfoil 1'!$B$58*L22^2+'Airfoil 1'!$B$59*L22^3+'Airfoil 1'!$B$60*L22^4+'Airfoil 1'!$B$61*L22^5+'Airfoil 1'!$B$62*L22^6</f>
        <v>-0.155</v>
      </c>
      <c r="Y22" s="42">
        <f ca="1">'Airfoil 1'!$B$64+'Airfoil 1'!$B$65*L22+'Airfoil 1'!$B$66*L22^2+'Airfoil 1'!$B$67*L22^3+'Airfoil 1'!$B$681*L22^4+'Airfoil 1'!$B$69*L22^5+'Airfoil 1'!$B$70*L22^6</f>
        <v>-0.155</v>
      </c>
      <c r="Z22" s="16">
        <f>LOG('Airfoil 1'!$F$10)+LOG('Airfoil 1'!$G$10)+LOG('Airfoil 1'!$H$10)</f>
        <v>15.176091259055681</v>
      </c>
      <c r="AA22" s="16">
        <f t="shared" ca="1" si="4"/>
        <v>-2.4290049054891254</v>
      </c>
      <c r="AB22" s="16">
        <f>LOG('Airfoil 1'!$F$10)^2+LOG('Airfoil 1'!$G$10)^2+LOG('Airfoil 1'!$H$10)^2</f>
        <v>76.867141336751558</v>
      </c>
      <c r="AC22" s="16">
        <f ca="1">LOG('Airfoil 1'!$F$10)*LOG(ABS(W22))+LOG('Airfoil 1'!$G$10)*LOG(ABS(X22))+LOG('Airfoil 1'!$H$10)*LOG(ABS(Y22))</f>
        <v>-12.287600038132297</v>
      </c>
      <c r="AD22" s="16">
        <f t="shared" ca="1" si="5"/>
        <v>0.1550000000000121</v>
      </c>
      <c r="AE22" s="16">
        <f t="shared" ca="1" si="6"/>
        <v>-6.6718325633022456E-15</v>
      </c>
      <c r="AF22" s="42">
        <f t="shared" ca="1" si="7"/>
        <v>-0.15499999999999875</v>
      </c>
      <c r="AG22" s="16"/>
      <c r="AH22" s="42"/>
      <c r="AI22" s="16">
        <f ca="1">(L22-'Airfoil 1'!$Z$22)/ABS(L22-'Airfoil 1'!$Z$22)</f>
        <v>1</v>
      </c>
      <c r="AJ22" s="16">
        <f ca="1">(L22-'Airfoil 1'!$Z$23)/ABS(L22-'Airfoil 1'!$Z$23)</f>
        <v>1</v>
      </c>
      <c r="AK22" s="16">
        <f ca="1">(L22-'Airfoil 1'!$Z$24)/ABS(L22-'Airfoil 1'!$Z$24)</f>
        <v>1</v>
      </c>
      <c r="AL22" s="16">
        <f ca="1">(L22-'Airfoil 1'!$Z$25)/ABS(L22-'Airfoil 1'!$Z$25)</f>
        <v>1</v>
      </c>
      <c r="AM22" s="16">
        <f ca="1">(L22-'Airfoil 1'!$Z$26)/ABS(L22-'Airfoil 1'!$Z$26)</f>
        <v>1</v>
      </c>
      <c r="AN22" s="16">
        <f ca="1">(L22-'Airfoil 1'!$Z$27)/ABS(L22-'Airfoil 1'!$Z$27)</f>
        <v>1</v>
      </c>
      <c r="AO22" s="16">
        <f ca="1">(L22-'Airfoil 1'!$Z$28)/ABS(L22-'Airfoil 1'!$Z$28)</f>
        <v>1</v>
      </c>
      <c r="AP22" s="16">
        <f ca="1">(L22-'Airfoil 1'!$Z$29)/ABS(L22-'Airfoil 1'!$Z$29)</f>
        <v>-1</v>
      </c>
      <c r="AQ22" s="16">
        <f ca="1">(L22-'Airfoil 1'!$Z$30)/ABS(L22-'Airfoil 1'!$Z$30)</f>
        <v>-1</v>
      </c>
      <c r="AR22" s="16">
        <f ca="1">(L22-'Airfoil 1'!$Z$31)/ABS(L22-'Airfoil 1'!$Z$31)</f>
        <v>-1</v>
      </c>
      <c r="AS22" s="16">
        <f ca="1">(L22-'Airfoil 1'!$Z$32)/ABS(L22-'Airfoil 1'!$Z$32)</f>
        <v>-1</v>
      </c>
      <c r="AT22" s="16">
        <f ca="1">(L22-'Airfoil 1'!$Z$33)/ABS(L22-'Airfoil 1'!$Z$33)</f>
        <v>-1</v>
      </c>
      <c r="AU22" s="16">
        <f ca="1">(L22-'Airfoil 1'!$Z$34)/ABS(L22-'Airfoil 1'!$Z$34)</f>
        <v>-1</v>
      </c>
      <c r="AV22" s="16">
        <f ca="1">(L22-'Airfoil 1'!$Z$35)/ABS(L22-'Airfoil 1'!$Z$35)</f>
        <v>-1</v>
      </c>
      <c r="AW22" s="16">
        <f ca="1">(L22-'Airfoil 1'!$Z$36)/ABS(L22-'Airfoil 1'!$Z$36)</f>
        <v>-1</v>
      </c>
      <c r="AX22" s="16">
        <f ca="1">(L22-'Airfoil 1'!$Z$37)/ABS(L22-'Airfoil 1'!$Z$37)</f>
        <v>-1</v>
      </c>
      <c r="AY22" s="16">
        <f ca="1">(L22-'Airfoil 1'!$Z$38)/ABS(L22-'Airfoil 1'!$Z$38)</f>
        <v>-1</v>
      </c>
      <c r="AZ22" s="16">
        <f ca="1">(L22-'Airfoil 1'!$Z$39)/ABS(L22-'Airfoil 1'!$Z$39)</f>
        <v>-1</v>
      </c>
      <c r="BA22" s="16">
        <f ca="1">(L22-'Airfoil 1'!$Z$40)/ABS(L22-'Airfoil 1'!$Z$40)</f>
        <v>-1</v>
      </c>
      <c r="BB22" s="16">
        <f ca="1">(L22-'Airfoil 1'!$Z$41)/ABS(L22-'Airfoil 1'!$Z$41)</f>
        <v>-1</v>
      </c>
      <c r="BC22" s="5">
        <f t="shared" ref="BC22:BC40" ca="1" si="8">MAX(1,MATCH(-1,AI22:BB22,0)-1)</f>
        <v>7</v>
      </c>
      <c r="BD22" s="42">
        <f ca="1">INDEX('Airfoil 1'!$AA$22:$AA$41,BC22,1)+INDEX('Airfoil 1'!$AB$22:$AB$41,BC22,1)*(L22-INDEX('Airfoil 1'!$Z$22:$Z$41,BC22,1))</f>
        <v>2.4489313868613138E-2</v>
      </c>
      <c r="BE22" s="6"/>
      <c r="BF22" s="16">
        <f ca="1">(L22-'Airfoil 1'!$Z$47)/ABS(L22-'Airfoil 1'!$Z$47)</f>
        <v>1</v>
      </c>
      <c r="BG22" s="16">
        <f ca="1">(L22-'Airfoil 1'!$Z$48)/ABS(L22-'Airfoil 1'!$Z$48)</f>
        <v>1</v>
      </c>
      <c r="BH22" s="16">
        <f ca="1">(L22-'Airfoil 1'!$Z$49)/ABS(L22-'Airfoil 1'!$Z$49)</f>
        <v>1</v>
      </c>
      <c r="BI22" s="16">
        <f ca="1">(L22-'Airfoil 1'!$Z$50)/ABS(L22-'Airfoil 1'!$Z$50)</f>
        <v>1</v>
      </c>
      <c r="BJ22" s="16">
        <f ca="1">(L22-'Airfoil 1'!$Z$51)/ABS(L22-'Airfoil 1'!$Z$51)</f>
        <v>1</v>
      </c>
      <c r="BK22" s="16">
        <f ca="1">(L22-'Airfoil 1'!$Z$52)/ABS(L22-'Airfoil 1'!$Z$52)</f>
        <v>1</v>
      </c>
      <c r="BL22" s="16">
        <f ca="1">(L22-'Airfoil 1'!$Z$53)/ABS(L22-'Airfoil 1'!$Z$53)</f>
        <v>-1</v>
      </c>
      <c r="BM22" s="16">
        <f ca="1">(L22-'Airfoil 1'!$Z$54)/ABS(L22-'Airfoil 1'!$Z$54)</f>
        <v>-1</v>
      </c>
      <c r="BN22" s="16">
        <f ca="1">(L22-'Airfoil 1'!$Z$55)/ABS(L22-'Airfoil 1'!$Z$55)</f>
        <v>-1</v>
      </c>
      <c r="BO22" s="16">
        <f ca="1">(L22-'Airfoil 1'!$Z$56)/ABS(L22-'Airfoil 1'!$Z$56)</f>
        <v>-1</v>
      </c>
      <c r="BP22" s="16">
        <f ca="1">(L22-'Airfoil 1'!$Z$57)/ABS(L22-'Airfoil 1'!$Z$57)</f>
        <v>-1</v>
      </c>
      <c r="BQ22" s="16">
        <f ca="1">(L22-'Airfoil 1'!$Z$58)/ABS(L22-'Airfoil 1'!$Z$58)</f>
        <v>-1</v>
      </c>
      <c r="BR22" s="16">
        <f ca="1">(L22-'Airfoil 1'!$Z$59)/ABS(L22-'Airfoil 1'!$Z$59)</f>
        <v>-1</v>
      </c>
      <c r="BS22" s="16">
        <f ca="1">(L22-'Airfoil 1'!$Z$60)/ABS(L22-'Airfoil 1'!$Z$60)</f>
        <v>-1</v>
      </c>
      <c r="BT22" s="16">
        <f ca="1">(L22-'Airfoil 1'!$Z$61)/ABS(L22-'Airfoil 1'!$Z$61)</f>
        <v>-1</v>
      </c>
      <c r="BU22" s="16">
        <f ca="1">(L22-'Airfoil 1'!$Z$62)/ABS(L22-'Airfoil 1'!$Z$62)</f>
        <v>-1</v>
      </c>
      <c r="BV22" s="16">
        <f ca="1">(L22-'Airfoil 1'!$Z$63)/ABS(L22-'Airfoil 1'!$Z$63)</f>
        <v>-1</v>
      </c>
      <c r="BW22" s="16">
        <f ca="1">(L22-'Airfoil 1'!$Z$64)/ABS(L22-'Airfoil 1'!$Z$64)</f>
        <v>-1</v>
      </c>
      <c r="BX22" s="16">
        <f ca="1">(L22-'Airfoil 1'!$Z$65)/ABS(L22-'Airfoil 1'!$Z$65)</f>
        <v>-1</v>
      </c>
      <c r="BY22" s="16">
        <f ca="1">(L22-'Airfoil 1'!$Z$66)/ABS(L22-'Airfoil 1'!$Z$66)</f>
        <v>-1</v>
      </c>
      <c r="BZ22" s="5">
        <f t="shared" ref="BZ22:BZ40" ca="1" si="9">MAX(1,MATCH(-1,BF22:BY22,0)-1)</f>
        <v>6</v>
      </c>
      <c r="CA22" s="42">
        <f ca="1">INDEX('Airfoil 1'!$AA$47:$AA$66,BZ22,1)+INDEX('Airfoil 1'!$AB$47:$AB$66,BZ22,1)*(L22-INDEX('Airfoil 1'!$Z$47:$Z$66,BZ22,1))</f>
        <v>1.7370857855361597E-2</v>
      </c>
      <c r="CC22" s="16">
        <f ca="1">(L22-'Airfoil 1'!$Z$72)/ABS(L22-'Airfoil 1'!$Z$72)</f>
        <v>1</v>
      </c>
      <c r="CD22" s="16">
        <f ca="1">(L22-'Airfoil 1'!$Z$73)/ABS(L22-'Airfoil 1'!$Z$73)</f>
        <v>1</v>
      </c>
      <c r="CE22" s="16">
        <f ca="1">(L22-'Airfoil 1'!$Z$74)/ABS(L22-'Airfoil 1'!$Z$74)</f>
        <v>1</v>
      </c>
      <c r="CF22" s="16">
        <f ca="1">(L22-'Airfoil 1'!$Z$75)/ABS(L22-'Airfoil 1'!$Z$75)</f>
        <v>1</v>
      </c>
      <c r="CG22" s="16">
        <f ca="1">(L22-'Airfoil 1'!$Z$76)/ABS(L22-'Airfoil 1'!$Z$76)</f>
        <v>-1</v>
      </c>
      <c r="CH22" s="16">
        <f ca="1">(L22-'Airfoil 1'!$Z$77)/ABS(L22-'Airfoil 1'!$Z$77)</f>
        <v>-1</v>
      </c>
      <c r="CI22" s="16">
        <f ca="1">(L22-'Airfoil 1'!$Z$78)/ABS(L22-'Airfoil 1'!$Z$78)</f>
        <v>-1</v>
      </c>
      <c r="CJ22" s="16">
        <f ca="1">(L22-'Airfoil 1'!$Z$79)/ABS(L22-'Airfoil 1'!$Z$79)</f>
        <v>-1</v>
      </c>
      <c r="CK22" s="16">
        <f ca="1">(L22-'Airfoil 1'!$Z$80)/ABS(L22-'Airfoil 1'!$Z$80)</f>
        <v>-1</v>
      </c>
      <c r="CL22" s="16">
        <f ca="1">(L22-'Airfoil 1'!$Z$81)/ABS(L22-'Airfoil 1'!$Z$81)</f>
        <v>-1</v>
      </c>
      <c r="CM22" s="16">
        <f ca="1">(L22-'Airfoil 1'!$Z$82)/ABS(L22-'Airfoil 1'!$Z$82)</f>
        <v>-1</v>
      </c>
      <c r="CN22" s="16">
        <f ca="1">(L22-'Airfoil 1'!$Z$83)/ABS(L22-'Airfoil 1'!$Z$83)</f>
        <v>-1</v>
      </c>
      <c r="CO22" s="16">
        <f ca="1">(L22-'Airfoil 1'!$Z$84)/ABS(L22-'Airfoil 1'!$Z$84)</f>
        <v>-1</v>
      </c>
      <c r="CP22" s="16">
        <f ca="1">(L22-'Airfoil 1'!$Z$85)/ABS(L22-'Airfoil 1'!$Z$85)</f>
        <v>-1</v>
      </c>
      <c r="CQ22" s="16">
        <f ca="1">(L22-'Airfoil 1'!$Z$86)/ABS(L22-'Airfoil 1'!$Z$86)</f>
        <v>-1</v>
      </c>
      <c r="CR22" s="16">
        <f ca="1">(L22-'Airfoil 1'!$Z$87)/ABS(L22-'Airfoil 1'!$Z$87)</f>
        <v>-1</v>
      </c>
      <c r="CS22" s="16">
        <f ca="1">(L22-'Airfoil 1'!$Z$88)/ABS(L22-'Airfoil 1'!$Z$88)</f>
        <v>-1</v>
      </c>
      <c r="CT22" s="16">
        <f ca="1">(L22-'Airfoil 1'!$Z$89)/ABS(L22-'Airfoil 1'!$Z$89)</f>
        <v>-1</v>
      </c>
      <c r="CU22" s="16">
        <f ca="1">(L22-'Airfoil 1'!$Z$90)/ABS(L22-'Airfoil 1'!$Z$90)</f>
        <v>-1</v>
      </c>
      <c r="CV22" s="16">
        <f ca="1">(L22-'Airfoil 1'!$Z$91)/ABS(L22-'Airfoil 1'!$Z$91)</f>
        <v>-1</v>
      </c>
      <c r="CW22" s="5">
        <f t="shared" ref="CW22:CW40" ca="1" si="10">MAX(1,MATCH(-1,CC22:CV22,0)-1)</f>
        <v>4</v>
      </c>
      <c r="CX22" s="42">
        <f ca="1">INDEX('Airfoil 1'!$AA$72:$AA$91,CW22,1)+INDEX('Airfoil 1'!$AB$72:$AB$91,CW22,1)*(L22-INDEX('Airfoil 1'!$Z$72:$Z$91,CW22,1))</f>
        <v>1.1110331491712706E-2</v>
      </c>
    </row>
    <row r="23" spans="2:102">
      <c r="B23" s="31">
        <f>Main!B23</f>
        <v>0.33333333333333326</v>
      </c>
      <c r="D23" s="1">
        <f>'RC'!F23</f>
        <v>0.65969672852566186</v>
      </c>
      <c r="E23" s="4">
        <f>ISA!$R$10</f>
        <v>1.5987591530356481E-5</v>
      </c>
      <c r="G23" s="13">
        <f ca="1">'RC'!X23</f>
        <v>28.954278467487942</v>
      </c>
      <c r="H23" s="5">
        <f t="shared" ca="1" si="0"/>
        <v>398247.243715116</v>
      </c>
      <c r="I23" s="16">
        <f ca="1">'Airfoil 2'!$K$14*H23^'Airfoil 2'!$L$13</f>
        <v>1.5857351263948978</v>
      </c>
      <c r="J23" s="1">
        <f ca="1">'Airfoil 2'!$K$33*H23^'Airfoil 2'!$L$32</f>
        <v>4.81954211163435</v>
      </c>
      <c r="K23" s="13">
        <f ca="1">'Airfoil 2'!$K$52*H23^'Airfoil 2'!$L$51</f>
        <v>-9.9939460525402843</v>
      </c>
      <c r="L23" s="16">
        <f ca="1">'Aerodynamics-RCmax'!W23</f>
        <v>0.9</v>
      </c>
      <c r="M23" s="10">
        <f ca="1">('Airfoil 1'!$B$21+'Airfoil 1'!$B$22*L23+'Airfoil 1'!$B$23*L23^2+'Airfoil 1'!$B$24*L23^3+'Airfoil 1'!$B$25*L23^4+'Airfoil 1'!$B$26*L23^5+'Airfoil 1'!$B$27*L23^6)*0+BD23</f>
        <v>2.4489313868613138E-2</v>
      </c>
      <c r="N23" s="42">
        <f ca="1">('Airfoil 1'!$B$29+'Airfoil 1'!$B$30*L23+'Airfoil 1'!$B$31*L23^2+'Airfoil 1'!$B$32*L23^3+'Airfoil 1'!$B$33*L23^4+'Airfoil 1'!$B$34*L23^5+'Airfoil 1'!$B$35*L23^6)*0+CA23</f>
        <v>1.7370857855361597E-2</v>
      </c>
      <c r="O23" s="42">
        <f ca="1">('Airfoil 1'!$B$37+'Airfoil 1'!$B$38*L23+'Airfoil 1'!$B$39*L23^2+'Airfoil 1'!$B$40*L23^3+'Airfoil 1'!$B$41*L23^4+'Airfoil 1'!$B$42*L23^5+'Airfoil 1'!$B$43*L23^6)*0+CX23</f>
        <v>1.1110331491712706E-2</v>
      </c>
      <c r="P23" s="16">
        <f>LOG('Airfoil 1'!$F$10)+LOG('Airfoil 1'!$G$10)+LOG('Airfoil 1'!$H$10)</f>
        <v>15.176091259055681</v>
      </c>
      <c r="Q23" s="16">
        <f t="shared" ca="1" si="1"/>
        <v>-5.3254750991929125</v>
      </c>
      <c r="R23" s="16">
        <f>LOG('Airfoil 1'!$F$10)^2+LOG('Airfoil 1'!$G$10)^2+LOG('Airfoil 1'!$H$10)^2</f>
        <v>76.867141336751558</v>
      </c>
      <c r="S23" s="16">
        <f ca="1">LOG('Airfoil 1'!$F$10)*LOG(M23)+LOG('Airfoil 1'!$G$10)*LOG(N23)+LOG('Airfoil 1'!$H$10)*LOG(O23)</f>
        <v>-27.014391057528009</v>
      </c>
      <c r="T23" s="16">
        <f t="shared" ca="1" si="2"/>
        <v>141.60346469083578</v>
      </c>
      <c r="U23" s="16">
        <f t="shared" ca="1" si="3"/>
        <v>-0.77613507568957385</v>
      </c>
      <c r="V23" s="42">
        <f ca="1">IF(Energy!$F$11=1,Energy!$T$13,1)*T23*H23^U23</f>
        <v>7.0303585865665293E-3</v>
      </c>
      <c r="W23" s="10">
        <f ca="1">'Airfoil 1'!$B$48+'Airfoil 1'!$B$49*L23+'Airfoil 1'!$B$50*L23^2+'Airfoil 1'!$B$51*L23^3+'Airfoil 1'!$B$52*L23^4+'Airfoil 1'!$B$53*L23^5+'Airfoil 1'!$B$54*L23^6</f>
        <v>-0.155</v>
      </c>
      <c r="X23" s="42">
        <f ca="1">'Airfoil 1'!$B$56+'Airfoil 1'!$B$57*L23+'Airfoil 1'!$B$58*L23^2+'Airfoil 1'!$B$59*L23^3+'Airfoil 1'!$B$60*L23^4+'Airfoil 1'!$B$61*L23^5+'Airfoil 1'!$B$62*L23^6</f>
        <v>-0.155</v>
      </c>
      <c r="Y23" s="42">
        <f ca="1">'Airfoil 1'!$B$64+'Airfoil 1'!$B$65*L23+'Airfoil 1'!$B$66*L23^2+'Airfoil 1'!$B$67*L23^3+'Airfoil 1'!$B$681*L23^4+'Airfoil 1'!$B$69*L23^5+'Airfoil 1'!$B$70*L23^6</f>
        <v>-0.155</v>
      </c>
      <c r="Z23" s="16">
        <f>LOG('Airfoil 1'!$F$10)+LOG('Airfoil 1'!$G$10)+LOG('Airfoil 1'!$H$10)</f>
        <v>15.176091259055681</v>
      </c>
      <c r="AA23" s="16">
        <f t="shared" ca="1" si="4"/>
        <v>-2.4290049054891254</v>
      </c>
      <c r="AB23" s="16">
        <f>LOG('Airfoil 1'!$F$10)^2+LOG('Airfoil 1'!$G$10)^2+LOG('Airfoil 1'!$H$10)^2</f>
        <v>76.867141336751558</v>
      </c>
      <c r="AC23" s="16">
        <f ca="1">LOG('Airfoil 1'!$F$10)*LOG(ABS(W23))+LOG('Airfoil 1'!$G$10)*LOG(ABS(X23))+LOG('Airfoil 1'!$H$10)*LOG(ABS(Y23))</f>
        <v>-12.287600038132297</v>
      </c>
      <c r="AD23" s="16">
        <f t="shared" ca="1" si="5"/>
        <v>0.1550000000000121</v>
      </c>
      <c r="AE23" s="16">
        <f t="shared" ca="1" si="6"/>
        <v>-6.6718325633022456E-15</v>
      </c>
      <c r="AF23" s="42">
        <f t="shared" ca="1" si="7"/>
        <v>-0.15499999999999878</v>
      </c>
      <c r="AG23" s="16"/>
      <c r="AH23" s="42"/>
      <c r="AI23" s="16">
        <f ca="1">(L23-'Airfoil 1'!$Z$22)/ABS(L23-'Airfoil 1'!$Z$22)</f>
        <v>1</v>
      </c>
      <c r="AJ23" s="16">
        <f ca="1">(L23-'Airfoil 1'!$Z$23)/ABS(L23-'Airfoil 1'!$Z$23)</f>
        <v>1</v>
      </c>
      <c r="AK23" s="16">
        <f ca="1">(L23-'Airfoil 1'!$Z$24)/ABS(L23-'Airfoil 1'!$Z$24)</f>
        <v>1</v>
      </c>
      <c r="AL23" s="16">
        <f ca="1">(L23-'Airfoil 1'!$Z$25)/ABS(L23-'Airfoil 1'!$Z$25)</f>
        <v>1</v>
      </c>
      <c r="AM23" s="16">
        <f ca="1">(L23-'Airfoil 1'!$Z$26)/ABS(L23-'Airfoil 1'!$Z$26)</f>
        <v>1</v>
      </c>
      <c r="AN23" s="16">
        <f ca="1">(L23-'Airfoil 1'!$Z$27)/ABS(L23-'Airfoil 1'!$Z$27)</f>
        <v>1</v>
      </c>
      <c r="AO23" s="16">
        <f ca="1">(L23-'Airfoil 1'!$Z$28)/ABS(L23-'Airfoil 1'!$Z$28)</f>
        <v>1</v>
      </c>
      <c r="AP23" s="16">
        <f ca="1">(L23-'Airfoil 1'!$Z$29)/ABS(L23-'Airfoil 1'!$Z$29)</f>
        <v>-1</v>
      </c>
      <c r="AQ23" s="16">
        <f ca="1">(L23-'Airfoil 1'!$Z$30)/ABS(L23-'Airfoil 1'!$Z$30)</f>
        <v>-1</v>
      </c>
      <c r="AR23" s="16">
        <f ca="1">(L23-'Airfoil 1'!$Z$31)/ABS(L23-'Airfoil 1'!$Z$31)</f>
        <v>-1</v>
      </c>
      <c r="AS23" s="16">
        <f ca="1">(L23-'Airfoil 1'!$Z$32)/ABS(L23-'Airfoil 1'!$Z$32)</f>
        <v>-1</v>
      </c>
      <c r="AT23" s="16">
        <f ca="1">(L23-'Airfoil 1'!$Z$33)/ABS(L23-'Airfoil 1'!$Z$33)</f>
        <v>-1</v>
      </c>
      <c r="AU23" s="16">
        <f ca="1">(L23-'Airfoil 1'!$Z$34)/ABS(L23-'Airfoil 1'!$Z$34)</f>
        <v>-1</v>
      </c>
      <c r="AV23" s="16">
        <f ca="1">(L23-'Airfoil 1'!$Z$35)/ABS(L23-'Airfoil 1'!$Z$35)</f>
        <v>-1</v>
      </c>
      <c r="AW23" s="16">
        <f ca="1">(L23-'Airfoil 1'!$Z$36)/ABS(L23-'Airfoil 1'!$Z$36)</f>
        <v>-1</v>
      </c>
      <c r="AX23" s="16">
        <f ca="1">(L23-'Airfoil 1'!$Z$37)/ABS(L23-'Airfoil 1'!$Z$37)</f>
        <v>-1</v>
      </c>
      <c r="AY23" s="16">
        <f ca="1">(L23-'Airfoil 1'!$Z$38)/ABS(L23-'Airfoil 1'!$Z$38)</f>
        <v>-1</v>
      </c>
      <c r="AZ23" s="16">
        <f ca="1">(L23-'Airfoil 1'!$Z$39)/ABS(L23-'Airfoil 1'!$Z$39)</f>
        <v>-1</v>
      </c>
      <c r="BA23" s="16">
        <f ca="1">(L23-'Airfoil 1'!$Z$40)/ABS(L23-'Airfoil 1'!$Z$40)</f>
        <v>-1</v>
      </c>
      <c r="BB23" s="16">
        <f ca="1">(L23-'Airfoil 1'!$Z$41)/ABS(L23-'Airfoil 1'!$Z$41)</f>
        <v>-1</v>
      </c>
      <c r="BC23" s="5">
        <f t="shared" ca="1" si="8"/>
        <v>7</v>
      </c>
      <c r="BD23" s="42">
        <f ca="1">INDEX('Airfoil 1'!$AA$22:$AA$41,BC23,1)+INDEX('Airfoil 1'!$AB$22:$AB$41,BC23,1)*(L23-INDEX('Airfoil 1'!$Z$22:$Z$41,BC23,1))</f>
        <v>2.4489313868613138E-2</v>
      </c>
      <c r="BE23" s="6"/>
      <c r="BF23" s="16">
        <f ca="1">(L23-'Airfoil 1'!$Z$47)/ABS(L23-'Airfoil 1'!$Z$47)</f>
        <v>1</v>
      </c>
      <c r="BG23" s="16">
        <f ca="1">(L23-'Airfoil 1'!$Z$48)/ABS(L23-'Airfoil 1'!$Z$48)</f>
        <v>1</v>
      </c>
      <c r="BH23" s="16">
        <f ca="1">(L23-'Airfoil 1'!$Z$49)/ABS(L23-'Airfoil 1'!$Z$49)</f>
        <v>1</v>
      </c>
      <c r="BI23" s="16">
        <f ca="1">(L23-'Airfoil 1'!$Z$50)/ABS(L23-'Airfoil 1'!$Z$50)</f>
        <v>1</v>
      </c>
      <c r="BJ23" s="16">
        <f ca="1">(L23-'Airfoil 1'!$Z$51)/ABS(L23-'Airfoil 1'!$Z$51)</f>
        <v>1</v>
      </c>
      <c r="BK23" s="16">
        <f ca="1">(L23-'Airfoil 1'!$Z$52)/ABS(L23-'Airfoil 1'!$Z$52)</f>
        <v>1</v>
      </c>
      <c r="BL23" s="16">
        <f ca="1">(L23-'Airfoil 1'!$Z$53)/ABS(L23-'Airfoil 1'!$Z$53)</f>
        <v>-1</v>
      </c>
      <c r="BM23" s="16">
        <f ca="1">(L23-'Airfoil 1'!$Z$54)/ABS(L23-'Airfoil 1'!$Z$54)</f>
        <v>-1</v>
      </c>
      <c r="BN23" s="16">
        <f ca="1">(L23-'Airfoil 1'!$Z$55)/ABS(L23-'Airfoil 1'!$Z$55)</f>
        <v>-1</v>
      </c>
      <c r="BO23" s="16">
        <f ca="1">(L23-'Airfoil 1'!$Z$56)/ABS(L23-'Airfoil 1'!$Z$56)</f>
        <v>-1</v>
      </c>
      <c r="BP23" s="16">
        <f ca="1">(L23-'Airfoil 1'!$Z$57)/ABS(L23-'Airfoil 1'!$Z$57)</f>
        <v>-1</v>
      </c>
      <c r="BQ23" s="16">
        <f ca="1">(L23-'Airfoil 1'!$Z$58)/ABS(L23-'Airfoil 1'!$Z$58)</f>
        <v>-1</v>
      </c>
      <c r="BR23" s="16">
        <f ca="1">(L23-'Airfoil 1'!$Z$59)/ABS(L23-'Airfoil 1'!$Z$59)</f>
        <v>-1</v>
      </c>
      <c r="BS23" s="16">
        <f ca="1">(L23-'Airfoil 1'!$Z$60)/ABS(L23-'Airfoil 1'!$Z$60)</f>
        <v>-1</v>
      </c>
      <c r="BT23" s="16">
        <f ca="1">(L23-'Airfoil 1'!$Z$61)/ABS(L23-'Airfoil 1'!$Z$61)</f>
        <v>-1</v>
      </c>
      <c r="BU23" s="16">
        <f ca="1">(L23-'Airfoil 1'!$Z$62)/ABS(L23-'Airfoil 1'!$Z$62)</f>
        <v>-1</v>
      </c>
      <c r="BV23" s="16">
        <f ca="1">(L23-'Airfoil 1'!$Z$63)/ABS(L23-'Airfoil 1'!$Z$63)</f>
        <v>-1</v>
      </c>
      <c r="BW23" s="16">
        <f ca="1">(L23-'Airfoil 1'!$Z$64)/ABS(L23-'Airfoil 1'!$Z$64)</f>
        <v>-1</v>
      </c>
      <c r="BX23" s="16">
        <f ca="1">(L23-'Airfoil 1'!$Z$65)/ABS(L23-'Airfoil 1'!$Z$65)</f>
        <v>-1</v>
      </c>
      <c r="BY23" s="16">
        <f ca="1">(L23-'Airfoil 1'!$Z$66)/ABS(L23-'Airfoil 1'!$Z$66)</f>
        <v>-1</v>
      </c>
      <c r="BZ23" s="5">
        <f t="shared" ca="1" si="9"/>
        <v>6</v>
      </c>
      <c r="CA23" s="42">
        <f ca="1">INDEX('Airfoil 1'!$AA$47:$AA$66,BZ23,1)+INDEX('Airfoil 1'!$AB$47:$AB$66,BZ23,1)*(L23-INDEX('Airfoil 1'!$Z$47:$Z$66,BZ23,1))</f>
        <v>1.7370857855361597E-2</v>
      </c>
      <c r="CC23" s="16">
        <f ca="1">(L23-'Airfoil 1'!$Z$72)/ABS(L23-'Airfoil 1'!$Z$72)</f>
        <v>1</v>
      </c>
      <c r="CD23" s="16">
        <f ca="1">(L23-'Airfoil 1'!$Z$73)/ABS(L23-'Airfoil 1'!$Z$73)</f>
        <v>1</v>
      </c>
      <c r="CE23" s="16">
        <f ca="1">(L23-'Airfoil 1'!$Z$74)/ABS(L23-'Airfoil 1'!$Z$74)</f>
        <v>1</v>
      </c>
      <c r="CF23" s="16">
        <f ca="1">(L23-'Airfoil 1'!$Z$75)/ABS(L23-'Airfoil 1'!$Z$75)</f>
        <v>1</v>
      </c>
      <c r="CG23" s="16">
        <f ca="1">(L23-'Airfoil 1'!$Z$76)/ABS(L23-'Airfoil 1'!$Z$76)</f>
        <v>-1</v>
      </c>
      <c r="CH23" s="16">
        <f ca="1">(L23-'Airfoil 1'!$Z$77)/ABS(L23-'Airfoil 1'!$Z$77)</f>
        <v>-1</v>
      </c>
      <c r="CI23" s="16">
        <f ca="1">(L23-'Airfoil 1'!$Z$78)/ABS(L23-'Airfoil 1'!$Z$78)</f>
        <v>-1</v>
      </c>
      <c r="CJ23" s="16">
        <f ca="1">(L23-'Airfoil 1'!$Z$79)/ABS(L23-'Airfoil 1'!$Z$79)</f>
        <v>-1</v>
      </c>
      <c r="CK23" s="16">
        <f ca="1">(L23-'Airfoil 1'!$Z$80)/ABS(L23-'Airfoil 1'!$Z$80)</f>
        <v>-1</v>
      </c>
      <c r="CL23" s="16">
        <f ca="1">(L23-'Airfoil 1'!$Z$81)/ABS(L23-'Airfoil 1'!$Z$81)</f>
        <v>-1</v>
      </c>
      <c r="CM23" s="16">
        <f ca="1">(L23-'Airfoil 1'!$Z$82)/ABS(L23-'Airfoil 1'!$Z$82)</f>
        <v>-1</v>
      </c>
      <c r="CN23" s="16">
        <f ca="1">(L23-'Airfoil 1'!$Z$83)/ABS(L23-'Airfoil 1'!$Z$83)</f>
        <v>-1</v>
      </c>
      <c r="CO23" s="16">
        <f ca="1">(L23-'Airfoil 1'!$Z$84)/ABS(L23-'Airfoil 1'!$Z$84)</f>
        <v>-1</v>
      </c>
      <c r="CP23" s="16">
        <f ca="1">(L23-'Airfoil 1'!$Z$85)/ABS(L23-'Airfoil 1'!$Z$85)</f>
        <v>-1</v>
      </c>
      <c r="CQ23" s="16">
        <f ca="1">(L23-'Airfoil 1'!$Z$86)/ABS(L23-'Airfoil 1'!$Z$86)</f>
        <v>-1</v>
      </c>
      <c r="CR23" s="16">
        <f ca="1">(L23-'Airfoil 1'!$Z$87)/ABS(L23-'Airfoil 1'!$Z$87)</f>
        <v>-1</v>
      </c>
      <c r="CS23" s="16">
        <f ca="1">(L23-'Airfoil 1'!$Z$88)/ABS(L23-'Airfoil 1'!$Z$88)</f>
        <v>-1</v>
      </c>
      <c r="CT23" s="16">
        <f ca="1">(L23-'Airfoil 1'!$Z$89)/ABS(L23-'Airfoil 1'!$Z$89)</f>
        <v>-1</v>
      </c>
      <c r="CU23" s="16">
        <f ca="1">(L23-'Airfoil 1'!$Z$90)/ABS(L23-'Airfoil 1'!$Z$90)</f>
        <v>-1</v>
      </c>
      <c r="CV23" s="16">
        <f ca="1">(L23-'Airfoil 1'!$Z$91)/ABS(L23-'Airfoil 1'!$Z$91)</f>
        <v>-1</v>
      </c>
      <c r="CW23" s="5">
        <f t="shared" ca="1" si="10"/>
        <v>4</v>
      </c>
      <c r="CX23" s="42">
        <f ca="1">INDEX('Airfoil 1'!$AA$72:$AA$91,CW23,1)+INDEX('Airfoil 1'!$AB$72:$AB$91,CW23,1)*(L23-INDEX('Airfoil 1'!$Z$72:$Z$91,CW23,1))</f>
        <v>1.1110331491712706E-2</v>
      </c>
    </row>
    <row r="24" spans="2:102">
      <c r="B24" s="31">
        <f>Main!B24</f>
        <v>0.33333333333333326</v>
      </c>
      <c r="D24" s="1">
        <f>'RC'!F24</f>
        <v>0.65969672852566186</v>
      </c>
      <c r="E24" s="4">
        <f>ISA!$R$10</f>
        <v>1.5987591530356481E-5</v>
      </c>
      <c r="G24" s="13">
        <f ca="1">'RC'!X24</f>
        <v>27.44967418856622</v>
      </c>
      <c r="H24" s="5">
        <f t="shared" ca="1" si="0"/>
        <v>377552.39173890883</v>
      </c>
      <c r="I24" s="16">
        <f ca="1">'Airfoil 2'!$K$14*H24^'Airfoil 2'!$L$13</f>
        <v>1.5845592203515564</v>
      </c>
      <c r="J24" s="1">
        <f ca="1">'Airfoil 2'!$K$33*H24^'Airfoil 2'!$L$32</f>
        <v>4.9068271558919179</v>
      </c>
      <c r="K24" s="13">
        <f ca="1">'Airfoil 2'!$K$52*H24^'Airfoil 2'!$L$51</f>
        <v>-9.6435811822362432</v>
      </c>
      <c r="L24" s="16">
        <f ca="1">'Aerodynamics-RCmax'!W24</f>
        <v>0.9</v>
      </c>
      <c r="M24" s="10">
        <f ca="1">('Airfoil 1'!$B$21+'Airfoil 1'!$B$22*L24+'Airfoil 1'!$B$23*L24^2+'Airfoil 1'!$B$24*L24^3+'Airfoil 1'!$B$25*L24^4+'Airfoil 1'!$B$26*L24^5+'Airfoil 1'!$B$27*L24^6)*0+BD24</f>
        <v>2.4489313868613138E-2</v>
      </c>
      <c r="N24" s="42">
        <f ca="1">('Airfoil 1'!$B$29+'Airfoil 1'!$B$30*L24+'Airfoil 1'!$B$31*L24^2+'Airfoil 1'!$B$32*L24^3+'Airfoil 1'!$B$33*L24^4+'Airfoil 1'!$B$34*L24^5+'Airfoil 1'!$B$35*L24^6)*0+CA24</f>
        <v>1.7370857855361597E-2</v>
      </c>
      <c r="O24" s="42">
        <f ca="1">('Airfoil 1'!$B$37+'Airfoil 1'!$B$38*L24+'Airfoil 1'!$B$39*L24^2+'Airfoil 1'!$B$40*L24^3+'Airfoil 1'!$B$41*L24^4+'Airfoil 1'!$B$42*L24^5+'Airfoil 1'!$B$43*L24^6)*0+CX24</f>
        <v>1.1110331491712706E-2</v>
      </c>
      <c r="P24" s="16">
        <f>LOG('Airfoil 1'!$F$10)+LOG('Airfoil 1'!$G$10)+LOG('Airfoil 1'!$H$10)</f>
        <v>15.176091259055681</v>
      </c>
      <c r="Q24" s="16">
        <f t="shared" ca="1" si="1"/>
        <v>-5.3254750991929125</v>
      </c>
      <c r="R24" s="16">
        <f>LOG('Airfoil 1'!$F$10)^2+LOG('Airfoil 1'!$G$10)^2+LOG('Airfoil 1'!$H$10)^2</f>
        <v>76.867141336751558</v>
      </c>
      <c r="S24" s="16">
        <f ca="1">LOG('Airfoil 1'!$F$10)*LOG(M24)+LOG('Airfoil 1'!$G$10)*LOG(N24)+LOG('Airfoil 1'!$H$10)*LOG(O24)</f>
        <v>-27.014391057528009</v>
      </c>
      <c r="T24" s="16">
        <f t="shared" ca="1" si="2"/>
        <v>141.60346469083578</v>
      </c>
      <c r="U24" s="16">
        <f t="shared" ca="1" si="3"/>
        <v>-0.77613507568957385</v>
      </c>
      <c r="V24" s="42">
        <f ca="1">IF(Energy!$F$11=1,Energy!$T$13,1)*T24*H24^U24</f>
        <v>7.3276520093884133E-3</v>
      </c>
      <c r="W24" s="10">
        <f ca="1">'Airfoil 1'!$B$48+'Airfoil 1'!$B$49*L24+'Airfoil 1'!$B$50*L24^2+'Airfoil 1'!$B$51*L24^3+'Airfoil 1'!$B$52*L24^4+'Airfoil 1'!$B$53*L24^5+'Airfoil 1'!$B$54*L24^6</f>
        <v>-0.155</v>
      </c>
      <c r="X24" s="42">
        <f ca="1">'Airfoil 1'!$B$56+'Airfoil 1'!$B$57*L24+'Airfoil 1'!$B$58*L24^2+'Airfoil 1'!$B$59*L24^3+'Airfoil 1'!$B$60*L24^4+'Airfoil 1'!$B$61*L24^5+'Airfoil 1'!$B$62*L24^6</f>
        <v>-0.155</v>
      </c>
      <c r="Y24" s="42">
        <f ca="1">'Airfoil 1'!$B$64+'Airfoil 1'!$B$65*L24+'Airfoil 1'!$B$66*L24^2+'Airfoil 1'!$B$67*L24^3+'Airfoil 1'!$B$681*L24^4+'Airfoil 1'!$B$69*L24^5+'Airfoil 1'!$B$70*L24^6</f>
        <v>-0.155</v>
      </c>
      <c r="Z24" s="16">
        <f>LOG('Airfoil 1'!$F$10)+LOG('Airfoil 1'!$G$10)+LOG('Airfoil 1'!$H$10)</f>
        <v>15.176091259055681</v>
      </c>
      <c r="AA24" s="16">
        <f t="shared" ca="1" si="4"/>
        <v>-2.4290049054891254</v>
      </c>
      <c r="AB24" s="16">
        <f>LOG('Airfoil 1'!$F$10)^2+LOG('Airfoil 1'!$G$10)^2+LOG('Airfoil 1'!$H$10)^2</f>
        <v>76.867141336751558</v>
      </c>
      <c r="AC24" s="16">
        <f ca="1">LOG('Airfoil 1'!$F$10)*LOG(ABS(W24))+LOG('Airfoil 1'!$G$10)*LOG(ABS(X24))+LOG('Airfoil 1'!$H$10)*LOG(ABS(Y24))</f>
        <v>-12.287600038132297</v>
      </c>
      <c r="AD24" s="16">
        <f t="shared" ca="1" si="5"/>
        <v>0.1550000000000121</v>
      </c>
      <c r="AE24" s="16">
        <f t="shared" ca="1" si="6"/>
        <v>-6.6718325633022456E-15</v>
      </c>
      <c r="AF24" s="42">
        <f t="shared" ca="1" si="7"/>
        <v>-0.15499999999999881</v>
      </c>
      <c r="AG24" s="16"/>
      <c r="AH24" s="42"/>
      <c r="AI24" s="16">
        <f ca="1">(L24-'Airfoil 1'!$Z$22)/ABS(L24-'Airfoil 1'!$Z$22)</f>
        <v>1</v>
      </c>
      <c r="AJ24" s="16">
        <f ca="1">(L24-'Airfoil 1'!$Z$23)/ABS(L24-'Airfoil 1'!$Z$23)</f>
        <v>1</v>
      </c>
      <c r="AK24" s="16">
        <f ca="1">(L24-'Airfoil 1'!$Z$24)/ABS(L24-'Airfoil 1'!$Z$24)</f>
        <v>1</v>
      </c>
      <c r="AL24" s="16">
        <f ca="1">(L24-'Airfoil 1'!$Z$25)/ABS(L24-'Airfoil 1'!$Z$25)</f>
        <v>1</v>
      </c>
      <c r="AM24" s="16">
        <f ca="1">(L24-'Airfoil 1'!$Z$26)/ABS(L24-'Airfoil 1'!$Z$26)</f>
        <v>1</v>
      </c>
      <c r="AN24" s="16">
        <f ca="1">(L24-'Airfoil 1'!$Z$27)/ABS(L24-'Airfoil 1'!$Z$27)</f>
        <v>1</v>
      </c>
      <c r="AO24" s="16">
        <f ca="1">(L24-'Airfoil 1'!$Z$28)/ABS(L24-'Airfoil 1'!$Z$28)</f>
        <v>1</v>
      </c>
      <c r="AP24" s="16">
        <f ca="1">(L24-'Airfoil 1'!$Z$29)/ABS(L24-'Airfoil 1'!$Z$29)</f>
        <v>-1</v>
      </c>
      <c r="AQ24" s="16">
        <f ca="1">(L24-'Airfoil 1'!$Z$30)/ABS(L24-'Airfoil 1'!$Z$30)</f>
        <v>-1</v>
      </c>
      <c r="AR24" s="16">
        <f ca="1">(L24-'Airfoil 1'!$Z$31)/ABS(L24-'Airfoil 1'!$Z$31)</f>
        <v>-1</v>
      </c>
      <c r="AS24" s="16">
        <f ca="1">(L24-'Airfoil 1'!$Z$32)/ABS(L24-'Airfoil 1'!$Z$32)</f>
        <v>-1</v>
      </c>
      <c r="AT24" s="16">
        <f ca="1">(L24-'Airfoil 1'!$Z$33)/ABS(L24-'Airfoil 1'!$Z$33)</f>
        <v>-1</v>
      </c>
      <c r="AU24" s="16">
        <f ca="1">(L24-'Airfoil 1'!$Z$34)/ABS(L24-'Airfoil 1'!$Z$34)</f>
        <v>-1</v>
      </c>
      <c r="AV24" s="16">
        <f ca="1">(L24-'Airfoil 1'!$Z$35)/ABS(L24-'Airfoil 1'!$Z$35)</f>
        <v>-1</v>
      </c>
      <c r="AW24" s="16">
        <f ca="1">(L24-'Airfoil 1'!$Z$36)/ABS(L24-'Airfoil 1'!$Z$36)</f>
        <v>-1</v>
      </c>
      <c r="AX24" s="16">
        <f ca="1">(L24-'Airfoil 1'!$Z$37)/ABS(L24-'Airfoil 1'!$Z$37)</f>
        <v>-1</v>
      </c>
      <c r="AY24" s="16">
        <f ca="1">(L24-'Airfoil 1'!$Z$38)/ABS(L24-'Airfoil 1'!$Z$38)</f>
        <v>-1</v>
      </c>
      <c r="AZ24" s="16">
        <f ca="1">(L24-'Airfoil 1'!$Z$39)/ABS(L24-'Airfoil 1'!$Z$39)</f>
        <v>-1</v>
      </c>
      <c r="BA24" s="16">
        <f ca="1">(L24-'Airfoil 1'!$Z$40)/ABS(L24-'Airfoil 1'!$Z$40)</f>
        <v>-1</v>
      </c>
      <c r="BB24" s="16">
        <f ca="1">(L24-'Airfoil 1'!$Z$41)/ABS(L24-'Airfoil 1'!$Z$41)</f>
        <v>-1</v>
      </c>
      <c r="BC24" s="5">
        <f t="shared" ca="1" si="8"/>
        <v>7</v>
      </c>
      <c r="BD24" s="42">
        <f ca="1">INDEX('Airfoil 1'!$AA$22:$AA$41,BC24,1)+INDEX('Airfoil 1'!$AB$22:$AB$41,BC24,1)*(L24-INDEX('Airfoil 1'!$Z$22:$Z$41,BC24,1))</f>
        <v>2.4489313868613138E-2</v>
      </c>
      <c r="BE24" s="6"/>
      <c r="BF24" s="16">
        <f ca="1">(L24-'Airfoil 1'!$Z$47)/ABS(L24-'Airfoil 1'!$Z$47)</f>
        <v>1</v>
      </c>
      <c r="BG24" s="16">
        <f ca="1">(L24-'Airfoil 1'!$Z$48)/ABS(L24-'Airfoil 1'!$Z$48)</f>
        <v>1</v>
      </c>
      <c r="BH24" s="16">
        <f ca="1">(L24-'Airfoil 1'!$Z$49)/ABS(L24-'Airfoil 1'!$Z$49)</f>
        <v>1</v>
      </c>
      <c r="BI24" s="16">
        <f ca="1">(L24-'Airfoil 1'!$Z$50)/ABS(L24-'Airfoil 1'!$Z$50)</f>
        <v>1</v>
      </c>
      <c r="BJ24" s="16">
        <f ca="1">(L24-'Airfoil 1'!$Z$51)/ABS(L24-'Airfoil 1'!$Z$51)</f>
        <v>1</v>
      </c>
      <c r="BK24" s="16">
        <f ca="1">(L24-'Airfoil 1'!$Z$52)/ABS(L24-'Airfoil 1'!$Z$52)</f>
        <v>1</v>
      </c>
      <c r="BL24" s="16">
        <f ca="1">(L24-'Airfoil 1'!$Z$53)/ABS(L24-'Airfoil 1'!$Z$53)</f>
        <v>-1</v>
      </c>
      <c r="BM24" s="16">
        <f ca="1">(L24-'Airfoil 1'!$Z$54)/ABS(L24-'Airfoil 1'!$Z$54)</f>
        <v>-1</v>
      </c>
      <c r="BN24" s="16">
        <f ca="1">(L24-'Airfoil 1'!$Z$55)/ABS(L24-'Airfoil 1'!$Z$55)</f>
        <v>-1</v>
      </c>
      <c r="BO24" s="16">
        <f ca="1">(L24-'Airfoil 1'!$Z$56)/ABS(L24-'Airfoil 1'!$Z$56)</f>
        <v>-1</v>
      </c>
      <c r="BP24" s="16">
        <f ca="1">(L24-'Airfoil 1'!$Z$57)/ABS(L24-'Airfoil 1'!$Z$57)</f>
        <v>-1</v>
      </c>
      <c r="BQ24" s="16">
        <f ca="1">(L24-'Airfoil 1'!$Z$58)/ABS(L24-'Airfoil 1'!$Z$58)</f>
        <v>-1</v>
      </c>
      <c r="BR24" s="16">
        <f ca="1">(L24-'Airfoil 1'!$Z$59)/ABS(L24-'Airfoil 1'!$Z$59)</f>
        <v>-1</v>
      </c>
      <c r="BS24" s="16">
        <f ca="1">(L24-'Airfoil 1'!$Z$60)/ABS(L24-'Airfoil 1'!$Z$60)</f>
        <v>-1</v>
      </c>
      <c r="BT24" s="16">
        <f ca="1">(L24-'Airfoil 1'!$Z$61)/ABS(L24-'Airfoil 1'!$Z$61)</f>
        <v>-1</v>
      </c>
      <c r="BU24" s="16">
        <f ca="1">(L24-'Airfoil 1'!$Z$62)/ABS(L24-'Airfoil 1'!$Z$62)</f>
        <v>-1</v>
      </c>
      <c r="BV24" s="16">
        <f ca="1">(L24-'Airfoil 1'!$Z$63)/ABS(L24-'Airfoil 1'!$Z$63)</f>
        <v>-1</v>
      </c>
      <c r="BW24" s="16">
        <f ca="1">(L24-'Airfoil 1'!$Z$64)/ABS(L24-'Airfoil 1'!$Z$64)</f>
        <v>-1</v>
      </c>
      <c r="BX24" s="16">
        <f ca="1">(L24-'Airfoil 1'!$Z$65)/ABS(L24-'Airfoil 1'!$Z$65)</f>
        <v>-1</v>
      </c>
      <c r="BY24" s="16">
        <f ca="1">(L24-'Airfoil 1'!$Z$66)/ABS(L24-'Airfoil 1'!$Z$66)</f>
        <v>-1</v>
      </c>
      <c r="BZ24" s="5">
        <f t="shared" ca="1" si="9"/>
        <v>6</v>
      </c>
      <c r="CA24" s="42">
        <f ca="1">INDEX('Airfoil 1'!$AA$47:$AA$66,BZ24,1)+INDEX('Airfoil 1'!$AB$47:$AB$66,BZ24,1)*(L24-INDEX('Airfoil 1'!$Z$47:$Z$66,BZ24,1))</f>
        <v>1.7370857855361597E-2</v>
      </c>
      <c r="CC24" s="16">
        <f ca="1">(L24-'Airfoil 1'!$Z$72)/ABS(L24-'Airfoil 1'!$Z$72)</f>
        <v>1</v>
      </c>
      <c r="CD24" s="16">
        <f ca="1">(L24-'Airfoil 1'!$Z$73)/ABS(L24-'Airfoil 1'!$Z$73)</f>
        <v>1</v>
      </c>
      <c r="CE24" s="16">
        <f ca="1">(L24-'Airfoil 1'!$Z$74)/ABS(L24-'Airfoil 1'!$Z$74)</f>
        <v>1</v>
      </c>
      <c r="CF24" s="16">
        <f ca="1">(L24-'Airfoil 1'!$Z$75)/ABS(L24-'Airfoil 1'!$Z$75)</f>
        <v>1</v>
      </c>
      <c r="CG24" s="16">
        <f ca="1">(L24-'Airfoil 1'!$Z$76)/ABS(L24-'Airfoil 1'!$Z$76)</f>
        <v>-1</v>
      </c>
      <c r="CH24" s="16">
        <f ca="1">(L24-'Airfoil 1'!$Z$77)/ABS(L24-'Airfoil 1'!$Z$77)</f>
        <v>-1</v>
      </c>
      <c r="CI24" s="16">
        <f ca="1">(L24-'Airfoil 1'!$Z$78)/ABS(L24-'Airfoil 1'!$Z$78)</f>
        <v>-1</v>
      </c>
      <c r="CJ24" s="16">
        <f ca="1">(L24-'Airfoil 1'!$Z$79)/ABS(L24-'Airfoil 1'!$Z$79)</f>
        <v>-1</v>
      </c>
      <c r="CK24" s="16">
        <f ca="1">(L24-'Airfoil 1'!$Z$80)/ABS(L24-'Airfoil 1'!$Z$80)</f>
        <v>-1</v>
      </c>
      <c r="CL24" s="16">
        <f ca="1">(L24-'Airfoil 1'!$Z$81)/ABS(L24-'Airfoil 1'!$Z$81)</f>
        <v>-1</v>
      </c>
      <c r="CM24" s="16">
        <f ca="1">(L24-'Airfoil 1'!$Z$82)/ABS(L24-'Airfoil 1'!$Z$82)</f>
        <v>-1</v>
      </c>
      <c r="CN24" s="16">
        <f ca="1">(L24-'Airfoil 1'!$Z$83)/ABS(L24-'Airfoil 1'!$Z$83)</f>
        <v>-1</v>
      </c>
      <c r="CO24" s="16">
        <f ca="1">(L24-'Airfoil 1'!$Z$84)/ABS(L24-'Airfoil 1'!$Z$84)</f>
        <v>-1</v>
      </c>
      <c r="CP24" s="16">
        <f ca="1">(L24-'Airfoil 1'!$Z$85)/ABS(L24-'Airfoil 1'!$Z$85)</f>
        <v>-1</v>
      </c>
      <c r="CQ24" s="16">
        <f ca="1">(L24-'Airfoil 1'!$Z$86)/ABS(L24-'Airfoil 1'!$Z$86)</f>
        <v>-1</v>
      </c>
      <c r="CR24" s="16">
        <f ca="1">(L24-'Airfoil 1'!$Z$87)/ABS(L24-'Airfoil 1'!$Z$87)</f>
        <v>-1</v>
      </c>
      <c r="CS24" s="16">
        <f ca="1">(L24-'Airfoil 1'!$Z$88)/ABS(L24-'Airfoil 1'!$Z$88)</f>
        <v>-1</v>
      </c>
      <c r="CT24" s="16">
        <f ca="1">(L24-'Airfoil 1'!$Z$89)/ABS(L24-'Airfoil 1'!$Z$89)</f>
        <v>-1</v>
      </c>
      <c r="CU24" s="16">
        <f ca="1">(L24-'Airfoil 1'!$Z$90)/ABS(L24-'Airfoil 1'!$Z$90)</f>
        <v>-1</v>
      </c>
      <c r="CV24" s="16">
        <f ca="1">(L24-'Airfoil 1'!$Z$91)/ABS(L24-'Airfoil 1'!$Z$91)</f>
        <v>-1</v>
      </c>
      <c r="CW24" s="5">
        <f t="shared" ca="1" si="10"/>
        <v>4</v>
      </c>
      <c r="CX24" s="42">
        <f ca="1">INDEX('Airfoil 1'!$AA$72:$AA$91,CW24,1)+INDEX('Airfoil 1'!$AB$72:$AB$91,CW24,1)*(L24-INDEX('Airfoil 1'!$Z$72:$Z$91,CW24,1))</f>
        <v>1.1110331491712706E-2</v>
      </c>
    </row>
    <row r="25" spans="2:102">
      <c r="B25" s="31">
        <f>Main!B25</f>
        <v>0.33333333333333326</v>
      </c>
      <c r="D25" s="1">
        <f>'RC'!F25</f>
        <v>0.65969672852566186</v>
      </c>
      <c r="E25" s="4">
        <f>ISA!$R$10</f>
        <v>1.5987591530356481E-5</v>
      </c>
      <c r="G25" s="13">
        <f ca="1">'RC'!X25</f>
        <v>27.03883277583968</v>
      </c>
      <c r="H25" s="5">
        <f t="shared" ca="1" si="0"/>
        <v>371901.53566918877</v>
      </c>
      <c r="I25" s="16">
        <f ca="1">'Airfoil 2'!$K$14*H25^'Airfoil 2'!$L$13</f>
        <v>1.584227075332056</v>
      </c>
      <c r="J25" s="1">
        <f ca="1">'Airfoil 2'!$K$33*H25^'Airfoil 2'!$L$32</f>
        <v>4.9317785666780338</v>
      </c>
      <c r="K25" s="13">
        <f ca="1">'Airfoil 2'!$K$52*H25^'Airfoil 2'!$L$51</f>
        <v>-9.546815391372439</v>
      </c>
      <c r="L25" s="16">
        <f ca="1">'Aerodynamics-RCmax'!W25</f>
        <v>0.9</v>
      </c>
      <c r="M25" s="10">
        <f ca="1">('Airfoil 1'!$B$21+'Airfoil 1'!$B$22*L25+'Airfoil 1'!$B$23*L25^2+'Airfoil 1'!$B$24*L25^3+'Airfoil 1'!$B$25*L25^4+'Airfoil 1'!$B$26*L25^5+'Airfoil 1'!$B$27*L25^6)*0+BD25</f>
        <v>2.4489313868613138E-2</v>
      </c>
      <c r="N25" s="42">
        <f ca="1">('Airfoil 1'!$B$29+'Airfoil 1'!$B$30*L25+'Airfoil 1'!$B$31*L25^2+'Airfoil 1'!$B$32*L25^3+'Airfoil 1'!$B$33*L25^4+'Airfoil 1'!$B$34*L25^5+'Airfoil 1'!$B$35*L25^6)*0+CA25</f>
        <v>1.7370857855361597E-2</v>
      </c>
      <c r="O25" s="42">
        <f ca="1">('Airfoil 1'!$B$37+'Airfoil 1'!$B$38*L25+'Airfoil 1'!$B$39*L25^2+'Airfoil 1'!$B$40*L25^3+'Airfoil 1'!$B$41*L25^4+'Airfoil 1'!$B$42*L25^5+'Airfoil 1'!$B$43*L25^6)*0+CX25</f>
        <v>1.1110331491712706E-2</v>
      </c>
      <c r="P25" s="16">
        <f>LOG('Airfoil 1'!$F$10)+LOG('Airfoil 1'!$G$10)+LOG('Airfoil 1'!$H$10)</f>
        <v>15.176091259055681</v>
      </c>
      <c r="Q25" s="16">
        <f t="shared" ca="1" si="1"/>
        <v>-5.3254750991929125</v>
      </c>
      <c r="R25" s="16">
        <f>LOG('Airfoil 1'!$F$10)^2+LOG('Airfoil 1'!$G$10)^2+LOG('Airfoil 1'!$H$10)^2</f>
        <v>76.867141336751558</v>
      </c>
      <c r="S25" s="16">
        <f ca="1">LOG('Airfoil 1'!$F$10)*LOG(M25)+LOG('Airfoil 1'!$G$10)*LOG(N25)+LOG('Airfoil 1'!$H$10)*LOG(O25)</f>
        <v>-27.014391057528009</v>
      </c>
      <c r="T25" s="16">
        <f t="shared" ca="1" si="2"/>
        <v>141.60346469083578</v>
      </c>
      <c r="U25" s="16">
        <f t="shared" ca="1" si="3"/>
        <v>-0.77613507568957385</v>
      </c>
      <c r="V25" s="42">
        <f ca="1">IF(Energy!$F$11=1,Energy!$T$13,1)*T25*H25^U25</f>
        <v>7.4139208002436978E-3</v>
      </c>
      <c r="W25" s="10">
        <f ca="1">'Airfoil 1'!$B$48+'Airfoil 1'!$B$49*L25+'Airfoil 1'!$B$50*L25^2+'Airfoil 1'!$B$51*L25^3+'Airfoil 1'!$B$52*L25^4+'Airfoil 1'!$B$53*L25^5+'Airfoil 1'!$B$54*L25^6</f>
        <v>-0.155</v>
      </c>
      <c r="X25" s="42">
        <f ca="1">'Airfoil 1'!$B$56+'Airfoil 1'!$B$57*L25+'Airfoil 1'!$B$58*L25^2+'Airfoil 1'!$B$59*L25^3+'Airfoil 1'!$B$60*L25^4+'Airfoil 1'!$B$61*L25^5+'Airfoil 1'!$B$62*L25^6</f>
        <v>-0.155</v>
      </c>
      <c r="Y25" s="42">
        <f ca="1">'Airfoil 1'!$B$64+'Airfoil 1'!$B$65*L25+'Airfoil 1'!$B$66*L25^2+'Airfoil 1'!$B$67*L25^3+'Airfoil 1'!$B$681*L25^4+'Airfoil 1'!$B$69*L25^5+'Airfoil 1'!$B$70*L25^6</f>
        <v>-0.155</v>
      </c>
      <c r="Z25" s="16">
        <f>LOG('Airfoil 1'!$F$10)+LOG('Airfoil 1'!$G$10)+LOG('Airfoil 1'!$H$10)</f>
        <v>15.176091259055681</v>
      </c>
      <c r="AA25" s="16">
        <f t="shared" ca="1" si="4"/>
        <v>-2.4290049054891254</v>
      </c>
      <c r="AB25" s="16">
        <f>LOG('Airfoil 1'!$F$10)^2+LOG('Airfoil 1'!$G$10)^2+LOG('Airfoil 1'!$H$10)^2</f>
        <v>76.867141336751558</v>
      </c>
      <c r="AC25" s="16">
        <f ca="1">LOG('Airfoil 1'!$F$10)*LOG(ABS(W25))+LOG('Airfoil 1'!$G$10)*LOG(ABS(X25))+LOG('Airfoil 1'!$H$10)*LOG(ABS(Y25))</f>
        <v>-12.287600038132297</v>
      </c>
      <c r="AD25" s="16">
        <f t="shared" ca="1" si="5"/>
        <v>0.1550000000000121</v>
      </c>
      <c r="AE25" s="16">
        <f t="shared" ca="1" si="6"/>
        <v>-6.6718325633022456E-15</v>
      </c>
      <c r="AF25" s="42">
        <f t="shared" ca="1" si="7"/>
        <v>-0.15499999999999886</v>
      </c>
      <c r="AG25" s="16"/>
      <c r="AH25" s="42"/>
      <c r="AI25" s="16">
        <f ca="1">(L25-'Airfoil 1'!$Z$22)/ABS(L25-'Airfoil 1'!$Z$22)</f>
        <v>1</v>
      </c>
      <c r="AJ25" s="16">
        <f ca="1">(L25-'Airfoil 1'!$Z$23)/ABS(L25-'Airfoil 1'!$Z$23)</f>
        <v>1</v>
      </c>
      <c r="AK25" s="16">
        <f ca="1">(L25-'Airfoil 1'!$Z$24)/ABS(L25-'Airfoil 1'!$Z$24)</f>
        <v>1</v>
      </c>
      <c r="AL25" s="16">
        <f ca="1">(L25-'Airfoil 1'!$Z$25)/ABS(L25-'Airfoil 1'!$Z$25)</f>
        <v>1</v>
      </c>
      <c r="AM25" s="16">
        <f ca="1">(L25-'Airfoil 1'!$Z$26)/ABS(L25-'Airfoil 1'!$Z$26)</f>
        <v>1</v>
      </c>
      <c r="AN25" s="16">
        <f ca="1">(L25-'Airfoil 1'!$Z$27)/ABS(L25-'Airfoil 1'!$Z$27)</f>
        <v>1</v>
      </c>
      <c r="AO25" s="16">
        <f ca="1">(L25-'Airfoil 1'!$Z$28)/ABS(L25-'Airfoil 1'!$Z$28)</f>
        <v>1</v>
      </c>
      <c r="AP25" s="16">
        <f ca="1">(L25-'Airfoil 1'!$Z$29)/ABS(L25-'Airfoil 1'!$Z$29)</f>
        <v>-1</v>
      </c>
      <c r="AQ25" s="16">
        <f ca="1">(L25-'Airfoil 1'!$Z$30)/ABS(L25-'Airfoil 1'!$Z$30)</f>
        <v>-1</v>
      </c>
      <c r="AR25" s="16">
        <f ca="1">(L25-'Airfoil 1'!$Z$31)/ABS(L25-'Airfoil 1'!$Z$31)</f>
        <v>-1</v>
      </c>
      <c r="AS25" s="16">
        <f ca="1">(L25-'Airfoil 1'!$Z$32)/ABS(L25-'Airfoil 1'!$Z$32)</f>
        <v>-1</v>
      </c>
      <c r="AT25" s="16">
        <f ca="1">(L25-'Airfoil 1'!$Z$33)/ABS(L25-'Airfoil 1'!$Z$33)</f>
        <v>-1</v>
      </c>
      <c r="AU25" s="16">
        <f ca="1">(L25-'Airfoil 1'!$Z$34)/ABS(L25-'Airfoil 1'!$Z$34)</f>
        <v>-1</v>
      </c>
      <c r="AV25" s="16">
        <f ca="1">(L25-'Airfoil 1'!$Z$35)/ABS(L25-'Airfoil 1'!$Z$35)</f>
        <v>-1</v>
      </c>
      <c r="AW25" s="16">
        <f ca="1">(L25-'Airfoil 1'!$Z$36)/ABS(L25-'Airfoil 1'!$Z$36)</f>
        <v>-1</v>
      </c>
      <c r="AX25" s="16">
        <f ca="1">(L25-'Airfoil 1'!$Z$37)/ABS(L25-'Airfoil 1'!$Z$37)</f>
        <v>-1</v>
      </c>
      <c r="AY25" s="16">
        <f ca="1">(L25-'Airfoil 1'!$Z$38)/ABS(L25-'Airfoil 1'!$Z$38)</f>
        <v>-1</v>
      </c>
      <c r="AZ25" s="16">
        <f ca="1">(L25-'Airfoil 1'!$Z$39)/ABS(L25-'Airfoil 1'!$Z$39)</f>
        <v>-1</v>
      </c>
      <c r="BA25" s="16">
        <f ca="1">(L25-'Airfoil 1'!$Z$40)/ABS(L25-'Airfoil 1'!$Z$40)</f>
        <v>-1</v>
      </c>
      <c r="BB25" s="16">
        <f ca="1">(L25-'Airfoil 1'!$Z$41)/ABS(L25-'Airfoil 1'!$Z$41)</f>
        <v>-1</v>
      </c>
      <c r="BC25" s="5">
        <f t="shared" ca="1" si="8"/>
        <v>7</v>
      </c>
      <c r="BD25" s="42">
        <f ca="1">INDEX('Airfoil 1'!$AA$22:$AA$41,BC25,1)+INDEX('Airfoil 1'!$AB$22:$AB$41,BC25,1)*(L25-INDEX('Airfoil 1'!$Z$22:$Z$41,BC25,1))</f>
        <v>2.4489313868613138E-2</v>
      </c>
      <c r="BE25" s="6"/>
      <c r="BF25" s="16">
        <f ca="1">(L25-'Airfoil 1'!$Z$47)/ABS(L25-'Airfoil 1'!$Z$47)</f>
        <v>1</v>
      </c>
      <c r="BG25" s="16">
        <f ca="1">(L25-'Airfoil 1'!$Z$48)/ABS(L25-'Airfoil 1'!$Z$48)</f>
        <v>1</v>
      </c>
      <c r="BH25" s="16">
        <f ca="1">(L25-'Airfoil 1'!$Z$49)/ABS(L25-'Airfoil 1'!$Z$49)</f>
        <v>1</v>
      </c>
      <c r="BI25" s="16">
        <f ca="1">(L25-'Airfoil 1'!$Z$50)/ABS(L25-'Airfoil 1'!$Z$50)</f>
        <v>1</v>
      </c>
      <c r="BJ25" s="16">
        <f ca="1">(L25-'Airfoil 1'!$Z$51)/ABS(L25-'Airfoil 1'!$Z$51)</f>
        <v>1</v>
      </c>
      <c r="BK25" s="16">
        <f ca="1">(L25-'Airfoil 1'!$Z$52)/ABS(L25-'Airfoil 1'!$Z$52)</f>
        <v>1</v>
      </c>
      <c r="BL25" s="16">
        <f ca="1">(L25-'Airfoil 1'!$Z$53)/ABS(L25-'Airfoil 1'!$Z$53)</f>
        <v>-1</v>
      </c>
      <c r="BM25" s="16">
        <f ca="1">(L25-'Airfoil 1'!$Z$54)/ABS(L25-'Airfoil 1'!$Z$54)</f>
        <v>-1</v>
      </c>
      <c r="BN25" s="16">
        <f ca="1">(L25-'Airfoil 1'!$Z$55)/ABS(L25-'Airfoil 1'!$Z$55)</f>
        <v>-1</v>
      </c>
      <c r="BO25" s="16">
        <f ca="1">(L25-'Airfoil 1'!$Z$56)/ABS(L25-'Airfoil 1'!$Z$56)</f>
        <v>-1</v>
      </c>
      <c r="BP25" s="16">
        <f ca="1">(L25-'Airfoil 1'!$Z$57)/ABS(L25-'Airfoil 1'!$Z$57)</f>
        <v>-1</v>
      </c>
      <c r="BQ25" s="16">
        <f ca="1">(L25-'Airfoil 1'!$Z$58)/ABS(L25-'Airfoil 1'!$Z$58)</f>
        <v>-1</v>
      </c>
      <c r="BR25" s="16">
        <f ca="1">(L25-'Airfoil 1'!$Z$59)/ABS(L25-'Airfoil 1'!$Z$59)</f>
        <v>-1</v>
      </c>
      <c r="BS25" s="16">
        <f ca="1">(L25-'Airfoil 1'!$Z$60)/ABS(L25-'Airfoil 1'!$Z$60)</f>
        <v>-1</v>
      </c>
      <c r="BT25" s="16">
        <f ca="1">(L25-'Airfoil 1'!$Z$61)/ABS(L25-'Airfoil 1'!$Z$61)</f>
        <v>-1</v>
      </c>
      <c r="BU25" s="16">
        <f ca="1">(L25-'Airfoil 1'!$Z$62)/ABS(L25-'Airfoil 1'!$Z$62)</f>
        <v>-1</v>
      </c>
      <c r="BV25" s="16">
        <f ca="1">(L25-'Airfoil 1'!$Z$63)/ABS(L25-'Airfoil 1'!$Z$63)</f>
        <v>-1</v>
      </c>
      <c r="BW25" s="16">
        <f ca="1">(L25-'Airfoil 1'!$Z$64)/ABS(L25-'Airfoil 1'!$Z$64)</f>
        <v>-1</v>
      </c>
      <c r="BX25" s="16">
        <f ca="1">(L25-'Airfoil 1'!$Z$65)/ABS(L25-'Airfoil 1'!$Z$65)</f>
        <v>-1</v>
      </c>
      <c r="BY25" s="16">
        <f ca="1">(L25-'Airfoil 1'!$Z$66)/ABS(L25-'Airfoil 1'!$Z$66)</f>
        <v>-1</v>
      </c>
      <c r="BZ25" s="5">
        <f t="shared" ca="1" si="9"/>
        <v>6</v>
      </c>
      <c r="CA25" s="42">
        <f ca="1">INDEX('Airfoil 1'!$AA$47:$AA$66,BZ25,1)+INDEX('Airfoil 1'!$AB$47:$AB$66,BZ25,1)*(L25-INDEX('Airfoil 1'!$Z$47:$Z$66,BZ25,1))</f>
        <v>1.7370857855361597E-2</v>
      </c>
      <c r="CC25" s="16">
        <f ca="1">(L25-'Airfoil 1'!$Z$72)/ABS(L25-'Airfoil 1'!$Z$72)</f>
        <v>1</v>
      </c>
      <c r="CD25" s="16">
        <f ca="1">(L25-'Airfoil 1'!$Z$73)/ABS(L25-'Airfoil 1'!$Z$73)</f>
        <v>1</v>
      </c>
      <c r="CE25" s="16">
        <f ca="1">(L25-'Airfoil 1'!$Z$74)/ABS(L25-'Airfoil 1'!$Z$74)</f>
        <v>1</v>
      </c>
      <c r="CF25" s="16">
        <f ca="1">(L25-'Airfoil 1'!$Z$75)/ABS(L25-'Airfoil 1'!$Z$75)</f>
        <v>1</v>
      </c>
      <c r="CG25" s="16">
        <f ca="1">(L25-'Airfoil 1'!$Z$76)/ABS(L25-'Airfoil 1'!$Z$76)</f>
        <v>-1</v>
      </c>
      <c r="CH25" s="16">
        <f ca="1">(L25-'Airfoil 1'!$Z$77)/ABS(L25-'Airfoil 1'!$Z$77)</f>
        <v>-1</v>
      </c>
      <c r="CI25" s="16">
        <f ca="1">(L25-'Airfoil 1'!$Z$78)/ABS(L25-'Airfoil 1'!$Z$78)</f>
        <v>-1</v>
      </c>
      <c r="CJ25" s="16">
        <f ca="1">(L25-'Airfoil 1'!$Z$79)/ABS(L25-'Airfoil 1'!$Z$79)</f>
        <v>-1</v>
      </c>
      <c r="CK25" s="16">
        <f ca="1">(L25-'Airfoil 1'!$Z$80)/ABS(L25-'Airfoil 1'!$Z$80)</f>
        <v>-1</v>
      </c>
      <c r="CL25" s="16">
        <f ca="1">(L25-'Airfoil 1'!$Z$81)/ABS(L25-'Airfoil 1'!$Z$81)</f>
        <v>-1</v>
      </c>
      <c r="CM25" s="16">
        <f ca="1">(L25-'Airfoil 1'!$Z$82)/ABS(L25-'Airfoil 1'!$Z$82)</f>
        <v>-1</v>
      </c>
      <c r="CN25" s="16">
        <f ca="1">(L25-'Airfoil 1'!$Z$83)/ABS(L25-'Airfoil 1'!$Z$83)</f>
        <v>-1</v>
      </c>
      <c r="CO25" s="16">
        <f ca="1">(L25-'Airfoil 1'!$Z$84)/ABS(L25-'Airfoil 1'!$Z$84)</f>
        <v>-1</v>
      </c>
      <c r="CP25" s="16">
        <f ca="1">(L25-'Airfoil 1'!$Z$85)/ABS(L25-'Airfoil 1'!$Z$85)</f>
        <v>-1</v>
      </c>
      <c r="CQ25" s="16">
        <f ca="1">(L25-'Airfoil 1'!$Z$86)/ABS(L25-'Airfoil 1'!$Z$86)</f>
        <v>-1</v>
      </c>
      <c r="CR25" s="16">
        <f ca="1">(L25-'Airfoil 1'!$Z$87)/ABS(L25-'Airfoil 1'!$Z$87)</f>
        <v>-1</v>
      </c>
      <c r="CS25" s="16">
        <f ca="1">(L25-'Airfoil 1'!$Z$88)/ABS(L25-'Airfoil 1'!$Z$88)</f>
        <v>-1</v>
      </c>
      <c r="CT25" s="16">
        <f ca="1">(L25-'Airfoil 1'!$Z$89)/ABS(L25-'Airfoil 1'!$Z$89)</f>
        <v>-1</v>
      </c>
      <c r="CU25" s="16">
        <f ca="1">(L25-'Airfoil 1'!$Z$90)/ABS(L25-'Airfoil 1'!$Z$90)</f>
        <v>-1</v>
      </c>
      <c r="CV25" s="16">
        <f ca="1">(L25-'Airfoil 1'!$Z$91)/ABS(L25-'Airfoil 1'!$Z$91)</f>
        <v>-1</v>
      </c>
      <c r="CW25" s="5">
        <f t="shared" ca="1" si="10"/>
        <v>4</v>
      </c>
      <c r="CX25" s="42">
        <f ca="1">INDEX('Airfoil 1'!$AA$72:$AA$91,CW25,1)+INDEX('Airfoil 1'!$AB$72:$AB$91,CW25,1)*(L25-INDEX('Airfoil 1'!$Z$72:$Z$91,CW25,1))</f>
        <v>1.1110331491712706E-2</v>
      </c>
    </row>
    <row r="26" spans="2:102">
      <c r="B26" s="31">
        <f>Main!B26</f>
        <v>0.33333333333333326</v>
      </c>
      <c r="D26" s="1">
        <f>'RC'!F26</f>
        <v>0.65969672852566186</v>
      </c>
      <c r="E26" s="4">
        <f>ISA!$R$10</f>
        <v>1.5987591530356481E-5</v>
      </c>
      <c r="G26" s="13">
        <f ca="1">'RC'!X26</f>
        <v>26.646781908866753</v>
      </c>
      <c r="H26" s="5">
        <f t="shared" ca="1" si="0"/>
        <v>366509.13131888147</v>
      </c>
      <c r="I26" s="16">
        <f ca="1">'Airfoil 2'!$K$14*H26^'Airfoil 2'!$L$13</f>
        <v>1.5839054481051229</v>
      </c>
      <c r="J26" s="1">
        <f ca="1">'Airfoil 2'!$K$33*H26^'Airfoil 2'!$L$32</f>
        <v>4.9560657919854458</v>
      </c>
      <c r="K26" s="13">
        <f ca="1">'Airfoil 2'!$K$52*H26^'Airfoil 2'!$L$51</f>
        <v>-9.4540201936085211</v>
      </c>
      <c r="L26" s="16">
        <f ca="1">'Aerodynamics-RCmax'!W26</f>
        <v>0.9</v>
      </c>
      <c r="M26" s="10">
        <f ca="1">('Airfoil 1'!$B$21+'Airfoil 1'!$B$22*L26+'Airfoil 1'!$B$23*L26^2+'Airfoil 1'!$B$24*L26^3+'Airfoil 1'!$B$25*L26^4+'Airfoil 1'!$B$26*L26^5+'Airfoil 1'!$B$27*L26^6)*0+BD26</f>
        <v>2.4489313868613138E-2</v>
      </c>
      <c r="N26" s="42">
        <f ca="1">('Airfoil 1'!$B$29+'Airfoil 1'!$B$30*L26+'Airfoil 1'!$B$31*L26^2+'Airfoil 1'!$B$32*L26^3+'Airfoil 1'!$B$33*L26^4+'Airfoil 1'!$B$34*L26^5+'Airfoil 1'!$B$35*L26^6)*0+CA26</f>
        <v>1.7370857855361597E-2</v>
      </c>
      <c r="O26" s="42">
        <f ca="1">('Airfoil 1'!$B$37+'Airfoil 1'!$B$38*L26+'Airfoil 1'!$B$39*L26^2+'Airfoil 1'!$B$40*L26^3+'Airfoil 1'!$B$41*L26^4+'Airfoil 1'!$B$42*L26^5+'Airfoil 1'!$B$43*L26^6)*0+CX26</f>
        <v>1.1110331491712706E-2</v>
      </c>
      <c r="P26" s="16">
        <f>LOG('Airfoil 1'!$F$10)+LOG('Airfoil 1'!$G$10)+LOG('Airfoil 1'!$H$10)</f>
        <v>15.176091259055681</v>
      </c>
      <c r="Q26" s="16">
        <f t="shared" ca="1" si="1"/>
        <v>-5.3254750991929125</v>
      </c>
      <c r="R26" s="16">
        <f>LOG('Airfoil 1'!$F$10)^2+LOG('Airfoil 1'!$G$10)^2+LOG('Airfoil 1'!$H$10)^2</f>
        <v>76.867141336751558</v>
      </c>
      <c r="S26" s="16">
        <f ca="1">LOG('Airfoil 1'!$F$10)*LOG(M26)+LOG('Airfoil 1'!$G$10)*LOG(N26)+LOG('Airfoil 1'!$H$10)*LOG(O26)</f>
        <v>-27.014391057528009</v>
      </c>
      <c r="T26" s="16">
        <f t="shared" ca="1" si="2"/>
        <v>141.60346469083578</v>
      </c>
      <c r="U26" s="16">
        <f t="shared" ca="1" si="3"/>
        <v>-0.77613507568957385</v>
      </c>
      <c r="V26" s="42">
        <f ca="1">IF(Energy!$F$11=1,Energy!$T$13,1)*T26*H26^U26</f>
        <v>7.4984431111546233E-3</v>
      </c>
      <c r="W26" s="10">
        <f ca="1">'Airfoil 1'!$B$48+'Airfoil 1'!$B$49*L26+'Airfoil 1'!$B$50*L26^2+'Airfoil 1'!$B$51*L26^3+'Airfoil 1'!$B$52*L26^4+'Airfoil 1'!$B$53*L26^5+'Airfoil 1'!$B$54*L26^6</f>
        <v>-0.155</v>
      </c>
      <c r="X26" s="42">
        <f ca="1">'Airfoil 1'!$B$56+'Airfoil 1'!$B$57*L26+'Airfoil 1'!$B$58*L26^2+'Airfoil 1'!$B$59*L26^3+'Airfoil 1'!$B$60*L26^4+'Airfoil 1'!$B$61*L26^5+'Airfoil 1'!$B$62*L26^6</f>
        <v>-0.155</v>
      </c>
      <c r="Y26" s="42">
        <f ca="1">'Airfoil 1'!$B$64+'Airfoil 1'!$B$65*L26+'Airfoil 1'!$B$66*L26^2+'Airfoil 1'!$B$67*L26^3+'Airfoil 1'!$B$681*L26^4+'Airfoil 1'!$B$69*L26^5+'Airfoil 1'!$B$70*L26^6</f>
        <v>-0.155</v>
      </c>
      <c r="Z26" s="16">
        <f>LOG('Airfoil 1'!$F$10)+LOG('Airfoil 1'!$G$10)+LOG('Airfoil 1'!$H$10)</f>
        <v>15.176091259055681</v>
      </c>
      <c r="AA26" s="16">
        <f t="shared" ca="1" si="4"/>
        <v>-2.4290049054891254</v>
      </c>
      <c r="AB26" s="16">
        <f>LOG('Airfoil 1'!$F$10)^2+LOG('Airfoil 1'!$G$10)^2+LOG('Airfoil 1'!$H$10)^2</f>
        <v>76.867141336751558</v>
      </c>
      <c r="AC26" s="16">
        <f ca="1">LOG('Airfoil 1'!$F$10)*LOG(ABS(W26))+LOG('Airfoil 1'!$G$10)*LOG(ABS(X26))+LOG('Airfoil 1'!$H$10)*LOG(ABS(Y26))</f>
        <v>-12.287600038132297</v>
      </c>
      <c r="AD26" s="16">
        <f t="shared" ca="1" si="5"/>
        <v>0.1550000000000121</v>
      </c>
      <c r="AE26" s="16">
        <f t="shared" ca="1" si="6"/>
        <v>-6.6718325633022456E-15</v>
      </c>
      <c r="AF26" s="42">
        <f t="shared" ca="1" si="7"/>
        <v>-0.15499999999999886</v>
      </c>
      <c r="AG26" s="16"/>
      <c r="AH26" s="42"/>
      <c r="AI26" s="16">
        <f ca="1">(L26-'Airfoil 1'!$Z$22)/ABS(L26-'Airfoil 1'!$Z$22)</f>
        <v>1</v>
      </c>
      <c r="AJ26" s="16">
        <f ca="1">(L26-'Airfoil 1'!$Z$23)/ABS(L26-'Airfoil 1'!$Z$23)</f>
        <v>1</v>
      </c>
      <c r="AK26" s="16">
        <f ca="1">(L26-'Airfoil 1'!$Z$24)/ABS(L26-'Airfoil 1'!$Z$24)</f>
        <v>1</v>
      </c>
      <c r="AL26" s="16">
        <f ca="1">(L26-'Airfoil 1'!$Z$25)/ABS(L26-'Airfoil 1'!$Z$25)</f>
        <v>1</v>
      </c>
      <c r="AM26" s="16">
        <f ca="1">(L26-'Airfoil 1'!$Z$26)/ABS(L26-'Airfoil 1'!$Z$26)</f>
        <v>1</v>
      </c>
      <c r="AN26" s="16">
        <f ca="1">(L26-'Airfoil 1'!$Z$27)/ABS(L26-'Airfoil 1'!$Z$27)</f>
        <v>1</v>
      </c>
      <c r="AO26" s="16">
        <f ca="1">(L26-'Airfoil 1'!$Z$28)/ABS(L26-'Airfoil 1'!$Z$28)</f>
        <v>1</v>
      </c>
      <c r="AP26" s="16">
        <f ca="1">(L26-'Airfoil 1'!$Z$29)/ABS(L26-'Airfoil 1'!$Z$29)</f>
        <v>-1</v>
      </c>
      <c r="AQ26" s="16">
        <f ca="1">(L26-'Airfoil 1'!$Z$30)/ABS(L26-'Airfoil 1'!$Z$30)</f>
        <v>-1</v>
      </c>
      <c r="AR26" s="16">
        <f ca="1">(L26-'Airfoil 1'!$Z$31)/ABS(L26-'Airfoil 1'!$Z$31)</f>
        <v>-1</v>
      </c>
      <c r="AS26" s="16">
        <f ca="1">(L26-'Airfoil 1'!$Z$32)/ABS(L26-'Airfoil 1'!$Z$32)</f>
        <v>-1</v>
      </c>
      <c r="AT26" s="16">
        <f ca="1">(L26-'Airfoil 1'!$Z$33)/ABS(L26-'Airfoil 1'!$Z$33)</f>
        <v>-1</v>
      </c>
      <c r="AU26" s="16">
        <f ca="1">(L26-'Airfoil 1'!$Z$34)/ABS(L26-'Airfoil 1'!$Z$34)</f>
        <v>-1</v>
      </c>
      <c r="AV26" s="16">
        <f ca="1">(L26-'Airfoil 1'!$Z$35)/ABS(L26-'Airfoil 1'!$Z$35)</f>
        <v>-1</v>
      </c>
      <c r="AW26" s="16">
        <f ca="1">(L26-'Airfoil 1'!$Z$36)/ABS(L26-'Airfoil 1'!$Z$36)</f>
        <v>-1</v>
      </c>
      <c r="AX26" s="16">
        <f ca="1">(L26-'Airfoil 1'!$Z$37)/ABS(L26-'Airfoil 1'!$Z$37)</f>
        <v>-1</v>
      </c>
      <c r="AY26" s="16">
        <f ca="1">(L26-'Airfoil 1'!$Z$38)/ABS(L26-'Airfoil 1'!$Z$38)</f>
        <v>-1</v>
      </c>
      <c r="AZ26" s="16">
        <f ca="1">(L26-'Airfoil 1'!$Z$39)/ABS(L26-'Airfoil 1'!$Z$39)</f>
        <v>-1</v>
      </c>
      <c r="BA26" s="16">
        <f ca="1">(L26-'Airfoil 1'!$Z$40)/ABS(L26-'Airfoil 1'!$Z$40)</f>
        <v>-1</v>
      </c>
      <c r="BB26" s="16">
        <f ca="1">(L26-'Airfoil 1'!$Z$41)/ABS(L26-'Airfoil 1'!$Z$41)</f>
        <v>-1</v>
      </c>
      <c r="BC26" s="5">
        <f t="shared" ca="1" si="8"/>
        <v>7</v>
      </c>
      <c r="BD26" s="42">
        <f ca="1">INDEX('Airfoil 1'!$AA$22:$AA$41,BC26,1)+INDEX('Airfoil 1'!$AB$22:$AB$41,BC26,1)*(L26-INDEX('Airfoil 1'!$Z$22:$Z$41,BC26,1))</f>
        <v>2.4489313868613138E-2</v>
      </c>
      <c r="BE26" s="6"/>
      <c r="BF26" s="16">
        <f ca="1">(L26-'Airfoil 1'!$Z$47)/ABS(L26-'Airfoil 1'!$Z$47)</f>
        <v>1</v>
      </c>
      <c r="BG26" s="16">
        <f ca="1">(L26-'Airfoil 1'!$Z$48)/ABS(L26-'Airfoil 1'!$Z$48)</f>
        <v>1</v>
      </c>
      <c r="BH26" s="16">
        <f ca="1">(L26-'Airfoil 1'!$Z$49)/ABS(L26-'Airfoil 1'!$Z$49)</f>
        <v>1</v>
      </c>
      <c r="BI26" s="16">
        <f ca="1">(L26-'Airfoil 1'!$Z$50)/ABS(L26-'Airfoil 1'!$Z$50)</f>
        <v>1</v>
      </c>
      <c r="BJ26" s="16">
        <f ca="1">(L26-'Airfoil 1'!$Z$51)/ABS(L26-'Airfoil 1'!$Z$51)</f>
        <v>1</v>
      </c>
      <c r="BK26" s="16">
        <f ca="1">(L26-'Airfoil 1'!$Z$52)/ABS(L26-'Airfoil 1'!$Z$52)</f>
        <v>1</v>
      </c>
      <c r="BL26" s="16">
        <f ca="1">(L26-'Airfoil 1'!$Z$53)/ABS(L26-'Airfoil 1'!$Z$53)</f>
        <v>-1</v>
      </c>
      <c r="BM26" s="16">
        <f ca="1">(L26-'Airfoil 1'!$Z$54)/ABS(L26-'Airfoil 1'!$Z$54)</f>
        <v>-1</v>
      </c>
      <c r="BN26" s="16">
        <f ca="1">(L26-'Airfoil 1'!$Z$55)/ABS(L26-'Airfoil 1'!$Z$55)</f>
        <v>-1</v>
      </c>
      <c r="BO26" s="16">
        <f ca="1">(L26-'Airfoil 1'!$Z$56)/ABS(L26-'Airfoil 1'!$Z$56)</f>
        <v>-1</v>
      </c>
      <c r="BP26" s="16">
        <f ca="1">(L26-'Airfoil 1'!$Z$57)/ABS(L26-'Airfoil 1'!$Z$57)</f>
        <v>-1</v>
      </c>
      <c r="BQ26" s="16">
        <f ca="1">(L26-'Airfoil 1'!$Z$58)/ABS(L26-'Airfoil 1'!$Z$58)</f>
        <v>-1</v>
      </c>
      <c r="BR26" s="16">
        <f ca="1">(L26-'Airfoil 1'!$Z$59)/ABS(L26-'Airfoil 1'!$Z$59)</f>
        <v>-1</v>
      </c>
      <c r="BS26" s="16">
        <f ca="1">(L26-'Airfoil 1'!$Z$60)/ABS(L26-'Airfoil 1'!$Z$60)</f>
        <v>-1</v>
      </c>
      <c r="BT26" s="16">
        <f ca="1">(L26-'Airfoil 1'!$Z$61)/ABS(L26-'Airfoil 1'!$Z$61)</f>
        <v>-1</v>
      </c>
      <c r="BU26" s="16">
        <f ca="1">(L26-'Airfoil 1'!$Z$62)/ABS(L26-'Airfoil 1'!$Z$62)</f>
        <v>-1</v>
      </c>
      <c r="BV26" s="16">
        <f ca="1">(L26-'Airfoil 1'!$Z$63)/ABS(L26-'Airfoil 1'!$Z$63)</f>
        <v>-1</v>
      </c>
      <c r="BW26" s="16">
        <f ca="1">(L26-'Airfoil 1'!$Z$64)/ABS(L26-'Airfoil 1'!$Z$64)</f>
        <v>-1</v>
      </c>
      <c r="BX26" s="16">
        <f ca="1">(L26-'Airfoil 1'!$Z$65)/ABS(L26-'Airfoil 1'!$Z$65)</f>
        <v>-1</v>
      </c>
      <c r="BY26" s="16">
        <f ca="1">(L26-'Airfoil 1'!$Z$66)/ABS(L26-'Airfoil 1'!$Z$66)</f>
        <v>-1</v>
      </c>
      <c r="BZ26" s="5">
        <f t="shared" ca="1" si="9"/>
        <v>6</v>
      </c>
      <c r="CA26" s="42">
        <f ca="1">INDEX('Airfoil 1'!$AA$47:$AA$66,BZ26,1)+INDEX('Airfoil 1'!$AB$47:$AB$66,BZ26,1)*(L26-INDEX('Airfoil 1'!$Z$47:$Z$66,BZ26,1))</f>
        <v>1.7370857855361597E-2</v>
      </c>
      <c r="CC26" s="16">
        <f ca="1">(L26-'Airfoil 1'!$Z$72)/ABS(L26-'Airfoil 1'!$Z$72)</f>
        <v>1</v>
      </c>
      <c r="CD26" s="16">
        <f ca="1">(L26-'Airfoil 1'!$Z$73)/ABS(L26-'Airfoil 1'!$Z$73)</f>
        <v>1</v>
      </c>
      <c r="CE26" s="16">
        <f ca="1">(L26-'Airfoil 1'!$Z$74)/ABS(L26-'Airfoil 1'!$Z$74)</f>
        <v>1</v>
      </c>
      <c r="CF26" s="16">
        <f ca="1">(L26-'Airfoil 1'!$Z$75)/ABS(L26-'Airfoil 1'!$Z$75)</f>
        <v>1</v>
      </c>
      <c r="CG26" s="16">
        <f ca="1">(L26-'Airfoil 1'!$Z$76)/ABS(L26-'Airfoil 1'!$Z$76)</f>
        <v>-1</v>
      </c>
      <c r="CH26" s="16">
        <f ca="1">(L26-'Airfoil 1'!$Z$77)/ABS(L26-'Airfoil 1'!$Z$77)</f>
        <v>-1</v>
      </c>
      <c r="CI26" s="16">
        <f ca="1">(L26-'Airfoil 1'!$Z$78)/ABS(L26-'Airfoil 1'!$Z$78)</f>
        <v>-1</v>
      </c>
      <c r="CJ26" s="16">
        <f ca="1">(L26-'Airfoil 1'!$Z$79)/ABS(L26-'Airfoil 1'!$Z$79)</f>
        <v>-1</v>
      </c>
      <c r="CK26" s="16">
        <f ca="1">(L26-'Airfoil 1'!$Z$80)/ABS(L26-'Airfoil 1'!$Z$80)</f>
        <v>-1</v>
      </c>
      <c r="CL26" s="16">
        <f ca="1">(L26-'Airfoil 1'!$Z$81)/ABS(L26-'Airfoil 1'!$Z$81)</f>
        <v>-1</v>
      </c>
      <c r="CM26" s="16">
        <f ca="1">(L26-'Airfoil 1'!$Z$82)/ABS(L26-'Airfoil 1'!$Z$82)</f>
        <v>-1</v>
      </c>
      <c r="CN26" s="16">
        <f ca="1">(L26-'Airfoil 1'!$Z$83)/ABS(L26-'Airfoil 1'!$Z$83)</f>
        <v>-1</v>
      </c>
      <c r="CO26" s="16">
        <f ca="1">(L26-'Airfoil 1'!$Z$84)/ABS(L26-'Airfoil 1'!$Z$84)</f>
        <v>-1</v>
      </c>
      <c r="CP26" s="16">
        <f ca="1">(L26-'Airfoil 1'!$Z$85)/ABS(L26-'Airfoil 1'!$Z$85)</f>
        <v>-1</v>
      </c>
      <c r="CQ26" s="16">
        <f ca="1">(L26-'Airfoil 1'!$Z$86)/ABS(L26-'Airfoil 1'!$Z$86)</f>
        <v>-1</v>
      </c>
      <c r="CR26" s="16">
        <f ca="1">(L26-'Airfoil 1'!$Z$87)/ABS(L26-'Airfoil 1'!$Z$87)</f>
        <v>-1</v>
      </c>
      <c r="CS26" s="16">
        <f ca="1">(L26-'Airfoil 1'!$Z$88)/ABS(L26-'Airfoil 1'!$Z$88)</f>
        <v>-1</v>
      </c>
      <c r="CT26" s="16">
        <f ca="1">(L26-'Airfoil 1'!$Z$89)/ABS(L26-'Airfoil 1'!$Z$89)</f>
        <v>-1</v>
      </c>
      <c r="CU26" s="16">
        <f ca="1">(L26-'Airfoil 1'!$Z$90)/ABS(L26-'Airfoil 1'!$Z$90)</f>
        <v>-1</v>
      </c>
      <c r="CV26" s="16">
        <f ca="1">(L26-'Airfoil 1'!$Z$91)/ABS(L26-'Airfoil 1'!$Z$91)</f>
        <v>-1</v>
      </c>
      <c r="CW26" s="5">
        <f t="shared" ca="1" si="10"/>
        <v>4</v>
      </c>
      <c r="CX26" s="42">
        <f ca="1">INDEX('Airfoil 1'!$AA$72:$AA$91,CW26,1)+INDEX('Airfoil 1'!$AB$72:$AB$91,CW26,1)*(L26-INDEX('Airfoil 1'!$Z$72:$Z$91,CW26,1))</f>
        <v>1.1110331491712706E-2</v>
      </c>
    </row>
    <row r="27" spans="2:102">
      <c r="B27" s="31">
        <f>Main!B27</f>
        <v>0.33333333333333326</v>
      </c>
      <c r="D27" s="1">
        <f>'RC'!F27</f>
        <v>0.65969672852566186</v>
      </c>
      <c r="E27" s="4">
        <f>ISA!$R$10</f>
        <v>1.5987591530356481E-5</v>
      </c>
      <c r="G27" s="13">
        <f ca="1">'RC'!X27</f>
        <v>26.272229755698174</v>
      </c>
      <c r="H27" s="5">
        <f t="shared" ca="1" si="0"/>
        <v>361357.4103808364</v>
      </c>
      <c r="I27" s="16">
        <f ca="1">'Airfoil 2'!$K$14*H27^'Airfoil 2'!$L$13</f>
        <v>1.5835937877207322</v>
      </c>
      <c r="J27" s="1">
        <f ca="1">'Airfoil 2'!$K$33*H27^'Airfoil 2'!$L$32</f>
        <v>4.9797192224534133</v>
      </c>
      <c r="K27" s="13">
        <f ca="1">'Airfoil 2'!$K$52*H27^'Airfoil 2'!$L$51</f>
        <v>-9.3649434502162006</v>
      </c>
      <c r="L27" s="16">
        <f ca="1">'Aerodynamics-RCmax'!W27</f>
        <v>0.9</v>
      </c>
      <c r="M27" s="10">
        <f ca="1">('Airfoil 1'!$B$21+'Airfoil 1'!$B$22*L27+'Airfoil 1'!$B$23*L27^2+'Airfoil 1'!$B$24*L27^3+'Airfoil 1'!$B$25*L27^4+'Airfoil 1'!$B$26*L27^5+'Airfoil 1'!$B$27*L27^6)*0+BD27</f>
        <v>2.4489313868613138E-2</v>
      </c>
      <c r="N27" s="42">
        <f ca="1">('Airfoil 1'!$B$29+'Airfoil 1'!$B$30*L27+'Airfoil 1'!$B$31*L27^2+'Airfoil 1'!$B$32*L27^3+'Airfoil 1'!$B$33*L27^4+'Airfoil 1'!$B$34*L27^5+'Airfoil 1'!$B$35*L27^6)*0+CA27</f>
        <v>1.7370857855361597E-2</v>
      </c>
      <c r="O27" s="42">
        <f ca="1">('Airfoil 1'!$B$37+'Airfoil 1'!$B$38*L27+'Airfoil 1'!$B$39*L27^2+'Airfoil 1'!$B$40*L27^3+'Airfoil 1'!$B$41*L27^4+'Airfoil 1'!$B$42*L27^5+'Airfoil 1'!$B$43*L27^6)*0+CX27</f>
        <v>1.1110331491712706E-2</v>
      </c>
      <c r="P27" s="16">
        <f>LOG('Airfoil 1'!$F$10)+LOG('Airfoil 1'!$G$10)+LOG('Airfoil 1'!$H$10)</f>
        <v>15.176091259055681</v>
      </c>
      <c r="Q27" s="16">
        <f t="shared" ca="1" si="1"/>
        <v>-5.3254750991929125</v>
      </c>
      <c r="R27" s="16">
        <f>LOG('Airfoil 1'!$F$10)^2+LOG('Airfoil 1'!$G$10)^2+LOG('Airfoil 1'!$H$10)^2</f>
        <v>76.867141336751558</v>
      </c>
      <c r="S27" s="16">
        <f ca="1">LOG('Airfoil 1'!$F$10)*LOG(M27)+LOG('Airfoil 1'!$G$10)*LOG(N27)+LOG('Airfoil 1'!$H$10)*LOG(O27)</f>
        <v>-27.014391057528009</v>
      </c>
      <c r="T27" s="16">
        <f t="shared" ca="1" si="2"/>
        <v>141.60346469083578</v>
      </c>
      <c r="U27" s="16">
        <f t="shared" ca="1" si="3"/>
        <v>-0.77613507568957385</v>
      </c>
      <c r="V27" s="42">
        <f ca="1">IF(Energy!$F$11=1,Energy!$T$13,1)*T27*H27^U27</f>
        <v>7.5812819861653868E-3</v>
      </c>
      <c r="W27" s="10">
        <f ca="1">'Airfoil 1'!$B$48+'Airfoil 1'!$B$49*L27+'Airfoil 1'!$B$50*L27^2+'Airfoil 1'!$B$51*L27^3+'Airfoil 1'!$B$52*L27^4+'Airfoil 1'!$B$53*L27^5+'Airfoil 1'!$B$54*L27^6</f>
        <v>-0.155</v>
      </c>
      <c r="X27" s="42">
        <f ca="1">'Airfoil 1'!$B$56+'Airfoil 1'!$B$57*L27+'Airfoil 1'!$B$58*L27^2+'Airfoil 1'!$B$59*L27^3+'Airfoil 1'!$B$60*L27^4+'Airfoil 1'!$B$61*L27^5+'Airfoil 1'!$B$62*L27^6</f>
        <v>-0.155</v>
      </c>
      <c r="Y27" s="42">
        <f ca="1">'Airfoil 1'!$B$64+'Airfoil 1'!$B$65*L27+'Airfoil 1'!$B$66*L27^2+'Airfoil 1'!$B$67*L27^3+'Airfoil 1'!$B$681*L27^4+'Airfoil 1'!$B$69*L27^5+'Airfoil 1'!$B$70*L27^6</f>
        <v>-0.155</v>
      </c>
      <c r="Z27" s="16">
        <f>LOG('Airfoil 1'!$F$10)+LOG('Airfoil 1'!$G$10)+LOG('Airfoil 1'!$H$10)</f>
        <v>15.176091259055681</v>
      </c>
      <c r="AA27" s="16">
        <f t="shared" ca="1" si="4"/>
        <v>-2.4290049054891254</v>
      </c>
      <c r="AB27" s="16">
        <f>LOG('Airfoil 1'!$F$10)^2+LOG('Airfoil 1'!$G$10)^2+LOG('Airfoil 1'!$H$10)^2</f>
        <v>76.867141336751558</v>
      </c>
      <c r="AC27" s="16">
        <f ca="1">LOG('Airfoil 1'!$F$10)*LOG(ABS(W27))+LOG('Airfoil 1'!$G$10)*LOG(ABS(X27))+LOG('Airfoil 1'!$H$10)*LOG(ABS(Y27))</f>
        <v>-12.287600038132297</v>
      </c>
      <c r="AD27" s="16">
        <f t="shared" ca="1" si="5"/>
        <v>0.1550000000000121</v>
      </c>
      <c r="AE27" s="16">
        <f t="shared" ca="1" si="6"/>
        <v>-6.6718325633022456E-15</v>
      </c>
      <c r="AF27" s="42">
        <f t="shared" ca="1" si="7"/>
        <v>-0.15499999999999886</v>
      </c>
      <c r="AG27" s="16"/>
      <c r="AH27" s="42"/>
      <c r="AI27" s="16">
        <f ca="1">(L27-'Airfoil 1'!$Z$22)/ABS(L27-'Airfoil 1'!$Z$22)</f>
        <v>1</v>
      </c>
      <c r="AJ27" s="16">
        <f ca="1">(L27-'Airfoil 1'!$Z$23)/ABS(L27-'Airfoil 1'!$Z$23)</f>
        <v>1</v>
      </c>
      <c r="AK27" s="16">
        <f ca="1">(L27-'Airfoil 1'!$Z$24)/ABS(L27-'Airfoil 1'!$Z$24)</f>
        <v>1</v>
      </c>
      <c r="AL27" s="16">
        <f ca="1">(L27-'Airfoil 1'!$Z$25)/ABS(L27-'Airfoil 1'!$Z$25)</f>
        <v>1</v>
      </c>
      <c r="AM27" s="16">
        <f ca="1">(L27-'Airfoil 1'!$Z$26)/ABS(L27-'Airfoil 1'!$Z$26)</f>
        <v>1</v>
      </c>
      <c r="AN27" s="16">
        <f ca="1">(L27-'Airfoil 1'!$Z$27)/ABS(L27-'Airfoil 1'!$Z$27)</f>
        <v>1</v>
      </c>
      <c r="AO27" s="16">
        <f ca="1">(L27-'Airfoil 1'!$Z$28)/ABS(L27-'Airfoil 1'!$Z$28)</f>
        <v>1</v>
      </c>
      <c r="AP27" s="16">
        <f ca="1">(L27-'Airfoil 1'!$Z$29)/ABS(L27-'Airfoil 1'!$Z$29)</f>
        <v>-1</v>
      </c>
      <c r="AQ27" s="16">
        <f ca="1">(L27-'Airfoil 1'!$Z$30)/ABS(L27-'Airfoil 1'!$Z$30)</f>
        <v>-1</v>
      </c>
      <c r="AR27" s="16">
        <f ca="1">(L27-'Airfoil 1'!$Z$31)/ABS(L27-'Airfoil 1'!$Z$31)</f>
        <v>-1</v>
      </c>
      <c r="AS27" s="16">
        <f ca="1">(L27-'Airfoil 1'!$Z$32)/ABS(L27-'Airfoil 1'!$Z$32)</f>
        <v>-1</v>
      </c>
      <c r="AT27" s="16">
        <f ca="1">(L27-'Airfoil 1'!$Z$33)/ABS(L27-'Airfoil 1'!$Z$33)</f>
        <v>-1</v>
      </c>
      <c r="AU27" s="16">
        <f ca="1">(L27-'Airfoil 1'!$Z$34)/ABS(L27-'Airfoil 1'!$Z$34)</f>
        <v>-1</v>
      </c>
      <c r="AV27" s="16">
        <f ca="1">(L27-'Airfoil 1'!$Z$35)/ABS(L27-'Airfoil 1'!$Z$35)</f>
        <v>-1</v>
      </c>
      <c r="AW27" s="16">
        <f ca="1">(L27-'Airfoil 1'!$Z$36)/ABS(L27-'Airfoil 1'!$Z$36)</f>
        <v>-1</v>
      </c>
      <c r="AX27" s="16">
        <f ca="1">(L27-'Airfoil 1'!$Z$37)/ABS(L27-'Airfoil 1'!$Z$37)</f>
        <v>-1</v>
      </c>
      <c r="AY27" s="16">
        <f ca="1">(L27-'Airfoil 1'!$Z$38)/ABS(L27-'Airfoil 1'!$Z$38)</f>
        <v>-1</v>
      </c>
      <c r="AZ27" s="16">
        <f ca="1">(L27-'Airfoil 1'!$Z$39)/ABS(L27-'Airfoil 1'!$Z$39)</f>
        <v>-1</v>
      </c>
      <c r="BA27" s="16">
        <f ca="1">(L27-'Airfoil 1'!$Z$40)/ABS(L27-'Airfoil 1'!$Z$40)</f>
        <v>-1</v>
      </c>
      <c r="BB27" s="16">
        <f ca="1">(L27-'Airfoil 1'!$Z$41)/ABS(L27-'Airfoil 1'!$Z$41)</f>
        <v>-1</v>
      </c>
      <c r="BC27" s="5">
        <f t="shared" ca="1" si="8"/>
        <v>7</v>
      </c>
      <c r="BD27" s="42">
        <f ca="1">INDEX('Airfoil 1'!$AA$22:$AA$41,BC27,1)+INDEX('Airfoil 1'!$AB$22:$AB$41,BC27,1)*(L27-INDEX('Airfoil 1'!$Z$22:$Z$41,BC27,1))</f>
        <v>2.4489313868613138E-2</v>
      </c>
      <c r="BE27" s="6"/>
      <c r="BF27" s="16">
        <f ca="1">(L27-'Airfoil 1'!$Z$47)/ABS(L27-'Airfoil 1'!$Z$47)</f>
        <v>1</v>
      </c>
      <c r="BG27" s="16">
        <f ca="1">(L27-'Airfoil 1'!$Z$48)/ABS(L27-'Airfoil 1'!$Z$48)</f>
        <v>1</v>
      </c>
      <c r="BH27" s="16">
        <f ca="1">(L27-'Airfoil 1'!$Z$49)/ABS(L27-'Airfoil 1'!$Z$49)</f>
        <v>1</v>
      </c>
      <c r="BI27" s="16">
        <f ca="1">(L27-'Airfoil 1'!$Z$50)/ABS(L27-'Airfoil 1'!$Z$50)</f>
        <v>1</v>
      </c>
      <c r="BJ27" s="16">
        <f ca="1">(L27-'Airfoil 1'!$Z$51)/ABS(L27-'Airfoil 1'!$Z$51)</f>
        <v>1</v>
      </c>
      <c r="BK27" s="16">
        <f ca="1">(L27-'Airfoil 1'!$Z$52)/ABS(L27-'Airfoil 1'!$Z$52)</f>
        <v>1</v>
      </c>
      <c r="BL27" s="16">
        <f ca="1">(L27-'Airfoil 1'!$Z$53)/ABS(L27-'Airfoil 1'!$Z$53)</f>
        <v>-1</v>
      </c>
      <c r="BM27" s="16">
        <f ca="1">(L27-'Airfoil 1'!$Z$54)/ABS(L27-'Airfoil 1'!$Z$54)</f>
        <v>-1</v>
      </c>
      <c r="BN27" s="16">
        <f ca="1">(L27-'Airfoil 1'!$Z$55)/ABS(L27-'Airfoil 1'!$Z$55)</f>
        <v>-1</v>
      </c>
      <c r="BO27" s="16">
        <f ca="1">(L27-'Airfoil 1'!$Z$56)/ABS(L27-'Airfoil 1'!$Z$56)</f>
        <v>-1</v>
      </c>
      <c r="BP27" s="16">
        <f ca="1">(L27-'Airfoil 1'!$Z$57)/ABS(L27-'Airfoil 1'!$Z$57)</f>
        <v>-1</v>
      </c>
      <c r="BQ27" s="16">
        <f ca="1">(L27-'Airfoil 1'!$Z$58)/ABS(L27-'Airfoil 1'!$Z$58)</f>
        <v>-1</v>
      </c>
      <c r="BR27" s="16">
        <f ca="1">(L27-'Airfoil 1'!$Z$59)/ABS(L27-'Airfoil 1'!$Z$59)</f>
        <v>-1</v>
      </c>
      <c r="BS27" s="16">
        <f ca="1">(L27-'Airfoil 1'!$Z$60)/ABS(L27-'Airfoil 1'!$Z$60)</f>
        <v>-1</v>
      </c>
      <c r="BT27" s="16">
        <f ca="1">(L27-'Airfoil 1'!$Z$61)/ABS(L27-'Airfoil 1'!$Z$61)</f>
        <v>-1</v>
      </c>
      <c r="BU27" s="16">
        <f ca="1">(L27-'Airfoil 1'!$Z$62)/ABS(L27-'Airfoil 1'!$Z$62)</f>
        <v>-1</v>
      </c>
      <c r="BV27" s="16">
        <f ca="1">(L27-'Airfoil 1'!$Z$63)/ABS(L27-'Airfoil 1'!$Z$63)</f>
        <v>-1</v>
      </c>
      <c r="BW27" s="16">
        <f ca="1">(L27-'Airfoil 1'!$Z$64)/ABS(L27-'Airfoil 1'!$Z$64)</f>
        <v>-1</v>
      </c>
      <c r="BX27" s="16">
        <f ca="1">(L27-'Airfoil 1'!$Z$65)/ABS(L27-'Airfoil 1'!$Z$65)</f>
        <v>-1</v>
      </c>
      <c r="BY27" s="16">
        <f ca="1">(L27-'Airfoil 1'!$Z$66)/ABS(L27-'Airfoil 1'!$Z$66)</f>
        <v>-1</v>
      </c>
      <c r="BZ27" s="5">
        <f t="shared" ca="1" si="9"/>
        <v>6</v>
      </c>
      <c r="CA27" s="42">
        <f ca="1">INDEX('Airfoil 1'!$AA$47:$AA$66,BZ27,1)+INDEX('Airfoil 1'!$AB$47:$AB$66,BZ27,1)*(L27-INDEX('Airfoil 1'!$Z$47:$Z$66,BZ27,1))</f>
        <v>1.7370857855361597E-2</v>
      </c>
      <c r="CC27" s="16">
        <f ca="1">(L27-'Airfoil 1'!$Z$72)/ABS(L27-'Airfoil 1'!$Z$72)</f>
        <v>1</v>
      </c>
      <c r="CD27" s="16">
        <f ca="1">(L27-'Airfoil 1'!$Z$73)/ABS(L27-'Airfoil 1'!$Z$73)</f>
        <v>1</v>
      </c>
      <c r="CE27" s="16">
        <f ca="1">(L27-'Airfoil 1'!$Z$74)/ABS(L27-'Airfoil 1'!$Z$74)</f>
        <v>1</v>
      </c>
      <c r="CF27" s="16">
        <f ca="1">(L27-'Airfoil 1'!$Z$75)/ABS(L27-'Airfoil 1'!$Z$75)</f>
        <v>1</v>
      </c>
      <c r="CG27" s="16">
        <f ca="1">(L27-'Airfoil 1'!$Z$76)/ABS(L27-'Airfoil 1'!$Z$76)</f>
        <v>-1</v>
      </c>
      <c r="CH27" s="16">
        <f ca="1">(L27-'Airfoil 1'!$Z$77)/ABS(L27-'Airfoil 1'!$Z$77)</f>
        <v>-1</v>
      </c>
      <c r="CI27" s="16">
        <f ca="1">(L27-'Airfoil 1'!$Z$78)/ABS(L27-'Airfoil 1'!$Z$78)</f>
        <v>-1</v>
      </c>
      <c r="CJ27" s="16">
        <f ca="1">(L27-'Airfoil 1'!$Z$79)/ABS(L27-'Airfoil 1'!$Z$79)</f>
        <v>-1</v>
      </c>
      <c r="CK27" s="16">
        <f ca="1">(L27-'Airfoil 1'!$Z$80)/ABS(L27-'Airfoil 1'!$Z$80)</f>
        <v>-1</v>
      </c>
      <c r="CL27" s="16">
        <f ca="1">(L27-'Airfoil 1'!$Z$81)/ABS(L27-'Airfoil 1'!$Z$81)</f>
        <v>-1</v>
      </c>
      <c r="CM27" s="16">
        <f ca="1">(L27-'Airfoil 1'!$Z$82)/ABS(L27-'Airfoil 1'!$Z$82)</f>
        <v>-1</v>
      </c>
      <c r="CN27" s="16">
        <f ca="1">(L27-'Airfoil 1'!$Z$83)/ABS(L27-'Airfoil 1'!$Z$83)</f>
        <v>-1</v>
      </c>
      <c r="CO27" s="16">
        <f ca="1">(L27-'Airfoil 1'!$Z$84)/ABS(L27-'Airfoil 1'!$Z$84)</f>
        <v>-1</v>
      </c>
      <c r="CP27" s="16">
        <f ca="1">(L27-'Airfoil 1'!$Z$85)/ABS(L27-'Airfoil 1'!$Z$85)</f>
        <v>-1</v>
      </c>
      <c r="CQ27" s="16">
        <f ca="1">(L27-'Airfoil 1'!$Z$86)/ABS(L27-'Airfoil 1'!$Z$86)</f>
        <v>-1</v>
      </c>
      <c r="CR27" s="16">
        <f ca="1">(L27-'Airfoil 1'!$Z$87)/ABS(L27-'Airfoil 1'!$Z$87)</f>
        <v>-1</v>
      </c>
      <c r="CS27" s="16">
        <f ca="1">(L27-'Airfoil 1'!$Z$88)/ABS(L27-'Airfoil 1'!$Z$88)</f>
        <v>-1</v>
      </c>
      <c r="CT27" s="16">
        <f ca="1">(L27-'Airfoil 1'!$Z$89)/ABS(L27-'Airfoil 1'!$Z$89)</f>
        <v>-1</v>
      </c>
      <c r="CU27" s="16">
        <f ca="1">(L27-'Airfoil 1'!$Z$90)/ABS(L27-'Airfoil 1'!$Z$90)</f>
        <v>-1</v>
      </c>
      <c r="CV27" s="16">
        <f ca="1">(L27-'Airfoil 1'!$Z$91)/ABS(L27-'Airfoil 1'!$Z$91)</f>
        <v>-1</v>
      </c>
      <c r="CW27" s="5">
        <f t="shared" ca="1" si="10"/>
        <v>4</v>
      </c>
      <c r="CX27" s="42">
        <f ca="1">INDEX('Airfoil 1'!$AA$72:$AA$91,CW27,1)+INDEX('Airfoil 1'!$AB$72:$AB$91,CW27,1)*(L27-INDEX('Airfoil 1'!$Z$72:$Z$91,CW27,1))</f>
        <v>1.1110331491712706E-2</v>
      </c>
    </row>
    <row r="28" spans="2:102">
      <c r="B28" s="31">
        <f>Main!B28</f>
        <v>0.33333333333333326</v>
      </c>
      <c r="D28" s="1">
        <f>'RC'!F28</f>
        <v>0.65969672852566186</v>
      </c>
      <c r="E28" s="4">
        <f>ISA!$R$10</f>
        <v>1.5987591530356481E-5</v>
      </c>
      <c r="G28" s="13">
        <f ca="1">'RC'!X28</f>
        <v>25.850372382859632</v>
      </c>
      <c r="H28" s="5">
        <f t="shared" ca="1" si="0"/>
        <v>355555.03695396968</v>
      </c>
      <c r="I28" s="16">
        <f ca="1">'Airfoil 2'!$K$14*H28^'Airfoil 2'!$L$13</f>
        <v>1.583237475089335</v>
      </c>
      <c r="J28" s="1">
        <f ca="1">'Airfoil 2'!$K$33*H28^'Airfoil 2'!$L$32</f>
        <v>5.0069056188446277</v>
      </c>
      <c r="K28" s="13">
        <f ca="1">'Airfoil 2'!$K$52*H28^'Airfoil 2'!$L$51</f>
        <v>-9.264111153883432</v>
      </c>
      <c r="L28" s="16">
        <f ca="1">'Aerodynamics-RCmax'!W28</f>
        <v>0.9</v>
      </c>
      <c r="M28" s="10">
        <f ca="1">('Airfoil 1'!$B$21+'Airfoil 1'!$B$22*L28+'Airfoil 1'!$B$23*L28^2+'Airfoil 1'!$B$24*L28^3+'Airfoil 1'!$B$25*L28^4+'Airfoil 1'!$B$26*L28^5+'Airfoil 1'!$B$27*L28^6)*0+BD28</f>
        <v>2.4489313868613138E-2</v>
      </c>
      <c r="N28" s="42">
        <f ca="1">('Airfoil 1'!$B$29+'Airfoil 1'!$B$30*L28+'Airfoil 1'!$B$31*L28^2+'Airfoil 1'!$B$32*L28^3+'Airfoil 1'!$B$33*L28^4+'Airfoil 1'!$B$34*L28^5+'Airfoil 1'!$B$35*L28^6)*0+CA28</f>
        <v>1.7370857855361597E-2</v>
      </c>
      <c r="O28" s="42">
        <f ca="1">('Airfoil 1'!$B$37+'Airfoil 1'!$B$38*L28+'Airfoil 1'!$B$39*L28^2+'Airfoil 1'!$B$40*L28^3+'Airfoil 1'!$B$41*L28^4+'Airfoil 1'!$B$42*L28^5+'Airfoil 1'!$B$43*L28^6)*0+CX28</f>
        <v>1.1110331491712706E-2</v>
      </c>
      <c r="P28" s="16">
        <f>LOG('Airfoil 1'!$F$10)+LOG('Airfoil 1'!$G$10)+LOG('Airfoil 1'!$H$10)</f>
        <v>15.176091259055681</v>
      </c>
      <c r="Q28" s="16">
        <f t="shared" ca="1" si="1"/>
        <v>-5.3254750991929125</v>
      </c>
      <c r="R28" s="16">
        <f>LOG('Airfoil 1'!$F$10)^2+LOG('Airfoil 1'!$G$10)^2+LOG('Airfoil 1'!$H$10)^2</f>
        <v>76.867141336751558</v>
      </c>
      <c r="S28" s="16">
        <f ca="1">LOG('Airfoil 1'!$F$10)*LOG(M28)+LOG('Airfoil 1'!$G$10)*LOG(N28)+LOG('Airfoil 1'!$H$10)*LOG(O28)</f>
        <v>-27.014391057528009</v>
      </c>
      <c r="T28" s="16">
        <f t="shared" ca="1" si="2"/>
        <v>141.60346469083578</v>
      </c>
      <c r="U28" s="16">
        <f t="shared" ca="1" si="3"/>
        <v>-0.77613507568957385</v>
      </c>
      <c r="V28" s="42">
        <f ca="1">IF(Energy!$F$11=1,Energy!$T$13,1)*T28*H28^U28</f>
        <v>7.6771315225091091E-3</v>
      </c>
      <c r="W28" s="10">
        <f ca="1">'Airfoil 1'!$B$48+'Airfoil 1'!$B$49*L28+'Airfoil 1'!$B$50*L28^2+'Airfoil 1'!$B$51*L28^3+'Airfoil 1'!$B$52*L28^4+'Airfoil 1'!$B$53*L28^5+'Airfoil 1'!$B$54*L28^6</f>
        <v>-0.155</v>
      </c>
      <c r="X28" s="42">
        <f ca="1">'Airfoil 1'!$B$56+'Airfoil 1'!$B$57*L28+'Airfoil 1'!$B$58*L28^2+'Airfoil 1'!$B$59*L28^3+'Airfoil 1'!$B$60*L28^4+'Airfoil 1'!$B$61*L28^5+'Airfoil 1'!$B$62*L28^6</f>
        <v>-0.155</v>
      </c>
      <c r="Y28" s="42">
        <f ca="1">'Airfoil 1'!$B$64+'Airfoil 1'!$B$65*L28+'Airfoil 1'!$B$66*L28^2+'Airfoil 1'!$B$67*L28^3+'Airfoil 1'!$B$681*L28^4+'Airfoil 1'!$B$69*L28^5+'Airfoil 1'!$B$70*L28^6</f>
        <v>-0.155</v>
      </c>
      <c r="Z28" s="16">
        <f>LOG('Airfoil 1'!$F$10)+LOG('Airfoil 1'!$G$10)+LOG('Airfoil 1'!$H$10)</f>
        <v>15.176091259055681</v>
      </c>
      <c r="AA28" s="16">
        <f t="shared" ca="1" si="4"/>
        <v>-2.4290049054891254</v>
      </c>
      <c r="AB28" s="16">
        <f>LOG('Airfoil 1'!$F$10)^2+LOG('Airfoil 1'!$G$10)^2+LOG('Airfoil 1'!$H$10)^2</f>
        <v>76.867141336751558</v>
      </c>
      <c r="AC28" s="16">
        <f ca="1">LOG('Airfoil 1'!$F$10)*LOG(ABS(W28))+LOG('Airfoil 1'!$G$10)*LOG(ABS(X28))+LOG('Airfoil 1'!$H$10)*LOG(ABS(Y28))</f>
        <v>-12.287600038132297</v>
      </c>
      <c r="AD28" s="16">
        <f t="shared" ca="1" si="5"/>
        <v>0.1550000000000121</v>
      </c>
      <c r="AE28" s="16">
        <f t="shared" ca="1" si="6"/>
        <v>-6.6718325633022456E-15</v>
      </c>
      <c r="AF28" s="42">
        <f t="shared" ca="1" si="7"/>
        <v>-0.15499999999999889</v>
      </c>
      <c r="AG28" s="16"/>
      <c r="AH28" s="42"/>
      <c r="AI28" s="16">
        <f ca="1">(L28-'Airfoil 1'!$Z$22)/ABS(L28-'Airfoil 1'!$Z$22)</f>
        <v>1</v>
      </c>
      <c r="AJ28" s="16">
        <f ca="1">(L28-'Airfoil 1'!$Z$23)/ABS(L28-'Airfoil 1'!$Z$23)</f>
        <v>1</v>
      </c>
      <c r="AK28" s="16">
        <f ca="1">(L28-'Airfoil 1'!$Z$24)/ABS(L28-'Airfoil 1'!$Z$24)</f>
        <v>1</v>
      </c>
      <c r="AL28" s="16">
        <f ca="1">(L28-'Airfoil 1'!$Z$25)/ABS(L28-'Airfoil 1'!$Z$25)</f>
        <v>1</v>
      </c>
      <c r="AM28" s="16">
        <f ca="1">(L28-'Airfoil 1'!$Z$26)/ABS(L28-'Airfoil 1'!$Z$26)</f>
        <v>1</v>
      </c>
      <c r="AN28" s="16">
        <f ca="1">(L28-'Airfoil 1'!$Z$27)/ABS(L28-'Airfoil 1'!$Z$27)</f>
        <v>1</v>
      </c>
      <c r="AO28" s="16">
        <f ca="1">(L28-'Airfoil 1'!$Z$28)/ABS(L28-'Airfoil 1'!$Z$28)</f>
        <v>1</v>
      </c>
      <c r="AP28" s="16">
        <f ca="1">(L28-'Airfoil 1'!$Z$29)/ABS(L28-'Airfoil 1'!$Z$29)</f>
        <v>-1</v>
      </c>
      <c r="AQ28" s="16">
        <f ca="1">(L28-'Airfoil 1'!$Z$30)/ABS(L28-'Airfoil 1'!$Z$30)</f>
        <v>-1</v>
      </c>
      <c r="AR28" s="16">
        <f ca="1">(L28-'Airfoil 1'!$Z$31)/ABS(L28-'Airfoil 1'!$Z$31)</f>
        <v>-1</v>
      </c>
      <c r="AS28" s="16">
        <f ca="1">(L28-'Airfoil 1'!$Z$32)/ABS(L28-'Airfoil 1'!$Z$32)</f>
        <v>-1</v>
      </c>
      <c r="AT28" s="16">
        <f ca="1">(L28-'Airfoil 1'!$Z$33)/ABS(L28-'Airfoil 1'!$Z$33)</f>
        <v>-1</v>
      </c>
      <c r="AU28" s="16">
        <f ca="1">(L28-'Airfoil 1'!$Z$34)/ABS(L28-'Airfoil 1'!$Z$34)</f>
        <v>-1</v>
      </c>
      <c r="AV28" s="16">
        <f ca="1">(L28-'Airfoil 1'!$Z$35)/ABS(L28-'Airfoil 1'!$Z$35)</f>
        <v>-1</v>
      </c>
      <c r="AW28" s="16">
        <f ca="1">(L28-'Airfoil 1'!$Z$36)/ABS(L28-'Airfoil 1'!$Z$36)</f>
        <v>-1</v>
      </c>
      <c r="AX28" s="16">
        <f ca="1">(L28-'Airfoil 1'!$Z$37)/ABS(L28-'Airfoil 1'!$Z$37)</f>
        <v>-1</v>
      </c>
      <c r="AY28" s="16">
        <f ca="1">(L28-'Airfoil 1'!$Z$38)/ABS(L28-'Airfoil 1'!$Z$38)</f>
        <v>-1</v>
      </c>
      <c r="AZ28" s="16">
        <f ca="1">(L28-'Airfoil 1'!$Z$39)/ABS(L28-'Airfoil 1'!$Z$39)</f>
        <v>-1</v>
      </c>
      <c r="BA28" s="16">
        <f ca="1">(L28-'Airfoil 1'!$Z$40)/ABS(L28-'Airfoil 1'!$Z$40)</f>
        <v>-1</v>
      </c>
      <c r="BB28" s="16">
        <f ca="1">(L28-'Airfoil 1'!$Z$41)/ABS(L28-'Airfoil 1'!$Z$41)</f>
        <v>-1</v>
      </c>
      <c r="BC28" s="5">
        <f t="shared" ca="1" si="8"/>
        <v>7</v>
      </c>
      <c r="BD28" s="42">
        <f ca="1">INDEX('Airfoil 1'!$AA$22:$AA$41,BC28,1)+INDEX('Airfoil 1'!$AB$22:$AB$41,BC28,1)*(L28-INDEX('Airfoil 1'!$Z$22:$Z$41,BC28,1))</f>
        <v>2.4489313868613138E-2</v>
      </c>
      <c r="BE28" s="6"/>
      <c r="BF28" s="16">
        <f ca="1">(L28-'Airfoil 1'!$Z$47)/ABS(L28-'Airfoil 1'!$Z$47)</f>
        <v>1</v>
      </c>
      <c r="BG28" s="16">
        <f ca="1">(L28-'Airfoil 1'!$Z$48)/ABS(L28-'Airfoil 1'!$Z$48)</f>
        <v>1</v>
      </c>
      <c r="BH28" s="16">
        <f ca="1">(L28-'Airfoil 1'!$Z$49)/ABS(L28-'Airfoil 1'!$Z$49)</f>
        <v>1</v>
      </c>
      <c r="BI28" s="16">
        <f ca="1">(L28-'Airfoil 1'!$Z$50)/ABS(L28-'Airfoil 1'!$Z$50)</f>
        <v>1</v>
      </c>
      <c r="BJ28" s="16">
        <f ca="1">(L28-'Airfoil 1'!$Z$51)/ABS(L28-'Airfoil 1'!$Z$51)</f>
        <v>1</v>
      </c>
      <c r="BK28" s="16">
        <f ca="1">(L28-'Airfoil 1'!$Z$52)/ABS(L28-'Airfoil 1'!$Z$52)</f>
        <v>1</v>
      </c>
      <c r="BL28" s="16">
        <f ca="1">(L28-'Airfoil 1'!$Z$53)/ABS(L28-'Airfoil 1'!$Z$53)</f>
        <v>-1</v>
      </c>
      <c r="BM28" s="16">
        <f ca="1">(L28-'Airfoil 1'!$Z$54)/ABS(L28-'Airfoil 1'!$Z$54)</f>
        <v>-1</v>
      </c>
      <c r="BN28" s="16">
        <f ca="1">(L28-'Airfoil 1'!$Z$55)/ABS(L28-'Airfoil 1'!$Z$55)</f>
        <v>-1</v>
      </c>
      <c r="BO28" s="16">
        <f ca="1">(L28-'Airfoil 1'!$Z$56)/ABS(L28-'Airfoil 1'!$Z$56)</f>
        <v>-1</v>
      </c>
      <c r="BP28" s="16">
        <f ca="1">(L28-'Airfoil 1'!$Z$57)/ABS(L28-'Airfoil 1'!$Z$57)</f>
        <v>-1</v>
      </c>
      <c r="BQ28" s="16">
        <f ca="1">(L28-'Airfoil 1'!$Z$58)/ABS(L28-'Airfoil 1'!$Z$58)</f>
        <v>-1</v>
      </c>
      <c r="BR28" s="16">
        <f ca="1">(L28-'Airfoil 1'!$Z$59)/ABS(L28-'Airfoil 1'!$Z$59)</f>
        <v>-1</v>
      </c>
      <c r="BS28" s="16">
        <f ca="1">(L28-'Airfoil 1'!$Z$60)/ABS(L28-'Airfoil 1'!$Z$60)</f>
        <v>-1</v>
      </c>
      <c r="BT28" s="16">
        <f ca="1">(L28-'Airfoil 1'!$Z$61)/ABS(L28-'Airfoil 1'!$Z$61)</f>
        <v>-1</v>
      </c>
      <c r="BU28" s="16">
        <f ca="1">(L28-'Airfoil 1'!$Z$62)/ABS(L28-'Airfoil 1'!$Z$62)</f>
        <v>-1</v>
      </c>
      <c r="BV28" s="16">
        <f ca="1">(L28-'Airfoil 1'!$Z$63)/ABS(L28-'Airfoil 1'!$Z$63)</f>
        <v>-1</v>
      </c>
      <c r="BW28" s="16">
        <f ca="1">(L28-'Airfoil 1'!$Z$64)/ABS(L28-'Airfoil 1'!$Z$64)</f>
        <v>-1</v>
      </c>
      <c r="BX28" s="16">
        <f ca="1">(L28-'Airfoil 1'!$Z$65)/ABS(L28-'Airfoil 1'!$Z$65)</f>
        <v>-1</v>
      </c>
      <c r="BY28" s="16">
        <f ca="1">(L28-'Airfoil 1'!$Z$66)/ABS(L28-'Airfoil 1'!$Z$66)</f>
        <v>-1</v>
      </c>
      <c r="BZ28" s="5">
        <f t="shared" ca="1" si="9"/>
        <v>6</v>
      </c>
      <c r="CA28" s="42">
        <f ca="1">INDEX('Airfoil 1'!$AA$47:$AA$66,BZ28,1)+INDEX('Airfoil 1'!$AB$47:$AB$66,BZ28,1)*(L28-INDEX('Airfoil 1'!$Z$47:$Z$66,BZ28,1))</f>
        <v>1.7370857855361597E-2</v>
      </c>
      <c r="CC28" s="16">
        <f ca="1">(L28-'Airfoil 1'!$Z$72)/ABS(L28-'Airfoil 1'!$Z$72)</f>
        <v>1</v>
      </c>
      <c r="CD28" s="16">
        <f ca="1">(L28-'Airfoil 1'!$Z$73)/ABS(L28-'Airfoil 1'!$Z$73)</f>
        <v>1</v>
      </c>
      <c r="CE28" s="16">
        <f ca="1">(L28-'Airfoil 1'!$Z$74)/ABS(L28-'Airfoil 1'!$Z$74)</f>
        <v>1</v>
      </c>
      <c r="CF28" s="16">
        <f ca="1">(L28-'Airfoil 1'!$Z$75)/ABS(L28-'Airfoil 1'!$Z$75)</f>
        <v>1</v>
      </c>
      <c r="CG28" s="16">
        <f ca="1">(L28-'Airfoil 1'!$Z$76)/ABS(L28-'Airfoil 1'!$Z$76)</f>
        <v>-1</v>
      </c>
      <c r="CH28" s="16">
        <f ca="1">(L28-'Airfoil 1'!$Z$77)/ABS(L28-'Airfoil 1'!$Z$77)</f>
        <v>-1</v>
      </c>
      <c r="CI28" s="16">
        <f ca="1">(L28-'Airfoil 1'!$Z$78)/ABS(L28-'Airfoil 1'!$Z$78)</f>
        <v>-1</v>
      </c>
      <c r="CJ28" s="16">
        <f ca="1">(L28-'Airfoil 1'!$Z$79)/ABS(L28-'Airfoil 1'!$Z$79)</f>
        <v>-1</v>
      </c>
      <c r="CK28" s="16">
        <f ca="1">(L28-'Airfoil 1'!$Z$80)/ABS(L28-'Airfoil 1'!$Z$80)</f>
        <v>-1</v>
      </c>
      <c r="CL28" s="16">
        <f ca="1">(L28-'Airfoil 1'!$Z$81)/ABS(L28-'Airfoil 1'!$Z$81)</f>
        <v>-1</v>
      </c>
      <c r="CM28" s="16">
        <f ca="1">(L28-'Airfoil 1'!$Z$82)/ABS(L28-'Airfoil 1'!$Z$82)</f>
        <v>-1</v>
      </c>
      <c r="CN28" s="16">
        <f ca="1">(L28-'Airfoil 1'!$Z$83)/ABS(L28-'Airfoil 1'!$Z$83)</f>
        <v>-1</v>
      </c>
      <c r="CO28" s="16">
        <f ca="1">(L28-'Airfoil 1'!$Z$84)/ABS(L28-'Airfoil 1'!$Z$84)</f>
        <v>-1</v>
      </c>
      <c r="CP28" s="16">
        <f ca="1">(L28-'Airfoil 1'!$Z$85)/ABS(L28-'Airfoil 1'!$Z$85)</f>
        <v>-1</v>
      </c>
      <c r="CQ28" s="16">
        <f ca="1">(L28-'Airfoil 1'!$Z$86)/ABS(L28-'Airfoil 1'!$Z$86)</f>
        <v>-1</v>
      </c>
      <c r="CR28" s="16">
        <f ca="1">(L28-'Airfoil 1'!$Z$87)/ABS(L28-'Airfoil 1'!$Z$87)</f>
        <v>-1</v>
      </c>
      <c r="CS28" s="16">
        <f ca="1">(L28-'Airfoil 1'!$Z$88)/ABS(L28-'Airfoil 1'!$Z$88)</f>
        <v>-1</v>
      </c>
      <c r="CT28" s="16">
        <f ca="1">(L28-'Airfoil 1'!$Z$89)/ABS(L28-'Airfoil 1'!$Z$89)</f>
        <v>-1</v>
      </c>
      <c r="CU28" s="16">
        <f ca="1">(L28-'Airfoil 1'!$Z$90)/ABS(L28-'Airfoil 1'!$Z$90)</f>
        <v>-1</v>
      </c>
      <c r="CV28" s="16">
        <f ca="1">(L28-'Airfoil 1'!$Z$91)/ABS(L28-'Airfoil 1'!$Z$91)</f>
        <v>-1</v>
      </c>
      <c r="CW28" s="5">
        <f t="shared" ca="1" si="10"/>
        <v>4</v>
      </c>
      <c r="CX28" s="42">
        <f ca="1">INDEX('Airfoil 1'!$AA$72:$AA$91,CW28,1)+INDEX('Airfoil 1'!$AB$72:$AB$91,CW28,1)*(L28-INDEX('Airfoil 1'!$Z$72:$Z$91,CW28,1))</f>
        <v>1.1110331491712706E-2</v>
      </c>
    </row>
    <row r="29" spans="2:102">
      <c r="B29" s="31">
        <f>Main!B29</f>
        <v>0.33333333333333326</v>
      </c>
      <c r="D29" s="1">
        <f>'RC'!F29</f>
        <v>0.65969672852566186</v>
      </c>
      <c r="E29" s="4">
        <f>ISA!$R$10</f>
        <v>1.5987591530356481E-5</v>
      </c>
      <c r="G29" s="13">
        <f ca="1">'RC'!X29</f>
        <v>25.337550160719807</v>
      </c>
      <c r="H29" s="5">
        <f t="shared" ca="1" si="0"/>
        <v>348501.50126623455</v>
      </c>
      <c r="I29" s="16">
        <f ca="1">'Airfoil 2'!$K$14*H29^'Airfoil 2'!$L$13</f>
        <v>1.5827965277834506</v>
      </c>
      <c r="J29" s="1">
        <f ca="1">'Airfoil 2'!$K$33*H29^'Airfoil 2'!$L$32</f>
        <v>5.0407637121235815</v>
      </c>
      <c r="K29" s="13">
        <f ca="1">'Airfoil 2'!$K$52*H29^'Airfoil 2'!$L$51</f>
        <v>-9.1407992178332265</v>
      </c>
      <c r="L29" s="16">
        <f ca="1">'Aerodynamics-RCmax'!W29</f>
        <v>0.9</v>
      </c>
      <c r="M29" s="10">
        <f ca="1">('Airfoil 1'!$B$21+'Airfoil 1'!$B$22*L29+'Airfoil 1'!$B$23*L29^2+'Airfoil 1'!$B$24*L29^3+'Airfoil 1'!$B$25*L29^4+'Airfoil 1'!$B$26*L29^5+'Airfoil 1'!$B$27*L29^6)*0+BD29</f>
        <v>2.4489313868613138E-2</v>
      </c>
      <c r="N29" s="42">
        <f ca="1">('Airfoil 1'!$B$29+'Airfoil 1'!$B$30*L29+'Airfoil 1'!$B$31*L29^2+'Airfoil 1'!$B$32*L29^3+'Airfoil 1'!$B$33*L29^4+'Airfoil 1'!$B$34*L29^5+'Airfoil 1'!$B$35*L29^6)*0+CA29</f>
        <v>1.7370857855361597E-2</v>
      </c>
      <c r="O29" s="42">
        <f ca="1">('Airfoil 1'!$B$37+'Airfoil 1'!$B$38*L29+'Airfoil 1'!$B$39*L29^2+'Airfoil 1'!$B$40*L29^3+'Airfoil 1'!$B$41*L29^4+'Airfoil 1'!$B$42*L29^5+'Airfoil 1'!$B$43*L29^6)*0+CX29</f>
        <v>1.1110331491712706E-2</v>
      </c>
      <c r="P29" s="16">
        <f>LOG('Airfoil 1'!$F$10)+LOG('Airfoil 1'!$G$10)+LOG('Airfoil 1'!$H$10)</f>
        <v>15.176091259055681</v>
      </c>
      <c r="Q29" s="16">
        <f t="shared" ca="1" si="1"/>
        <v>-5.3254750991929125</v>
      </c>
      <c r="R29" s="16">
        <f>LOG('Airfoil 1'!$F$10)^2+LOG('Airfoil 1'!$G$10)^2+LOG('Airfoil 1'!$H$10)^2</f>
        <v>76.867141336751558</v>
      </c>
      <c r="S29" s="16">
        <f ca="1">LOG('Airfoil 1'!$F$10)*LOG(M29)+LOG('Airfoil 1'!$G$10)*LOG(N29)+LOG('Airfoil 1'!$H$10)*LOG(O29)</f>
        <v>-27.014391057528009</v>
      </c>
      <c r="T29" s="16">
        <f t="shared" ca="1" si="2"/>
        <v>141.60346469083578</v>
      </c>
      <c r="U29" s="16">
        <f t="shared" ca="1" si="3"/>
        <v>-0.77613507568957385</v>
      </c>
      <c r="V29" s="42">
        <f ca="1">IF(Energy!$F$11=1,Energy!$T$13,1)*T29*H29^U29</f>
        <v>7.7974580991565269E-3</v>
      </c>
      <c r="W29" s="10">
        <f ca="1">'Airfoil 1'!$B$48+'Airfoil 1'!$B$49*L29+'Airfoil 1'!$B$50*L29^2+'Airfoil 1'!$B$51*L29^3+'Airfoil 1'!$B$52*L29^4+'Airfoil 1'!$B$53*L29^5+'Airfoil 1'!$B$54*L29^6</f>
        <v>-0.155</v>
      </c>
      <c r="X29" s="42">
        <f ca="1">'Airfoil 1'!$B$56+'Airfoil 1'!$B$57*L29+'Airfoil 1'!$B$58*L29^2+'Airfoil 1'!$B$59*L29^3+'Airfoil 1'!$B$60*L29^4+'Airfoil 1'!$B$61*L29^5+'Airfoil 1'!$B$62*L29^6</f>
        <v>-0.155</v>
      </c>
      <c r="Y29" s="42">
        <f ca="1">'Airfoil 1'!$B$64+'Airfoil 1'!$B$65*L29+'Airfoil 1'!$B$66*L29^2+'Airfoil 1'!$B$67*L29^3+'Airfoil 1'!$B$681*L29^4+'Airfoil 1'!$B$69*L29^5+'Airfoil 1'!$B$70*L29^6</f>
        <v>-0.155</v>
      </c>
      <c r="Z29" s="16">
        <f>LOG('Airfoil 1'!$F$10)+LOG('Airfoil 1'!$G$10)+LOG('Airfoil 1'!$H$10)</f>
        <v>15.176091259055681</v>
      </c>
      <c r="AA29" s="16">
        <f t="shared" ca="1" si="4"/>
        <v>-2.4290049054891254</v>
      </c>
      <c r="AB29" s="16">
        <f>LOG('Airfoil 1'!$F$10)^2+LOG('Airfoil 1'!$G$10)^2+LOG('Airfoil 1'!$H$10)^2</f>
        <v>76.867141336751558</v>
      </c>
      <c r="AC29" s="16">
        <f ca="1">LOG('Airfoil 1'!$F$10)*LOG(ABS(W29))+LOG('Airfoil 1'!$G$10)*LOG(ABS(X29))+LOG('Airfoil 1'!$H$10)*LOG(ABS(Y29))</f>
        <v>-12.287600038132297</v>
      </c>
      <c r="AD29" s="16">
        <f t="shared" ca="1" si="5"/>
        <v>0.1550000000000121</v>
      </c>
      <c r="AE29" s="16">
        <f t="shared" ca="1" si="6"/>
        <v>-6.6718325633022456E-15</v>
      </c>
      <c r="AF29" s="42">
        <f t="shared" ca="1" si="7"/>
        <v>-0.15499999999999892</v>
      </c>
      <c r="AG29" s="16"/>
      <c r="AH29" s="42"/>
      <c r="AI29" s="16">
        <f ca="1">(L29-'Airfoil 1'!$Z$22)/ABS(L29-'Airfoil 1'!$Z$22)</f>
        <v>1</v>
      </c>
      <c r="AJ29" s="16">
        <f ca="1">(L29-'Airfoil 1'!$Z$23)/ABS(L29-'Airfoil 1'!$Z$23)</f>
        <v>1</v>
      </c>
      <c r="AK29" s="16">
        <f ca="1">(L29-'Airfoil 1'!$Z$24)/ABS(L29-'Airfoil 1'!$Z$24)</f>
        <v>1</v>
      </c>
      <c r="AL29" s="16">
        <f ca="1">(L29-'Airfoil 1'!$Z$25)/ABS(L29-'Airfoil 1'!$Z$25)</f>
        <v>1</v>
      </c>
      <c r="AM29" s="16">
        <f ca="1">(L29-'Airfoil 1'!$Z$26)/ABS(L29-'Airfoil 1'!$Z$26)</f>
        <v>1</v>
      </c>
      <c r="AN29" s="16">
        <f ca="1">(L29-'Airfoil 1'!$Z$27)/ABS(L29-'Airfoil 1'!$Z$27)</f>
        <v>1</v>
      </c>
      <c r="AO29" s="16">
        <f ca="1">(L29-'Airfoil 1'!$Z$28)/ABS(L29-'Airfoil 1'!$Z$28)</f>
        <v>1</v>
      </c>
      <c r="AP29" s="16">
        <f ca="1">(L29-'Airfoil 1'!$Z$29)/ABS(L29-'Airfoil 1'!$Z$29)</f>
        <v>-1</v>
      </c>
      <c r="AQ29" s="16">
        <f ca="1">(L29-'Airfoil 1'!$Z$30)/ABS(L29-'Airfoil 1'!$Z$30)</f>
        <v>-1</v>
      </c>
      <c r="AR29" s="16">
        <f ca="1">(L29-'Airfoil 1'!$Z$31)/ABS(L29-'Airfoil 1'!$Z$31)</f>
        <v>-1</v>
      </c>
      <c r="AS29" s="16">
        <f ca="1">(L29-'Airfoil 1'!$Z$32)/ABS(L29-'Airfoil 1'!$Z$32)</f>
        <v>-1</v>
      </c>
      <c r="AT29" s="16">
        <f ca="1">(L29-'Airfoil 1'!$Z$33)/ABS(L29-'Airfoil 1'!$Z$33)</f>
        <v>-1</v>
      </c>
      <c r="AU29" s="16">
        <f ca="1">(L29-'Airfoil 1'!$Z$34)/ABS(L29-'Airfoil 1'!$Z$34)</f>
        <v>-1</v>
      </c>
      <c r="AV29" s="16">
        <f ca="1">(L29-'Airfoil 1'!$Z$35)/ABS(L29-'Airfoil 1'!$Z$35)</f>
        <v>-1</v>
      </c>
      <c r="AW29" s="16">
        <f ca="1">(L29-'Airfoil 1'!$Z$36)/ABS(L29-'Airfoil 1'!$Z$36)</f>
        <v>-1</v>
      </c>
      <c r="AX29" s="16">
        <f ca="1">(L29-'Airfoil 1'!$Z$37)/ABS(L29-'Airfoil 1'!$Z$37)</f>
        <v>-1</v>
      </c>
      <c r="AY29" s="16">
        <f ca="1">(L29-'Airfoil 1'!$Z$38)/ABS(L29-'Airfoil 1'!$Z$38)</f>
        <v>-1</v>
      </c>
      <c r="AZ29" s="16">
        <f ca="1">(L29-'Airfoil 1'!$Z$39)/ABS(L29-'Airfoil 1'!$Z$39)</f>
        <v>-1</v>
      </c>
      <c r="BA29" s="16">
        <f ca="1">(L29-'Airfoil 1'!$Z$40)/ABS(L29-'Airfoil 1'!$Z$40)</f>
        <v>-1</v>
      </c>
      <c r="BB29" s="16">
        <f ca="1">(L29-'Airfoil 1'!$Z$41)/ABS(L29-'Airfoil 1'!$Z$41)</f>
        <v>-1</v>
      </c>
      <c r="BC29" s="5">
        <f t="shared" ca="1" si="8"/>
        <v>7</v>
      </c>
      <c r="BD29" s="42">
        <f ca="1">INDEX('Airfoil 1'!$AA$22:$AA$41,BC29,1)+INDEX('Airfoil 1'!$AB$22:$AB$41,BC29,1)*(L29-INDEX('Airfoil 1'!$Z$22:$Z$41,BC29,1))</f>
        <v>2.4489313868613138E-2</v>
      </c>
      <c r="BE29" s="6"/>
      <c r="BF29" s="16">
        <f ca="1">(L29-'Airfoil 1'!$Z$47)/ABS(L29-'Airfoil 1'!$Z$47)</f>
        <v>1</v>
      </c>
      <c r="BG29" s="16">
        <f ca="1">(L29-'Airfoil 1'!$Z$48)/ABS(L29-'Airfoil 1'!$Z$48)</f>
        <v>1</v>
      </c>
      <c r="BH29" s="16">
        <f ca="1">(L29-'Airfoil 1'!$Z$49)/ABS(L29-'Airfoil 1'!$Z$49)</f>
        <v>1</v>
      </c>
      <c r="BI29" s="16">
        <f ca="1">(L29-'Airfoil 1'!$Z$50)/ABS(L29-'Airfoil 1'!$Z$50)</f>
        <v>1</v>
      </c>
      <c r="BJ29" s="16">
        <f ca="1">(L29-'Airfoil 1'!$Z$51)/ABS(L29-'Airfoil 1'!$Z$51)</f>
        <v>1</v>
      </c>
      <c r="BK29" s="16">
        <f ca="1">(L29-'Airfoil 1'!$Z$52)/ABS(L29-'Airfoil 1'!$Z$52)</f>
        <v>1</v>
      </c>
      <c r="BL29" s="16">
        <f ca="1">(L29-'Airfoil 1'!$Z$53)/ABS(L29-'Airfoil 1'!$Z$53)</f>
        <v>-1</v>
      </c>
      <c r="BM29" s="16">
        <f ca="1">(L29-'Airfoil 1'!$Z$54)/ABS(L29-'Airfoil 1'!$Z$54)</f>
        <v>-1</v>
      </c>
      <c r="BN29" s="16">
        <f ca="1">(L29-'Airfoil 1'!$Z$55)/ABS(L29-'Airfoil 1'!$Z$55)</f>
        <v>-1</v>
      </c>
      <c r="BO29" s="16">
        <f ca="1">(L29-'Airfoil 1'!$Z$56)/ABS(L29-'Airfoil 1'!$Z$56)</f>
        <v>-1</v>
      </c>
      <c r="BP29" s="16">
        <f ca="1">(L29-'Airfoil 1'!$Z$57)/ABS(L29-'Airfoil 1'!$Z$57)</f>
        <v>-1</v>
      </c>
      <c r="BQ29" s="16">
        <f ca="1">(L29-'Airfoil 1'!$Z$58)/ABS(L29-'Airfoil 1'!$Z$58)</f>
        <v>-1</v>
      </c>
      <c r="BR29" s="16">
        <f ca="1">(L29-'Airfoil 1'!$Z$59)/ABS(L29-'Airfoil 1'!$Z$59)</f>
        <v>-1</v>
      </c>
      <c r="BS29" s="16">
        <f ca="1">(L29-'Airfoil 1'!$Z$60)/ABS(L29-'Airfoil 1'!$Z$60)</f>
        <v>-1</v>
      </c>
      <c r="BT29" s="16">
        <f ca="1">(L29-'Airfoil 1'!$Z$61)/ABS(L29-'Airfoil 1'!$Z$61)</f>
        <v>-1</v>
      </c>
      <c r="BU29" s="16">
        <f ca="1">(L29-'Airfoil 1'!$Z$62)/ABS(L29-'Airfoil 1'!$Z$62)</f>
        <v>-1</v>
      </c>
      <c r="BV29" s="16">
        <f ca="1">(L29-'Airfoil 1'!$Z$63)/ABS(L29-'Airfoil 1'!$Z$63)</f>
        <v>-1</v>
      </c>
      <c r="BW29" s="16">
        <f ca="1">(L29-'Airfoil 1'!$Z$64)/ABS(L29-'Airfoil 1'!$Z$64)</f>
        <v>-1</v>
      </c>
      <c r="BX29" s="16">
        <f ca="1">(L29-'Airfoil 1'!$Z$65)/ABS(L29-'Airfoil 1'!$Z$65)</f>
        <v>-1</v>
      </c>
      <c r="BY29" s="16">
        <f ca="1">(L29-'Airfoil 1'!$Z$66)/ABS(L29-'Airfoil 1'!$Z$66)</f>
        <v>-1</v>
      </c>
      <c r="BZ29" s="5">
        <f t="shared" ca="1" si="9"/>
        <v>6</v>
      </c>
      <c r="CA29" s="42">
        <f ca="1">INDEX('Airfoil 1'!$AA$47:$AA$66,BZ29,1)+INDEX('Airfoil 1'!$AB$47:$AB$66,BZ29,1)*(L29-INDEX('Airfoil 1'!$Z$47:$Z$66,BZ29,1))</f>
        <v>1.7370857855361597E-2</v>
      </c>
      <c r="CC29" s="16">
        <f ca="1">(L29-'Airfoil 1'!$Z$72)/ABS(L29-'Airfoil 1'!$Z$72)</f>
        <v>1</v>
      </c>
      <c r="CD29" s="16">
        <f ca="1">(L29-'Airfoil 1'!$Z$73)/ABS(L29-'Airfoil 1'!$Z$73)</f>
        <v>1</v>
      </c>
      <c r="CE29" s="16">
        <f ca="1">(L29-'Airfoil 1'!$Z$74)/ABS(L29-'Airfoil 1'!$Z$74)</f>
        <v>1</v>
      </c>
      <c r="CF29" s="16">
        <f ca="1">(L29-'Airfoil 1'!$Z$75)/ABS(L29-'Airfoil 1'!$Z$75)</f>
        <v>1</v>
      </c>
      <c r="CG29" s="16">
        <f ca="1">(L29-'Airfoil 1'!$Z$76)/ABS(L29-'Airfoil 1'!$Z$76)</f>
        <v>-1</v>
      </c>
      <c r="CH29" s="16">
        <f ca="1">(L29-'Airfoil 1'!$Z$77)/ABS(L29-'Airfoil 1'!$Z$77)</f>
        <v>-1</v>
      </c>
      <c r="CI29" s="16">
        <f ca="1">(L29-'Airfoil 1'!$Z$78)/ABS(L29-'Airfoil 1'!$Z$78)</f>
        <v>-1</v>
      </c>
      <c r="CJ29" s="16">
        <f ca="1">(L29-'Airfoil 1'!$Z$79)/ABS(L29-'Airfoil 1'!$Z$79)</f>
        <v>-1</v>
      </c>
      <c r="CK29" s="16">
        <f ca="1">(L29-'Airfoil 1'!$Z$80)/ABS(L29-'Airfoil 1'!$Z$80)</f>
        <v>-1</v>
      </c>
      <c r="CL29" s="16">
        <f ca="1">(L29-'Airfoil 1'!$Z$81)/ABS(L29-'Airfoil 1'!$Z$81)</f>
        <v>-1</v>
      </c>
      <c r="CM29" s="16">
        <f ca="1">(L29-'Airfoil 1'!$Z$82)/ABS(L29-'Airfoil 1'!$Z$82)</f>
        <v>-1</v>
      </c>
      <c r="CN29" s="16">
        <f ca="1">(L29-'Airfoil 1'!$Z$83)/ABS(L29-'Airfoil 1'!$Z$83)</f>
        <v>-1</v>
      </c>
      <c r="CO29" s="16">
        <f ca="1">(L29-'Airfoil 1'!$Z$84)/ABS(L29-'Airfoil 1'!$Z$84)</f>
        <v>-1</v>
      </c>
      <c r="CP29" s="16">
        <f ca="1">(L29-'Airfoil 1'!$Z$85)/ABS(L29-'Airfoil 1'!$Z$85)</f>
        <v>-1</v>
      </c>
      <c r="CQ29" s="16">
        <f ca="1">(L29-'Airfoil 1'!$Z$86)/ABS(L29-'Airfoil 1'!$Z$86)</f>
        <v>-1</v>
      </c>
      <c r="CR29" s="16">
        <f ca="1">(L29-'Airfoil 1'!$Z$87)/ABS(L29-'Airfoil 1'!$Z$87)</f>
        <v>-1</v>
      </c>
      <c r="CS29" s="16">
        <f ca="1">(L29-'Airfoil 1'!$Z$88)/ABS(L29-'Airfoil 1'!$Z$88)</f>
        <v>-1</v>
      </c>
      <c r="CT29" s="16">
        <f ca="1">(L29-'Airfoil 1'!$Z$89)/ABS(L29-'Airfoil 1'!$Z$89)</f>
        <v>-1</v>
      </c>
      <c r="CU29" s="16">
        <f ca="1">(L29-'Airfoil 1'!$Z$90)/ABS(L29-'Airfoil 1'!$Z$90)</f>
        <v>-1</v>
      </c>
      <c r="CV29" s="16">
        <f ca="1">(L29-'Airfoil 1'!$Z$91)/ABS(L29-'Airfoil 1'!$Z$91)</f>
        <v>-1</v>
      </c>
      <c r="CW29" s="5">
        <f t="shared" ca="1" si="10"/>
        <v>4</v>
      </c>
      <c r="CX29" s="42">
        <f ca="1">INDEX('Airfoil 1'!$AA$72:$AA$91,CW29,1)+INDEX('Airfoil 1'!$AB$72:$AB$91,CW29,1)*(L29-INDEX('Airfoil 1'!$Z$72:$Z$91,CW29,1))</f>
        <v>1.1110331491712706E-2</v>
      </c>
    </row>
    <row r="30" spans="2:102">
      <c r="B30" s="31">
        <f>Main!B30</f>
        <v>0.33333333333333326</v>
      </c>
      <c r="D30" s="1">
        <f>'RC'!F30</f>
        <v>0.65969672852566186</v>
      </c>
      <c r="E30" s="4">
        <f>ISA!$R$10</f>
        <v>1.5987591530356481E-5</v>
      </c>
      <c r="G30" s="13">
        <f ca="1">'RC'!X30</f>
        <v>24.858990723279437</v>
      </c>
      <c r="H30" s="5">
        <f t="shared" ca="1" si="0"/>
        <v>341919.22786824655</v>
      </c>
      <c r="I30" s="16">
        <f ca="1">'Airfoil 2'!$K$14*H30^'Airfoil 2'!$L$13</f>
        <v>1.5823770296445037</v>
      </c>
      <c r="J30" s="1">
        <f ca="1">'Airfoil 2'!$K$33*H30^'Airfoil 2'!$L$32</f>
        <v>5.0731961754686132</v>
      </c>
      <c r="K30" s="13">
        <f ca="1">'Airfoil 2'!$K$52*H30^'Airfoil 2'!$L$51</f>
        <v>-9.0249781933118687</v>
      </c>
      <c r="L30" s="16">
        <f ca="1">'Aerodynamics-RCmax'!W30</f>
        <v>0.9</v>
      </c>
      <c r="M30" s="10">
        <f ca="1">('Airfoil 1'!$B$21+'Airfoil 1'!$B$22*L30+'Airfoil 1'!$B$23*L30^2+'Airfoil 1'!$B$24*L30^3+'Airfoil 1'!$B$25*L30^4+'Airfoil 1'!$B$26*L30^5+'Airfoil 1'!$B$27*L30^6)*0+BD30</f>
        <v>2.4489313868613138E-2</v>
      </c>
      <c r="N30" s="42">
        <f ca="1">('Airfoil 1'!$B$29+'Airfoil 1'!$B$30*L30+'Airfoil 1'!$B$31*L30^2+'Airfoil 1'!$B$32*L30^3+'Airfoil 1'!$B$33*L30^4+'Airfoil 1'!$B$34*L30^5+'Airfoil 1'!$B$35*L30^6)*0+CA30</f>
        <v>1.7370857855361597E-2</v>
      </c>
      <c r="O30" s="42">
        <f ca="1">('Airfoil 1'!$B$37+'Airfoil 1'!$B$38*L30+'Airfoil 1'!$B$39*L30^2+'Airfoil 1'!$B$40*L30^3+'Airfoil 1'!$B$41*L30^4+'Airfoil 1'!$B$42*L30^5+'Airfoil 1'!$B$43*L30^6)*0+CX30</f>
        <v>1.1110331491712706E-2</v>
      </c>
      <c r="P30" s="16">
        <f>LOG('Airfoil 1'!$F$10)+LOG('Airfoil 1'!$G$10)+LOG('Airfoil 1'!$H$10)</f>
        <v>15.176091259055681</v>
      </c>
      <c r="Q30" s="16">
        <f t="shared" ca="1" si="1"/>
        <v>-5.3254750991929125</v>
      </c>
      <c r="R30" s="16">
        <f>LOG('Airfoil 1'!$F$10)^2+LOG('Airfoil 1'!$G$10)^2+LOG('Airfoil 1'!$H$10)^2</f>
        <v>76.867141336751558</v>
      </c>
      <c r="S30" s="16">
        <f ca="1">LOG('Airfoil 1'!$F$10)*LOG(M30)+LOG('Airfoil 1'!$G$10)*LOG(N30)+LOG('Airfoil 1'!$H$10)*LOG(O30)</f>
        <v>-27.014391057528009</v>
      </c>
      <c r="T30" s="16">
        <f t="shared" ca="1" si="2"/>
        <v>141.60346469083578</v>
      </c>
      <c r="U30" s="16">
        <f t="shared" ca="1" si="3"/>
        <v>-0.77613507568957385</v>
      </c>
      <c r="V30" s="42">
        <f ca="1">IF(Energy!$F$11=1,Energy!$T$13,1)*T30*H30^U30</f>
        <v>7.9137135193487439E-3</v>
      </c>
      <c r="W30" s="10">
        <f ca="1">'Airfoil 1'!$B$48+'Airfoil 1'!$B$49*L30+'Airfoil 1'!$B$50*L30^2+'Airfoil 1'!$B$51*L30^3+'Airfoil 1'!$B$52*L30^4+'Airfoil 1'!$B$53*L30^5+'Airfoil 1'!$B$54*L30^6</f>
        <v>-0.155</v>
      </c>
      <c r="X30" s="42">
        <f ca="1">'Airfoil 1'!$B$56+'Airfoil 1'!$B$57*L30+'Airfoil 1'!$B$58*L30^2+'Airfoil 1'!$B$59*L30^3+'Airfoil 1'!$B$60*L30^4+'Airfoil 1'!$B$61*L30^5+'Airfoil 1'!$B$62*L30^6</f>
        <v>-0.155</v>
      </c>
      <c r="Y30" s="42">
        <f ca="1">'Airfoil 1'!$B$64+'Airfoil 1'!$B$65*L30+'Airfoil 1'!$B$66*L30^2+'Airfoil 1'!$B$67*L30^3+'Airfoil 1'!$B$681*L30^4+'Airfoil 1'!$B$69*L30^5+'Airfoil 1'!$B$70*L30^6</f>
        <v>-0.155</v>
      </c>
      <c r="Z30" s="16">
        <f>LOG('Airfoil 1'!$F$10)+LOG('Airfoil 1'!$G$10)+LOG('Airfoil 1'!$H$10)</f>
        <v>15.176091259055681</v>
      </c>
      <c r="AA30" s="16">
        <f t="shared" ca="1" si="4"/>
        <v>-2.4290049054891254</v>
      </c>
      <c r="AB30" s="16">
        <f>LOG('Airfoil 1'!$F$10)^2+LOG('Airfoil 1'!$G$10)^2+LOG('Airfoil 1'!$H$10)^2</f>
        <v>76.867141336751558</v>
      </c>
      <c r="AC30" s="16">
        <f ca="1">LOG('Airfoil 1'!$F$10)*LOG(ABS(W30))+LOG('Airfoil 1'!$G$10)*LOG(ABS(X30))+LOG('Airfoil 1'!$H$10)*LOG(ABS(Y30))</f>
        <v>-12.287600038132297</v>
      </c>
      <c r="AD30" s="16">
        <f t="shared" ca="1" si="5"/>
        <v>0.1550000000000121</v>
      </c>
      <c r="AE30" s="16">
        <f t="shared" ca="1" si="6"/>
        <v>-6.6718325633022456E-15</v>
      </c>
      <c r="AF30" s="42">
        <f t="shared" ca="1" si="7"/>
        <v>-0.15499999999999892</v>
      </c>
      <c r="AG30" s="16"/>
      <c r="AH30" s="42"/>
      <c r="AI30" s="16">
        <f ca="1">(L30-'Airfoil 1'!$Z$22)/ABS(L30-'Airfoil 1'!$Z$22)</f>
        <v>1</v>
      </c>
      <c r="AJ30" s="16">
        <f ca="1">(L30-'Airfoil 1'!$Z$23)/ABS(L30-'Airfoil 1'!$Z$23)</f>
        <v>1</v>
      </c>
      <c r="AK30" s="16">
        <f ca="1">(L30-'Airfoil 1'!$Z$24)/ABS(L30-'Airfoil 1'!$Z$24)</f>
        <v>1</v>
      </c>
      <c r="AL30" s="16">
        <f ca="1">(L30-'Airfoil 1'!$Z$25)/ABS(L30-'Airfoil 1'!$Z$25)</f>
        <v>1</v>
      </c>
      <c r="AM30" s="16">
        <f ca="1">(L30-'Airfoil 1'!$Z$26)/ABS(L30-'Airfoil 1'!$Z$26)</f>
        <v>1</v>
      </c>
      <c r="AN30" s="16">
        <f ca="1">(L30-'Airfoil 1'!$Z$27)/ABS(L30-'Airfoil 1'!$Z$27)</f>
        <v>1</v>
      </c>
      <c r="AO30" s="16">
        <f ca="1">(L30-'Airfoil 1'!$Z$28)/ABS(L30-'Airfoil 1'!$Z$28)</f>
        <v>1</v>
      </c>
      <c r="AP30" s="16">
        <f ca="1">(L30-'Airfoil 1'!$Z$29)/ABS(L30-'Airfoil 1'!$Z$29)</f>
        <v>-1</v>
      </c>
      <c r="AQ30" s="16">
        <f ca="1">(L30-'Airfoil 1'!$Z$30)/ABS(L30-'Airfoil 1'!$Z$30)</f>
        <v>-1</v>
      </c>
      <c r="AR30" s="16">
        <f ca="1">(L30-'Airfoil 1'!$Z$31)/ABS(L30-'Airfoil 1'!$Z$31)</f>
        <v>-1</v>
      </c>
      <c r="AS30" s="16">
        <f ca="1">(L30-'Airfoil 1'!$Z$32)/ABS(L30-'Airfoil 1'!$Z$32)</f>
        <v>-1</v>
      </c>
      <c r="AT30" s="16">
        <f ca="1">(L30-'Airfoil 1'!$Z$33)/ABS(L30-'Airfoil 1'!$Z$33)</f>
        <v>-1</v>
      </c>
      <c r="AU30" s="16">
        <f ca="1">(L30-'Airfoil 1'!$Z$34)/ABS(L30-'Airfoil 1'!$Z$34)</f>
        <v>-1</v>
      </c>
      <c r="AV30" s="16">
        <f ca="1">(L30-'Airfoil 1'!$Z$35)/ABS(L30-'Airfoil 1'!$Z$35)</f>
        <v>-1</v>
      </c>
      <c r="AW30" s="16">
        <f ca="1">(L30-'Airfoil 1'!$Z$36)/ABS(L30-'Airfoil 1'!$Z$36)</f>
        <v>-1</v>
      </c>
      <c r="AX30" s="16">
        <f ca="1">(L30-'Airfoil 1'!$Z$37)/ABS(L30-'Airfoil 1'!$Z$37)</f>
        <v>-1</v>
      </c>
      <c r="AY30" s="16">
        <f ca="1">(L30-'Airfoil 1'!$Z$38)/ABS(L30-'Airfoil 1'!$Z$38)</f>
        <v>-1</v>
      </c>
      <c r="AZ30" s="16">
        <f ca="1">(L30-'Airfoil 1'!$Z$39)/ABS(L30-'Airfoil 1'!$Z$39)</f>
        <v>-1</v>
      </c>
      <c r="BA30" s="16">
        <f ca="1">(L30-'Airfoil 1'!$Z$40)/ABS(L30-'Airfoil 1'!$Z$40)</f>
        <v>-1</v>
      </c>
      <c r="BB30" s="16">
        <f ca="1">(L30-'Airfoil 1'!$Z$41)/ABS(L30-'Airfoil 1'!$Z$41)</f>
        <v>-1</v>
      </c>
      <c r="BC30" s="5">
        <f t="shared" ca="1" si="8"/>
        <v>7</v>
      </c>
      <c r="BD30" s="42">
        <f ca="1">INDEX('Airfoil 1'!$AA$22:$AA$41,BC30,1)+INDEX('Airfoil 1'!$AB$22:$AB$41,BC30,1)*(L30-INDEX('Airfoil 1'!$Z$22:$Z$41,BC30,1))</f>
        <v>2.4489313868613138E-2</v>
      </c>
      <c r="BE30" s="6"/>
      <c r="BF30" s="16">
        <f ca="1">(L30-'Airfoil 1'!$Z$47)/ABS(L30-'Airfoil 1'!$Z$47)</f>
        <v>1</v>
      </c>
      <c r="BG30" s="16">
        <f ca="1">(L30-'Airfoil 1'!$Z$48)/ABS(L30-'Airfoil 1'!$Z$48)</f>
        <v>1</v>
      </c>
      <c r="BH30" s="16">
        <f ca="1">(L30-'Airfoil 1'!$Z$49)/ABS(L30-'Airfoil 1'!$Z$49)</f>
        <v>1</v>
      </c>
      <c r="BI30" s="16">
        <f ca="1">(L30-'Airfoil 1'!$Z$50)/ABS(L30-'Airfoil 1'!$Z$50)</f>
        <v>1</v>
      </c>
      <c r="BJ30" s="16">
        <f ca="1">(L30-'Airfoil 1'!$Z$51)/ABS(L30-'Airfoil 1'!$Z$51)</f>
        <v>1</v>
      </c>
      <c r="BK30" s="16">
        <f ca="1">(L30-'Airfoil 1'!$Z$52)/ABS(L30-'Airfoil 1'!$Z$52)</f>
        <v>1</v>
      </c>
      <c r="BL30" s="16">
        <f ca="1">(L30-'Airfoil 1'!$Z$53)/ABS(L30-'Airfoil 1'!$Z$53)</f>
        <v>-1</v>
      </c>
      <c r="BM30" s="16">
        <f ca="1">(L30-'Airfoil 1'!$Z$54)/ABS(L30-'Airfoil 1'!$Z$54)</f>
        <v>-1</v>
      </c>
      <c r="BN30" s="16">
        <f ca="1">(L30-'Airfoil 1'!$Z$55)/ABS(L30-'Airfoil 1'!$Z$55)</f>
        <v>-1</v>
      </c>
      <c r="BO30" s="16">
        <f ca="1">(L30-'Airfoil 1'!$Z$56)/ABS(L30-'Airfoil 1'!$Z$56)</f>
        <v>-1</v>
      </c>
      <c r="BP30" s="16">
        <f ca="1">(L30-'Airfoil 1'!$Z$57)/ABS(L30-'Airfoil 1'!$Z$57)</f>
        <v>-1</v>
      </c>
      <c r="BQ30" s="16">
        <f ca="1">(L30-'Airfoil 1'!$Z$58)/ABS(L30-'Airfoil 1'!$Z$58)</f>
        <v>-1</v>
      </c>
      <c r="BR30" s="16">
        <f ca="1">(L30-'Airfoil 1'!$Z$59)/ABS(L30-'Airfoil 1'!$Z$59)</f>
        <v>-1</v>
      </c>
      <c r="BS30" s="16">
        <f ca="1">(L30-'Airfoil 1'!$Z$60)/ABS(L30-'Airfoil 1'!$Z$60)</f>
        <v>-1</v>
      </c>
      <c r="BT30" s="16">
        <f ca="1">(L30-'Airfoil 1'!$Z$61)/ABS(L30-'Airfoil 1'!$Z$61)</f>
        <v>-1</v>
      </c>
      <c r="BU30" s="16">
        <f ca="1">(L30-'Airfoil 1'!$Z$62)/ABS(L30-'Airfoil 1'!$Z$62)</f>
        <v>-1</v>
      </c>
      <c r="BV30" s="16">
        <f ca="1">(L30-'Airfoil 1'!$Z$63)/ABS(L30-'Airfoil 1'!$Z$63)</f>
        <v>-1</v>
      </c>
      <c r="BW30" s="16">
        <f ca="1">(L30-'Airfoil 1'!$Z$64)/ABS(L30-'Airfoil 1'!$Z$64)</f>
        <v>-1</v>
      </c>
      <c r="BX30" s="16">
        <f ca="1">(L30-'Airfoil 1'!$Z$65)/ABS(L30-'Airfoil 1'!$Z$65)</f>
        <v>-1</v>
      </c>
      <c r="BY30" s="16">
        <f ca="1">(L30-'Airfoil 1'!$Z$66)/ABS(L30-'Airfoil 1'!$Z$66)</f>
        <v>-1</v>
      </c>
      <c r="BZ30" s="5">
        <f t="shared" ca="1" si="9"/>
        <v>6</v>
      </c>
      <c r="CA30" s="42">
        <f ca="1">INDEX('Airfoil 1'!$AA$47:$AA$66,BZ30,1)+INDEX('Airfoil 1'!$AB$47:$AB$66,BZ30,1)*(L30-INDEX('Airfoil 1'!$Z$47:$Z$66,BZ30,1))</f>
        <v>1.7370857855361597E-2</v>
      </c>
      <c r="CC30" s="16">
        <f ca="1">(L30-'Airfoil 1'!$Z$72)/ABS(L30-'Airfoil 1'!$Z$72)</f>
        <v>1</v>
      </c>
      <c r="CD30" s="16">
        <f ca="1">(L30-'Airfoil 1'!$Z$73)/ABS(L30-'Airfoil 1'!$Z$73)</f>
        <v>1</v>
      </c>
      <c r="CE30" s="16">
        <f ca="1">(L30-'Airfoil 1'!$Z$74)/ABS(L30-'Airfoil 1'!$Z$74)</f>
        <v>1</v>
      </c>
      <c r="CF30" s="16">
        <f ca="1">(L30-'Airfoil 1'!$Z$75)/ABS(L30-'Airfoil 1'!$Z$75)</f>
        <v>1</v>
      </c>
      <c r="CG30" s="16">
        <f ca="1">(L30-'Airfoil 1'!$Z$76)/ABS(L30-'Airfoil 1'!$Z$76)</f>
        <v>-1</v>
      </c>
      <c r="CH30" s="16">
        <f ca="1">(L30-'Airfoil 1'!$Z$77)/ABS(L30-'Airfoil 1'!$Z$77)</f>
        <v>-1</v>
      </c>
      <c r="CI30" s="16">
        <f ca="1">(L30-'Airfoil 1'!$Z$78)/ABS(L30-'Airfoil 1'!$Z$78)</f>
        <v>-1</v>
      </c>
      <c r="CJ30" s="16">
        <f ca="1">(L30-'Airfoil 1'!$Z$79)/ABS(L30-'Airfoil 1'!$Z$79)</f>
        <v>-1</v>
      </c>
      <c r="CK30" s="16">
        <f ca="1">(L30-'Airfoil 1'!$Z$80)/ABS(L30-'Airfoil 1'!$Z$80)</f>
        <v>-1</v>
      </c>
      <c r="CL30" s="16">
        <f ca="1">(L30-'Airfoil 1'!$Z$81)/ABS(L30-'Airfoil 1'!$Z$81)</f>
        <v>-1</v>
      </c>
      <c r="CM30" s="16">
        <f ca="1">(L30-'Airfoil 1'!$Z$82)/ABS(L30-'Airfoil 1'!$Z$82)</f>
        <v>-1</v>
      </c>
      <c r="CN30" s="16">
        <f ca="1">(L30-'Airfoil 1'!$Z$83)/ABS(L30-'Airfoil 1'!$Z$83)</f>
        <v>-1</v>
      </c>
      <c r="CO30" s="16">
        <f ca="1">(L30-'Airfoil 1'!$Z$84)/ABS(L30-'Airfoil 1'!$Z$84)</f>
        <v>-1</v>
      </c>
      <c r="CP30" s="16">
        <f ca="1">(L30-'Airfoil 1'!$Z$85)/ABS(L30-'Airfoil 1'!$Z$85)</f>
        <v>-1</v>
      </c>
      <c r="CQ30" s="16">
        <f ca="1">(L30-'Airfoil 1'!$Z$86)/ABS(L30-'Airfoil 1'!$Z$86)</f>
        <v>-1</v>
      </c>
      <c r="CR30" s="16">
        <f ca="1">(L30-'Airfoil 1'!$Z$87)/ABS(L30-'Airfoil 1'!$Z$87)</f>
        <v>-1</v>
      </c>
      <c r="CS30" s="16">
        <f ca="1">(L30-'Airfoil 1'!$Z$88)/ABS(L30-'Airfoil 1'!$Z$88)</f>
        <v>-1</v>
      </c>
      <c r="CT30" s="16">
        <f ca="1">(L30-'Airfoil 1'!$Z$89)/ABS(L30-'Airfoil 1'!$Z$89)</f>
        <v>-1</v>
      </c>
      <c r="CU30" s="16">
        <f ca="1">(L30-'Airfoil 1'!$Z$90)/ABS(L30-'Airfoil 1'!$Z$90)</f>
        <v>-1</v>
      </c>
      <c r="CV30" s="16">
        <f ca="1">(L30-'Airfoil 1'!$Z$91)/ABS(L30-'Airfoil 1'!$Z$91)</f>
        <v>-1</v>
      </c>
      <c r="CW30" s="5">
        <f t="shared" ca="1" si="10"/>
        <v>4</v>
      </c>
      <c r="CX30" s="42">
        <f ca="1">INDEX('Airfoil 1'!$AA$72:$AA$91,CW30,1)+INDEX('Airfoil 1'!$AB$72:$AB$91,CW30,1)*(L30-INDEX('Airfoil 1'!$Z$72:$Z$91,CW30,1))</f>
        <v>1.1110331491712706E-2</v>
      </c>
    </row>
    <row r="31" spans="2:102">
      <c r="B31" s="31">
        <f>Main!B31</f>
        <v>0.33333333333333326</v>
      </c>
      <c r="D31" s="1">
        <f>'RC'!F31</f>
        <v>0.65969672852566186</v>
      </c>
      <c r="E31" s="4">
        <f>ISA!$R$10</f>
        <v>1.5987591530356481E-5</v>
      </c>
      <c r="G31" s="13">
        <f ca="1">'RC'!X31</f>
        <v>24.411011139810388</v>
      </c>
      <c r="H31" s="5">
        <f t="shared" ca="1" si="0"/>
        <v>335757.56044636539</v>
      </c>
      <c r="I31" s="16">
        <f ca="1">'Airfoil 2'!$K$14*H31^'Airfoil 2'!$L$13</f>
        <v>1.5819770573198153</v>
      </c>
      <c r="J31" s="1">
        <f ca="1">'Airfoil 2'!$K$33*H31^'Airfoil 2'!$L$32</f>
        <v>5.1043214409451245</v>
      </c>
      <c r="K31" s="13">
        <f ca="1">'Airfoil 2'!$K$52*H31^'Airfoil 2'!$L$51</f>
        <v>-8.9158870013463147</v>
      </c>
      <c r="L31" s="16">
        <f ca="1">'Aerodynamics-RCmax'!W31</f>
        <v>0.9</v>
      </c>
      <c r="M31" s="10">
        <f ca="1">('Airfoil 1'!$B$21+'Airfoil 1'!$B$22*L31+'Airfoil 1'!$B$23*L31^2+'Airfoil 1'!$B$24*L31^3+'Airfoil 1'!$B$25*L31^4+'Airfoil 1'!$B$26*L31^5+'Airfoil 1'!$B$27*L31^6)*0+BD31</f>
        <v>2.4489313868613138E-2</v>
      </c>
      <c r="N31" s="42">
        <f ca="1">('Airfoil 1'!$B$29+'Airfoil 1'!$B$30*L31+'Airfoil 1'!$B$31*L31^2+'Airfoil 1'!$B$32*L31^3+'Airfoil 1'!$B$33*L31^4+'Airfoil 1'!$B$34*L31^5+'Airfoil 1'!$B$35*L31^6)*0+CA31</f>
        <v>1.7370857855361597E-2</v>
      </c>
      <c r="O31" s="42">
        <f ca="1">('Airfoil 1'!$B$37+'Airfoil 1'!$B$38*L31+'Airfoil 1'!$B$39*L31^2+'Airfoil 1'!$B$40*L31^3+'Airfoil 1'!$B$41*L31^4+'Airfoil 1'!$B$42*L31^5+'Airfoil 1'!$B$43*L31^6)*0+CX31</f>
        <v>1.1110331491712706E-2</v>
      </c>
      <c r="P31" s="16">
        <f>LOG('Airfoil 1'!$F$10)+LOG('Airfoil 1'!$G$10)+LOG('Airfoil 1'!$H$10)</f>
        <v>15.176091259055681</v>
      </c>
      <c r="Q31" s="16">
        <f t="shared" ca="1" si="1"/>
        <v>-5.3254750991929125</v>
      </c>
      <c r="R31" s="16">
        <f>LOG('Airfoil 1'!$F$10)^2+LOG('Airfoil 1'!$G$10)^2+LOG('Airfoil 1'!$H$10)^2</f>
        <v>76.867141336751558</v>
      </c>
      <c r="S31" s="16">
        <f ca="1">LOG('Airfoil 1'!$F$10)*LOG(M31)+LOG('Airfoil 1'!$G$10)*LOG(N31)+LOG('Airfoil 1'!$H$10)*LOG(O31)</f>
        <v>-27.014391057528009</v>
      </c>
      <c r="T31" s="16">
        <f t="shared" ca="1" si="2"/>
        <v>141.60346469083578</v>
      </c>
      <c r="U31" s="16">
        <f t="shared" ca="1" si="3"/>
        <v>-0.77613507568957385</v>
      </c>
      <c r="V31" s="42">
        <f ca="1">IF(Energy!$F$11=1,Energy!$T$13,1)*T31*H31^U31</f>
        <v>8.0262008722891184E-3</v>
      </c>
      <c r="W31" s="10">
        <f ca="1">'Airfoil 1'!$B$48+'Airfoil 1'!$B$49*L31+'Airfoil 1'!$B$50*L31^2+'Airfoil 1'!$B$51*L31^3+'Airfoil 1'!$B$52*L31^4+'Airfoil 1'!$B$53*L31^5+'Airfoil 1'!$B$54*L31^6</f>
        <v>-0.155</v>
      </c>
      <c r="X31" s="42">
        <f ca="1">'Airfoil 1'!$B$56+'Airfoil 1'!$B$57*L31+'Airfoil 1'!$B$58*L31^2+'Airfoil 1'!$B$59*L31^3+'Airfoil 1'!$B$60*L31^4+'Airfoil 1'!$B$61*L31^5+'Airfoil 1'!$B$62*L31^6</f>
        <v>-0.155</v>
      </c>
      <c r="Y31" s="42">
        <f ca="1">'Airfoil 1'!$B$64+'Airfoil 1'!$B$65*L31+'Airfoil 1'!$B$66*L31^2+'Airfoil 1'!$B$67*L31^3+'Airfoil 1'!$B$681*L31^4+'Airfoil 1'!$B$69*L31^5+'Airfoil 1'!$B$70*L31^6</f>
        <v>-0.155</v>
      </c>
      <c r="Z31" s="16">
        <f>LOG('Airfoil 1'!$F$10)+LOG('Airfoil 1'!$G$10)+LOG('Airfoil 1'!$H$10)</f>
        <v>15.176091259055681</v>
      </c>
      <c r="AA31" s="16">
        <f t="shared" ca="1" si="4"/>
        <v>-2.4290049054891254</v>
      </c>
      <c r="AB31" s="16">
        <f>LOG('Airfoil 1'!$F$10)^2+LOG('Airfoil 1'!$G$10)^2+LOG('Airfoil 1'!$H$10)^2</f>
        <v>76.867141336751558</v>
      </c>
      <c r="AC31" s="16">
        <f ca="1">LOG('Airfoil 1'!$F$10)*LOG(ABS(W31))+LOG('Airfoil 1'!$G$10)*LOG(ABS(X31))+LOG('Airfoil 1'!$H$10)*LOG(ABS(Y31))</f>
        <v>-12.287600038132297</v>
      </c>
      <c r="AD31" s="16">
        <f t="shared" ca="1" si="5"/>
        <v>0.1550000000000121</v>
      </c>
      <c r="AE31" s="16">
        <f t="shared" ca="1" si="6"/>
        <v>-6.6718325633022456E-15</v>
      </c>
      <c r="AF31" s="42">
        <f t="shared" ca="1" si="7"/>
        <v>-0.15499999999999894</v>
      </c>
      <c r="AG31" s="16"/>
      <c r="AH31" s="42"/>
      <c r="AI31" s="16">
        <f ca="1">(L31-'Airfoil 1'!$Z$22)/ABS(L31-'Airfoil 1'!$Z$22)</f>
        <v>1</v>
      </c>
      <c r="AJ31" s="16">
        <f ca="1">(L31-'Airfoil 1'!$Z$23)/ABS(L31-'Airfoil 1'!$Z$23)</f>
        <v>1</v>
      </c>
      <c r="AK31" s="16">
        <f ca="1">(L31-'Airfoil 1'!$Z$24)/ABS(L31-'Airfoil 1'!$Z$24)</f>
        <v>1</v>
      </c>
      <c r="AL31" s="16">
        <f ca="1">(L31-'Airfoil 1'!$Z$25)/ABS(L31-'Airfoil 1'!$Z$25)</f>
        <v>1</v>
      </c>
      <c r="AM31" s="16">
        <f ca="1">(L31-'Airfoil 1'!$Z$26)/ABS(L31-'Airfoil 1'!$Z$26)</f>
        <v>1</v>
      </c>
      <c r="AN31" s="16">
        <f ca="1">(L31-'Airfoil 1'!$Z$27)/ABS(L31-'Airfoil 1'!$Z$27)</f>
        <v>1</v>
      </c>
      <c r="AO31" s="16">
        <f ca="1">(L31-'Airfoil 1'!$Z$28)/ABS(L31-'Airfoil 1'!$Z$28)</f>
        <v>1</v>
      </c>
      <c r="AP31" s="16">
        <f ca="1">(L31-'Airfoil 1'!$Z$29)/ABS(L31-'Airfoil 1'!$Z$29)</f>
        <v>-1</v>
      </c>
      <c r="AQ31" s="16">
        <f ca="1">(L31-'Airfoil 1'!$Z$30)/ABS(L31-'Airfoil 1'!$Z$30)</f>
        <v>-1</v>
      </c>
      <c r="AR31" s="16">
        <f ca="1">(L31-'Airfoil 1'!$Z$31)/ABS(L31-'Airfoil 1'!$Z$31)</f>
        <v>-1</v>
      </c>
      <c r="AS31" s="16">
        <f ca="1">(L31-'Airfoil 1'!$Z$32)/ABS(L31-'Airfoil 1'!$Z$32)</f>
        <v>-1</v>
      </c>
      <c r="AT31" s="16">
        <f ca="1">(L31-'Airfoil 1'!$Z$33)/ABS(L31-'Airfoil 1'!$Z$33)</f>
        <v>-1</v>
      </c>
      <c r="AU31" s="16">
        <f ca="1">(L31-'Airfoil 1'!$Z$34)/ABS(L31-'Airfoil 1'!$Z$34)</f>
        <v>-1</v>
      </c>
      <c r="AV31" s="16">
        <f ca="1">(L31-'Airfoil 1'!$Z$35)/ABS(L31-'Airfoil 1'!$Z$35)</f>
        <v>-1</v>
      </c>
      <c r="AW31" s="16">
        <f ca="1">(L31-'Airfoil 1'!$Z$36)/ABS(L31-'Airfoil 1'!$Z$36)</f>
        <v>-1</v>
      </c>
      <c r="AX31" s="16">
        <f ca="1">(L31-'Airfoil 1'!$Z$37)/ABS(L31-'Airfoil 1'!$Z$37)</f>
        <v>-1</v>
      </c>
      <c r="AY31" s="16">
        <f ca="1">(L31-'Airfoil 1'!$Z$38)/ABS(L31-'Airfoil 1'!$Z$38)</f>
        <v>-1</v>
      </c>
      <c r="AZ31" s="16">
        <f ca="1">(L31-'Airfoil 1'!$Z$39)/ABS(L31-'Airfoil 1'!$Z$39)</f>
        <v>-1</v>
      </c>
      <c r="BA31" s="16">
        <f ca="1">(L31-'Airfoil 1'!$Z$40)/ABS(L31-'Airfoil 1'!$Z$40)</f>
        <v>-1</v>
      </c>
      <c r="BB31" s="16">
        <f ca="1">(L31-'Airfoil 1'!$Z$41)/ABS(L31-'Airfoil 1'!$Z$41)</f>
        <v>-1</v>
      </c>
      <c r="BC31" s="5">
        <f t="shared" ca="1" si="8"/>
        <v>7</v>
      </c>
      <c r="BD31" s="42">
        <f ca="1">INDEX('Airfoil 1'!$AA$22:$AA$41,BC31,1)+INDEX('Airfoil 1'!$AB$22:$AB$41,BC31,1)*(L31-INDEX('Airfoil 1'!$Z$22:$Z$41,BC31,1))</f>
        <v>2.4489313868613138E-2</v>
      </c>
      <c r="BE31" s="6"/>
      <c r="BF31" s="16">
        <f ca="1">(L31-'Airfoil 1'!$Z$47)/ABS(L31-'Airfoil 1'!$Z$47)</f>
        <v>1</v>
      </c>
      <c r="BG31" s="16">
        <f ca="1">(L31-'Airfoil 1'!$Z$48)/ABS(L31-'Airfoil 1'!$Z$48)</f>
        <v>1</v>
      </c>
      <c r="BH31" s="16">
        <f ca="1">(L31-'Airfoil 1'!$Z$49)/ABS(L31-'Airfoil 1'!$Z$49)</f>
        <v>1</v>
      </c>
      <c r="BI31" s="16">
        <f ca="1">(L31-'Airfoil 1'!$Z$50)/ABS(L31-'Airfoil 1'!$Z$50)</f>
        <v>1</v>
      </c>
      <c r="BJ31" s="16">
        <f ca="1">(L31-'Airfoil 1'!$Z$51)/ABS(L31-'Airfoil 1'!$Z$51)</f>
        <v>1</v>
      </c>
      <c r="BK31" s="16">
        <f ca="1">(L31-'Airfoil 1'!$Z$52)/ABS(L31-'Airfoil 1'!$Z$52)</f>
        <v>1</v>
      </c>
      <c r="BL31" s="16">
        <f ca="1">(L31-'Airfoil 1'!$Z$53)/ABS(L31-'Airfoil 1'!$Z$53)</f>
        <v>-1</v>
      </c>
      <c r="BM31" s="16">
        <f ca="1">(L31-'Airfoil 1'!$Z$54)/ABS(L31-'Airfoil 1'!$Z$54)</f>
        <v>-1</v>
      </c>
      <c r="BN31" s="16">
        <f ca="1">(L31-'Airfoil 1'!$Z$55)/ABS(L31-'Airfoil 1'!$Z$55)</f>
        <v>-1</v>
      </c>
      <c r="BO31" s="16">
        <f ca="1">(L31-'Airfoil 1'!$Z$56)/ABS(L31-'Airfoil 1'!$Z$56)</f>
        <v>-1</v>
      </c>
      <c r="BP31" s="16">
        <f ca="1">(L31-'Airfoil 1'!$Z$57)/ABS(L31-'Airfoil 1'!$Z$57)</f>
        <v>-1</v>
      </c>
      <c r="BQ31" s="16">
        <f ca="1">(L31-'Airfoil 1'!$Z$58)/ABS(L31-'Airfoil 1'!$Z$58)</f>
        <v>-1</v>
      </c>
      <c r="BR31" s="16">
        <f ca="1">(L31-'Airfoil 1'!$Z$59)/ABS(L31-'Airfoil 1'!$Z$59)</f>
        <v>-1</v>
      </c>
      <c r="BS31" s="16">
        <f ca="1">(L31-'Airfoil 1'!$Z$60)/ABS(L31-'Airfoil 1'!$Z$60)</f>
        <v>-1</v>
      </c>
      <c r="BT31" s="16">
        <f ca="1">(L31-'Airfoil 1'!$Z$61)/ABS(L31-'Airfoil 1'!$Z$61)</f>
        <v>-1</v>
      </c>
      <c r="BU31" s="16">
        <f ca="1">(L31-'Airfoil 1'!$Z$62)/ABS(L31-'Airfoil 1'!$Z$62)</f>
        <v>-1</v>
      </c>
      <c r="BV31" s="16">
        <f ca="1">(L31-'Airfoil 1'!$Z$63)/ABS(L31-'Airfoil 1'!$Z$63)</f>
        <v>-1</v>
      </c>
      <c r="BW31" s="16">
        <f ca="1">(L31-'Airfoil 1'!$Z$64)/ABS(L31-'Airfoil 1'!$Z$64)</f>
        <v>-1</v>
      </c>
      <c r="BX31" s="16">
        <f ca="1">(L31-'Airfoil 1'!$Z$65)/ABS(L31-'Airfoil 1'!$Z$65)</f>
        <v>-1</v>
      </c>
      <c r="BY31" s="16">
        <f ca="1">(L31-'Airfoil 1'!$Z$66)/ABS(L31-'Airfoil 1'!$Z$66)</f>
        <v>-1</v>
      </c>
      <c r="BZ31" s="5">
        <f t="shared" ca="1" si="9"/>
        <v>6</v>
      </c>
      <c r="CA31" s="42">
        <f ca="1">INDEX('Airfoil 1'!$AA$47:$AA$66,BZ31,1)+INDEX('Airfoil 1'!$AB$47:$AB$66,BZ31,1)*(L31-INDEX('Airfoil 1'!$Z$47:$Z$66,BZ31,1))</f>
        <v>1.7370857855361597E-2</v>
      </c>
      <c r="CC31" s="16">
        <f ca="1">(L31-'Airfoil 1'!$Z$72)/ABS(L31-'Airfoil 1'!$Z$72)</f>
        <v>1</v>
      </c>
      <c r="CD31" s="16">
        <f ca="1">(L31-'Airfoil 1'!$Z$73)/ABS(L31-'Airfoil 1'!$Z$73)</f>
        <v>1</v>
      </c>
      <c r="CE31" s="16">
        <f ca="1">(L31-'Airfoil 1'!$Z$74)/ABS(L31-'Airfoil 1'!$Z$74)</f>
        <v>1</v>
      </c>
      <c r="CF31" s="16">
        <f ca="1">(L31-'Airfoil 1'!$Z$75)/ABS(L31-'Airfoil 1'!$Z$75)</f>
        <v>1</v>
      </c>
      <c r="CG31" s="16">
        <f ca="1">(L31-'Airfoil 1'!$Z$76)/ABS(L31-'Airfoil 1'!$Z$76)</f>
        <v>-1</v>
      </c>
      <c r="CH31" s="16">
        <f ca="1">(L31-'Airfoil 1'!$Z$77)/ABS(L31-'Airfoil 1'!$Z$77)</f>
        <v>-1</v>
      </c>
      <c r="CI31" s="16">
        <f ca="1">(L31-'Airfoil 1'!$Z$78)/ABS(L31-'Airfoil 1'!$Z$78)</f>
        <v>-1</v>
      </c>
      <c r="CJ31" s="16">
        <f ca="1">(L31-'Airfoil 1'!$Z$79)/ABS(L31-'Airfoil 1'!$Z$79)</f>
        <v>-1</v>
      </c>
      <c r="CK31" s="16">
        <f ca="1">(L31-'Airfoil 1'!$Z$80)/ABS(L31-'Airfoil 1'!$Z$80)</f>
        <v>-1</v>
      </c>
      <c r="CL31" s="16">
        <f ca="1">(L31-'Airfoil 1'!$Z$81)/ABS(L31-'Airfoil 1'!$Z$81)</f>
        <v>-1</v>
      </c>
      <c r="CM31" s="16">
        <f ca="1">(L31-'Airfoil 1'!$Z$82)/ABS(L31-'Airfoil 1'!$Z$82)</f>
        <v>-1</v>
      </c>
      <c r="CN31" s="16">
        <f ca="1">(L31-'Airfoil 1'!$Z$83)/ABS(L31-'Airfoil 1'!$Z$83)</f>
        <v>-1</v>
      </c>
      <c r="CO31" s="16">
        <f ca="1">(L31-'Airfoil 1'!$Z$84)/ABS(L31-'Airfoil 1'!$Z$84)</f>
        <v>-1</v>
      </c>
      <c r="CP31" s="16">
        <f ca="1">(L31-'Airfoil 1'!$Z$85)/ABS(L31-'Airfoil 1'!$Z$85)</f>
        <v>-1</v>
      </c>
      <c r="CQ31" s="16">
        <f ca="1">(L31-'Airfoil 1'!$Z$86)/ABS(L31-'Airfoil 1'!$Z$86)</f>
        <v>-1</v>
      </c>
      <c r="CR31" s="16">
        <f ca="1">(L31-'Airfoil 1'!$Z$87)/ABS(L31-'Airfoil 1'!$Z$87)</f>
        <v>-1</v>
      </c>
      <c r="CS31" s="16">
        <f ca="1">(L31-'Airfoil 1'!$Z$88)/ABS(L31-'Airfoil 1'!$Z$88)</f>
        <v>-1</v>
      </c>
      <c r="CT31" s="16">
        <f ca="1">(L31-'Airfoil 1'!$Z$89)/ABS(L31-'Airfoil 1'!$Z$89)</f>
        <v>-1</v>
      </c>
      <c r="CU31" s="16">
        <f ca="1">(L31-'Airfoil 1'!$Z$90)/ABS(L31-'Airfoil 1'!$Z$90)</f>
        <v>-1</v>
      </c>
      <c r="CV31" s="16">
        <f ca="1">(L31-'Airfoil 1'!$Z$91)/ABS(L31-'Airfoil 1'!$Z$91)</f>
        <v>-1</v>
      </c>
      <c r="CW31" s="5">
        <f t="shared" ca="1" si="10"/>
        <v>4</v>
      </c>
      <c r="CX31" s="42">
        <f ca="1">INDEX('Airfoil 1'!$AA$72:$AA$91,CW31,1)+INDEX('Airfoil 1'!$AB$72:$AB$91,CW31,1)*(L31-INDEX('Airfoil 1'!$Z$72:$Z$91,CW31,1))</f>
        <v>1.1110331491712706E-2</v>
      </c>
    </row>
    <row r="32" spans="2:102">
      <c r="B32" s="31">
        <f>Main!B32</f>
        <v>0.33333333333333326</v>
      </c>
      <c r="D32" s="1">
        <f>'RC'!F32</f>
        <v>0.65969672852566186</v>
      </c>
      <c r="E32" s="4">
        <f>ISA!$R$10</f>
        <v>1.5987591530356481E-5</v>
      </c>
      <c r="G32" s="13">
        <f ca="1">'RC'!X32</f>
        <v>23.990482001725344</v>
      </c>
      <c r="H32" s="5">
        <f t="shared" ca="1" si="0"/>
        <v>329973.45602351421</v>
      </c>
      <c r="I32" s="16">
        <f ca="1">'Airfoil 2'!$K$14*H32^'Airfoil 2'!$L$13</f>
        <v>1.5815949518602745</v>
      </c>
      <c r="J32" s="1">
        <f ca="1">'Airfoil 2'!$K$33*H32^'Airfoil 2'!$L$32</f>
        <v>5.1342420892524556</v>
      </c>
      <c r="K32" s="13">
        <f ca="1">'Airfoil 2'!$K$52*H32^'Airfoil 2'!$L$51</f>
        <v>-8.812875470480634</v>
      </c>
      <c r="L32" s="16">
        <f ca="1">'Aerodynamics-RCmax'!W32</f>
        <v>0.9</v>
      </c>
      <c r="M32" s="10">
        <f ca="1">('Airfoil 1'!$B$21+'Airfoil 1'!$B$22*L32+'Airfoil 1'!$B$23*L32^2+'Airfoil 1'!$B$24*L32^3+'Airfoil 1'!$B$25*L32^4+'Airfoil 1'!$B$26*L32^5+'Airfoil 1'!$B$27*L32^6)*0+BD32</f>
        <v>2.4489313868613138E-2</v>
      </c>
      <c r="N32" s="42">
        <f ca="1">('Airfoil 1'!$B$29+'Airfoil 1'!$B$30*L32+'Airfoil 1'!$B$31*L32^2+'Airfoil 1'!$B$32*L32^3+'Airfoil 1'!$B$33*L32^4+'Airfoil 1'!$B$34*L32^5+'Airfoil 1'!$B$35*L32^6)*0+CA32</f>
        <v>1.7370857855361597E-2</v>
      </c>
      <c r="O32" s="42">
        <f ca="1">('Airfoil 1'!$B$37+'Airfoil 1'!$B$38*L32+'Airfoil 1'!$B$39*L32^2+'Airfoil 1'!$B$40*L32^3+'Airfoil 1'!$B$41*L32^4+'Airfoil 1'!$B$42*L32^5+'Airfoil 1'!$B$43*L32^6)*0+CX32</f>
        <v>1.1110331491712706E-2</v>
      </c>
      <c r="P32" s="16">
        <f>LOG('Airfoil 1'!$F$10)+LOG('Airfoil 1'!$G$10)+LOG('Airfoil 1'!$H$10)</f>
        <v>15.176091259055681</v>
      </c>
      <c r="Q32" s="16">
        <f t="shared" ca="1" si="1"/>
        <v>-5.3254750991929125</v>
      </c>
      <c r="R32" s="16">
        <f>LOG('Airfoil 1'!$F$10)^2+LOG('Airfoil 1'!$G$10)^2+LOG('Airfoil 1'!$H$10)^2</f>
        <v>76.867141336751558</v>
      </c>
      <c r="S32" s="16">
        <f ca="1">LOG('Airfoil 1'!$F$10)*LOG(M32)+LOG('Airfoil 1'!$G$10)*LOG(N32)+LOG('Airfoil 1'!$H$10)*LOG(O32)</f>
        <v>-27.014391057528009</v>
      </c>
      <c r="T32" s="16">
        <f t="shared" ca="1" si="2"/>
        <v>141.60346469083578</v>
      </c>
      <c r="U32" s="16">
        <f t="shared" ca="1" si="3"/>
        <v>-0.77613507568957385</v>
      </c>
      <c r="V32" s="42">
        <f ca="1">IF(Energy!$F$11=1,Energy!$T$13,1)*T32*H32^U32</f>
        <v>8.1351835692107018E-3</v>
      </c>
      <c r="W32" s="10">
        <f ca="1">'Airfoil 1'!$B$48+'Airfoil 1'!$B$49*L32+'Airfoil 1'!$B$50*L32^2+'Airfoil 1'!$B$51*L32^3+'Airfoil 1'!$B$52*L32^4+'Airfoil 1'!$B$53*L32^5+'Airfoil 1'!$B$54*L32^6</f>
        <v>-0.155</v>
      </c>
      <c r="X32" s="42">
        <f ca="1">'Airfoil 1'!$B$56+'Airfoil 1'!$B$57*L32+'Airfoil 1'!$B$58*L32^2+'Airfoil 1'!$B$59*L32^3+'Airfoil 1'!$B$60*L32^4+'Airfoil 1'!$B$61*L32^5+'Airfoil 1'!$B$62*L32^6</f>
        <v>-0.155</v>
      </c>
      <c r="Y32" s="42">
        <f ca="1">'Airfoil 1'!$B$64+'Airfoil 1'!$B$65*L32+'Airfoil 1'!$B$66*L32^2+'Airfoil 1'!$B$67*L32^3+'Airfoil 1'!$B$681*L32^4+'Airfoil 1'!$B$69*L32^5+'Airfoil 1'!$B$70*L32^6</f>
        <v>-0.155</v>
      </c>
      <c r="Z32" s="16">
        <f>LOG('Airfoil 1'!$F$10)+LOG('Airfoil 1'!$G$10)+LOG('Airfoil 1'!$H$10)</f>
        <v>15.176091259055681</v>
      </c>
      <c r="AA32" s="16">
        <f t="shared" ca="1" si="4"/>
        <v>-2.4290049054891254</v>
      </c>
      <c r="AB32" s="16">
        <f>LOG('Airfoil 1'!$F$10)^2+LOG('Airfoil 1'!$G$10)^2+LOG('Airfoil 1'!$H$10)^2</f>
        <v>76.867141336751558</v>
      </c>
      <c r="AC32" s="16">
        <f ca="1">LOG('Airfoil 1'!$F$10)*LOG(ABS(W32))+LOG('Airfoil 1'!$G$10)*LOG(ABS(X32))+LOG('Airfoil 1'!$H$10)*LOG(ABS(Y32))</f>
        <v>-12.287600038132297</v>
      </c>
      <c r="AD32" s="16">
        <f t="shared" ca="1" si="5"/>
        <v>0.1550000000000121</v>
      </c>
      <c r="AE32" s="16">
        <f t="shared" ca="1" si="6"/>
        <v>-6.6718325633022456E-15</v>
      </c>
      <c r="AF32" s="42">
        <f t="shared" ca="1" si="7"/>
        <v>-0.15499999999999894</v>
      </c>
      <c r="AG32" s="16"/>
      <c r="AH32" s="42"/>
      <c r="AI32" s="16">
        <f ca="1">(L32-'Airfoil 1'!$Z$22)/ABS(L32-'Airfoil 1'!$Z$22)</f>
        <v>1</v>
      </c>
      <c r="AJ32" s="16">
        <f ca="1">(L32-'Airfoil 1'!$Z$23)/ABS(L32-'Airfoil 1'!$Z$23)</f>
        <v>1</v>
      </c>
      <c r="AK32" s="16">
        <f ca="1">(L32-'Airfoil 1'!$Z$24)/ABS(L32-'Airfoil 1'!$Z$24)</f>
        <v>1</v>
      </c>
      <c r="AL32" s="16">
        <f ca="1">(L32-'Airfoil 1'!$Z$25)/ABS(L32-'Airfoil 1'!$Z$25)</f>
        <v>1</v>
      </c>
      <c r="AM32" s="16">
        <f ca="1">(L32-'Airfoil 1'!$Z$26)/ABS(L32-'Airfoil 1'!$Z$26)</f>
        <v>1</v>
      </c>
      <c r="AN32" s="16">
        <f ca="1">(L32-'Airfoil 1'!$Z$27)/ABS(L32-'Airfoil 1'!$Z$27)</f>
        <v>1</v>
      </c>
      <c r="AO32" s="16">
        <f ca="1">(L32-'Airfoil 1'!$Z$28)/ABS(L32-'Airfoil 1'!$Z$28)</f>
        <v>1</v>
      </c>
      <c r="AP32" s="16">
        <f ca="1">(L32-'Airfoil 1'!$Z$29)/ABS(L32-'Airfoil 1'!$Z$29)</f>
        <v>-1</v>
      </c>
      <c r="AQ32" s="16">
        <f ca="1">(L32-'Airfoil 1'!$Z$30)/ABS(L32-'Airfoil 1'!$Z$30)</f>
        <v>-1</v>
      </c>
      <c r="AR32" s="16">
        <f ca="1">(L32-'Airfoil 1'!$Z$31)/ABS(L32-'Airfoil 1'!$Z$31)</f>
        <v>-1</v>
      </c>
      <c r="AS32" s="16">
        <f ca="1">(L32-'Airfoil 1'!$Z$32)/ABS(L32-'Airfoil 1'!$Z$32)</f>
        <v>-1</v>
      </c>
      <c r="AT32" s="16">
        <f ca="1">(L32-'Airfoil 1'!$Z$33)/ABS(L32-'Airfoil 1'!$Z$33)</f>
        <v>-1</v>
      </c>
      <c r="AU32" s="16">
        <f ca="1">(L32-'Airfoil 1'!$Z$34)/ABS(L32-'Airfoil 1'!$Z$34)</f>
        <v>-1</v>
      </c>
      <c r="AV32" s="16">
        <f ca="1">(L32-'Airfoil 1'!$Z$35)/ABS(L32-'Airfoil 1'!$Z$35)</f>
        <v>-1</v>
      </c>
      <c r="AW32" s="16">
        <f ca="1">(L32-'Airfoil 1'!$Z$36)/ABS(L32-'Airfoil 1'!$Z$36)</f>
        <v>-1</v>
      </c>
      <c r="AX32" s="16">
        <f ca="1">(L32-'Airfoil 1'!$Z$37)/ABS(L32-'Airfoil 1'!$Z$37)</f>
        <v>-1</v>
      </c>
      <c r="AY32" s="16">
        <f ca="1">(L32-'Airfoil 1'!$Z$38)/ABS(L32-'Airfoil 1'!$Z$38)</f>
        <v>-1</v>
      </c>
      <c r="AZ32" s="16">
        <f ca="1">(L32-'Airfoil 1'!$Z$39)/ABS(L32-'Airfoil 1'!$Z$39)</f>
        <v>-1</v>
      </c>
      <c r="BA32" s="16">
        <f ca="1">(L32-'Airfoil 1'!$Z$40)/ABS(L32-'Airfoil 1'!$Z$40)</f>
        <v>-1</v>
      </c>
      <c r="BB32" s="16">
        <f ca="1">(L32-'Airfoil 1'!$Z$41)/ABS(L32-'Airfoil 1'!$Z$41)</f>
        <v>-1</v>
      </c>
      <c r="BC32" s="5">
        <f t="shared" ca="1" si="8"/>
        <v>7</v>
      </c>
      <c r="BD32" s="42">
        <f ca="1">INDEX('Airfoil 1'!$AA$22:$AA$41,BC32,1)+INDEX('Airfoil 1'!$AB$22:$AB$41,BC32,1)*(L32-INDEX('Airfoil 1'!$Z$22:$Z$41,BC32,1))</f>
        <v>2.4489313868613138E-2</v>
      </c>
      <c r="BE32" s="6"/>
      <c r="BF32" s="16">
        <f ca="1">(L32-'Airfoil 1'!$Z$47)/ABS(L32-'Airfoil 1'!$Z$47)</f>
        <v>1</v>
      </c>
      <c r="BG32" s="16">
        <f ca="1">(L32-'Airfoil 1'!$Z$48)/ABS(L32-'Airfoil 1'!$Z$48)</f>
        <v>1</v>
      </c>
      <c r="BH32" s="16">
        <f ca="1">(L32-'Airfoil 1'!$Z$49)/ABS(L32-'Airfoil 1'!$Z$49)</f>
        <v>1</v>
      </c>
      <c r="BI32" s="16">
        <f ca="1">(L32-'Airfoil 1'!$Z$50)/ABS(L32-'Airfoil 1'!$Z$50)</f>
        <v>1</v>
      </c>
      <c r="BJ32" s="16">
        <f ca="1">(L32-'Airfoil 1'!$Z$51)/ABS(L32-'Airfoil 1'!$Z$51)</f>
        <v>1</v>
      </c>
      <c r="BK32" s="16">
        <f ca="1">(L32-'Airfoil 1'!$Z$52)/ABS(L32-'Airfoil 1'!$Z$52)</f>
        <v>1</v>
      </c>
      <c r="BL32" s="16">
        <f ca="1">(L32-'Airfoil 1'!$Z$53)/ABS(L32-'Airfoil 1'!$Z$53)</f>
        <v>-1</v>
      </c>
      <c r="BM32" s="16">
        <f ca="1">(L32-'Airfoil 1'!$Z$54)/ABS(L32-'Airfoil 1'!$Z$54)</f>
        <v>-1</v>
      </c>
      <c r="BN32" s="16">
        <f ca="1">(L32-'Airfoil 1'!$Z$55)/ABS(L32-'Airfoil 1'!$Z$55)</f>
        <v>-1</v>
      </c>
      <c r="BO32" s="16">
        <f ca="1">(L32-'Airfoil 1'!$Z$56)/ABS(L32-'Airfoil 1'!$Z$56)</f>
        <v>-1</v>
      </c>
      <c r="BP32" s="16">
        <f ca="1">(L32-'Airfoil 1'!$Z$57)/ABS(L32-'Airfoil 1'!$Z$57)</f>
        <v>-1</v>
      </c>
      <c r="BQ32" s="16">
        <f ca="1">(L32-'Airfoil 1'!$Z$58)/ABS(L32-'Airfoil 1'!$Z$58)</f>
        <v>-1</v>
      </c>
      <c r="BR32" s="16">
        <f ca="1">(L32-'Airfoil 1'!$Z$59)/ABS(L32-'Airfoil 1'!$Z$59)</f>
        <v>-1</v>
      </c>
      <c r="BS32" s="16">
        <f ca="1">(L32-'Airfoil 1'!$Z$60)/ABS(L32-'Airfoil 1'!$Z$60)</f>
        <v>-1</v>
      </c>
      <c r="BT32" s="16">
        <f ca="1">(L32-'Airfoil 1'!$Z$61)/ABS(L32-'Airfoil 1'!$Z$61)</f>
        <v>-1</v>
      </c>
      <c r="BU32" s="16">
        <f ca="1">(L32-'Airfoil 1'!$Z$62)/ABS(L32-'Airfoil 1'!$Z$62)</f>
        <v>-1</v>
      </c>
      <c r="BV32" s="16">
        <f ca="1">(L32-'Airfoil 1'!$Z$63)/ABS(L32-'Airfoil 1'!$Z$63)</f>
        <v>-1</v>
      </c>
      <c r="BW32" s="16">
        <f ca="1">(L32-'Airfoil 1'!$Z$64)/ABS(L32-'Airfoil 1'!$Z$64)</f>
        <v>-1</v>
      </c>
      <c r="BX32" s="16">
        <f ca="1">(L32-'Airfoil 1'!$Z$65)/ABS(L32-'Airfoil 1'!$Z$65)</f>
        <v>-1</v>
      </c>
      <c r="BY32" s="16">
        <f ca="1">(L32-'Airfoil 1'!$Z$66)/ABS(L32-'Airfoil 1'!$Z$66)</f>
        <v>-1</v>
      </c>
      <c r="BZ32" s="5">
        <f t="shared" ca="1" si="9"/>
        <v>6</v>
      </c>
      <c r="CA32" s="42">
        <f ca="1">INDEX('Airfoil 1'!$AA$47:$AA$66,BZ32,1)+INDEX('Airfoil 1'!$AB$47:$AB$66,BZ32,1)*(L32-INDEX('Airfoil 1'!$Z$47:$Z$66,BZ32,1))</f>
        <v>1.7370857855361597E-2</v>
      </c>
      <c r="CC32" s="16">
        <f ca="1">(L32-'Airfoil 1'!$Z$72)/ABS(L32-'Airfoil 1'!$Z$72)</f>
        <v>1</v>
      </c>
      <c r="CD32" s="16">
        <f ca="1">(L32-'Airfoil 1'!$Z$73)/ABS(L32-'Airfoil 1'!$Z$73)</f>
        <v>1</v>
      </c>
      <c r="CE32" s="16">
        <f ca="1">(L32-'Airfoil 1'!$Z$74)/ABS(L32-'Airfoil 1'!$Z$74)</f>
        <v>1</v>
      </c>
      <c r="CF32" s="16">
        <f ca="1">(L32-'Airfoil 1'!$Z$75)/ABS(L32-'Airfoil 1'!$Z$75)</f>
        <v>1</v>
      </c>
      <c r="CG32" s="16">
        <f ca="1">(L32-'Airfoil 1'!$Z$76)/ABS(L32-'Airfoil 1'!$Z$76)</f>
        <v>-1</v>
      </c>
      <c r="CH32" s="16">
        <f ca="1">(L32-'Airfoil 1'!$Z$77)/ABS(L32-'Airfoil 1'!$Z$77)</f>
        <v>-1</v>
      </c>
      <c r="CI32" s="16">
        <f ca="1">(L32-'Airfoil 1'!$Z$78)/ABS(L32-'Airfoil 1'!$Z$78)</f>
        <v>-1</v>
      </c>
      <c r="CJ32" s="16">
        <f ca="1">(L32-'Airfoil 1'!$Z$79)/ABS(L32-'Airfoil 1'!$Z$79)</f>
        <v>-1</v>
      </c>
      <c r="CK32" s="16">
        <f ca="1">(L32-'Airfoil 1'!$Z$80)/ABS(L32-'Airfoil 1'!$Z$80)</f>
        <v>-1</v>
      </c>
      <c r="CL32" s="16">
        <f ca="1">(L32-'Airfoil 1'!$Z$81)/ABS(L32-'Airfoil 1'!$Z$81)</f>
        <v>-1</v>
      </c>
      <c r="CM32" s="16">
        <f ca="1">(L32-'Airfoil 1'!$Z$82)/ABS(L32-'Airfoil 1'!$Z$82)</f>
        <v>-1</v>
      </c>
      <c r="CN32" s="16">
        <f ca="1">(L32-'Airfoil 1'!$Z$83)/ABS(L32-'Airfoil 1'!$Z$83)</f>
        <v>-1</v>
      </c>
      <c r="CO32" s="16">
        <f ca="1">(L32-'Airfoil 1'!$Z$84)/ABS(L32-'Airfoil 1'!$Z$84)</f>
        <v>-1</v>
      </c>
      <c r="CP32" s="16">
        <f ca="1">(L32-'Airfoil 1'!$Z$85)/ABS(L32-'Airfoil 1'!$Z$85)</f>
        <v>-1</v>
      </c>
      <c r="CQ32" s="16">
        <f ca="1">(L32-'Airfoil 1'!$Z$86)/ABS(L32-'Airfoil 1'!$Z$86)</f>
        <v>-1</v>
      </c>
      <c r="CR32" s="16">
        <f ca="1">(L32-'Airfoil 1'!$Z$87)/ABS(L32-'Airfoil 1'!$Z$87)</f>
        <v>-1</v>
      </c>
      <c r="CS32" s="16">
        <f ca="1">(L32-'Airfoil 1'!$Z$88)/ABS(L32-'Airfoil 1'!$Z$88)</f>
        <v>-1</v>
      </c>
      <c r="CT32" s="16">
        <f ca="1">(L32-'Airfoil 1'!$Z$89)/ABS(L32-'Airfoil 1'!$Z$89)</f>
        <v>-1</v>
      </c>
      <c r="CU32" s="16">
        <f ca="1">(L32-'Airfoil 1'!$Z$90)/ABS(L32-'Airfoil 1'!$Z$90)</f>
        <v>-1</v>
      </c>
      <c r="CV32" s="16">
        <f ca="1">(L32-'Airfoil 1'!$Z$91)/ABS(L32-'Airfoil 1'!$Z$91)</f>
        <v>-1</v>
      </c>
      <c r="CW32" s="5">
        <f t="shared" ca="1" si="10"/>
        <v>4</v>
      </c>
      <c r="CX32" s="42">
        <f ca="1">INDEX('Airfoil 1'!$AA$72:$AA$91,CW32,1)+INDEX('Airfoil 1'!$AB$72:$AB$91,CW32,1)*(L32-INDEX('Airfoil 1'!$Z$72:$Z$91,CW32,1))</f>
        <v>1.1110331491712706E-2</v>
      </c>
    </row>
    <row r="33" spans="2:102">
      <c r="B33" s="31">
        <f>Main!B33</f>
        <v>0.33333333333333326</v>
      </c>
      <c r="D33" s="1">
        <f>'RC'!F33</f>
        <v>0.65969672852566186</v>
      </c>
      <c r="E33" s="4">
        <f>ISA!$R$10</f>
        <v>1.5987591530356481E-5</v>
      </c>
      <c r="G33" s="13">
        <f ca="1">'RC'!X33</f>
        <v>23.594721425716866</v>
      </c>
      <c r="H33" s="5">
        <f t="shared" ca="1" si="0"/>
        <v>324530.0270413878</v>
      </c>
      <c r="I33" s="16">
        <f ca="1">'Airfoil 2'!$K$14*H33^'Airfoil 2'!$L$13</f>
        <v>1.5812292704139213</v>
      </c>
      <c r="J33" s="1">
        <f ca="1">'Airfoil 2'!$K$33*H33^'Airfoil 2'!$L$32</f>
        <v>5.1630477180712138</v>
      </c>
      <c r="K33" s="13">
        <f ca="1">'Airfoil 2'!$K$52*H33^'Airfoil 2'!$L$51</f>
        <v>-8.7153834748413672</v>
      </c>
      <c r="L33" s="16">
        <f ca="1">'Aerodynamics-RCmax'!W33</f>
        <v>0.9</v>
      </c>
      <c r="M33" s="10">
        <f ca="1">('Airfoil 1'!$B$21+'Airfoil 1'!$B$22*L33+'Airfoil 1'!$B$23*L33^2+'Airfoil 1'!$B$24*L33^3+'Airfoil 1'!$B$25*L33^4+'Airfoil 1'!$B$26*L33^5+'Airfoil 1'!$B$27*L33^6)*0+BD33</f>
        <v>2.4489313868613138E-2</v>
      </c>
      <c r="N33" s="42">
        <f ca="1">('Airfoil 1'!$B$29+'Airfoil 1'!$B$30*L33+'Airfoil 1'!$B$31*L33^2+'Airfoil 1'!$B$32*L33^3+'Airfoil 1'!$B$33*L33^4+'Airfoil 1'!$B$34*L33^5+'Airfoil 1'!$B$35*L33^6)*0+CA33</f>
        <v>1.7370857855361597E-2</v>
      </c>
      <c r="O33" s="42">
        <f ca="1">('Airfoil 1'!$B$37+'Airfoil 1'!$B$38*L33+'Airfoil 1'!$B$39*L33^2+'Airfoil 1'!$B$40*L33^3+'Airfoil 1'!$B$41*L33^4+'Airfoil 1'!$B$42*L33^5+'Airfoil 1'!$B$43*L33^6)*0+CX33</f>
        <v>1.1110331491712706E-2</v>
      </c>
      <c r="P33" s="16">
        <f>LOG('Airfoil 1'!$F$10)+LOG('Airfoil 1'!$G$10)+LOG('Airfoil 1'!$H$10)</f>
        <v>15.176091259055681</v>
      </c>
      <c r="Q33" s="16">
        <f t="shared" ca="1" si="1"/>
        <v>-5.3254750991929125</v>
      </c>
      <c r="R33" s="16">
        <f>LOG('Airfoil 1'!$F$10)^2+LOG('Airfoil 1'!$G$10)^2+LOG('Airfoil 1'!$H$10)^2</f>
        <v>76.867141336751558</v>
      </c>
      <c r="S33" s="16">
        <f ca="1">LOG('Airfoil 1'!$F$10)*LOG(M33)+LOG('Airfoil 1'!$G$10)*LOG(N33)+LOG('Airfoil 1'!$H$10)*LOG(O33)</f>
        <v>-27.014391057528009</v>
      </c>
      <c r="T33" s="16">
        <f t="shared" ca="1" si="2"/>
        <v>141.60346469083578</v>
      </c>
      <c r="U33" s="16">
        <f t="shared" ca="1" si="3"/>
        <v>-0.77613507568957385</v>
      </c>
      <c r="V33" s="42">
        <f ca="1">IF(Energy!$F$11=1,Energy!$T$13,1)*T33*H33^U33</f>
        <v>8.2408925143368852E-3</v>
      </c>
      <c r="W33" s="10">
        <f ca="1">'Airfoil 1'!$B$48+'Airfoil 1'!$B$49*L33+'Airfoil 1'!$B$50*L33^2+'Airfoil 1'!$B$51*L33^3+'Airfoil 1'!$B$52*L33^4+'Airfoil 1'!$B$53*L33^5+'Airfoil 1'!$B$54*L33^6</f>
        <v>-0.155</v>
      </c>
      <c r="X33" s="42">
        <f ca="1">'Airfoil 1'!$B$56+'Airfoil 1'!$B$57*L33+'Airfoil 1'!$B$58*L33^2+'Airfoil 1'!$B$59*L33^3+'Airfoil 1'!$B$60*L33^4+'Airfoil 1'!$B$61*L33^5+'Airfoil 1'!$B$62*L33^6</f>
        <v>-0.155</v>
      </c>
      <c r="Y33" s="42">
        <f ca="1">'Airfoil 1'!$B$64+'Airfoil 1'!$B$65*L33+'Airfoil 1'!$B$66*L33^2+'Airfoil 1'!$B$67*L33^3+'Airfoil 1'!$B$681*L33^4+'Airfoil 1'!$B$69*L33^5+'Airfoil 1'!$B$70*L33^6</f>
        <v>-0.155</v>
      </c>
      <c r="Z33" s="16">
        <f>LOG('Airfoil 1'!$F$10)+LOG('Airfoil 1'!$G$10)+LOG('Airfoil 1'!$H$10)</f>
        <v>15.176091259055681</v>
      </c>
      <c r="AA33" s="16">
        <f t="shared" ca="1" si="4"/>
        <v>-2.4290049054891254</v>
      </c>
      <c r="AB33" s="16">
        <f>LOG('Airfoil 1'!$F$10)^2+LOG('Airfoil 1'!$G$10)^2+LOG('Airfoil 1'!$H$10)^2</f>
        <v>76.867141336751558</v>
      </c>
      <c r="AC33" s="16">
        <f ca="1">LOG('Airfoil 1'!$F$10)*LOG(ABS(W33))+LOG('Airfoil 1'!$G$10)*LOG(ABS(X33))+LOG('Airfoil 1'!$H$10)*LOG(ABS(Y33))</f>
        <v>-12.287600038132297</v>
      </c>
      <c r="AD33" s="16">
        <f t="shared" ca="1" si="5"/>
        <v>0.1550000000000121</v>
      </c>
      <c r="AE33" s="16">
        <f t="shared" ca="1" si="6"/>
        <v>-6.6718325633022456E-15</v>
      </c>
      <c r="AF33" s="42">
        <f t="shared" ca="1" si="7"/>
        <v>-0.154999999999999</v>
      </c>
      <c r="AG33" s="16"/>
      <c r="AH33" s="42"/>
      <c r="AI33" s="16">
        <f ca="1">(L33-'Airfoil 1'!$Z$22)/ABS(L33-'Airfoil 1'!$Z$22)</f>
        <v>1</v>
      </c>
      <c r="AJ33" s="16">
        <f ca="1">(L33-'Airfoil 1'!$Z$23)/ABS(L33-'Airfoil 1'!$Z$23)</f>
        <v>1</v>
      </c>
      <c r="AK33" s="16">
        <f ca="1">(L33-'Airfoil 1'!$Z$24)/ABS(L33-'Airfoil 1'!$Z$24)</f>
        <v>1</v>
      </c>
      <c r="AL33" s="16">
        <f ca="1">(L33-'Airfoil 1'!$Z$25)/ABS(L33-'Airfoil 1'!$Z$25)</f>
        <v>1</v>
      </c>
      <c r="AM33" s="16">
        <f ca="1">(L33-'Airfoil 1'!$Z$26)/ABS(L33-'Airfoil 1'!$Z$26)</f>
        <v>1</v>
      </c>
      <c r="AN33" s="16">
        <f ca="1">(L33-'Airfoil 1'!$Z$27)/ABS(L33-'Airfoil 1'!$Z$27)</f>
        <v>1</v>
      </c>
      <c r="AO33" s="16">
        <f ca="1">(L33-'Airfoil 1'!$Z$28)/ABS(L33-'Airfoil 1'!$Z$28)</f>
        <v>1</v>
      </c>
      <c r="AP33" s="16">
        <f ca="1">(L33-'Airfoil 1'!$Z$29)/ABS(L33-'Airfoil 1'!$Z$29)</f>
        <v>-1</v>
      </c>
      <c r="AQ33" s="16">
        <f ca="1">(L33-'Airfoil 1'!$Z$30)/ABS(L33-'Airfoil 1'!$Z$30)</f>
        <v>-1</v>
      </c>
      <c r="AR33" s="16">
        <f ca="1">(L33-'Airfoil 1'!$Z$31)/ABS(L33-'Airfoil 1'!$Z$31)</f>
        <v>-1</v>
      </c>
      <c r="AS33" s="16">
        <f ca="1">(L33-'Airfoil 1'!$Z$32)/ABS(L33-'Airfoil 1'!$Z$32)</f>
        <v>-1</v>
      </c>
      <c r="AT33" s="16">
        <f ca="1">(L33-'Airfoil 1'!$Z$33)/ABS(L33-'Airfoil 1'!$Z$33)</f>
        <v>-1</v>
      </c>
      <c r="AU33" s="16">
        <f ca="1">(L33-'Airfoil 1'!$Z$34)/ABS(L33-'Airfoil 1'!$Z$34)</f>
        <v>-1</v>
      </c>
      <c r="AV33" s="16">
        <f ca="1">(L33-'Airfoil 1'!$Z$35)/ABS(L33-'Airfoil 1'!$Z$35)</f>
        <v>-1</v>
      </c>
      <c r="AW33" s="16">
        <f ca="1">(L33-'Airfoil 1'!$Z$36)/ABS(L33-'Airfoil 1'!$Z$36)</f>
        <v>-1</v>
      </c>
      <c r="AX33" s="16">
        <f ca="1">(L33-'Airfoil 1'!$Z$37)/ABS(L33-'Airfoil 1'!$Z$37)</f>
        <v>-1</v>
      </c>
      <c r="AY33" s="16">
        <f ca="1">(L33-'Airfoil 1'!$Z$38)/ABS(L33-'Airfoil 1'!$Z$38)</f>
        <v>-1</v>
      </c>
      <c r="AZ33" s="16">
        <f ca="1">(L33-'Airfoil 1'!$Z$39)/ABS(L33-'Airfoil 1'!$Z$39)</f>
        <v>-1</v>
      </c>
      <c r="BA33" s="16">
        <f ca="1">(L33-'Airfoil 1'!$Z$40)/ABS(L33-'Airfoil 1'!$Z$40)</f>
        <v>-1</v>
      </c>
      <c r="BB33" s="16">
        <f ca="1">(L33-'Airfoil 1'!$Z$41)/ABS(L33-'Airfoil 1'!$Z$41)</f>
        <v>-1</v>
      </c>
      <c r="BC33" s="5">
        <f t="shared" ca="1" si="8"/>
        <v>7</v>
      </c>
      <c r="BD33" s="42">
        <f ca="1">INDEX('Airfoil 1'!$AA$22:$AA$41,BC33,1)+INDEX('Airfoil 1'!$AB$22:$AB$41,BC33,1)*(L33-INDEX('Airfoil 1'!$Z$22:$Z$41,BC33,1))</f>
        <v>2.4489313868613138E-2</v>
      </c>
      <c r="BE33" s="6"/>
      <c r="BF33" s="16">
        <f ca="1">(L33-'Airfoil 1'!$Z$47)/ABS(L33-'Airfoil 1'!$Z$47)</f>
        <v>1</v>
      </c>
      <c r="BG33" s="16">
        <f ca="1">(L33-'Airfoil 1'!$Z$48)/ABS(L33-'Airfoil 1'!$Z$48)</f>
        <v>1</v>
      </c>
      <c r="BH33" s="16">
        <f ca="1">(L33-'Airfoil 1'!$Z$49)/ABS(L33-'Airfoil 1'!$Z$49)</f>
        <v>1</v>
      </c>
      <c r="BI33" s="16">
        <f ca="1">(L33-'Airfoil 1'!$Z$50)/ABS(L33-'Airfoil 1'!$Z$50)</f>
        <v>1</v>
      </c>
      <c r="BJ33" s="16">
        <f ca="1">(L33-'Airfoil 1'!$Z$51)/ABS(L33-'Airfoil 1'!$Z$51)</f>
        <v>1</v>
      </c>
      <c r="BK33" s="16">
        <f ca="1">(L33-'Airfoil 1'!$Z$52)/ABS(L33-'Airfoil 1'!$Z$52)</f>
        <v>1</v>
      </c>
      <c r="BL33" s="16">
        <f ca="1">(L33-'Airfoil 1'!$Z$53)/ABS(L33-'Airfoil 1'!$Z$53)</f>
        <v>-1</v>
      </c>
      <c r="BM33" s="16">
        <f ca="1">(L33-'Airfoil 1'!$Z$54)/ABS(L33-'Airfoil 1'!$Z$54)</f>
        <v>-1</v>
      </c>
      <c r="BN33" s="16">
        <f ca="1">(L33-'Airfoil 1'!$Z$55)/ABS(L33-'Airfoil 1'!$Z$55)</f>
        <v>-1</v>
      </c>
      <c r="BO33" s="16">
        <f ca="1">(L33-'Airfoil 1'!$Z$56)/ABS(L33-'Airfoil 1'!$Z$56)</f>
        <v>-1</v>
      </c>
      <c r="BP33" s="16">
        <f ca="1">(L33-'Airfoil 1'!$Z$57)/ABS(L33-'Airfoil 1'!$Z$57)</f>
        <v>-1</v>
      </c>
      <c r="BQ33" s="16">
        <f ca="1">(L33-'Airfoil 1'!$Z$58)/ABS(L33-'Airfoil 1'!$Z$58)</f>
        <v>-1</v>
      </c>
      <c r="BR33" s="16">
        <f ca="1">(L33-'Airfoil 1'!$Z$59)/ABS(L33-'Airfoil 1'!$Z$59)</f>
        <v>-1</v>
      </c>
      <c r="BS33" s="16">
        <f ca="1">(L33-'Airfoil 1'!$Z$60)/ABS(L33-'Airfoil 1'!$Z$60)</f>
        <v>-1</v>
      </c>
      <c r="BT33" s="16">
        <f ca="1">(L33-'Airfoil 1'!$Z$61)/ABS(L33-'Airfoil 1'!$Z$61)</f>
        <v>-1</v>
      </c>
      <c r="BU33" s="16">
        <f ca="1">(L33-'Airfoil 1'!$Z$62)/ABS(L33-'Airfoil 1'!$Z$62)</f>
        <v>-1</v>
      </c>
      <c r="BV33" s="16">
        <f ca="1">(L33-'Airfoil 1'!$Z$63)/ABS(L33-'Airfoil 1'!$Z$63)</f>
        <v>-1</v>
      </c>
      <c r="BW33" s="16">
        <f ca="1">(L33-'Airfoil 1'!$Z$64)/ABS(L33-'Airfoil 1'!$Z$64)</f>
        <v>-1</v>
      </c>
      <c r="BX33" s="16">
        <f ca="1">(L33-'Airfoil 1'!$Z$65)/ABS(L33-'Airfoil 1'!$Z$65)</f>
        <v>-1</v>
      </c>
      <c r="BY33" s="16">
        <f ca="1">(L33-'Airfoil 1'!$Z$66)/ABS(L33-'Airfoil 1'!$Z$66)</f>
        <v>-1</v>
      </c>
      <c r="BZ33" s="5">
        <f t="shared" ca="1" si="9"/>
        <v>6</v>
      </c>
      <c r="CA33" s="42">
        <f ca="1">INDEX('Airfoil 1'!$AA$47:$AA$66,BZ33,1)+INDEX('Airfoil 1'!$AB$47:$AB$66,BZ33,1)*(L33-INDEX('Airfoil 1'!$Z$47:$Z$66,BZ33,1))</f>
        <v>1.7370857855361597E-2</v>
      </c>
      <c r="CC33" s="16">
        <f ca="1">(L33-'Airfoil 1'!$Z$72)/ABS(L33-'Airfoil 1'!$Z$72)</f>
        <v>1</v>
      </c>
      <c r="CD33" s="16">
        <f ca="1">(L33-'Airfoil 1'!$Z$73)/ABS(L33-'Airfoil 1'!$Z$73)</f>
        <v>1</v>
      </c>
      <c r="CE33" s="16">
        <f ca="1">(L33-'Airfoil 1'!$Z$74)/ABS(L33-'Airfoil 1'!$Z$74)</f>
        <v>1</v>
      </c>
      <c r="CF33" s="16">
        <f ca="1">(L33-'Airfoil 1'!$Z$75)/ABS(L33-'Airfoil 1'!$Z$75)</f>
        <v>1</v>
      </c>
      <c r="CG33" s="16">
        <f ca="1">(L33-'Airfoil 1'!$Z$76)/ABS(L33-'Airfoil 1'!$Z$76)</f>
        <v>-1</v>
      </c>
      <c r="CH33" s="16">
        <f ca="1">(L33-'Airfoil 1'!$Z$77)/ABS(L33-'Airfoil 1'!$Z$77)</f>
        <v>-1</v>
      </c>
      <c r="CI33" s="16">
        <f ca="1">(L33-'Airfoil 1'!$Z$78)/ABS(L33-'Airfoil 1'!$Z$78)</f>
        <v>-1</v>
      </c>
      <c r="CJ33" s="16">
        <f ca="1">(L33-'Airfoil 1'!$Z$79)/ABS(L33-'Airfoil 1'!$Z$79)</f>
        <v>-1</v>
      </c>
      <c r="CK33" s="16">
        <f ca="1">(L33-'Airfoil 1'!$Z$80)/ABS(L33-'Airfoil 1'!$Z$80)</f>
        <v>-1</v>
      </c>
      <c r="CL33" s="16">
        <f ca="1">(L33-'Airfoil 1'!$Z$81)/ABS(L33-'Airfoil 1'!$Z$81)</f>
        <v>-1</v>
      </c>
      <c r="CM33" s="16">
        <f ca="1">(L33-'Airfoil 1'!$Z$82)/ABS(L33-'Airfoil 1'!$Z$82)</f>
        <v>-1</v>
      </c>
      <c r="CN33" s="16">
        <f ca="1">(L33-'Airfoil 1'!$Z$83)/ABS(L33-'Airfoil 1'!$Z$83)</f>
        <v>-1</v>
      </c>
      <c r="CO33" s="16">
        <f ca="1">(L33-'Airfoil 1'!$Z$84)/ABS(L33-'Airfoil 1'!$Z$84)</f>
        <v>-1</v>
      </c>
      <c r="CP33" s="16">
        <f ca="1">(L33-'Airfoil 1'!$Z$85)/ABS(L33-'Airfoil 1'!$Z$85)</f>
        <v>-1</v>
      </c>
      <c r="CQ33" s="16">
        <f ca="1">(L33-'Airfoil 1'!$Z$86)/ABS(L33-'Airfoil 1'!$Z$86)</f>
        <v>-1</v>
      </c>
      <c r="CR33" s="16">
        <f ca="1">(L33-'Airfoil 1'!$Z$87)/ABS(L33-'Airfoil 1'!$Z$87)</f>
        <v>-1</v>
      </c>
      <c r="CS33" s="16">
        <f ca="1">(L33-'Airfoil 1'!$Z$88)/ABS(L33-'Airfoil 1'!$Z$88)</f>
        <v>-1</v>
      </c>
      <c r="CT33" s="16">
        <f ca="1">(L33-'Airfoil 1'!$Z$89)/ABS(L33-'Airfoil 1'!$Z$89)</f>
        <v>-1</v>
      </c>
      <c r="CU33" s="16">
        <f ca="1">(L33-'Airfoil 1'!$Z$90)/ABS(L33-'Airfoil 1'!$Z$90)</f>
        <v>-1</v>
      </c>
      <c r="CV33" s="16">
        <f ca="1">(L33-'Airfoil 1'!$Z$91)/ABS(L33-'Airfoil 1'!$Z$91)</f>
        <v>-1</v>
      </c>
      <c r="CW33" s="5">
        <f t="shared" ca="1" si="10"/>
        <v>4</v>
      </c>
      <c r="CX33" s="42">
        <f ca="1">INDEX('Airfoil 1'!$AA$72:$AA$91,CW33,1)+INDEX('Airfoil 1'!$AB$72:$AB$91,CW33,1)*(L33-INDEX('Airfoil 1'!$Z$72:$Z$91,CW33,1))</f>
        <v>1.1110331491712706E-2</v>
      </c>
    </row>
    <row r="34" spans="2:102">
      <c r="B34" s="31">
        <f>Main!B34</f>
        <v>0.33333333333333326</v>
      </c>
      <c r="D34" s="1">
        <f>'RC'!F34</f>
        <v>0.65969672852566186</v>
      </c>
      <c r="E34" s="4">
        <f>ISA!$R$10</f>
        <v>1.5987591530356481E-5</v>
      </c>
      <c r="G34" s="13">
        <f ca="1">'RC'!X34</f>
        <v>23.221306277971916</v>
      </c>
      <c r="H34" s="5">
        <f t="shared" ca="1" si="0"/>
        <v>319393.94487246464</v>
      </c>
      <c r="I34" s="16">
        <f ca="1">'Airfoil 2'!$K$14*H34^'Airfoil 2'!$L$13</f>
        <v>1.5808786473142489</v>
      </c>
      <c r="J34" s="1">
        <f ca="1">'Airfoil 2'!$K$33*H34^'Airfoil 2'!$L$32</f>
        <v>5.1908252281545142</v>
      </c>
      <c r="K34" s="13">
        <f ca="1">'Airfoil 2'!$K$52*H34^'Airfoil 2'!$L$51</f>
        <v>-8.6228982065434003</v>
      </c>
      <c r="L34" s="16">
        <f ca="1">'Aerodynamics-RCmax'!W34</f>
        <v>0.9</v>
      </c>
      <c r="M34" s="10">
        <f ca="1">('Airfoil 1'!$B$21+'Airfoil 1'!$B$22*L34+'Airfoil 1'!$B$23*L34^2+'Airfoil 1'!$B$24*L34^3+'Airfoil 1'!$B$25*L34^4+'Airfoil 1'!$B$26*L34^5+'Airfoil 1'!$B$27*L34^6)*0+BD34</f>
        <v>2.4489313868613138E-2</v>
      </c>
      <c r="N34" s="42">
        <f ca="1">('Airfoil 1'!$B$29+'Airfoil 1'!$B$30*L34+'Airfoil 1'!$B$31*L34^2+'Airfoil 1'!$B$32*L34^3+'Airfoil 1'!$B$33*L34^4+'Airfoil 1'!$B$34*L34^5+'Airfoil 1'!$B$35*L34^6)*0+CA34</f>
        <v>1.7370857855361597E-2</v>
      </c>
      <c r="O34" s="42">
        <f ca="1">('Airfoil 1'!$B$37+'Airfoil 1'!$B$38*L34+'Airfoil 1'!$B$39*L34^2+'Airfoil 1'!$B$40*L34^3+'Airfoil 1'!$B$41*L34^4+'Airfoil 1'!$B$42*L34^5+'Airfoil 1'!$B$43*L34^6)*0+CX34</f>
        <v>1.1110331491712706E-2</v>
      </c>
      <c r="P34" s="16">
        <f>LOG('Airfoil 1'!$F$10)+LOG('Airfoil 1'!$G$10)+LOG('Airfoil 1'!$H$10)</f>
        <v>15.176091259055681</v>
      </c>
      <c r="Q34" s="16">
        <f t="shared" ca="1" si="1"/>
        <v>-5.3254750991929125</v>
      </c>
      <c r="R34" s="16">
        <f>LOG('Airfoil 1'!$F$10)^2+LOG('Airfoil 1'!$G$10)^2+LOG('Airfoil 1'!$H$10)^2</f>
        <v>76.867141336751558</v>
      </c>
      <c r="S34" s="16">
        <f ca="1">LOG('Airfoil 1'!$F$10)*LOG(M34)+LOG('Airfoil 1'!$G$10)*LOG(N34)+LOG('Airfoil 1'!$H$10)*LOG(O34)</f>
        <v>-27.014391057528009</v>
      </c>
      <c r="T34" s="16">
        <f t="shared" ca="1" si="2"/>
        <v>141.60346469083578</v>
      </c>
      <c r="U34" s="16">
        <f t="shared" ca="1" si="3"/>
        <v>-0.77613507568957385</v>
      </c>
      <c r="V34" s="42">
        <f ca="1">IF(Energy!$F$11=1,Energy!$T$13,1)*T34*H34^U34</f>
        <v>8.3435615594446132E-3</v>
      </c>
      <c r="W34" s="10">
        <f ca="1">'Airfoil 1'!$B$48+'Airfoil 1'!$B$49*L34+'Airfoil 1'!$B$50*L34^2+'Airfoil 1'!$B$51*L34^3+'Airfoil 1'!$B$52*L34^4+'Airfoil 1'!$B$53*L34^5+'Airfoil 1'!$B$54*L34^6</f>
        <v>-0.155</v>
      </c>
      <c r="X34" s="42">
        <f ca="1">'Airfoil 1'!$B$56+'Airfoil 1'!$B$57*L34+'Airfoil 1'!$B$58*L34^2+'Airfoil 1'!$B$59*L34^3+'Airfoil 1'!$B$60*L34^4+'Airfoil 1'!$B$61*L34^5+'Airfoil 1'!$B$62*L34^6</f>
        <v>-0.155</v>
      </c>
      <c r="Y34" s="42">
        <f ca="1">'Airfoil 1'!$B$64+'Airfoil 1'!$B$65*L34+'Airfoil 1'!$B$66*L34^2+'Airfoil 1'!$B$67*L34^3+'Airfoil 1'!$B$681*L34^4+'Airfoil 1'!$B$69*L34^5+'Airfoil 1'!$B$70*L34^6</f>
        <v>-0.155</v>
      </c>
      <c r="Z34" s="16">
        <f>LOG('Airfoil 1'!$F$10)+LOG('Airfoil 1'!$G$10)+LOG('Airfoil 1'!$H$10)</f>
        <v>15.176091259055681</v>
      </c>
      <c r="AA34" s="16">
        <f t="shared" ca="1" si="4"/>
        <v>-2.4290049054891254</v>
      </c>
      <c r="AB34" s="16">
        <f>LOG('Airfoil 1'!$F$10)^2+LOG('Airfoil 1'!$G$10)^2+LOG('Airfoil 1'!$H$10)^2</f>
        <v>76.867141336751558</v>
      </c>
      <c r="AC34" s="16">
        <f ca="1">LOG('Airfoil 1'!$F$10)*LOG(ABS(W34))+LOG('Airfoil 1'!$G$10)*LOG(ABS(X34))+LOG('Airfoil 1'!$H$10)*LOG(ABS(Y34))</f>
        <v>-12.287600038132297</v>
      </c>
      <c r="AD34" s="16">
        <f t="shared" ca="1" si="5"/>
        <v>0.1550000000000121</v>
      </c>
      <c r="AE34" s="16">
        <f t="shared" ca="1" si="6"/>
        <v>-6.6718325633022456E-15</v>
      </c>
      <c r="AF34" s="42">
        <f t="shared" ca="1" si="7"/>
        <v>-0.154999999999999</v>
      </c>
      <c r="AG34" s="16"/>
      <c r="AH34" s="42"/>
      <c r="AI34" s="16">
        <f ca="1">(L34-'Airfoil 1'!$Z$22)/ABS(L34-'Airfoil 1'!$Z$22)</f>
        <v>1</v>
      </c>
      <c r="AJ34" s="16">
        <f ca="1">(L34-'Airfoil 1'!$Z$23)/ABS(L34-'Airfoil 1'!$Z$23)</f>
        <v>1</v>
      </c>
      <c r="AK34" s="16">
        <f ca="1">(L34-'Airfoil 1'!$Z$24)/ABS(L34-'Airfoil 1'!$Z$24)</f>
        <v>1</v>
      </c>
      <c r="AL34" s="16">
        <f ca="1">(L34-'Airfoil 1'!$Z$25)/ABS(L34-'Airfoil 1'!$Z$25)</f>
        <v>1</v>
      </c>
      <c r="AM34" s="16">
        <f ca="1">(L34-'Airfoil 1'!$Z$26)/ABS(L34-'Airfoil 1'!$Z$26)</f>
        <v>1</v>
      </c>
      <c r="AN34" s="16">
        <f ca="1">(L34-'Airfoil 1'!$Z$27)/ABS(L34-'Airfoil 1'!$Z$27)</f>
        <v>1</v>
      </c>
      <c r="AO34" s="16">
        <f ca="1">(L34-'Airfoil 1'!$Z$28)/ABS(L34-'Airfoil 1'!$Z$28)</f>
        <v>1</v>
      </c>
      <c r="AP34" s="16">
        <f ca="1">(L34-'Airfoil 1'!$Z$29)/ABS(L34-'Airfoil 1'!$Z$29)</f>
        <v>-1</v>
      </c>
      <c r="AQ34" s="16">
        <f ca="1">(L34-'Airfoil 1'!$Z$30)/ABS(L34-'Airfoil 1'!$Z$30)</f>
        <v>-1</v>
      </c>
      <c r="AR34" s="16">
        <f ca="1">(L34-'Airfoil 1'!$Z$31)/ABS(L34-'Airfoil 1'!$Z$31)</f>
        <v>-1</v>
      </c>
      <c r="AS34" s="16">
        <f ca="1">(L34-'Airfoil 1'!$Z$32)/ABS(L34-'Airfoil 1'!$Z$32)</f>
        <v>-1</v>
      </c>
      <c r="AT34" s="16">
        <f ca="1">(L34-'Airfoil 1'!$Z$33)/ABS(L34-'Airfoil 1'!$Z$33)</f>
        <v>-1</v>
      </c>
      <c r="AU34" s="16">
        <f ca="1">(L34-'Airfoil 1'!$Z$34)/ABS(L34-'Airfoil 1'!$Z$34)</f>
        <v>-1</v>
      </c>
      <c r="AV34" s="16">
        <f ca="1">(L34-'Airfoil 1'!$Z$35)/ABS(L34-'Airfoil 1'!$Z$35)</f>
        <v>-1</v>
      </c>
      <c r="AW34" s="16">
        <f ca="1">(L34-'Airfoil 1'!$Z$36)/ABS(L34-'Airfoil 1'!$Z$36)</f>
        <v>-1</v>
      </c>
      <c r="AX34" s="16">
        <f ca="1">(L34-'Airfoil 1'!$Z$37)/ABS(L34-'Airfoil 1'!$Z$37)</f>
        <v>-1</v>
      </c>
      <c r="AY34" s="16">
        <f ca="1">(L34-'Airfoil 1'!$Z$38)/ABS(L34-'Airfoil 1'!$Z$38)</f>
        <v>-1</v>
      </c>
      <c r="AZ34" s="16">
        <f ca="1">(L34-'Airfoil 1'!$Z$39)/ABS(L34-'Airfoil 1'!$Z$39)</f>
        <v>-1</v>
      </c>
      <c r="BA34" s="16">
        <f ca="1">(L34-'Airfoil 1'!$Z$40)/ABS(L34-'Airfoil 1'!$Z$40)</f>
        <v>-1</v>
      </c>
      <c r="BB34" s="16">
        <f ca="1">(L34-'Airfoil 1'!$Z$41)/ABS(L34-'Airfoil 1'!$Z$41)</f>
        <v>-1</v>
      </c>
      <c r="BC34" s="5">
        <f t="shared" ca="1" si="8"/>
        <v>7</v>
      </c>
      <c r="BD34" s="42">
        <f ca="1">INDEX('Airfoil 1'!$AA$22:$AA$41,BC34,1)+INDEX('Airfoil 1'!$AB$22:$AB$41,BC34,1)*(L34-INDEX('Airfoil 1'!$Z$22:$Z$41,BC34,1))</f>
        <v>2.4489313868613138E-2</v>
      </c>
      <c r="BE34" s="6"/>
      <c r="BF34" s="16">
        <f ca="1">(L34-'Airfoil 1'!$Z$47)/ABS(L34-'Airfoil 1'!$Z$47)</f>
        <v>1</v>
      </c>
      <c r="BG34" s="16">
        <f ca="1">(L34-'Airfoil 1'!$Z$48)/ABS(L34-'Airfoil 1'!$Z$48)</f>
        <v>1</v>
      </c>
      <c r="BH34" s="16">
        <f ca="1">(L34-'Airfoil 1'!$Z$49)/ABS(L34-'Airfoil 1'!$Z$49)</f>
        <v>1</v>
      </c>
      <c r="BI34" s="16">
        <f ca="1">(L34-'Airfoil 1'!$Z$50)/ABS(L34-'Airfoil 1'!$Z$50)</f>
        <v>1</v>
      </c>
      <c r="BJ34" s="16">
        <f ca="1">(L34-'Airfoil 1'!$Z$51)/ABS(L34-'Airfoil 1'!$Z$51)</f>
        <v>1</v>
      </c>
      <c r="BK34" s="16">
        <f ca="1">(L34-'Airfoil 1'!$Z$52)/ABS(L34-'Airfoil 1'!$Z$52)</f>
        <v>1</v>
      </c>
      <c r="BL34" s="16">
        <f ca="1">(L34-'Airfoil 1'!$Z$53)/ABS(L34-'Airfoil 1'!$Z$53)</f>
        <v>-1</v>
      </c>
      <c r="BM34" s="16">
        <f ca="1">(L34-'Airfoil 1'!$Z$54)/ABS(L34-'Airfoil 1'!$Z$54)</f>
        <v>-1</v>
      </c>
      <c r="BN34" s="16">
        <f ca="1">(L34-'Airfoil 1'!$Z$55)/ABS(L34-'Airfoil 1'!$Z$55)</f>
        <v>-1</v>
      </c>
      <c r="BO34" s="16">
        <f ca="1">(L34-'Airfoil 1'!$Z$56)/ABS(L34-'Airfoil 1'!$Z$56)</f>
        <v>-1</v>
      </c>
      <c r="BP34" s="16">
        <f ca="1">(L34-'Airfoil 1'!$Z$57)/ABS(L34-'Airfoil 1'!$Z$57)</f>
        <v>-1</v>
      </c>
      <c r="BQ34" s="16">
        <f ca="1">(L34-'Airfoil 1'!$Z$58)/ABS(L34-'Airfoil 1'!$Z$58)</f>
        <v>-1</v>
      </c>
      <c r="BR34" s="16">
        <f ca="1">(L34-'Airfoil 1'!$Z$59)/ABS(L34-'Airfoil 1'!$Z$59)</f>
        <v>-1</v>
      </c>
      <c r="BS34" s="16">
        <f ca="1">(L34-'Airfoil 1'!$Z$60)/ABS(L34-'Airfoil 1'!$Z$60)</f>
        <v>-1</v>
      </c>
      <c r="BT34" s="16">
        <f ca="1">(L34-'Airfoil 1'!$Z$61)/ABS(L34-'Airfoil 1'!$Z$61)</f>
        <v>-1</v>
      </c>
      <c r="BU34" s="16">
        <f ca="1">(L34-'Airfoil 1'!$Z$62)/ABS(L34-'Airfoil 1'!$Z$62)</f>
        <v>-1</v>
      </c>
      <c r="BV34" s="16">
        <f ca="1">(L34-'Airfoil 1'!$Z$63)/ABS(L34-'Airfoil 1'!$Z$63)</f>
        <v>-1</v>
      </c>
      <c r="BW34" s="16">
        <f ca="1">(L34-'Airfoil 1'!$Z$64)/ABS(L34-'Airfoil 1'!$Z$64)</f>
        <v>-1</v>
      </c>
      <c r="BX34" s="16">
        <f ca="1">(L34-'Airfoil 1'!$Z$65)/ABS(L34-'Airfoil 1'!$Z$65)</f>
        <v>-1</v>
      </c>
      <c r="BY34" s="16">
        <f ca="1">(L34-'Airfoil 1'!$Z$66)/ABS(L34-'Airfoil 1'!$Z$66)</f>
        <v>-1</v>
      </c>
      <c r="BZ34" s="5">
        <f t="shared" ca="1" si="9"/>
        <v>6</v>
      </c>
      <c r="CA34" s="42">
        <f ca="1">INDEX('Airfoil 1'!$AA$47:$AA$66,BZ34,1)+INDEX('Airfoil 1'!$AB$47:$AB$66,BZ34,1)*(L34-INDEX('Airfoil 1'!$Z$47:$Z$66,BZ34,1))</f>
        <v>1.7370857855361597E-2</v>
      </c>
      <c r="CC34" s="16">
        <f ca="1">(L34-'Airfoil 1'!$Z$72)/ABS(L34-'Airfoil 1'!$Z$72)</f>
        <v>1</v>
      </c>
      <c r="CD34" s="16">
        <f ca="1">(L34-'Airfoil 1'!$Z$73)/ABS(L34-'Airfoil 1'!$Z$73)</f>
        <v>1</v>
      </c>
      <c r="CE34" s="16">
        <f ca="1">(L34-'Airfoil 1'!$Z$74)/ABS(L34-'Airfoil 1'!$Z$74)</f>
        <v>1</v>
      </c>
      <c r="CF34" s="16">
        <f ca="1">(L34-'Airfoil 1'!$Z$75)/ABS(L34-'Airfoil 1'!$Z$75)</f>
        <v>1</v>
      </c>
      <c r="CG34" s="16">
        <f ca="1">(L34-'Airfoil 1'!$Z$76)/ABS(L34-'Airfoil 1'!$Z$76)</f>
        <v>-1</v>
      </c>
      <c r="CH34" s="16">
        <f ca="1">(L34-'Airfoil 1'!$Z$77)/ABS(L34-'Airfoil 1'!$Z$77)</f>
        <v>-1</v>
      </c>
      <c r="CI34" s="16">
        <f ca="1">(L34-'Airfoil 1'!$Z$78)/ABS(L34-'Airfoil 1'!$Z$78)</f>
        <v>-1</v>
      </c>
      <c r="CJ34" s="16">
        <f ca="1">(L34-'Airfoil 1'!$Z$79)/ABS(L34-'Airfoil 1'!$Z$79)</f>
        <v>-1</v>
      </c>
      <c r="CK34" s="16">
        <f ca="1">(L34-'Airfoil 1'!$Z$80)/ABS(L34-'Airfoil 1'!$Z$80)</f>
        <v>-1</v>
      </c>
      <c r="CL34" s="16">
        <f ca="1">(L34-'Airfoil 1'!$Z$81)/ABS(L34-'Airfoil 1'!$Z$81)</f>
        <v>-1</v>
      </c>
      <c r="CM34" s="16">
        <f ca="1">(L34-'Airfoil 1'!$Z$82)/ABS(L34-'Airfoil 1'!$Z$82)</f>
        <v>-1</v>
      </c>
      <c r="CN34" s="16">
        <f ca="1">(L34-'Airfoil 1'!$Z$83)/ABS(L34-'Airfoil 1'!$Z$83)</f>
        <v>-1</v>
      </c>
      <c r="CO34" s="16">
        <f ca="1">(L34-'Airfoil 1'!$Z$84)/ABS(L34-'Airfoil 1'!$Z$84)</f>
        <v>-1</v>
      </c>
      <c r="CP34" s="16">
        <f ca="1">(L34-'Airfoil 1'!$Z$85)/ABS(L34-'Airfoil 1'!$Z$85)</f>
        <v>-1</v>
      </c>
      <c r="CQ34" s="16">
        <f ca="1">(L34-'Airfoil 1'!$Z$86)/ABS(L34-'Airfoil 1'!$Z$86)</f>
        <v>-1</v>
      </c>
      <c r="CR34" s="16">
        <f ca="1">(L34-'Airfoil 1'!$Z$87)/ABS(L34-'Airfoil 1'!$Z$87)</f>
        <v>-1</v>
      </c>
      <c r="CS34" s="16">
        <f ca="1">(L34-'Airfoil 1'!$Z$88)/ABS(L34-'Airfoil 1'!$Z$88)</f>
        <v>-1</v>
      </c>
      <c r="CT34" s="16">
        <f ca="1">(L34-'Airfoil 1'!$Z$89)/ABS(L34-'Airfoil 1'!$Z$89)</f>
        <v>-1</v>
      </c>
      <c r="CU34" s="16">
        <f ca="1">(L34-'Airfoil 1'!$Z$90)/ABS(L34-'Airfoil 1'!$Z$90)</f>
        <v>-1</v>
      </c>
      <c r="CV34" s="16">
        <f ca="1">(L34-'Airfoil 1'!$Z$91)/ABS(L34-'Airfoil 1'!$Z$91)</f>
        <v>-1</v>
      </c>
      <c r="CW34" s="5">
        <f t="shared" ca="1" si="10"/>
        <v>4</v>
      </c>
      <c r="CX34" s="42">
        <f ca="1">INDEX('Airfoil 1'!$AA$72:$AA$91,CW34,1)+INDEX('Airfoil 1'!$AB$72:$AB$91,CW34,1)*(L34-INDEX('Airfoil 1'!$Z$72:$Z$91,CW34,1))</f>
        <v>1.1110331491712706E-2</v>
      </c>
    </row>
    <row r="35" spans="2:102">
      <c r="B35" s="31">
        <f>Main!B35</f>
        <v>0.33333333333333326</v>
      </c>
      <c r="D35" s="1">
        <f>'RC'!F35</f>
        <v>0.65969672852566186</v>
      </c>
      <c r="E35" s="4">
        <f>ISA!$R$10</f>
        <v>1.5987591530356481E-5</v>
      </c>
      <c r="G35" s="13">
        <f ca="1">'RC'!X35</f>
        <v>22.867828371672989</v>
      </c>
      <c r="H35" s="5">
        <f t="shared" ca="1" si="0"/>
        <v>314532.08647541265</v>
      </c>
      <c r="I35" s="16">
        <f ca="1">'Airfoil 2'!$K$14*H35^'Airfoil 2'!$L$13</f>
        <v>1.5805415838185217</v>
      </c>
      <c r="J35" s="1">
        <f ca="1">'Airfoil 2'!$K$33*H35^'Airfoil 2'!$L$32</f>
        <v>5.2176752338449184</v>
      </c>
      <c r="K35" s="13">
        <f ca="1">'Airfoil 2'!$K$52*H35^'Airfoil 2'!$L$51</f>
        <v>-8.5348959263740802</v>
      </c>
      <c r="L35" s="16">
        <f ca="1">'Aerodynamics-RCmax'!W35</f>
        <v>0.9</v>
      </c>
      <c r="M35" s="10">
        <f ca="1">('Airfoil 1'!$B$21+'Airfoil 1'!$B$22*L35+'Airfoil 1'!$B$23*L35^2+'Airfoil 1'!$B$24*L35^3+'Airfoil 1'!$B$25*L35^4+'Airfoil 1'!$B$26*L35^5+'Airfoil 1'!$B$27*L35^6)*0+BD35</f>
        <v>2.4489313868613138E-2</v>
      </c>
      <c r="N35" s="42">
        <f ca="1">('Airfoil 1'!$B$29+'Airfoil 1'!$B$30*L35+'Airfoil 1'!$B$31*L35^2+'Airfoil 1'!$B$32*L35^3+'Airfoil 1'!$B$33*L35^4+'Airfoil 1'!$B$34*L35^5+'Airfoil 1'!$B$35*L35^6)*0+CA35</f>
        <v>1.7370857855361597E-2</v>
      </c>
      <c r="O35" s="42">
        <f ca="1">('Airfoil 1'!$B$37+'Airfoil 1'!$B$38*L35+'Airfoil 1'!$B$39*L35^2+'Airfoil 1'!$B$40*L35^3+'Airfoil 1'!$B$41*L35^4+'Airfoil 1'!$B$42*L35^5+'Airfoil 1'!$B$43*L35^6)*0+CX35</f>
        <v>1.1110331491712706E-2</v>
      </c>
      <c r="P35" s="16">
        <f>LOG('Airfoil 1'!$F$10)+LOG('Airfoil 1'!$G$10)+LOG('Airfoil 1'!$H$10)</f>
        <v>15.176091259055681</v>
      </c>
      <c r="Q35" s="16">
        <f t="shared" ca="1" si="1"/>
        <v>-5.3254750991929125</v>
      </c>
      <c r="R35" s="16">
        <f>LOG('Airfoil 1'!$F$10)^2+LOG('Airfoil 1'!$G$10)^2+LOG('Airfoil 1'!$H$10)^2</f>
        <v>76.867141336751558</v>
      </c>
      <c r="S35" s="16">
        <f ca="1">LOG('Airfoil 1'!$F$10)*LOG(M35)+LOG('Airfoil 1'!$G$10)*LOG(N35)+LOG('Airfoil 1'!$H$10)*LOG(O35)</f>
        <v>-27.014391057528009</v>
      </c>
      <c r="T35" s="16">
        <f t="shared" ca="1" si="2"/>
        <v>141.60346469083578</v>
      </c>
      <c r="U35" s="16">
        <f t="shared" ca="1" si="3"/>
        <v>-0.77613507568957385</v>
      </c>
      <c r="V35" s="42">
        <f ca="1">IF(Energy!$F$11=1,Energy!$T$13,1)*T35*H35^U35</f>
        <v>8.4434876229981162E-3</v>
      </c>
      <c r="W35" s="10">
        <f ca="1">'Airfoil 1'!$B$48+'Airfoil 1'!$B$49*L35+'Airfoil 1'!$B$50*L35^2+'Airfoil 1'!$B$51*L35^3+'Airfoil 1'!$B$52*L35^4+'Airfoil 1'!$B$53*L35^5+'Airfoil 1'!$B$54*L35^6</f>
        <v>-0.155</v>
      </c>
      <c r="X35" s="42">
        <f ca="1">'Airfoil 1'!$B$56+'Airfoil 1'!$B$57*L35+'Airfoil 1'!$B$58*L35^2+'Airfoil 1'!$B$59*L35^3+'Airfoil 1'!$B$60*L35^4+'Airfoil 1'!$B$61*L35^5+'Airfoil 1'!$B$62*L35^6</f>
        <v>-0.155</v>
      </c>
      <c r="Y35" s="42">
        <f ca="1">'Airfoil 1'!$B$64+'Airfoil 1'!$B$65*L35+'Airfoil 1'!$B$66*L35^2+'Airfoil 1'!$B$67*L35^3+'Airfoil 1'!$B$681*L35^4+'Airfoil 1'!$B$69*L35^5+'Airfoil 1'!$B$70*L35^6</f>
        <v>-0.155</v>
      </c>
      <c r="Z35" s="16">
        <f>LOG('Airfoil 1'!$F$10)+LOG('Airfoil 1'!$G$10)+LOG('Airfoil 1'!$H$10)</f>
        <v>15.176091259055681</v>
      </c>
      <c r="AA35" s="16">
        <f t="shared" ca="1" si="4"/>
        <v>-2.4290049054891254</v>
      </c>
      <c r="AB35" s="16">
        <f>LOG('Airfoil 1'!$F$10)^2+LOG('Airfoil 1'!$G$10)^2+LOG('Airfoil 1'!$H$10)^2</f>
        <v>76.867141336751558</v>
      </c>
      <c r="AC35" s="16">
        <f ca="1">LOG('Airfoil 1'!$F$10)*LOG(ABS(W35))+LOG('Airfoil 1'!$G$10)*LOG(ABS(X35))+LOG('Airfoil 1'!$H$10)*LOG(ABS(Y35))</f>
        <v>-12.287600038132297</v>
      </c>
      <c r="AD35" s="16">
        <f t="shared" ca="1" si="5"/>
        <v>0.1550000000000121</v>
      </c>
      <c r="AE35" s="16">
        <f t="shared" ca="1" si="6"/>
        <v>-6.6718325633022456E-15</v>
      </c>
      <c r="AF35" s="42">
        <f t="shared" ca="1" si="7"/>
        <v>-0.15499999999999903</v>
      </c>
      <c r="AG35" s="16"/>
      <c r="AH35" s="42"/>
      <c r="AI35" s="16">
        <f ca="1">(L35-'Airfoil 1'!$Z$22)/ABS(L35-'Airfoil 1'!$Z$22)</f>
        <v>1</v>
      </c>
      <c r="AJ35" s="16">
        <f ca="1">(L35-'Airfoil 1'!$Z$23)/ABS(L35-'Airfoil 1'!$Z$23)</f>
        <v>1</v>
      </c>
      <c r="AK35" s="16">
        <f ca="1">(L35-'Airfoil 1'!$Z$24)/ABS(L35-'Airfoil 1'!$Z$24)</f>
        <v>1</v>
      </c>
      <c r="AL35" s="16">
        <f ca="1">(L35-'Airfoil 1'!$Z$25)/ABS(L35-'Airfoil 1'!$Z$25)</f>
        <v>1</v>
      </c>
      <c r="AM35" s="16">
        <f ca="1">(L35-'Airfoil 1'!$Z$26)/ABS(L35-'Airfoil 1'!$Z$26)</f>
        <v>1</v>
      </c>
      <c r="AN35" s="16">
        <f ca="1">(L35-'Airfoil 1'!$Z$27)/ABS(L35-'Airfoil 1'!$Z$27)</f>
        <v>1</v>
      </c>
      <c r="AO35" s="16">
        <f ca="1">(L35-'Airfoil 1'!$Z$28)/ABS(L35-'Airfoil 1'!$Z$28)</f>
        <v>1</v>
      </c>
      <c r="AP35" s="16">
        <f ca="1">(L35-'Airfoil 1'!$Z$29)/ABS(L35-'Airfoil 1'!$Z$29)</f>
        <v>-1</v>
      </c>
      <c r="AQ35" s="16">
        <f ca="1">(L35-'Airfoil 1'!$Z$30)/ABS(L35-'Airfoil 1'!$Z$30)</f>
        <v>-1</v>
      </c>
      <c r="AR35" s="16">
        <f ca="1">(L35-'Airfoil 1'!$Z$31)/ABS(L35-'Airfoil 1'!$Z$31)</f>
        <v>-1</v>
      </c>
      <c r="AS35" s="16">
        <f ca="1">(L35-'Airfoil 1'!$Z$32)/ABS(L35-'Airfoil 1'!$Z$32)</f>
        <v>-1</v>
      </c>
      <c r="AT35" s="16">
        <f ca="1">(L35-'Airfoil 1'!$Z$33)/ABS(L35-'Airfoil 1'!$Z$33)</f>
        <v>-1</v>
      </c>
      <c r="AU35" s="16">
        <f ca="1">(L35-'Airfoil 1'!$Z$34)/ABS(L35-'Airfoil 1'!$Z$34)</f>
        <v>-1</v>
      </c>
      <c r="AV35" s="16">
        <f ca="1">(L35-'Airfoil 1'!$Z$35)/ABS(L35-'Airfoil 1'!$Z$35)</f>
        <v>-1</v>
      </c>
      <c r="AW35" s="16">
        <f ca="1">(L35-'Airfoil 1'!$Z$36)/ABS(L35-'Airfoil 1'!$Z$36)</f>
        <v>-1</v>
      </c>
      <c r="AX35" s="16">
        <f ca="1">(L35-'Airfoil 1'!$Z$37)/ABS(L35-'Airfoil 1'!$Z$37)</f>
        <v>-1</v>
      </c>
      <c r="AY35" s="16">
        <f ca="1">(L35-'Airfoil 1'!$Z$38)/ABS(L35-'Airfoil 1'!$Z$38)</f>
        <v>-1</v>
      </c>
      <c r="AZ35" s="16">
        <f ca="1">(L35-'Airfoil 1'!$Z$39)/ABS(L35-'Airfoil 1'!$Z$39)</f>
        <v>-1</v>
      </c>
      <c r="BA35" s="16">
        <f ca="1">(L35-'Airfoil 1'!$Z$40)/ABS(L35-'Airfoil 1'!$Z$40)</f>
        <v>-1</v>
      </c>
      <c r="BB35" s="16">
        <f ca="1">(L35-'Airfoil 1'!$Z$41)/ABS(L35-'Airfoil 1'!$Z$41)</f>
        <v>-1</v>
      </c>
      <c r="BC35" s="5">
        <f t="shared" ca="1" si="8"/>
        <v>7</v>
      </c>
      <c r="BD35" s="42">
        <f ca="1">INDEX('Airfoil 1'!$AA$22:$AA$41,BC35,1)+INDEX('Airfoil 1'!$AB$22:$AB$41,BC35,1)*(L35-INDEX('Airfoil 1'!$Z$22:$Z$41,BC35,1))</f>
        <v>2.4489313868613138E-2</v>
      </c>
      <c r="BE35" s="6"/>
      <c r="BF35" s="16">
        <f ca="1">(L35-'Airfoil 1'!$Z$47)/ABS(L35-'Airfoil 1'!$Z$47)</f>
        <v>1</v>
      </c>
      <c r="BG35" s="16">
        <f ca="1">(L35-'Airfoil 1'!$Z$48)/ABS(L35-'Airfoil 1'!$Z$48)</f>
        <v>1</v>
      </c>
      <c r="BH35" s="16">
        <f ca="1">(L35-'Airfoil 1'!$Z$49)/ABS(L35-'Airfoil 1'!$Z$49)</f>
        <v>1</v>
      </c>
      <c r="BI35" s="16">
        <f ca="1">(L35-'Airfoil 1'!$Z$50)/ABS(L35-'Airfoil 1'!$Z$50)</f>
        <v>1</v>
      </c>
      <c r="BJ35" s="16">
        <f ca="1">(L35-'Airfoil 1'!$Z$51)/ABS(L35-'Airfoil 1'!$Z$51)</f>
        <v>1</v>
      </c>
      <c r="BK35" s="16">
        <f ca="1">(L35-'Airfoil 1'!$Z$52)/ABS(L35-'Airfoil 1'!$Z$52)</f>
        <v>1</v>
      </c>
      <c r="BL35" s="16">
        <f ca="1">(L35-'Airfoil 1'!$Z$53)/ABS(L35-'Airfoil 1'!$Z$53)</f>
        <v>-1</v>
      </c>
      <c r="BM35" s="16">
        <f ca="1">(L35-'Airfoil 1'!$Z$54)/ABS(L35-'Airfoil 1'!$Z$54)</f>
        <v>-1</v>
      </c>
      <c r="BN35" s="16">
        <f ca="1">(L35-'Airfoil 1'!$Z$55)/ABS(L35-'Airfoil 1'!$Z$55)</f>
        <v>-1</v>
      </c>
      <c r="BO35" s="16">
        <f ca="1">(L35-'Airfoil 1'!$Z$56)/ABS(L35-'Airfoil 1'!$Z$56)</f>
        <v>-1</v>
      </c>
      <c r="BP35" s="16">
        <f ca="1">(L35-'Airfoil 1'!$Z$57)/ABS(L35-'Airfoil 1'!$Z$57)</f>
        <v>-1</v>
      </c>
      <c r="BQ35" s="16">
        <f ca="1">(L35-'Airfoil 1'!$Z$58)/ABS(L35-'Airfoil 1'!$Z$58)</f>
        <v>-1</v>
      </c>
      <c r="BR35" s="16">
        <f ca="1">(L35-'Airfoil 1'!$Z$59)/ABS(L35-'Airfoil 1'!$Z$59)</f>
        <v>-1</v>
      </c>
      <c r="BS35" s="16">
        <f ca="1">(L35-'Airfoil 1'!$Z$60)/ABS(L35-'Airfoil 1'!$Z$60)</f>
        <v>-1</v>
      </c>
      <c r="BT35" s="16">
        <f ca="1">(L35-'Airfoil 1'!$Z$61)/ABS(L35-'Airfoil 1'!$Z$61)</f>
        <v>-1</v>
      </c>
      <c r="BU35" s="16">
        <f ca="1">(L35-'Airfoil 1'!$Z$62)/ABS(L35-'Airfoil 1'!$Z$62)</f>
        <v>-1</v>
      </c>
      <c r="BV35" s="16">
        <f ca="1">(L35-'Airfoil 1'!$Z$63)/ABS(L35-'Airfoil 1'!$Z$63)</f>
        <v>-1</v>
      </c>
      <c r="BW35" s="16">
        <f ca="1">(L35-'Airfoil 1'!$Z$64)/ABS(L35-'Airfoil 1'!$Z$64)</f>
        <v>-1</v>
      </c>
      <c r="BX35" s="16">
        <f ca="1">(L35-'Airfoil 1'!$Z$65)/ABS(L35-'Airfoil 1'!$Z$65)</f>
        <v>-1</v>
      </c>
      <c r="BY35" s="16">
        <f ca="1">(L35-'Airfoil 1'!$Z$66)/ABS(L35-'Airfoil 1'!$Z$66)</f>
        <v>-1</v>
      </c>
      <c r="BZ35" s="5">
        <f t="shared" ca="1" si="9"/>
        <v>6</v>
      </c>
      <c r="CA35" s="42">
        <f ca="1">INDEX('Airfoil 1'!$AA$47:$AA$66,BZ35,1)+INDEX('Airfoil 1'!$AB$47:$AB$66,BZ35,1)*(L35-INDEX('Airfoil 1'!$Z$47:$Z$66,BZ35,1))</f>
        <v>1.7370857855361597E-2</v>
      </c>
      <c r="CC35" s="16">
        <f ca="1">(L35-'Airfoil 1'!$Z$72)/ABS(L35-'Airfoil 1'!$Z$72)</f>
        <v>1</v>
      </c>
      <c r="CD35" s="16">
        <f ca="1">(L35-'Airfoil 1'!$Z$73)/ABS(L35-'Airfoil 1'!$Z$73)</f>
        <v>1</v>
      </c>
      <c r="CE35" s="16">
        <f ca="1">(L35-'Airfoil 1'!$Z$74)/ABS(L35-'Airfoil 1'!$Z$74)</f>
        <v>1</v>
      </c>
      <c r="CF35" s="16">
        <f ca="1">(L35-'Airfoil 1'!$Z$75)/ABS(L35-'Airfoil 1'!$Z$75)</f>
        <v>1</v>
      </c>
      <c r="CG35" s="16">
        <f ca="1">(L35-'Airfoil 1'!$Z$76)/ABS(L35-'Airfoil 1'!$Z$76)</f>
        <v>-1</v>
      </c>
      <c r="CH35" s="16">
        <f ca="1">(L35-'Airfoil 1'!$Z$77)/ABS(L35-'Airfoil 1'!$Z$77)</f>
        <v>-1</v>
      </c>
      <c r="CI35" s="16">
        <f ca="1">(L35-'Airfoil 1'!$Z$78)/ABS(L35-'Airfoil 1'!$Z$78)</f>
        <v>-1</v>
      </c>
      <c r="CJ35" s="16">
        <f ca="1">(L35-'Airfoil 1'!$Z$79)/ABS(L35-'Airfoil 1'!$Z$79)</f>
        <v>-1</v>
      </c>
      <c r="CK35" s="16">
        <f ca="1">(L35-'Airfoil 1'!$Z$80)/ABS(L35-'Airfoil 1'!$Z$80)</f>
        <v>-1</v>
      </c>
      <c r="CL35" s="16">
        <f ca="1">(L35-'Airfoil 1'!$Z$81)/ABS(L35-'Airfoil 1'!$Z$81)</f>
        <v>-1</v>
      </c>
      <c r="CM35" s="16">
        <f ca="1">(L35-'Airfoil 1'!$Z$82)/ABS(L35-'Airfoil 1'!$Z$82)</f>
        <v>-1</v>
      </c>
      <c r="CN35" s="16">
        <f ca="1">(L35-'Airfoil 1'!$Z$83)/ABS(L35-'Airfoil 1'!$Z$83)</f>
        <v>-1</v>
      </c>
      <c r="CO35" s="16">
        <f ca="1">(L35-'Airfoil 1'!$Z$84)/ABS(L35-'Airfoil 1'!$Z$84)</f>
        <v>-1</v>
      </c>
      <c r="CP35" s="16">
        <f ca="1">(L35-'Airfoil 1'!$Z$85)/ABS(L35-'Airfoil 1'!$Z$85)</f>
        <v>-1</v>
      </c>
      <c r="CQ35" s="16">
        <f ca="1">(L35-'Airfoil 1'!$Z$86)/ABS(L35-'Airfoil 1'!$Z$86)</f>
        <v>-1</v>
      </c>
      <c r="CR35" s="16">
        <f ca="1">(L35-'Airfoil 1'!$Z$87)/ABS(L35-'Airfoil 1'!$Z$87)</f>
        <v>-1</v>
      </c>
      <c r="CS35" s="16">
        <f ca="1">(L35-'Airfoil 1'!$Z$88)/ABS(L35-'Airfoil 1'!$Z$88)</f>
        <v>-1</v>
      </c>
      <c r="CT35" s="16">
        <f ca="1">(L35-'Airfoil 1'!$Z$89)/ABS(L35-'Airfoil 1'!$Z$89)</f>
        <v>-1</v>
      </c>
      <c r="CU35" s="16">
        <f ca="1">(L35-'Airfoil 1'!$Z$90)/ABS(L35-'Airfoil 1'!$Z$90)</f>
        <v>-1</v>
      </c>
      <c r="CV35" s="16">
        <f ca="1">(L35-'Airfoil 1'!$Z$91)/ABS(L35-'Airfoil 1'!$Z$91)</f>
        <v>-1</v>
      </c>
      <c r="CW35" s="5">
        <f t="shared" ca="1" si="10"/>
        <v>4</v>
      </c>
      <c r="CX35" s="42">
        <f ca="1">INDEX('Airfoil 1'!$AA$72:$AA$91,CW35,1)+INDEX('Airfoil 1'!$AB$72:$AB$91,CW35,1)*(L35-INDEX('Airfoil 1'!$Z$72:$Z$91,CW35,1))</f>
        <v>1.1110331491712706E-2</v>
      </c>
    </row>
    <row r="36" spans="2:102">
      <c r="B36" s="31">
        <f>Main!B36</f>
        <v>0.33333333333333326</v>
      </c>
      <c r="D36" s="1">
        <f>'RC'!F36</f>
        <v>0.65969672852566186</v>
      </c>
      <c r="E36" s="4">
        <f>ISA!$R$10</f>
        <v>1.5987591530356481E-5</v>
      </c>
      <c r="G36" s="13">
        <f ca="1">'RC'!X36</f>
        <v>22.533115808238001</v>
      </c>
      <c r="H36" s="5">
        <f t="shared" ca="1" si="0"/>
        <v>309928.33314843953</v>
      </c>
      <c r="I36" s="16">
        <f ca="1">'Airfoil 2'!$K$14*H36^'Airfoil 2'!$L$13</f>
        <v>1.5802176444960525</v>
      </c>
      <c r="J36" s="1">
        <f ca="1">'Airfoil 2'!$K$33*H36^'Airfoil 2'!$L$32</f>
        <v>5.2436160925586224</v>
      </c>
      <c r="K36" s="13">
        <f ca="1">'Airfoil 2'!$K$52*H36^'Airfoil 2'!$L$51</f>
        <v>-8.4511492080709445</v>
      </c>
      <c r="L36" s="16">
        <f ca="1">'Aerodynamics-RCmax'!W36</f>
        <v>0.9</v>
      </c>
      <c r="M36" s="10">
        <f ca="1">('Airfoil 1'!$B$21+'Airfoil 1'!$B$22*L36+'Airfoil 1'!$B$23*L36^2+'Airfoil 1'!$B$24*L36^3+'Airfoil 1'!$B$25*L36^4+'Airfoil 1'!$B$26*L36^5+'Airfoil 1'!$B$27*L36^6)*0+BD36</f>
        <v>2.4489313868613138E-2</v>
      </c>
      <c r="N36" s="42">
        <f ca="1">('Airfoil 1'!$B$29+'Airfoil 1'!$B$30*L36+'Airfoil 1'!$B$31*L36^2+'Airfoil 1'!$B$32*L36^3+'Airfoil 1'!$B$33*L36^4+'Airfoil 1'!$B$34*L36^5+'Airfoil 1'!$B$35*L36^6)*0+CA36</f>
        <v>1.7370857855361597E-2</v>
      </c>
      <c r="O36" s="42">
        <f ca="1">('Airfoil 1'!$B$37+'Airfoil 1'!$B$38*L36+'Airfoil 1'!$B$39*L36^2+'Airfoil 1'!$B$40*L36^3+'Airfoil 1'!$B$41*L36^4+'Airfoil 1'!$B$42*L36^5+'Airfoil 1'!$B$43*L36^6)*0+CX36</f>
        <v>1.1110331491712706E-2</v>
      </c>
      <c r="P36" s="16">
        <f>LOG('Airfoil 1'!$F$10)+LOG('Airfoil 1'!$G$10)+LOG('Airfoil 1'!$H$10)</f>
        <v>15.176091259055681</v>
      </c>
      <c r="Q36" s="16">
        <f t="shared" ca="1" si="1"/>
        <v>-5.3254750991929125</v>
      </c>
      <c r="R36" s="16">
        <f>LOG('Airfoil 1'!$F$10)^2+LOG('Airfoil 1'!$G$10)^2+LOG('Airfoil 1'!$H$10)^2</f>
        <v>76.867141336751558</v>
      </c>
      <c r="S36" s="16">
        <f ca="1">LOG('Airfoil 1'!$F$10)*LOG(M36)+LOG('Airfoil 1'!$G$10)*LOG(N36)+LOG('Airfoil 1'!$H$10)*LOG(O36)</f>
        <v>-27.014391057528009</v>
      </c>
      <c r="T36" s="16">
        <f t="shared" ca="1" si="2"/>
        <v>141.60346469083578</v>
      </c>
      <c r="U36" s="16">
        <f t="shared" ca="1" si="3"/>
        <v>-0.77613507568957385</v>
      </c>
      <c r="V36" s="42">
        <f ca="1">IF(Energy!$F$11=1,Energy!$T$13,1)*T36*H36^U36</f>
        <v>8.5406709143981806E-3</v>
      </c>
      <c r="W36" s="10">
        <f ca="1">'Airfoil 1'!$B$48+'Airfoil 1'!$B$49*L36+'Airfoil 1'!$B$50*L36^2+'Airfoil 1'!$B$51*L36^3+'Airfoil 1'!$B$52*L36^4+'Airfoil 1'!$B$53*L36^5+'Airfoil 1'!$B$54*L36^6</f>
        <v>-0.155</v>
      </c>
      <c r="X36" s="42">
        <f ca="1">'Airfoil 1'!$B$56+'Airfoil 1'!$B$57*L36+'Airfoil 1'!$B$58*L36^2+'Airfoil 1'!$B$59*L36^3+'Airfoil 1'!$B$60*L36^4+'Airfoil 1'!$B$61*L36^5+'Airfoil 1'!$B$62*L36^6</f>
        <v>-0.155</v>
      </c>
      <c r="Y36" s="42">
        <f ca="1">'Airfoil 1'!$B$64+'Airfoil 1'!$B$65*L36+'Airfoil 1'!$B$66*L36^2+'Airfoil 1'!$B$67*L36^3+'Airfoil 1'!$B$681*L36^4+'Airfoil 1'!$B$69*L36^5+'Airfoil 1'!$B$70*L36^6</f>
        <v>-0.155</v>
      </c>
      <c r="Z36" s="16">
        <f>LOG('Airfoil 1'!$F$10)+LOG('Airfoil 1'!$G$10)+LOG('Airfoil 1'!$H$10)</f>
        <v>15.176091259055681</v>
      </c>
      <c r="AA36" s="16">
        <f t="shared" ca="1" si="4"/>
        <v>-2.4290049054891254</v>
      </c>
      <c r="AB36" s="16">
        <f>LOG('Airfoil 1'!$F$10)^2+LOG('Airfoil 1'!$G$10)^2+LOG('Airfoil 1'!$H$10)^2</f>
        <v>76.867141336751558</v>
      </c>
      <c r="AC36" s="16">
        <f ca="1">LOG('Airfoil 1'!$F$10)*LOG(ABS(W36))+LOG('Airfoil 1'!$G$10)*LOG(ABS(X36))+LOG('Airfoil 1'!$H$10)*LOG(ABS(Y36))</f>
        <v>-12.287600038132297</v>
      </c>
      <c r="AD36" s="16">
        <f t="shared" ca="1" si="5"/>
        <v>0.1550000000000121</v>
      </c>
      <c r="AE36" s="16">
        <f t="shared" ca="1" si="6"/>
        <v>-6.6718325633022456E-15</v>
      </c>
      <c r="AF36" s="42">
        <f t="shared" ca="1" si="7"/>
        <v>-0.15499999999999903</v>
      </c>
      <c r="AG36" s="16"/>
      <c r="AH36" s="42"/>
      <c r="AI36" s="16">
        <f ca="1">(L36-'Airfoil 1'!$Z$22)/ABS(L36-'Airfoil 1'!$Z$22)</f>
        <v>1</v>
      </c>
      <c r="AJ36" s="16">
        <f ca="1">(L36-'Airfoil 1'!$Z$23)/ABS(L36-'Airfoil 1'!$Z$23)</f>
        <v>1</v>
      </c>
      <c r="AK36" s="16">
        <f ca="1">(L36-'Airfoil 1'!$Z$24)/ABS(L36-'Airfoil 1'!$Z$24)</f>
        <v>1</v>
      </c>
      <c r="AL36" s="16">
        <f ca="1">(L36-'Airfoil 1'!$Z$25)/ABS(L36-'Airfoil 1'!$Z$25)</f>
        <v>1</v>
      </c>
      <c r="AM36" s="16">
        <f ca="1">(L36-'Airfoil 1'!$Z$26)/ABS(L36-'Airfoil 1'!$Z$26)</f>
        <v>1</v>
      </c>
      <c r="AN36" s="16">
        <f ca="1">(L36-'Airfoil 1'!$Z$27)/ABS(L36-'Airfoil 1'!$Z$27)</f>
        <v>1</v>
      </c>
      <c r="AO36" s="16">
        <f ca="1">(L36-'Airfoil 1'!$Z$28)/ABS(L36-'Airfoil 1'!$Z$28)</f>
        <v>1</v>
      </c>
      <c r="AP36" s="16">
        <f ca="1">(L36-'Airfoil 1'!$Z$29)/ABS(L36-'Airfoil 1'!$Z$29)</f>
        <v>-1</v>
      </c>
      <c r="AQ36" s="16">
        <f ca="1">(L36-'Airfoil 1'!$Z$30)/ABS(L36-'Airfoil 1'!$Z$30)</f>
        <v>-1</v>
      </c>
      <c r="AR36" s="16">
        <f ca="1">(L36-'Airfoil 1'!$Z$31)/ABS(L36-'Airfoil 1'!$Z$31)</f>
        <v>-1</v>
      </c>
      <c r="AS36" s="16">
        <f ca="1">(L36-'Airfoil 1'!$Z$32)/ABS(L36-'Airfoil 1'!$Z$32)</f>
        <v>-1</v>
      </c>
      <c r="AT36" s="16">
        <f ca="1">(L36-'Airfoil 1'!$Z$33)/ABS(L36-'Airfoil 1'!$Z$33)</f>
        <v>-1</v>
      </c>
      <c r="AU36" s="16">
        <f ca="1">(L36-'Airfoil 1'!$Z$34)/ABS(L36-'Airfoil 1'!$Z$34)</f>
        <v>-1</v>
      </c>
      <c r="AV36" s="16">
        <f ca="1">(L36-'Airfoil 1'!$Z$35)/ABS(L36-'Airfoil 1'!$Z$35)</f>
        <v>-1</v>
      </c>
      <c r="AW36" s="16">
        <f ca="1">(L36-'Airfoil 1'!$Z$36)/ABS(L36-'Airfoil 1'!$Z$36)</f>
        <v>-1</v>
      </c>
      <c r="AX36" s="16">
        <f ca="1">(L36-'Airfoil 1'!$Z$37)/ABS(L36-'Airfoil 1'!$Z$37)</f>
        <v>-1</v>
      </c>
      <c r="AY36" s="16">
        <f ca="1">(L36-'Airfoil 1'!$Z$38)/ABS(L36-'Airfoil 1'!$Z$38)</f>
        <v>-1</v>
      </c>
      <c r="AZ36" s="16">
        <f ca="1">(L36-'Airfoil 1'!$Z$39)/ABS(L36-'Airfoil 1'!$Z$39)</f>
        <v>-1</v>
      </c>
      <c r="BA36" s="16">
        <f ca="1">(L36-'Airfoil 1'!$Z$40)/ABS(L36-'Airfoil 1'!$Z$40)</f>
        <v>-1</v>
      </c>
      <c r="BB36" s="16">
        <f ca="1">(L36-'Airfoil 1'!$Z$41)/ABS(L36-'Airfoil 1'!$Z$41)</f>
        <v>-1</v>
      </c>
      <c r="BC36" s="5">
        <f t="shared" ca="1" si="8"/>
        <v>7</v>
      </c>
      <c r="BD36" s="42">
        <f ca="1">INDEX('Airfoil 1'!$AA$22:$AA$41,BC36,1)+INDEX('Airfoil 1'!$AB$22:$AB$41,BC36,1)*(L36-INDEX('Airfoil 1'!$Z$22:$Z$41,BC36,1))</f>
        <v>2.4489313868613138E-2</v>
      </c>
      <c r="BE36" s="6"/>
      <c r="BF36" s="16">
        <f ca="1">(L36-'Airfoil 1'!$Z$47)/ABS(L36-'Airfoil 1'!$Z$47)</f>
        <v>1</v>
      </c>
      <c r="BG36" s="16">
        <f ca="1">(L36-'Airfoil 1'!$Z$48)/ABS(L36-'Airfoil 1'!$Z$48)</f>
        <v>1</v>
      </c>
      <c r="BH36" s="16">
        <f ca="1">(L36-'Airfoil 1'!$Z$49)/ABS(L36-'Airfoil 1'!$Z$49)</f>
        <v>1</v>
      </c>
      <c r="BI36" s="16">
        <f ca="1">(L36-'Airfoil 1'!$Z$50)/ABS(L36-'Airfoil 1'!$Z$50)</f>
        <v>1</v>
      </c>
      <c r="BJ36" s="16">
        <f ca="1">(L36-'Airfoil 1'!$Z$51)/ABS(L36-'Airfoil 1'!$Z$51)</f>
        <v>1</v>
      </c>
      <c r="BK36" s="16">
        <f ca="1">(L36-'Airfoil 1'!$Z$52)/ABS(L36-'Airfoil 1'!$Z$52)</f>
        <v>1</v>
      </c>
      <c r="BL36" s="16">
        <f ca="1">(L36-'Airfoil 1'!$Z$53)/ABS(L36-'Airfoil 1'!$Z$53)</f>
        <v>-1</v>
      </c>
      <c r="BM36" s="16">
        <f ca="1">(L36-'Airfoil 1'!$Z$54)/ABS(L36-'Airfoil 1'!$Z$54)</f>
        <v>-1</v>
      </c>
      <c r="BN36" s="16">
        <f ca="1">(L36-'Airfoil 1'!$Z$55)/ABS(L36-'Airfoil 1'!$Z$55)</f>
        <v>-1</v>
      </c>
      <c r="BO36" s="16">
        <f ca="1">(L36-'Airfoil 1'!$Z$56)/ABS(L36-'Airfoil 1'!$Z$56)</f>
        <v>-1</v>
      </c>
      <c r="BP36" s="16">
        <f ca="1">(L36-'Airfoil 1'!$Z$57)/ABS(L36-'Airfoil 1'!$Z$57)</f>
        <v>-1</v>
      </c>
      <c r="BQ36" s="16">
        <f ca="1">(L36-'Airfoil 1'!$Z$58)/ABS(L36-'Airfoil 1'!$Z$58)</f>
        <v>-1</v>
      </c>
      <c r="BR36" s="16">
        <f ca="1">(L36-'Airfoil 1'!$Z$59)/ABS(L36-'Airfoil 1'!$Z$59)</f>
        <v>-1</v>
      </c>
      <c r="BS36" s="16">
        <f ca="1">(L36-'Airfoil 1'!$Z$60)/ABS(L36-'Airfoil 1'!$Z$60)</f>
        <v>-1</v>
      </c>
      <c r="BT36" s="16">
        <f ca="1">(L36-'Airfoil 1'!$Z$61)/ABS(L36-'Airfoil 1'!$Z$61)</f>
        <v>-1</v>
      </c>
      <c r="BU36" s="16">
        <f ca="1">(L36-'Airfoil 1'!$Z$62)/ABS(L36-'Airfoil 1'!$Z$62)</f>
        <v>-1</v>
      </c>
      <c r="BV36" s="16">
        <f ca="1">(L36-'Airfoil 1'!$Z$63)/ABS(L36-'Airfoil 1'!$Z$63)</f>
        <v>-1</v>
      </c>
      <c r="BW36" s="16">
        <f ca="1">(L36-'Airfoil 1'!$Z$64)/ABS(L36-'Airfoil 1'!$Z$64)</f>
        <v>-1</v>
      </c>
      <c r="BX36" s="16">
        <f ca="1">(L36-'Airfoil 1'!$Z$65)/ABS(L36-'Airfoil 1'!$Z$65)</f>
        <v>-1</v>
      </c>
      <c r="BY36" s="16">
        <f ca="1">(L36-'Airfoil 1'!$Z$66)/ABS(L36-'Airfoil 1'!$Z$66)</f>
        <v>-1</v>
      </c>
      <c r="BZ36" s="5">
        <f t="shared" ca="1" si="9"/>
        <v>6</v>
      </c>
      <c r="CA36" s="42">
        <f ca="1">INDEX('Airfoil 1'!$AA$47:$AA$66,BZ36,1)+INDEX('Airfoil 1'!$AB$47:$AB$66,BZ36,1)*(L36-INDEX('Airfoil 1'!$Z$47:$Z$66,BZ36,1))</f>
        <v>1.7370857855361597E-2</v>
      </c>
      <c r="CC36" s="16">
        <f ca="1">(L36-'Airfoil 1'!$Z$72)/ABS(L36-'Airfoil 1'!$Z$72)</f>
        <v>1</v>
      </c>
      <c r="CD36" s="16">
        <f ca="1">(L36-'Airfoil 1'!$Z$73)/ABS(L36-'Airfoil 1'!$Z$73)</f>
        <v>1</v>
      </c>
      <c r="CE36" s="16">
        <f ca="1">(L36-'Airfoil 1'!$Z$74)/ABS(L36-'Airfoil 1'!$Z$74)</f>
        <v>1</v>
      </c>
      <c r="CF36" s="16">
        <f ca="1">(L36-'Airfoil 1'!$Z$75)/ABS(L36-'Airfoil 1'!$Z$75)</f>
        <v>1</v>
      </c>
      <c r="CG36" s="16">
        <f ca="1">(L36-'Airfoil 1'!$Z$76)/ABS(L36-'Airfoil 1'!$Z$76)</f>
        <v>-1</v>
      </c>
      <c r="CH36" s="16">
        <f ca="1">(L36-'Airfoil 1'!$Z$77)/ABS(L36-'Airfoil 1'!$Z$77)</f>
        <v>-1</v>
      </c>
      <c r="CI36" s="16">
        <f ca="1">(L36-'Airfoil 1'!$Z$78)/ABS(L36-'Airfoil 1'!$Z$78)</f>
        <v>-1</v>
      </c>
      <c r="CJ36" s="16">
        <f ca="1">(L36-'Airfoil 1'!$Z$79)/ABS(L36-'Airfoil 1'!$Z$79)</f>
        <v>-1</v>
      </c>
      <c r="CK36" s="16">
        <f ca="1">(L36-'Airfoil 1'!$Z$80)/ABS(L36-'Airfoil 1'!$Z$80)</f>
        <v>-1</v>
      </c>
      <c r="CL36" s="16">
        <f ca="1">(L36-'Airfoil 1'!$Z$81)/ABS(L36-'Airfoil 1'!$Z$81)</f>
        <v>-1</v>
      </c>
      <c r="CM36" s="16">
        <f ca="1">(L36-'Airfoil 1'!$Z$82)/ABS(L36-'Airfoil 1'!$Z$82)</f>
        <v>-1</v>
      </c>
      <c r="CN36" s="16">
        <f ca="1">(L36-'Airfoil 1'!$Z$83)/ABS(L36-'Airfoil 1'!$Z$83)</f>
        <v>-1</v>
      </c>
      <c r="CO36" s="16">
        <f ca="1">(L36-'Airfoil 1'!$Z$84)/ABS(L36-'Airfoil 1'!$Z$84)</f>
        <v>-1</v>
      </c>
      <c r="CP36" s="16">
        <f ca="1">(L36-'Airfoil 1'!$Z$85)/ABS(L36-'Airfoil 1'!$Z$85)</f>
        <v>-1</v>
      </c>
      <c r="CQ36" s="16">
        <f ca="1">(L36-'Airfoil 1'!$Z$86)/ABS(L36-'Airfoil 1'!$Z$86)</f>
        <v>-1</v>
      </c>
      <c r="CR36" s="16">
        <f ca="1">(L36-'Airfoil 1'!$Z$87)/ABS(L36-'Airfoil 1'!$Z$87)</f>
        <v>-1</v>
      </c>
      <c r="CS36" s="16">
        <f ca="1">(L36-'Airfoil 1'!$Z$88)/ABS(L36-'Airfoil 1'!$Z$88)</f>
        <v>-1</v>
      </c>
      <c r="CT36" s="16">
        <f ca="1">(L36-'Airfoil 1'!$Z$89)/ABS(L36-'Airfoil 1'!$Z$89)</f>
        <v>-1</v>
      </c>
      <c r="CU36" s="16">
        <f ca="1">(L36-'Airfoil 1'!$Z$90)/ABS(L36-'Airfoil 1'!$Z$90)</f>
        <v>-1</v>
      </c>
      <c r="CV36" s="16">
        <f ca="1">(L36-'Airfoil 1'!$Z$91)/ABS(L36-'Airfoil 1'!$Z$91)</f>
        <v>-1</v>
      </c>
      <c r="CW36" s="5">
        <f t="shared" ca="1" si="10"/>
        <v>4</v>
      </c>
      <c r="CX36" s="42">
        <f ca="1">INDEX('Airfoil 1'!$AA$72:$AA$91,CW36,1)+INDEX('Airfoil 1'!$AB$72:$AB$91,CW36,1)*(L36-INDEX('Airfoil 1'!$Z$72:$Z$91,CW36,1))</f>
        <v>1.1110331491712706E-2</v>
      </c>
    </row>
    <row r="37" spans="2:102">
      <c r="B37" s="31">
        <f>Main!B37</f>
        <v>0.33333333333333326</v>
      </c>
      <c r="D37" s="1">
        <f>'RC'!F37</f>
        <v>0.65969672852566186</v>
      </c>
      <c r="E37" s="4">
        <f>ISA!$R$10</f>
        <v>1.5987591530356481E-5</v>
      </c>
      <c r="G37" s="13">
        <f ca="1">'RC'!X37</f>
        <v>22.215604931199326</v>
      </c>
      <c r="H37" s="5">
        <f t="shared" ca="1" si="0"/>
        <v>305561.17781517137</v>
      </c>
      <c r="I37" s="16">
        <f ca="1">'Airfoil 2'!$K$14*H37^'Airfoil 2'!$L$13</f>
        <v>1.5799059374670188</v>
      </c>
      <c r="J37" s="1">
        <f ca="1">'Airfoil 2'!$K$33*H37^'Airfoil 2'!$L$32</f>
        <v>5.2687042043522982</v>
      </c>
      <c r="K37" s="13">
        <f ca="1">'Airfoil 2'!$K$52*H37^'Airfoil 2'!$L$51</f>
        <v>-8.3713247603627412</v>
      </c>
      <c r="L37" s="16">
        <f ca="1">'Aerodynamics-RCmax'!W37</f>
        <v>0.9</v>
      </c>
      <c r="M37" s="10">
        <f ca="1">('Airfoil 1'!$B$21+'Airfoil 1'!$B$22*L37+'Airfoil 1'!$B$23*L37^2+'Airfoil 1'!$B$24*L37^3+'Airfoil 1'!$B$25*L37^4+'Airfoil 1'!$B$26*L37^5+'Airfoil 1'!$B$27*L37^6)*0+BD37</f>
        <v>2.4489313868613138E-2</v>
      </c>
      <c r="N37" s="42">
        <f ca="1">('Airfoil 1'!$B$29+'Airfoil 1'!$B$30*L37+'Airfoil 1'!$B$31*L37^2+'Airfoil 1'!$B$32*L37^3+'Airfoil 1'!$B$33*L37^4+'Airfoil 1'!$B$34*L37^5+'Airfoil 1'!$B$35*L37^6)*0+CA37</f>
        <v>1.7370857855361597E-2</v>
      </c>
      <c r="O37" s="42">
        <f ca="1">('Airfoil 1'!$B$37+'Airfoil 1'!$B$38*L37+'Airfoil 1'!$B$39*L37^2+'Airfoil 1'!$B$40*L37^3+'Airfoil 1'!$B$41*L37^4+'Airfoil 1'!$B$42*L37^5+'Airfoil 1'!$B$43*L37^6)*0+CX37</f>
        <v>1.1110331491712706E-2</v>
      </c>
      <c r="P37" s="16">
        <f>LOG('Airfoil 1'!$F$10)+LOG('Airfoil 1'!$G$10)+LOG('Airfoil 1'!$H$10)</f>
        <v>15.176091259055681</v>
      </c>
      <c r="Q37" s="16">
        <f t="shared" ca="1" si="1"/>
        <v>-5.3254750991929125</v>
      </c>
      <c r="R37" s="16">
        <f>LOG('Airfoil 1'!$F$10)^2+LOG('Airfoil 1'!$G$10)^2+LOG('Airfoil 1'!$H$10)^2</f>
        <v>76.867141336751558</v>
      </c>
      <c r="S37" s="16">
        <f ca="1">LOG('Airfoil 1'!$F$10)*LOG(M37)+LOG('Airfoil 1'!$G$10)*LOG(N37)+LOG('Airfoil 1'!$H$10)*LOG(O37)</f>
        <v>-27.014391057528009</v>
      </c>
      <c r="T37" s="16">
        <f t="shared" ca="1" si="2"/>
        <v>141.60346469083578</v>
      </c>
      <c r="U37" s="16">
        <f t="shared" ca="1" si="3"/>
        <v>-0.77613507568957385</v>
      </c>
      <c r="V37" s="42">
        <f ca="1">IF(Energy!$F$11=1,Energy!$T$13,1)*T37*H37^U37</f>
        <v>8.6352594414204863E-3</v>
      </c>
      <c r="W37" s="10">
        <f ca="1">'Airfoil 1'!$B$48+'Airfoil 1'!$B$49*L37+'Airfoil 1'!$B$50*L37^2+'Airfoil 1'!$B$51*L37^3+'Airfoil 1'!$B$52*L37^4+'Airfoil 1'!$B$53*L37^5+'Airfoil 1'!$B$54*L37^6</f>
        <v>-0.155</v>
      </c>
      <c r="X37" s="42">
        <f ca="1">'Airfoil 1'!$B$56+'Airfoil 1'!$B$57*L37+'Airfoil 1'!$B$58*L37^2+'Airfoil 1'!$B$59*L37^3+'Airfoil 1'!$B$60*L37^4+'Airfoil 1'!$B$61*L37^5+'Airfoil 1'!$B$62*L37^6</f>
        <v>-0.155</v>
      </c>
      <c r="Y37" s="42">
        <f ca="1">'Airfoil 1'!$B$64+'Airfoil 1'!$B$65*L37+'Airfoil 1'!$B$66*L37^2+'Airfoil 1'!$B$67*L37^3+'Airfoil 1'!$B$681*L37^4+'Airfoil 1'!$B$69*L37^5+'Airfoil 1'!$B$70*L37^6</f>
        <v>-0.155</v>
      </c>
      <c r="Z37" s="16">
        <f>LOG('Airfoil 1'!$F$10)+LOG('Airfoil 1'!$G$10)+LOG('Airfoil 1'!$H$10)</f>
        <v>15.176091259055681</v>
      </c>
      <c r="AA37" s="16">
        <f t="shared" ca="1" si="4"/>
        <v>-2.4290049054891254</v>
      </c>
      <c r="AB37" s="16">
        <f>LOG('Airfoil 1'!$F$10)^2+LOG('Airfoil 1'!$G$10)^2+LOG('Airfoil 1'!$H$10)^2</f>
        <v>76.867141336751558</v>
      </c>
      <c r="AC37" s="16">
        <f ca="1">LOG('Airfoil 1'!$F$10)*LOG(ABS(W37))+LOG('Airfoil 1'!$G$10)*LOG(ABS(X37))+LOG('Airfoil 1'!$H$10)*LOG(ABS(Y37))</f>
        <v>-12.287600038132297</v>
      </c>
      <c r="AD37" s="16">
        <f t="shared" ca="1" si="5"/>
        <v>0.1550000000000121</v>
      </c>
      <c r="AE37" s="16">
        <f t="shared" ca="1" si="6"/>
        <v>-6.6718325633022456E-15</v>
      </c>
      <c r="AF37" s="42">
        <f t="shared" ca="1" si="7"/>
        <v>-0.15499999999999906</v>
      </c>
      <c r="AG37" s="16"/>
      <c r="AH37" s="42"/>
      <c r="AI37" s="16">
        <f ca="1">(L37-'Airfoil 1'!$Z$22)/ABS(L37-'Airfoil 1'!$Z$22)</f>
        <v>1</v>
      </c>
      <c r="AJ37" s="16">
        <f ca="1">(L37-'Airfoil 1'!$Z$23)/ABS(L37-'Airfoil 1'!$Z$23)</f>
        <v>1</v>
      </c>
      <c r="AK37" s="16">
        <f ca="1">(L37-'Airfoil 1'!$Z$24)/ABS(L37-'Airfoil 1'!$Z$24)</f>
        <v>1</v>
      </c>
      <c r="AL37" s="16">
        <f ca="1">(L37-'Airfoil 1'!$Z$25)/ABS(L37-'Airfoil 1'!$Z$25)</f>
        <v>1</v>
      </c>
      <c r="AM37" s="16">
        <f ca="1">(L37-'Airfoil 1'!$Z$26)/ABS(L37-'Airfoil 1'!$Z$26)</f>
        <v>1</v>
      </c>
      <c r="AN37" s="16">
        <f ca="1">(L37-'Airfoil 1'!$Z$27)/ABS(L37-'Airfoil 1'!$Z$27)</f>
        <v>1</v>
      </c>
      <c r="AO37" s="16">
        <f ca="1">(L37-'Airfoil 1'!$Z$28)/ABS(L37-'Airfoil 1'!$Z$28)</f>
        <v>1</v>
      </c>
      <c r="AP37" s="16">
        <f ca="1">(L37-'Airfoil 1'!$Z$29)/ABS(L37-'Airfoil 1'!$Z$29)</f>
        <v>-1</v>
      </c>
      <c r="AQ37" s="16">
        <f ca="1">(L37-'Airfoil 1'!$Z$30)/ABS(L37-'Airfoil 1'!$Z$30)</f>
        <v>-1</v>
      </c>
      <c r="AR37" s="16">
        <f ca="1">(L37-'Airfoil 1'!$Z$31)/ABS(L37-'Airfoil 1'!$Z$31)</f>
        <v>-1</v>
      </c>
      <c r="AS37" s="16">
        <f ca="1">(L37-'Airfoil 1'!$Z$32)/ABS(L37-'Airfoil 1'!$Z$32)</f>
        <v>-1</v>
      </c>
      <c r="AT37" s="16">
        <f ca="1">(L37-'Airfoil 1'!$Z$33)/ABS(L37-'Airfoil 1'!$Z$33)</f>
        <v>-1</v>
      </c>
      <c r="AU37" s="16">
        <f ca="1">(L37-'Airfoil 1'!$Z$34)/ABS(L37-'Airfoil 1'!$Z$34)</f>
        <v>-1</v>
      </c>
      <c r="AV37" s="16">
        <f ca="1">(L37-'Airfoil 1'!$Z$35)/ABS(L37-'Airfoil 1'!$Z$35)</f>
        <v>-1</v>
      </c>
      <c r="AW37" s="16">
        <f ca="1">(L37-'Airfoil 1'!$Z$36)/ABS(L37-'Airfoil 1'!$Z$36)</f>
        <v>-1</v>
      </c>
      <c r="AX37" s="16">
        <f ca="1">(L37-'Airfoil 1'!$Z$37)/ABS(L37-'Airfoil 1'!$Z$37)</f>
        <v>-1</v>
      </c>
      <c r="AY37" s="16">
        <f ca="1">(L37-'Airfoil 1'!$Z$38)/ABS(L37-'Airfoil 1'!$Z$38)</f>
        <v>-1</v>
      </c>
      <c r="AZ37" s="16">
        <f ca="1">(L37-'Airfoil 1'!$Z$39)/ABS(L37-'Airfoil 1'!$Z$39)</f>
        <v>-1</v>
      </c>
      <c r="BA37" s="16">
        <f ca="1">(L37-'Airfoil 1'!$Z$40)/ABS(L37-'Airfoil 1'!$Z$40)</f>
        <v>-1</v>
      </c>
      <c r="BB37" s="16">
        <f ca="1">(L37-'Airfoil 1'!$Z$41)/ABS(L37-'Airfoil 1'!$Z$41)</f>
        <v>-1</v>
      </c>
      <c r="BC37" s="5">
        <f t="shared" ca="1" si="8"/>
        <v>7</v>
      </c>
      <c r="BD37" s="42">
        <f ca="1">INDEX('Airfoil 1'!$AA$22:$AA$41,BC37,1)+INDEX('Airfoil 1'!$AB$22:$AB$41,BC37,1)*(L37-INDEX('Airfoil 1'!$Z$22:$Z$41,BC37,1))</f>
        <v>2.4489313868613138E-2</v>
      </c>
      <c r="BE37" s="6"/>
      <c r="BF37" s="16">
        <f ca="1">(L37-'Airfoil 1'!$Z$47)/ABS(L37-'Airfoil 1'!$Z$47)</f>
        <v>1</v>
      </c>
      <c r="BG37" s="16">
        <f ca="1">(L37-'Airfoil 1'!$Z$48)/ABS(L37-'Airfoil 1'!$Z$48)</f>
        <v>1</v>
      </c>
      <c r="BH37" s="16">
        <f ca="1">(L37-'Airfoil 1'!$Z$49)/ABS(L37-'Airfoil 1'!$Z$49)</f>
        <v>1</v>
      </c>
      <c r="BI37" s="16">
        <f ca="1">(L37-'Airfoil 1'!$Z$50)/ABS(L37-'Airfoil 1'!$Z$50)</f>
        <v>1</v>
      </c>
      <c r="BJ37" s="16">
        <f ca="1">(L37-'Airfoil 1'!$Z$51)/ABS(L37-'Airfoil 1'!$Z$51)</f>
        <v>1</v>
      </c>
      <c r="BK37" s="16">
        <f ca="1">(L37-'Airfoil 1'!$Z$52)/ABS(L37-'Airfoil 1'!$Z$52)</f>
        <v>1</v>
      </c>
      <c r="BL37" s="16">
        <f ca="1">(L37-'Airfoil 1'!$Z$53)/ABS(L37-'Airfoil 1'!$Z$53)</f>
        <v>-1</v>
      </c>
      <c r="BM37" s="16">
        <f ca="1">(L37-'Airfoil 1'!$Z$54)/ABS(L37-'Airfoil 1'!$Z$54)</f>
        <v>-1</v>
      </c>
      <c r="BN37" s="16">
        <f ca="1">(L37-'Airfoil 1'!$Z$55)/ABS(L37-'Airfoil 1'!$Z$55)</f>
        <v>-1</v>
      </c>
      <c r="BO37" s="16">
        <f ca="1">(L37-'Airfoil 1'!$Z$56)/ABS(L37-'Airfoil 1'!$Z$56)</f>
        <v>-1</v>
      </c>
      <c r="BP37" s="16">
        <f ca="1">(L37-'Airfoil 1'!$Z$57)/ABS(L37-'Airfoil 1'!$Z$57)</f>
        <v>-1</v>
      </c>
      <c r="BQ37" s="16">
        <f ca="1">(L37-'Airfoil 1'!$Z$58)/ABS(L37-'Airfoil 1'!$Z$58)</f>
        <v>-1</v>
      </c>
      <c r="BR37" s="16">
        <f ca="1">(L37-'Airfoil 1'!$Z$59)/ABS(L37-'Airfoil 1'!$Z$59)</f>
        <v>-1</v>
      </c>
      <c r="BS37" s="16">
        <f ca="1">(L37-'Airfoil 1'!$Z$60)/ABS(L37-'Airfoil 1'!$Z$60)</f>
        <v>-1</v>
      </c>
      <c r="BT37" s="16">
        <f ca="1">(L37-'Airfoil 1'!$Z$61)/ABS(L37-'Airfoil 1'!$Z$61)</f>
        <v>-1</v>
      </c>
      <c r="BU37" s="16">
        <f ca="1">(L37-'Airfoil 1'!$Z$62)/ABS(L37-'Airfoil 1'!$Z$62)</f>
        <v>-1</v>
      </c>
      <c r="BV37" s="16">
        <f ca="1">(L37-'Airfoil 1'!$Z$63)/ABS(L37-'Airfoil 1'!$Z$63)</f>
        <v>-1</v>
      </c>
      <c r="BW37" s="16">
        <f ca="1">(L37-'Airfoil 1'!$Z$64)/ABS(L37-'Airfoil 1'!$Z$64)</f>
        <v>-1</v>
      </c>
      <c r="BX37" s="16">
        <f ca="1">(L37-'Airfoil 1'!$Z$65)/ABS(L37-'Airfoil 1'!$Z$65)</f>
        <v>-1</v>
      </c>
      <c r="BY37" s="16">
        <f ca="1">(L37-'Airfoil 1'!$Z$66)/ABS(L37-'Airfoil 1'!$Z$66)</f>
        <v>-1</v>
      </c>
      <c r="BZ37" s="5">
        <f t="shared" ca="1" si="9"/>
        <v>6</v>
      </c>
      <c r="CA37" s="42">
        <f ca="1">INDEX('Airfoil 1'!$AA$47:$AA$66,BZ37,1)+INDEX('Airfoil 1'!$AB$47:$AB$66,BZ37,1)*(L37-INDEX('Airfoil 1'!$Z$47:$Z$66,BZ37,1))</f>
        <v>1.7370857855361597E-2</v>
      </c>
      <c r="CC37" s="16">
        <f ca="1">(L37-'Airfoil 1'!$Z$72)/ABS(L37-'Airfoil 1'!$Z$72)</f>
        <v>1</v>
      </c>
      <c r="CD37" s="16">
        <f ca="1">(L37-'Airfoil 1'!$Z$73)/ABS(L37-'Airfoil 1'!$Z$73)</f>
        <v>1</v>
      </c>
      <c r="CE37" s="16">
        <f ca="1">(L37-'Airfoil 1'!$Z$74)/ABS(L37-'Airfoil 1'!$Z$74)</f>
        <v>1</v>
      </c>
      <c r="CF37" s="16">
        <f ca="1">(L37-'Airfoil 1'!$Z$75)/ABS(L37-'Airfoil 1'!$Z$75)</f>
        <v>1</v>
      </c>
      <c r="CG37" s="16">
        <f ca="1">(L37-'Airfoil 1'!$Z$76)/ABS(L37-'Airfoil 1'!$Z$76)</f>
        <v>-1</v>
      </c>
      <c r="CH37" s="16">
        <f ca="1">(L37-'Airfoil 1'!$Z$77)/ABS(L37-'Airfoil 1'!$Z$77)</f>
        <v>-1</v>
      </c>
      <c r="CI37" s="16">
        <f ca="1">(L37-'Airfoil 1'!$Z$78)/ABS(L37-'Airfoil 1'!$Z$78)</f>
        <v>-1</v>
      </c>
      <c r="CJ37" s="16">
        <f ca="1">(L37-'Airfoil 1'!$Z$79)/ABS(L37-'Airfoil 1'!$Z$79)</f>
        <v>-1</v>
      </c>
      <c r="CK37" s="16">
        <f ca="1">(L37-'Airfoil 1'!$Z$80)/ABS(L37-'Airfoil 1'!$Z$80)</f>
        <v>-1</v>
      </c>
      <c r="CL37" s="16">
        <f ca="1">(L37-'Airfoil 1'!$Z$81)/ABS(L37-'Airfoil 1'!$Z$81)</f>
        <v>-1</v>
      </c>
      <c r="CM37" s="16">
        <f ca="1">(L37-'Airfoil 1'!$Z$82)/ABS(L37-'Airfoil 1'!$Z$82)</f>
        <v>-1</v>
      </c>
      <c r="CN37" s="16">
        <f ca="1">(L37-'Airfoil 1'!$Z$83)/ABS(L37-'Airfoil 1'!$Z$83)</f>
        <v>-1</v>
      </c>
      <c r="CO37" s="16">
        <f ca="1">(L37-'Airfoil 1'!$Z$84)/ABS(L37-'Airfoil 1'!$Z$84)</f>
        <v>-1</v>
      </c>
      <c r="CP37" s="16">
        <f ca="1">(L37-'Airfoil 1'!$Z$85)/ABS(L37-'Airfoil 1'!$Z$85)</f>
        <v>-1</v>
      </c>
      <c r="CQ37" s="16">
        <f ca="1">(L37-'Airfoil 1'!$Z$86)/ABS(L37-'Airfoil 1'!$Z$86)</f>
        <v>-1</v>
      </c>
      <c r="CR37" s="16">
        <f ca="1">(L37-'Airfoil 1'!$Z$87)/ABS(L37-'Airfoil 1'!$Z$87)</f>
        <v>-1</v>
      </c>
      <c r="CS37" s="16">
        <f ca="1">(L37-'Airfoil 1'!$Z$88)/ABS(L37-'Airfoil 1'!$Z$88)</f>
        <v>-1</v>
      </c>
      <c r="CT37" s="16">
        <f ca="1">(L37-'Airfoil 1'!$Z$89)/ABS(L37-'Airfoil 1'!$Z$89)</f>
        <v>-1</v>
      </c>
      <c r="CU37" s="16">
        <f ca="1">(L37-'Airfoil 1'!$Z$90)/ABS(L37-'Airfoil 1'!$Z$90)</f>
        <v>-1</v>
      </c>
      <c r="CV37" s="16">
        <f ca="1">(L37-'Airfoil 1'!$Z$91)/ABS(L37-'Airfoil 1'!$Z$91)</f>
        <v>-1</v>
      </c>
      <c r="CW37" s="5">
        <f t="shared" ca="1" si="10"/>
        <v>4</v>
      </c>
      <c r="CX37" s="42">
        <f ca="1">INDEX('Airfoil 1'!$AA$72:$AA$91,CW37,1)+INDEX('Airfoil 1'!$AB$72:$AB$91,CW37,1)*(L37-INDEX('Airfoil 1'!$Z$72:$Z$91,CW37,1))</f>
        <v>1.1110331491712706E-2</v>
      </c>
    </row>
    <row r="38" spans="2:102">
      <c r="B38" s="31">
        <f>Main!B38</f>
        <v>0.33333333333333326</v>
      </c>
      <c r="D38" s="1">
        <f>'RC'!F38</f>
        <v>0.65969672852566186</v>
      </c>
      <c r="E38" s="4">
        <f>ISA!$R$10</f>
        <v>1.5987591530356481E-5</v>
      </c>
      <c r="G38" s="13">
        <f ca="1">'RC'!X38</f>
        <v>21.913913889377955</v>
      </c>
      <c r="H38" s="5">
        <f t="shared" ca="1" si="0"/>
        <v>301411.6140125778</v>
      </c>
      <c r="I38" s="16">
        <f ca="1">'Airfoil 2'!$K$14*H38^'Airfoil 2'!$L$13</f>
        <v>1.5796056638324583</v>
      </c>
      <c r="J38" s="1">
        <f ca="1">'Airfoil 2'!$K$33*H38^'Airfoil 2'!$L$32</f>
        <v>5.2929903038179811</v>
      </c>
      <c r="K38" s="13">
        <f ca="1">'Airfoil 2'!$K$52*H38^'Airfoil 2'!$L$51</f>
        <v>-8.2951266591831274</v>
      </c>
      <c r="L38" s="16">
        <f ca="1">'Aerodynamics-RCmax'!W38</f>
        <v>0.9</v>
      </c>
      <c r="M38" s="10">
        <f ca="1">('Airfoil 1'!$B$21+'Airfoil 1'!$B$22*L38+'Airfoil 1'!$B$23*L38^2+'Airfoil 1'!$B$24*L38^3+'Airfoil 1'!$B$25*L38^4+'Airfoil 1'!$B$26*L38^5+'Airfoil 1'!$B$27*L38^6)*0+BD38</f>
        <v>2.4489313868613138E-2</v>
      </c>
      <c r="N38" s="42">
        <f ca="1">('Airfoil 1'!$B$29+'Airfoil 1'!$B$30*L38+'Airfoil 1'!$B$31*L38^2+'Airfoil 1'!$B$32*L38^3+'Airfoil 1'!$B$33*L38^4+'Airfoil 1'!$B$34*L38^5+'Airfoil 1'!$B$35*L38^6)*0+CA38</f>
        <v>1.7370857855361597E-2</v>
      </c>
      <c r="O38" s="42">
        <f ca="1">('Airfoil 1'!$B$37+'Airfoil 1'!$B$38*L38+'Airfoil 1'!$B$39*L38^2+'Airfoil 1'!$B$40*L38^3+'Airfoil 1'!$B$41*L38^4+'Airfoil 1'!$B$42*L38^5+'Airfoil 1'!$B$43*L38^6)*0+CX38</f>
        <v>1.1110331491712706E-2</v>
      </c>
      <c r="P38" s="16">
        <f>LOG('Airfoil 1'!$F$10)+LOG('Airfoil 1'!$G$10)+LOG('Airfoil 1'!$H$10)</f>
        <v>15.176091259055681</v>
      </c>
      <c r="Q38" s="16">
        <f t="shared" ca="1" si="1"/>
        <v>-5.3254750991929125</v>
      </c>
      <c r="R38" s="16">
        <f>LOG('Airfoil 1'!$F$10)^2+LOG('Airfoil 1'!$G$10)^2+LOG('Airfoil 1'!$H$10)^2</f>
        <v>76.867141336751558</v>
      </c>
      <c r="S38" s="16">
        <f ca="1">LOG('Airfoil 1'!$F$10)*LOG(M38)+LOG('Airfoil 1'!$G$10)*LOG(N38)+LOG('Airfoil 1'!$H$10)*LOG(O38)</f>
        <v>-27.014391057528009</v>
      </c>
      <c r="T38" s="16">
        <f t="shared" ca="1" si="2"/>
        <v>141.60346469083578</v>
      </c>
      <c r="U38" s="16">
        <f t="shared" ca="1" si="3"/>
        <v>-0.77613507568957385</v>
      </c>
      <c r="V38" s="42">
        <f ca="1">IF(Energy!$F$11=1,Energy!$T$13,1)*T38*H38^U38</f>
        <v>8.7273869111289884E-3</v>
      </c>
      <c r="W38" s="10">
        <f ca="1">'Airfoil 1'!$B$48+'Airfoil 1'!$B$49*L38+'Airfoil 1'!$B$50*L38^2+'Airfoil 1'!$B$51*L38^3+'Airfoil 1'!$B$52*L38^4+'Airfoil 1'!$B$53*L38^5+'Airfoil 1'!$B$54*L38^6</f>
        <v>-0.155</v>
      </c>
      <c r="X38" s="42">
        <f ca="1">'Airfoil 1'!$B$56+'Airfoil 1'!$B$57*L38+'Airfoil 1'!$B$58*L38^2+'Airfoil 1'!$B$59*L38^3+'Airfoil 1'!$B$60*L38^4+'Airfoil 1'!$B$61*L38^5+'Airfoil 1'!$B$62*L38^6</f>
        <v>-0.155</v>
      </c>
      <c r="Y38" s="42">
        <f ca="1">'Airfoil 1'!$B$64+'Airfoil 1'!$B$65*L38+'Airfoil 1'!$B$66*L38^2+'Airfoil 1'!$B$67*L38^3+'Airfoil 1'!$B$681*L38^4+'Airfoil 1'!$B$69*L38^5+'Airfoil 1'!$B$70*L38^6</f>
        <v>-0.155</v>
      </c>
      <c r="Z38" s="16">
        <f>LOG('Airfoil 1'!$F$10)+LOG('Airfoil 1'!$G$10)+LOG('Airfoil 1'!$H$10)</f>
        <v>15.176091259055681</v>
      </c>
      <c r="AA38" s="16">
        <f t="shared" ca="1" si="4"/>
        <v>-2.4290049054891254</v>
      </c>
      <c r="AB38" s="16">
        <f>LOG('Airfoil 1'!$F$10)^2+LOG('Airfoil 1'!$G$10)^2+LOG('Airfoil 1'!$H$10)^2</f>
        <v>76.867141336751558</v>
      </c>
      <c r="AC38" s="16">
        <f ca="1">LOG('Airfoil 1'!$F$10)*LOG(ABS(W38))+LOG('Airfoil 1'!$G$10)*LOG(ABS(X38))+LOG('Airfoil 1'!$H$10)*LOG(ABS(Y38))</f>
        <v>-12.287600038132297</v>
      </c>
      <c r="AD38" s="16">
        <f t="shared" ca="1" si="5"/>
        <v>0.1550000000000121</v>
      </c>
      <c r="AE38" s="16">
        <f t="shared" ca="1" si="6"/>
        <v>-6.6718325633022456E-15</v>
      </c>
      <c r="AF38" s="42">
        <f t="shared" ca="1" si="7"/>
        <v>-0.15499999999999906</v>
      </c>
      <c r="AG38" s="16"/>
      <c r="AH38" s="42"/>
      <c r="AI38" s="16">
        <f ca="1">(L38-'Airfoil 1'!$Z$22)/ABS(L38-'Airfoil 1'!$Z$22)</f>
        <v>1</v>
      </c>
      <c r="AJ38" s="16">
        <f ca="1">(L38-'Airfoil 1'!$Z$23)/ABS(L38-'Airfoil 1'!$Z$23)</f>
        <v>1</v>
      </c>
      <c r="AK38" s="16">
        <f ca="1">(L38-'Airfoil 1'!$Z$24)/ABS(L38-'Airfoil 1'!$Z$24)</f>
        <v>1</v>
      </c>
      <c r="AL38" s="16">
        <f ca="1">(L38-'Airfoil 1'!$Z$25)/ABS(L38-'Airfoil 1'!$Z$25)</f>
        <v>1</v>
      </c>
      <c r="AM38" s="16">
        <f ca="1">(L38-'Airfoil 1'!$Z$26)/ABS(L38-'Airfoil 1'!$Z$26)</f>
        <v>1</v>
      </c>
      <c r="AN38" s="16">
        <f ca="1">(L38-'Airfoil 1'!$Z$27)/ABS(L38-'Airfoil 1'!$Z$27)</f>
        <v>1</v>
      </c>
      <c r="AO38" s="16">
        <f ca="1">(L38-'Airfoil 1'!$Z$28)/ABS(L38-'Airfoil 1'!$Z$28)</f>
        <v>1</v>
      </c>
      <c r="AP38" s="16">
        <f ca="1">(L38-'Airfoil 1'!$Z$29)/ABS(L38-'Airfoil 1'!$Z$29)</f>
        <v>-1</v>
      </c>
      <c r="AQ38" s="16">
        <f ca="1">(L38-'Airfoil 1'!$Z$30)/ABS(L38-'Airfoil 1'!$Z$30)</f>
        <v>-1</v>
      </c>
      <c r="AR38" s="16">
        <f ca="1">(L38-'Airfoil 1'!$Z$31)/ABS(L38-'Airfoil 1'!$Z$31)</f>
        <v>-1</v>
      </c>
      <c r="AS38" s="16">
        <f ca="1">(L38-'Airfoil 1'!$Z$32)/ABS(L38-'Airfoil 1'!$Z$32)</f>
        <v>-1</v>
      </c>
      <c r="AT38" s="16">
        <f ca="1">(L38-'Airfoil 1'!$Z$33)/ABS(L38-'Airfoil 1'!$Z$33)</f>
        <v>-1</v>
      </c>
      <c r="AU38" s="16">
        <f ca="1">(L38-'Airfoil 1'!$Z$34)/ABS(L38-'Airfoil 1'!$Z$34)</f>
        <v>-1</v>
      </c>
      <c r="AV38" s="16">
        <f ca="1">(L38-'Airfoil 1'!$Z$35)/ABS(L38-'Airfoil 1'!$Z$35)</f>
        <v>-1</v>
      </c>
      <c r="AW38" s="16">
        <f ca="1">(L38-'Airfoil 1'!$Z$36)/ABS(L38-'Airfoil 1'!$Z$36)</f>
        <v>-1</v>
      </c>
      <c r="AX38" s="16">
        <f ca="1">(L38-'Airfoil 1'!$Z$37)/ABS(L38-'Airfoil 1'!$Z$37)</f>
        <v>-1</v>
      </c>
      <c r="AY38" s="16">
        <f ca="1">(L38-'Airfoil 1'!$Z$38)/ABS(L38-'Airfoil 1'!$Z$38)</f>
        <v>-1</v>
      </c>
      <c r="AZ38" s="16">
        <f ca="1">(L38-'Airfoil 1'!$Z$39)/ABS(L38-'Airfoil 1'!$Z$39)</f>
        <v>-1</v>
      </c>
      <c r="BA38" s="16">
        <f ca="1">(L38-'Airfoil 1'!$Z$40)/ABS(L38-'Airfoil 1'!$Z$40)</f>
        <v>-1</v>
      </c>
      <c r="BB38" s="16">
        <f ca="1">(L38-'Airfoil 1'!$Z$41)/ABS(L38-'Airfoil 1'!$Z$41)</f>
        <v>-1</v>
      </c>
      <c r="BC38" s="5">
        <f t="shared" ca="1" si="8"/>
        <v>7</v>
      </c>
      <c r="BD38" s="42">
        <f ca="1">INDEX('Airfoil 1'!$AA$22:$AA$41,BC38,1)+INDEX('Airfoil 1'!$AB$22:$AB$41,BC38,1)*(L38-INDEX('Airfoil 1'!$Z$22:$Z$41,BC38,1))</f>
        <v>2.4489313868613138E-2</v>
      </c>
      <c r="BE38" s="6"/>
      <c r="BF38" s="16">
        <f ca="1">(L38-'Airfoil 1'!$Z$47)/ABS(L38-'Airfoil 1'!$Z$47)</f>
        <v>1</v>
      </c>
      <c r="BG38" s="16">
        <f ca="1">(L38-'Airfoil 1'!$Z$48)/ABS(L38-'Airfoil 1'!$Z$48)</f>
        <v>1</v>
      </c>
      <c r="BH38" s="16">
        <f ca="1">(L38-'Airfoil 1'!$Z$49)/ABS(L38-'Airfoil 1'!$Z$49)</f>
        <v>1</v>
      </c>
      <c r="BI38" s="16">
        <f ca="1">(L38-'Airfoil 1'!$Z$50)/ABS(L38-'Airfoil 1'!$Z$50)</f>
        <v>1</v>
      </c>
      <c r="BJ38" s="16">
        <f ca="1">(L38-'Airfoil 1'!$Z$51)/ABS(L38-'Airfoil 1'!$Z$51)</f>
        <v>1</v>
      </c>
      <c r="BK38" s="16">
        <f ca="1">(L38-'Airfoil 1'!$Z$52)/ABS(L38-'Airfoil 1'!$Z$52)</f>
        <v>1</v>
      </c>
      <c r="BL38" s="16">
        <f ca="1">(L38-'Airfoil 1'!$Z$53)/ABS(L38-'Airfoil 1'!$Z$53)</f>
        <v>-1</v>
      </c>
      <c r="BM38" s="16">
        <f ca="1">(L38-'Airfoil 1'!$Z$54)/ABS(L38-'Airfoil 1'!$Z$54)</f>
        <v>-1</v>
      </c>
      <c r="BN38" s="16">
        <f ca="1">(L38-'Airfoil 1'!$Z$55)/ABS(L38-'Airfoil 1'!$Z$55)</f>
        <v>-1</v>
      </c>
      <c r="BO38" s="16">
        <f ca="1">(L38-'Airfoil 1'!$Z$56)/ABS(L38-'Airfoil 1'!$Z$56)</f>
        <v>-1</v>
      </c>
      <c r="BP38" s="16">
        <f ca="1">(L38-'Airfoil 1'!$Z$57)/ABS(L38-'Airfoil 1'!$Z$57)</f>
        <v>-1</v>
      </c>
      <c r="BQ38" s="16">
        <f ca="1">(L38-'Airfoil 1'!$Z$58)/ABS(L38-'Airfoil 1'!$Z$58)</f>
        <v>-1</v>
      </c>
      <c r="BR38" s="16">
        <f ca="1">(L38-'Airfoil 1'!$Z$59)/ABS(L38-'Airfoil 1'!$Z$59)</f>
        <v>-1</v>
      </c>
      <c r="BS38" s="16">
        <f ca="1">(L38-'Airfoil 1'!$Z$60)/ABS(L38-'Airfoil 1'!$Z$60)</f>
        <v>-1</v>
      </c>
      <c r="BT38" s="16">
        <f ca="1">(L38-'Airfoil 1'!$Z$61)/ABS(L38-'Airfoil 1'!$Z$61)</f>
        <v>-1</v>
      </c>
      <c r="BU38" s="16">
        <f ca="1">(L38-'Airfoil 1'!$Z$62)/ABS(L38-'Airfoil 1'!$Z$62)</f>
        <v>-1</v>
      </c>
      <c r="BV38" s="16">
        <f ca="1">(L38-'Airfoil 1'!$Z$63)/ABS(L38-'Airfoil 1'!$Z$63)</f>
        <v>-1</v>
      </c>
      <c r="BW38" s="16">
        <f ca="1">(L38-'Airfoil 1'!$Z$64)/ABS(L38-'Airfoil 1'!$Z$64)</f>
        <v>-1</v>
      </c>
      <c r="BX38" s="16">
        <f ca="1">(L38-'Airfoil 1'!$Z$65)/ABS(L38-'Airfoil 1'!$Z$65)</f>
        <v>-1</v>
      </c>
      <c r="BY38" s="16">
        <f ca="1">(L38-'Airfoil 1'!$Z$66)/ABS(L38-'Airfoil 1'!$Z$66)</f>
        <v>-1</v>
      </c>
      <c r="BZ38" s="5">
        <f t="shared" ca="1" si="9"/>
        <v>6</v>
      </c>
      <c r="CA38" s="42">
        <f ca="1">INDEX('Airfoil 1'!$AA$47:$AA$66,BZ38,1)+INDEX('Airfoil 1'!$AB$47:$AB$66,BZ38,1)*(L38-INDEX('Airfoil 1'!$Z$47:$Z$66,BZ38,1))</f>
        <v>1.7370857855361597E-2</v>
      </c>
      <c r="CC38" s="16">
        <f ca="1">(L38-'Airfoil 1'!$Z$72)/ABS(L38-'Airfoil 1'!$Z$72)</f>
        <v>1</v>
      </c>
      <c r="CD38" s="16">
        <f ca="1">(L38-'Airfoil 1'!$Z$73)/ABS(L38-'Airfoil 1'!$Z$73)</f>
        <v>1</v>
      </c>
      <c r="CE38" s="16">
        <f ca="1">(L38-'Airfoil 1'!$Z$74)/ABS(L38-'Airfoil 1'!$Z$74)</f>
        <v>1</v>
      </c>
      <c r="CF38" s="16">
        <f ca="1">(L38-'Airfoil 1'!$Z$75)/ABS(L38-'Airfoil 1'!$Z$75)</f>
        <v>1</v>
      </c>
      <c r="CG38" s="16">
        <f ca="1">(L38-'Airfoil 1'!$Z$76)/ABS(L38-'Airfoil 1'!$Z$76)</f>
        <v>-1</v>
      </c>
      <c r="CH38" s="16">
        <f ca="1">(L38-'Airfoil 1'!$Z$77)/ABS(L38-'Airfoil 1'!$Z$77)</f>
        <v>-1</v>
      </c>
      <c r="CI38" s="16">
        <f ca="1">(L38-'Airfoil 1'!$Z$78)/ABS(L38-'Airfoil 1'!$Z$78)</f>
        <v>-1</v>
      </c>
      <c r="CJ38" s="16">
        <f ca="1">(L38-'Airfoil 1'!$Z$79)/ABS(L38-'Airfoil 1'!$Z$79)</f>
        <v>-1</v>
      </c>
      <c r="CK38" s="16">
        <f ca="1">(L38-'Airfoil 1'!$Z$80)/ABS(L38-'Airfoil 1'!$Z$80)</f>
        <v>-1</v>
      </c>
      <c r="CL38" s="16">
        <f ca="1">(L38-'Airfoil 1'!$Z$81)/ABS(L38-'Airfoil 1'!$Z$81)</f>
        <v>-1</v>
      </c>
      <c r="CM38" s="16">
        <f ca="1">(L38-'Airfoil 1'!$Z$82)/ABS(L38-'Airfoil 1'!$Z$82)</f>
        <v>-1</v>
      </c>
      <c r="CN38" s="16">
        <f ca="1">(L38-'Airfoil 1'!$Z$83)/ABS(L38-'Airfoil 1'!$Z$83)</f>
        <v>-1</v>
      </c>
      <c r="CO38" s="16">
        <f ca="1">(L38-'Airfoil 1'!$Z$84)/ABS(L38-'Airfoil 1'!$Z$84)</f>
        <v>-1</v>
      </c>
      <c r="CP38" s="16">
        <f ca="1">(L38-'Airfoil 1'!$Z$85)/ABS(L38-'Airfoil 1'!$Z$85)</f>
        <v>-1</v>
      </c>
      <c r="CQ38" s="16">
        <f ca="1">(L38-'Airfoil 1'!$Z$86)/ABS(L38-'Airfoil 1'!$Z$86)</f>
        <v>-1</v>
      </c>
      <c r="CR38" s="16">
        <f ca="1">(L38-'Airfoil 1'!$Z$87)/ABS(L38-'Airfoil 1'!$Z$87)</f>
        <v>-1</v>
      </c>
      <c r="CS38" s="16">
        <f ca="1">(L38-'Airfoil 1'!$Z$88)/ABS(L38-'Airfoil 1'!$Z$88)</f>
        <v>-1</v>
      </c>
      <c r="CT38" s="16">
        <f ca="1">(L38-'Airfoil 1'!$Z$89)/ABS(L38-'Airfoil 1'!$Z$89)</f>
        <v>-1</v>
      </c>
      <c r="CU38" s="16">
        <f ca="1">(L38-'Airfoil 1'!$Z$90)/ABS(L38-'Airfoil 1'!$Z$90)</f>
        <v>-1</v>
      </c>
      <c r="CV38" s="16">
        <f ca="1">(L38-'Airfoil 1'!$Z$91)/ABS(L38-'Airfoil 1'!$Z$91)</f>
        <v>-1</v>
      </c>
      <c r="CW38" s="5">
        <f t="shared" ca="1" si="10"/>
        <v>4</v>
      </c>
      <c r="CX38" s="42">
        <f ca="1">INDEX('Airfoil 1'!$AA$72:$AA$91,CW38,1)+INDEX('Airfoil 1'!$AB$72:$AB$91,CW38,1)*(L38-INDEX('Airfoil 1'!$Z$72:$Z$91,CW38,1))</f>
        <v>1.1110331491712706E-2</v>
      </c>
    </row>
    <row r="39" spans="2:102">
      <c r="B39" s="31">
        <f>Main!B39</f>
        <v>0.33333333333333326</v>
      </c>
      <c r="D39" s="1">
        <f>'RC'!F39</f>
        <v>0.65969672852566186</v>
      </c>
      <c r="E39" s="4">
        <f>ISA!$R$10</f>
        <v>1.5987591530356481E-5</v>
      </c>
      <c r="G39" s="13">
        <f ca="1">'RC'!X39</f>
        <v>21.626815672280991</v>
      </c>
      <c r="H39" s="5">
        <f t="shared" ca="1" si="0"/>
        <v>297462.76501042506</v>
      </c>
      <c r="I39" s="16">
        <f ca="1">'Airfoil 2'!$K$14*H39^'Airfoil 2'!$L$13</f>
        <v>1.5793161047336937</v>
      </c>
      <c r="J39" s="1">
        <f ca="1">'Airfoil 2'!$K$33*H39^'Airfoil 2'!$L$32</f>
        <v>5.3165202356429013</v>
      </c>
      <c r="K39" s="13">
        <f ca="1">'Airfoil 2'!$K$52*H39^'Airfoil 2'!$L$51</f>
        <v>-8.2222909308880183</v>
      </c>
      <c r="L39" s="16">
        <f ca="1">'Aerodynamics-RCmax'!W39</f>
        <v>0.9</v>
      </c>
      <c r="M39" s="10">
        <f ca="1">('Airfoil 1'!$B$21+'Airfoil 1'!$B$22*L39+'Airfoil 1'!$B$23*L39^2+'Airfoil 1'!$B$24*L39^3+'Airfoil 1'!$B$25*L39^4+'Airfoil 1'!$B$26*L39^5+'Airfoil 1'!$B$27*L39^6)*0+BD39</f>
        <v>2.4489313868613138E-2</v>
      </c>
      <c r="N39" s="42">
        <f ca="1">('Airfoil 1'!$B$29+'Airfoil 1'!$B$30*L39+'Airfoil 1'!$B$31*L39^2+'Airfoil 1'!$B$32*L39^3+'Airfoil 1'!$B$33*L39^4+'Airfoil 1'!$B$34*L39^5+'Airfoil 1'!$B$35*L39^6)*0+CA39</f>
        <v>1.7370857855361597E-2</v>
      </c>
      <c r="O39" s="42">
        <f ca="1">('Airfoil 1'!$B$37+'Airfoil 1'!$B$38*L39+'Airfoil 1'!$B$39*L39^2+'Airfoil 1'!$B$40*L39^3+'Airfoil 1'!$B$41*L39^4+'Airfoil 1'!$B$42*L39^5+'Airfoil 1'!$B$43*L39^6)*0+CX39</f>
        <v>1.1110331491712706E-2</v>
      </c>
      <c r="P39" s="16">
        <f>LOG('Airfoil 1'!$F$10)+LOG('Airfoil 1'!$G$10)+LOG('Airfoil 1'!$H$10)</f>
        <v>15.176091259055681</v>
      </c>
      <c r="Q39" s="16">
        <f t="shared" ca="1" si="1"/>
        <v>-5.3254750991929125</v>
      </c>
      <c r="R39" s="16">
        <f>LOG('Airfoil 1'!$F$10)^2+LOG('Airfoil 1'!$G$10)^2+LOG('Airfoil 1'!$H$10)^2</f>
        <v>76.867141336751558</v>
      </c>
      <c r="S39" s="16">
        <f ca="1">LOG('Airfoil 1'!$F$10)*LOG(M39)+LOG('Airfoil 1'!$G$10)*LOG(N39)+LOG('Airfoil 1'!$H$10)*LOG(O39)</f>
        <v>-27.014391057528009</v>
      </c>
      <c r="T39" s="16">
        <f t="shared" ca="1" si="2"/>
        <v>141.60346469083578</v>
      </c>
      <c r="U39" s="16">
        <f t="shared" ca="1" si="3"/>
        <v>-0.77613507568957385</v>
      </c>
      <c r="V39" s="42">
        <f ca="1">IF(Energy!$F$11=1,Energy!$T$13,1)*T39*H39^U39</f>
        <v>8.817174669136096E-3</v>
      </c>
      <c r="W39" s="10">
        <f ca="1">'Airfoil 1'!$B$48+'Airfoil 1'!$B$49*L39+'Airfoil 1'!$B$50*L39^2+'Airfoil 1'!$B$51*L39^3+'Airfoil 1'!$B$52*L39^4+'Airfoil 1'!$B$53*L39^5+'Airfoil 1'!$B$54*L39^6</f>
        <v>-0.155</v>
      </c>
      <c r="X39" s="42">
        <f ca="1">'Airfoil 1'!$B$56+'Airfoil 1'!$B$57*L39+'Airfoil 1'!$B$58*L39^2+'Airfoil 1'!$B$59*L39^3+'Airfoil 1'!$B$60*L39^4+'Airfoil 1'!$B$61*L39^5+'Airfoil 1'!$B$62*L39^6</f>
        <v>-0.155</v>
      </c>
      <c r="Y39" s="42">
        <f ca="1">'Airfoil 1'!$B$64+'Airfoil 1'!$B$65*L39+'Airfoil 1'!$B$66*L39^2+'Airfoil 1'!$B$67*L39^3+'Airfoil 1'!$B$681*L39^4+'Airfoil 1'!$B$69*L39^5+'Airfoil 1'!$B$70*L39^6</f>
        <v>-0.155</v>
      </c>
      <c r="Z39" s="16">
        <f>LOG('Airfoil 1'!$F$10)+LOG('Airfoil 1'!$G$10)+LOG('Airfoil 1'!$H$10)</f>
        <v>15.176091259055681</v>
      </c>
      <c r="AA39" s="16">
        <f t="shared" ca="1" si="4"/>
        <v>-2.4290049054891254</v>
      </c>
      <c r="AB39" s="16">
        <f>LOG('Airfoil 1'!$F$10)^2+LOG('Airfoil 1'!$G$10)^2+LOG('Airfoil 1'!$H$10)^2</f>
        <v>76.867141336751558</v>
      </c>
      <c r="AC39" s="16">
        <f ca="1">LOG('Airfoil 1'!$F$10)*LOG(ABS(W39))+LOG('Airfoil 1'!$G$10)*LOG(ABS(X39))+LOG('Airfoil 1'!$H$10)*LOG(ABS(Y39))</f>
        <v>-12.287600038132297</v>
      </c>
      <c r="AD39" s="16">
        <f t="shared" ca="1" si="5"/>
        <v>0.1550000000000121</v>
      </c>
      <c r="AE39" s="16">
        <f t="shared" ca="1" si="6"/>
        <v>-6.6718325633022456E-15</v>
      </c>
      <c r="AF39" s="42">
        <f t="shared" ca="1" si="7"/>
        <v>-0.15499999999999906</v>
      </c>
      <c r="AG39" s="16"/>
      <c r="AH39" s="42"/>
      <c r="AI39" s="16">
        <f ca="1">(L39-'Airfoil 1'!$Z$22)/ABS(L39-'Airfoil 1'!$Z$22)</f>
        <v>1</v>
      </c>
      <c r="AJ39" s="16">
        <f ca="1">(L39-'Airfoil 1'!$Z$23)/ABS(L39-'Airfoil 1'!$Z$23)</f>
        <v>1</v>
      </c>
      <c r="AK39" s="16">
        <f ca="1">(L39-'Airfoil 1'!$Z$24)/ABS(L39-'Airfoil 1'!$Z$24)</f>
        <v>1</v>
      </c>
      <c r="AL39" s="16">
        <f ca="1">(L39-'Airfoil 1'!$Z$25)/ABS(L39-'Airfoil 1'!$Z$25)</f>
        <v>1</v>
      </c>
      <c r="AM39" s="16">
        <f ca="1">(L39-'Airfoil 1'!$Z$26)/ABS(L39-'Airfoil 1'!$Z$26)</f>
        <v>1</v>
      </c>
      <c r="AN39" s="16">
        <f ca="1">(L39-'Airfoil 1'!$Z$27)/ABS(L39-'Airfoil 1'!$Z$27)</f>
        <v>1</v>
      </c>
      <c r="AO39" s="16">
        <f ca="1">(L39-'Airfoil 1'!$Z$28)/ABS(L39-'Airfoil 1'!$Z$28)</f>
        <v>1</v>
      </c>
      <c r="AP39" s="16">
        <f ca="1">(L39-'Airfoil 1'!$Z$29)/ABS(L39-'Airfoil 1'!$Z$29)</f>
        <v>-1</v>
      </c>
      <c r="AQ39" s="16">
        <f ca="1">(L39-'Airfoil 1'!$Z$30)/ABS(L39-'Airfoil 1'!$Z$30)</f>
        <v>-1</v>
      </c>
      <c r="AR39" s="16">
        <f ca="1">(L39-'Airfoil 1'!$Z$31)/ABS(L39-'Airfoil 1'!$Z$31)</f>
        <v>-1</v>
      </c>
      <c r="AS39" s="16">
        <f ca="1">(L39-'Airfoil 1'!$Z$32)/ABS(L39-'Airfoil 1'!$Z$32)</f>
        <v>-1</v>
      </c>
      <c r="AT39" s="16">
        <f ca="1">(L39-'Airfoil 1'!$Z$33)/ABS(L39-'Airfoil 1'!$Z$33)</f>
        <v>-1</v>
      </c>
      <c r="AU39" s="16">
        <f ca="1">(L39-'Airfoil 1'!$Z$34)/ABS(L39-'Airfoil 1'!$Z$34)</f>
        <v>-1</v>
      </c>
      <c r="AV39" s="16">
        <f ca="1">(L39-'Airfoil 1'!$Z$35)/ABS(L39-'Airfoil 1'!$Z$35)</f>
        <v>-1</v>
      </c>
      <c r="AW39" s="16">
        <f ca="1">(L39-'Airfoil 1'!$Z$36)/ABS(L39-'Airfoil 1'!$Z$36)</f>
        <v>-1</v>
      </c>
      <c r="AX39" s="16">
        <f ca="1">(L39-'Airfoil 1'!$Z$37)/ABS(L39-'Airfoil 1'!$Z$37)</f>
        <v>-1</v>
      </c>
      <c r="AY39" s="16">
        <f ca="1">(L39-'Airfoil 1'!$Z$38)/ABS(L39-'Airfoil 1'!$Z$38)</f>
        <v>-1</v>
      </c>
      <c r="AZ39" s="16">
        <f ca="1">(L39-'Airfoil 1'!$Z$39)/ABS(L39-'Airfoil 1'!$Z$39)</f>
        <v>-1</v>
      </c>
      <c r="BA39" s="16">
        <f ca="1">(L39-'Airfoil 1'!$Z$40)/ABS(L39-'Airfoil 1'!$Z$40)</f>
        <v>-1</v>
      </c>
      <c r="BB39" s="16">
        <f ca="1">(L39-'Airfoil 1'!$Z$41)/ABS(L39-'Airfoil 1'!$Z$41)</f>
        <v>-1</v>
      </c>
      <c r="BC39" s="5">
        <f t="shared" ca="1" si="8"/>
        <v>7</v>
      </c>
      <c r="BD39" s="42">
        <f ca="1">INDEX('Airfoil 1'!$AA$22:$AA$41,BC39,1)+INDEX('Airfoil 1'!$AB$22:$AB$41,BC39,1)*(L39-INDEX('Airfoil 1'!$Z$22:$Z$41,BC39,1))</f>
        <v>2.4489313868613138E-2</v>
      </c>
      <c r="BE39" s="6"/>
      <c r="BF39" s="16">
        <f ca="1">(L39-'Airfoil 1'!$Z$47)/ABS(L39-'Airfoil 1'!$Z$47)</f>
        <v>1</v>
      </c>
      <c r="BG39" s="16">
        <f ca="1">(L39-'Airfoil 1'!$Z$48)/ABS(L39-'Airfoil 1'!$Z$48)</f>
        <v>1</v>
      </c>
      <c r="BH39" s="16">
        <f ca="1">(L39-'Airfoil 1'!$Z$49)/ABS(L39-'Airfoil 1'!$Z$49)</f>
        <v>1</v>
      </c>
      <c r="BI39" s="16">
        <f ca="1">(L39-'Airfoil 1'!$Z$50)/ABS(L39-'Airfoil 1'!$Z$50)</f>
        <v>1</v>
      </c>
      <c r="BJ39" s="16">
        <f ca="1">(L39-'Airfoil 1'!$Z$51)/ABS(L39-'Airfoil 1'!$Z$51)</f>
        <v>1</v>
      </c>
      <c r="BK39" s="16">
        <f ca="1">(L39-'Airfoil 1'!$Z$52)/ABS(L39-'Airfoil 1'!$Z$52)</f>
        <v>1</v>
      </c>
      <c r="BL39" s="16">
        <f ca="1">(L39-'Airfoil 1'!$Z$53)/ABS(L39-'Airfoil 1'!$Z$53)</f>
        <v>-1</v>
      </c>
      <c r="BM39" s="16">
        <f ca="1">(L39-'Airfoil 1'!$Z$54)/ABS(L39-'Airfoil 1'!$Z$54)</f>
        <v>-1</v>
      </c>
      <c r="BN39" s="16">
        <f ca="1">(L39-'Airfoil 1'!$Z$55)/ABS(L39-'Airfoil 1'!$Z$55)</f>
        <v>-1</v>
      </c>
      <c r="BO39" s="16">
        <f ca="1">(L39-'Airfoil 1'!$Z$56)/ABS(L39-'Airfoil 1'!$Z$56)</f>
        <v>-1</v>
      </c>
      <c r="BP39" s="16">
        <f ca="1">(L39-'Airfoil 1'!$Z$57)/ABS(L39-'Airfoil 1'!$Z$57)</f>
        <v>-1</v>
      </c>
      <c r="BQ39" s="16">
        <f ca="1">(L39-'Airfoil 1'!$Z$58)/ABS(L39-'Airfoil 1'!$Z$58)</f>
        <v>-1</v>
      </c>
      <c r="BR39" s="16">
        <f ca="1">(L39-'Airfoil 1'!$Z$59)/ABS(L39-'Airfoil 1'!$Z$59)</f>
        <v>-1</v>
      </c>
      <c r="BS39" s="16">
        <f ca="1">(L39-'Airfoil 1'!$Z$60)/ABS(L39-'Airfoil 1'!$Z$60)</f>
        <v>-1</v>
      </c>
      <c r="BT39" s="16">
        <f ca="1">(L39-'Airfoil 1'!$Z$61)/ABS(L39-'Airfoil 1'!$Z$61)</f>
        <v>-1</v>
      </c>
      <c r="BU39" s="16">
        <f ca="1">(L39-'Airfoil 1'!$Z$62)/ABS(L39-'Airfoil 1'!$Z$62)</f>
        <v>-1</v>
      </c>
      <c r="BV39" s="16">
        <f ca="1">(L39-'Airfoil 1'!$Z$63)/ABS(L39-'Airfoil 1'!$Z$63)</f>
        <v>-1</v>
      </c>
      <c r="BW39" s="16">
        <f ca="1">(L39-'Airfoil 1'!$Z$64)/ABS(L39-'Airfoil 1'!$Z$64)</f>
        <v>-1</v>
      </c>
      <c r="BX39" s="16">
        <f ca="1">(L39-'Airfoil 1'!$Z$65)/ABS(L39-'Airfoil 1'!$Z$65)</f>
        <v>-1</v>
      </c>
      <c r="BY39" s="16">
        <f ca="1">(L39-'Airfoil 1'!$Z$66)/ABS(L39-'Airfoil 1'!$Z$66)</f>
        <v>-1</v>
      </c>
      <c r="BZ39" s="5">
        <f t="shared" ca="1" si="9"/>
        <v>6</v>
      </c>
      <c r="CA39" s="42">
        <f ca="1">INDEX('Airfoil 1'!$AA$47:$AA$66,BZ39,1)+INDEX('Airfoil 1'!$AB$47:$AB$66,BZ39,1)*(L39-INDEX('Airfoil 1'!$Z$47:$Z$66,BZ39,1))</f>
        <v>1.7370857855361597E-2</v>
      </c>
      <c r="CC39" s="16">
        <f ca="1">(L39-'Airfoil 1'!$Z$72)/ABS(L39-'Airfoil 1'!$Z$72)</f>
        <v>1</v>
      </c>
      <c r="CD39" s="16">
        <f ca="1">(L39-'Airfoil 1'!$Z$73)/ABS(L39-'Airfoil 1'!$Z$73)</f>
        <v>1</v>
      </c>
      <c r="CE39" s="16">
        <f ca="1">(L39-'Airfoil 1'!$Z$74)/ABS(L39-'Airfoil 1'!$Z$74)</f>
        <v>1</v>
      </c>
      <c r="CF39" s="16">
        <f ca="1">(L39-'Airfoil 1'!$Z$75)/ABS(L39-'Airfoil 1'!$Z$75)</f>
        <v>1</v>
      </c>
      <c r="CG39" s="16">
        <f ca="1">(L39-'Airfoil 1'!$Z$76)/ABS(L39-'Airfoil 1'!$Z$76)</f>
        <v>-1</v>
      </c>
      <c r="CH39" s="16">
        <f ca="1">(L39-'Airfoil 1'!$Z$77)/ABS(L39-'Airfoil 1'!$Z$77)</f>
        <v>-1</v>
      </c>
      <c r="CI39" s="16">
        <f ca="1">(L39-'Airfoil 1'!$Z$78)/ABS(L39-'Airfoil 1'!$Z$78)</f>
        <v>-1</v>
      </c>
      <c r="CJ39" s="16">
        <f ca="1">(L39-'Airfoil 1'!$Z$79)/ABS(L39-'Airfoil 1'!$Z$79)</f>
        <v>-1</v>
      </c>
      <c r="CK39" s="16">
        <f ca="1">(L39-'Airfoil 1'!$Z$80)/ABS(L39-'Airfoil 1'!$Z$80)</f>
        <v>-1</v>
      </c>
      <c r="CL39" s="16">
        <f ca="1">(L39-'Airfoil 1'!$Z$81)/ABS(L39-'Airfoil 1'!$Z$81)</f>
        <v>-1</v>
      </c>
      <c r="CM39" s="16">
        <f ca="1">(L39-'Airfoil 1'!$Z$82)/ABS(L39-'Airfoil 1'!$Z$82)</f>
        <v>-1</v>
      </c>
      <c r="CN39" s="16">
        <f ca="1">(L39-'Airfoil 1'!$Z$83)/ABS(L39-'Airfoil 1'!$Z$83)</f>
        <v>-1</v>
      </c>
      <c r="CO39" s="16">
        <f ca="1">(L39-'Airfoil 1'!$Z$84)/ABS(L39-'Airfoil 1'!$Z$84)</f>
        <v>-1</v>
      </c>
      <c r="CP39" s="16">
        <f ca="1">(L39-'Airfoil 1'!$Z$85)/ABS(L39-'Airfoil 1'!$Z$85)</f>
        <v>-1</v>
      </c>
      <c r="CQ39" s="16">
        <f ca="1">(L39-'Airfoil 1'!$Z$86)/ABS(L39-'Airfoil 1'!$Z$86)</f>
        <v>-1</v>
      </c>
      <c r="CR39" s="16">
        <f ca="1">(L39-'Airfoil 1'!$Z$87)/ABS(L39-'Airfoil 1'!$Z$87)</f>
        <v>-1</v>
      </c>
      <c r="CS39" s="16">
        <f ca="1">(L39-'Airfoil 1'!$Z$88)/ABS(L39-'Airfoil 1'!$Z$88)</f>
        <v>-1</v>
      </c>
      <c r="CT39" s="16">
        <f ca="1">(L39-'Airfoil 1'!$Z$89)/ABS(L39-'Airfoil 1'!$Z$89)</f>
        <v>-1</v>
      </c>
      <c r="CU39" s="16">
        <f ca="1">(L39-'Airfoil 1'!$Z$90)/ABS(L39-'Airfoil 1'!$Z$90)</f>
        <v>-1</v>
      </c>
      <c r="CV39" s="16">
        <f ca="1">(L39-'Airfoil 1'!$Z$91)/ABS(L39-'Airfoil 1'!$Z$91)</f>
        <v>-1</v>
      </c>
      <c r="CW39" s="5">
        <f t="shared" ca="1" si="10"/>
        <v>4</v>
      </c>
      <c r="CX39" s="42">
        <f ca="1">INDEX('Airfoil 1'!$AA$72:$AA$91,CW39,1)+INDEX('Airfoil 1'!$AB$72:$AB$91,CW39,1)*(L39-INDEX('Airfoil 1'!$Z$72:$Z$91,CW39,1))</f>
        <v>1.1110331491712706E-2</v>
      </c>
    </row>
    <row r="40" spans="2:102">
      <c r="B40" s="31">
        <f>Main!B40</f>
        <v>0.33333333333333326</v>
      </c>
      <c r="D40" s="1">
        <f>'RC'!F40</f>
        <v>0.65969672852566186</v>
      </c>
      <c r="E40" s="4">
        <f>ISA!$R$10</f>
        <v>1.5987591530356481E-5</v>
      </c>
      <c r="G40" s="13">
        <f ca="1">'RC'!X40</f>
        <v>19.43145462796252</v>
      </c>
      <c r="H40" s="5">
        <f t="shared" ca="1" si="0"/>
        <v>267267.00358466222</v>
      </c>
      <c r="I40" s="16">
        <f ca="1">'Airfoil 2'!$K$14*H40^'Airfoil 2'!$L$13</f>
        <v>1.5769678081974443</v>
      </c>
      <c r="J40" s="1">
        <f ca="1">'Airfoil 2'!$K$33*H40^'Airfoil 2'!$L$32</f>
        <v>5.5114164675134036</v>
      </c>
      <c r="K40" s="13">
        <f ca="1">'Airfoil 2'!$K$52*H40^'Airfoil 2'!$L$51</f>
        <v>-7.6542820697355989</v>
      </c>
      <c r="L40" s="16">
        <f ca="1">'Aerodynamics-RCmax'!W40</f>
        <v>0.9</v>
      </c>
      <c r="M40" s="10">
        <f ca="1">('Airfoil 1'!$B$21+'Airfoil 1'!$B$22*L40+'Airfoil 1'!$B$23*L40^2+'Airfoil 1'!$B$24*L40^3+'Airfoil 1'!$B$25*L40^4+'Airfoil 1'!$B$26*L40^5+'Airfoil 1'!$B$27*L40^6)*0+BD40</f>
        <v>2.4489313868613138E-2</v>
      </c>
      <c r="N40" s="42">
        <f ca="1">('Airfoil 1'!$B$29+'Airfoil 1'!$B$30*L40+'Airfoil 1'!$B$31*L40^2+'Airfoil 1'!$B$32*L40^3+'Airfoil 1'!$B$33*L40^4+'Airfoil 1'!$B$34*L40^5+'Airfoil 1'!$B$35*L40^6)*0+CA40</f>
        <v>1.7370857855361597E-2</v>
      </c>
      <c r="O40" s="42">
        <f ca="1">('Airfoil 1'!$B$37+'Airfoil 1'!$B$38*L40+'Airfoil 1'!$B$39*L40^2+'Airfoil 1'!$B$40*L40^3+'Airfoil 1'!$B$41*L40^4+'Airfoil 1'!$B$42*L40^5+'Airfoil 1'!$B$43*L40^6)*0+CX40</f>
        <v>1.1110331491712706E-2</v>
      </c>
      <c r="P40" s="16">
        <f>LOG('Airfoil 1'!$F$10)+LOG('Airfoil 1'!$G$10)+LOG('Airfoil 1'!$H$10)</f>
        <v>15.176091259055681</v>
      </c>
      <c r="Q40" s="16">
        <f t="shared" ca="1" si="1"/>
        <v>-5.3254750991929125</v>
      </c>
      <c r="R40" s="16">
        <f>LOG('Airfoil 1'!$F$10)^2+LOG('Airfoil 1'!$G$10)^2+LOG('Airfoil 1'!$H$10)^2</f>
        <v>76.867141336751558</v>
      </c>
      <c r="S40" s="16">
        <f ca="1">LOG('Airfoil 1'!$F$10)*LOG(M40)+LOG('Airfoil 1'!$G$10)*LOG(N40)+LOG('Airfoil 1'!$H$10)*LOG(O40)</f>
        <v>-27.014391057528009</v>
      </c>
      <c r="T40" s="16">
        <f t="shared" ca="1" si="2"/>
        <v>141.60346469083578</v>
      </c>
      <c r="U40" s="16">
        <f t="shared" ca="1" si="3"/>
        <v>-0.77613507568957385</v>
      </c>
      <c r="V40" s="42">
        <f ca="1">IF(Energy!$F$11=1,Energy!$T$13,1)*T40*H40^U40</f>
        <v>9.5809779772339891E-3</v>
      </c>
      <c r="W40" s="10">
        <f ca="1">'Airfoil 1'!$B$48+'Airfoil 1'!$B$49*L40+'Airfoil 1'!$B$50*L40^2+'Airfoil 1'!$B$51*L40^3+'Airfoil 1'!$B$52*L40^4+'Airfoil 1'!$B$53*L40^5+'Airfoil 1'!$B$54*L40^6</f>
        <v>-0.155</v>
      </c>
      <c r="X40" s="42">
        <f ca="1">'Airfoil 1'!$B$56+'Airfoil 1'!$B$57*L40+'Airfoil 1'!$B$58*L40^2+'Airfoil 1'!$B$59*L40^3+'Airfoil 1'!$B$60*L40^4+'Airfoil 1'!$B$61*L40^5+'Airfoil 1'!$B$62*L40^6</f>
        <v>-0.155</v>
      </c>
      <c r="Y40" s="42">
        <f ca="1">'Airfoil 1'!$B$64+'Airfoil 1'!$B$65*L40+'Airfoil 1'!$B$66*L40^2+'Airfoil 1'!$B$67*L40^3+'Airfoil 1'!$B$681*L40^4+'Airfoil 1'!$B$69*L40^5+'Airfoil 1'!$B$70*L40^6</f>
        <v>-0.155</v>
      </c>
      <c r="Z40" s="16">
        <f>LOG('Airfoil 1'!$F$10)+LOG('Airfoil 1'!$G$10)+LOG('Airfoil 1'!$H$10)</f>
        <v>15.176091259055681</v>
      </c>
      <c r="AA40" s="16">
        <f t="shared" ca="1" si="4"/>
        <v>-2.4290049054891254</v>
      </c>
      <c r="AB40" s="16">
        <f>LOG('Airfoil 1'!$F$10)^2+LOG('Airfoil 1'!$G$10)^2+LOG('Airfoil 1'!$H$10)^2</f>
        <v>76.867141336751558</v>
      </c>
      <c r="AC40" s="16">
        <f ca="1">LOG('Airfoil 1'!$F$10)*LOG(ABS(W40))+LOG('Airfoil 1'!$G$10)*LOG(ABS(X40))+LOG('Airfoil 1'!$H$10)*LOG(ABS(Y40))</f>
        <v>-12.287600038132297</v>
      </c>
      <c r="AD40" s="16">
        <f t="shared" ca="1" si="5"/>
        <v>0.1550000000000121</v>
      </c>
      <c r="AE40" s="16">
        <f t="shared" ca="1" si="6"/>
        <v>-6.6718325633022456E-15</v>
      </c>
      <c r="AF40" s="42">
        <f t="shared" ca="1" si="7"/>
        <v>-0.15499999999999919</v>
      </c>
      <c r="AG40" s="16"/>
      <c r="AH40" s="42"/>
      <c r="AI40" s="16">
        <f ca="1">(L40-'Airfoil 1'!$Z$22)/ABS(L40-'Airfoil 1'!$Z$22)</f>
        <v>1</v>
      </c>
      <c r="AJ40" s="16">
        <f ca="1">(L40-'Airfoil 1'!$Z$23)/ABS(L40-'Airfoil 1'!$Z$23)</f>
        <v>1</v>
      </c>
      <c r="AK40" s="16">
        <f ca="1">(L40-'Airfoil 1'!$Z$24)/ABS(L40-'Airfoil 1'!$Z$24)</f>
        <v>1</v>
      </c>
      <c r="AL40" s="16">
        <f ca="1">(L40-'Airfoil 1'!$Z$25)/ABS(L40-'Airfoil 1'!$Z$25)</f>
        <v>1</v>
      </c>
      <c r="AM40" s="16">
        <f ca="1">(L40-'Airfoil 1'!$Z$26)/ABS(L40-'Airfoil 1'!$Z$26)</f>
        <v>1</v>
      </c>
      <c r="AN40" s="16">
        <f ca="1">(L40-'Airfoil 1'!$Z$27)/ABS(L40-'Airfoil 1'!$Z$27)</f>
        <v>1</v>
      </c>
      <c r="AO40" s="16">
        <f ca="1">(L40-'Airfoil 1'!$Z$28)/ABS(L40-'Airfoil 1'!$Z$28)</f>
        <v>1</v>
      </c>
      <c r="AP40" s="16">
        <f ca="1">(L40-'Airfoil 1'!$Z$29)/ABS(L40-'Airfoil 1'!$Z$29)</f>
        <v>-1</v>
      </c>
      <c r="AQ40" s="16">
        <f ca="1">(L40-'Airfoil 1'!$Z$30)/ABS(L40-'Airfoil 1'!$Z$30)</f>
        <v>-1</v>
      </c>
      <c r="AR40" s="16">
        <f ca="1">(L40-'Airfoil 1'!$Z$31)/ABS(L40-'Airfoil 1'!$Z$31)</f>
        <v>-1</v>
      </c>
      <c r="AS40" s="16">
        <f ca="1">(L40-'Airfoil 1'!$Z$32)/ABS(L40-'Airfoil 1'!$Z$32)</f>
        <v>-1</v>
      </c>
      <c r="AT40" s="16">
        <f ca="1">(L40-'Airfoil 1'!$Z$33)/ABS(L40-'Airfoil 1'!$Z$33)</f>
        <v>-1</v>
      </c>
      <c r="AU40" s="16">
        <f ca="1">(L40-'Airfoil 1'!$Z$34)/ABS(L40-'Airfoil 1'!$Z$34)</f>
        <v>-1</v>
      </c>
      <c r="AV40" s="16">
        <f ca="1">(L40-'Airfoil 1'!$Z$35)/ABS(L40-'Airfoil 1'!$Z$35)</f>
        <v>-1</v>
      </c>
      <c r="AW40" s="16">
        <f ca="1">(L40-'Airfoil 1'!$Z$36)/ABS(L40-'Airfoil 1'!$Z$36)</f>
        <v>-1</v>
      </c>
      <c r="AX40" s="16">
        <f ca="1">(L40-'Airfoil 1'!$Z$37)/ABS(L40-'Airfoil 1'!$Z$37)</f>
        <v>-1</v>
      </c>
      <c r="AY40" s="16">
        <f ca="1">(L40-'Airfoil 1'!$Z$38)/ABS(L40-'Airfoil 1'!$Z$38)</f>
        <v>-1</v>
      </c>
      <c r="AZ40" s="16">
        <f ca="1">(L40-'Airfoil 1'!$Z$39)/ABS(L40-'Airfoil 1'!$Z$39)</f>
        <v>-1</v>
      </c>
      <c r="BA40" s="16">
        <f ca="1">(L40-'Airfoil 1'!$Z$40)/ABS(L40-'Airfoil 1'!$Z$40)</f>
        <v>-1</v>
      </c>
      <c r="BB40" s="16">
        <f ca="1">(L40-'Airfoil 1'!$Z$41)/ABS(L40-'Airfoil 1'!$Z$41)</f>
        <v>-1</v>
      </c>
      <c r="BC40" s="5">
        <f t="shared" ca="1" si="8"/>
        <v>7</v>
      </c>
      <c r="BD40" s="42">
        <f ca="1">INDEX('Airfoil 1'!$AA$22:$AA$41,BC40,1)+INDEX('Airfoil 1'!$AB$22:$AB$41,BC40,1)*(L40-INDEX('Airfoil 1'!$Z$22:$Z$41,BC40,1))</f>
        <v>2.4489313868613138E-2</v>
      </c>
      <c r="BE40" s="6"/>
      <c r="BF40" s="16">
        <f ca="1">(L40-'Airfoil 1'!$Z$47)/ABS(L40-'Airfoil 1'!$Z$47)</f>
        <v>1</v>
      </c>
      <c r="BG40" s="16">
        <f ca="1">(L40-'Airfoil 1'!$Z$48)/ABS(L40-'Airfoil 1'!$Z$48)</f>
        <v>1</v>
      </c>
      <c r="BH40" s="16">
        <f ca="1">(L40-'Airfoil 1'!$Z$49)/ABS(L40-'Airfoil 1'!$Z$49)</f>
        <v>1</v>
      </c>
      <c r="BI40" s="16">
        <f ca="1">(L40-'Airfoil 1'!$Z$50)/ABS(L40-'Airfoil 1'!$Z$50)</f>
        <v>1</v>
      </c>
      <c r="BJ40" s="16">
        <f ca="1">(L40-'Airfoil 1'!$Z$51)/ABS(L40-'Airfoil 1'!$Z$51)</f>
        <v>1</v>
      </c>
      <c r="BK40" s="16">
        <f ca="1">(L40-'Airfoil 1'!$Z$52)/ABS(L40-'Airfoil 1'!$Z$52)</f>
        <v>1</v>
      </c>
      <c r="BL40" s="16">
        <f ca="1">(L40-'Airfoil 1'!$Z$53)/ABS(L40-'Airfoil 1'!$Z$53)</f>
        <v>-1</v>
      </c>
      <c r="BM40" s="16">
        <f ca="1">(L40-'Airfoil 1'!$Z$54)/ABS(L40-'Airfoil 1'!$Z$54)</f>
        <v>-1</v>
      </c>
      <c r="BN40" s="16">
        <f ca="1">(L40-'Airfoil 1'!$Z$55)/ABS(L40-'Airfoil 1'!$Z$55)</f>
        <v>-1</v>
      </c>
      <c r="BO40" s="16">
        <f ca="1">(L40-'Airfoil 1'!$Z$56)/ABS(L40-'Airfoil 1'!$Z$56)</f>
        <v>-1</v>
      </c>
      <c r="BP40" s="16">
        <f ca="1">(L40-'Airfoil 1'!$Z$57)/ABS(L40-'Airfoil 1'!$Z$57)</f>
        <v>-1</v>
      </c>
      <c r="BQ40" s="16">
        <f ca="1">(L40-'Airfoil 1'!$Z$58)/ABS(L40-'Airfoil 1'!$Z$58)</f>
        <v>-1</v>
      </c>
      <c r="BR40" s="16">
        <f ca="1">(L40-'Airfoil 1'!$Z$59)/ABS(L40-'Airfoil 1'!$Z$59)</f>
        <v>-1</v>
      </c>
      <c r="BS40" s="16">
        <f ca="1">(L40-'Airfoil 1'!$Z$60)/ABS(L40-'Airfoil 1'!$Z$60)</f>
        <v>-1</v>
      </c>
      <c r="BT40" s="16">
        <f ca="1">(L40-'Airfoil 1'!$Z$61)/ABS(L40-'Airfoil 1'!$Z$61)</f>
        <v>-1</v>
      </c>
      <c r="BU40" s="16">
        <f ca="1">(L40-'Airfoil 1'!$Z$62)/ABS(L40-'Airfoil 1'!$Z$62)</f>
        <v>-1</v>
      </c>
      <c r="BV40" s="16">
        <f ca="1">(L40-'Airfoil 1'!$Z$63)/ABS(L40-'Airfoil 1'!$Z$63)</f>
        <v>-1</v>
      </c>
      <c r="BW40" s="16">
        <f ca="1">(L40-'Airfoil 1'!$Z$64)/ABS(L40-'Airfoil 1'!$Z$64)</f>
        <v>-1</v>
      </c>
      <c r="BX40" s="16">
        <f ca="1">(L40-'Airfoil 1'!$Z$65)/ABS(L40-'Airfoil 1'!$Z$65)</f>
        <v>-1</v>
      </c>
      <c r="BY40" s="16">
        <f ca="1">(L40-'Airfoil 1'!$Z$66)/ABS(L40-'Airfoil 1'!$Z$66)</f>
        <v>-1</v>
      </c>
      <c r="BZ40" s="5">
        <f t="shared" ca="1" si="9"/>
        <v>6</v>
      </c>
      <c r="CA40" s="42">
        <f ca="1">INDEX('Airfoil 1'!$AA$47:$AA$66,BZ40,1)+INDEX('Airfoil 1'!$AB$47:$AB$66,BZ40,1)*(L40-INDEX('Airfoil 1'!$Z$47:$Z$66,BZ40,1))</f>
        <v>1.7370857855361597E-2</v>
      </c>
      <c r="CC40" s="16">
        <f ca="1">(L40-'Airfoil 1'!$Z$72)/ABS(L40-'Airfoil 1'!$Z$72)</f>
        <v>1</v>
      </c>
      <c r="CD40" s="16">
        <f ca="1">(L40-'Airfoil 1'!$Z$73)/ABS(L40-'Airfoil 1'!$Z$73)</f>
        <v>1</v>
      </c>
      <c r="CE40" s="16">
        <f ca="1">(L40-'Airfoil 1'!$Z$74)/ABS(L40-'Airfoil 1'!$Z$74)</f>
        <v>1</v>
      </c>
      <c r="CF40" s="16">
        <f ca="1">(L40-'Airfoil 1'!$Z$75)/ABS(L40-'Airfoil 1'!$Z$75)</f>
        <v>1</v>
      </c>
      <c r="CG40" s="16">
        <f ca="1">(L40-'Airfoil 1'!$Z$76)/ABS(L40-'Airfoil 1'!$Z$76)</f>
        <v>-1</v>
      </c>
      <c r="CH40" s="16">
        <f ca="1">(L40-'Airfoil 1'!$Z$77)/ABS(L40-'Airfoil 1'!$Z$77)</f>
        <v>-1</v>
      </c>
      <c r="CI40" s="16">
        <f ca="1">(L40-'Airfoil 1'!$Z$78)/ABS(L40-'Airfoil 1'!$Z$78)</f>
        <v>-1</v>
      </c>
      <c r="CJ40" s="16">
        <f ca="1">(L40-'Airfoil 1'!$Z$79)/ABS(L40-'Airfoil 1'!$Z$79)</f>
        <v>-1</v>
      </c>
      <c r="CK40" s="16">
        <f ca="1">(L40-'Airfoil 1'!$Z$80)/ABS(L40-'Airfoil 1'!$Z$80)</f>
        <v>-1</v>
      </c>
      <c r="CL40" s="16">
        <f ca="1">(L40-'Airfoil 1'!$Z$81)/ABS(L40-'Airfoil 1'!$Z$81)</f>
        <v>-1</v>
      </c>
      <c r="CM40" s="16">
        <f ca="1">(L40-'Airfoil 1'!$Z$82)/ABS(L40-'Airfoil 1'!$Z$82)</f>
        <v>-1</v>
      </c>
      <c r="CN40" s="16">
        <f ca="1">(L40-'Airfoil 1'!$Z$83)/ABS(L40-'Airfoil 1'!$Z$83)</f>
        <v>-1</v>
      </c>
      <c r="CO40" s="16">
        <f ca="1">(L40-'Airfoil 1'!$Z$84)/ABS(L40-'Airfoil 1'!$Z$84)</f>
        <v>-1</v>
      </c>
      <c r="CP40" s="16">
        <f ca="1">(L40-'Airfoil 1'!$Z$85)/ABS(L40-'Airfoil 1'!$Z$85)</f>
        <v>-1</v>
      </c>
      <c r="CQ40" s="16">
        <f ca="1">(L40-'Airfoil 1'!$Z$86)/ABS(L40-'Airfoil 1'!$Z$86)</f>
        <v>-1</v>
      </c>
      <c r="CR40" s="16">
        <f ca="1">(L40-'Airfoil 1'!$Z$87)/ABS(L40-'Airfoil 1'!$Z$87)</f>
        <v>-1</v>
      </c>
      <c r="CS40" s="16">
        <f ca="1">(L40-'Airfoil 1'!$Z$88)/ABS(L40-'Airfoil 1'!$Z$88)</f>
        <v>-1</v>
      </c>
      <c r="CT40" s="16">
        <f ca="1">(L40-'Airfoil 1'!$Z$89)/ABS(L40-'Airfoil 1'!$Z$89)</f>
        <v>-1</v>
      </c>
      <c r="CU40" s="16">
        <f ca="1">(L40-'Airfoil 1'!$Z$90)/ABS(L40-'Airfoil 1'!$Z$90)</f>
        <v>-1</v>
      </c>
      <c r="CV40" s="16">
        <f ca="1">(L40-'Airfoil 1'!$Z$91)/ABS(L40-'Airfoil 1'!$Z$91)</f>
        <v>-1</v>
      </c>
      <c r="CW40" s="5">
        <f t="shared" ca="1" si="10"/>
        <v>4</v>
      </c>
      <c r="CX40" s="42">
        <f ca="1">INDEX('Airfoil 1'!$AA$72:$AA$91,CW40,1)+INDEX('Airfoil 1'!$AB$72:$AB$91,CW40,1)*(L40-INDEX('Airfoil 1'!$Z$72:$Z$91,CW40,1))</f>
        <v>1.1110331491712706E-2</v>
      </c>
    </row>
    <row r="41" spans="2:102"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</row>
    <row r="42" spans="2:102">
      <c r="D42" s="4"/>
    </row>
    <row r="44" spans="2:102">
      <c r="I44" s="14"/>
      <c r="M44" s="1"/>
      <c r="N44" s="1"/>
      <c r="O44" s="1"/>
      <c r="P44" s="1"/>
    </row>
    <row r="45" spans="2:102">
      <c r="I45" s="14"/>
    </row>
    <row r="46" spans="2:102">
      <c r="I46" s="14"/>
    </row>
    <row r="47" spans="2:102">
      <c r="I47" s="14"/>
    </row>
    <row r="48" spans="2:102">
      <c r="I48" s="14"/>
    </row>
    <row r="49" spans="9:9">
      <c r="I49" s="14"/>
    </row>
    <row r="50" spans="9:9">
      <c r="I50" s="14"/>
    </row>
    <row r="51" spans="9:9">
      <c r="I51" s="14"/>
    </row>
    <row r="52" spans="9:9">
      <c r="I52" s="14"/>
    </row>
    <row r="53" spans="9:9">
      <c r="I53" s="14"/>
    </row>
    <row r="54" spans="9:9">
      <c r="I54" s="14"/>
    </row>
    <row r="55" spans="9:9">
      <c r="I55" s="14"/>
    </row>
    <row r="56" spans="9:9">
      <c r="I56" s="14"/>
    </row>
    <row r="57" spans="9:9">
      <c r="I57" s="14"/>
    </row>
    <row r="58" spans="9:9">
      <c r="I58" s="14"/>
    </row>
    <row r="59" spans="9:9">
      <c r="I59" s="14"/>
    </row>
    <row r="60" spans="9:9">
      <c r="I60" s="14"/>
    </row>
    <row r="61" spans="9:9">
      <c r="I61" s="14"/>
    </row>
    <row r="62" spans="9:9">
      <c r="I62" s="14"/>
    </row>
    <row r="63" spans="9:9">
      <c r="I63" s="14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CX63"/>
  <sheetViews>
    <sheetView zoomScale="90" workbookViewId="0">
      <selection activeCell="M21" sqref="M21:O40"/>
    </sheetView>
  </sheetViews>
  <sheetFormatPr defaultRowHeight="12.75"/>
  <cols>
    <col min="42" max="42" width="9.42578125" customWidth="1"/>
  </cols>
  <sheetData>
    <row r="1" spans="1:69">
      <c r="A1" s="17" t="s">
        <v>434</v>
      </c>
    </row>
    <row r="3" spans="1:69">
      <c r="A3" t="s">
        <v>270</v>
      </c>
      <c r="C3" s="6"/>
      <c r="D3" s="6"/>
      <c r="E3" s="6"/>
    </row>
    <row r="4" spans="1:69">
      <c r="A4" s="17"/>
      <c r="C4" s="6"/>
      <c r="D4" s="6"/>
      <c r="E4" s="6"/>
    </row>
    <row r="5" spans="1:69">
      <c r="A5" s="17"/>
      <c r="C5" s="6"/>
      <c r="D5" s="6"/>
      <c r="E5" s="6"/>
      <c r="F5" s="6"/>
      <c r="G5" s="6"/>
      <c r="H5" s="6"/>
    </row>
    <row r="6" spans="1:69">
      <c r="A6" s="17"/>
      <c r="C6" s="67"/>
      <c r="D6" s="16"/>
      <c r="E6" s="16"/>
      <c r="F6" s="6"/>
      <c r="G6" s="16"/>
      <c r="H6" s="6"/>
    </row>
    <row r="7" spans="1:69">
      <c r="A7" s="17"/>
      <c r="C7" s="6"/>
      <c r="D7" s="6"/>
      <c r="E7" s="6"/>
    </row>
    <row r="8" spans="1:69">
      <c r="A8" s="17"/>
    </row>
    <row r="9" spans="1:69">
      <c r="A9" s="17"/>
    </row>
    <row r="15" spans="1:69">
      <c r="B15" t="s">
        <v>279</v>
      </c>
      <c r="D15" t="s">
        <v>273</v>
      </c>
      <c r="G15" t="s">
        <v>278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</row>
    <row r="16" spans="1:69"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42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</row>
    <row r="17" spans="2:102"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</row>
    <row r="18" spans="2:102" ht="14.25">
      <c r="B18" s="9" t="s">
        <v>281</v>
      </c>
      <c r="D18" s="9" t="s">
        <v>29</v>
      </c>
      <c r="E18" s="9" t="s">
        <v>31</v>
      </c>
      <c r="G18" s="9" t="s">
        <v>40</v>
      </c>
      <c r="H18" s="9" t="s">
        <v>50</v>
      </c>
      <c r="I18" s="9" t="s">
        <v>335</v>
      </c>
      <c r="J18" s="9" t="s">
        <v>163</v>
      </c>
      <c r="K18" s="47" t="s">
        <v>336</v>
      </c>
      <c r="L18" s="9" t="s">
        <v>52</v>
      </c>
      <c r="M18" s="9" t="s">
        <v>337</v>
      </c>
      <c r="N18" s="23" t="s">
        <v>338</v>
      </c>
      <c r="O18" s="23" t="s">
        <v>339</v>
      </c>
      <c r="P18" s="23" t="s">
        <v>348</v>
      </c>
      <c r="Q18" s="23" t="s">
        <v>349</v>
      </c>
      <c r="R18" s="23" t="s">
        <v>350</v>
      </c>
      <c r="S18" s="9" t="s">
        <v>351</v>
      </c>
      <c r="T18" s="23" t="s">
        <v>100</v>
      </c>
      <c r="U18" s="23" t="s">
        <v>361</v>
      </c>
      <c r="V18" s="23" t="s">
        <v>366</v>
      </c>
      <c r="W18" s="9" t="s">
        <v>387</v>
      </c>
      <c r="X18" s="23" t="s">
        <v>388</v>
      </c>
      <c r="Y18" s="23" t="s">
        <v>389</v>
      </c>
      <c r="Z18" s="23" t="s">
        <v>348</v>
      </c>
      <c r="AA18" s="23" t="s">
        <v>349</v>
      </c>
      <c r="AB18" s="23" t="s">
        <v>350</v>
      </c>
      <c r="AC18" s="9" t="s">
        <v>351</v>
      </c>
      <c r="AD18" s="23" t="s">
        <v>100</v>
      </c>
      <c r="AE18" s="23" t="s">
        <v>361</v>
      </c>
      <c r="AF18" s="23" t="s">
        <v>53</v>
      </c>
      <c r="AG18" s="23"/>
      <c r="AH18" s="23"/>
      <c r="AI18" s="68" t="s">
        <v>792</v>
      </c>
      <c r="AJ18" s="23"/>
      <c r="AK18" s="68"/>
      <c r="AL18" s="68"/>
      <c r="AM18" s="68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68" t="s">
        <v>795</v>
      </c>
      <c r="BD18" s="68" t="s">
        <v>337</v>
      </c>
      <c r="BE18" s="6"/>
      <c r="BF18" s="68" t="s">
        <v>793</v>
      </c>
      <c r="BG18" s="23"/>
      <c r="BH18" s="68"/>
      <c r="BI18" s="68"/>
      <c r="BJ18" s="68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68" t="s">
        <v>794</v>
      </c>
      <c r="CA18" s="68" t="s">
        <v>338</v>
      </c>
      <c r="CC18" s="68" t="s">
        <v>796</v>
      </c>
      <c r="CD18" s="23"/>
      <c r="CE18" s="68"/>
      <c r="CF18" s="68"/>
      <c r="CG18" s="68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68" t="s">
        <v>797</v>
      </c>
      <c r="CX18" s="68" t="s">
        <v>339</v>
      </c>
    </row>
    <row r="19" spans="2:102">
      <c r="B19" s="9" t="s">
        <v>4</v>
      </c>
      <c r="D19" s="9" t="s">
        <v>30</v>
      </c>
      <c r="E19" s="9" t="s">
        <v>2</v>
      </c>
      <c r="G19" s="9" t="s">
        <v>1</v>
      </c>
      <c r="H19" s="9"/>
      <c r="I19" s="9"/>
      <c r="J19" s="9" t="s">
        <v>364</v>
      </c>
      <c r="K19" s="9" t="s">
        <v>303</v>
      </c>
      <c r="L19" s="9"/>
      <c r="N19" s="23"/>
      <c r="O19" s="23"/>
      <c r="P19" s="23" t="s">
        <v>352</v>
      </c>
      <c r="Q19" s="23" t="s">
        <v>365</v>
      </c>
      <c r="R19" s="6"/>
      <c r="T19" s="23"/>
      <c r="U19" s="23"/>
      <c r="V19" s="6"/>
      <c r="X19" s="23"/>
      <c r="Y19" s="23"/>
      <c r="Z19" s="23" t="s">
        <v>352</v>
      </c>
      <c r="AA19" s="23" t="s">
        <v>390</v>
      </c>
      <c r="AB19" s="6"/>
      <c r="AD19" s="23"/>
      <c r="AE19" s="23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23"/>
      <c r="BA19" s="23"/>
      <c r="BB19" s="23"/>
      <c r="BC19" s="23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23"/>
      <c r="BX19" s="23"/>
      <c r="BY19" s="23"/>
      <c r="BZ19" s="23"/>
      <c r="CA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23"/>
      <c r="CU19" s="23"/>
      <c r="CV19" s="23"/>
      <c r="CW19" s="23"/>
      <c r="CX19" s="6"/>
    </row>
    <row r="20" spans="2:102">
      <c r="N20" s="6"/>
      <c r="O20" s="6"/>
      <c r="P20" s="6"/>
      <c r="Q20" s="6"/>
      <c r="R20" s="6"/>
      <c r="S20" s="6"/>
      <c r="T20" s="6"/>
      <c r="U20" s="6"/>
      <c r="V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</row>
    <row r="21" spans="2:102">
      <c r="B21" s="31">
        <f>Main!B21</f>
        <v>0.33333333333333326</v>
      </c>
      <c r="D21" s="1">
        <f>'RC'!F21</f>
        <v>0.65969672852566186</v>
      </c>
      <c r="E21" s="4">
        <f>ISA!$R$10</f>
        <v>1.5987591530356481E-5</v>
      </c>
      <c r="G21" s="13">
        <f ca="1">'RC'!X21</f>
        <v>29.912886947189744</v>
      </c>
      <c r="H21" s="5">
        <f t="shared" ref="H21:H40" ca="1" si="0">D21*G21*B21/E21</f>
        <v>411432.27905529388</v>
      </c>
      <c r="I21" s="16">
        <f ca="1">'Airfoil 2'!$K$14*H21^'Airfoil 2'!$L$13</f>
        <v>1.5864532889565215</v>
      </c>
      <c r="J21" s="1">
        <f ca="1">'Airfoil 2'!$K$33*H21^'Airfoil 2'!$L$32</f>
        <v>4.7670310826764712</v>
      </c>
      <c r="K21" s="13">
        <f ca="1">'Airfoil 2'!$K$52*H21^'Airfoil 2'!$L$51</f>
        <v>-10.214023780868626</v>
      </c>
      <c r="L21" s="16">
        <f ca="1">'Aerodynamics-RC'!W21</f>
        <v>0.9</v>
      </c>
      <c r="M21" s="10">
        <f ca="1">('Airfoil 1'!$B$21+'Airfoil 1'!$B$22*L21+'Airfoil 1'!$B$23*L21^2+'Airfoil 1'!$B$24*L21^3+'Airfoil 1'!$B$25*L21^4+'Airfoil 1'!$B$26*L21^5+'Airfoil 1'!$B$27*L21^6)*0+BD21</f>
        <v>2.4489313868613138E-2</v>
      </c>
      <c r="N21" s="42">
        <f ca="1">('Airfoil 1'!$B$29+'Airfoil 1'!$B$30*L21+'Airfoil 1'!$B$31*L21^2+'Airfoil 1'!$B$32*L21^3+'Airfoil 1'!$B$33*L21^4+'Airfoil 1'!$B$34*L21^5+'Airfoil 1'!$B$35*L21^6)*0+CA21</f>
        <v>1.7370857855361597E-2</v>
      </c>
      <c r="O21" s="42">
        <f ca="1">('Airfoil 1'!$B$37+'Airfoil 1'!$B$38*L21+'Airfoil 1'!$B$39*L21^2+'Airfoil 1'!$B$40*L21^3+'Airfoil 1'!$B$41*L21^4+'Airfoil 1'!$B$42*L21^5+'Airfoil 1'!$B$43*L21^6)*0+CX21</f>
        <v>1.1110331491712706E-2</v>
      </c>
      <c r="P21" s="16">
        <f>LOG('Airfoil 1'!$F$10)+LOG('Airfoil 1'!$G$10)+LOG('Airfoil 1'!$H$10)</f>
        <v>15.176091259055681</v>
      </c>
      <c r="Q21" s="16">
        <f t="shared" ref="Q21:Q40" ca="1" si="1">LOG(M21)+LOG(N21)+LOG(O21)</f>
        <v>-5.3254750991929125</v>
      </c>
      <c r="R21" s="16">
        <f>LOG('Airfoil 1'!$F$10)^2+LOG('Airfoil 1'!$G$10)^2+LOG('Airfoil 1'!$H$10)^2</f>
        <v>76.867141336751558</v>
      </c>
      <c r="S21" s="16">
        <f ca="1">LOG('Airfoil 1'!$F$10)*LOG(M21)+LOG('Airfoil 1'!$G$10)*LOG(N21)+LOG('Airfoil 1'!$H$10)*LOG(O21)</f>
        <v>-27.014391057528009</v>
      </c>
      <c r="T21" s="16">
        <f t="shared" ref="T21:T40" ca="1" si="2">POWER(10,(S21/R21-Q21/P21)/(P21/R21-3/P21))</f>
        <v>141.60346469083578</v>
      </c>
      <c r="U21" s="16">
        <f t="shared" ref="U21:U40" ca="1" si="3">(Q21-3*LOG(T21))/P21</f>
        <v>-0.77613507568957385</v>
      </c>
      <c r="V21" s="42">
        <f ca="1">IF(Energy!$F$11=1,Energy!$T$13,1)*T21*H21^U21</f>
        <v>6.8548600734337972E-3</v>
      </c>
      <c r="W21" s="10">
        <f ca="1">'Airfoil 1'!$B$48+'Airfoil 1'!$B$49*L21+'Airfoil 1'!$B$50*L21^2+'Airfoil 1'!$B$51*L21^3+'Airfoil 1'!$B$52*L21^4+'Airfoil 1'!$B$53*L21^5+'Airfoil 1'!$B$54*L21^6</f>
        <v>-0.155</v>
      </c>
      <c r="X21" s="42">
        <f ca="1">'Airfoil 1'!$B$56+'Airfoil 1'!$B$57*L21+'Airfoil 1'!$B$58*L21^2+'Airfoil 1'!$B$59*L21^3+'Airfoil 1'!$B$60*L21^4+'Airfoil 1'!$B$61*L21^5+'Airfoil 1'!$B$62*L21^6</f>
        <v>-0.155</v>
      </c>
      <c r="Y21" s="42">
        <f ca="1">'Airfoil 1'!$B$64+'Airfoil 1'!$B$65*L21+'Airfoil 1'!$B$66*L21^2+'Airfoil 1'!$B$67*L21^3+'Airfoil 1'!$B$681*L21^4+'Airfoil 1'!$B$69*L21^5+'Airfoil 1'!$B$70*L21^6</f>
        <v>-0.155</v>
      </c>
      <c r="Z21" s="16">
        <f>LOG('Airfoil 1'!$F$10)+LOG('Airfoil 1'!$G$10)+LOG('Airfoil 1'!$H$10)</f>
        <v>15.176091259055681</v>
      </c>
      <c r="AA21" s="16">
        <f t="shared" ref="AA21:AA40" ca="1" si="4">LOG(ABS(W21))+LOG(ABS(X21))+LOG(ABS(Y21))</f>
        <v>-2.4290049054891254</v>
      </c>
      <c r="AB21" s="16">
        <f>LOG('Airfoil 1'!$F$10)^2+LOG('Airfoil 1'!$G$10)^2+LOG('Airfoil 1'!$H$10)^2</f>
        <v>76.867141336751558</v>
      </c>
      <c r="AC21" s="16">
        <f ca="1">LOG('Airfoil 1'!$F$10)*LOG(ABS(W21))+LOG('Airfoil 1'!$G$10)*LOG(ABS(X21))+LOG('Airfoil 1'!$H$10)*LOG(ABS(Y21))</f>
        <v>-12.287600038132297</v>
      </c>
      <c r="AD21" s="16">
        <f t="shared" ref="AD21:AD40" ca="1" si="5">POWER(10,(AC21/AB21-AA21/Z21)/(Z21/AB21-3/Z21))</f>
        <v>0.1550000000000121</v>
      </c>
      <c r="AE21" s="16">
        <f t="shared" ref="AE21:AE40" ca="1" si="6">(AA21-3*LOG(AD21))/Z21</f>
        <v>-6.6718325633022456E-15</v>
      </c>
      <c r="AF21" s="42">
        <f t="shared" ref="AF21:AF40" ca="1" si="7">W21/ABS(W21)*AD21*H21^AE21</f>
        <v>-0.15499999999999875</v>
      </c>
      <c r="AG21" s="16"/>
      <c r="AH21" s="42"/>
      <c r="AI21" s="16">
        <f ca="1">(L21-'Airfoil 1'!$Z$22)/ABS(L21-'Airfoil 1'!$Z$22)</f>
        <v>1</v>
      </c>
      <c r="AJ21" s="16">
        <f ca="1">(L21-'Airfoil 1'!$Z$23)/ABS(L21-'Airfoil 1'!$Z$23)</f>
        <v>1</v>
      </c>
      <c r="AK21" s="16">
        <f ca="1">(L21-'Airfoil 1'!$Z$24)/ABS(L21-'Airfoil 1'!$Z$24)</f>
        <v>1</v>
      </c>
      <c r="AL21" s="16">
        <f ca="1">(L21-'Airfoil 1'!$Z$25)/ABS(L21-'Airfoil 1'!$Z$25)</f>
        <v>1</v>
      </c>
      <c r="AM21" s="16">
        <f ca="1">(L21-'Airfoil 1'!$Z$26)/ABS(L21-'Airfoil 1'!$Z$26)</f>
        <v>1</v>
      </c>
      <c r="AN21" s="16">
        <f ca="1">(L21-'Airfoil 1'!$Z$27)/ABS(L21-'Airfoil 1'!$Z$27)</f>
        <v>1</v>
      </c>
      <c r="AO21" s="16">
        <f ca="1">(L21-'Airfoil 1'!$Z$28)/ABS(L21-'Airfoil 1'!$Z$28)</f>
        <v>1</v>
      </c>
      <c r="AP21" s="16">
        <f ca="1">(L21-'Airfoil 1'!$Z$29)/ABS(L21-'Airfoil 1'!$Z$29)</f>
        <v>-1</v>
      </c>
      <c r="AQ21" s="16">
        <f ca="1">(L21-'Airfoil 1'!$Z$30)/ABS(L21-'Airfoil 1'!$Z$30)</f>
        <v>-1</v>
      </c>
      <c r="AR21" s="16">
        <f ca="1">(L21-'Airfoil 1'!$Z$31)/ABS(L21-'Airfoil 1'!$Z$31)</f>
        <v>-1</v>
      </c>
      <c r="AS21" s="16">
        <f ca="1">(L21-'Airfoil 1'!$Z$32)/ABS(L21-'Airfoil 1'!$Z$32)</f>
        <v>-1</v>
      </c>
      <c r="AT21" s="16">
        <f ca="1">(L21-'Airfoil 1'!$Z$33)/ABS(L21-'Airfoil 1'!$Z$33)</f>
        <v>-1</v>
      </c>
      <c r="AU21" s="16">
        <f ca="1">(L21-'Airfoil 1'!$Z$34)/ABS(L21-'Airfoil 1'!$Z$34)</f>
        <v>-1</v>
      </c>
      <c r="AV21" s="16">
        <f ca="1">(L21-'Airfoil 1'!$Z$35)/ABS(L21-'Airfoil 1'!$Z$35)</f>
        <v>-1</v>
      </c>
      <c r="AW21" s="16">
        <f ca="1">(L21-'Airfoil 1'!$Z$36)/ABS(L21-'Airfoil 1'!$Z$36)</f>
        <v>-1</v>
      </c>
      <c r="AX21" s="16">
        <f ca="1">(L21-'Airfoil 1'!$Z$37)/ABS(L21-'Airfoil 1'!$Z$37)</f>
        <v>-1</v>
      </c>
      <c r="AY21" s="16">
        <f ca="1">(L21-'Airfoil 1'!$Z$38)/ABS(L21-'Airfoil 1'!$Z$38)</f>
        <v>-1</v>
      </c>
      <c r="AZ21" s="16">
        <f ca="1">(L21-'Airfoil 1'!$Z$39)/ABS(L21-'Airfoil 1'!$Z$39)</f>
        <v>-1</v>
      </c>
      <c r="BA21" s="16">
        <f ca="1">(L21-'Airfoil 1'!$Z$40)/ABS(L21-'Airfoil 1'!$Z$40)</f>
        <v>-1</v>
      </c>
      <c r="BB21" s="16">
        <f ca="1">(L21-'Airfoil 1'!$Z$41)/ABS(L21-'Airfoil 1'!$Z$41)</f>
        <v>-1</v>
      </c>
      <c r="BC21" s="5">
        <f ca="1">MAX(1,MATCH(-1,AI21:BB21,0)-1)</f>
        <v>7</v>
      </c>
      <c r="BD21" s="42">
        <f ca="1">INDEX('Airfoil 1'!$AA$22:$AA$41,BC21,1)+INDEX('Airfoil 1'!$AB$22:$AB$41,BC21,1)*(L21-INDEX('Airfoil 1'!$Z$22:$Z$41,BC21,1))</f>
        <v>2.4489313868613138E-2</v>
      </c>
      <c r="BE21" s="6"/>
      <c r="BF21" s="16">
        <f ca="1">(L21-'Airfoil 1'!$Z$47)/ABS(L21-'Airfoil 1'!$Z$47)</f>
        <v>1</v>
      </c>
      <c r="BG21" s="16">
        <f ca="1">(L21-'Airfoil 1'!$Z$48)/ABS(L21-'Airfoil 1'!$Z$48)</f>
        <v>1</v>
      </c>
      <c r="BH21" s="16">
        <f ca="1">(L21-'Airfoil 1'!$Z$49)/ABS(L21-'Airfoil 1'!$Z$49)</f>
        <v>1</v>
      </c>
      <c r="BI21" s="16">
        <f ca="1">(L21-'Airfoil 1'!$Z$50)/ABS(L21-'Airfoil 1'!$Z$50)</f>
        <v>1</v>
      </c>
      <c r="BJ21" s="16">
        <f ca="1">(L21-'Airfoil 1'!$Z$51)/ABS(L21-'Airfoil 1'!$Z$51)</f>
        <v>1</v>
      </c>
      <c r="BK21" s="16">
        <f ca="1">(L21-'Airfoil 1'!$Z$52)/ABS(L21-'Airfoil 1'!$Z$52)</f>
        <v>1</v>
      </c>
      <c r="BL21" s="16">
        <f ca="1">(L21-'Airfoil 1'!$Z$53)/ABS(L21-'Airfoil 1'!$Z$53)</f>
        <v>-1</v>
      </c>
      <c r="BM21" s="16">
        <f ca="1">(L21-'Airfoil 1'!$Z$54)/ABS(L21-'Airfoil 1'!$Z$54)</f>
        <v>-1</v>
      </c>
      <c r="BN21" s="16">
        <f ca="1">(L21-'Airfoil 1'!$Z$55)/ABS(L21-'Airfoil 1'!$Z$55)</f>
        <v>-1</v>
      </c>
      <c r="BO21" s="16">
        <f ca="1">(L21-'Airfoil 1'!$Z$56)/ABS(L21-'Airfoil 1'!$Z$56)</f>
        <v>-1</v>
      </c>
      <c r="BP21" s="16">
        <f ca="1">(L21-'Airfoil 1'!$Z$57)/ABS(L21-'Airfoil 1'!$Z$57)</f>
        <v>-1</v>
      </c>
      <c r="BQ21" s="16">
        <f ca="1">(L21-'Airfoil 1'!$Z$58)/ABS(L21-'Airfoil 1'!$Z$58)</f>
        <v>-1</v>
      </c>
      <c r="BR21" s="16">
        <f ca="1">(L21-'Airfoil 1'!$Z$59)/ABS(L21-'Airfoil 1'!$Z$59)</f>
        <v>-1</v>
      </c>
      <c r="BS21" s="16">
        <f ca="1">(L21-'Airfoil 1'!$Z$60)/ABS(L21-'Airfoil 1'!$Z$60)</f>
        <v>-1</v>
      </c>
      <c r="BT21" s="16">
        <f ca="1">(L21-'Airfoil 1'!$Z$61)/ABS(L21-'Airfoil 1'!$Z$61)</f>
        <v>-1</v>
      </c>
      <c r="BU21" s="16">
        <f ca="1">(L21-'Airfoil 1'!$Z$62)/ABS(L21-'Airfoil 1'!$Z$62)</f>
        <v>-1</v>
      </c>
      <c r="BV21" s="16">
        <f ca="1">(L21-'Airfoil 1'!$Z$63)/ABS(L21-'Airfoil 1'!$Z$63)</f>
        <v>-1</v>
      </c>
      <c r="BW21" s="16">
        <f ca="1">(L21-'Airfoil 1'!$Z$64)/ABS(L21-'Airfoil 1'!$Z$64)</f>
        <v>-1</v>
      </c>
      <c r="BX21" s="16">
        <f ca="1">(L21-'Airfoil 1'!$Z$65)/ABS(L21-'Airfoil 1'!$Z$65)</f>
        <v>-1</v>
      </c>
      <c r="BY21" s="16">
        <f ca="1">(L21-'Airfoil 1'!$Z$66)/ABS(L21-'Airfoil 1'!$Z$66)</f>
        <v>-1</v>
      </c>
      <c r="BZ21" s="5">
        <f ca="1">MAX(1,MATCH(-1,BF21:BY21,0)-1)</f>
        <v>6</v>
      </c>
      <c r="CA21" s="42">
        <f ca="1">INDEX('Airfoil 1'!$AA$47:$AA$66,BZ21,1)+INDEX('Airfoil 1'!$AB$47:$AB$66,BZ21,1)*(L21-INDEX('Airfoil 1'!$Z$47:$Z$66,BZ21,1))</f>
        <v>1.7370857855361597E-2</v>
      </c>
      <c r="CC21" s="16">
        <f ca="1">(L21-'Airfoil 1'!$Z$72)/ABS(L21-'Airfoil 1'!$Z$72)</f>
        <v>1</v>
      </c>
      <c r="CD21" s="16">
        <f ca="1">(L21-'Airfoil 1'!$Z$73)/ABS(L21-'Airfoil 1'!$Z$73)</f>
        <v>1</v>
      </c>
      <c r="CE21" s="16">
        <f ca="1">(L21-'Airfoil 1'!$Z$74)/ABS(L21-'Airfoil 1'!$Z$74)</f>
        <v>1</v>
      </c>
      <c r="CF21" s="16">
        <f ca="1">(L21-'Airfoil 1'!$Z$75)/ABS(L21-'Airfoil 1'!$Z$75)</f>
        <v>1</v>
      </c>
      <c r="CG21" s="16">
        <f ca="1">(L21-'Airfoil 1'!$Z$76)/ABS(L21-'Airfoil 1'!$Z$76)</f>
        <v>-1</v>
      </c>
      <c r="CH21" s="16">
        <f ca="1">(L21-'Airfoil 1'!$Z$77)/ABS(L21-'Airfoil 1'!$Z$77)</f>
        <v>-1</v>
      </c>
      <c r="CI21" s="16">
        <f ca="1">(L21-'Airfoil 1'!$Z$78)/ABS(L21-'Airfoil 1'!$Z$78)</f>
        <v>-1</v>
      </c>
      <c r="CJ21" s="16">
        <f ca="1">(L21-'Airfoil 1'!$Z$79)/ABS(L21-'Airfoil 1'!$Z$79)</f>
        <v>-1</v>
      </c>
      <c r="CK21" s="16">
        <f ca="1">(L21-'Airfoil 1'!$Z$80)/ABS(L21-'Airfoil 1'!$Z$80)</f>
        <v>-1</v>
      </c>
      <c r="CL21" s="16">
        <f ca="1">(L21-'Airfoil 1'!$Z$81)/ABS(L21-'Airfoil 1'!$Z$81)</f>
        <v>-1</v>
      </c>
      <c r="CM21" s="16">
        <f ca="1">(L21-'Airfoil 1'!$Z$82)/ABS(L21-'Airfoil 1'!$Z$82)</f>
        <v>-1</v>
      </c>
      <c r="CN21" s="16">
        <f ca="1">(L21-'Airfoil 1'!$Z$83)/ABS(L21-'Airfoil 1'!$Z$83)</f>
        <v>-1</v>
      </c>
      <c r="CO21" s="16">
        <f ca="1">(L21-'Airfoil 1'!$Z$84)/ABS(L21-'Airfoil 1'!$Z$84)</f>
        <v>-1</v>
      </c>
      <c r="CP21" s="16">
        <f ca="1">(L21-'Airfoil 1'!$Z$85)/ABS(L21-'Airfoil 1'!$Z$85)</f>
        <v>-1</v>
      </c>
      <c r="CQ21" s="16">
        <f ca="1">(L21-'Airfoil 1'!$Z$86)/ABS(L21-'Airfoil 1'!$Z$86)</f>
        <v>-1</v>
      </c>
      <c r="CR21" s="16">
        <f ca="1">(L21-'Airfoil 1'!$Z$87)/ABS(L21-'Airfoil 1'!$Z$87)</f>
        <v>-1</v>
      </c>
      <c r="CS21" s="16">
        <f ca="1">(L21-'Airfoil 1'!$Z$88)/ABS(L21-'Airfoil 1'!$Z$88)</f>
        <v>-1</v>
      </c>
      <c r="CT21" s="16">
        <f ca="1">(L21-'Airfoil 1'!$Z$89)/ABS(L21-'Airfoil 1'!$Z$89)</f>
        <v>-1</v>
      </c>
      <c r="CU21" s="16">
        <f ca="1">(L21-'Airfoil 1'!$Z$90)/ABS(L21-'Airfoil 1'!$Z$90)</f>
        <v>-1</v>
      </c>
      <c r="CV21" s="16">
        <f ca="1">(L21-'Airfoil 1'!$Z$91)/ABS(L21-'Airfoil 1'!$Z$91)</f>
        <v>-1</v>
      </c>
      <c r="CW21" s="5">
        <f ca="1">MAX(1,MATCH(-1,CC21:CV21,0)-1)</f>
        <v>4</v>
      </c>
      <c r="CX21" s="42">
        <f ca="1">INDEX('Airfoil 1'!$AA$72:$AA$91,CW21,1)+INDEX('Airfoil 1'!$AB$72:$AB$91,CW21,1)*(L21-INDEX('Airfoil 1'!$Z$72:$Z$91,CW21,1))</f>
        <v>1.1110331491712706E-2</v>
      </c>
    </row>
    <row r="22" spans="2:102">
      <c r="B22" s="31">
        <f>Main!B22</f>
        <v>0.33333333333333326</v>
      </c>
      <c r="D22" s="1">
        <f>'RC'!F22</f>
        <v>0.65969672852566186</v>
      </c>
      <c r="E22" s="4">
        <f>ISA!$R$10</f>
        <v>1.5987591530356481E-5</v>
      </c>
      <c r="G22" s="13">
        <f ca="1">'RC'!X22</f>
        <v>29.421519599178584</v>
      </c>
      <c r="H22" s="5">
        <f t="shared" ca="1" si="0"/>
        <v>404673.84118861449</v>
      </c>
      <c r="I22" s="16">
        <f ca="1">'Airfoil 2'!$K$14*H22^'Airfoil 2'!$L$13</f>
        <v>1.5860880524618259</v>
      </c>
      <c r="J22" s="1">
        <f ca="1">'Airfoil 2'!$K$33*H22^'Airfoil 2'!$L$32</f>
        <v>4.7936617965010377</v>
      </c>
      <c r="K22" s="13">
        <f ca="1">'Airfoil 2'!$K$52*H22^'Airfoil 2'!$L$51</f>
        <v>-10.101512127324884</v>
      </c>
      <c r="L22" s="16">
        <f ca="1">'Aerodynamics-RC'!W22</f>
        <v>0.9</v>
      </c>
      <c r="M22" s="10">
        <f ca="1">('Airfoil 1'!$B$21+'Airfoil 1'!$B$22*L22+'Airfoil 1'!$B$23*L22^2+'Airfoil 1'!$B$24*L22^3+'Airfoil 1'!$B$25*L22^4+'Airfoil 1'!$B$26*L22^5+'Airfoil 1'!$B$27*L22^6)*0+BD22</f>
        <v>2.4489313868613138E-2</v>
      </c>
      <c r="N22" s="42">
        <f ca="1">('Airfoil 1'!$B$29+'Airfoil 1'!$B$30*L22+'Airfoil 1'!$B$31*L22^2+'Airfoil 1'!$B$32*L22^3+'Airfoil 1'!$B$33*L22^4+'Airfoil 1'!$B$34*L22^5+'Airfoil 1'!$B$35*L22^6)*0+CA22</f>
        <v>1.7370857855361597E-2</v>
      </c>
      <c r="O22" s="42">
        <f ca="1">('Airfoil 1'!$B$37+'Airfoil 1'!$B$38*L22+'Airfoil 1'!$B$39*L22^2+'Airfoil 1'!$B$40*L22^3+'Airfoil 1'!$B$41*L22^4+'Airfoil 1'!$B$42*L22^5+'Airfoil 1'!$B$43*L22^6)*0+CX22</f>
        <v>1.1110331491712706E-2</v>
      </c>
      <c r="P22" s="16">
        <f>LOG('Airfoil 1'!$F$10)+LOG('Airfoil 1'!$G$10)+LOG('Airfoil 1'!$H$10)</f>
        <v>15.176091259055681</v>
      </c>
      <c r="Q22" s="16">
        <f t="shared" ca="1" si="1"/>
        <v>-5.3254750991929125</v>
      </c>
      <c r="R22" s="16">
        <f>LOG('Airfoil 1'!$F$10)^2+LOG('Airfoil 1'!$G$10)^2+LOG('Airfoil 1'!$H$10)^2</f>
        <v>76.867141336751558</v>
      </c>
      <c r="S22" s="16">
        <f ca="1">LOG('Airfoil 1'!$F$10)*LOG(M22)+LOG('Airfoil 1'!$G$10)*LOG(N22)+LOG('Airfoil 1'!$H$10)*LOG(O22)</f>
        <v>-27.014391057528009</v>
      </c>
      <c r="T22" s="16">
        <f t="shared" ca="1" si="2"/>
        <v>141.60346469083578</v>
      </c>
      <c r="U22" s="16">
        <f t="shared" ca="1" si="3"/>
        <v>-0.77613507568957385</v>
      </c>
      <c r="V22" s="42">
        <f ca="1">IF(Energy!$F$11=1,Energy!$T$13,1)*T22*H22^U22</f>
        <v>6.9435491164810993E-3</v>
      </c>
      <c r="W22" s="10">
        <f ca="1">'Airfoil 1'!$B$48+'Airfoil 1'!$B$49*L22+'Airfoil 1'!$B$50*L22^2+'Airfoil 1'!$B$51*L22^3+'Airfoil 1'!$B$52*L22^4+'Airfoil 1'!$B$53*L22^5+'Airfoil 1'!$B$54*L22^6</f>
        <v>-0.155</v>
      </c>
      <c r="X22" s="42">
        <f ca="1">'Airfoil 1'!$B$56+'Airfoil 1'!$B$57*L22+'Airfoil 1'!$B$58*L22^2+'Airfoil 1'!$B$59*L22^3+'Airfoil 1'!$B$60*L22^4+'Airfoil 1'!$B$61*L22^5+'Airfoil 1'!$B$62*L22^6</f>
        <v>-0.155</v>
      </c>
      <c r="Y22" s="42">
        <f ca="1">'Airfoil 1'!$B$64+'Airfoil 1'!$B$65*L22+'Airfoil 1'!$B$66*L22^2+'Airfoil 1'!$B$67*L22^3+'Airfoil 1'!$B$681*L22^4+'Airfoil 1'!$B$69*L22^5+'Airfoil 1'!$B$70*L22^6</f>
        <v>-0.155</v>
      </c>
      <c r="Z22" s="16">
        <f>LOG('Airfoil 1'!$F$10)+LOG('Airfoil 1'!$G$10)+LOG('Airfoil 1'!$H$10)</f>
        <v>15.176091259055681</v>
      </c>
      <c r="AA22" s="16">
        <f t="shared" ca="1" si="4"/>
        <v>-2.4290049054891254</v>
      </c>
      <c r="AB22" s="16">
        <f>LOG('Airfoil 1'!$F$10)^2+LOG('Airfoil 1'!$G$10)^2+LOG('Airfoil 1'!$H$10)^2</f>
        <v>76.867141336751558</v>
      </c>
      <c r="AC22" s="16">
        <f ca="1">LOG('Airfoil 1'!$F$10)*LOG(ABS(W22))+LOG('Airfoil 1'!$G$10)*LOG(ABS(X22))+LOG('Airfoil 1'!$H$10)*LOG(ABS(Y22))</f>
        <v>-12.287600038132297</v>
      </c>
      <c r="AD22" s="16">
        <f t="shared" ca="1" si="5"/>
        <v>0.1550000000000121</v>
      </c>
      <c r="AE22" s="16">
        <f t="shared" ca="1" si="6"/>
        <v>-6.6718325633022456E-15</v>
      </c>
      <c r="AF22" s="42">
        <f t="shared" ca="1" si="7"/>
        <v>-0.15499999999999875</v>
      </c>
      <c r="AG22" s="16"/>
      <c r="AH22" s="42"/>
      <c r="AI22" s="16">
        <f ca="1">(L22-'Airfoil 1'!$Z$22)/ABS(L22-'Airfoil 1'!$Z$22)</f>
        <v>1</v>
      </c>
      <c r="AJ22" s="16">
        <f ca="1">(L22-'Airfoil 1'!$Z$23)/ABS(L22-'Airfoil 1'!$Z$23)</f>
        <v>1</v>
      </c>
      <c r="AK22" s="16">
        <f ca="1">(L22-'Airfoil 1'!$Z$24)/ABS(L22-'Airfoil 1'!$Z$24)</f>
        <v>1</v>
      </c>
      <c r="AL22" s="16">
        <f ca="1">(L22-'Airfoil 1'!$Z$25)/ABS(L22-'Airfoil 1'!$Z$25)</f>
        <v>1</v>
      </c>
      <c r="AM22" s="16">
        <f ca="1">(L22-'Airfoil 1'!$Z$26)/ABS(L22-'Airfoil 1'!$Z$26)</f>
        <v>1</v>
      </c>
      <c r="AN22" s="16">
        <f ca="1">(L22-'Airfoil 1'!$Z$27)/ABS(L22-'Airfoil 1'!$Z$27)</f>
        <v>1</v>
      </c>
      <c r="AO22" s="16">
        <f ca="1">(L22-'Airfoil 1'!$Z$28)/ABS(L22-'Airfoil 1'!$Z$28)</f>
        <v>1</v>
      </c>
      <c r="AP22" s="16">
        <f ca="1">(L22-'Airfoil 1'!$Z$29)/ABS(L22-'Airfoil 1'!$Z$29)</f>
        <v>-1</v>
      </c>
      <c r="AQ22" s="16">
        <f ca="1">(L22-'Airfoil 1'!$Z$30)/ABS(L22-'Airfoil 1'!$Z$30)</f>
        <v>-1</v>
      </c>
      <c r="AR22" s="16">
        <f ca="1">(L22-'Airfoil 1'!$Z$31)/ABS(L22-'Airfoil 1'!$Z$31)</f>
        <v>-1</v>
      </c>
      <c r="AS22" s="16">
        <f ca="1">(L22-'Airfoil 1'!$Z$32)/ABS(L22-'Airfoil 1'!$Z$32)</f>
        <v>-1</v>
      </c>
      <c r="AT22" s="16">
        <f ca="1">(L22-'Airfoil 1'!$Z$33)/ABS(L22-'Airfoil 1'!$Z$33)</f>
        <v>-1</v>
      </c>
      <c r="AU22" s="16">
        <f ca="1">(L22-'Airfoil 1'!$Z$34)/ABS(L22-'Airfoil 1'!$Z$34)</f>
        <v>-1</v>
      </c>
      <c r="AV22" s="16">
        <f ca="1">(L22-'Airfoil 1'!$Z$35)/ABS(L22-'Airfoil 1'!$Z$35)</f>
        <v>-1</v>
      </c>
      <c r="AW22" s="16">
        <f ca="1">(L22-'Airfoil 1'!$Z$36)/ABS(L22-'Airfoil 1'!$Z$36)</f>
        <v>-1</v>
      </c>
      <c r="AX22" s="16">
        <f ca="1">(L22-'Airfoil 1'!$Z$37)/ABS(L22-'Airfoil 1'!$Z$37)</f>
        <v>-1</v>
      </c>
      <c r="AY22" s="16">
        <f ca="1">(L22-'Airfoil 1'!$Z$38)/ABS(L22-'Airfoil 1'!$Z$38)</f>
        <v>-1</v>
      </c>
      <c r="AZ22" s="16">
        <f ca="1">(L22-'Airfoil 1'!$Z$39)/ABS(L22-'Airfoil 1'!$Z$39)</f>
        <v>-1</v>
      </c>
      <c r="BA22" s="16">
        <f ca="1">(L22-'Airfoil 1'!$Z$40)/ABS(L22-'Airfoil 1'!$Z$40)</f>
        <v>-1</v>
      </c>
      <c r="BB22" s="16">
        <f ca="1">(L22-'Airfoil 1'!$Z$41)/ABS(L22-'Airfoil 1'!$Z$41)</f>
        <v>-1</v>
      </c>
      <c r="BC22" s="5">
        <f t="shared" ref="BC22:BC40" ca="1" si="8">MAX(1,MATCH(-1,AI22:BB22,0)-1)</f>
        <v>7</v>
      </c>
      <c r="BD22" s="42">
        <f ca="1">INDEX('Airfoil 1'!$AA$22:$AA$41,BC22,1)+INDEX('Airfoil 1'!$AB$22:$AB$41,BC22,1)*(L22-INDEX('Airfoil 1'!$Z$22:$Z$41,BC22,1))</f>
        <v>2.4489313868613138E-2</v>
      </c>
      <c r="BE22" s="6"/>
      <c r="BF22" s="16">
        <f ca="1">(L22-'Airfoil 1'!$Z$47)/ABS(L22-'Airfoil 1'!$Z$47)</f>
        <v>1</v>
      </c>
      <c r="BG22" s="16">
        <f ca="1">(L22-'Airfoil 1'!$Z$48)/ABS(L22-'Airfoil 1'!$Z$48)</f>
        <v>1</v>
      </c>
      <c r="BH22" s="16">
        <f ca="1">(L22-'Airfoil 1'!$Z$49)/ABS(L22-'Airfoil 1'!$Z$49)</f>
        <v>1</v>
      </c>
      <c r="BI22" s="16">
        <f ca="1">(L22-'Airfoil 1'!$Z$50)/ABS(L22-'Airfoil 1'!$Z$50)</f>
        <v>1</v>
      </c>
      <c r="BJ22" s="16">
        <f ca="1">(L22-'Airfoil 1'!$Z$51)/ABS(L22-'Airfoil 1'!$Z$51)</f>
        <v>1</v>
      </c>
      <c r="BK22" s="16">
        <f ca="1">(L22-'Airfoil 1'!$Z$52)/ABS(L22-'Airfoil 1'!$Z$52)</f>
        <v>1</v>
      </c>
      <c r="BL22" s="16">
        <f ca="1">(L22-'Airfoil 1'!$Z$53)/ABS(L22-'Airfoil 1'!$Z$53)</f>
        <v>-1</v>
      </c>
      <c r="BM22" s="16">
        <f ca="1">(L22-'Airfoil 1'!$Z$54)/ABS(L22-'Airfoil 1'!$Z$54)</f>
        <v>-1</v>
      </c>
      <c r="BN22" s="16">
        <f ca="1">(L22-'Airfoil 1'!$Z$55)/ABS(L22-'Airfoil 1'!$Z$55)</f>
        <v>-1</v>
      </c>
      <c r="BO22" s="16">
        <f ca="1">(L22-'Airfoil 1'!$Z$56)/ABS(L22-'Airfoil 1'!$Z$56)</f>
        <v>-1</v>
      </c>
      <c r="BP22" s="16">
        <f ca="1">(L22-'Airfoil 1'!$Z$57)/ABS(L22-'Airfoil 1'!$Z$57)</f>
        <v>-1</v>
      </c>
      <c r="BQ22" s="16">
        <f ca="1">(L22-'Airfoil 1'!$Z$58)/ABS(L22-'Airfoil 1'!$Z$58)</f>
        <v>-1</v>
      </c>
      <c r="BR22" s="16">
        <f ca="1">(L22-'Airfoil 1'!$Z$59)/ABS(L22-'Airfoil 1'!$Z$59)</f>
        <v>-1</v>
      </c>
      <c r="BS22" s="16">
        <f ca="1">(L22-'Airfoil 1'!$Z$60)/ABS(L22-'Airfoil 1'!$Z$60)</f>
        <v>-1</v>
      </c>
      <c r="BT22" s="16">
        <f ca="1">(L22-'Airfoil 1'!$Z$61)/ABS(L22-'Airfoil 1'!$Z$61)</f>
        <v>-1</v>
      </c>
      <c r="BU22" s="16">
        <f ca="1">(L22-'Airfoil 1'!$Z$62)/ABS(L22-'Airfoil 1'!$Z$62)</f>
        <v>-1</v>
      </c>
      <c r="BV22" s="16">
        <f ca="1">(L22-'Airfoil 1'!$Z$63)/ABS(L22-'Airfoil 1'!$Z$63)</f>
        <v>-1</v>
      </c>
      <c r="BW22" s="16">
        <f ca="1">(L22-'Airfoil 1'!$Z$64)/ABS(L22-'Airfoil 1'!$Z$64)</f>
        <v>-1</v>
      </c>
      <c r="BX22" s="16">
        <f ca="1">(L22-'Airfoil 1'!$Z$65)/ABS(L22-'Airfoil 1'!$Z$65)</f>
        <v>-1</v>
      </c>
      <c r="BY22" s="16">
        <f ca="1">(L22-'Airfoil 1'!$Z$66)/ABS(L22-'Airfoil 1'!$Z$66)</f>
        <v>-1</v>
      </c>
      <c r="BZ22" s="5">
        <f t="shared" ref="BZ22:BZ40" ca="1" si="9">MAX(1,MATCH(-1,BF22:BY22,0)-1)</f>
        <v>6</v>
      </c>
      <c r="CA22" s="42">
        <f ca="1">INDEX('Airfoil 1'!$AA$47:$AA$66,BZ22,1)+INDEX('Airfoil 1'!$AB$47:$AB$66,BZ22,1)*(L22-INDEX('Airfoil 1'!$Z$47:$Z$66,BZ22,1))</f>
        <v>1.7370857855361597E-2</v>
      </c>
      <c r="CC22" s="16">
        <f ca="1">(L22-'Airfoil 1'!$Z$72)/ABS(L22-'Airfoil 1'!$Z$72)</f>
        <v>1</v>
      </c>
      <c r="CD22" s="16">
        <f ca="1">(L22-'Airfoil 1'!$Z$73)/ABS(L22-'Airfoil 1'!$Z$73)</f>
        <v>1</v>
      </c>
      <c r="CE22" s="16">
        <f ca="1">(L22-'Airfoil 1'!$Z$74)/ABS(L22-'Airfoil 1'!$Z$74)</f>
        <v>1</v>
      </c>
      <c r="CF22" s="16">
        <f ca="1">(L22-'Airfoil 1'!$Z$75)/ABS(L22-'Airfoil 1'!$Z$75)</f>
        <v>1</v>
      </c>
      <c r="CG22" s="16">
        <f ca="1">(L22-'Airfoil 1'!$Z$76)/ABS(L22-'Airfoil 1'!$Z$76)</f>
        <v>-1</v>
      </c>
      <c r="CH22" s="16">
        <f ca="1">(L22-'Airfoil 1'!$Z$77)/ABS(L22-'Airfoil 1'!$Z$77)</f>
        <v>-1</v>
      </c>
      <c r="CI22" s="16">
        <f ca="1">(L22-'Airfoil 1'!$Z$78)/ABS(L22-'Airfoil 1'!$Z$78)</f>
        <v>-1</v>
      </c>
      <c r="CJ22" s="16">
        <f ca="1">(L22-'Airfoil 1'!$Z$79)/ABS(L22-'Airfoil 1'!$Z$79)</f>
        <v>-1</v>
      </c>
      <c r="CK22" s="16">
        <f ca="1">(L22-'Airfoil 1'!$Z$80)/ABS(L22-'Airfoil 1'!$Z$80)</f>
        <v>-1</v>
      </c>
      <c r="CL22" s="16">
        <f ca="1">(L22-'Airfoil 1'!$Z$81)/ABS(L22-'Airfoil 1'!$Z$81)</f>
        <v>-1</v>
      </c>
      <c r="CM22" s="16">
        <f ca="1">(L22-'Airfoil 1'!$Z$82)/ABS(L22-'Airfoil 1'!$Z$82)</f>
        <v>-1</v>
      </c>
      <c r="CN22" s="16">
        <f ca="1">(L22-'Airfoil 1'!$Z$83)/ABS(L22-'Airfoil 1'!$Z$83)</f>
        <v>-1</v>
      </c>
      <c r="CO22" s="16">
        <f ca="1">(L22-'Airfoil 1'!$Z$84)/ABS(L22-'Airfoil 1'!$Z$84)</f>
        <v>-1</v>
      </c>
      <c r="CP22" s="16">
        <f ca="1">(L22-'Airfoil 1'!$Z$85)/ABS(L22-'Airfoil 1'!$Z$85)</f>
        <v>-1</v>
      </c>
      <c r="CQ22" s="16">
        <f ca="1">(L22-'Airfoil 1'!$Z$86)/ABS(L22-'Airfoil 1'!$Z$86)</f>
        <v>-1</v>
      </c>
      <c r="CR22" s="16">
        <f ca="1">(L22-'Airfoil 1'!$Z$87)/ABS(L22-'Airfoil 1'!$Z$87)</f>
        <v>-1</v>
      </c>
      <c r="CS22" s="16">
        <f ca="1">(L22-'Airfoil 1'!$Z$88)/ABS(L22-'Airfoil 1'!$Z$88)</f>
        <v>-1</v>
      </c>
      <c r="CT22" s="16">
        <f ca="1">(L22-'Airfoil 1'!$Z$89)/ABS(L22-'Airfoil 1'!$Z$89)</f>
        <v>-1</v>
      </c>
      <c r="CU22" s="16">
        <f ca="1">(L22-'Airfoil 1'!$Z$90)/ABS(L22-'Airfoil 1'!$Z$90)</f>
        <v>-1</v>
      </c>
      <c r="CV22" s="16">
        <f ca="1">(L22-'Airfoil 1'!$Z$91)/ABS(L22-'Airfoil 1'!$Z$91)</f>
        <v>-1</v>
      </c>
      <c r="CW22" s="5">
        <f t="shared" ref="CW22:CW40" ca="1" si="10">MAX(1,MATCH(-1,CC22:CV22,0)-1)</f>
        <v>4</v>
      </c>
      <c r="CX22" s="42">
        <f ca="1">INDEX('Airfoil 1'!$AA$72:$AA$91,CW22,1)+INDEX('Airfoil 1'!$AB$72:$AB$91,CW22,1)*(L22-INDEX('Airfoil 1'!$Z$72:$Z$91,CW22,1))</f>
        <v>1.1110331491712706E-2</v>
      </c>
    </row>
    <row r="23" spans="2:102">
      <c r="B23" s="31">
        <f>Main!B23</f>
        <v>0.33333333333333326</v>
      </c>
      <c r="D23" s="1">
        <f>'RC'!F23</f>
        <v>0.65969672852566186</v>
      </c>
      <c r="E23" s="4">
        <f>ISA!$R$10</f>
        <v>1.5987591530356481E-5</v>
      </c>
      <c r="G23" s="13">
        <f ca="1">'RC'!X23</f>
        <v>28.954278467487942</v>
      </c>
      <c r="H23" s="5">
        <f t="shared" ca="1" si="0"/>
        <v>398247.243715116</v>
      </c>
      <c r="I23" s="16">
        <f ca="1">'Airfoil 2'!$K$14*H23^'Airfoil 2'!$L$13</f>
        <v>1.5857351263948978</v>
      </c>
      <c r="J23" s="1">
        <f ca="1">'Airfoil 2'!$K$33*H23^'Airfoil 2'!$L$32</f>
        <v>4.81954211163435</v>
      </c>
      <c r="K23" s="13">
        <f ca="1">'Airfoil 2'!$K$52*H23^'Airfoil 2'!$L$51</f>
        <v>-9.9939460525402843</v>
      </c>
      <c r="L23" s="16">
        <f ca="1">'Aerodynamics-RC'!W23</f>
        <v>0.9</v>
      </c>
      <c r="M23" s="10">
        <f ca="1">('Airfoil 1'!$B$21+'Airfoil 1'!$B$22*L23+'Airfoil 1'!$B$23*L23^2+'Airfoil 1'!$B$24*L23^3+'Airfoil 1'!$B$25*L23^4+'Airfoil 1'!$B$26*L23^5+'Airfoil 1'!$B$27*L23^6)*0+BD23</f>
        <v>2.4489313868613138E-2</v>
      </c>
      <c r="N23" s="42">
        <f ca="1">('Airfoil 1'!$B$29+'Airfoil 1'!$B$30*L23+'Airfoil 1'!$B$31*L23^2+'Airfoil 1'!$B$32*L23^3+'Airfoil 1'!$B$33*L23^4+'Airfoil 1'!$B$34*L23^5+'Airfoil 1'!$B$35*L23^6)*0+CA23</f>
        <v>1.7370857855361597E-2</v>
      </c>
      <c r="O23" s="42">
        <f ca="1">('Airfoil 1'!$B$37+'Airfoil 1'!$B$38*L23+'Airfoil 1'!$B$39*L23^2+'Airfoil 1'!$B$40*L23^3+'Airfoil 1'!$B$41*L23^4+'Airfoil 1'!$B$42*L23^5+'Airfoil 1'!$B$43*L23^6)*0+CX23</f>
        <v>1.1110331491712706E-2</v>
      </c>
      <c r="P23" s="16">
        <f>LOG('Airfoil 1'!$F$10)+LOG('Airfoil 1'!$G$10)+LOG('Airfoil 1'!$H$10)</f>
        <v>15.176091259055681</v>
      </c>
      <c r="Q23" s="16">
        <f t="shared" ca="1" si="1"/>
        <v>-5.3254750991929125</v>
      </c>
      <c r="R23" s="16">
        <f>LOG('Airfoil 1'!$F$10)^2+LOG('Airfoil 1'!$G$10)^2+LOG('Airfoil 1'!$H$10)^2</f>
        <v>76.867141336751558</v>
      </c>
      <c r="S23" s="16">
        <f ca="1">LOG('Airfoil 1'!$F$10)*LOG(M23)+LOG('Airfoil 1'!$G$10)*LOG(N23)+LOG('Airfoil 1'!$H$10)*LOG(O23)</f>
        <v>-27.014391057528009</v>
      </c>
      <c r="T23" s="16">
        <f t="shared" ca="1" si="2"/>
        <v>141.60346469083578</v>
      </c>
      <c r="U23" s="16">
        <f t="shared" ca="1" si="3"/>
        <v>-0.77613507568957385</v>
      </c>
      <c r="V23" s="42">
        <f ca="1">IF(Energy!$F$11=1,Energy!$T$13,1)*T23*H23^U23</f>
        <v>7.0303585865665293E-3</v>
      </c>
      <c r="W23" s="10">
        <f ca="1">'Airfoil 1'!$B$48+'Airfoil 1'!$B$49*L23+'Airfoil 1'!$B$50*L23^2+'Airfoil 1'!$B$51*L23^3+'Airfoil 1'!$B$52*L23^4+'Airfoil 1'!$B$53*L23^5+'Airfoil 1'!$B$54*L23^6</f>
        <v>-0.155</v>
      </c>
      <c r="X23" s="42">
        <f ca="1">'Airfoil 1'!$B$56+'Airfoil 1'!$B$57*L23+'Airfoil 1'!$B$58*L23^2+'Airfoil 1'!$B$59*L23^3+'Airfoil 1'!$B$60*L23^4+'Airfoil 1'!$B$61*L23^5+'Airfoil 1'!$B$62*L23^6</f>
        <v>-0.155</v>
      </c>
      <c r="Y23" s="42">
        <f ca="1">'Airfoil 1'!$B$64+'Airfoil 1'!$B$65*L23+'Airfoil 1'!$B$66*L23^2+'Airfoil 1'!$B$67*L23^3+'Airfoil 1'!$B$681*L23^4+'Airfoil 1'!$B$69*L23^5+'Airfoil 1'!$B$70*L23^6</f>
        <v>-0.155</v>
      </c>
      <c r="Z23" s="16">
        <f>LOG('Airfoil 1'!$F$10)+LOG('Airfoil 1'!$G$10)+LOG('Airfoil 1'!$H$10)</f>
        <v>15.176091259055681</v>
      </c>
      <c r="AA23" s="16">
        <f t="shared" ca="1" si="4"/>
        <v>-2.4290049054891254</v>
      </c>
      <c r="AB23" s="16">
        <f>LOG('Airfoil 1'!$F$10)^2+LOG('Airfoil 1'!$G$10)^2+LOG('Airfoil 1'!$H$10)^2</f>
        <v>76.867141336751558</v>
      </c>
      <c r="AC23" s="16">
        <f ca="1">LOG('Airfoil 1'!$F$10)*LOG(ABS(W23))+LOG('Airfoil 1'!$G$10)*LOG(ABS(X23))+LOG('Airfoil 1'!$H$10)*LOG(ABS(Y23))</f>
        <v>-12.287600038132297</v>
      </c>
      <c r="AD23" s="16">
        <f t="shared" ca="1" si="5"/>
        <v>0.1550000000000121</v>
      </c>
      <c r="AE23" s="16">
        <f t="shared" ca="1" si="6"/>
        <v>-6.6718325633022456E-15</v>
      </c>
      <c r="AF23" s="42">
        <f t="shared" ca="1" si="7"/>
        <v>-0.15499999999999878</v>
      </c>
      <c r="AG23" s="16"/>
      <c r="AH23" s="42"/>
      <c r="AI23" s="16">
        <f ca="1">(L23-'Airfoil 1'!$Z$22)/ABS(L23-'Airfoil 1'!$Z$22)</f>
        <v>1</v>
      </c>
      <c r="AJ23" s="16">
        <f ca="1">(L23-'Airfoil 1'!$Z$23)/ABS(L23-'Airfoil 1'!$Z$23)</f>
        <v>1</v>
      </c>
      <c r="AK23" s="16">
        <f ca="1">(L23-'Airfoil 1'!$Z$24)/ABS(L23-'Airfoil 1'!$Z$24)</f>
        <v>1</v>
      </c>
      <c r="AL23" s="16">
        <f ca="1">(L23-'Airfoil 1'!$Z$25)/ABS(L23-'Airfoil 1'!$Z$25)</f>
        <v>1</v>
      </c>
      <c r="AM23" s="16">
        <f ca="1">(L23-'Airfoil 1'!$Z$26)/ABS(L23-'Airfoil 1'!$Z$26)</f>
        <v>1</v>
      </c>
      <c r="AN23" s="16">
        <f ca="1">(L23-'Airfoil 1'!$Z$27)/ABS(L23-'Airfoil 1'!$Z$27)</f>
        <v>1</v>
      </c>
      <c r="AO23" s="16">
        <f ca="1">(L23-'Airfoil 1'!$Z$28)/ABS(L23-'Airfoil 1'!$Z$28)</f>
        <v>1</v>
      </c>
      <c r="AP23" s="16">
        <f ca="1">(L23-'Airfoil 1'!$Z$29)/ABS(L23-'Airfoil 1'!$Z$29)</f>
        <v>-1</v>
      </c>
      <c r="AQ23" s="16">
        <f ca="1">(L23-'Airfoil 1'!$Z$30)/ABS(L23-'Airfoil 1'!$Z$30)</f>
        <v>-1</v>
      </c>
      <c r="AR23" s="16">
        <f ca="1">(L23-'Airfoil 1'!$Z$31)/ABS(L23-'Airfoil 1'!$Z$31)</f>
        <v>-1</v>
      </c>
      <c r="AS23" s="16">
        <f ca="1">(L23-'Airfoil 1'!$Z$32)/ABS(L23-'Airfoil 1'!$Z$32)</f>
        <v>-1</v>
      </c>
      <c r="AT23" s="16">
        <f ca="1">(L23-'Airfoil 1'!$Z$33)/ABS(L23-'Airfoil 1'!$Z$33)</f>
        <v>-1</v>
      </c>
      <c r="AU23" s="16">
        <f ca="1">(L23-'Airfoil 1'!$Z$34)/ABS(L23-'Airfoil 1'!$Z$34)</f>
        <v>-1</v>
      </c>
      <c r="AV23" s="16">
        <f ca="1">(L23-'Airfoil 1'!$Z$35)/ABS(L23-'Airfoil 1'!$Z$35)</f>
        <v>-1</v>
      </c>
      <c r="AW23" s="16">
        <f ca="1">(L23-'Airfoil 1'!$Z$36)/ABS(L23-'Airfoil 1'!$Z$36)</f>
        <v>-1</v>
      </c>
      <c r="AX23" s="16">
        <f ca="1">(L23-'Airfoil 1'!$Z$37)/ABS(L23-'Airfoil 1'!$Z$37)</f>
        <v>-1</v>
      </c>
      <c r="AY23" s="16">
        <f ca="1">(L23-'Airfoil 1'!$Z$38)/ABS(L23-'Airfoil 1'!$Z$38)</f>
        <v>-1</v>
      </c>
      <c r="AZ23" s="16">
        <f ca="1">(L23-'Airfoil 1'!$Z$39)/ABS(L23-'Airfoil 1'!$Z$39)</f>
        <v>-1</v>
      </c>
      <c r="BA23" s="16">
        <f ca="1">(L23-'Airfoil 1'!$Z$40)/ABS(L23-'Airfoil 1'!$Z$40)</f>
        <v>-1</v>
      </c>
      <c r="BB23" s="16">
        <f ca="1">(L23-'Airfoil 1'!$Z$41)/ABS(L23-'Airfoil 1'!$Z$41)</f>
        <v>-1</v>
      </c>
      <c r="BC23" s="5">
        <f t="shared" ca="1" si="8"/>
        <v>7</v>
      </c>
      <c r="BD23" s="42">
        <f ca="1">INDEX('Airfoil 1'!$AA$22:$AA$41,BC23,1)+INDEX('Airfoil 1'!$AB$22:$AB$41,BC23,1)*(L23-INDEX('Airfoil 1'!$Z$22:$Z$41,BC23,1))</f>
        <v>2.4489313868613138E-2</v>
      </c>
      <c r="BE23" s="6"/>
      <c r="BF23" s="16">
        <f ca="1">(L23-'Airfoil 1'!$Z$47)/ABS(L23-'Airfoil 1'!$Z$47)</f>
        <v>1</v>
      </c>
      <c r="BG23" s="16">
        <f ca="1">(L23-'Airfoil 1'!$Z$48)/ABS(L23-'Airfoil 1'!$Z$48)</f>
        <v>1</v>
      </c>
      <c r="BH23" s="16">
        <f ca="1">(L23-'Airfoil 1'!$Z$49)/ABS(L23-'Airfoil 1'!$Z$49)</f>
        <v>1</v>
      </c>
      <c r="BI23" s="16">
        <f ca="1">(L23-'Airfoil 1'!$Z$50)/ABS(L23-'Airfoil 1'!$Z$50)</f>
        <v>1</v>
      </c>
      <c r="BJ23" s="16">
        <f ca="1">(L23-'Airfoil 1'!$Z$51)/ABS(L23-'Airfoil 1'!$Z$51)</f>
        <v>1</v>
      </c>
      <c r="BK23" s="16">
        <f ca="1">(L23-'Airfoil 1'!$Z$52)/ABS(L23-'Airfoil 1'!$Z$52)</f>
        <v>1</v>
      </c>
      <c r="BL23" s="16">
        <f ca="1">(L23-'Airfoil 1'!$Z$53)/ABS(L23-'Airfoil 1'!$Z$53)</f>
        <v>-1</v>
      </c>
      <c r="BM23" s="16">
        <f ca="1">(L23-'Airfoil 1'!$Z$54)/ABS(L23-'Airfoil 1'!$Z$54)</f>
        <v>-1</v>
      </c>
      <c r="BN23" s="16">
        <f ca="1">(L23-'Airfoil 1'!$Z$55)/ABS(L23-'Airfoil 1'!$Z$55)</f>
        <v>-1</v>
      </c>
      <c r="BO23" s="16">
        <f ca="1">(L23-'Airfoil 1'!$Z$56)/ABS(L23-'Airfoil 1'!$Z$56)</f>
        <v>-1</v>
      </c>
      <c r="BP23" s="16">
        <f ca="1">(L23-'Airfoil 1'!$Z$57)/ABS(L23-'Airfoil 1'!$Z$57)</f>
        <v>-1</v>
      </c>
      <c r="BQ23" s="16">
        <f ca="1">(L23-'Airfoil 1'!$Z$58)/ABS(L23-'Airfoil 1'!$Z$58)</f>
        <v>-1</v>
      </c>
      <c r="BR23" s="16">
        <f ca="1">(L23-'Airfoil 1'!$Z$59)/ABS(L23-'Airfoil 1'!$Z$59)</f>
        <v>-1</v>
      </c>
      <c r="BS23" s="16">
        <f ca="1">(L23-'Airfoil 1'!$Z$60)/ABS(L23-'Airfoil 1'!$Z$60)</f>
        <v>-1</v>
      </c>
      <c r="BT23" s="16">
        <f ca="1">(L23-'Airfoil 1'!$Z$61)/ABS(L23-'Airfoil 1'!$Z$61)</f>
        <v>-1</v>
      </c>
      <c r="BU23" s="16">
        <f ca="1">(L23-'Airfoil 1'!$Z$62)/ABS(L23-'Airfoil 1'!$Z$62)</f>
        <v>-1</v>
      </c>
      <c r="BV23" s="16">
        <f ca="1">(L23-'Airfoil 1'!$Z$63)/ABS(L23-'Airfoil 1'!$Z$63)</f>
        <v>-1</v>
      </c>
      <c r="BW23" s="16">
        <f ca="1">(L23-'Airfoil 1'!$Z$64)/ABS(L23-'Airfoil 1'!$Z$64)</f>
        <v>-1</v>
      </c>
      <c r="BX23" s="16">
        <f ca="1">(L23-'Airfoil 1'!$Z$65)/ABS(L23-'Airfoil 1'!$Z$65)</f>
        <v>-1</v>
      </c>
      <c r="BY23" s="16">
        <f ca="1">(L23-'Airfoil 1'!$Z$66)/ABS(L23-'Airfoil 1'!$Z$66)</f>
        <v>-1</v>
      </c>
      <c r="BZ23" s="5">
        <f t="shared" ca="1" si="9"/>
        <v>6</v>
      </c>
      <c r="CA23" s="42">
        <f ca="1">INDEX('Airfoil 1'!$AA$47:$AA$66,BZ23,1)+INDEX('Airfoil 1'!$AB$47:$AB$66,BZ23,1)*(L23-INDEX('Airfoil 1'!$Z$47:$Z$66,BZ23,1))</f>
        <v>1.7370857855361597E-2</v>
      </c>
      <c r="CC23" s="16">
        <f ca="1">(L23-'Airfoil 1'!$Z$72)/ABS(L23-'Airfoil 1'!$Z$72)</f>
        <v>1</v>
      </c>
      <c r="CD23" s="16">
        <f ca="1">(L23-'Airfoil 1'!$Z$73)/ABS(L23-'Airfoil 1'!$Z$73)</f>
        <v>1</v>
      </c>
      <c r="CE23" s="16">
        <f ca="1">(L23-'Airfoil 1'!$Z$74)/ABS(L23-'Airfoil 1'!$Z$74)</f>
        <v>1</v>
      </c>
      <c r="CF23" s="16">
        <f ca="1">(L23-'Airfoil 1'!$Z$75)/ABS(L23-'Airfoil 1'!$Z$75)</f>
        <v>1</v>
      </c>
      <c r="CG23" s="16">
        <f ca="1">(L23-'Airfoil 1'!$Z$76)/ABS(L23-'Airfoil 1'!$Z$76)</f>
        <v>-1</v>
      </c>
      <c r="CH23" s="16">
        <f ca="1">(L23-'Airfoil 1'!$Z$77)/ABS(L23-'Airfoil 1'!$Z$77)</f>
        <v>-1</v>
      </c>
      <c r="CI23" s="16">
        <f ca="1">(L23-'Airfoil 1'!$Z$78)/ABS(L23-'Airfoil 1'!$Z$78)</f>
        <v>-1</v>
      </c>
      <c r="CJ23" s="16">
        <f ca="1">(L23-'Airfoil 1'!$Z$79)/ABS(L23-'Airfoil 1'!$Z$79)</f>
        <v>-1</v>
      </c>
      <c r="CK23" s="16">
        <f ca="1">(L23-'Airfoil 1'!$Z$80)/ABS(L23-'Airfoil 1'!$Z$80)</f>
        <v>-1</v>
      </c>
      <c r="CL23" s="16">
        <f ca="1">(L23-'Airfoil 1'!$Z$81)/ABS(L23-'Airfoil 1'!$Z$81)</f>
        <v>-1</v>
      </c>
      <c r="CM23" s="16">
        <f ca="1">(L23-'Airfoil 1'!$Z$82)/ABS(L23-'Airfoil 1'!$Z$82)</f>
        <v>-1</v>
      </c>
      <c r="CN23" s="16">
        <f ca="1">(L23-'Airfoil 1'!$Z$83)/ABS(L23-'Airfoil 1'!$Z$83)</f>
        <v>-1</v>
      </c>
      <c r="CO23" s="16">
        <f ca="1">(L23-'Airfoil 1'!$Z$84)/ABS(L23-'Airfoil 1'!$Z$84)</f>
        <v>-1</v>
      </c>
      <c r="CP23" s="16">
        <f ca="1">(L23-'Airfoil 1'!$Z$85)/ABS(L23-'Airfoil 1'!$Z$85)</f>
        <v>-1</v>
      </c>
      <c r="CQ23" s="16">
        <f ca="1">(L23-'Airfoil 1'!$Z$86)/ABS(L23-'Airfoil 1'!$Z$86)</f>
        <v>-1</v>
      </c>
      <c r="CR23" s="16">
        <f ca="1">(L23-'Airfoil 1'!$Z$87)/ABS(L23-'Airfoil 1'!$Z$87)</f>
        <v>-1</v>
      </c>
      <c r="CS23" s="16">
        <f ca="1">(L23-'Airfoil 1'!$Z$88)/ABS(L23-'Airfoil 1'!$Z$88)</f>
        <v>-1</v>
      </c>
      <c r="CT23" s="16">
        <f ca="1">(L23-'Airfoil 1'!$Z$89)/ABS(L23-'Airfoil 1'!$Z$89)</f>
        <v>-1</v>
      </c>
      <c r="CU23" s="16">
        <f ca="1">(L23-'Airfoil 1'!$Z$90)/ABS(L23-'Airfoil 1'!$Z$90)</f>
        <v>-1</v>
      </c>
      <c r="CV23" s="16">
        <f ca="1">(L23-'Airfoil 1'!$Z$91)/ABS(L23-'Airfoil 1'!$Z$91)</f>
        <v>-1</v>
      </c>
      <c r="CW23" s="5">
        <f t="shared" ca="1" si="10"/>
        <v>4</v>
      </c>
      <c r="CX23" s="42">
        <f ca="1">INDEX('Airfoil 1'!$AA$72:$AA$91,CW23,1)+INDEX('Airfoil 1'!$AB$72:$AB$91,CW23,1)*(L23-INDEX('Airfoil 1'!$Z$72:$Z$91,CW23,1))</f>
        <v>1.1110331491712706E-2</v>
      </c>
    </row>
    <row r="24" spans="2:102">
      <c r="B24" s="31">
        <f>Main!B24</f>
        <v>0.33333333333333326</v>
      </c>
      <c r="D24" s="1">
        <f>'RC'!F24</f>
        <v>0.65969672852566186</v>
      </c>
      <c r="E24" s="4">
        <f>ISA!$R$10</f>
        <v>1.5987591530356481E-5</v>
      </c>
      <c r="G24" s="13">
        <f ca="1">'RC'!X24</f>
        <v>27.44967418856622</v>
      </c>
      <c r="H24" s="5">
        <f t="shared" ca="1" si="0"/>
        <v>377552.39173890883</v>
      </c>
      <c r="I24" s="16">
        <f ca="1">'Airfoil 2'!$K$14*H24^'Airfoil 2'!$L$13</f>
        <v>1.5845592203515564</v>
      </c>
      <c r="J24" s="1">
        <f ca="1">'Airfoil 2'!$K$33*H24^'Airfoil 2'!$L$32</f>
        <v>4.9068271558919179</v>
      </c>
      <c r="K24" s="13">
        <f ca="1">'Airfoil 2'!$K$52*H24^'Airfoil 2'!$L$51</f>
        <v>-9.6435811822362432</v>
      </c>
      <c r="L24" s="16">
        <f ca="1">'Aerodynamics-RC'!W24</f>
        <v>0.9</v>
      </c>
      <c r="M24" s="10">
        <f ca="1">('Airfoil 1'!$B$21+'Airfoil 1'!$B$22*L24+'Airfoil 1'!$B$23*L24^2+'Airfoil 1'!$B$24*L24^3+'Airfoil 1'!$B$25*L24^4+'Airfoil 1'!$B$26*L24^5+'Airfoil 1'!$B$27*L24^6)*0+BD24</f>
        <v>2.4489313868613138E-2</v>
      </c>
      <c r="N24" s="42">
        <f ca="1">('Airfoil 1'!$B$29+'Airfoil 1'!$B$30*L24+'Airfoil 1'!$B$31*L24^2+'Airfoil 1'!$B$32*L24^3+'Airfoil 1'!$B$33*L24^4+'Airfoil 1'!$B$34*L24^5+'Airfoil 1'!$B$35*L24^6)*0+CA24</f>
        <v>1.7370857855361597E-2</v>
      </c>
      <c r="O24" s="42">
        <f ca="1">('Airfoil 1'!$B$37+'Airfoil 1'!$B$38*L24+'Airfoil 1'!$B$39*L24^2+'Airfoil 1'!$B$40*L24^3+'Airfoil 1'!$B$41*L24^4+'Airfoil 1'!$B$42*L24^5+'Airfoil 1'!$B$43*L24^6)*0+CX24</f>
        <v>1.1110331491712706E-2</v>
      </c>
      <c r="P24" s="16">
        <f>LOG('Airfoil 1'!$F$10)+LOG('Airfoil 1'!$G$10)+LOG('Airfoil 1'!$H$10)</f>
        <v>15.176091259055681</v>
      </c>
      <c r="Q24" s="16">
        <f t="shared" ca="1" si="1"/>
        <v>-5.3254750991929125</v>
      </c>
      <c r="R24" s="16">
        <f>LOG('Airfoil 1'!$F$10)^2+LOG('Airfoil 1'!$G$10)^2+LOG('Airfoil 1'!$H$10)^2</f>
        <v>76.867141336751558</v>
      </c>
      <c r="S24" s="16">
        <f ca="1">LOG('Airfoil 1'!$F$10)*LOG(M24)+LOG('Airfoil 1'!$G$10)*LOG(N24)+LOG('Airfoil 1'!$H$10)*LOG(O24)</f>
        <v>-27.014391057528009</v>
      </c>
      <c r="T24" s="16">
        <f t="shared" ca="1" si="2"/>
        <v>141.60346469083578</v>
      </c>
      <c r="U24" s="16">
        <f t="shared" ca="1" si="3"/>
        <v>-0.77613507568957385</v>
      </c>
      <c r="V24" s="42">
        <f ca="1">IF(Energy!$F$11=1,Energy!$T$13,1)*T24*H24^U24</f>
        <v>7.3276520093884133E-3</v>
      </c>
      <c r="W24" s="10">
        <f ca="1">'Airfoil 1'!$B$48+'Airfoil 1'!$B$49*L24+'Airfoil 1'!$B$50*L24^2+'Airfoil 1'!$B$51*L24^3+'Airfoil 1'!$B$52*L24^4+'Airfoil 1'!$B$53*L24^5+'Airfoil 1'!$B$54*L24^6</f>
        <v>-0.155</v>
      </c>
      <c r="X24" s="42">
        <f ca="1">'Airfoil 1'!$B$56+'Airfoil 1'!$B$57*L24+'Airfoil 1'!$B$58*L24^2+'Airfoil 1'!$B$59*L24^3+'Airfoil 1'!$B$60*L24^4+'Airfoil 1'!$B$61*L24^5+'Airfoil 1'!$B$62*L24^6</f>
        <v>-0.155</v>
      </c>
      <c r="Y24" s="42">
        <f ca="1">'Airfoil 1'!$B$64+'Airfoil 1'!$B$65*L24+'Airfoil 1'!$B$66*L24^2+'Airfoil 1'!$B$67*L24^3+'Airfoil 1'!$B$681*L24^4+'Airfoil 1'!$B$69*L24^5+'Airfoil 1'!$B$70*L24^6</f>
        <v>-0.155</v>
      </c>
      <c r="Z24" s="16">
        <f>LOG('Airfoil 1'!$F$10)+LOG('Airfoil 1'!$G$10)+LOG('Airfoil 1'!$H$10)</f>
        <v>15.176091259055681</v>
      </c>
      <c r="AA24" s="16">
        <f t="shared" ca="1" si="4"/>
        <v>-2.4290049054891254</v>
      </c>
      <c r="AB24" s="16">
        <f>LOG('Airfoil 1'!$F$10)^2+LOG('Airfoil 1'!$G$10)^2+LOG('Airfoil 1'!$H$10)^2</f>
        <v>76.867141336751558</v>
      </c>
      <c r="AC24" s="16">
        <f ca="1">LOG('Airfoil 1'!$F$10)*LOG(ABS(W24))+LOG('Airfoil 1'!$G$10)*LOG(ABS(X24))+LOG('Airfoil 1'!$H$10)*LOG(ABS(Y24))</f>
        <v>-12.287600038132297</v>
      </c>
      <c r="AD24" s="16">
        <f t="shared" ca="1" si="5"/>
        <v>0.1550000000000121</v>
      </c>
      <c r="AE24" s="16">
        <f t="shared" ca="1" si="6"/>
        <v>-6.6718325633022456E-15</v>
      </c>
      <c r="AF24" s="42">
        <f t="shared" ca="1" si="7"/>
        <v>-0.15499999999999881</v>
      </c>
      <c r="AG24" s="16"/>
      <c r="AH24" s="42"/>
      <c r="AI24" s="16">
        <f ca="1">(L24-'Airfoil 1'!$Z$22)/ABS(L24-'Airfoil 1'!$Z$22)</f>
        <v>1</v>
      </c>
      <c r="AJ24" s="16">
        <f ca="1">(L24-'Airfoil 1'!$Z$23)/ABS(L24-'Airfoil 1'!$Z$23)</f>
        <v>1</v>
      </c>
      <c r="AK24" s="16">
        <f ca="1">(L24-'Airfoil 1'!$Z$24)/ABS(L24-'Airfoil 1'!$Z$24)</f>
        <v>1</v>
      </c>
      <c r="AL24" s="16">
        <f ca="1">(L24-'Airfoil 1'!$Z$25)/ABS(L24-'Airfoil 1'!$Z$25)</f>
        <v>1</v>
      </c>
      <c r="AM24" s="16">
        <f ca="1">(L24-'Airfoil 1'!$Z$26)/ABS(L24-'Airfoil 1'!$Z$26)</f>
        <v>1</v>
      </c>
      <c r="AN24" s="16">
        <f ca="1">(L24-'Airfoil 1'!$Z$27)/ABS(L24-'Airfoil 1'!$Z$27)</f>
        <v>1</v>
      </c>
      <c r="AO24" s="16">
        <f ca="1">(L24-'Airfoil 1'!$Z$28)/ABS(L24-'Airfoil 1'!$Z$28)</f>
        <v>1</v>
      </c>
      <c r="AP24" s="16">
        <f ca="1">(L24-'Airfoil 1'!$Z$29)/ABS(L24-'Airfoil 1'!$Z$29)</f>
        <v>-1</v>
      </c>
      <c r="AQ24" s="16">
        <f ca="1">(L24-'Airfoil 1'!$Z$30)/ABS(L24-'Airfoil 1'!$Z$30)</f>
        <v>-1</v>
      </c>
      <c r="AR24" s="16">
        <f ca="1">(L24-'Airfoil 1'!$Z$31)/ABS(L24-'Airfoil 1'!$Z$31)</f>
        <v>-1</v>
      </c>
      <c r="AS24" s="16">
        <f ca="1">(L24-'Airfoil 1'!$Z$32)/ABS(L24-'Airfoil 1'!$Z$32)</f>
        <v>-1</v>
      </c>
      <c r="AT24" s="16">
        <f ca="1">(L24-'Airfoil 1'!$Z$33)/ABS(L24-'Airfoil 1'!$Z$33)</f>
        <v>-1</v>
      </c>
      <c r="AU24" s="16">
        <f ca="1">(L24-'Airfoil 1'!$Z$34)/ABS(L24-'Airfoil 1'!$Z$34)</f>
        <v>-1</v>
      </c>
      <c r="AV24" s="16">
        <f ca="1">(L24-'Airfoil 1'!$Z$35)/ABS(L24-'Airfoil 1'!$Z$35)</f>
        <v>-1</v>
      </c>
      <c r="AW24" s="16">
        <f ca="1">(L24-'Airfoil 1'!$Z$36)/ABS(L24-'Airfoil 1'!$Z$36)</f>
        <v>-1</v>
      </c>
      <c r="AX24" s="16">
        <f ca="1">(L24-'Airfoil 1'!$Z$37)/ABS(L24-'Airfoil 1'!$Z$37)</f>
        <v>-1</v>
      </c>
      <c r="AY24" s="16">
        <f ca="1">(L24-'Airfoil 1'!$Z$38)/ABS(L24-'Airfoil 1'!$Z$38)</f>
        <v>-1</v>
      </c>
      <c r="AZ24" s="16">
        <f ca="1">(L24-'Airfoil 1'!$Z$39)/ABS(L24-'Airfoil 1'!$Z$39)</f>
        <v>-1</v>
      </c>
      <c r="BA24" s="16">
        <f ca="1">(L24-'Airfoil 1'!$Z$40)/ABS(L24-'Airfoil 1'!$Z$40)</f>
        <v>-1</v>
      </c>
      <c r="BB24" s="16">
        <f ca="1">(L24-'Airfoil 1'!$Z$41)/ABS(L24-'Airfoil 1'!$Z$41)</f>
        <v>-1</v>
      </c>
      <c r="BC24" s="5">
        <f t="shared" ca="1" si="8"/>
        <v>7</v>
      </c>
      <c r="BD24" s="42">
        <f ca="1">INDEX('Airfoil 1'!$AA$22:$AA$41,BC24,1)+INDEX('Airfoil 1'!$AB$22:$AB$41,BC24,1)*(L24-INDEX('Airfoil 1'!$Z$22:$Z$41,BC24,1))</f>
        <v>2.4489313868613138E-2</v>
      </c>
      <c r="BE24" s="6"/>
      <c r="BF24" s="16">
        <f ca="1">(L24-'Airfoil 1'!$Z$47)/ABS(L24-'Airfoil 1'!$Z$47)</f>
        <v>1</v>
      </c>
      <c r="BG24" s="16">
        <f ca="1">(L24-'Airfoil 1'!$Z$48)/ABS(L24-'Airfoil 1'!$Z$48)</f>
        <v>1</v>
      </c>
      <c r="BH24" s="16">
        <f ca="1">(L24-'Airfoil 1'!$Z$49)/ABS(L24-'Airfoil 1'!$Z$49)</f>
        <v>1</v>
      </c>
      <c r="BI24" s="16">
        <f ca="1">(L24-'Airfoil 1'!$Z$50)/ABS(L24-'Airfoil 1'!$Z$50)</f>
        <v>1</v>
      </c>
      <c r="BJ24" s="16">
        <f ca="1">(L24-'Airfoil 1'!$Z$51)/ABS(L24-'Airfoil 1'!$Z$51)</f>
        <v>1</v>
      </c>
      <c r="BK24" s="16">
        <f ca="1">(L24-'Airfoil 1'!$Z$52)/ABS(L24-'Airfoil 1'!$Z$52)</f>
        <v>1</v>
      </c>
      <c r="BL24" s="16">
        <f ca="1">(L24-'Airfoil 1'!$Z$53)/ABS(L24-'Airfoil 1'!$Z$53)</f>
        <v>-1</v>
      </c>
      <c r="BM24" s="16">
        <f ca="1">(L24-'Airfoil 1'!$Z$54)/ABS(L24-'Airfoil 1'!$Z$54)</f>
        <v>-1</v>
      </c>
      <c r="BN24" s="16">
        <f ca="1">(L24-'Airfoil 1'!$Z$55)/ABS(L24-'Airfoil 1'!$Z$55)</f>
        <v>-1</v>
      </c>
      <c r="BO24" s="16">
        <f ca="1">(L24-'Airfoil 1'!$Z$56)/ABS(L24-'Airfoil 1'!$Z$56)</f>
        <v>-1</v>
      </c>
      <c r="BP24" s="16">
        <f ca="1">(L24-'Airfoil 1'!$Z$57)/ABS(L24-'Airfoil 1'!$Z$57)</f>
        <v>-1</v>
      </c>
      <c r="BQ24" s="16">
        <f ca="1">(L24-'Airfoil 1'!$Z$58)/ABS(L24-'Airfoil 1'!$Z$58)</f>
        <v>-1</v>
      </c>
      <c r="BR24" s="16">
        <f ca="1">(L24-'Airfoil 1'!$Z$59)/ABS(L24-'Airfoil 1'!$Z$59)</f>
        <v>-1</v>
      </c>
      <c r="BS24" s="16">
        <f ca="1">(L24-'Airfoil 1'!$Z$60)/ABS(L24-'Airfoil 1'!$Z$60)</f>
        <v>-1</v>
      </c>
      <c r="BT24" s="16">
        <f ca="1">(L24-'Airfoil 1'!$Z$61)/ABS(L24-'Airfoil 1'!$Z$61)</f>
        <v>-1</v>
      </c>
      <c r="BU24" s="16">
        <f ca="1">(L24-'Airfoil 1'!$Z$62)/ABS(L24-'Airfoil 1'!$Z$62)</f>
        <v>-1</v>
      </c>
      <c r="BV24" s="16">
        <f ca="1">(L24-'Airfoil 1'!$Z$63)/ABS(L24-'Airfoil 1'!$Z$63)</f>
        <v>-1</v>
      </c>
      <c r="BW24" s="16">
        <f ca="1">(L24-'Airfoil 1'!$Z$64)/ABS(L24-'Airfoil 1'!$Z$64)</f>
        <v>-1</v>
      </c>
      <c r="BX24" s="16">
        <f ca="1">(L24-'Airfoil 1'!$Z$65)/ABS(L24-'Airfoil 1'!$Z$65)</f>
        <v>-1</v>
      </c>
      <c r="BY24" s="16">
        <f ca="1">(L24-'Airfoil 1'!$Z$66)/ABS(L24-'Airfoil 1'!$Z$66)</f>
        <v>-1</v>
      </c>
      <c r="BZ24" s="5">
        <f t="shared" ca="1" si="9"/>
        <v>6</v>
      </c>
      <c r="CA24" s="42">
        <f ca="1">INDEX('Airfoil 1'!$AA$47:$AA$66,BZ24,1)+INDEX('Airfoil 1'!$AB$47:$AB$66,BZ24,1)*(L24-INDEX('Airfoil 1'!$Z$47:$Z$66,BZ24,1))</f>
        <v>1.7370857855361597E-2</v>
      </c>
      <c r="CC24" s="16">
        <f ca="1">(L24-'Airfoil 1'!$Z$72)/ABS(L24-'Airfoil 1'!$Z$72)</f>
        <v>1</v>
      </c>
      <c r="CD24" s="16">
        <f ca="1">(L24-'Airfoil 1'!$Z$73)/ABS(L24-'Airfoil 1'!$Z$73)</f>
        <v>1</v>
      </c>
      <c r="CE24" s="16">
        <f ca="1">(L24-'Airfoil 1'!$Z$74)/ABS(L24-'Airfoil 1'!$Z$74)</f>
        <v>1</v>
      </c>
      <c r="CF24" s="16">
        <f ca="1">(L24-'Airfoil 1'!$Z$75)/ABS(L24-'Airfoil 1'!$Z$75)</f>
        <v>1</v>
      </c>
      <c r="CG24" s="16">
        <f ca="1">(L24-'Airfoil 1'!$Z$76)/ABS(L24-'Airfoil 1'!$Z$76)</f>
        <v>-1</v>
      </c>
      <c r="CH24" s="16">
        <f ca="1">(L24-'Airfoil 1'!$Z$77)/ABS(L24-'Airfoil 1'!$Z$77)</f>
        <v>-1</v>
      </c>
      <c r="CI24" s="16">
        <f ca="1">(L24-'Airfoil 1'!$Z$78)/ABS(L24-'Airfoil 1'!$Z$78)</f>
        <v>-1</v>
      </c>
      <c r="CJ24" s="16">
        <f ca="1">(L24-'Airfoil 1'!$Z$79)/ABS(L24-'Airfoil 1'!$Z$79)</f>
        <v>-1</v>
      </c>
      <c r="CK24" s="16">
        <f ca="1">(L24-'Airfoil 1'!$Z$80)/ABS(L24-'Airfoil 1'!$Z$80)</f>
        <v>-1</v>
      </c>
      <c r="CL24" s="16">
        <f ca="1">(L24-'Airfoil 1'!$Z$81)/ABS(L24-'Airfoil 1'!$Z$81)</f>
        <v>-1</v>
      </c>
      <c r="CM24" s="16">
        <f ca="1">(L24-'Airfoil 1'!$Z$82)/ABS(L24-'Airfoil 1'!$Z$82)</f>
        <v>-1</v>
      </c>
      <c r="CN24" s="16">
        <f ca="1">(L24-'Airfoil 1'!$Z$83)/ABS(L24-'Airfoil 1'!$Z$83)</f>
        <v>-1</v>
      </c>
      <c r="CO24" s="16">
        <f ca="1">(L24-'Airfoil 1'!$Z$84)/ABS(L24-'Airfoil 1'!$Z$84)</f>
        <v>-1</v>
      </c>
      <c r="CP24" s="16">
        <f ca="1">(L24-'Airfoil 1'!$Z$85)/ABS(L24-'Airfoil 1'!$Z$85)</f>
        <v>-1</v>
      </c>
      <c r="CQ24" s="16">
        <f ca="1">(L24-'Airfoil 1'!$Z$86)/ABS(L24-'Airfoil 1'!$Z$86)</f>
        <v>-1</v>
      </c>
      <c r="CR24" s="16">
        <f ca="1">(L24-'Airfoil 1'!$Z$87)/ABS(L24-'Airfoil 1'!$Z$87)</f>
        <v>-1</v>
      </c>
      <c r="CS24" s="16">
        <f ca="1">(L24-'Airfoil 1'!$Z$88)/ABS(L24-'Airfoil 1'!$Z$88)</f>
        <v>-1</v>
      </c>
      <c r="CT24" s="16">
        <f ca="1">(L24-'Airfoil 1'!$Z$89)/ABS(L24-'Airfoil 1'!$Z$89)</f>
        <v>-1</v>
      </c>
      <c r="CU24" s="16">
        <f ca="1">(L24-'Airfoil 1'!$Z$90)/ABS(L24-'Airfoil 1'!$Z$90)</f>
        <v>-1</v>
      </c>
      <c r="CV24" s="16">
        <f ca="1">(L24-'Airfoil 1'!$Z$91)/ABS(L24-'Airfoil 1'!$Z$91)</f>
        <v>-1</v>
      </c>
      <c r="CW24" s="5">
        <f t="shared" ca="1" si="10"/>
        <v>4</v>
      </c>
      <c r="CX24" s="42">
        <f ca="1">INDEX('Airfoil 1'!$AA$72:$AA$91,CW24,1)+INDEX('Airfoil 1'!$AB$72:$AB$91,CW24,1)*(L24-INDEX('Airfoil 1'!$Z$72:$Z$91,CW24,1))</f>
        <v>1.1110331491712706E-2</v>
      </c>
    </row>
    <row r="25" spans="2:102">
      <c r="B25" s="31">
        <f>Main!B25</f>
        <v>0.33333333333333326</v>
      </c>
      <c r="D25" s="1">
        <f>'RC'!F25</f>
        <v>0.65969672852566186</v>
      </c>
      <c r="E25" s="4">
        <f>ISA!$R$10</f>
        <v>1.5987591530356481E-5</v>
      </c>
      <c r="G25" s="13">
        <f ca="1">'RC'!X25</f>
        <v>27.03883277583968</v>
      </c>
      <c r="H25" s="5">
        <f t="shared" ca="1" si="0"/>
        <v>371901.53566918877</v>
      </c>
      <c r="I25" s="16">
        <f ca="1">'Airfoil 2'!$K$14*H25^'Airfoil 2'!$L$13</f>
        <v>1.584227075332056</v>
      </c>
      <c r="J25" s="1">
        <f ca="1">'Airfoil 2'!$K$33*H25^'Airfoil 2'!$L$32</f>
        <v>4.9317785666780338</v>
      </c>
      <c r="K25" s="13">
        <f ca="1">'Airfoil 2'!$K$52*H25^'Airfoil 2'!$L$51</f>
        <v>-9.546815391372439</v>
      </c>
      <c r="L25" s="16">
        <f ca="1">'Aerodynamics-RC'!W25</f>
        <v>0.9</v>
      </c>
      <c r="M25" s="10">
        <f ca="1">('Airfoil 1'!$B$21+'Airfoil 1'!$B$22*L25+'Airfoil 1'!$B$23*L25^2+'Airfoil 1'!$B$24*L25^3+'Airfoil 1'!$B$25*L25^4+'Airfoil 1'!$B$26*L25^5+'Airfoil 1'!$B$27*L25^6)*0+BD25</f>
        <v>2.4489313868613138E-2</v>
      </c>
      <c r="N25" s="42">
        <f ca="1">('Airfoil 1'!$B$29+'Airfoil 1'!$B$30*L25+'Airfoil 1'!$B$31*L25^2+'Airfoil 1'!$B$32*L25^3+'Airfoil 1'!$B$33*L25^4+'Airfoil 1'!$B$34*L25^5+'Airfoil 1'!$B$35*L25^6)*0+CA25</f>
        <v>1.7370857855361597E-2</v>
      </c>
      <c r="O25" s="42">
        <f ca="1">('Airfoil 1'!$B$37+'Airfoil 1'!$B$38*L25+'Airfoil 1'!$B$39*L25^2+'Airfoil 1'!$B$40*L25^3+'Airfoil 1'!$B$41*L25^4+'Airfoil 1'!$B$42*L25^5+'Airfoil 1'!$B$43*L25^6)*0+CX25</f>
        <v>1.1110331491712706E-2</v>
      </c>
      <c r="P25" s="16">
        <f>LOG('Airfoil 1'!$F$10)+LOG('Airfoil 1'!$G$10)+LOG('Airfoil 1'!$H$10)</f>
        <v>15.176091259055681</v>
      </c>
      <c r="Q25" s="16">
        <f t="shared" ca="1" si="1"/>
        <v>-5.3254750991929125</v>
      </c>
      <c r="R25" s="16">
        <f>LOG('Airfoil 1'!$F$10)^2+LOG('Airfoil 1'!$G$10)^2+LOG('Airfoil 1'!$H$10)^2</f>
        <v>76.867141336751558</v>
      </c>
      <c r="S25" s="16">
        <f ca="1">LOG('Airfoil 1'!$F$10)*LOG(M25)+LOG('Airfoil 1'!$G$10)*LOG(N25)+LOG('Airfoil 1'!$H$10)*LOG(O25)</f>
        <v>-27.014391057528009</v>
      </c>
      <c r="T25" s="16">
        <f t="shared" ca="1" si="2"/>
        <v>141.60346469083578</v>
      </c>
      <c r="U25" s="16">
        <f t="shared" ca="1" si="3"/>
        <v>-0.77613507568957385</v>
      </c>
      <c r="V25" s="42">
        <f ca="1">IF(Energy!$F$11=1,Energy!$T$13,1)*T25*H25^U25</f>
        <v>7.4139208002436978E-3</v>
      </c>
      <c r="W25" s="10">
        <f ca="1">'Airfoil 1'!$B$48+'Airfoil 1'!$B$49*L25+'Airfoil 1'!$B$50*L25^2+'Airfoil 1'!$B$51*L25^3+'Airfoil 1'!$B$52*L25^4+'Airfoil 1'!$B$53*L25^5+'Airfoil 1'!$B$54*L25^6</f>
        <v>-0.155</v>
      </c>
      <c r="X25" s="42">
        <f ca="1">'Airfoil 1'!$B$56+'Airfoil 1'!$B$57*L25+'Airfoil 1'!$B$58*L25^2+'Airfoil 1'!$B$59*L25^3+'Airfoil 1'!$B$60*L25^4+'Airfoil 1'!$B$61*L25^5+'Airfoil 1'!$B$62*L25^6</f>
        <v>-0.155</v>
      </c>
      <c r="Y25" s="42">
        <f ca="1">'Airfoil 1'!$B$64+'Airfoil 1'!$B$65*L25+'Airfoil 1'!$B$66*L25^2+'Airfoil 1'!$B$67*L25^3+'Airfoil 1'!$B$681*L25^4+'Airfoil 1'!$B$69*L25^5+'Airfoil 1'!$B$70*L25^6</f>
        <v>-0.155</v>
      </c>
      <c r="Z25" s="16">
        <f>LOG('Airfoil 1'!$F$10)+LOG('Airfoil 1'!$G$10)+LOG('Airfoil 1'!$H$10)</f>
        <v>15.176091259055681</v>
      </c>
      <c r="AA25" s="16">
        <f t="shared" ca="1" si="4"/>
        <v>-2.4290049054891254</v>
      </c>
      <c r="AB25" s="16">
        <f>LOG('Airfoil 1'!$F$10)^2+LOG('Airfoil 1'!$G$10)^2+LOG('Airfoil 1'!$H$10)^2</f>
        <v>76.867141336751558</v>
      </c>
      <c r="AC25" s="16">
        <f ca="1">LOG('Airfoil 1'!$F$10)*LOG(ABS(W25))+LOG('Airfoil 1'!$G$10)*LOG(ABS(X25))+LOG('Airfoil 1'!$H$10)*LOG(ABS(Y25))</f>
        <v>-12.287600038132297</v>
      </c>
      <c r="AD25" s="16">
        <f t="shared" ca="1" si="5"/>
        <v>0.1550000000000121</v>
      </c>
      <c r="AE25" s="16">
        <f t="shared" ca="1" si="6"/>
        <v>-6.6718325633022456E-15</v>
      </c>
      <c r="AF25" s="42">
        <f t="shared" ca="1" si="7"/>
        <v>-0.15499999999999886</v>
      </c>
      <c r="AG25" s="16"/>
      <c r="AH25" s="42"/>
      <c r="AI25" s="16">
        <f ca="1">(L25-'Airfoil 1'!$Z$22)/ABS(L25-'Airfoil 1'!$Z$22)</f>
        <v>1</v>
      </c>
      <c r="AJ25" s="16">
        <f ca="1">(L25-'Airfoil 1'!$Z$23)/ABS(L25-'Airfoil 1'!$Z$23)</f>
        <v>1</v>
      </c>
      <c r="AK25" s="16">
        <f ca="1">(L25-'Airfoil 1'!$Z$24)/ABS(L25-'Airfoil 1'!$Z$24)</f>
        <v>1</v>
      </c>
      <c r="AL25" s="16">
        <f ca="1">(L25-'Airfoil 1'!$Z$25)/ABS(L25-'Airfoil 1'!$Z$25)</f>
        <v>1</v>
      </c>
      <c r="AM25" s="16">
        <f ca="1">(L25-'Airfoil 1'!$Z$26)/ABS(L25-'Airfoil 1'!$Z$26)</f>
        <v>1</v>
      </c>
      <c r="AN25" s="16">
        <f ca="1">(L25-'Airfoil 1'!$Z$27)/ABS(L25-'Airfoil 1'!$Z$27)</f>
        <v>1</v>
      </c>
      <c r="AO25" s="16">
        <f ca="1">(L25-'Airfoil 1'!$Z$28)/ABS(L25-'Airfoil 1'!$Z$28)</f>
        <v>1</v>
      </c>
      <c r="AP25" s="16">
        <f ca="1">(L25-'Airfoil 1'!$Z$29)/ABS(L25-'Airfoil 1'!$Z$29)</f>
        <v>-1</v>
      </c>
      <c r="AQ25" s="16">
        <f ca="1">(L25-'Airfoil 1'!$Z$30)/ABS(L25-'Airfoil 1'!$Z$30)</f>
        <v>-1</v>
      </c>
      <c r="AR25" s="16">
        <f ca="1">(L25-'Airfoil 1'!$Z$31)/ABS(L25-'Airfoil 1'!$Z$31)</f>
        <v>-1</v>
      </c>
      <c r="AS25" s="16">
        <f ca="1">(L25-'Airfoil 1'!$Z$32)/ABS(L25-'Airfoil 1'!$Z$32)</f>
        <v>-1</v>
      </c>
      <c r="AT25" s="16">
        <f ca="1">(L25-'Airfoil 1'!$Z$33)/ABS(L25-'Airfoil 1'!$Z$33)</f>
        <v>-1</v>
      </c>
      <c r="AU25" s="16">
        <f ca="1">(L25-'Airfoil 1'!$Z$34)/ABS(L25-'Airfoil 1'!$Z$34)</f>
        <v>-1</v>
      </c>
      <c r="AV25" s="16">
        <f ca="1">(L25-'Airfoil 1'!$Z$35)/ABS(L25-'Airfoil 1'!$Z$35)</f>
        <v>-1</v>
      </c>
      <c r="AW25" s="16">
        <f ca="1">(L25-'Airfoil 1'!$Z$36)/ABS(L25-'Airfoil 1'!$Z$36)</f>
        <v>-1</v>
      </c>
      <c r="AX25" s="16">
        <f ca="1">(L25-'Airfoil 1'!$Z$37)/ABS(L25-'Airfoil 1'!$Z$37)</f>
        <v>-1</v>
      </c>
      <c r="AY25" s="16">
        <f ca="1">(L25-'Airfoil 1'!$Z$38)/ABS(L25-'Airfoil 1'!$Z$38)</f>
        <v>-1</v>
      </c>
      <c r="AZ25" s="16">
        <f ca="1">(L25-'Airfoil 1'!$Z$39)/ABS(L25-'Airfoil 1'!$Z$39)</f>
        <v>-1</v>
      </c>
      <c r="BA25" s="16">
        <f ca="1">(L25-'Airfoil 1'!$Z$40)/ABS(L25-'Airfoil 1'!$Z$40)</f>
        <v>-1</v>
      </c>
      <c r="BB25" s="16">
        <f ca="1">(L25-'Airfoil 1'!$Z$41)/ABS(L25-'Airfoil 1'!$Z$41)</f>
        <v>-1</v>
      </c>
      <c r="BC25" s="5">
        <f t="shared" ca="1" si="8"/>
        <v>7</v>
      </c>
      <c r="BD25" s="42">
        <f ca="1">INDEX('Airfoil 1'!$AA$22:$AA$41,BC25,1)+INDEX('Airfoil 1'!$AB$22:$AB$41,BC25,1)*(L25-INDEX('Airfoil 1'!$Z$22:$Z$41,BC25,1))</f>
        <v>2.4489313868613138E-2</v>
      </c>
      <c r="BE25" s="6"/>
      <c r="BF25" s="16">
        <f ca="1">(L25-'Airfoil 1'!$Z$47)/ABS(L25-'Airfoil 1'!$Z$47)</f>
        <v>1</v>
      </c>
      <c r="BG25" s="16">
        <f ca="1">(L25-'Airfoil 1'!$Z$48)/ABS(L25-'Airfoil 1'!$Z$48)</f>
        <v>1</v>
      </c>
      <c r="BH25" s="16">
        <f ca="1">(L25-'Airfoil 1'!$Z$49)/ABS(L25-'Airfoil 1'!$Z$49)</f>
        <v>1</v>
      </c>
      <c r="BI25" s="16">
        <f ca="1">(L25-'Airfoil 1'!$Z$50)/ABS(L25-'Airfoil 1'!$Z$50)</f>
        <v>1</v>
      </c>
      <c r="BJ25" s="16">
        <f ca="1">(L25-'Airfoil 1'!$Z$51)/ABS(L25-'Airfoil 1'!$Z$51)</f>
        <v>1</v>
      </c>
      <c r="BK25" s="16">
        <f ca="1">(L25-'Airfoil 1'!$Z$52)/ABS(L25-'Airfoil 1'!$Z$52)</f>
        <v>1</v>
      </c>
      <c r="BL25" s="16">
        <f ca="1">(L25-'Airfoil 1'!$Z$53)/ABS(L25-'Airfoil 1'!$Z$53)</f>
        <v>-1</v>
      </c>
      <c r="BM25" s="16">
        <f ca="1">(L25-'Airfoil 1'!$Z$54)/ABS(L25-'Airfoil 1'!$Z$54)</f>
        <v>-1</v>
      </c>
      <c r="BN25" s="16">
        <f ca="1">(L25-'Airfoil 1'!$Z$55)/ABS(L25-'Airfoil 1'!$Z$55)</f>
        <v>-1</v>
      </c>
      <c r="BO25" s="16">
        <f ca="1">(L25-'Airfoil 1'!$Z$56)/ABS(L25-'Airfoil 1'!$Z$56)</f>
        <v>-1</v>
      </c>
      <c r="BP25" s="16">
        <f ca="1">(L25-'Airfoil 1'!$Z$57)/ABS(L25-'Airfoil 1'!$Z$57)</f>
        <v>-1</v>
      </c>
      <c r="BQ25" s="16">
        <f ca="1">(L25-'Airfoil 1'!$Z$58)/ABS(L25-'Airfoil 1'!$Z$58)</f>
        <v>-1</v>
      </c>
      <c r="BR25" s="16">
        <f ca="1">(L25-'Airfoil 1'!$Z$59)/ABS(L25-'Airfoil 1'!$Z$59)</f>
        <v>-1</v>
      </c>
      <c r="BS25" s="16">
        <f ca="1">(L25-'Airfoil 1'!$Z$60)/ABS(L25-'Airfoil 1'!$Z$60)</f>
        <v>-1</v>
      </c>
      <c r="BT25" s="16">
        <f ca="1">(L25-'Airfoil 1'!$Z$61)/ABS(L25-'Airfoil 1'!$Z$61)</f>
        <v>-1</v>
      </c>
      <c r="BU25" s="16">
        <f ca="1">(L25-'Airfoil 1'!$Z$62)/ABS(L25-'Airfoil 1'!$Z$62)</f>
        <v>-1</v>
      </c>
      <c r="BV25" s="16">
        <f ca="1">(L25-'Airfoil 1'!$Z$63)/ABS(L25-'Airfoil 1'!$Z$63)</f>
        <v>-1</v>
      </c>
      <c r="BW25" s="16">
        <f ca="1">(L25-'Airfoil 1'!$Z$64)/ABS(L25-'Airfoil 1'!$Z$64)</f>
        <v>-1</v>
      </c>
      <c r="BX25" s="16">
        <f ca="1">(L25-'Airfoil 1'!$Z$65)/ABS(L25-'Airfoil 1'!$Z$65)</f>
        <v>-1</v>
      </c>
      <c r="BY25" s="16">
        <f ca="1">(L25-'Airfoil 1'!$Z$66)/ABS(L25-'Airfoil 1'!$Z$66)</f>
        <v>-1</v>
      </c>
      <c r="BZ25" s="5">
        <f t="shared" ca="1" si="9"/>
        <v>6</v>
      </c>
      <c r="CA25" s="42">
        <f ca="1">INDEX('Airfoil 1'!$AA$47:$AA$66,BZ25,1)+INDEX('Airfoil 1'!$AB$47:$AB$66,BZ25,1)*(L25-INDEX('Airfoil 1'!$Z$47:$Z$66,BZ25,1))</f>
        <v>1.7370857855361597E-2</v>
      </c>
      <c r="CC25" s="16">
        <f ca="1">(L25-'Airfoil 1'!$Z$72)/ABS(L25-'Airfoil 1'!$Z$72)</f>
        <v>1</v>
      </c>
      <c r="CD25" s="16">
        <f ca="1">(L25-'Airfoil 1'!$Z$73)/ABS(L25-'Airfoil 1'!$Z$73)</f>
        <v>1</v>
      </c>
      <c r="CE25" s="16">
        <f ca="1">(L25-'Airfoil 1'!$Z$74)/ABS(L25-'Airfoil 1'!$Z$74)</f>
        <v>1</v>
      </c>
      <c r="CF25" s="16">
        <f ca="1">(L25-'Airfoil 1'!$Z$75)/ABS(L25-'Airfoil 1'!$Z$75)</f>
        <v>1</v>
      </c>
      <c r="CG25" s="16">
        <f ca="1">(L25-'Airfoil 1'!$Z$76)/ABS(L25-'Airfoil 1'!$Z$76)</f>
        <v>-1</v>
      </c>
      <c r="CH25" s="16">
        <f ca="1">(L25-'Airfoil 1'!$Z$77)/ABS(L25-'Airfoil 1'!$Z$77)</f>
        <v>-1</v>
      </c>
      <c r="CI25" s="16">
        <f ca="1">(L25-'Airfoil 1'!$Z$78)/ABS(L25-'Airfoil 1'!$Z$78)</f>
        <v>-1</v>
      </c>
      <c r="CJ25" s="16">
        <f ca="1">(L25-'Airfoil 1'!$Z$79)/ABS(L25-'Airfoil 1'!$Z$79)</f>
        <v>-1</v>
      </c>
      <c r="CK25" s="16">
        <f ca="1">(L25-'Airfoil 1'!$Z$80)/ABS(L25-'Airfoil 1'!$Z$80)</f>
        <v>-1</v>
      </c>
      <c r="CL25" s="16">
        <f ca="1">(L25-'Airfoil 1'!$Z$81)/ABS(L25-'Airfoil 1'!$Z$81)</f>
        <v>-1</v>
      </c>
      <c r="CM25" s="16">
        <f ca="1">(L25-'Airfoil 1'!$Z$82)/ABS(L25-'Airfoil 1'!$Z$82)</f>
        <v>-1</v>
      </c>
      <c r="CN25" s="16">
        <f ca="1">(L25-'Airfoil 1'!$Z$83)/ABS(L25-'Airfoil 1'!$Z$83)</f>
        <v>-1</v>
      </c>
      <c r="CO25" s="16">
        <f ca="1">(L25-'Airfoil 1'!$Z$84)/ABS(L25-'Airfoil 1'!$Z$84)</f>
        <v>-1</v>
      </c>
      <c r="CP25" s="16">
        <f ca="1">(L25-'Airfoil 1'!$Z$85)/ABS(L25-'Airfoil 1'!$Z$85)</f>
        <v>-1</v>
      </c>
      <c r="CQ25" s="16">
        <f ca="1">(L25-'Airfoil 1'!$Z$86)/ABS(L25-'Airfoil 1'!$Z$86)</f>
        <v>-1</v>
      </c>
      <c r="CR25" s="16">
        <f ca="1">(L25-'Airfoil 1'!$Z$87)/ABS(L25-'Airfoil 1'!$Z$87)</f>
        <v>-1</v>
      </c>
      <c r="CS25" s="16">
        <f ca="1">(L25-'Airfoil 1'!$Z$88)/ABS(L25-'Airfoil 1'!$Z$88)</f>
        <v>-1</v>
      </c>
      <c r="CT25" s="16">
        <f ca="1">(L25-'Airfoil 1'!$Z$89)/ABS(L25-'Airfoil 1'!$Z$89)</f>
        <v>-1</v>
      </c>
      <c r="CU25" s="16">
        <f ca="1">(L25-'Airfoil 1'!$Z$90)/ABS(L25-'Airfoil 1'!$Z$90)</f>
        <v>-1</v>
      </c>
      <c r="CV25" s="16">
        <f ca="1">(L25-'Airfoil 1'!$Z$91)/ABS(L25-'Airfoil 1'!$Z$91)</f>
        <v>-1</v>
      </c>
      <c r="CW25" s="5">
        <f t="shared" ca="1" si="10"/>
        <v>4</v>
      </c>
      <c r="CX25" s="42">
        <f ca="1">INDEX('Airfoil 1'!$AA$72:$AA$91,CW25,1)+INDEX('Airfoil 1'!$AB$72:$AB$91,CW25,1)*(L25-INDEX('Airfoil 1'!$Z$72:$Z$91,CW25,1))</f>
        <v>1.1110331491712706E-2</v>
      </c>
    </row>
    <row r="26" spans="2:102">
      <c r="B26" s="31">
        <f>Main!B26</f>
        <v>0.33333333333333326</v>
      </c>
      <c r="D26" s="1">
        <f>'RC'!F26</f>
        <v>0.65969672852566186</v>
      </c>
      <c r="E26" s="4">
        <f>ISA!$R$10</f>
        <v>1.5987591530356481E-5</v>
      </c>
      <c r="G26" s="13">
        <f ca="1">'RC'!X26</f>
        <v>26.646781908866753</v>
      </c>
      <c r="H26" s="5">
        <f t="shared" ca="1" si="0"/>
        <v>366509.13131888147</v>
      </c>
      <c r="I26" s="16">
        <f ca="1">'Airfoil 2'!$K$14*H26^'Airfoil 2'!$L$13</f>
        <v>1.5839054481051229</v>
      </c>
      <c r="J26" s="1">
        <f ca="1">'Airfoil 2'!$K$33*H26^'Airfoil 2'!$L$32</f>
        <v>4.9560657919854458</v>
      </c>
      <c r="K26" s="13">
        <f ca="1">'Airfoil 2'!$K$52*H26^'Airfoil 2'!$L$51</f>
        <v>-9.4540201936085211</v>
      </c>
      <c r="L26" s="16">
        <f ca="1">'Aerodynamics-RC'!W26</f>
        <v>0.9</v>
      </c>
      <c r="M26" s="10">
        <f ca="1">('Airfoil 1'!$B$21+'Airfoil 1'!$B$22*L26+'Airfoil 1'!$B$23*L26^2+'Airfoil 1'!$B$24*L26^3+'Airfoil 1'!$B$25*L26^4+'Airfoil 1'!$B$26*L26^5+'Airfoil 1'!$B$27*L26^6)*0+BD26</f>
        <v>2.4489313868613138E-2</v>
      </c>
      <c r="N26" s="42">
        <f ca="1">('Airfoil 1'!$B$29+'Airfoil 1'!$B$30*L26+'Airfoil 1'!$B$31*L26^2+'Airfoil 1'!$B$32*L26^3+'Airfoil 1'!$B$33*L26^4+'Airfoil 1'!$B$34*L26^5+'Airfoil 1'!$B$35*L26^6)*0+CA26</f>
        <v>1.7370857855361597E-2</v>
      </c>
      <c r="O26" s="42">
        <f ca="1">('Airfoil 1'!$B$37+'Airfoil 1'!$B$38*L26+'Airfoil 1'!$B$39*L26^2+'Airfoil 1'!$B$40*L26^3+'Airfoil 1'!$B$41*L26^4+'Airfoil 1'!$B$42*L26^5+'Airfoil 1'!$B$43*L26^6)*0+CX26</f>
        <v>1.1110331491712706E-2</v>
      </c>
      <c r="P26" s="16">
        <f>LOG('Airfoil 1'!$F$10)+LOG('Airfoil 1'!$G$10)+LOG('Airfoil 1'!$H$10)</f>
        <v>15.176091259055681</v>
      </c>
      <c r="Q26" s="16">
        <f t="shared" ca="1" si="1"/>
        <v>-5.3254750991929125</v>
      </c>
      <c r="R26" s="16">
        <f>LOG('Airfoil 1'!$F$10)^2+LOG('Airfoil 1'!$G$10)^2+LOG('Airfoil 1'!$H$10)^2</f>
        <v>76.867141336751558</v>
      </c>
      <c r="S26" s="16">
        <f ca="1">LOG('Airfoil 1'!$F$10)*LOG(M26)+LOG('Airfoil 1'!$G$10)*LOG(N26)+LOG('Airfoil 1'!$H$10)*LOG(O26)</f>
        <v>-27.014391057528009</v>
      </c>
      <c r="T26" s="16">
        <f t="shared" ca="1" si="2"/>
        <v>141.60346469083578</v>
      </c>
      <c r="U26" s="16">
        <f t="shared" ca="1" si="3"/>
        <v>-0.77613507568957385</v>
      </c>
      <c r="V26" s="42">
        <f ca="1">IF(Energy!$F$11=1,Energy!$T$13,1)*T26*H26^U26</f>
        <v>7.4984431111546233E-3</v>
      </c>
      <c r="W26" s="10">
        <f ca="1">'Airfoil 1'!$B$48+'Airfoil 1'!$B$49*L26+'Airfoil 1'!$B$50*L26^2+'Airfoil 1'!$B$51*L26^3+'Airfoil 1'!$B$52*L26^4+'Airfoil 1'!$B$53*L26^5+'Airfoil 1'!$B$54*L26^6</f>
        <v>-0.155</v>
      </c>
      <c r="X26" s="42">
        <f ca="1">'Airfoil 1'!$B$56+'Airfoil 1'!$B$57*L26+'Airfoil 1'!$B$58*L26^2+'Airfoil 1'!$B$59*L26^3+'Airfoil 1'!$B$60*L26^4+'Airfoil 1'!$B$61*L26^5+'Airfoil 1'!$B$62*L26^6</f>
        <v>-0.155</v>
      </c>
      <c r="Y26" s="42">
        <f ca="1">'Airfoil 1'!$B$64+'Airfoil 1'!$B$65*L26+'Airfoil 1'!$B$66*L26^2+'Airfoil 1'!$B$67*L26^3+'Airfoil 1'!$B$681*L26^4+'Airfoil 1'!$B$69*L26^5+'Airfoil 1'!$B$70*L26^6</f>
        <v>-0.155</v>
      </c>
      <c r="Z26" s="16">
        <f>LOG('Airfoil 1'!$F$10)+LOG('Airfoil 1'!$G$10)+LOG('Airfoil 1'!$H$10)</f>
        <v>15.176091259055681</v>
      </c>
      <c r="AA26" s="16">
        <f t="shared" ca="1" si="4"/>
        <v>-2.4290049054891254</v>
      </c>
      <c r="AB26" s="16">
        <f>LOG('Airfoil 1'!$F$10)^2+LOG('Airfoil 1'!$G$10)^2+LOG('Airfoil 1'!$H$10)^2</f>
        <v>76.867141336751558</v>
      </c>
      <c r="AC26" s="16">
        <f ca="1">LOG('Airfoil 1'!$F$10)*LOG(ABS(W26))+LOG('Airfoil 1'!$G$10)*LOG(ABS(X26))+LOG('Airfoil 1'!$H$10)*LOG(ABS(Y26))</f>
        <v>-12.287600038132297</v>
      </c>
      <c r="AD26" s="16">
        <f t="shared" ca="1" si="5"/>
        <v>0.1550000000000121</v>
      </c>
      <c r="AE26" s="16">
        <f t="shared" ca="1" si="6"/>
        <v>-6.6718325633022456E-15</v>
      </c>
      <c r="AF26" s="42">
        <f t="shared" ca="1" si="7"/>
        <v>-0.15499999999999886</v>
      </c>
      <c r="AG26" s="16"/>
      <c r="AH26" s="42"/>
      <c r="AI26" s="16">
        <f ca="1">(L26-'Airfoil 1'!$Z$22)/ABS(L26-'Airfoil 1'!$Z$22)</f>
        <v>1</v>
      </c>
      <c r="AJ26" s="16">
        <f ca="1">(L26-'Airfoil 1'!$Z$23)/ABS(L26-'Airfoil 1'!$Z$23)</f>
        <v>1</v>
      </c>
      <c r="AK26" s="16">
        <f ca="1">(L26-'Airfoil 1'!$Z$24)/ABS(L26-'Airfoil 1'!$Z$24)</f>
        <v>1</v>
      </c>
      <c r="AL26" s="16">
        <f ca="1">(L26-'Airfoil 1'!$Z$25)/ABS(L26-'Airfoil 1'!$Z$25)</f>
        <v>1</v>
      </c>
      <c r="AM26" s="16">
        <f ca="1">(L26-'Airfoil 1'!$Z$26)/ABS(L26-'Airfoil 1'!$Z$26)</f>
        <v>1</v>
      </c>
      <c r="AN26" s="16">
        <f ca="1">(L26-'Airfoil 1'!$Z$27)/ABS(L26-'Airfoil 1'!$Z$27)</f>
        <v>1</v>
      </c>
      <c r="AO26" s="16">
        <f ca="1">(L26-'Airfoil 1'!$Z$28)/ABS(L26-'Airfoil 1'!$Z$28)</f>
        <v>1</v>
      </c>
      <c r="AP26" s="16">
        <f ca="1">(L26-'Airfoil 1'!$Z$29)/ABS(L26-'Airfoil 1'!$Z$29)</f>
        <v>-1</v>
      </c>
      <c r="AQ26" s="16">
        <f ca="1">(L26-'Airfoil 1'!$Z$30)/ABS(L26-'Airfoil 1'!$Z$30)</f>
        <v>-1</v>
      </c>
      <c r="AR26" s="16">
        <f ca="1">(L26-'Airfoil 1'!$Z$31)/ABS(L26-'Airfoil 1'!$Z$31)</f>
        <v>-1</v>
      </c>
      <c r="AS26" s="16">
        <f ca="1">(L26-'Airfoil 1'!$Z$32)/ABS(L26-'Airfoil 1'!$Z$32)</f>
        <v>-1</v>
      </c>
      <c r="AT26" s="16">
        <f ca="1">(L26-'Airfoil 1'!$Z$33)/ABS(L26-'Airfoil 1'!$Z$33)</f>
        <v>-1</v>
      </c>
      <c r="AU26" s="16">
        <f ca="1">(L26-'Airfoil 1'!$Z$34)/ABS(L26-'Airfoil 1'!$Z$34)</f>
        <v>-1</v>
      </c>
      <c r="AV26" s="16">
        <f ca="1">(L26-'Airfoil 1'!$Z$35)/ABS(L26-'Airfoil 1'!$Z$35)</f>
        <v>-1</v>
      </c>
      <c r="AW26" s="16">
        <f ca="1">(L26-'Airfoil 1'!$Z$36)/ABS(L26-'Airfoil 1'!$Z$36)</f>
        <v>-1</v>
      </c>
      <c r="AX26" s="16">
        <f ca="1">(L26-'Airfoil 1'!$Z$37)/ABS(L26-'Airfoil 1'!$Z$37)</f>
        <v>-1</v>
      </c>
      <c r="AY26" s="16">
        <f ca="1">(L26-'Airfoil 1'!$Z$38)/ABS(L26-'Airfoil 1'!$Z$38)</f>
        <v>-1</v>
      </c>
      <c r="AZ26" s="16">
        <f ca="1">(L26-'Airfoil 1'!$Z$39)/ABS(L26-'Airfoil 1'!$Z$39)</f>
        <v>-1</v>
      </c>
      <c r="BA26" s="16">
        <f ca="1">(L26-'Airfoil 1'!$Z$40)/ABS(L26-'Airfoil 1'!$Z$40)</f>
        <v>-1</v>
      </c>
      <c r="BB26" s="16">
        <f ca="1">(L26-'Airfoil 1'!$Z$41)/ABS(L26-'Airfoil 1'!$Z$41)</f>
        <v>-1</v>
      </c>
      <c r="BC26" s="5">
        <f t="shared" ca="1" si="8"/>
        <v>7</v>
      </c>
      <c r="BD26" s="42">
        <f ca="1">INDEX('Airfoil 1'!$AA$22:$AA$41,BC26,1)+INDEX('Airfoil 1'!$AB$22:$AB$41,BC26,1)*(L26-INDEX('Airfoil 1'!$Z$22:$Z$41,BC26,1))</f>
        <v>2.4489313868613138E-2</v>
      </c>
      <c r="BE26" s="6"/>
      <c r="BF26" s="16">
        <f ca="1">(L26-'Airfoil 1'!$Z$47)/ABS(L26-'Airfoil 1'!$Z$47)</f>
        <v>1</v>
      </c>
      <c r="BG26" s="16">
        <f ca="1">(L26-'Airfoil 1'!$Z$48)/ABS(L26-'Airfoil 1'!$Z$48)</f>
        <v>1</v>
      </c>
      <c r="BH26" s="16">
        <f ca="1">(L26-'Airfoil 1'!$Z$49)/ABS(L26-'Airfoil 1'!$Z$49)</f>
        <v>1</v>
      </c>
      <c r="BI26" s="16">
        <f ca="1">(L26-'Airfoil 1'!$Z$50)/ABS(L26-'Airfoil 1'!$Z$50)</f>
        <v>1</v>
      </c>
      <c r="BJ26" s="16">
        <f ca="1">(L26-'Airfoil 1'!$Z$51)/ABS(L26-'Airfoil 1'!$Z$51)</f>
        <v>1</v>
      </c>
      <c r="BK26" s="16">
        <f ca="1">(L26-'Airfoil 1'!$Z$52)/ABS(L26-'Airfoil 1'!$Z$52)</f>
        <v>1</v>
      </c>
      <c r="BL26" s="16">
        <f ca="1">(L26-'Airfoil 1'!$Z$53)/ABS(L26-'Airfoil 1'!$Z$53)</f>
        <v>-1</v>
      </c>
      <c r="BM26" s="16">
        <f ca="1">(L26-'Airfoil 1'!$Z$54)/ABS(L26-'Airfoil 1'!$Z$54)</f>
        <v>-1</v>
      </c>
      <c r="BN26" s="16">
        <f ca="1">(L26-'Airfoil 1'!$Z$55)/ABS(L26-'Airfoil 1'!$Z$55)</f>
        <v>-1</v>
      </c>
      <c r="BO26" s="16">
        <f ca="1">(L26-'Airfoil 1'!$Z$56)/ABS(L26-'Airfoil 1'!$Z$56)</f>
        <v>-1</v>
      </c>
      <c r="BP26" s="16">
        <f ca="1">(L26-'Airfoil 1'!$Z$57)/ABS(L26-'Airfoil 1'!$Z$57)</f>
        <v>-1</v>
      </c>
      <c r="BQ26" s="16">
        <f ca="1">(L26-'Airfoil 1'!$Z$58)/ABS(L26-'Airfoil 1'!$Z$58)</f>
        <v>-1</v>
      </c>
      <c r="BR26" s="16">
        <f ca="1">(L26-'Airfoil 1'!$Z$59)/ABS(L26-'Airfoil 1'!$Z$59)</f>
        <v>-1</v>
      </c>
      <c r="BS26" s="16">
        <f ca="1">(L26-'Airfoil 1'!$Z$60)/ABS(L26-'Airfoil 1'!$Z$60)</f>
        <v>-1</v>
      </c>
      <c r="BT26" s="16">
        <f ca="1">(L26-'Airfoil 1'!$Z$61)/ABS(L26-'Airfoil 1'!$Z$61)</f>
        <v>-1</v>
      </c>
      <c r="BU26" s="16">
        <f ca="1">(L26-'Airfoil 1'!$Z$62)/ABS(L26-'Airfoil 1'!$Z$62)</f>
        <v>-1</v>
      </c>
      <c r="BV26" s="16">
        <f ca="1">(L26-'Airfoil 1'!$Z$63)/ABS(L26-'Airfoil 1'!$Z$63)</f>
        <v>-1</v>
      </c>
      <c r="BW26" s="16">
        <f ca="1">(L26-'Airfoil 1'!$Z$64)/ABS(L26-'Airfoil 1'!$Z$64)</f>
        <v>-1</v>
      </c>
      <c r="BX26" s="16">
        <f ca="1">(L26-'Airfoil 1'!$Z$65)/ABS(L26-'Airfoil 1'!$Z$65)</f>
        <v>-1</v>
      </c>
      <c r="BY26" s="16">
        <f ca="1">(L26-'Airfoil 1'!$Z$66)/ABS(L26-'Airfoil 1'!$Z$66)</f>
        <v>-1</v>
      </c>
      <c r="BZ26" s="5">
        <f t="shared" ca="1" si="9"/>
        <v>6</v>
      </c>
      <c r="CA26" s="42">
        <f ca="1">INDEX('Airfoil 1'!$AA$47:$AA$66,BZ26,1)+INDEX('Airfoil 1'!$AB$47:$AB$66,BZ26,1)*(L26-INDEX('Airfoil 1'!$Z$47:$Z$66,BZ26,1))</f>
        <v>1.7370857855361597E-2</v>
      </c>
      <c r="CC26" s="16">
        <f ca="1">(L26-'Airfoil 1'!$Z$72)/ABS(L26-'Airfoil 1'!$Z$72)</f>
        <v>1</v>
      </c>
      <c r="CD26" s="16">
        <f ca="1">(L26-'Airfoil 1'!$Z$73)/ABS(L26-'Airfoil 1'!$Z$73)</f>
        <v>1</v>
      </c>
      <c r="CE26" s="16">
        <f ca="1">(L26-'Airfoil 1'!$Z$74)/ABS(L26-'Airfoil 1'!$Z$74)</f>
        <v>1</v>
      </c>
      <c r="CF26" s="16">
        <f ca="1">(L26-'Airfoil 1'!$Z$75)/ABS(L26-'Airfoil 1'!$Z$75)</f>
        <v>1</v>
      </c>
      <c r="CG26" s="16">
        <f ca="1">(L26-'Airfoil 1'!$Z$76)/ABS(L26-'Airfoil 1'!$Z$76)</f>
        <v>-1</v>
      </c>
      <c r="CH26" s="16">
        <f ca="1">(L26-'Airfoil 1'!$Z$77)/ABS(L26-'Airfoil 1'!$Z$77)</f>
        <v>-1</v>
      </c>
      <c r="CI26" s="16">
        <f ca="1">(L26-'Airfoil 1'!$Z$78)/ABS(L26-'Airfoil 1'!$Z$78)</f>
        <v>-1</v>
      </c>
      <c r="CJ26" s="16">
        <f ca="1">(L26-'Airfoil 1'!$Z$79)/ABS(L26-'Airfoil 1'!$Z$79)</f>
        <v>-1</v>
      </c>
      <c r="CK26" s="16">
        <f ca="1">(L26-'Airfoil 1'!$Z$80)/ABS(L26-'Airfoil 1'!$Z$80)</f>
        <v>-1</v>
      </c>
      <c r="CL26" s="16">
        <f ca="1">(L26-'Airfoil 1'!$Z$81)/ABS(L26-'Airfoil 1'!$Z$81)</f>
        <v>-1</v>
      </c>
      <c r="CM26" s="16">
        <f ca="1">(L26-'Airfoil 1'!$Z$82)/ABS(L26-'Airfoil 1'!$Z$82)</f>
        <v>-1</v>
      </c>
      <c r="CN26" s="16">
        <f ca="1">(L26-'Airfoil 1'!$Z$83)/ABS(L26-'Airfoil 1'!$Z$83)</f>
        <v>-1</v>
      </c>
      <c r="CO26" s="16">
        <f ca="1">(L26-'Airfoil 1'!$Z$84)/ABS(L26-'Airfoil 1'!$Z$84)</f>
        <v>-1</v>
      </c>
      <c r="CP26" s="16">
        <f ca="1">(L26-'Airfoil 1'!$Z$85)/ABS(L26-'Airfoil 1'!$Z$85)</f>
        <v>-1</v>
      </c>
      <c r="CQ26" s="16">
        <f ca="1">(L26-'Airfoil 1'!$Z$86)/ABS(L26-'Airfoil 1'!$Z$86)</f>
        <v>-1</v>
      </c>
      <c r="CR26" s="16">
        <f ca="1">(L26-'Airfoil 1'!$Z$87)/ABS(L26-'Airfoil 1'!$Z$87)</f>
        <v>-1</v>
      </c>
      <c r="CS26" s="16">
        <f ca="1">(L26-'Airfoil 1'!$Z$88)/ABS(L26-'Airfoil 1'!$Z$88)</f>
        <v>-1</v>
      </c>
      <c r="CT26" s="16">
        <f ca="1">(L26-'Airfoil 1'!$Z$89)/ABS(L26-'Airfoil 1'!$Z$89)</f>
        <v>-1</v>
      </c>
      <c r="CU26" s="16">
        <f ca="1">(L26-'Airfoil 1'!$Z$90)/ABS(L26-'Airfoil 1'!$Z$90)</f>
        <v>-1</v>
      </c>
      <c r="CV26" s="16">
        <f ca="1">(L26-'Airfoil 1'!$Z$91)/ABS(L26-'Airfoil 1'!$Z$91)</f>
        <v>-1</v>
      </c>
      <c r="CW26" s="5">
        <f t="shared" ca="1" si="10"/>
        <v>4</v>
      </c>
      <c r="CX26" s="42">
        <f ca="1">INDEX('Airfoil 1'!$AA$72:$AA$91,CW26,1)+INDEX('Airfoil 1'!$AB$72:$AB$91,CW26,1)*(L26-INDEX('Airfoil 1'!$Z$72:$Z$91,CW26,1))</f>
        <v>1.1110331491712706E-2</v>
      </c>
    </row>
    <row r="27" spans="2:102">
      <c r="B27" s="31">
        <f>Main!B27</f>
        <v>0.33333333333333326</v>
      </c>
      <c r="D27" s="1">
        <f>'RC'!F27</f>
        <v>0.65969672852566186</v>
      </c>
      <c r="E27" s="4">
        <f>ISA!$R$10</f>
        <v>1.5987591530356481E-5</v>
      </c>
      <c r="G27" s="13">
        <f ca="1">'RC'!X27</f>
        <v>26.272229755698174</v>
      </c>
      <c r="H27" s="5">
        <f t="shared" ca="1" si="0"/>
        <v>361357.4103808364</v>
      </c>
      <c r="I27" s="16">
        <f ca="1">'Airfoil 2'!$K$14*H27^'Airfoil 2'!$L$13</f>
        <v>1.5835937877207322</v>
      </c>
      <c r="J27" s="1">
        <f ca="1">'Airfoil 2'!$K$33*H27^'Airfoil 2'!$L$32</f>
        <v>4.9797192224534133</v>
      </c>
      <c r="K27" s="13">
        <f ca="1">'Airfoil 2'!$K$52*H27^'Airfoil 2'!$L$51</f>
        <v>-9.3649434502162006</v>
      </c>
      <c r="L27" s="16">
        <f ca="1">'Aerodynamics-RC'!W27</f>
        <v>0.9</v>
      </c>
      <c r="M27" s="10">
        <f ca="1">('Airfoil 1'!$B$21+'Airfoil 1'!$B$22*L27+'Airfoil 1'!$B$23*L27^2+'Airfoil 1'!$B$24*L27^3+'Airfoil 1'!$B$25*L27^4+'Airfoil 1'!$B$26*L27^5+'Airfoil 1'!$B$27*L27^6)*0+BD27</f>
        <v>2.4489313868613138E-2</v>
      </c>
      <c r="N27" s="42">
        <f ca="1">('Airfoil 1'!$B$29+'Airfoil 1'!$B$30*L27+'Airfoil 1'!$B$31*L27^2+'Airfoil 1'!$B$32*L27^3+'Airfoil 1'!$B$33*L27^4+'Airfoil 1'!$B$34*L27^5+'Airfoil 1'!$B$35*L27^6)*0+CA27</f>
        <v>1.7370857855361597E-2</v>
      </c>
      <c r="O27" s="42">
        <f ca="1">('Airfoil 1'!$B$37+'Airfoil 1'!$B$38*L27+'Airfoil 1'!$B$39*L27^2+'Airfoil 1'!$B$40*L27^3+'Airfoil 1'!$B$41*L27^4+'Airfoil 1'!$B$42*L27^5+'Airfoil 1'!$B$43*L27^6)*0+CX27</f>
        <v>1.1110331491712706E-2</v>
      </c>
      <c r="P27" s="16">
        <f>LOG('Airfoil 1'!$F$10)+LOG('Airfoil 1'!$G$10)+LOG('Airfoil 1'!$H$10)</f>
        <v>15.176091259055681</v>
      </c>
      <c r="Q27" s="16">
        <f t="shared" ca="1" si="1"/>
        <v>-5.3254750991929125</v>
      </c>
      <c r="R27" s="16">
        <f>LOG('Airfoil 1'!$F$10)^2+LOG('Airfoil 1'!$G$10)^2+LOG('Airfoil 1'!$H$10)^2</f>
        <v>76.867141336751558</v>
      </c>
      <c r="S27" s="16">
        <f ca="1">LOG('Airfoil 1'!$F$10)*LOG(M27)+LOG('Airfoil 1'!$G$10)*LOG(N27)+LOG('Airfoil 1'!$H$10)*LOG(O27)</f>
        <v>-27.014391057528009</v>
      </c>
      <c r="T27" s="16">
        <f t="shared" ca="1" si="2"/>
        <v>141.60346469083578</v>
      </c>
      <c r="U27" s="16">
        <f t="shared" ca="1" si="3"/>
        <v>-0.77613507568957385</v>
      </c>
      <c r="V27" s="42">
        <f ca="1">IF(Energy!$F$11=1,Energy!$T$13,1)*T27*H27^U27</f>
        <v>7.5812819861653868E-3</v>
      </c>
      <c r="W27" s="10">
        <f ca="1">'Airfoil 1'!$B$48+'Airfoil 1'!$B$49*L27+'Airfoil 1'!$B$50*L27^2+'Airfoil 1'!$B$51*L27^3+'Airfoil 1'!$B$52*L27^4+'Airfoil 1'!$B$53*L27^5+'Airfoil 1'!$B$54*L27^6</f>
        <v>-0.155</v>
      </c>
      <c r="X27" s="42">
        <f ca="1">'Airfoil 1'!$B$56+'Airfoil 1'!$B$57*L27+'Airfoil 1'!$B$58*L27^2+'Airfoil 1'!$B$59*L27^3+'Airfoil 1'!$B$60*L27^4+'Airfoil 1'!$B$61*L27^5+'Airfoil 1'!$B$62*L27^6</f>
        <v>-0.155</v>
      </c>
      <c r="Y27" s="42">
        <f ca="1">'Airfoil 1'!$B$64+'Airfoil 1'!$B$65*L27+'Airfoil 1'!$B$66*L27^2+'Airfoil 1'!$B$67*L27^3+'Airfoil 1'!$B$681*L27^4+'Airfoil 1'!$B$69*L27^5+'Airfoil 1'!$B$70*L27^6</f>
        <v>-0.155</v>
      </c>
      <c r="Z27" s="16">
        <f>LOG('Airfoil 1'!$F$10)+LOG('Airfoil 1'!$G$10)+LOG('Airfoil 1'!$H$10)</f>
        <v>15.176091259055681</v>
      </c>
      <c r="AA27" s="16">
        <f t="shared" ca="1" si="4"/>
        <v>-2.4290049054891254</v>
      </c>
      <c r="AB27" s="16">
        <f>LOG('Airfoil 1'!$F$10)^2+LOG('Airfoil 1'!$G$10)^2+LOG('Airfoil 1'!$H$10)^2</f>
        <v>76.867141336751558</v>
      </c>
      <c r="AC27" s="16">
        <f ca="1">LOG('Airfoil 1'!$F$10)*LOG(ABS(W27))+LOG('Airfoil 1'!$G$10)*LOG(ABS(X27))+LOG('Airfoil 1'!$H$10)*LOG(ABS(Y27))</f>
        <v>-12.287600038132297</v>
      </c>
      <c r="AD27" s="16">
        <f t="shared" ca="1" si="5"/>
        <v>0.1550000000000121</v>
      </c>
      <c r="AE27" s="16">
        <f t="shared" ca="1" si="6"/>
        <v>-6.6718325633022456E-15</v>
      </c>
      <c r="AF27" s="42">
        <f t="shared" ca="1" si="7"/>
        <v>-0.15499999999999886</v>
      </c>
      <c r="AG27" s="16"/>
      <c r="AH27" s="42"/>
      <c r="AI27" s="16">
        <f ca="1">(L27-'Airfoil 1'!$Z$22)/ABS(L27-'Airfoil 1'!$Z$22)</f>
        <v>1</v>
      </c>
      <c r="AJ27" s="16">
        <f ca="1">(L27-'Airfoil 1'!$Z$23)/ABS(L27-'Airfoil 1'!$Z$23)</f>
        <v>1</v>
      </c>
      <c r="AK27" s="16">
        <f ca="1">(L27-'Airfoil 1'!$Z$24)/ABS(L27-'Airfoil 1'!$Z$24)</f>
        <v>1</v>
      </c>
      <c r="AL27" s="16">
        <f ca="1">(L27-'Airfoil 1'!$Z$25)/ABS(L27-'Airfoil 1'!$Z$25)</f>
        <v>1</v>
      </c>
      <c r="AM27" s="16">
        <f ca="1">(L27-'Airfoil 1'!$Z$26)/ABS(L27-'Airfoil 1'!$Z$26)</f>
        <v>1</v>
      </c>
      <c r="AN27" s="16">
        <f ca="1">(L27-'Airfoil 1'!$Z$27)/ABS(L27-'Airfoil 1'!$Z$27)</f>
        <v>1</v>
      </c>
      <c r="AO27" s="16">
        <f ca="1">(L27-'Airfoil 1'!$Z$28)/ABS(L27-'Airfoil 1'!$Z$28)</f>
        <v>1</v>
      </c>
      <c r="AP27" s="16">
        <f ca="1">(L27-'Airfoil 1'!$Z$29)/ABS(L27-'Airfoil 1'!$Z$29)</f>
        <v>-1</v>
      </c>
      <c r="AQ27" s="16">
        <f ca="1">(L27-'Airfoil 1'!$Z$30)/ABS(L27-'Airfoil 1'!$Z$30)</f>
        <v>-1</v>
      </c>
      <c r="AR27" s="16">
        <f ca="1">(L27-'Airfoil 1'!$Z$31)/ABS(L27-'Airfoil 1'!$Z$31)</f>
        <v>-1</v>
      </c>
      <c r="AS27" s="16">
        <f ca="1">(L27-'Airfoil 1'!$Z$32)/ABS(L27-'Airfoil 1'!$Z$32)</f>
        <v>-1</v>
      </c>
      <c r="AT27" s="16">
        <f ca="1">(L27-'Airfoil 1'!$Z$33)/ABS(L27-'Airfoil 1'!$Z$33)</f>
        <v>-1</v>
      </c>
      <c r="AU27" s="16">
        <f ca="1">(L27-'Airfoil 1'!$Z$34)/ABS(L27-'Airfoil 1'!$Z$34)</f>
        <v>-1</v>
      </c>
      <c r="AV27" s="16">
        <f ca="1">(L27-'Airfoil 1'!$Z$35)/ABS(L27-'Airfoil 1'!$Z$35)</f>
        <v>-1</v>
      </c>
      <c r="AW27" s="16">
        <f ca="1">(L27-'Airfoil 1'!$Z$36)/ABS(L27-'Airfoil 1'!$Z$36)</f>
        <v>-1</v>
      </c>
      <c r="AX27" s="16">
        <f ca="1">(L27-'Airfoil 1'!$Z$37)/ABS(L27-'Airfoil 1'!$Z$37)</f>
        <v>-1</v>
      </c>
      <c r="AY27" s="16">
        <f ca="1">(L27-'Airfoil 1'!$Z$38)/ABS(L27-'Airfoil 1'!$Z$38)</f>
        <v>-1</v>
      </c>
      <c r="AZ27" s="16">
        <f ca="1">(L27-'Airfoil 1'!$Z$39)/ABS(L27-'Airfoil 1'!$Z$39)</f>
        <v>-1</v>
      </c>
      <c r="BA27" s="16">
        <f ca="1">(L27-'Airfoil 1'!$Z$40)/ABS(L27-'Airfoil 1'!$Z$40)</f>
        <v>-1</v>
      </c>
      <c r="BB27" s="16">
        <f ca="1">(L27-'Airfoil 1'!$Z$41)/ABS(L27-'Airfoil 1'!$Z$41)</f>
        <v>-1</v>
      </c>
      <c r="BC27" s="5">
        <f t="shared" ca="1" si="8"/>
        <v>7</v>
      </c>
      <c r="BD27" s="42">
        <f ca="1">INDEX('Airfoil 1'!$AA$22:$AA$41,BC27,1)+INDEX('Airfoil 1'!$AB$22:$AB$41,BC27,1)*(L27-INDEX('Airfoil 1'!$Z$22:$Z$41,BC27,1))</f>
        <v>2.4489313868613138E-2</v>
      </c>
      <c r="BE27" s="6"/>
      <c r="BF27" s="16">
        <f ca="1">(L27-'Airfoil 1'!$Z$47)/ABS(L27-'Airfoil 1'!$Z$47)</f>
        <v>1</v>
      </c>
      <c r="BG27" s="16">
        <f ca="1">(L27-'Airfoil 1'!$Z$48)/ABS(L27-'Airfoil 1'!$Z$48)</f>
        <v>1</v>
      </c>
      <c r="BH27" s="16">
        <f ca="1">(L27-'Airfoil 1'!$Z$49)/ABS(L27-'Airfoil 1'!$Z$49)</f>
        <v>1</v>
      </c>
      <c r="BI27" s="16">
        <f ca="1">(L27-'Airfoil 1'!$Z$50)/ABS(L27-'Airfoil 1'!$Z$50)</f>
        <v>1</v>
      </c>
      <c r="BJ27" s="16">
        <f ca="1">(L27-'Airfoil 1'!$Z$51)/ABS(L27-'Airfoil 1'!$Z$51)</f>
        <v>1</v>
      </c>
      <c r="BK27" s="16">
        <f ca="1">(L27-'Airfoil 1'!$Z$52)/ABS(L27-'Airfoil 1'!$Z$52)</f>
        <v>1</v>
      </c>
      <c r="BL27" s="16">
        <f ca="1">(L27-'Airfoil 1'!$Z$53)/ABS(L27-'Airfoil 1'!$Z$53)</f>
        <v>-1</v>
      </c>
      <c r="BM27" s="16">
        <f ca="1">(L27-'Airfoil 1'!$Z$54)/ABS(L27-'Airfoil 1'!$Z$54)</f>
        <v>-1</v>
      </c>
      <c r="BN27" s="16">
        <f ca="1">(L27-'Airfoil 1'!$Z$55)/ABS(L27-'Airfoil 1'!$Z$55)</f>
        <v>-1</v>
      </c>
      <c r="BO27" s="16">
        <f ca="1">(L27-'Airfoil 1'!$Z$56)/ABS(L27-'Airfoil 1'!$Z$56)</f>
        <v>-1</v>
      </c>
      <c r="BP27" s="16">
        <f ca="1">(L27-'Airfoil 1'!$Z$57)/ABS(L27-'Airfoil 1'!$Z$57)</f>
        <v>-1</v>
      </c>
      <c r="BQ27" s="16">
        <f ca="1">(L27-'Airfoil 1'!$Z$58)/ABS(L27-'Airfoil 1'!$Z$58)</f>
        <v>-1</v>
      </c>
      <c r="BR27" s="16">
        <f ca="1">(L27-'Airfoil 1'!$Z$59)/ABS(L27-'Airfoil 1'!$Z$59)</f>
        <v>-1</v>
      </c>
      <c r="BS27" s="16">
        <f ca="1">(L27-'Airfoil 1'!$Z$60)/ABS(L27-'Airfoil 1'!$Z$60)</f>
        <v>-1</v>
      </c>
      <c r="BT27" s="16">
        <f ca="1">(L27-'Airfoil 1'!$Z$61)/ABS(L27-'Airfoil 1'!$Z$61)</f>
        <v>-1</v>
      </c>
      <c r="BU27" s="16">
        <f ca="1">(L27-'Airfoil 1'!$Z$62)/ABS(L27-'Airfoil 1'!$Z$62)</f>
        <v>-1</v>
      </c>
      <c r="BV27" s="16">
        <f ca="1">(L27-'Airfoil 1'!$Z$63)/ABS(L27-'Airfoil 1'!$Z$63)</f>
        <v>-1</v>
      </c>
      <c r="BW27" s="16">
        <f ca="1">(L27-'Airfoil 1'!$Z$64)/ABS(L27-'Airfoil 1'!$Z$64)</f>
        <v>-1</v>
      </c>
      <c r="BX27" s="16">
        <f ca="1">(L27-'Airfoil 1'!$Z$65)/ABS(L27-'Airfoil 1'!$Z$65)</f>
        <v>-1</v>
      </c>
      <c r="BY27" s="16">
        <f ca="1">(L27-'Airfoil 1'!$Z$66)/ABS(L27-'Airfoil 1'!$Z$66)</f>
        <v>-1</v>
      </c>
      <c r="BZ27" s="5">
        <f t="shared" ca="1" si="9"/>
        <v>6</v>
      </c>
      <c r="CA27" s="42">
        <f ca="1">INDEX('Airfoil 1'!$AA$47:$AA$66,BZ27,1)+INDEX('Airfoil 1'!$AB$47:$AB$66,BZ27,1)*(L27-INDEX('Airfoil 1'!$Z$47:$Z$66,BZ27,1))</f>
        <v>1.7370857855361597E-2</v>
      </c>
      <c r="CC27" s="16">
        <f ca="1">(L27-'Airfoil 1'!$Z$72)/ABS(L27-'Airfoil 1'!$Z$72)</f>
        <v>1</v>
      </c>
      <c r="CD27" s="16">
        <f ca="1">(L27-'Airfoil 1'!$Z$73)/ABS(L27-'Airfoil 1'!$Z$73)</f>
        <v>1</v>
      </c>
      <c r="CE27" s="16">
        <f ca="1">(L27-'Airfoil 1'!$Z$74)/ABS(L27-'Airfoil 1'!$Z$74)</f>
        <v>1</v>
      </c>
      <c r="CF27" s="16">
        <f ca="1">(L27-'Airfoil 1'!$Z$75)/ABS(L27-'Airfoil 1'!$Z$75)</f>
        <v>1</v>
      </c>
      <c r="CG27" s="16">
        <f ca="1">(L27-'Airfoil 1'!$Z$76)/ABS(L27-'Airfoil 1'!$Z$76)</f>
        <v>-1</v>
      </c>
      <c r="CH27" s="16">
        <f ca="1">(L27-'Airfoil 1'!$Z$77)/ABS(L27-'Airfoil 1'!$Z$77)</f>
        <v>-1</v>
      </c>
      <c r="CI27" s="16">
        <f ca="1">(L27-'Airfoil 1'!$Z$78)/ABS(L27-'Airfoil 1'!$Z$78)</f>
        <v>-1</v>
      </c>
      <c r="CJ27" s="16">
        <f ca="1">(L27-'Airfoil 1'!$Z$79)/ABS(L27-'Airfoil 1'!$Z$79)</f>
        <v>-1</v>
      </c>
      <c r="CK27" s="16">
        <f ca="1">(L27-'Airfoil 1'!$Z$80)/ABS(L27-'Airfoil 1'!$Z$80)</f>
        <v>-1</v>
      </c>
      <c r="CL27" s="16">
        <f ca="1">(L27-'Airfoil 1'!$Z$81)/ABS(L27-'Airfoil 1'!$Z$81)</f>
        <v>-1</v>
      </c>
      <c r="CM27" s="16">
        <f ca="1">(L27-'Airfoil 1'!$Z$82)/ABS(L27-'Airfoil 1'!$Z$82)</f>
        <v>-1</v>
      </c>
      <c r="CN27" s="16">
        <f ca="1">(L27-'Airfoil 1'!$Z$83)/ABS(L27-'Airfoil 1'!$Z$83)</f>
        <v>-1</v>
      </c>
      <c r="CO27" s="16">
        <f ca="1">(L27-'Airfoil 1'!$Z$84)/ABS(L27-'Airfoil 1'!$Z$84)</f>
        <v>-1</v>
      </c>
      <c r="CP27" s="16">
        <f ca="1">(L27-'Airfoil 1'!$Z$85)/ABS(L27-'Airfoil 1'!$Z$85)</f>
        <v>-1</v>
      </c>
      <c r="CQ27" s="16">
        <f ca="1">(L27-'Airfoil 1'!$Z$86)/ABS(L27-'Airfoil 1'!$Z$86)</f>
        <v>-1</v>
      </c>
      <c r="CR27" s="16">
        <f ca="1">(L27-'Airfoil 1'!$Z$87)/ABS(L27-'Airfoil 1'!$Z$87)</f>
        <v>-1</v>
      </c>
      <c r="CS27" s="16">
        <f ca="1">(L27-'Airfoil 1'!$Z$88)/ABS(L27-'Airfoil 1'!$Z$88)</f>
        <v>-1</v>
      </c>
      <c r="CT27" s="16">
        <f ca="1">(L27-'Airfoil 1'!$Z$89)/ABS(L27-'Airfoil 1'!$Z$89)</f>
        <v>-1</v>
      </c>
      <c r="CU27" s="16">
        <f ca="1">(L27-'Airfoil 1'!$Z$90)/ABS(L27-'Airfoil 1'!$Z$90)</f>
        <v>-1</v>
      </c>
      <c r="CV27" s="16">
        <f ca="1">(L27-'Airfoil 1'!$Z$91)/ABS(L27-'Airfoil 1'!$Z$91)</f>
        <v>-1</v>
      </c>
      <c r="CW27" s="5">
        <f t="shared" ca="1" si="10"/>
        <v>4</v>
      </c>
      <c r="CX27" s="42">
        <f ca="1">INDEX('Airfoil 1'!$AA$72:$AA$91,CW27,1)+INDEX('Airfoil 1'!$AB$72:$AB$91,CW27,1)*(L27-INDEX('Airfoil 1'!$Z$72:$Z$91,CW27,1))</f>
        <v>1.1110331491712706E-2</v>
      </c>
    </row>
    <row r="28" spans="2:102">
      <c r="B28" s="31">
        <f>Main!B28</f>
        <v>0.33333333333333326</v>
      </c>
      <c r="D28" s="1">
        <f>'RC'!F28</f>
        <v>0.65969672852566186</v>
      </c>
      <c r="E28" s="4">
        <f>ISA!$R$10</f>
        <v>1.5987591530356481E-5</v>
      </c>
      <c r="G28" s="13">
        <f ca="1">'RC'!X28</f>
        <v>25.850372382859632</v>
      </c>
      <c r="H28" s="5">
        <f t="shared" ca="1" si="0"/>
        <v>355555.03695396968</v>
      </c>
      <c r="I28" s="16">
        <f ca="1">'Airfoil 2'!$K$14*H28^'Airfoil 2'!$L$13</f>
        <v>1.583237475089335</v>
      </c>
      <c r="J28" s="1">
        <f ca="1">'Airfoil 2'!$K$33*H28^'Airfoil 2'!$L$32</f>
        <v>5.0069056188446277</v>
      </c>
      <c r="K28" s="13">
        <f ca="1">'Airfoil 2'!$K$52*H28^'Airfoil 2'!$L$51</f>
        <v>-9.264111153883432</v>
      </c>
      <c r="L28" s="16">
        <f ca="1">'Aerodynamics-RC'!W28</f>
        <v>0.9</v>
      </c>
      <c r="M28" s="10">
        <f ca="1">('Airfoil 1'!$B$21+'Airfoil 1'!$B$22*L28+'Airfoil 1'!$B$23*L28^2+'Airfoil 1'!$B$24*L28^3+'Airfoil 1'!$B$25*L28^4+'Airfoil 1'!$B$26*L28^5+'Airfoil 1'!$B$27*L28^6)*0+BD28</f>
        <v>2.4489313868613138E-2</v>
      </c>
      <c r="N28" s="42">
        <f ca="1">('Airfoil 1'!$B$29+'Airfoil 1'!$B$30*L28+'Airfoil 1'!$B$31*L28^2+'Airfoil 1'!$B$32*L28^3+'Airfoil 1'!$B$33*L28^4+'Airfoil 1'!$B$34*L28^5+'Airfoil 1'!$B$35*L28^6)*0+CA28</f>
        <v>1.7370857855361597E-2</v>
      </c>
      <c r="O28" s="42">
        <f ca="1">('Airfoil 1'!$B$37+'Airfoil 1'!$B$38*L28+'Airfoil 1'!$B$39*L28^2+'Airfoil 1'!$B$40*L28^3+'Airfoil 1'!$B$41*L28^4+'Airfoil 1'!$B$42*L28^5+'Airfoil 1'!$B$43*L28^6)*0+CX28</f>
        <v>1.1110331491712706E-2</v>
      </c>
      <c r="P28" s="16">
        <f>LOG('Airfoil 1'!$F$10)+LOG('Airfoil 1'!$G$10)+LOG('Airfoil 1'!$H$10)</f>
        <v>15.176091259055681</v>
      </c>
      <c r="Q28" s="16">
        <f t="shared" ca="1" si="1"/>
        <v>-5.3254750991929125</v>
      </c>
      <c r="R28" s="16">
        <f>LOG('Airfoil 1'!$F$10)^2+LOG('Airfoil 1'!$G$10)^2+LOG('Airfoil 1'!$H$10)^2</f>
        <v>76.867141336751558</v>
      </c>
      <c r="S28" s="16">
        <f ca="1">LOG('Airfoil 1'!$F$10)*LOG(M28)+LOG('Airfoil 1'!$G$10)*LOG(N28)+LOG('Airfoil 1'!$H$10)*LOG(O28)</f>
        <v>-27.014391057528009</v>
      </c>
      <c r="T28" s="16">
        <f t="shared" ca="1" si="2"/>
        <v>141.60346469083578</v>
      </c>
      <c r="U28" s="16">
        <f t="shared" ca="1" si="3"/>
        <v>-0.77613507568957385</v>
      </c>
      <c r="V28" s="42">
        <f ca="1">IF(Energy!$F$11=1,Energy!$T$13,1)*T28*H28^U28</f>
        <v>7.6771315225091091E-3</v>
      </c>
      <c r="W28" s="10">
        <f ca="1">'Airfoil 1'!$B$48+'Airfoil 1'!$B$49*L28+'Airfoil 1'!$B$50*L28^2+'Airfoil 1'!$B$51*L28^3+'Airfoil 1'!$B$52*L28^4+'Airfoil 1'!$B$53*L28^5+'Airfoil 1'!$B$54*L28^6</f>
        <v>-0.155</v>
      </c>
      <c r="X28" s="42">
        <f ca="1">'Airfoil 1'!$B$56+'Airfoil 1'!$B$57*L28+'Airfoil 1'!$B$58*L28^2+'Airfoil 1'!$B$59*L28^3+'Airfoil 1'!$B$60*L28^4+'Airfoil 1'!$B$61*L28^5+'Airfoil 1'!$B$62*L28^6</f>
        <v>-0.155</v>
      </c>
      <c r="Y28" s="42">
        <f ca="1">'Airfoil 1'!$B$64+'Airfoil 1'!$B$65*L28+'Airfoil 1'!$B$66*L28^2+'Airfoil 1'!$B$67*L28^3+'Airfoil 1'!$B$681*L28^4+'Airfoil 1'!$B$69*L28^5+'Airfoil 1'!$B$70*L28^6</f>
        <v>-0.155</v>
      </c>
      <c r="Z28" s="16">
        <f>LOG('Airfoil 1'!$F$10)+LOG('Airfoil 1'!$G$10)+LOG('Airfoil 1'!$H$10)</f>
        <v>15.176091259055681</v>
      </c>
      <c r="AA28" s="16">
        <f t="shared" ca="1" si="4"/>
        <v>-2.4290049054891254</v>
      </c>
      <c r="AB28" s="16">
        <f>LOG('Airfoil 1'!$F$10)^2+LOG('Airfoil 1'!$G$10)^2+LOG('Airfoil 1'!$H$10)^2</f>
        <v>76.867141336751558</v>
      </c>
      <c r="AC28" s="16">
        <f ca="1">LOG('Airfoil 1'!$F$10)*LOG(ABS(W28))+LOG('Airfoil 1'!$G$10)*LOG(ABS(X28))+LOG('Airfoil 1'!$H$10)*LOG(ABS(Y28))</f>
        <v>-12.287600038132297</v>
      </c>
      <c r="AD28" s="16">
        <f t="shared" ca="1" si="5"/>
        <v>0.1550000000000121</v>
      </c>
      <c r="AE28" s="16">
        <f t="shared" ca="1" si="6"/>
        <v>-6.6718325633022456E-15</v>
      </c>
      <c r="AF28" s="42">
        <f t="shared" ca="1" si="7"/>
        <v>-0.15499999999999889</v>
      </c>
      <c r="AG28" s="16"/>
      <c r="AH28" s="42"/>
      <c r="AI28" s="16">
        <f ca="1">(L28-'Airfoil 1'!$Z$22)/ABS(L28-'Airfoil 1'!$Z$22)</f>
        <v>1</v>
      </c>
      <c r="AJ28" s="16">
        <f ca="1">(L28-'Airfoil 1'!$Z$23)/ABS(L28-'Airfoil 1'!$Z$23)</f>
        <v>1</v>
      </c>
      <c r="AK28" s="16">
        <f ca="1">(L28-'Airfoil 1'!$Z$24)/ABS(L28-'Airfoil 1'!$Z$24)</f>
        <v>1</v>
      </c>
      <c r="AL28" s="16">
        <f ca="1">(L28-'Airfoil 1'!$Z$25)/ABS(L28-'Airfoil 1'!$Z$25)</f>
        <v>1</v>
      </c>
      <c r="AM28" s="16">
        <f ca="1">(L28-'Airfoil 1'!$Z$26)/ABS(L28-'Airfoil 1'!$Z$26)</f>
        <v>1</v>
      </c>
      <c r="AN28" s="16">
        <f ca="1">(L28-'Airfoil 1'!$Z$27)/ABS(L28-'Airfoil 1'!$Z$27)</f>
        <v>1</v>
      </c>
      <c r="AO28" s="16">
        <f ca="1">(L28-'Airfoil 1'!$Z$28)/ABS(L28-'Airfoil 1'!$Z$28)</f>
        <v>1</v>
      </c>
      <c r="AP28" s="16">
        <f ca="1">(L28-'Airfoil 1'!$Z$29)/ABS(L28-'Airfoil 1'!$Z$29)</f>
        <v>-1</v>
      </c>
      <c r="AQ28" s="16">
        <f ca="1">(L28-'Airfoil 1'!$Z$30)/ABS(L28-'Airfoil 1'!$Z$30)</f>
        <v>-1</v>
      </c>
      <c r="AR28" s="16">
        <f ca="1">(L28-'Airfoil 1'!$Z$31)/ABS(L28-'Airfoil 1'!$Z$31)</f>
        <v>-1</v>
      </c>
      <c r="AS28" s="16">
        <f ca="1">(L28-'Airfoil 1'!$Z$32)/ABS(L28-'Airfoil 1'!$Z$32)</f>
        <v>-1</v>
      </c>
      <c r="AT28" s="16">
        <f ca="1">(L28-'Airfoil 1'!$Z$33)/ABS(L28-'Airfoil 1'!$Z$33)</f>
        <v>-1</v>
      </c>
      <c r="AU28" s="16">
        <f ca="1">(L28-'Airfoil 1'!$Z$34)/ABS(L28-'Airfoil 1'!$Z$34)</f>
        <v>-1</v>
      </c>
      <c r="AV28" s="16">
        <f ca="1">(L28-'Airfoil 1'!$Z$35)/ABS(L28-'Airfoil 1'!$Z$35)</f>
        <v>-1</v>
      </c>
      <c r="AW28" s="16">
        <f ca="1">(L28-'Airfoil 1'!$Z$36)/ABS(L28-'Airfoil 1'!$Z$36)</f>
        <v>-1</v>
      </c>
      <c r="AX28" s="16">
        <f ca="1">(L28-'Airfoil 1'!$Z$37)/ABS(L28-'Airfoil 1'!$Z$37)</f>
        <v>-1</v>
      </c>
      <c r="AY28" s="16">
        <f ca="1">(L28-'Airfoil 1'!$Z$38)/ABS(L28-'Airfoil 1'!$Z$38)</f>
        <v>-1</v>
      </c>
      <c r="AZ28" s="16">
        <f ca="1">(L28-'Airfoil 1'!$Z$39)/ABS(L28-'Airfoil 1'!$Z$39)</f>
        <v>-1</v>
      </c>
      <c r="BA28" s="16">
        <f ca="1">(L28-'Airfoil 1'!$Z$40)/ABS(L28-'Airfoil 1'!$Z$40)</f>
        <v>-1</v>
      </c>
      <c r="BB28" s="16">
        <f ca="1">(L28-'Airfoil 1'!$Z$41)/ABS(L28-'Airfoil 1'!$Z$41)</f>
        <v>-1</v>
      </c>
      <c r="BC28" s="5">
        <f t="shared" ca="1" si="8"/>
        <v>7</v>
      </c>
      <c r="BD28" s="42">
        <f ca="1">INDEX('Airfoil 1'!$AA$22:$AA$41,BC28,1)+INDEX('Airfoil 1'!$AB$22:$AB$41,BC28,1)*(L28-INDEX('Airfoil 1'!$Z$22:$Z$41,BC28,1))</f>
        <v>2.4489313868613138E-2</v>
      </c>
      <c r="BE28" s="6"/>
      <c r="BF28" s="16">
        <f ca="1">(L28-'Airfoil 1'!$Z$47)/ABS(L28-'Airfoil 1'!$Z$47)</f>
        <v>1</v>
      </c>
      <c r="BG28" s="16">
        <f ca="1">(L28-'Airfoil 1'!$Z$48)/ABS(L28-'Airfoil 1'!$Z$48)</f>
        <v>1</v>
      </c>
      <c r="BH28" s="16">
        <f ca="1">(L28-'Airfoil 1'!$Z$49)/ABS(L28-'Airfoil 1'!$Z$49)</f>
        <v>1</v>
      </c>
      <c r="BI28" s="16">
        <f ca="1">(L28-'Airfoil 1'!$Z$50)/ABS(L28-'Airfoil 1'!$Z$50)</f>
        <v>1</v>
      </c>
      <c r="BJ28" s="16">
        <f ca="1">(L28-'Airfoil 1'!$Z$51)/ABS(L28-'Airfoil 1'!$Z$51)</f>
        <v>1</v>
      </c>
      <c r="BK28" s="16">
        <f ca="1">(L28-'Airfoil 1'!$Z$52)/ABS(L28-'Airfoil 1'!$Z$52)</f>
        <v>1</v>
      </c>
      <c r="BL28" s="16">
        <f ca="1">(L28-'Airfoil 1'!$Z$53)/ABS(L28-'Airfoil 1'!$Z$53)</f>
        <v>-1</v>
      </c>
      <c r="BM28" s="16">
        <f ca="1">(L28-'Airfoil 1'!$Z$54)/ABS(L28-'Airfoil 1'!$Z$54)</f>
        <v>-1</v>
      </c>
      <c r="BN28" s="16">
        <f ca="1">(L28-'Airfoil 1'!$Z$55)/ABS(L28-'Airfoil 1'!$Z$55)</f>
        <v>-1</v>
      </c>
      <c r="BO28" s="16">
        <f ca="1">(L28-'Airfoil 1'!$Z$56)/ABS(L28-'Airfoil 1'!$Z$56)</f>
        <v>-1</v>
      </c>
      <c r="BP28" s="16">
        <f ca="1">(L28-'Airfoil 1'!$Z$57)/ABS(L28-'Airfoil 1'!$Z$57)</f>
        <v>-1</v>
      </c>
      <c r="BQ28" s="16">
        <f ca="1">(L28-'Airfoil 1'!$Z$58)/ABS(L28-'Airfoil 1'!$Z$58)</f>
        <v>-1</v>
      </c>
      <c r="BR28" s="16">
        <f ca="1">(L28-'Airfoil 1'!$Z$59)/ABS(L28-'Airfoil 1'!$Z$59)</f>
        <v>-1</v>
      </c>
      <c r="BS28" s="16">
        <f ca="1">(L28-'Airfoil 1'!$Z$60)/ABS(L28-'Airfoil 1'!$Z$60)</f>
        <v>-1</v>
      </c>
      <c r="BT28" s="16">
        <f ca="1">(L28-'Airfoil 1'!$Z$61)/ABS(L28-'Airfoil 1'!$Z$61)</f>
        <v>-1</v>
      </c>
      <c r="BU28" s="16">
        <f ca="1">(L28-'Airfoil 1'!$Z$62)/ABS(L28-'Airfoil 1'!$Z$62)</f>
        <v>-1</v>
      </c>
      <c r="BV28" s="16">
        <f ca="1">(L28-'Airfoil 1'!$Z$63)/ABS(L28-'Airfoil 1'!$Z$63)</f>
        <v>-1</v>
      </c>
      <c r="BW28" s="16">
        <f ca="1">(L28-'Airfoil 1'!$Z$64)/ABS(L28-'Airfoil 1'!$Z$64)</f>
        <v>-1</v>
      </c>
      <c r="BX28" s="16">
        <f ca="1">(L28-'Airfoil 1'!$Z$65)/ABS(L28-'Airfoil 1'!$Z$65)</f>
        <v>-1</v>
      </c>
      <c r="BY28" s="16">
        <f ca="1">(L28-'Airfoil 1'!$Z$66)/ABS(L28-'Airfoil 1'!$Z$66)</f>
        <v>-1</v>
      </c>
      <c r="BZ28" s="5">
        <f t="shared" ca="1" si="9"/>
        <v>6</v>
      </c>
      <c r="CA28" s="42">
        <f ca="1">INDEX('Airfoil 1'!$AA$47:$AA$66,BZ28,1)+INDEX('Airfoil 1'!$AB$47:$AB$66,BZ28,1)*(L28-INDEX('Airfoil 1'!$Z$47:$Z$66,BZ28,1))</f>
        <v>1.7370857855361597E-2</v>
      </c>
      <c r="CC28" s="16">
        <f ca="1">(L28-'Airfoil 1'!$Z$72)/ABS(L28-'Airfoil 1'!$Z$72)</f>
        <v>1</v>
      </c>
      <c r="CD28" s="16">
        <f ca="1">(L28-'Airfoil 1'!$Z$73)/ABS(L28-'Airfoil 1'!$Z$73)</f>
        <v>1</v>
      </c>
      <c r="CE28" s="16">
        <f ca="1">(L28-'Airfoil 1'!$Z$74)/ABS(L28-'Airfoil 1'!$Z$74)</f>
        <v>1</v>
      </c>
      <c r="CF28" s="16">
        <f ca="1">(L28-'Airfoil 1'!$Z$75)/ABS(L28-'Airfoil 1'!$Z$75)</f>
        <v>1</v>
      </c>
      <c r="CG28" s="16">
        <f ca="1">(L28-'Airfoil 1'!$Z$76)/ABS(L28-'Airfoil 1'!$Z$76)</f>
        <v>-1</v>
      </c>
      <c r="CH28" s="16">
        <f ca="1">(L28-'Airfoil 1'!$Z$77)/ABS(L28-'Airfoil 1'!$Z$77)</f>
        <v>-1</v>
      </c>
      <c r="CI28" s="16">
        <f ca="1">(L28-'Airfoil 1'!$Z$78)/ABS(L28-'Airfoil 1'!$Z$78)</f>
        <v>-1</v>
      </c>
      <c r="CJ28" s="16">
        <f ca="1">(L28-'Airfoil 1'!$Z$79)/ABS(L28-'Airfoil 1'!$Z$79)</f>
        <v>-1</v>
      </c>
      <c r="CK28" s="16">
        <f ca="1">(L28-'Airfoil 1'!$Z$80)/ABS(L28-'Airfoil 1'!$Z$80)</f>
        <v>-1</v>
      </c>
      <c r="CL28" s="16">
        <f ca="1">(L28-'Airfoil 1'!$Z$81)/ABS(L28-'Airfoil 1'!$Z$81)</f>
        <v>-1</v>
      </c>
      <c r="CM28" s="16">
        <f ca="1">(L28-'Airfoil 1'!$Z$82)/ABS(L28-'Airfoil 1'!$Z$82)</f>
        <v>-1</v>
      </c>
      <c r="CN28" s="16">
        <f ca="1">(L28-'Airfoil 1'!$Z$83)/ABS(L28-'Airfoil 1'!$Z$83)</f>
        <v>-1</v>
      </c>
      <c r="CO28" s="16">
        <f ca="1">(L28-'Airfoil 1'!$Z$84)/ABS(L28-'Airfoil 1'!$Z$84)</f>
        <v>-1</v>
      </c>
      <c r="CP28" s="16">
        <f ca="1">(L28-'Airfoil 1'!$Z$85)/ABS(L28-'Airfoil 1'!$Z$85)</f>
        <v>-1</v>
      </c>
      <c r="CQ28" s="16">
        <f ca="1">(L28-'Airfoil 1'!$Z$86)/ABS(L28-'Airfoil 1'!$Z$86)</f>
        <v>-1</v>
      </c>
      <c r="CR28" s="16">
        <f ca="1">(L28-'Airfoil 1'!$Z$87)/ABS(L28-'Airfoil 1'!$Z$87)</f>
        <v>-1</v>
      </c>
      <c r="CS28" s="16">
        <f ca="1">(L28-'Airfoil 1'!$Z$88)/ABS(L28-'Airfoil 1'!$Z$88)</f>
        <v>-1</v>
      </c>
      <c r="CT28" s="16">
        <f ca="1">(L28-'Airfoil 1'!$Z$89)/ABS(L28-'Airfoil 1'!$Z$89)</f>
        <v>-1</v>
      </c>
      <c r="CU28" s="16">
        <f ca="1">(L28-'Airfoil 1'!$Z$90)/ABS(L28-'Airfoil 1'!$Z$90)</f>
        <v>-1</v>
      </c>
      <c r="CV28" s="16">
        <f ca="1">(L28-'Airfoil 1'!$Z$91)/ABS(L28-'Airfoil 1'!$Z$91)</f>
        <v>-1</v>
      </c>
      <c r="CW28" s="5">
        <f t="shared" ca="1" si="10"/>
        <v>4</v>
      </c>
      <c r="CX28" s="42">
        <f ca="1">INDEX('Airfoil 1'!$AA$72:$AA$91,CW28,1)+INDEX('Airfoil 1'!$AB$72:$AB$91,CW28,1)*(L28-INDEX('Airfoil 1'!$Z$72:$Z$91,CW28,1))</f>
        <v>1.1110331491712706E-2</v>
      </c>
    </row>
    <row r="29" spans="2:102">
      <c r="B29" s="31">
        <f>Main!B29</f>
        <v>0.33333333333333326</v>
      </c>
      <c r="D29" s="1">
        <f>'RC'!F29</f>
        <v>0.65969672852566186</v>
      </c>
      <c r="E29" s="4">
        <f>ISA!$R$10</f>
        <v>1.5987591530356481E-5</v>
      </c>
      <c r="G29" s="13">
        <f ca="1">'RC'!X29</f>
        <v>25.337550160719807</v>
      </c>
      <c r="H29" s="5">
        <f t="shared" ca="1" si="0"/>
        <v>348501.50126623455</v>
      </c>
      <c r="I29" s="16">
        <f ca="1">'Airfoil 2'!$K$14*H29^'Airfoil 2'!$L$13</f>
        <v>1.5827965277834506</v>
      </c>
      <c r="J29" s="1">
        <f ca="1">'Airfoil 2'!$K$33*H29^'Airfoil 2'!$L$32</f>
        <v>5.0407637121235815</v>
      </c>
      <c r="K29" s="13">
        <f ca="1">'Airfoil 2'!$K$52*H29^'Airfoil 2'!$L$51</f>
        <v>-9.1407992178332265</v>
      </c>
      <c r="L29" s="16">
        <f ca="1">'Aerodynamics-RC'!W29</f>
        <v>0.9</v>
      </c>
      <c r="M29" s="10">
        <f ca="1">('Airfoil 1'!$B$21+'Airfoil 1'!$B$22*L29+'Airfoil 1'!$B$23*L29^2+'Airfoil 1'!$B$24*L29^3+'Airfoil 1'!$B$25*L29^4+'Airfoil 1'!$B$26*L29^5+'Airfoil 1'!$B$27*L29^6)*0+BD29</f>
        <v>2.4489313868613138E-2</v>
      </c>
      <c r="N29" s="42">
        <f ca="1">('Airfoil 1'!$B$29+'Airfoil 1'!$B$30*L29+'Airfoil 1'!$B$31*L29^2+'Airfoil 1'!$B$32*L29^3+'Airfoil 1'!$B$33*L29^4+'Airfoil 1'!$B$34*L29^5+'Airfoil 1'!$B$35*L29^6)*0+CA29</f>
        <v>1.7370857855361597E-2</v>
      </c>
      <c r="O29" s="42">
        <f ca="1">('Airfoil 1'!$B$37+'Airfoil 1'!$B$38*L29+'Airfoil 1'!$B$39*L29^2+'Airfoil 1'!$B$40*L29^3+'Airfoil 1'!$B$41*L29^4+'Airfoil 1'!$B$42*L29^5+'Airfoil 1'!$B$43*L29^6)*0+CX29</f>
        <v>1.1110331491712706E-2</v>
      </c>
      <c r="P29" s="16">
        <f>LOG('Airfoil 1'!$F$10)+LOG('Airfoil 1'!$G$10)+LOG('Airfoil 1'!$H$10)</f>
        <v>15.176091259055681</v>
      </c>
      <c r="Q29" s="16">
        <f t="shared" ca="1" si="1"/>
        <v>-5.3254750991929125</v>
      </c>
      <c r="R29" s="16">
        <f>LOG('Airfoil 1'!$F$10)^2+LOG('Airfoil 1'!$G$10)^2+LOG('Airfoil 1'!$H$10)^2</f>
        <v>76.867141336751558</v>
      </c>
      <c r="S29" s="16">
        <f ca="1">LOG('Airfoil 1'!$F$10)*LOG(M29)+LOG('Airfoil 1'!$G$10)*LOG(N29)+LOG('Airfoil 1'!$H$10)*LOG(O29)</f>
        <v>-27.014391057528009</v>
      </c>
      <c r="T29" s="16">
        <f t="shared" ca="1" si="2"/>
        <v>141.60346469083578</v>
      </c>
      <c r="U29" s="16">
        <f t="shared" ca="1" si="3"/>
        <v>-0.77613507568957385</v>
      </c>
      <c r="V29" s="42">
        <f ca="1">IF(Energy!$F$11=1,Energy!$T$13,1)*T29*H29^U29</f>
        <v>7.7974580991565269E-3</v>
      </c>
      <c r="W29" s="10">
        <f ca="1">'Airfoil 1'!$B$48+'Airfoil 1'!$B$49*L29+'Airfoil 1'!$B$50*L29^2+'Airfoil 1'!$B$51*L29^3+'Airfoil 1'!$B$52*L29^4+'Airfoil 1'!$B$53*L29^5+'Airfoil 1'!$B$54*L29^6</f>
        <v>-0.155</v>
      </c>
      <c r="X29" s="42">
        <f ca="1">'Airfoil 1'!$B$56+'Airfoil 1'!$B$57*L29+'Airfoil 1'!$B$58*L29^2+'Airfoil 1'!$B$59*L29^3+'Airfoil 1'!$B$60*L29^4+'Airfoil 1'!$B$61*L29^5+'Airfoil 1'!$B$62*L29^6</f>
        <v>-0.155</v>
      </c>
      <c r="Y29" s="42">
        <f ca="1">'Airfoil 1'!$B$64+'Airfoil 1'!$B$65*L29+'Airfoil 1'!$B$66*L29^2+'Airfoil 1'!$B$67*L29^3+'Airfoil 1'!$B$681*L29^4+'Airfoil 1'!$B$69*L29^5+'Airfoil 1'!$B$70*L29^6</f>
        <v>-0.155</v>
      </c>
      <c r="Z29" s="16">
        <f>LOG('Airfoil 1'!$F$10)+LOG('Airfoil 1'!$G$10)+LOG('Airfoil 1'!$H$10)</f>
        <v>15.176091259055681</v>
      </c>
      <c r="AA29" s="16">
        <f t="shared" ca="1" si="4"/>
        <v>-2.4290049054891254</v>
      </c>
      <c r="AB29" s="16">
        <f>LOG('Airfoil 1'!$F$10)^2+LOG('Airfoil 1'!$G$10)^2+LOG('Airfoil 1'!$H$10)^2</f>
        <v>76.867141336751558</v>
      </c>
      <c r="AC29" s="16">
        <f ca="1">LOG('Airfoil 1'!$F$10)*LOG(ABS(W29))+LOG('Airfoil 1'!$G$10)*LOG(ABS(X29))+LOG('Airfoil 1'!$H$10)*LOG(ABS(Y29))</f>
        <v>-12.287600038132297</v>
      </c>
      <c r="AD29" s="16">
        <f t="shared" ca="1" si="5"/>
        <v>0.1550000000000121</v>
      </c>
      <c r="AE29" s="16">
        <f t="shared" ca="1" si="6"/>
        <v>-6.6718325633022456E-15</v>
      </c>
      <c r="AF29" s="42">
        <f t="shared" ca="1" si="7"/>
        <v>-0.15499999999999892</v>
      </c>
      <c r="AG29" s="16"/>
      <c r="AH29" s="42"/>
      <c r="AI29" s="16">
        <f ca="1">(L29-'Airfoil 1'!$Z$22)/ABS(L29-'Airfoil 1'!$Z$22)</f>
        <v>1</v>
      </c>
      <c r="AJ29" s="16">
        <f ca="1">(L29-'Airfoil 1'!$Z$23)/ABS(L29-'Airfoil 1'!$Z$23)</f>
        <v>1</v>
      </c>
      <c r="AK29" s="16">
        <f ca="1">(L29-'Airfoil 1'!$Z$24)/ABS(L29-'Airfoil 1'!$Z$24)</f>
        <v>1</v>
      </c>
      <c r="AL29" s="16">
        <f ca="1">(L29-'Airfoil 1'!$Z$25)/ABS(L29-'Airfoil 1'!$Z$25)</f>
        <v>1</v>
      </c>
      <c r="AM29" s="16">
        <f ca="1">(L29-'Airfoil 1'!$Z$26)/ABS(L29-'Airfoil 1'!$Z$26)</f>
        <v>1</v>
      </c>
      <c r="AN29" s="16">
        <f ca="1">(L29-'Airfoil 1'!$Z$27)/ABS(L29-'Airfoil 1'!$Z$27)</f>
        <v>1</v>
      </c>
      <c r="AO29" s="16">
        <f ca="1">(L29-'Airfoil 1'!$Z$28)/ABS(L29-'Airfoil 1'!$Z$28)</f>
        <v>1</v>
      </c>
      <c r="AP29" s="16">
        <f ca="1">(L29-'Airfoil 1'!$Z$29)/ABS(L29-'Airfoil 1'!$Z$29)</f>
        <v>-1</v>
      </c>
      <c r="AQ29" s="16">
        <f ca="1">(L29-'Airfoil 1'!$Z$30)/ABS(L29-'Airfoil 1'!$Z$30)</f>
        <v>-1</v>
      </c>
      <c r="AR29" s="16">
        <f ca="1">(L29-'Airfoil 1'!$Z$31)/ABS(L29-'Airfoil 1'!$Z$31)</f>
        <v>-1</v>
      </c>
      <c r="AS29" s="16">
        <f ca="1">(L29-'Airfoil 1'!$Z$32)/ABS(L29-'Airfoil 1'!$Z$32)</f>
        <v>-1</v>
      </c>
      <c r="AT29" s="16">
        <f ca="1">(L29-'Airfoil 1'!$Z$33)/ABS(L29-'Airfoil 1'!$Z$33)</f>
        <v>-1</v>
      </c>
      <c r="AU29" s="16">
        <f ca="1">(L29-'Airfoil 1'!$Z$34)/ABS(L29-'Airfoil 1'!$Z$34)</f>
        <v>-1</v>
      </c>
      <c r="AV29" s="16">
        <f ca="1">(L29-'Airfoil 1'!$Z$35)/ABS(L29-'Airfoil 1'!$Z$35)</f>
        <v>-1</v>
      </c>
      <c r="AW29" s="16">
        <f ca="1">(L29-'Airfoil 1'!$Z$36)/ABS(L29-'Airfoil 1'!$Z$36)</f>
        <v>-1</v>
      </c>
      <c r="AX29" s="16">
        <f ca="1">(L29-'Airfoil 1'!$Z$37)/ABS(L29-'Airfoil 1'!$Z$37)</f>
        <v>-1</v>
      </c>
      <c r="AY29" s="16">
        <f ca="1">(L29-'Airfoil 1'!$Z$38)/ABS(L29-'Airfoil 1'!$Z$38)</f>
        <v>-1</v>
      </c>
      <c r="AZ29" s="16">
        <f ca="1">(L29-'Airfoil 1'!$Z$39)/ABS(L29-'Airfoil 1'!$Z$39)</f>
        <v>-1</v>
      </c>
      <c r="BA29" s="16">
        <f ca="1">(L29-'Airfoil 1'!$Z$40)/ABS(L29-'Airfoil 1'!$Z$40)</f>
        <v>-1</v>
      </c>
      <c r="BB29" s="16">
        <f ca="1">(L29-'Airfoil 1'!$Z$41)/ABS(L29-'Airfoil 1'!$Z$41)</f>
        <v>-1</v>
      </c>
      <c r="BC29" s="5">
        <f t="shared" ca="1" si="8"/>
        <v>7</v>
      </c>
      <c r="BD29" s="42">
        <f ca="1">INDEX('Airfoil 1'!$AA$22:$AA$41,BC29,1)+INDEX('Airfoil 1'!$AB$22:$AB$41,BC29,1)*(L29-INDEX('Airfoil 1'!$Z$22:$Z$41,BC29,1))</f>
        <v>2.4489313868613138E-2</v>
      </c>
      <c r="BE29" s="6"/>
      <c r="BF29" s="16">
        <f ca="1">(L29-'Airfoil 1'!$Z$47)/ABS(L29-'Airfoil 1'!$Z$47)</f>
        <v>1</v>
      </c>
      <c r="BG29" s="16">
        <f ca="1">(L29-'Airfoil 1'!$Z$48)/ABS(L29-'Airfoil 1'!$Z$48)</f>
        <v>1</v>
      </c>
      <c r="BH29" s="16">
        <f ca="1">(L29-'Airfoil 1'!$Z$49)/ABS(L29-'Airfoil 1'!$Z$49)</f>
        <v>1</v>
      </c>
      <c r="BI29" s="16">
        <f ca="1">(L29-'Airfoil 1'!$Z$50)/ABS(L29-'Airfoil 1'!$Z$50)</f>
        <v>1</v>
      </c>
      <c r="BJ29" s="16">
        <f ca="1">(L29-'Airfoil 1'!$Z$51)/ABS(L29-'Airfoil 1'!$Z$51)</f>
        <v>1</v>
      </c>
      <c r="BK29" s="16">
        <f ca="1">(L29-'Airfoil 1'!$Z$52)/ABS(L29-'Airfoil 1'!$Z$52)</f>
        <v>1</v>
      </c>
      <c r="BL29" s="16">
        <f ca="1">(L29-'Airfoil 1'!$Z$53)/ABS(L29-'Airfoil 1'!$Z$53)</f>
        <v>-1</v>
      </c>
      <c r="BM29" s="16">
        <f ca="1">(L29-'Airfoil 1'!$Z$54)/ABS(L29-'Airfoil 1'!$Z$54)</f>
        <v>-1</v>
      </c>
      <c r="BN29" s="16">
        <f ca="1">(L29-'Airfoil 1'!$Z$55)/ABS(L29-'Airfoil 1'!$Z$55)</f>
        <v>-1</v>
      </c>
      <c r="BO29" s="16">
        <f ca="1">(L29-'Airfoil 1'!$Z$56)/ABS(L29-'Airfoil 1'!$Z$56)</f>
        <v>-1</v>
      </c>
      <c r="BP29" s="16">
        <f ca="1">(L29-'Airfoil 1'!$Z$57)/ABS(L29-'Airfoil 1'!$Z$57)</f>
        <v>-1</v>
      </c>
      <c r="BQ29" s="16">
        <f ca="1">(L29-'Airfoil 1'!$Z$58)/ABS(L29-'Airfoil 1'!$Z$58)</f>
        <v>-1</v>
      </c>
      <c r="BR29" s="16">
        <f ca="1">(L29-'Airfoil 1'!$Z$59)/ABS(L29-'Airfoil 1'!$Z$59)</f>
        <v>-1</v>
      </c>
      <c r="BS29" s="16">
        <f ca="1">(L29-'Airfoil 1'!$Z$60)/ABS(L29-'Airfoil 1'!$Z$60)</f>
        <v>-1</v>
      </c>
      <c r="BT29" s="16">
        <f ca="1">(L29-'Airfoil 1'!$Z$61)/ABS(L29-'Airfoil 1'!$Z$61)</f>
        <v>-1</v>
      </c>
      <c r="BU29" s="16">
        <f ca="1">(L29-'Airfoil 1'!$Z$62)/ABS(L29-'Airfoil 1'!$Z$62)</f>
        <v>-1</v>
      </c>
      <c r="BV29" s="16">
        <f ca="1">(L29-'Airfoil 1'!$Z$63)/ABS(L29-'Airfoil 1'!$Z$63)</f>
        <v>-1</v>
      </c>
      <c r="BW29" s="16">
        <f ca="1">(L29-'Airfoil 1'!$Z$64)/ABS(L29-'Airfoil 1'!$Z$64)</f>
        <v>-1</v>
      </c>
      <c r="BX29" s="16">
        <f ca="1">(L29-'Airfoil 1'!$Z$65)/ABS(L29-'Airfoil 1'!$Z$65)</f>
        <v>-1</v>
      </c>
      <c r="BY29" s="16">
        <f ca="1">(L29-'Airfoil 1'!$Z$66)/ABS(L29-'Airfoil 1'!$Z$66)</f>
        <v>-1</v>
      </c>
      <c r="BZ29" s="5">
        <f t="shared" ca="1" si="9"/>
        <v>6</v>
      </c>
      <c r="CA29" s="42">
        <f ca="1">INDEX('Airfoil 1'!$AA$47:$AA$66,BZ29,1)+INDEX('Airfoil 1'!$AB$47:$AB$66,BZ29,1)*(L29-INDEX('Airfoil 1'!$Z$47:$Z$66,BZ29,1))</f>
        <v>1.7370857855361597E-2</v>
      </c>
      <c r="CC29" s="16">
        <f ca="1">(L29-'Airfoil 1'!$Z$72)/ABS(L29-'Airfoil 1'!$Z$72)</f>
        <v>1</v>
      </c>
      <c r="CD29" s="16">
        <f ca="1">(L29-'Airfoil 1'!$Z$73)/ABS(L29-'Airfoil 1'!$Z$73)</f>
        <v>1</v>
      </c>
      <c r="CE29" s="16">
        <f ca="1">(L29-'Airfoil 1'!$Z$74)/ABS(L29-'Airfoil 1'!$Z$74)</f>
        <v>1</v>
      </c>
      <c r="CF29" s="16">
        <f ca="1">(L29-'Airfoil 1'!$Z$75)/ABS(L29-'Airfoil 1'!$Z$75)</f>
        <v>1</v>
      </c>
      <c r="CG29" s="16">
        <f ca="1">(L29-'Airfoil 1'!$Z$76)/ABS(L29-'Airfoil 1'!$Z$76)</f>
        <v>-1</v>
      </c>
      <c r="CH29" s="16">
        <f ca="1">(L29-'Airfoil 1'!$Z$77)/ABS(L29-'Airfoil 1'!$Z$77)</f>
        <v>-1</v>
      </c>
      <c r="CI29" s="16">
        <f ca="1">(L29-'Airfoil 1'!$Z$78)/ABS(L29-'Airfoil 1'!$Z$78)</f>
        <v>-1</v>
      </c>
      <c r="CJ29" s="16">
        <f ca="1">(L29-'Airfoil 1'!$Z$79)/ABS(L29-'Airfoil 1'!$Z$79)</f>
        <v>-1</v>
      </c>
      <c r="CK29" s="16">
        <f ca="1">(L29-'Airfoil 1'!$Z$80)/ABS(L29-'Airfoil 1'!$Z$80)</f>
        <v>-1</v>
      </c>
      <c r="CL29" s="16">
        <f ca="1">(L29-'Airfoil 1'!$Z$81)/ABS(L29-'Airfoil 1'!$Z$81)</f>
        <v>-1</v>
      </c>
      <c r="CM29" s="16">
        <f ca="1">(L29-'Airfoil 1'!$Z$82)/ABS(L29-'Airfoil 1'!$Z$82)</f>
        <v>-1</v>
      </c>
      <c r="CN29" s="16">
        <f ca="1">(L29-'Airfoil 1'!$Z$83)/ABS(L29-'Airfoil 1'!$Z$83)</f>
        <v>-1</v>
      </c>
      <c r="CO29" s="16">
        <f ca="1">(L29-'Airfoil 1'!$Z$84)/ABS(L29-'Airfoil 1'!$Z$84)</f>
        <v>-1</v>
      </c>
      <c r="CP29" s="16">
        <f ca="1">(L29-'Airfoil 1'!$Z$85)/ABS(L29-'Airfoil 1'!$Z$85)</f>
        <v>-1</v>
      </c>
      <c r="CQ29" s="16">
        <f ca="1">(L29-'Airfoil 1'!$Z$86)/ABS(L29-'Airfoil 1'!$Z$86)</f>
        <v>-1</v>
      </c>
      <c r="CR29" s="16">
        <f ca="1">(L29-'Airfoil 1'!$Z$87)/ABS(L29-'Airfoil 1'!$Z$87)</f>
        <v>-1</v>
      </c>
      <c r="CS29" s="16">
        <f ca="1">(L29-'Airfoil 1'!$Z$88)/ABS(L29-'Airfoil 1'!$Z$88)</f>
        <v>-1</v>
      </c>
      <c r="CT29" s="16">
        <f ca="1">(L29-'Airfoil 1'!$Z$89)/ABS(L29-'Airfoil 1'!$Z$89)</f>
        <v>-1</v>
      </c>
      <c r="CU29" s="16">
        <f ca="1">(L29-'Airfoil 1'!$Z$90)/ABS(L29-'Airfoil 1'!$Z$90)</f>
        <v>-1</v>
      </c>
      <c r="CV29" s="16">
        <f ca="1">(L29-'Airfoil 1'!$Z$91)/ABS(L29-'Airfoil 1'!$Z$91)</f>
        <v>-1</v>
      </c>
      <c r="CW29" s="5">
        <f t="shared" ca="1" si="10"/>
        <v>4</v>
      </c>
      <c r="CX29" s="42">
        <f ca="1">INDEX('Airfoil 1'!$AA$72:$AA$91,CW29,1)+INDEX('Airfoil 1'!$AB$72:$AB$91,CW29,1)*(L29-INDEX('Airfoil 1'!$Z$72:$Z$91,CW29,1))</f>
        <v>1.1110331491712706E-2</v>
      </c>
    </row>
    <row r="30" spans="2:102">
      <c r="B30" s="31">
        <f>Main!B30</f>
        <v>0.33333333333333326</v>
      </c>
      <c r="D30" s="1">
        <f>'RC'!F30</f>
        <v>0.65969672852566186</v>
      </c>
      <c r="E30" s="4">
        <f>ISA!$R$10</f>
        <v>1.5987591530356481E-5</v>
      </c>
      <c r="G30" s="13">
        <f ca="1">'RC'!X30</f>
        <v>24.858990723279437</v>
      </c>
      <c r="H30" s="5">
        <f t="shared" ca="1" si="0"/>
        <v>341919.22786824655</v>
      </c>
      <c r="I30" s="16">
        <f ca="1">'Airfoil 2'!$K$14*H30^'Airfoil 2'!$L$13</f>
        <v>1.5823770296445037</v>
      </c>
      <c r="J30" s="1">
        <f ca="1">'Airfoil 2'!$K$33*H30^'Airfoil 2'!$L$32</f>
        <v>5.0731961754686132</v>
      </c>
      <c r="K30" s="13">
        <f ca="1">'Airfoil 2'!$K$52*H30^'Airfoil 2'!$L$51</f>
        <v>-9.0249781933118687</v>
      </c>
      <c r="L30" s="16">
        <f ca="1">'Aerodynamics-RC'!W30</f>
        <v>0.9</v>
      </c>
      <c r="M30" s="10">
        <f ca="1">('Airfoil 1'!$B$21+'Airfoil 1'!$B$22*L30+'Airfoil 1'!$B$23*L30^2+'Airfoil 1'!$B$24*L30^3+'Airfoil 1'!$B$25*L30^4+'Airfoil 1'!$B$26*L30^5+'Airfoil 1'!$B$27*L30^6)*0+BD30</f>
        <v>2.4489313868613138E-2</v>
      </c>
      <c r="N30" s="42">
        <f ca="1">('Airfoil 1'!$B$29+'Airfoil 1'!$B$30*L30+'Airfoil 1'!$B$31*L30^2+'Airfoil 1'!$B$32*L30^3+'Airfoil 1'!$B$33*L30^4+'Airfoil 1'!$B$34*L30^5+'Airfoil 1'!$B$35*L30^6)*0+CA30</f>
        <v>1.7370857855361597E-2</v>
      </c>
      <c r="O30" s="42">
        <f ca="1">('Airfoil 1'!$B$37+'Airfoil 1'!$B$38*L30+'Airfoil 1'!$B$39*L30^2+'Airfoil 1'!$B$40*L30^3+'Airfoil 1'!$B$41*L30^4+'Airfoil 1'!$B$42*L30^5+'Airfoil 1'!$B$43*L30^6)*0+CX30</f>
        <v>1.1110331491712706E-2</v>
      </c>
      <c r="P30" s="16">
        <f>LOG('Airfoil 1'!$F$10)+LOG('Airfoil 1'!$G$10)+LOG('Airfoil 1'!$H$10)</f>
        <v>15.176091259055681</v>
      </c>
      <c r="Q30" s="16">
        <f t="shared" ca="1" si="1"/>
        <v>-5.3254750991929125</v>
      </c>
      <c r="R30" s="16">
        <f>LOG('Airfoil 1'!$F$10)^2+LOG('Airfoil 1'!$G$10)^2+LOG('Airfoil 1'!$H$10)^2</f>
        <v>76.867141336751558</v>
      </c>
      <c r="S30" s="16">
        <f ca="1">LOG('Airfoil 1'!$F$10)*LOG(M30)+LOG('Airfoil 1'!$G$10)*LOG(N30)+LOG('Airfoil 1'!$H$10)*LOG(O30)</f>
        <v>-27.014391057528009</v>
      </c>
      <c r="T30" s="16">
        <f t="shared" ca="1" si="2"/>
        <v>141.60346469083578</v>
      </c>
      <c r="U30" s="16">
        <f t="shared" ca="1" si="3"/>
        <v>-0.77613507568957385</v>
      </c>
      <c r="V30" s="42">
        <f ca="1">IF(Energy!$F$11=1,Energy!$T$13,1)*T30*H30^U30</f>
        <v>7.9137135193487439E-3</v>
      </c>
      <c r="W30" s="10">
        <f ca="1">'Airfoil 1'!$B$48+'Airfoil 1'!$B$49*L30+'Airfoil 1'!$B$50*L30^2+'Airfoil 1'!$B$51*L30^3+'Airfoil 1'!$B$52*L30^4+'Airfoil 1'!$B$53*L30^5+'Airfoil 1'!$B$54*L30^6</f>
        <v>-0.155</v>
      </c>
      <c r="X30" s="42">
        <f ca="1">'Airfoil 1'!$B$56+'Airfoil 1'!$B$57*L30+'Airfoil 1'!$B$58*L30^2+'Airfoil 1'!$B$59*L30^3+'Airfoil 1'!$B$60*L30^4+'Airfoil 1'!$B$61*L30^5+'Airfoil 1'!$B$62*L30^6</f>
        <v>-0.155</v>
      </c>
      <c r="Y30" s="42">
        <f ca="1">'Airfoil 1'!$B$64+'Airfoil 1'!$B$65*L30+'Airfoil 1'!$B$66*L30^2+'Airfoil 1'!$B$67*L30^3+'Airfoil 1'!$B$681*L30^4+'Airfoil 1'!$B$69*L30^5+'Airfoil 1'!$B$70*L30^6</f>
        <v>-0.155</v>
      </c>
      <c r="Z30" s="16">
        <f>LOG('Airfoil 1'!$F$10)+LOG('Airfoil 1'!$G$10)+LOG('Airfoil 1'!$H$10)</f>
        <v>15.176091259055681</v>
      </c>
      <c r="AA30" s="16">
        <f t="shared" ca="1" si="4"/>
        <v>-2.4290049054891254</v>
      </c>
      <c r="AB30" s="16">
        <f>LOG('Airfoil 1'!$F$10)^2+LOG('Airfoil 1'!$G$10)^2+LOG('Airfoil 1'!$H$10)^2</f>
        <v>76.867141336751558</v>
      </c>
      <c r="AC30" s="16">
        <f ca="1">LOG('Airfoil 1'!$F$10)*LOG(ABS(W30))+LOG('Airfoil 1'!$G$10)*LOG(ABS(X30))+LOG('Airfoil 1'!$H$10)*LOG(ABS(Y30))</f>
        <v>-12.287600038132297</v>
      </c>
      <c r="AD30" s="16">
        <f t="shared" ca="1" si="5"/>
        <v>0.1550000000000121</v>
      </c>
      <c r="AE30" s="16">
        <f t="shared" ca="1" si="6"/>
        <v>-6.6718325633022456E-15</v>
      </c>
      <c r="AF30" s="42">
        <f t="shared" ca="1" si="7"/>
        <v>-0.15499999999999892</v>
      </c>
      <c r="AG30" s="16"/>
      <c r="AH30" s="42"/>
      <c r="AI30" s="16">
        <f ca="1">(L30-'Airfoil 1'!$Z$22)/ABS(L30-'Airfoil 1'!$Z$22)</f>
        <v>1</v>
      </c>
      <c r="AJ30" s="16">
        <f ca="1">(L30-'Airfoil 1'!$Z$23)/ABS(L30-'Airfoil 1'!$Z$23)</f>
        <v>1</v>
      </c>
      <c r="AK30" s="16">
        <f ca="1">(L30-'Airfoil 1'!$Z$24)/ABS(L30-'Airfoil 1'!$Z$24)</f>
        <v>1</v>
      </c>
      <c r="AL30" s="16">
        <f ca="1">(L30-'Airfoil 1'!$Z$25)/ABS(L30-'Airfoil 1'!$Z$25)</f>
        <v>1</v>
      </c>
      <c r="AM30" s="16">
        <f ca="1">(L30-'Airfoil 1'!$Z$26)/ABS(L30-'Airfoil 1'!$Z$26)</f>
        <v>1</v>
      </c>
      <c r="AN30" s="16">
        <f ca="1">(L30-'Airfoil 1'!$Z$27)/ABS(L30-'Airfoil 1'!$Z$27)</f>
        <v>1</v>
      </c>
      <c r="AO30" s="16">
        <f ca="1">(L30-'Airfoil 1'!$Z$28)/ABS(L30-'Airfoil 1'!$Z$28)</f>
        <v>1</v>
      </c>
      <c r="AP30" s="16">
        <f ca="1">(L30-'Airfoil 1'!$Z$29)/ABS(L30-'Airfoil 1'!$Z$29)</f>
        <v>-1</v>
      </c>
      <c r="AQ30" s="16">
        <f ca="1">(L30-'Airfoil 1'!$Z$30)/ABS(L30-'Airfoil 1'!$Z$30)</f>
        <v>-1</v>
      </c>
      <c r="AR30" s="16">
        <f ca="1">(L30-'Airfoil 1'!$Z$31)/ABS(L30-'Airfoil 1'!$Z$31)</f>
        <v>-1</v>
      </c>
      <c r="AS30" s="16">
        <f ca="1">(L30-'Airfoil 1'!$Z$32)/ABS(L30-'Airfoil 1'!$Z$32)</f>
        <v>-1</v>
      </c>
      <c r="AT30" s="16">
        <f ca="1">(L30-'Airfoil 1'!$Z$33)/ABS(L30-'Airfoil 1'!$Z$33)</f>
        <v>-1</v>
      </c>
      <c r="AU30" s="16">
        <f ca="1">(L30-'Airfoil 1'!$Z$34)/ABS(L30-'Airfoil 1'!$Z$34)</f>
        <v>-1</v>
      </c>
      <c r="AV30" s="16">
        <f ca="1">(L30-'Airfoil 1'!$Z$35)/ABS(L30-'Airfoil 1'!$Z$35)</f>
        <v>-1</v>
      </c>
      <c r="AW30" s="16">
        <f ca="1">(L30-'Airfoil 1'!$Z$36)/ABS(L30-'Airfoil 1'!$Z$36)</f>
        <v>-1</v>
      </c>
      <c r="AX30" s="16">
        <f ca="1">(L30-'Airfoil 1'!$Z$37)/ABS(L30-'Airfoil 1'!$Z$37)</f>
        <v>-1</v>
      </c>
      <c r="AY30" s="16">
        <f ca="1">(L30-'Airfoil 1'!$Z$38)/ABS(L30-'Airfoil 1'!$Z$38)</f>
        <v>-1</v>
      </c>
      <c r="AZ30" s="16">
        <f ca="1">(L30-'Airfoil 1'!$Z$39)/ABS(L30-'Airfoil 1'!$Z$39)</f>
        <v>-1</v>
      </c>
      <c r="BA30" s="16">
        <f ca="1">(L30-'Airfoil 1'!$Z$40)/ABS(L30-'Airfoil 1'!$Z$40)</f>
        <v>-1</v>
      </c>
      <c r="BB30" s="16">
        <f ca="1">(L30-'Airfoil 1'!$Z$41)/ABS(L30-'Airfoil 1'!$Z$41)</f>
        <v>-1</v>
      </c>
      <c r="BC30" s="5">
        <f t="shared" ca="1" si="8"/>
        <v>7</v>
      </c>
      <c r="BD30" s="42">
        <f ca="1">INDEX('Airfoil 1'!$AA$22:$AA$41,BC30,1)+INDEX('Airfoil 1'!$AB$22:$AB$41,BC30,1)*(L30-INDEX('Airfoil 1'!$Z$22:$Z$41,BC30,1))</f>
        <v>2.4489313868613138E-2</v>
      </c>
      <c r="BE30" s="6"/>
      <c r="BF30" s="16">
        <f ca="1">(L30-'Airfoil 1'!$Z$47)/ABS(L30-'Airfoil 1'!$Z$47)</f>
        <v>1</v>
      </c>
      <c r="BG30" s="16">
        <f ca="1">(L30-'Airfoil 1'!$Z$48)/ABS(L30-'Airfoil 1'!$Z$48)</f>
        <v>1</v>
      </c>
      <c r="BH30" s="16">
        <f ca="1">(L30-'Airfoil 1'!$Z$49)/ABS(L30-'Airfoil 1'!$Z$49)</f>
        <v>1</v>
      </c>
      <c r="BI30" s="16">
        <f ca="1">(L30-'Airfoil 1'!$Z$50)/ABS(L30-'Airfoil 1'!$Z$50)</f>
        <v>1</v>
      </c>
      <c r="BJ30" s="16">
        <f ca="1">(L30-'Airfoil 1'!$Z$51)/ABS(L30-'Airfoil 1'!$Z$51)</f>
        <v>1</v>
      </c>
      <c r="BK30" s="16">
        <f ca="1">(L30-'Airfoil 1'!$Z$52)/ABS(L30-'Airfoil 1'!$Z$52)</f>
        <v>1</v>
      </c>
      <c r="BL30" s="16">
        <f ca="1">(L30-'Airfoil 1'!$Z$53)/ABS(L30-'Airfoil 1'!$Z$53)</f>
        <v>-1</v>
      </c>
      <c r="BM30" s="16">
        <f ca="1">(L30-'Airfoil 1'!$Z$54)/ABS(L30-'Airfoil 1'!$Z$54)</f>
        <v>-1</v>
      </c>
      <c r="BN30" s="16">
        <f ca="1">(L30-'Airfoil 1'!$Z$55)/ABS(L30-'Airfoil 1'!$Z$55)</f>
        <v>-1</v>
      </c>
      <c r="BO30" s="16">
        <f ca="1">(L30-'Airfoil 1'!$Z$56)/ABS(L30-'Airfoil 1'!$Z$56)</f>
        <v>-1</v>
      </c>
      <c r="BP30" s="16">
        <f ca="1">(L30-'Airfoil 1'!$Z$57)/ABS(L30-'Airfoil 1'!$Z$57)</f>
        <v>-1</v>
      </c>
      <c r="BQ30" s="16">
        <f ca="1">(L30-'Airfoil 1'!$Z$58)/ABS(L30-'Airfoil 1'!$Z$58)</f>
        <v>-1</v>
      </c>
      <c r="BR30" s="16">
        <f ca="1">(L30-'Airfoil 1'!$Z$59)/ABS(L30-'Airfoil 1'!$Z$59)</f>
        <v>-1</v>
      </c>
      <c r="BS30" s="16">
        <f ca="1">(L30-'Airfoil 1'!$Z$60)/ABS(L30-'Airfoil 1'!$Z$60)</f>
        <v>-1</v>
      </c>
      <c r="BT30" s="16">
        <f ca="1">(L30-'Airfoil 1'!$Z$61)/ABS(L30-'Airfoil 1'!$Z$61)</f>
        <v>-1</v>
      </c>
      <c r="BU30" s="16">
        <f ca="1">(L30-'Airfoil 1'!$Z$62)/ABS(L30-'Airfoil 1'!$Z$62)</f>
        <v>-1</v>
      </c>
      <c r="BV30" s="16">
        <f ca="1">(L30-'Airfoil 1'!$Z$63)/ABS(L30-'Airfoil 1'!$Z$63)</f>
        <v>-1</v>
      </c>
      <c r="BW30" s="16">
        <f ca="1">(L30-'Airfoil 1'!$Z$64)/ABS(L30-'Airfoil 1'!$Z$64)</f>
        <v>-1</v>
      </c>
      <c r="BX30" s="16">
        <f ca="1">(L30-'Airfoil 1'!$Z$65)/ABS(L30-'Airfoil 1'!$Z$65)</f>
        <v>-1</v>
      </c>
      <c r="BY30" s="16">
        <f ca="1">(L30-'Airfoil 1'!$Z$66)/ABS(L30-'Airfoil 1'!$Z$66)</f>
        <v>-1</v>
      </c>
      <c r="BZ30" s="5">
        <f t="shared" ca="1" si="9"/>
        <v>6</v>
      </c>
      <c r="CA30" s="42">
        <f ca="1">INDEX('Airfoil 1'!$AA$47:$AA$66,BZ30,1)+INDEX('Airfoil 1'!$AB$47:$AB$66,BZ30,1)*(L30-INDEX('Airfoil 1'!$Z$47:$Z$66,BZ30,1))</f>
        <v>1.7370857855361597E-2</v>
      </c>
      <c r="CC30" s="16">
        <f ca="1">(L30-'Airfoil 1'!$Z$72)/ABS(L30-'Airfoil 1'!$Z$72)</f>
        <v>1</v>
      </c>
      <c r="CD30" s="16">
        <f ca="1">(L30-'Airfoil 1'!$Z$73)/ABS(L30-'Airfoil 1'!$Z$73)</f>
        <v>1</v>
      </c>
      <c r="CE30" s="16">
        <f ca="1">(L30-'Airfoil 1'!$Z$74)/ABS(L30-'Airfoil 1'!$Z$74)</f>
        <v>1</v>
      </c>
      <c r="CF30" s="16">
        <f ca="1">(L30-'Airfoil 1'!$Z$75)/ABS(L30-'Airfoil 1'!$Z$75)</f>
        <v>1</v>
      </c>
      <c r="CG30" s="16">
        <f ca="1">(L30-'Airfoil 1'!$Z$76)/ABS(L30-'Airfoil 1'!$Z$76)</f>
        <v>-1</v>
      </c>
      <c r="CH30" s="16">
        <f ca="1">(L30-'Airfoil 1'!$Z$77)/ABS(L30-'Airfoil 1'!$Z$77)</f>
        <v>-1</v>
      </c>
      <c r="CI30" s="16">
        <f ca="1">(L30-'Airfoil 1'!$Z$78)/ABS(L30-'Airfoil 1'!$Z$78)</f>
        <v>-1</v>
      </c>
      <c r="CJ30" s="16">
        <f ca="1">(L30-'Airfoil 1'!$Z$79)/ABS(L30-'Airfoil 1'!$Z$79)</f>
        <v>-1</v>
      </c>
      <c r="CK30" s="16">
        <f ca="1">(L30-'Airfoil 1'!$Z$80)/ABS(L30-'Airfoil 1'!$Z$80)</f>
        <v>-1</v>
      </c>
      <c r="CL30" s="16">
        <f ca="1">(L30-'Airfoil 1'!$Z$81)/ABS(L30-'Airfoil 1'!$Z$81)</f>
        <v>-1</v>
      </c>
      <c r="CM30" s="16">
        <f ca="1">(L30-'Airfoil 1'!$Z$82)/ABS(L30-'Airfoil 1'!$Z$82)</f>
        <v>-1</v>
      </c>
      <c r="CN30" s="16">
        <f ca="1">(L30-'Airfoil 1'!$Z$83)/ABS(L30-'Airfoil 1'!$Z$83)</f>
        <v>-1</v>
      </c>
      <c r="CO30" s="16">
        <f ca="1">(L30-'Airfoil 1'!$Z$84)/ABS(L30-'Airfoil 1'!$Z$84)</f>
        <v>-1</v>
      </c>
      <c r="CP30" s="16">
        <f ca="1">(L30-'Airfoil 1'!$Z$85)/ABS(L30-'Airfoil 1'!$Z$85)</f>
        <v>-1</v>
      </c>
      <c r="CQ30" s="16">
        <f ca="1">(L30-'Airfoil 1'!$Z$86)/ABS(L30-'Airfoil 1'!$Z$86)</f>
        <v>-1</v>
      </c>
      <c r="CR30" s="16">
        <f ca="1">(L30-'Airfoil 1'!$Z$87)/ABS(L30-'Airfoil 1'!$Z$87)</f>
        <v>-1</v>
      </c>
      <c r="CS30" s="16">
        <f ca="1">(L30-'Airfoil 1'!$Z$88)/ABS(L30-'Airfoil 1'!$Z$88)</f>
        <v>-1</v>
      </c>
      <c r="CT30" s="16">
        <f ca="1">(L30-'Airfoil 1'!$Z$89)/ABS(L30-'Airfoil 1'!$Z$89)</f>
        <v>-1</v>
      </c>
      <c r="CU30" s="16">
        <f ca="1">(L30-'Airfoil 1'!$Z$90)/ABS(L30-'Airfoil 1'!$Z$90)</f>
        <v>-1</v>
      </c>
      <c r="CV30" s="16">
        <f ca="1">(L30-'Airfoil 1'!$Z$91)/ABS(L30-'Airfoil 1'!$Z$91)</f>
        <v>-1</v>
      </c>
      <c r="CW30" s="5">
        <f t="shared" ca="1" si="10"/>
        <v>4</v>
      </c>
      <c r="CX30" s="42">
        <f ca="1">INDEX('Airfoil 1'!$AA$72:$AA$91,CW30,1)+INDEX('Airfoil 1'!$AB$72:$AB$91,CW30,1)*(L30-INDEX('Airfoil 1'!$Z$72:$Z$91,CW30,1))</f>
        <v>1.1110331491712706E-2</v>
      </c>
    </row>
    <row r="31" spans="2:102">
      <c r="B31" s="31">
        <f>Main!B31</f>
        <v>0.33333333333333326</v>
      </c>
      <c r="D31" s="1">
        <f>'RC'!F31</f>
        <v>0.65969672852566186</v>
      </c>
      <c r="E31" s="4">
        <f>ISA!$R$10</f>
        <v>1.5987591530356481E-5</v>
      </c>
      <c r="G31" s="13">
        <f ca="1">'RC'!X31</f>
        <v>24.411011139810388</v>
      </c>
      <c r="H31" s="5">
        <f t="shared" ca="1" si="0"/>
        <v>335757.56044636539</v>
      </c>
      <c r="I31" s="16">
        <f ca="1">'Airfoil 2'!$K$14*H31^'Airfoil 2'!$L$13</f>
        <v>1.5819770573198153</v>
      </c>
      <c r="J31" s="1">
        <f ca="1">'Airfoil 2'!$K$33*H31^'Airfoil 2'!$L$32</f>
        <v>5.1043214409451245</v>
      </c>
      <c r="K31" s="13">
        <f ca="1">'Airfoil 2'!$K$52*H31^'Airfoil 2'!$L$51</f>
        <v>-8.9158870013463147</v>
      </c>
      <c r="L31" s="16">
        <f ca="1">'Aerodynamics-RC'!W31</f>
        <v>0.9</v>
      </c>
      <c r="M31" s="10">
        <f ca="1">('Airfoil 1'!$B$21+'Airfoil 1'!$B$22*L31+'Airfoil 1'!$B$23*L31^2+'Airfoil 1'!$B$24*L31^3+'Airfoil 1'!$B$25*L31^4+'Airfoil 1'!$B$26*L31^5+'Airfoil 1'!$B$27*L31^6)*0+BD31</f>
        <v>2.4489313868613138E-2</v>
      </c>
      <c r="N31" s="42">
        <f ca="1">('Airfoil 1'!$B$29+'Airfoil 1'!$B$30*L31+'Airfoil 1'!$B$31*L31^2+'Airfoil 1'!$B$32*L31^3+'Airfoil 1'!$B$33*L31^4+'Airfoil 1'!$B$34*L31^5+'Airfoil 1'!$B$35*L31^6)*0+CA31</f>
        <v>1.7370857855361597E-2</v>
      </c>
      <c r="O31" s="42">
        <f ca="1">('Airfoil 1'!$B$37+'Airfoil 1'!$B$38*L31+'Airfoil 1'!$B$39*L31^2+'Airfoil 1'!$B$40*L31^3+'Airfoil 1'!$B$41*L31^4+'Airfoil 1'!$B$42*L31^5+'Airfoil 1'!$B$43*L31^6)*0+CX31</f>
        <v>1.1110331491712706E-2</v>
      </c>
      <c r="P31" s="16">
        <f>LOG('Airfoil 1'!$F$10)+LOG('Airfoil 1'!$G$10)+LOG('Airfoil 1'!$H$10)</f>
        <v>15.176091259055681</v>
      </c>
      <c r="Q31" s="16">
        <f t="shared" ca="1" si="1"/>
        <v>-5.3254750991929125</v>
      </c>
      <c r="R31" s="16">
        <f>LOG('Airfoil 1'!$F$10)^2+LOG('Airfoil 1'!$G$10)^2+LOG('Airfoil 1'!$H$10)^2</f>
        <v>76.867141336751558</v>
      </c>
      <c r="S31" s="16">
        <f ca="1">LOG('Airfoil 1'!$F$10)*LOG(M31)+LOG('Airfoil 1'!$G$10)*LOG(N31)+LOG('Airfoil 1'!$H$10)*LOG(O31)</f>
        <v>-27.014391057528009</v>
      </c>
      <c r="T31" s="16">
        <f t="shared" ca="1" si="2"/>
        <v>141.60346469083578</v>
      </c>
      <c r="U31" s="16">
        <f t="shared" ca="1" si="3"/>
        <v>-0.77613507568957385</v>
      </c>
      <c r="V31" s="42">
        <f ca="1">IF(Energy!$F$11=1,Energy!$T$13,1)*T31*H31^U31</f>
        <v>8.0262008722891184E-3</v>
      </c>
      <c r="W31" s="10">
        <f ca="1">'Airfoil 1'!$B$48+'Airfoil 1'!$B$49*L31+'Airfoil 1'!$B$50*L31^2+'Airfoil 1'!$B$51*L31^3+'Airfoil 1'!$B$52*L31^4+'Airfoil 1'!$B$53*L31^5+'Airfoil 1'!$B$54*L31^6</f>
        <v>-0.155</v>
      </c>
      <c r="X31" s="42">
        <f ca="1">'Airfoil 1'!$B$56+'Airfoil 1'!$B$57*L31+'Airfoil 1'!$B$58*L31^2+'Airfoil 1'!$B$59*L31^3+'Airfoil 1'!$B$60*L31^4+'Airfoil 1'!$B$61*L31^5+'Airfoil 1'!$B$62*L31^6</f>
        <v>-0.155</v>
      </c>
      <c r="Y31" s="42">
        <f ca="1">'Airfoil 1'!$B$64+'Airfoil 1'!$B$65*L31+'Airfoil 1'!$B$66*L31^2+'Airfoil 1'!$B$67*L31^3+'Airfoil 1'!$B$681*L31^4+'Airfoil 1'!$B$69*L31^5+'Airfoil 1'!$B$70*L31^6</f>
        <v>-0.155</v>
      </c>
      <c r="Z31" s="16">
        <f>LOG('Airfoil 1'!$F$10)+LOG('Airfoil 1'!$G$10)+LOG('Airfoil 1'!$H$10)</f>
        <v>15.176091259055681</v>
      </c>
      <c r="AA31" s="16">
        <f t="shared" ca="1" si="4"/>
        <v>-2.4290049054891254</v>
      </c>
      <c r="AB31" s="16">
        <f>LOG('Airfoil 1'!$F$10)^2+LOG('Airfoil 1'!$G$10)^2+LOG('Airfoil 1'!$H$10)^2</f>
        <v>76.867141336751558</v>
      </c>
      <c r="AC31" s="16">
        <f ca="1">LOG('Airfoil 1'!$F$10)*LOG(ABS(W31))+LOG('Airfoil 1'!$G$10)*LOG(ABS(X31))+LOG('Airfoil 1'!$H$10)*LOG(ABS(Y31))</f>
        <v>-12.287600038132297</v>
      </c>
      <c r="AD31" s="16">
        <f t="shared" ca="1" si="5"/>
        <v>0.1550000000000121</v>
      </c>
      <c r="AE31" s="16">
        <f t="shared" ca="1" si="6"/>
        <v>-6.6718325633022456E-15</v>
      </c>
      <c r="AF31" s="42">
        <f t="shared" ca="1" si="7"/>
        <v>-0.15499999999999894</v>
      </c>
      <c r="AG31" s="16"/>
      <c r="AH31" s="42"/>
      <c r="AI31" s="16">
        <f ca="1">(L31-'Airfoil 1'!$Z$22)/ABS(L31-'Airfoil 1'!$Z$22)</f>
        <v>1</v>
      </c>
      <c r="AJ31" s="16">
        <f ca="1">(L31-'Airfoil 1'!$Z$23)/ABS(L31-'Airfoil 1'!$Z$23)</f>
        <v>1</v>
      </c>
      <c r="AK31" s="16">
        <f ca="1">(L31-'Airfoil 1'!$Z$24)/ABS(L31-'Airfoil 1'!$Z$24)</f>
        <v>1</v>
      </c>
      <c r="AL31" s="16">
        <f ca="1">(L31-'Airfoil 1'!$Z$25)/ABS(L31-'Airfoil 1'!$Z$25)</f>
        <v>1</v>
      </c>
      <c r="AM31" s="16">
        <f ca="1">(L31-'Airfoil 1'!$Z$26)/ABS(L31-'Airfoil 1'!$Z$26)</f>
        <v>1</v>
      </c>
      <c r="AN31" s="16">
        <f ca="1">(L31-'Airfoil 1'!$Z$27)/ABS(L31-'Airfoil 1'!$Z$27)</f>
        <v>1</v>
      </c>
      <c r="AO31" s="16">
        <f ca="1">(L31-'Airfoil 1'!$Z$28)/ABS(L31-'Airfoil 1'!$Z$28)</f>
        <v>1</v>
      </c>
      <c r="AP31" s="16">
        <f ca="1">(L31-'Airfoil 1'!$Z$29)/ABS(L31-'Airfoil 1'!$Z$29)</f>
        <v>-1</v>
      </c>
      <c r="AQ31" s="16">
        <f ca="1">(L31-'Airfoil 1'!$Z$30)/ABS(L31-'Airfoil 1'!$Z$30)</f>
        <v>-1</v>
      </c>
      <c r="AR31" s="16">
        <f ca="1">(L31-'Airfoil 1'!$Z$31)/ABS(L31-'Airfoil 1'!$Z$31)</f>
        <v>-1</v>
      </c>
      <c r="AS31" s="16">
        <f ca="1">(L31-'Airfoil 1'!$Z$32)/ABS(L31-'Airfoil 1'!$Z$32)</f>
        <v>-1</v>
      </c>
      <c r="AT31" s="16">
        <f ca="1">(L31-'Airfoil 1'!$Z$33)/ABS(L31-'Airfoil 1'!$Z$33)</f>
        <v>-1</v>
      </c>
      <c r="AU31" s="16">
        <f ca="1">(L31-'Airfoil 1'!$Z$34)/ABS(L31-'Airfoil 1'!$Z$34)</f>
        <v>-1</v>
      </c>
      <c r="AV31" s="16">
        <f ca="1">(L31-'Airfoil 1'!$Z$35)/ABS(L31-'Airfoil 1'!$Z$35)</f>
        <v>-1</v>
      </c>
      <c r="AW31" s="16">
        <f ca="1">(L31-'Airfoil 1'!$Z$36)/ABS(L31-'Airfoil 1'!$Z$36)</f>
        <v>-1</v>
      </c>
      <c r="AX31" s="16">
        <f ca="1">(L31-'Airfoil 1'!$Z$37)/ABS(L31-'Airfoil 1'!$Z$37)</f>
        <v>-1</v>
      </c>
      <c r="AY31" s="16">
        <f ca="1">(L31-'Airfoil 1'!$Z$38)/ABS(L31-'Airfoil 1'!$Z$38)</f>
        <v>-1</v>
      </c>
      <c r="AZ31" s="16">
        <f ca="1">(L31-'Airfoil 1'!$Z$39)/ABS(L31-'Airfoil 1'!$Z$39)</f>
        <v>-1</v>
      </c>
      <c r="BA31" s="16">
        <f ca="1">(L31-'Airfoil 1'!$Z$40)/ABS(L31-'Airfoil 1'!$Z$40)</f>
        <v>-1</v>
      </c>
      <c r="BB31" s="16">
        <f ca="1">(L31-'Airfoil 1'!$Z$41)/ABS(L31-'Airfoil 1'!$Z$41)</f>
        <v>-1</v>
      </c>
      <c r="BC31" s="5">
        <f t="shared" ca="1" si="8"/>
        <v>7</v>
      </c>
      <c r="BD31" s="42">
        <f ca="1">INDEX('Airfoil 1'!$AA$22:$AA$41,BC31,1)+INDEX('Airfoil 1'!$AB$22:$AB$41,BC31,1)*(L31-INDEX('Airfoil 1'!$Z$22:$Z$41,BC31,1))</f>
        <v>2.4489313868613138E-2</v>
      </c>
      <c r="BE31" s="6"/>
      <c r="BF31" s="16">
        <f ca="1">(L31-'Airfoil 1'!$Z$47)/ABS(L31-'Airfoil 1'!$Z$47)</f>
        <v>1</v>
      </c>
      <c r="BG31" s="16">
        <f ca="1">(L31-'Airfoil 1'!$Z$48)/ABS(L31-'Airfoil 1'!$Z$48)</f>
        <v>1</v>
      </c>
      <c r="BH31" s="16">
        <f ca="1">(L31-'Airfoil 1'!$Z$49)/ABS(L31-'Airfoil 1'!$Z$49)</f>
        <v>1</v>
      </c>
      <c r="BI31" s="16">
        <f ca="1">(L31-'Airfoil 1'!$Z$50)/ABS(L31-'Airfoil 1'!$Z$50)</f>
        <v>1</v>
      </c>
      <c r="BJ31" s="16">
        <f ca="1">(L31-'Airfoil 1'!$Z$51)/ABS(L31-'Airfoil 1'!$Z$51)</f>
        <v>1</v>
      </c>
      <c r="BK31" s="16">
        <f ca="1">(L31-'Airfoil 1'!$Z$52)/ABS(L31-'Airfoil 1'!$Z$52)</f>
        <v>1</v>
      </c>
      <c r="BL31" s="16">
        <f ca="1">(L31-'Airfoil 1'!$Z$53)/ABS(L31-'Airfoil 1'!$Z$53)</f>
        <v>-1</v>
      </c>
      <c r="BM31" s="16">
        <f ca="1">(L31-'Airfoil 1'!$Z$54)/ABS(L31-'Airfoil 1'!$Z$54)</f>
        <v>-1</v>
      </c>
      <c r="BN31" s="16">
        <f ca="1">(L31-'Airfoil 1'!$Z$55)/ABS(L31-'Airfoil 1'!$Z$55)</f>
        <v>-1</v>
      </c>
      <c r="BO31" s="16">
        <f ca="1">(L31-'Airfoil 1'!$Z$56)/ABS(L31-'Airfoil 1'!$Z$56)</f>
        <v>-1</v>
      </c>
      <c r="BP31" s="16">
        <f ca="1">(L31-'Airfoil 1'!$Z$57)/ABS(L31-'Airfoil 1'!$Z$57)</f>
        <v>-1</v>
      </c>
      <c r="BQ31" s="16">
        <f ca="1">(L31-'Airfoil 1'!$Z$58)/ABS(L31-'Airfoil 1'!$Z$58)</f>
        <v>-1</v>
      </c>
      <c r="BR31" s="16">
        <f ca="1">(L31-'Airfoil 1'!$Z$59)/ABS(L31-'Airfoil 1'!$Z$59)</f>
        <v>-1</v>
      </c>
      <c r="BS31" s="16">
        <f ca="1">(L31-'Airfoil 1'!$Z$60)/ABS(L31-'Airfoil 1'!$Z$60)</f>
        <v>-1</v>
      </c>
      <c r="BT31" s="16">
        <f ca="1">(L31-'Airfoil 1'!$Z$61)/ABS(L31-'Airfoil 1'!$Z$61)</f>
        <v>-1</v>
      </c>
      <c r="BU31" s="16">
        <f ca="1">(L31-'Airfoil 1'!$Z$62)/ABS(L31-'Airfoil 1'!$Z$62)</f>
        <v>-1</v>
      </c>
      <c r="BV31" s="16">
        <f ca="1">(L31-'Airfoil 1'!$Z$63)/ABS(L31-'Airfoil 1'!$Z$63)</f>
        <v>-1</v>
      </c>
      <c r="BW31" s="16">
        <f ca="1">(L31-'Airfoil 1'!$Z$64)/ABS(L31-'Airfoil 1'!$Z$64)</f>
        <v>-1</v>
      </c>
      <c r="BX31" s="16">
        <f ca="1">(L31-'Airfoil 1'!$Z$65)/ABS(L31-'Airfoil 1'!$Z$65)</f>
        <v>-1</v>
      </c>
      <c r="BY31" s="16">
        <f ca="1">(L31-'Airfoil 1'!$Z$66)/ABS(L31-'Airfoil 1'!$Z$66)</f>
        <v>-1</v>
      </c>
      <c r="BZ31" s="5">
        <f t="shared" ca="1" si="9"/>
        <v>6</v>
      </c>
      <c r="CA31" s="42">
        <f ca="1">INDEX('Airfoil 1'!$AA$47:$AA$66,BZ31,1)+INDEX('Airfoil 1'!$AB$47:$AB$66,BZ31,1)*(L31-INDEX('Airfoil 1'!$Z$47:$Z$66,BZ31,1))</f>
        <v>1.7370857855361597E-2</v>
      </c>
      <c r="CC31" s="16">
        <f ca="1">(L31-'Airfoil 1'!$Z$72)/ABS(L31-'Airfoil 1'!$Z$72)</f>
        <v>1</v>
      </c>
      <c r="CD31" s="16">
        <f ca="1">(L31-'Airfoil 1'!$Z$73)/ABS(L31-'Airfoil 1'!$Z$73)</f>
        <v>1</v>
      </c>
      <c r="CE31" s="16">
        <f ca="1">(L31-'Airfoil 1'!$Z$74)/ABS(L31-'Airfoil 1'!$Z$74)</f>
        <v>1</v>
      </c>
      <c r="CF31" s="16">
        <f ca="1">(L31-'Airfoil 1'!$Z$75)/ABS(L31-'Airfoil 1'!$Z$75)</f>
        <v>1</v>
      </c>
      <c r="CG31" s="16">
        <f ca="1">(L31-'Airfoil 1'!$Z$76)/ABS(L31-'Airfoil 1'!$Z$76)</f>
        <v>-1</v>
      </c>
      <c r="CH31" s="16">
        <f ca="1">(L31-'Airfoil 1'!$Z$77)/ABS(L31-'Airfoil 1'!$Z$77)</f>
        <v>-1</v>
      </c>
      <c r="CI31" s="16">
        <f ca="1">(L31-'Airfoil 1'!$Z$78)/ABS(L31-'Airfoil 1'!$Z$78)</f>
        <v>-1</v>
      </c>
      <c r="CJ31" s="16">
        <f ca="1">(L31-'Airfoil 1'!$Z$79)/ABS(L31-'Airfoil 1'!$Z$79)</f>
        <v>-1</v>
      </c>
      <c r="CK31" s="16">
        <f ca="1">(L31-'Airfoil 1'!$Z$80)/ABS(L31-'Airfoil 1'!$Z$80)</f>
        <v>-1</v>
      </c>
      <c r="CL31" s="16">
        <f ca="1">(L31-'Airfoil 1'!$Z$81)/ABS(L31-'Airfoil 1'!$Z$81)</f>
        <v>-1</v>
      </c>
      <c r="CM31" s="16">
        <f ca="1">(L31-'Airfoil 1'!$Z$82)/ABS(L31-'Airfoil 1'!$Z$82)</f>
        <v>-1</v>
      </c>
      <c r="CN31" s="16">
        <f ca="1">(L31-'Airfoil 1'!$Z$83)/ABS(L31-'Airfoil 1'!$Z$83)</f>
        <v>-1</v>
      </c>
      <c r="CO31" s="16">
        <f ca="1">(L31-'Airfoil 1'!$Z$84)/ABS(L31-'Airfoil 1'!$Z$84)</f>
        <v>-1</v>
      </c>
      <c r="CP31" s="16">
        <f ca="1">(L31-'Airfoil 1'!$Z$85)/ABS(L31-'Airfoil 1'!$Z$85)</f>
        <v>-1</v>
      </c>
      <c r="CQ31" s="16">
        <f ca="1">(L31-'Airfoil 1'!$Z$86)/ABS(L31-'Airfoil 1'!$Z$86)</f>
        <v>-1</v>
      </c>
      <c r="CR31" s="16">
        <f ca="1">(L31-'Airfoil 1'!$Z$87)/ABS(L31-'Airfoil 1'!$Z$87)</f>
        <v>-1</v>
      </c>
      <c r="CS31" s="16">
        <f ca="1">(L31-'Airfoil 1'!$Z$88)/ABS(L31-'Airfoil 1'!$Z$88)</f>
        <v>-1</v>
      </c>
      <c r="CT31" s="16">
        <f ca="1">(L31-'Airfoil 1'!$Z$89)/ABS(L31-'Airfoil 1'!$Z$89)</f>
        <v>-1</v>
      </c>
      <c r="CU31" s="16">
        <f ca="1">(L31-'Airfoil 1'!$Z$90)/ABS(L31-'Airfoil 1'!$Z$90)</f>
        <v>-1</v>
      </c>
      <c r="CV31" s="16">
        <f ca="1">(L31-'Airfoil 1'!$Z$91)/ABS(L31-'Airfoil 1'!$Z$91)</f>
        <v>-1</v>
      </c>
      <c r="CW31" s="5">
        <f t="shared" ca="1" si="10"/>
        <v>4</v>
      </c>
      <c r="CX31" s="42">
        <f ca="1">INDEX('Airfoil 1'!$AA$72:$AA$91,CW31,1)+INDEX('Airfoil 1'!$AB$72:$AB$91,CW31,1)*(L31-INDEX('Airfoil 1'!$Z$72:$Z$91,CW31,1))</f>
        <v>1.1110331491712706E-2</v>
      </c>
    </row>
    <row r="32" spans="2:102">
      <c r="B32" s="31">
        <f>Main!B32</f>
        <v>0.33333333333333326</v>
      </c>
      <c r="D32" s="1">
        <f>'RC'!F32</f>
        <v>0.65969672852566186</v>
      </c>
      <c r="E32" s="4">
        <f>ISA!$R$10</f>
        <v>1.5987591530356481E-5</v>
      </c>
      <c r="G32" s="13">
        <f ca="1">'RC'!X32</f>
        <v>23.990482001725344</v>
      </c>
      <c r="H32" s="5">
        <f t="shared" ca="1" si="0"/>
        <v>329973.45602351421</v>
      </c>
      <c r="I32" s="16">
        <f ca="1">'Airfoil 2'!$K$14*H32^'Airfoil 2'!$L$13</f>
        <v>1.5815949518602745</v>
      </c>
      <c r="J32" s="1">
        <f ca="1">'Airfoil 2'!$K$33*H32^'Airfoil 2'!$L$32</f>
        <v>5.1342420892524556</v>
      </c>
      <c r="K32" s="13">
        <f ca="1">'Airfoil 2'!$K$52*H32^'Airfoil 2'!$L$51</f>
        <v>-8.812875470480634</v>
      </c>
      <c r="L32" s="16">
        <f ca="1">'Aerodynamics-RC'!W32</f>
        <v>0.9</v>
      </c>
      <c r="M32" s="10">
        <f ca="1">('Airfoil 1'!$B$21+'Airfoil 1'!$B$22*L32+'Airfoil 1'!$B$23*L32^2+'Airfoil 1'!$B$24*L32^3+'Airfoil 1'!$B$25*L32^4+'Airfoil 1'!$B$26*L32^5+'Airfoil 1'!$B$27*L32^6)*0+BD32</f>
        <v>2.4489313868613138E-2</v>
      </c>
      <c r="N32" s="42">
        <f ca="1">('Airfoil 1'!$B$29+'Airfoil 1'!$B$30*L32+'Airfoil 1'!$B$31*L32^2+'Airfoil 1'!$B$32*L32^3+'Airfoil 1'!$B$33*L32^4+'Airfoil 1'!$B$34*L32^5+'Airfoil 1'!$B$35*L32^6)*0+CA32</f>
        <v>1.7370857855361597E-2</v>
      </c>
      <c r="O32" s="42">
        <f ca="1">('Airfoil 1'!$B$37+'Airfoil 1'!$B$38*L32+'Airfoil 1'!$B$39*L32^2+'Airfoil 1'!$B$40*L32^3+'Airfoil 1'!$B$41*L32^4+'Airfoil 1'!$B$42*L32^5+'Airfoil 1'!$B$43*L32^6)*0+CX32</f>
        <v>1.1110331491712706E-2</v>
      </c>
      <c r="P32" s="16">
        <f>LOG('Airfoil 1'!$F$10)+LOG('Airfoil 1'!$G$10)+LOG('Airfoil 1'!$H$10)</f>
        <v>15.176091259055681</v>
      </c>
      <c r="Q32" s="16">
        <f t="shared" ca="1" si="1"/>
        <v>-5.3254750991929125</v>
      </c>
      <c r="R32" s="16">
        <f>LOG('Airfoil 1'!$F$10)^2+LOG('Airfoil 1'!$G$10)^2+LOG('Airfoil 1'!$H$10)^2</f>
        <v>76.867141336751558</v>
      </c>
      <c r="S32" s="16">
        <f ca="1">LOG('Airfoil 1'!$F$10)*LOG(M32)+LOG('Airfoil 1'!$G$10)*LOG(N32)+LOG('Airfoil 1'!$H$10)*LOG(O32)</f>
        <v>-27.014391057528009</v>
      </c>
      <c r="T32" s="16">
        <f t="shared" ca="1" si="2"/>
        <v>141.60346469083578</v>
      </c>
      <c r="U32" s="16">
        <f t="shared" ca="1" si="3"/>
        <v>-0.77613507568957385</v>
      </c>
      <c r="V32" s="42">
        <f ca="1">IF(Energy!$F$11=1,Energy!$T$13,1)*T32*H32^U32</f>
        <v>8.1351835692107018E-3</v>
      </c>
      <c r="W32" s="10">
        <f ca="1">'Airfoil 1'!$B$48+'Airfoil 1'!$B$49*L32+'Airfoil 1'!$B$50*L32^2+'Airfoil 1'!$B$51*L32^3+'Airfoil 1'!$B$52*L32^4+'Airfoil 1'!$B$53*L32^5+'Airfoil 1'!$B$54*L32^6</f>
        <v>-0.155</v>
      </c>
      <c r="X32" s="42">
        <f ca="1">'Airfoil 1'!$B$56+'Airfoil 1'!$B$57*L32+'Airfoil 1'!$B$58*L32^2+'Airfoil 1'!$B$59*L32^3+'Airfoil 1'!$B$60*L32^4+'Airfoil 1'!$B$61*L32^5+'Airfoil 1'!$B$62*L32^6</f>
        <v>-0.155</v>
      </c>
      <c r="Y32" s="42">
        <f ca="1">'Airfoil 1'!$B$64+'Airfoil 1'!$B$65*L32+'Airfoil 1'!$B$66*L32^2+'Airfoil 1'!$B$67*L32^3+'Airfoil 1'!$B$681*L32^4+'Airfoil 1'!$B$69*L32^5+'Airfoil 1'!$B$70*L32^6</f>
        <v>-0.155</v>
      </c>
      <c r="Z32" s="16">
        <f>LOG('Airfoil 1'!$F$10)+LOG('Airfoil 1'!$G$10)+LOG('Airfoil 1'!$H$10)</f>
        <v>15.176091259055681</v>
      </c>
      <c r="AA32" s="16">
        <f t="shared" ca="1" si="4"/>
        <v>-2.4290049054891254</v>
      </c>
      <c r="AB32" s="16">
        <f>LOG('Airfoil 1'!$F$10)^2+LOG('Airfoil 1'!$G$10)^2+LOG('Airfoil 1'!$H$10)^2</f>
        <v>76.867141336751558</v>
      </c>
      <c r="AC32" s="16">
        <f ca="1">LOG('Airfoil 1'!$F$10)*LOG(ABS(W32))+LOG('Airfoil 1'!$G$10)*LOG(ABS(X32))+LOG('Airfoil 1'!$H$10)*LOG(ABS(Y32))</f>
        <v>-12.287600038132297</v>
      </c>
      <c r="AD32" s="16">
        <f t="shared" ca="1" si="5"/>
        <v>0.1550000000000121</v>
      </c>
      <c r="AE32" s="16">
        <f t="shared" ca="1" si="6"/>
        <v>-6.6718325633022456E-15</v>
      </c>
      <c r="AF32" s="42">
        <f t="shared" ca="1" si="7"/>
        <v>-0.15499999999999894</v>
      </c>
      <c r="AG32" s="16"/>
      <c r="AH32" s="42"/>
      <c r="AI32" s="16">
        <f ca="1">(L32-'Airfoil 1'!$Z$22)/ABS(L32-'Airfoil 1'!$Z$22)</f>
        <v>1</v>
      </c>
      <c r="AJ32" s="16">
        <f ca="1">(L32-'Airfoil 1'!$Z$23)/ABS(L32-'Airfoil 1'!$Z$23)</f>
        <v>1</v>
      </c>
      <c r="AK32" s="16">
        <f ca="1">(L32-'Airfoil 1'!$Z$24)/ABS(L32-'Airfoil 1'!$Z$24)</f>
        <v>1</v>
      </c>
      <c r="AL32" s="16">
        <f ca="1">(L32-'Airfoil 1'!$Z$25)/ABS(L32-'Airfoil 1'!$Z$25)</f>
        <v>1</v>
      </c>
      <c r="AM32" s="16">
        <f ca="1">(L32-'Airfoil 1'!$Z$26)/ABS(L32-'Airfoil 1'!$Z$26)</f>
        <v>1</v>
      </c>
      <c r="AN32" s="16">
        <f ca="1">(L32-'Airfoil 1'!$Z$27)/ABS(L32-'Airfoil 1'!$Z$27)</f>
        <v>1</v>
      </c>
      <c r="AO32" s="16">
        <f ca="1">(L32-'Airfoil 1'!$Z$28)/ABS(L32-'Airfoil 1'!$Z$28)</f>
        <v>1</v>
      </c>
      <c r="AP32" s="16">
        <f ca="1">(L32-'Airfoil 1'!$Z$29)/ABS(L32-'Airfoil 1'!$Z$29)</f>
        <v>-1</v>
      </c>
      <c r="AQ32" s="16">
        <f ca="1">(L32-'Airfoil 1'!$Z$30)/ABS(L32-'Airfoil 1'!$Z$30)</f>
        <v>-1</v>
      </c>
      <c r="AR32" s="16">
        <f ca="1">(L32-'Airfoil 1'!$Z$31)/ABS(L32-'Airfoil 1'!$Z$31)</f>
        <v>-1</v>
      </c>
      <c r="AS32" s="16">
        <f ca="1">(L32-'Airfoil 1'!$Z$32)/ABS(L32-'Airfoil 1'!$Z$32)</f>
        <v>-1</v>
      </c>
      <c r="AT32" s="16">
        <f ca="1">(L32-'Airfoil 1'!$Z$33)/ABS(L32-'Airfoil 1'!$Z$33)</f>
        <v>-1</v>
      </c>
      <c r="AU32" s="16">
        <f ca="1">(L32-'Airfoil 1'!$Z$34)/ABS(L32-'Airfoil 1'!$Z$34)</f>
        <v>-1</v>
      </c>
      <c r="AV32" s="16">
        <f ca="1">(L32-'Airfoil 1'!$Z$35)/ABS(L32-'Airfoil 1'!$Z$35)</f>
        <v>-1</v>
      </c>
      <c r="AW32" s="16">
        <f ca="1">(L32-'Airfoil 1'!$Z$36)/ABS(L32-'Airfoil 1'!$Z$36)</f>
        <v>-1</v>
      </c>
      <c r="AX32" s="16">
        <f ca="1">(L32-'Airfoil 1'!$Z$37)/ABS(L32-'Airfoil 1'!$Z$37)</f>
        <v>-1</v>
      </c>
      <c r="AY32" s="16">
        <f ca="1">(L32-'Airfoil 1'!$Z$38)/ABS(L32-'Airfoil 1'!$Z$38)</f>
        <v>-1</v>
      </c>
      <c r="AZ32" s="16">
        <f ca="1">(L32-'Airfoil 1'!$Z$39)/ABS(L32-'Airfoil 1'!$Z$39)</f>
        <v>-1</v>
      </c>
      <c r="BA32" s="16">
        <f ca="1">(L32-'Airfoil 1'!$Z$40)/ABS(L32-'Airfoil 1'!$Z$40)</f>
        <v>-1</v>
      </c>
      <c r="BB32" s="16">
        <f ca="1">(L32-'Airfoil 1'!$Z$41)/ABS(L32-'Airfoil 1'!$Z$41)</f>
        <v>-1</v>
      </c>
      <c r="BC32" s="5">
        <f t="shared" ca="1" si="8"/>
        <v>7</v>
      </c>
      <c r="BD32" s="42">
        <f ca="1">INDEX('Airfoil 1'!$AA$22:$AA$41,BC32,1)+INDEX('Airfoil 1'!$AB$22:$AB$41,BC32,1)*(L32-INDEX('Airfoil 1'!$Z$22:$Z$41,BC32,1))</f>
        <v>2.4489313868613138E-2</v>
      </c>
      <c r="BE32" s="6"/>
      <c r="BF32" s="16">
        <f ca="1">(L32-'Airfoil 1'!$Z$47)/ABS(L32-'Airfoil 1'!$Z$47)</f>
        <v>1</v>
      </c>
      <c r="BG32" s="16">
        <f ca="1">(L32-'Airfoil 1'!$Z$48)/ABS(L32-'Airfoil 1'!$Z$48)</f>
        <v>1</v>
      </c>
      <c r="BH32" s="16">
        <f ca="1">(L32-'Airfoil 1'!$Z$49)/ABS(L32-'Airfoil 1'!$Z$49)</f>
        <v>1</v>
      </c>
      <c r="BI32" s="16">
        <f ca="1">(L32-'Airfoil 1'!$Z$50)/ABS(L32-'Airfoil 1'!$Z$50)</f>
        <v>1</v>
      </c>
      <c r="BJ32" s="16">
        <f ca="1">(L32-'Airfoil 1'!$Z$51)/ABS(L32-'Airfoil 1'!$Z$51)</f>
        <v>1</v>
      </c>
      <c r="BK32" s="16">
        <f ca="1">(L32-'Airfoil 1'!$Z$52)/ABS(L32-'Airfoil 1'!$Z$52)</f>
        <v>1</v>
      </c>
      <c r="BL32" s="16">
        <f ca="1">(L32-'Airfoil 1'!$Z$53)/ABS(L32-'Airfoil 1'!$Z$53)</f>
        <v>-1</v>
      </c>
      <c r="BM32" s="16">
        <f ca="1">(L32-'Airfoil 1'!$Z$54)/ABS(L32-'Airfoil 1'!$Z$54)</f>
        <v>-1</v>
      </c>
      <c r="BN32" s="16">
        <f ca="1">(L32-'Airfoil 1'!$Z$55)/ABS(L32-'Airfoil 1'!$Z$55)</f>
        <v>-1</v>
      </c>
      <c r="BO32" s="16">
        <f ca="1">(L32-'Airfoil 1'!$Z$56)/ABS(L32-'Airfoil 1'!$Z$56)</f>
        <v>-1</v>
      </c>
      <c r="BP32" s="16">
        <f ca="1">(L32-'Airfoil 1'!$Z$57)/ABS(L32-'Airfoil 1'!$Z$57)</f>
        <v>-1</v>
      </c>
      <c r="BQ32" s="16">
        <f ca="1">(L32-'Airfoil 1'!$Z$58)/ABS(L32-'Airfoil 1'!$Z$58)</f>
        <v>-1</v>
      </c>
      <c r="BR32" s="16">
        <f ca="1">(L32-'Airfoil 1'!$Z$59)/ABS(L32-'Airfoil 1'!$Z$59)</f>
        <v>-1</v>
      </c>
      <c r="BS32" s="16">
        <f ca="1">(L32-'Airfoil 1'!$Z$60)/ABS(L32-'Airfoil 1'!$Z$60)</f>
        <v>-1</v>
      </c>
      <c r="BT32" s="16">
        <f ca="1">(L32-'Airfoil 1'!$Z$61)/ABS(L32-'Airfoil 1'!$Z$61)</f>
        <v>-1</v>
      </c>
      <c r="BU32" s="16">
        <f ca="1">(L32-'Airfoil 1'!$Z$62)/ABS(L32-'Airfoil 1'!$Z$62)</f>
        <v>-1</v>
      </c>
      <c r="BV32" s="16">
        <f ca="1">(L32-'Airfoil 1'!$Z$63)/ABS(L32-'Airfoil 1'!$Z$63)</f>
        <v>-1</v>
      </c>
      <c r="BW32" s="16">
        <f ca="1">(L32-'Airfoil 1'!$Z$64)/ABS(L32-'Airfoil 1'!$Z$64)</f>
        <v>-1</v>
      </c>
      <c r="BX32" s="16">
        <f ca="1">(L32-'Airfoil 1'!$Z$65)/ABS(L32-'Airfoil 1'!$Z$65)</f>
        <v>-1</v>
      </c>
      <c r="BY32" s="16">
        <f ca="1">(L32-'Airfoil 1'!$Z$66)/ABS(L32-'Airfoil 1'!$Z$66)</f>
        <v>-1</v>
      </c>
      <c r="BZ32" s="5">
        <f t="shared" ca="1" si="9"/>
        <v>6</v>
      </c>
      <c r="CA32" s="42">
        <f ca="1">INDEX('Airfoil 1'!$AA$47:$AA$66,BZ32,1)+INDEX('Airfoil 1'!$AB$47:$AB$66,BZ32,1)*(L32-INDEX('Airfoil 1'!$Z$47:$Z$66,BZ32,1))</f>
        <v>1.7370857855361597E-2</v>
      </c>
      <c r="CC32" s="16">
        <f ca="1">(L32-'Airfoil 1'!$Z$72)/ABS(L32-'Airfoil 1'!$Z$72)</f>
        <v>1</v>
      </c>
      <c r="CD32" s="16">
        <f ca="1">(L32-'Airfoil 1'!$Z$73)/ABS(L32-'Airfoil 1'!$Z$73)</f>
        <v>1</v>
      </c>
      <c r="CE32" s="16">
        <f ca="1">(L32-'Airfoil 1'!$Z$74)/ABS(L32-'Airfoil 1'!$Z$74)</f>
        <v>1</v>
      </c>
      <c r="CF32" s="16">
        <f ca="1">(L32-'Airfoil 1'!$Z$75)/ABS(L32-'Airfoil 1'!$Z$75)</f>
        <v>1</v>
      </c>
      <c r="CG32" s="16">
        <f ca="1">(L32-'Airfoil 1'!$Z$76)/ABS(L32-'Airfoil 1'!$Z$76)</f>
        <v>-1</v>
      </c>
      <c r="CH32" s="16">
        <f ca="1">(L32-'Airfoil 1'!$Z$77)/ABS(L32-'Airfoil 1'!$Z$77)</f>
        <v>-1</v>
      </c>
      <c r="CI32" s="16">
        <f ca="1">(L32-'Airfoil 1'!$Z$78)/ABS(L32-'Airfoil 1'!$Z$78)</f>
        <v>-1</v>
      </c>
      <c r="CJ32" s="16">
        <f ca="1">(L32-'Airfoil 1'!$Z$79)/ABS(L32-'Airfoil 1'!$Z$79)</f>
        <v>-1</v>
      </c>
      <c r="CK32" s="16">
        <f ca="1">(L32-'Airfoil 1'!$Z$80)/ABS(L32-'Airfoil 1'!$Z$80)</f>
        <v>-1</v>
      </c>
      <c r="CL32" s="16">
        <f ca="1">(L32-'Airfoil 1'!$Z$81)/ABS(L32-'Airfoil 1'!$Z$81)</f>
        <v>-1</v>
      </c>
      <c r="CM32" s="16">
        <f ca="1">(L32-'Airfoil 1'!$Z$82)/ABS(L32-'Airfoil 1'!$Z$82)</f>
        <v>-1</v>
      </c>
      <c r="CN32" s="16">
        <f ca="1">(L32-'Airfoil 1'!$Z$83)/ABS(L32-'Airfoil 1'!$Z$83)</f>
        <v>-1</v>
      </c>
      <c r="CO32" s="16">
        <f ca="1">(L32-'Airfoil 1'!$Z$84)/ABS(L32-'Airfoil 1'!$Z$84)</f>
        <v>-1</v>
      </c>
      <c r="CP32" s="16">
        <f ca="1">(L32-'Airfoil 1'!$Z$85)/ABS(L32-'Airfoil 1'!$Z$85)</f>
        <v>-1</v>
      </c>
      <c r="CQ32" s="16">
        <f ca="1">(L32-'Airfoil 1'!$Z$86)/ABS(L32-'Airfoil 1'!$Z$86)</f>
        <v>-1</v>
      </c>
      <c r="CR32" s="16">
        <f ca="1">(L32-'Airfoil 1'!$Z$87)/ABS(L32-'Airfoil 1'!$Z$87)</f>
        <v>-1</v>
      </c>
      <c r="CS32" s="16">
        <f ca="1">(L32-'Airfoil 1'!$Z$88)/ABS(L32-'Airfoil 1'!$Z$88)</f>
        <v>-1</v>
      </c>
      <c r="CT32" s="16">
        <f ca="1">(L32-'Airfoil 1'!$Z$89)/ABS(L32-'Airfoil 1'!$Z$89)</f>
        <v>-1</v>
      </c>
      <c r="CU32" s="16">
        <f ca="1">(L32-'Airfoil 1'!$Z$90)/ABS(L32-'Airfoil 1'!$Z$90)</f>
        <v>-1</v>
      </c>
      <c r="CV32" s="16">
        <f ca="1">(L32-'Airfoil 1'!$Z$91)/ABS(L32-'Airfoil 1'!$Z$91)</f>
        <v>-1</v>
      </c>
      <c r="CW32" s="5">
        <f t="shared" ca="1" si="10"/>
        <v>4</v>
      </c>
      <c r="CX32" s="42">
        <f ca="1">INDEX('Airfoil 1'!$AA$72:$AA$91,CW32,1)+INDEX('Airfoil 1'!$AB$72:$AB$91,CW32,1)*(L32-INDEX('Airfoil 1'!$Z$72:$Z$91,CW32,1))</f>
        <v>1.1110331491712706E-2</v>
      </c>
    </row>
    <row r="33" spans="2:102">
      <c r="B33" s="31">
        <f>Main!B33</f>
        <v>0.33333333333333326</v>
      </c>
      <c r="D33" s="1">
        <f>'RC'!F33</f>
        <v>0.65969672852566186</v>
      </c>
      <c r="E33" s="4">
        <f>ISA!$R$10</f>
        <v>1.5987591530356481E-5</v>
      </c>
      <c r="G33" s="13">
        <f ca="1">'RC'!X33</f>
        <v>23.594721425716866</v>
      </c>
      <c r="H33" s="5">
        <f t="shared" ca="1" si="0"/>
        <v>324530.0270413878</v>
      </c>
      <c r="I33" s="16">
        <f ca="1">'Airfoil 2'!$K$14*H33^'Airfoil 2'!$L$13</f>
        <v>1.5812292704139213</v>
      </c>
      <c r="J33" s="1">
        <f ca="1">'Airfoil 2'!$K$33*H33^'Airfoil 2'!$L$32</f>
        <v>5.1630477180712138</v>
      </c>
      <c r="K33" s="13">
        <f ca="1">'Airfoil 2'!$K$52*H33^'Airfoil 2'!$L$51</f>
        <v>-8.7153834748413672</v>
      </c>
      <c r="L33" s="16">
        <f ca="1">'Aerodynamics-RC'!W33</f>
        <v>0.9</v>
      </c>
      <c r="M33" s="10">
        <f ca="1">('Airfoil 1'!$B$21+'Airfoil 1'!$B$22*L33+'Airfoil 1'!$B$23*L33^2+'Airfoil 1'!$B$24*L33^3+'Airfoil 1'!$B$25*L33^4+'Airfoil 1'!$B$26*L33^5+'Airfoil 1'!$B$27*L33^6)*0+BD33</f>
        <v>2.4489313868613138E-2</v>
      </c>
      <c r="N33" s="42">
        <f ca="1">('Airfoil 1'!$B$29+'Airfoil 1'!$B$30*L33+'Airfoil 1'!$B$31*L33^2+'Airfoil 1'!$B$32*L33^3+'Airfoil 1'!$B$33*L33^4+'Airfoil 1'!$B$34*L33^5+'Airfoil 1'!$B$35*L33^6)*0+CA33</f>
        <v>1.7370857855361597E-2</v>
      </c>
      <c r="O33" s="42">
        <f ca="1">('Airfoil 1'!$B$37+'Airfoil 1'!$B$38*L33+'Airfoil 1'!$B$39*L33^2+'Airfoil 1'!$B$40*L33^3+'Airfoil 1'!$B$41*L33^4+'Airfoil 1'!$B$42*L33^5+'Airfoil 1'!$B$43*L33^6)*0+CX33</f>
        <v>1.1110331491712706E-2</v>
      </c>
      <c r="P33" s="16">
        <f>LOG('Airfoil 1'!$F$10)+LOG('Airfoil 1'!$G$10)+LOG('Airfoil 1'!$H$10)</f>
        <v>15.176091259055681</v>
      </c>
      <c r="Q33" s="16">
        <f t="shared" ca="1" si="1"/>
        <v>-5.3254750991929125</v>
      </c>
      <c r="R33" s="16">
        <f>LOG('Airfoil 1'!$F$10)^2+LOG('Airfoil 1'!$G$10)^2+LOG('Airfoil 1'!$H$10)^2</f>
        <v>76.867141336751558</v>
      </c>
      <c r="S33" s="16">
        <f ca="1">LOG('Airfoil 1'!$F$10)*LOG(M33)+LOG('Airfoil 1'!$G$10)*LOG(N33)+LOG('Airfoil 1'!$H$10)*LOG(O33)</f>
        <v>-27.014391057528009</v>
      </c>
      <c r="T33" s="16">
        <f t="shared" ca="1" si="2"/>
        <v>141.60346469083578</v>
      </c>
      <c r="U33" s="16">
        <f t="shared" ca="1" si="3"/>
        <v>-0.77613507568957385</v>
      </c>
      <c r="V33" s="42">
        <f ca="1">IF(Energy!$F$11=1,Energy!$T$13,1)*T33*H33^U33</f>
        <v>8.2408925143368852E-3</v>
      </c>
      <c r="W33" s="10">
        <f ca="1">'Airfoil 1'!$B$48+'Airfoil 1'!$B$49*L33+'Airfoil 1'!$B$50*L33^2+'Airfoil 1'!$B$51*L33^3+'Airfoil 1'!$B$52*L33^4+'Airfoil 1'!$B$53*L33^5+'Airfoil 1'!$B$54*L33^6</f>
        <v>-0.155</v>
      </c>
      <c r="X33" s="42">
        <f ca="1">'Airfoil 1'!$B$56+'Airfoil 1'!$B$57*L33+'Airfoil 1'!$B$58*L33^2+'Airfoil 1'!$B$59*L33^3+'Airfoil 1'!$B$60*L33^4+'Airfoil 1'!$B$61*L33^5+'Airfoil 1'!$B$62*L33^6</f>
        <v>-0.155</v>
      </c>
      <c r="Y33" s="42">
        <f ca="1">'Airfoil 1'!$B$64+'Airfoil 1'!$B$65*L33+'Airfoil 1'!$B$66*L33^2+'Airfoil 1'!$B$67*L33^3+'Airfoil 1'!$B$681*L33^4+'Airfoil 1'!$B$69*L33^5+'Airfoil 1'!$B$70*L33^6</f>
        <v>-0.155</v>
      </c>
      <c r="Z33" s="16">
        <f>LOG('Airfoil 1'!$F$10)+LOG('Airfoil 1'!$G$10)+LOG('Airfoil 1'!$H$10)</f>
        <v>15.176091259055681</v>
      </c>
      <c r="AA33" s="16">
        <f t="shared" ca="1" si="4"/>
        <v>-2.4290049054891254</v>
      </c>
      <c r="AB33" s="16">
        <f>LOG('Airfoil 1'!$F$10)^2+LOG('Airfoil 1'!$G$10)^2+LOG('Airfoil 1'!$H$10)^2</f>
        <v>76.867141336751558</v>
      </c>
      <c r="AC33" s="16">
        <f ca="1">LOG('Airfoil 1'!$F$10)*LOG(ABS(W33))+LOG('Airfoil 1'!$G$10)*LOG(ABS(X33))+LOG('Airfoil 1'!$H$10)*LOG(ABS(Y33))</f>
        <v>-12.287600038132297</v>
      </c>
      <c r="AD33" s="16">
        <f t="shared" ca="1" si="5"/>
        <v>0.1550000000000121</v>
      </c>
      <c r="AE33" s="16">
        <f t="shared" ca="1" si="6"/>
        <v>-6.6718325633022456E-15</v>
      </c>
      <c r="AF33" s="42">
        <f t="shared" ca="1" si="7"/>
        <v>-0.154999999999999</v>
      </c>
      <c r="AG33" s="16"/>
      <c r="AH33" s="42"/>
      <c r="AI33" s="16">
        <f ca="1">(L33-'Airfoil 1'!$Z$22)/ABS(L33-'Airfoil 1'!$Z$22)</f>
        <v>1</v>
      </c>
      <c r="AJ33" s="16">
        <f ca="1">(L33-'Airfoil 1'!$Z$23)/ABS(L33-'Airfoil 1'!$Z$23)</f>
        <v>1</v>
      </c>
      <c r="AK33" s="16">
        <f ca="1">(L33-'Airfoil 1'!$Z$24)/ABS(L33-'Airfoil 1'!$Z$24)</f>
        <v>1</v>
      </c>
      <c r="AL33" s="16">
        <f ca="1">(L33-'Airfoil 1'!$Z$25)/ABS(L33-'Airfoil 1'!$Z$25)</f>
        <v>1</v>
      </c>
      <c r="AM33" s="16">
        <f ca="1">(L33-'Airfoil 1'!$Z$26)/ABS(L33-'Airfoil 1'!$Z$26)</f>
        <v>1</v>
      </c>
      <c r="AN33" s="16">
        <f ca="1">(L33-'Airfoil 1'!$Z$27)/ABS(L33-'Airfoil 1'!$Z$27)</f>
        <v>1</v>
      </c>
      <c r="AO33" s="16">
        <f ca="1">(L33-'Airfoil 1'!$Z$28)/ABS(L33-'Airfoil 1'!$Z$28)</f>
        <v>1</v>
      </c>
      <c r="AP33" s="16">
        <f ca="1">(L33-'Airfoil 1'!$Z$29)/ABS(L33-'Airfoil 1'!$Z$29)</f>
        <v>-1</v>
      </c>
      <c r="AQ33" s="16">
        <f ca="1">(L33-'Airfoil 1'!$Z$30)/ABS(L33-'Airfoil 1'!$Z$30)</f>
        <v>-1</v>
      </c>
      <c r="AR33" s="16">
        <f ca="1">(L33-'Airfoil 1'!$Z$31)/ABS(L33-'Airfoil 1'!$Z$31)</f>
        <v>-1</v>
      </c>
      <c r="AS33" s="16">
        <f ca="1">(L33-'Airfoil 1'!$Z$32)/ABS(L33-'Airfoil 1'!$Z$32)</f>
        <v>-1</v>
      </c>
      <c r="AT33" s="16">
        <f ca="1">(L33-'Airfoil 1'!$Z$33)/ABS(L33-'Airfoil 1'!$Z$33)</f>
        <v>-1</v>
      </c>
      <c r="AU33" s="16">
        <f ca="1">(L33-'Airfoil 1'!$Z$34)/ABS(L33-'Airfoil 1'!$Z$34)</f>
        <v>-1</v>
      </c>
      <c r="AV33" s="16">
        <f ca="1">(L33-'Airfoil 1'!$Z$35)/ABS(L33-'Airfoil 1'!$Z$35)</f>
        <v>-1</v>
      </c>
      <c r="AW33" s="16">
        <f ca="1">(L33-'Airfoil 1'!$Z$36)/ABS(L33-'Airfoil 1'!$Z$36)</f>
        <v>-1</v>
      </c>
      <c r="AX33" s="16">
        <f ca="1">(L33-'Airfoil 1'!$Z$37)/ABS(L33-'Airfoil 1'!$Z$37)</f>
        <v>-1</v>
      </c>
      <c r="AY33" s="16">
        <f ca="1">(L33-'Airfoil 1'!$Z$38)/ABS(L33-'Airfoil 1'!$Z$38)</f>
        <v>-1</v>
      </c>
      <c r="AZ33" s="16">
        <f ca="1">(L33-'Airfoil 1'!$Z$39)/ABS(L33-'Airfoil 1'!$Z$39)</f>
        <v>-1</v>
      </c>
      <c r="BA33" s="16">
        <f ca="1">(L33-'Airfoil 1'!$Z$40)/ABS(L33-'Airfoil 1'!$Z$40)</f>
        <v>-1</v>
      </c>
      <c r="BB33" s="16">
        <f ca="1">(L33-'Airfoil 1'!$Z$41)/ABS(L33-'Airfoil 1'!$Z$41)</f>
        <v>-1</v>
      </c>
      <c r="BC33" s="5">
        <f t="shared" ca="1" si="8"/>
        <v>7</v>
      </c>
      <c r="BD33" s="42">
        <f ca="1">INDEX('Airfoil 1'!$AA$22:$AA$41,BC33,1)+INDEX('Airfoil 1'!$AB$22:$AB$41,BC33,1)*(L33-INDEX('Airfoil 1'!$Z$22:$Z$41,BC33,1))</f>
        <v>2.4489313868613138E-2</v>
      </c>
      <c r="BE33" s="6"/>
      <c r="BF33" s="16">
        <f ca="1">(L33-'Airfoil 1'!$Z$47)/ABS(L33-'Airfoil 1'!$Z$47)</f>
        <v>1</v>
      </c>
      <c r="BG33" s="16">
        <f ca="1">(L33-'Airfoil 1'!$Z$48)/ABS(L33-'Airfoil 1'!$Z$48)</f>
        <v>1</v>
      </c>
      <c r="BH33" s="16">
        <f ca="1">(L33-'Airfoil 1'!$Z$49)/ABS(L33-'Airfoil 1'!$Z$49)</f>
        <v>1</v>
      </c>
      <c r="BI33" s="16">
        <f ca="1">(L33-'Airfoil 1'!$Z$50)/ABS(L33-'Airfoil 1'!$Z$50)</f>
        <v>1</v>
      </c>
      <c r="BJ33" s="16">
        <f ca="1">(L33-'Airfoil 1'!$Z$51)/ABS(L33-'Airfoil 1'!$Z$51)</f>
        <v>1</v>
      </c>
      <c r="BK33" s="16">
        <f ca="1">(L33-'Airfoil 1'!$Z$52)/ABS(L33-'Airfoil 1'!$Z$52)</f>
        <v>1</v>
      </c>
      <c r="BL33" s="16">
        <f ca="1">(L33-'Airfoil 1'!$Z$53)/ABS(L33-'Airfoil 1'!$Z$53)</f>
        <v>-1</v>
      </c>
      <c r="BM33" s="16">
        <f ca="1">(L33-'Airfoil 1'!$Z$54)/ABS(L33-'Airfoil 1'!$Z$54)</f>
        <v>-1</v>
      </c>
      <c r="BN33" s="16">
        <f ca="1">(L33-'Airfoil 1'!$Z$55)/ABS(L33-'Airfoil 1'!$Z$55)</f>
        <v>-1</v>
      </c>
      <c r="BO33" s="16">
        <f ca="1">(L33-'Airfoil 1'!$Z$56)/ABS(L33-'Airfoil 1'!$Z$56)</f>
        <v>-1</v>
      </c>
      <c r="BP33" s="16">
        <f ca="1">(L33-'Airfoil 1'!$Z$57)/ABS(L33-'Airfoil 1'!$Z$57)</f>
        <v>-1</v>
      </c>
      <c r="BQ33" s="16">
        <f ca="1">(L33-'Airfoil 1'!$Z$58)/ABS(L33-'Airfoil 1'!$Z$58)</f>
        <v>-1</v>
      </c>
      <c r="BR33" s="16">
        <f ca="1">(L33-'Airfoil 1'!$Z$59)/ABS(L33-'Airfoil 1'!$Z$59)</f>
        <v>-1</v>
      </c>
      <c r="BS33" s="16">
        <f ca="1">(L33-'Airfoil 1'!$Z$60)/ABS(L33-'Airfoil 1'!$Z$60)</f>
        <v>-1</v>
      </c>
      <c r="BT33" s="16">
        <f ca="1">(L33-'Airfoil 1'!$Z$61)/ABS(L33-'Airfoil 1'!$Z$61)</f>
        <v>-1</v>
      </c>
      <c r="BU33" s="16">
        <f ca="1">(L33-'Airfoil 1'!$Z$62)/ABS(L33-'Airfoil 1'!$Z$62)</f>
        <v>-1</v>
      </c>
      <c r="BV33" s="16">
        <f ca="1">(L33-'Airfoil 1'!$Z$63)/ABS(L33-'Airfoil 1'!$Z$63)</f>
        <v>-1</v>
      </c>
      <c r="BW33" s="16">
        <f ca="1">(L33-'Airfoil 1'!$Z$64)/ABS(L33-'Airfoil 1'!$Z$64)</f>
        <v>-1</v>
      </c>
      <c r="BX33" s="16">
        <f ca="1">(L33-'Airfoil 1'!$Z$65)/ABS(L33-'Airfoil 1'!$Z$65)</f>
        <v>-1</v>
      </c>
      <c r="BY33" s="16">
        <f ca="1">(L33-'Airfoil 1'!$Z$66)/ABS(L33-'Airfoil 1'!$Z$66)</f>
        <v>-1</v>
      </c>
      <c r="BZ33" s="5">
        <f t="shared" ca="1" si="9"/>
        <v>6</v>
      </c>
      <c r="CA33" s="42">
        <f ca="1">INDEX('Airfoil 1'!$AA$47:$AA$66,BZ33,1)+INDEX('Airfoil 1'!$AB$47:$AB$66,BZ33,1)*(L33-INDEX('Airfoil 1'!$Z$47:$Z$66,BZ33,1))</f>
        <v>1.7370857855361597E-2</v>
      </c>
      <c r="CC33" s="16">
        <f ca="1">(L33-'Airfoil 1'!$Z$72)/ABS(L33-'Airfoil 1'!$Z$72)</f>
        <v>1</v>
      </c>
      <c r="CD33" s="16">
        <f ca="1">(L33-'Airfoil 1'!$Z$73)/ABS(L33-'Airfoil 1'!$Z$73)</f>
        <v>1</v>
      </c>
      <c r="CE33" s="16">
        <f ca="1">(L33-'Airfoil 1'!$Z$74)/ABS(L33-'Airfoil 1'!$Z$74)</f>
        <v>1</v>
      </c>
      <c r="CF33" s="16">
        <f ca="1">(L33-'Airfoil 1'!$Z$75)/ABS(L33-'Airfoil 1'!$Z$75)</f>
        <v>1</v>
      </c>
      <c r="CG33" s="16">
        <f ca="1">(L33-'Airfoil 1'!$Z$76)/ABS(L33-'Airfoil 1'!$Z$76)</f>
        <v>-1</v>
      </c>
      <c r="CH33" s="16">
        <f ca="1">(L33-'Airfoil 1'!$Z$77)/ABS(L33-'Airfoil 1'!$Z$77)</f>
        <v>-1</v>
      </c>
      <c r="CI33" s="16">
        <f ca="1">(L33-'Airfoil 1'!$Z$78)/ABS(L33-'Airfoil 1'!$Z$78)</f>
        <v>-1</v>
      </c>
      <c r="CJ33" s="16">
        <f ca="1">(L33-'Airfoil 1'!$Z$79)/ABS(L33-'Airfoil 1'!$Z$79)</f>
        <v>-1</v>
      </c>
      <c r="CK33" s="16">
        <f ca="1">(L33-'Airfoil 1'!$Z$80)/ABS(L33-'Airfoil 1'!$Z$80)</f>
        <v>-1</v>
      </c>
      <c r="CL33" s="16">
        <f ca="1">(L33-'Airfoil 1'!$Z$81)/ABS(L33-'Airfoil 1'!$Z$81)</f>
        <v>-1</v>
      </c>
      <c r="CM33" s="16">
        <f ca="1">(L33-'Airfoil 1'!$Z$82)/ABS(L33-'Airfoil 1'!$Z$82)</f>
        <v>-1</v>
      </c>
      <c r="CN33" s="16">
        <f ca="1">(L33-'Airfoil 1'!$Z$83)/ABS(L33-'Airfoil 1'!$Z$83)</f>
        <v>-1</v>
      </c>
      <c r="CO33" s="16">
        <f ca="1">(L33-'Airfoil 1'!$Z$84)/ABS(L33-'Airfoil 1'!$Z$84)</f>
        <v>-1</v>
      </c>
      <c r="CP33" s="16">
        <f ca="1">(L33-'Airfoil 1'!$Z$85)/ABS(L33-'Airfoil 1'!$Z$85)</f>
        <v>-1</v>
      </c>
      <c r="CQ33" s="16">
        <f ca="1">(L33-'Airfoil 1'!$Z$86)/ABS(L33-'Airfoil 1'!$Z$86)</f>
        <v>-1</v>
      </c>
      <c r="CR33" s="16">
        <f ca="1">(L33-'Airfoil 1'!$Z$87)/ABS(L33-'Airfoil 1'!$Z$87)</f>
        <v>-1</v>
      </c>
      <c r="CS33" s="16">
        <f ca="1">(L33-'Airfoil 1'!$Z$88)/ABS(L33-'Airfoil 1'!$Z$88)</f>
        <v>-1</v>
      </c>
      <c r="CT33" s="16">
        <f ca="1">(L33-'Airfoil 1'!$Z$89)/ABS(L33-'Airfoil 1'!$Z$89)</f>
        <v>-1</v>
      </c>
      <c r="CU33" s="16">
        <f ca="1">(L33-'Airfoil 1'!$Z$90)/ABS(L33-'Airfoil 1'!$Z$90)</f>
        <v>-1</v>
      </c>
      <c r="CV33" s="16">
        <f ca="1">(L33-'Airfoil 1'!$Z$91)/ABS(L33-'Airfoil 1'!$Z$91)</f>
        <v>-1</v>
      </c>
      <c r="CW33" s="5">
        <f t="shared" ca="1" si="10"/>
        <v>4</v>
      </c>
      <c r="CX33" s="42">
        <f ca="1">INDEX('Airfoil 1'!$AA$72:$AA$91,CW33,1)+INDEX('Airfoil 1'!$AB$72:$AB$91,CW33,1)*(L33-INDEX('Airfoil 1'!$Z$72:$Z$91,CW33,1))</f>
        <v>1.1110331491712706E-2</v>
      </c>
    </row>
    <row r="34" spans="2:102">
      <c r="B34" s="31">
        <f>Main!B34</f>
        <v>0.33333333333333326</v>
      </c>
      <c r="D34" s="1">
        <f>'RC'!F34</f>
        <v>0.65969672852566186</v>
      </c>
      <c r="E34" s="4">
        <f>ISA!$R$10</f>
        <v>1.5987591530356481E-5</v>
      </c>
      <c r="G34" s="13">
        <f ca="1">'RC'!X34</f>
        <v>23.221306277971916</v>
      </c>
      <c r="H34" s="5">
        <f t="shared" ca="1" si="0"/>
        <v>319393.94487246464</v>
      </c>
      <c r="I34" s="16">
        <f ca="1">'Airfoil 2'!$K$14*H34^'Airfoil 2'!$L$13</f>
        <v>1.5808786473142489</v>
      </c>
      <c r="J34" s="1">
        <f ca="1">'Airfoil 2'!$K$33*H34^'Airfoil 2'!$L$32</f>
        <v>5.1908252281545142</v>
      </c>
      <c r="K34" s="13">
        <f ca="1">'Airfoil 2'!$K$52*H34^'Airfoil 2'!$L$51</f>
        <v>-8.6228982065434003</v>
      </c>
      <c r="L34" s="16">
        <f ca="1">'Aerodynamics-RC'!W34</f>
        <v>0.9</v>
      </c>
      <c r="M34" s="10">
        <f ca="1">('Airfoil 1'!$B$21+'Airfoil 1'!$B$22*L34+'Airfoil 1'!$B$23*L34^2+'Airfoil 1'!$B$24*L34^3+'Airfoil 1'!$B$25*L34^4+'Airfoil 1'!$B$26*L34^5+'Airfoil 1'!$B$27*L34^6)*0+BD34</f>
        <v>2.4489313868613138E-2</v>
      </c>
      <c r="N34" s="42">
        <f ca="1">('Airfoil 1'!$B$29+'Airfoil 1'!$B$30*L34+'Airfoil 1'!$B$31*L34^2+'Airfoil 1'!$B$32*L34^3+'Airfoil 1'!$B$33*L34^4+'Airfoil 1'!$B$34*L34^5+'Airfoil 1'!$B$35*L34^6)*0+CA34</f>
        <v>1.7370857855361597E-2</v>
      </c>
      <c r="O34" s="42">
        <f ca="1">('Airfoil 1'!$B$37+'Airfoil 1'!$B$38*L34+'Airfoil 1'!$B$39*L34^2+'Airfoil 1'!$B$40*L34^3+'Airfoil 1'!$B$41*L34^4+'Airfoil 1'!$B$42*L34^5+'Airfoil 1'!$B$43*L34^6)*0+CX34</f>
        <v>1.1110331491712706E-2</v>
      </c>
      <c r="P34" s="16">
        <f>LOG('Airfoil 1'!$F$10)+LOG('Airfoil 1'!$G$10)+LOG('Airfoil 1'!$H$10)</f>
        <v>15.176091259055681</v>
      </c>
      <c r="Q34" s="16">
        <f t="shared" ca="1" si="1"/>
        <v>-5.3254750991929125</v>
      </c>
      <c r="R34" s="16">
        <f>LOG('Airfoil 1'!$F$10)^2+LOG('Airfoil 1'!$G$10)^2+LOG('Airfoil 1'!$H$10)^2</f>
        <v>76.867141336751558</v>
      </c>
      <c r="S34" s="16">
        <f ca="1">LOG('Airfoil 1'!$F$10)*LOG(M34)+LOG('Airfoil 1'!$G$10)*LOG(N34)+LOG('Airfoil 1'!$H$10)*LOG(O34)</f>
        <v>-27.014391057528009</v>
      </c>
      <c r="T34" s="16">
        <f t="shared" ca="1" si="2"/>
        <v>141.60346469083578</v>
      </c>
      <c r="U34" s="16">
        <f t="shared" ca="1" si="3"/>
        <v>-0.77613507568957385</v>
      </c>
      <c r="V34" s="42">
        <f ca="1">IF(Energy!$F$11=1,Energy!$T$13,1)*T34*H34^U34</f>
        <v>8.3435615594446132E-3</v>
      </c>
      <c r="W34" s="10">
        <f ca="1">'Airfoil 1'!$B$48+'Airfoil 1'!$B$49*L34+'Airfoil 1'!$B$50*L34^2+'Airfoil 1'!$B$51*L34^3+'Airfoil 1'!$B$52*L34^4+'Airfoil 1'!$B$53*L34^5+'Airfoil 1'!$B$54*L34^6</f>
        <v>-0.155</v>
      </c>
      <c r="X34" s="42">
        <f ca="1">'Airfoil 1'!$B$56+'Airfoil 1'!$B$57*L34+'Airfoil 1'!$B$58*L34^2+'Airfoil 1'!$B$59*L34^3+'Airfoil 1'!$B$60*L34^4+'Airfoil 1'!$B$61*L34^5+'Airfoil 1'!$B$62*L34^6</f>
        <v>-0.155</v>
      </c>
      <c r="Y34" s="42">
        <f ca="1">'Airfoil 1'!$B$64+'Airfoil 1'!$B$65*L34+'Airfoil 1'!$B$66*L34^2+'Airfoil 1'!$B$67*L34^3+'Airfoil 1'!$B$681*L34^4+'Airfoil 1'!$B$69*L34^5+'Airfoil 1'!$B$70*L34^6</f>
        <v>-0.155</v>
      </c>
      <c r="Z34" s="16">
        <f>LOG('Airfoil 1'!$F$10)+LOG('Airfoil 1'!$G$10)+LOG('Airfoil 1'!$H$10)</f>
        <v>15.176091259055681</v>
      </c>
      <c r="AA34" s="16">
        <f t="shared" ca="1" si="4"/>
        <v>-2.4290049054891254</v>
      </c>
      <c r="AB34" s="16">
        <f>LOG('Airfoil 1'!$F$10)^2+LOG('Airfoil 1'!$G$10)^2+LOG('Airfoil 1'!$H$10)^2</f>
        <v>76.867141336751558</v>
      </c>
      <c r="AC34" s="16">
        <f ca="1">LOG('Airfoil 1'!$F$10)*LOG(ABS(W34))+LOG('Airfoil 1'!$G$10)*LOG(ABS(X34))+LOG('Airfoil 1'!$H$10)*LOG(ABS(Y34))</f>
        <v>-12.287600038132297</v>
      </c>
      <c r="AD34" s="16">
        <f t="shared" ca="1" si="5"/>
        <v>0.1550000000000121</v>
      </c>
      <c r="AE34" s="16">
        <f t="shared" ca="1" si="6"/>
        <v>-6.6718325633022456E-15</v>
      </c>
      <c r="AF34" s="42">
        <f t="shared" ca="1" si="7"/>
        <v>-0.154999999999999</v>
      </c>
      <c r="AG34" s="16"/>
      <c r="AH34" s="42"/>
      <c r="AI34" s="16">
        <f ca="1">(L34-'Airfoil 1'!$Z$22)/ABS(L34-'Airfoil 1'!$Z$22)</f>
        <v>1</v>
      </c>
      <c r="AJ34" s="16">
        <f ca="1">(L34-'Airfoil 1'!$Z$23)/ABS(L34-'Airfoil 1'!$Z$23)</f>
        <v>1</v>
      </c>
      <c r="AK34" s="16">
        <f ca="1">(L34-'Airfoil 1'!$Z$24)/ABS(L34-'Airfoil 1'!$Z$24)</f>
        <v>1</v>
      </c>
      <c r="AL34" s="16">
        <f ca="1">(L34-'Airfoil 1'!$Z$25)/ABS(L34-'Airfoil 1'!$Z$25)</f>
        <v>1</v>
      </c>
      <c r="AM34" s="16">
        <f ca="1">(L34-'Airfoil 1'!$Z$26)/ABS(L34-'Airfoil 1'!$Z$26)</f>
        <v>1</v>
      </c>
      <c r="AN34" s="16">
        <f ca="1">(L34-'Airfoil 1'!$Z$27)/ABS(L34-'Airfoil 1'!$Z$27)</f>
        <v>1</v>
      </c>
      <c r="AO34" s="16">
        <f ca="1">(L34-'Airfoil 1'!$Z$28)/ABS(L34-'Airfoil 1'!$Z$28)</f>
        <v>1</v>
      </c>
      <c r="AP34" s="16">
        <f ca="1">(L34-'Airfoil 1'!$Z$29)/ABS(L34-'Airfoil 1'!$Z$29)</f>
        <v>-1</v>
      </c>
      <c r="AQ34" s="16">
        <f ca="1">(L34-'Airfoil 1'!$Z$30)/ABS(L34-'Airfoil 1'!$Z$30)</f>
        <v>-1</v>
      </c>
      <c r="AR34" s="16">
        <f ca="1">(L34-'Airfoil 1'!$Z$31)/ABS(L34-'Airfoil 1'!$Z$31)</f>
        <v>-1</v>
      </c>
      <c r="AS34" s="16">
        <f ca="1">(L34-'Airfoil 1'!$Z$32)/ABS(L34-'Airfoil 1'!$Z$32)</f>
        <v>-1</v>
      </c>
      <c r="AT34" s="16">
        <f ca="1">(L34-'Airfoil 1'!$Z$33)/ABS(L34-'Airfoil 1'!$Z$33)</f>
        <v>-1</v>
      </c>
      <c r="AU34" s="16">
        <f ca="1">(L34-'Airfoil 1'!$Z$34)/ABS(L34-'Airfoil 1'!$Z$34)</f>
        <v>-1</v>
      </c>
      <c r="AV34" s="16">
        <f ca="1">(L34-'Airfoil 1'!$Z$35)/ABS(L34-'Airfoil 1'!$Z$35)</f>
        <v>-1</v>
      </c>
      <c r="AW34" s="16">
        <f ca="1">(L34-'Airfoil 1'!$Z$36)/ABS(L34-'Airfoil 1'!$Z$36)</f>
        <v>-1</v>
      </c>
      <c r="AX34" s="16">
        <f ca="1">(L34-'Airfoil 1'!$Z$37)/ABS(L34-'Airfoil 1'!$Z$37)</f>
        <v>-1</v>
      </c>
      <c r="AY34" s="16">
        <f ca="1">(L34-'Airfoil 1'!$Z$38)/ABS(L34-'Airfoil 1'!$Z$38)</f>
        <v>-1</v>
      </c>
      <c r="AZ34" s="16">
        <f ca="1">(L34-'Airfoil 1'!$Z$39)/ABS(L34-'Airfoil 1'!$Z$39)</f>
        <v>-1</v>
      </c>
      <c r="BA34" s="16">
        <f ca="1">(L34-'Airfoil 1'!$Z$40)/ABS(L34-'Airfoil 1'!$Z$40)</f>
        <v>-1</v>
      </c>
      <c r="BB34" s="16">
        <f ca="1">(L34-'Airfoil 1'!$Z$41)/ABS(L34-'Airfoil 1'!$Z$41)</f>
        <v>-1</v>
      </c>
      <c r="BC34" s="5">
        <f t="shared" ca="1" si="8"/>
        <v>7</v>
      </c>
      <c r="BD34" s="42">
        <f ca="1">INDEX('Airfoil 1'!$AA$22:$AA$41,BC34,1)+INDEX('Airfoil 1'!$AB$22:$AB$41,BC34,1)*(L34-INDEX('Airfoil 1'!$Z$22:$Z$41,BC34,1))</f>
        <v>2.4489313868613138E-2</v>
      </c>
      <c r="BE34" s="6"/>
      <c r="BF34" s="16">
        <f ca="1">(L34-'Airfoil 1'!$Z$47)/ABS(L34-'Airfoil 1'!$Z$47)</f>
        <v>1</v>
      </c>
      <c r="BG34" s="16">
        <f ca="1">(L34-'Airfoil 1'!$Z$48)/ABS(L34-'Airfoil 1'!$Z$48)</f>
        <v>1</v>
      </c>
      <c r="BH34" s="16">
        <f ca="1">(L34-'Airfoil 1'!$Z$49)/ABS(L34-'Airfoil 1'!$Z$49)</f>
        <v>1</v>
      </c>
      <c r="BI34" s="16">
        <f ca="1">(L34-'Airfoil 1'!$Z$50)/ABS(L34-'Airfoil 1'!$Z$50)</f>
        <v>1</v>
      </c>
      <c r="BJ34" s="16">
        <f ca="1">(L34-'Airfoil 1'!$Z$51)/ABS(L34-'Airfoil 1'!$Z$51)</f>
        <v>1</v>
      </c>
      <c r="BK34" s="16">
        <f ca="1">(L34-'Airfoil 1'!$Z$52)/ABS(L34-'Airfoil 1'!$Z$52)</f>
        <v>1</v>
      </c>
      <c r="BL34" s="16">
        <f ca="1">(L34-'Airfoil 1'!$Z$53)/ABS(L34-'Airfoil 1'!$Z$53)</f>
        <v>-1</v>
      </c>
      <c r="BM34" s="16">
        <f ca="1">(L34-'Airfoil 1'!$Z$54)/ABS(L34-'Airfoil 1'!$Z$54)</f>
        <v>-1</v>
      </c>
      <c r="BN34" s="16">
        <f ca="1">(L34-'Airfoil 1'!$Z$55)/ABS(L34-'Airfoil 1'!$Z$55)</f>
        <v>-1</v>
      </c>
      <c r="BO34" s="16">
        <f ca="1">(L34-'Airfoil 1'!$Z$56)/ABS(L34-'Airfoil 1'!$Z$56)</f>
        <v>-1</v>
      </c>
      <c r="BP34" s="16">
        <f ca="1">(L34-'Airfoil 1'!$Z$57)/ABS(L34-'Airfoil 1'!$Z$57)</f>
        <v>-1</v>
      </c>
      <c r="BQ34" s="16">
        <f ca="1">(L34-'Airfoil 1'!$Z$58)/ABS(L34-'Airfoil 1'!$Z$58)</f>
        <v>-1</v>
      </c>
      <c r="BR34" s="16">
        <f ca="1">(L34-'Airfoil 1'!$Z$59)/ABS(L34-'Airfoil 1'!$Z$59)</f>
        <v>-1</v>
      </c>
      <c r="BS34" s="16">
        <f ca="1">(L34-'Airfoil 1'!$Z$60)/ABS(L34-'Airfoil 1'!$Z$60)</f>
        <v>-1</v>
      </c>
      <c r="BT34" s="16">
        <f ca="1">(L34-'Airfoil 1'!$Z$61)/ABS(L34-'Airfoil 1'!$Z$61)</f>
        <v>-1</v>
      </c>
      <c r="BU34" s="16">
        <f ca="1">(L34-'Airfoil 1'!$Z$62)/ABS(L34-'Airfoil 1'!$Z$62)</f>
        <v>-1</v>
      </c>
      <c r="BV34" s="16">
        <f ca="1">(L34-'Airfoil 1'!$Z$63)/ABS(L34-'Airfoil 1'!$Z$63)</f>
        <v>-1</v>
      </c>
      <c r="BW34" s="16">
        <f ca="1">(L34-'Airfoil 1'!$Z$64)/ABS(L34-'Airfoil 1'!$Z$64)</f>
        <v>-1</v>
      </c>
      <c r="BX34" s="16">
        <f ca="1">(L34-'Airfoil 1'!$Z$65)/ABS(L34-'Airfoil 1'!$Z$65)</f>
        <v>-1</v>
      </c>
      <c r="BY34" s="16">
        <f ca="1">(L34-'Airfoil 1'!$Z$66)/ABS(L34-'Airfoil 1'!$Z$66)</f>
        <v>-1</v>
      </c>
      <c r="BZ34" s="5">
        <f t="shared" ca="1" si="9"/>
        <v>6</v>
      </c>
      <c r="CA34" s="42">
        <f ca="1">INDEX('Airfoil 1'!$AA$47:$AA$66,BZ34,1)+INDEX('Airfoil 1'!$AB$47:$AB$66,BZ34,1)*(L34-INDEX('Airfoil 1'!$Z$47:$Z$66,BZ34,1))</f>
        <v>1.7370857855361597E-2</v>
      </c>
      <c r="CC34" s="16">
        <f ca="1">(L34-'Airfoil 1'!$Z$72)/ABS(L34-'Airfoil 1'!$Z$72)</f>
        <v>1</v>
      </c>
      <c r="CD34" s="16">
        <f ca="1">(L34-'Airfoil 1'!$Z$73)/ABS(L34-'Airfoil 1'!$Z$73)</f>
        <v>1</v>
      </c>
      <c r="CE34" s="16">
        <f ca="1">(L34-'Airfoil 1'!$Z$74)/ABS(L34-'Airfoil 1'!$Z$74)</f>
        <v>1</v>
      </c>
      <c r="CF34" s="16">
        <f ca="1">(L34-'Airfoil 1'!$Z$75)/ABS(L34-'Airfoil 1'!$Z$75)</f>
        <v>1</v>
      </c>
      <c r="CG34" s="16">
        <f ca="1">(L34-'Airfoil 1'!$Z$76)/ABS(L34-'Airfoil 1'!$Z$76)</f>
        <v>-1</v>
      </c>
      <c r="CH34" s="16">
        <f ca="1">(L34-'Airfoil 1'!$Z$77)/ABS(L34-'Airfoil 1'!$Z$77)</f>
        <v>-1</v>
      </c>
      <c r="CI34" s="16">
        <f ca="1">(L34-'Airfoil 1'!$Z$78)/ABS(L34-'Airfoil 1'!$Z$78)</f>
        <v>-1</v>
      </c>
      <c r="CJ34" s="16">
        <f ca="1">(L34-'Airfoil 1'!$Z$79)/ABS(L34-'Airfoil 1'!$Z$79)</f>
        <v>-1</v>
      </c>
      <c r="CK34" s="16">
        <f ca="1">(L34-'Airfoil 1'!$Z$80)/ABS(L34-'Airfoil 1'!$Z$80)</f>
        <v>-1</v>
      </c>
      <c r="CL34" s="16">
        <f ca="1">(L34-'Airfoil 1'!$Z$81)/ABS(L34-'Airfoil 1'!$Z$81)</f>
        <v>-1</v>
      </c>
      <c r="CM34" s="16">
        <f ca="1">(L34-'Airfoil 1'!$Z$82)/ABS(L34-'Airfoil 1'!$Z$82)</f>
        <v>-1</v>
      </c>
      <c r="CN34" s="16">
        <f ca="1">(L34-'Airfoil 1'!$Z$83)/ABS(L34-'Airfoil 1'!$Z$83)</f>
        <v>-1</v>
      </c>
      <c r="CO34" s="16">
        <f ca="1">(L34-'Airfoil 1'!$Z$84)/ABS(L34-'Airfoil 1'!$Z$84)</f>
        <v>-1</v>
      </c>
      <c r="CP34" s="16">
        <f ca="1">(L34-'Airfoil 1'!$Z$85)/ABS(L34-'Airfoil 1'!$Z$85)</f>
        <v>-1</v>
      </c>
      <c r="CQ34" s="16">
        <f ca="1">(L34-'Airfoil 1'!$Z$86)/ABS(L34-'Airfoil 1'!$Z$86)</f>
        <v>-1</v>
      </c>
      <c r="CR34" s="16">
        <f ca="1">(L34-'Airfoil 1'!$Z$87)/ABS(L34-'Airfoil 1'!$Z$87)</f>
        <v>-1</v>
      </c>
      <c r="CS34" s="16">
        <f ca="1">(L34-'Airfoil 1'!$Z$88)/ABS(L34-'Airfoil 1'!$Z$88)</f>
        <v>-1</v>
      </c>
      <c r="CT34" s="16">
        <f ca="1">(L34-'Airfoil 1'!$Z$89)/ABS(L34-'Airfoil 1'!$Z$89)</f>
        <v>-1</v>
      </c>
      <c r="CU34" s="16">
        <f ca="1">(L34-'Airfoil 1'!$Z$90)/ABS(L34-'Airfoil 1'!$Z$90)</f>
        <v>-1</v>
      </c>
      <c r="CV34" s="16">
        <f ca="1">(L34-'Airfoil 1'!$Z$91)/ABS(L34-'Airfoil 1'!$Z$91)</f>
        <v>-1</v>
      </c>
      <c r="CW34" s="5">
        <f t="shared" ca="1" si="10"/>
        <v>4</v>
      </c>
      <c r="CX34" s="42">
        <f ca="1">INDEX('Airfoil 1'!$AA$72:$AA$91,CW34,1)+INDEX('Airfoil 1'!$AB$72:$AB$91,CW34,1)*(L34-INDEX('Airfoil 1'!$Z$72:$Z$91,CW34,1))</f>
        <v>1.1110331491712706E-2</v>
      </c>
    </row>
    <row r="35" spans="2:102">
      <c r="B35" s="31">
        <f>Main!B35</f>
        <v>0.33333333333333326</v>
      </c>
      <c r="D35" s="1">
        <f>'RC'!F35</f>
        <v>0.65969672852566186</v>
      </c>
      <c r="E35" s="4">
        <f>ISA!$R$10</f>
        <v>1.5987591530356481E-5</v>
      </c>
      <c r="G35" s="13">
        <f ca="1">'RC'!X35</f>
        <v>22.867828371672989</v>
      </c>
      <c r="H35" s="5">
        <f t="shared" ca="1" si="0"/>
        <v>314532.08647541265</v>
      </c>
      <c r="I35" s="16">
        <f ca="1">'Airfoil 2'!$K$14*H35^'Airfoil 2'!$L$13</f>
        <v>1.5805415838185217</v>
      </c>
      <c r="J35" s="1">
        <f ca="1">'Airfoil 2'!$K$33*H35^'Airfoil 2'!$L$32</f>
        <v>5.2176752338449184</v>
      </c>
      <c r="K35" s="13">
        <f ca="1">'Airfoil 2'!$K$52*H35^'Airfoil 2'!$L$51</f>
        <v>-8.5348959263740802</v>
      </c>
      <c r="L35" s="16">
        <f ca="1">'Aerodynamics-RC'!W35</f>
        <v>0.9</v>
      </c>
      <c r="M35" s="10">
        <f ca="1">('Airfoil 1'!$B$21+'Airfoil 1'!$B$22*L35+'Airfoil 1'!$B$23*L35^2+'Airfoil 1'!$B$24*L35^3+'Airfoil 1'!$B$25*L35^4+'Airfoil 1'!$B$26*L35^5+'Airfoil 1'!$B$27*L35^6)*0+BD35</f>
        <v>2.4489313868613138E-2</v>
      </c>
      <c r="N35" s="42">
        <f ca="1">('Airfoil 1'!$B$29+'Airfoil 1'!$B$30*L35+'Airfoil 1'!$B$31*L35^2+'Airfoil 1'!$B$32*L35^3+'Airfoil 1'!$B$33*L35^4+'Airfoil 1'!$B$34*L35^5+'Airfoil 1'!$B$35*L35^6)*0+CA35</f>
        <v>1.7370857855361597E-2</v>
      </c>
      <c r="O35" s="42">
        <f ca="1">('Airfoil 1'!$B$37+'Airfoil 1'!$B$38*L35+'Airfoil 1'!$B$39*L35^2+'Airfoil 1'!$B$40*L35^3+'Airfoil 1'!$B$41*L35^4+'Airfoil 1'!$B$42*L35^5+'Airfoil 1'!$B$43*L35^6)*0+CX35</f>
        <v>1.1110331491712706E-2</v>
      </c>
      <c r="P35" s="16">
        <f>LOG('Airfoil 1'!$F$10)+LOG('Airfoil 1'!$G$10)+LOG('Airfoil 1'!$H$10)</f>
        <v>15.176091259055681</v>
      </c>
      <c r="Q35" s="16">
        <f t="shared" ca="1" si="1"/>
        <v>-5.3254750991929125</v>
      </c>
      <c r="R35" s="16">
        <f>LOG('Airfoil 1'!$F$10)^2+LOG('Airfoil 1'!$G$10)^2+LOG('Airfoil 1'!$H$10)^2</f>
        <v>76.867141336751558</v>
      </c>
      <c r="S35" s="16">
        <f ca="1">LOG('Airfoil 1'!$F$10)*LOG(M35)+LOG('Airfoil 1'!$G$10)*LOG(N35)+LOG('Airfoil 1'!$H$10)*LOG(O35)</f>
        <v>-27.014391057528009</v>
      </c>
      <c r="T35" s="16">
        <f t="shared" ca="1" si="2"/>
        <v>141.60346469083578</v>
      </c>
      <c r="U35" s="16">
        <f t="shared" ca="1" si="3"/>
        <v>-0.77613507568957385</v>
      </c>
      <c r="V35" s="42">
        <f ca="1">IF(Energy!$F$11=1,Energy!$T$13,1)*T35*H35^U35</f>
        <v>8.4434876229981162E-3</v>
      </c>
      <c r="W35" s="10">
        <f ca="1">'Airfoil 1'!$B$48+'Airfoil 1'!$B$49*L35+'Airfoil 1'!$B$50*L35^2+'Airfoil 1'!$B$51*L35^3+'Airfoil 1'!$B$52*L35^4+'Airfoil 1'!$B$53*L35^5+'Airfoil 1'!$B$54*L35^6</f>
        <v>-0.155</v>
      </c>
      <c r="X35" s="42">
        <f ca="1">'Airfoil 1'!$B$56+'Airfoil 1'!$B$57*L35+'Airfoil 1'!$B$58*L35^2+'Airfoil 1'!$B$59*L35^3+'Airfoil 1'!$B$60*L35^4+'Airfoil 1'!$B$61*L35^5+'Airfoil 1'!$B$62*L35^6</f>
        <v>-0.155</v>
      </c>
      <c r="Y35" s="42">
        <f ca="1">'Airfoil 1'!$B$64+'Airfoil 1'!$B$65*L35+'Airfoil 1'!$B$66*L35^2+'Airfoil 1'!$B$67*L35^3+'Airfoil 1'!$B$681*L35^4+'Airfoil 1'!$B$69*L35^5+'Airfoil 1'!$B$70*L35^6</f>
        <v>-0.155</v>
      </c>
      <c r="Z35" s="16">
        <f>LOG('Airfoil 1'!$F$10)+LOG('Airfoil 1'!$G$10)+LOG('Airfoil 1'!$H$10)</f>
        <v>15.176091259055681</v>
      </c>
      <c r="AA35" s="16">
        <f t="shared" ca="1" si="4"/>
        <v>-2.4290049054891254</v>
      </c>
      <c r="AB35" s="16">
        <f>LOG('Airfoil 1'!$F$10)^2+LOG('Airfoil 1'!$G$10)^2+LOG('Airfoil 1'!$H$10)^2</f>
        <v>76.867141336751558</v>
      </c>
      <c r="AC35" s="16">
        <f ca="1">LOG('Airfoil 1'!$F$10)*LOG(ABS(W35))+LOG('Airfoil 1'!$G$10)*LOG(ABS(X35))+LOG('Airfoil 1'!$H$10)*LOG(ABS(Y35))</f>
        <v>-12.287600038132297</v>
      </c>
      <c r="AD35" s="16">
        <f t="shared" ca="1" si="5"/>
        <v>0.1550000000000121</v>
      </c>
      <c r="AE35" s="16">
        <f t="shared" ca="1" si="6"/>
        <v>-6.6718325633022456E-15</v>
      </c>
      <c r="AF35" s="42">
        <f t="shared" ca="1" si="7"/>
        <v>-0.15499999999999903</v>
      </c>
      <c r="AG35" s="16"/>
      <c r="AH35" s="42"/>
      <c r="AI35" s="16">
        <f ca="1">(L35-'Airfoil 1'!$Z$22)/ABS(L35-'Airfoil 1'!$Z$22)</f>
        <v>1</v>
      </c>
      <c r="AJ35" s="16">
        <f ca="1">(L35-'Airfoil 1'!$Z$23)/ABS(L35-'Airfoil 1'!$Z$23)</f>
        <v>1</v>
      </c>
      <c r="AK35" s="16">
        <f ca="1">(L35-'Airfoil 1'!$Z$24)/ABS(L35-'Airfoil 1'!$Z$24)</f>
        <v>1</v>
      </c>
      <c r="AL35" s="16">
        <f ca="1">(L35-'Airfoil 1'!$Z$25)/ABS(L35-'Airfoil 1'!$Z$25)</f>
        <v>1</v>
      </c>
      <c r="AM35" s="16">
        <f ca="1">(L35-'Airfoil 1'!$Z$26)/ABS(L35-'Airfoil 1'!$Z$26)</f>
        <v>1</v>
      </c>
      <c r="AN35" s="16">
        <f ca="1">(L35-'Airfoil 1'!$Z$27)/ABS(L35-'Airfoil 1'!$Z$27)</f>
        <v>1</v>
      </c>
      <c r="AO35" s="16">
        <f ca="1">(L35-'Airfoil 1'!$Z$28)/ABS(L35-'Airfoil 1'!$Z$28)</f>
        <v>1</v>
      </c>
      <c r="AP35" s="16">
        <f ca="1">(L35-'Airfoil 1'!$Z$29)/ABS(L35-'Airfoil 1'!$Z$29)</f>
        <v>-1</v>
      </c>
      <c r="AQ35" s="16">
        <f ca="1">(L35-'Airfoil 1'!$Z$30)/ABS(L35-'Airfoil 1'!$Z$30)</f>
        <v>-1</v>
      </c>
      <c r="AR35" s="16">
        <f ca="1">(L35-'Airfoil 1'!$Z$31)/ABS(L35-'Airfoil 1'!$Z$31)</f>
        <v>-1</v>
      </c>
      <c r="AS35" s="16">
        <f ca="1">(L35-'Airfoil 1'!$Z$32)/ABS(L35-'Airfoil 1'!$Z$32)</f>
        <v>-1</v>
      </c>
      <c r="AT35" s="16">
        <f ca="1">(L35-'Airfoil 1'!$Z$33)/ABS(L35-'Airfoil 1'!$Z$33)</f>
        <v>-1</v>
      </c>
      <c r="AU35" s="16">
        <f ca="1">(L35-'Airfoil 1'!$Z$34)/ABS(L35-'Airfoil 1'!$Z$34)</f>
        <v>-1</v>
      </c>
      <c r="AV35" s="16">
        <f ca="1">(L35-'Airfoil 1'!$Z$35)/ABS(L35-'Airfoil 1'!$Z$35)</f>
        <v>-1</v>
      </c>
      <c r="AW35" s="16">
        <f ca="1">(L35-'Airfoil 1'!$Z$36)/ABS(L35-'Airfoil 1'!$Z$36)</f>
        <v>-1</v>
      </c>
      <c r="AX35" s="16">
        <f ca="1">(L35-'Airfoil 1'!$Z$37)/ABS(L35-'Airfoil 1'!$Z$37)</f>
        <v>-1</v>
      </c>
      <c r="AY35" s="16">
        <f ca="1">(L35-'Airfoil 1'!$Z$38)/ABS(L35-'Airfoil 1'!$Z$38)</f>
        <v>-1</v>
      </c>
      <c r="AZ35" s="16">
        <f ca="1">(L35-'Airfoil 1'!$Z$39)/ABS(L35-'Airfoil 1'!$Z$39)</f>
        <v>-1</v>
      </c>
      <c r="BA35" s="16">
        <f ca="1">(L35-'Airfoil 1'!$Z$40)/ABS(L35-'Airfoil 1'!$Z$40)</f>
        <v>-1</v>
      </c>
      <c r="BB35" s="16">
        <f ca="1">(L35-'Airfoil 1'!$Z$41)/ABS(L35-'Airfoil 1'!$Z$41)</f>
        <v>-1</v>
      </c>
      <c r="BC35" s="5">
        <f t="shared" ca="1" si="8"/>
        <v>7</v>
      </c>
      <c r="BD35" s="42">
        <f ca="1">INDEX('Airfoil 1'!$AA$22:$AA$41,BC35,1)+INDEX('Airfoil 1'!$AB$22:$AB$41,BC35,1)*(L35-INDEX('Airfoil 1'!$Z$22:$Z$41,BC35,1))</f>
        <v>2.4489313868613138E-2</v>
      </c>
      <c r="BE35" s="6"/>
      <c r="BF35" s="16">
        <f ca="1">(L35-'Airfoil 1'!$Z$47)/ABS(L35-'Airfoil 1'!$Z$47)</f>
        <v>1</v>
      </c>
      <c r="BG35" s="16">
        <f ca="1">(L35-'Airfoil 1'!$Z$48)/ABS(L35-'Airfoil 1'!$Z$48)</f>
        <v>1</v>
      </c>
      <c r="BH35" s="16">
        <f ca="1">(L35-'Airfoil 1'!$Z$49)/ABS(L35-'Airfoil 1'!$Z$49)</f>
        <v>1</v>
      </c>
      <c r="BI35" s="16">
        <f ca="1">(L35-'Airfoil 1'!$Z$50)/ABS(L35-'Airfoil 1'!$Z$50)</f>
        <v>1</v>
      </c>
      <c r="BJ35" s="16">
        <f ca="1">(L35-'Airfoil 1'!$Z$51)/ABS(L35-'Airfoil 1'!$Z$51)</f>
        <v>1</v>
      </c>
      <c r="BK35" s="16">
        <f ca="1">(L35-'Airfoil 1'!$Z$52)/ABS(L35-'Airfoil 1'!$Z$52)</f>
        <v>1</v>
      </c>
      <c r="BL35" s="16">
        <f ca="1">(L35-'Airfoil 1'!$Z$53)/ABS(L35-'Airfoil 1'!$Z$53)</f>
        <v>-1</v>
      </c>
      <c r="BM35" s="16">
        <f ca="1">(L35-'Airfoil 1'!$Z$54)/ABS(L35-'Airfoil 1'!$Z$54)</f>
        <v>-1</v>
      </c>
      <c r="BN35" s="16">
        <f ca="1">(L35-'Airfoil 1'!$Z$55)/ABS(L35-'Airfoil 1'!$Z$55)</f>
        <v>-1</v>
      </c>
      <c r="BO35" s="16">
        <f ca="1">(L35-'Airfoil 1'!$Z$56)/ABS(L35-'Airfoil 1'!$Z$56)</f>
        <v>-1</v>
      </c>
      <c r="BP35" s="16">
        <f ca="1">(L35-'Airfoil 1'!$Z$57)/ABS(L35-'Airfoil 1'!$Z$57)</f>
        <v>-1</v>
      </c>
      <c r="BQ35" s="16">
        <f ca="1">(L35-'Airfoil 1'!$Z$58)/ABS(L35-'Airfoil 1'!$Z$58)</f>
        <v>-1</v>
      </c>
      <c r="BR35" s="16">
        <f ca="1">(L35-'Airfoil 1'!$Z$59)/ABS(L35-'Airfoil 1'!$Z$59)</f>
        <v>-1</v>
      </c>
      <c r="BS35" s="16">
        <f ca="1">(L35-'Airfoil 1'!$Z$60)/ABS(L35-'Airfoil 1'!$Z$60)</f>
        <v>-1</v>
      </c>
      <c r="BT35" s="16">
        <f ca="1">(L35-'Airfoil 1'!$Z$61)/ABS(L35-'Airfoil 1'!$Z$61)</f>
        <v>-1</v>
      </c>
      <c r="BU35" s="16">
        <f ca="1">(L35-'Airfoil 1'!$Z$62)/ABS(L35-'Airfoil 1'!$Z$62)</f>
        <v>-1</v>
      </c>
      <c r="BV35" s="16">
        <f ca="1">(L35-'Airfoil 1'!$Z$63)/ABS(L35-'Airfoil 1'!$Z$63)</f>
        <v>-1</v>
      </c>
      <c r="BW35" s="16">
        <f ca="1">(L35-'Airfoil 1'!$Z$64)/ABS(L35-'Airfoil 1'!$Z$64)</f>
        <v>-1</v>
      </c>
      <c r="BX35" s="16">
        <f ca="1">(L35-'Airfoil 1'!$Z$65)/ABS(L35-'Airfoil 1'!$Z$65)</f>
        <v>-1</v>
      </c>
      <c r="BY35" s="16">
        <f ca="1">(L35-'Airfoil 1'!$Z$66)/ABS(L35-'Airfoil 1'!$Z$66)</f>
        <v>-1</v>
      </c>
      <c r="BZ35" s="5">
        <f t="shared" ca="1" si="9"/>
        <v>6</v>
      </c>
      <c r="CA35" s="42">
        <f ca="1">INDEX('Airfoil 1'!$AA$47:$AA$66,BZ35,1)+INDEX('Airfoil 1'!$AB$47:$AB$66,BZ35,1)*(L35-INDEX('Airfoil 1'!$Z$47:$Z$66,BZ35,1))</f>
        <v>1.7370857855361597E-2</v>
      </c>
      <c r="CC35" s="16">
        <f ca="1">(L35-'Airfoil 1'!$Z$72)/ABS(L35-'Airfoil 1'!$Z$72)</f>
        <v>1</v>
      </c>
      <c r="CD35" s="16">
        <f ca="1">(L35-'Airfoil 1'!$Z$73)/ABS(L35-'Airfoil 1'!$Z$73)</f>
        <v>1</v>
      </c>
      <c r="CE35" s="16">
        <f ca="1">(L35-'Airfoil 1'!$Z$74)/ABS(L35-'Airfoil 1'!$Z$74)</f>
        <v>1</v>
      </c>
      <c r="CF35" s="16">
        <f ca="1">(L35-'Airfoil 1'!$Z$75)/ABS(L35-'Airfoil 1'!$Z$75)</f>
        <v>1</v>
      </c>
      <c r="CG35" s="16">
        <f ca="1">(L35-'Airfoil 1'!$Z$76)/ABS(L35-'Airfoil 1'!$Z$76)</f>
        <v>-1</v>
      </c>
      <c r="CH35" s="16">
        <f ca="1">(L35-'Airfoil 1'!$Z$77)/ABS(L35-'Airfoil 1'!$Z$77)</f>
        <v>-1</v>
      </c>
      <c r="CI35" s="16">
        <f ca="1">(L35-'Airfoil 1'!$Z$78)/ABS(L35-'Airfoil 1'!$Z$78)</f>
        <v>-1</v>
      </c>
      <c r="CJ35" s="16">
        <f ca="1">(L35-'Airfoil 1'!$Z$79)/ABS(L35-'Airfoil 1'!$Z$79)</f>
        <v>-1</v>
      </c>
      <c r="CK35" s="16">
        <f ca="1">(L35-'Airfoil 1'!$Z$80)/ABS(L35-'Airfoil 1'!$Z$80)</f>
        <v>-1</v>
      </c>
      <c r="CL35" s="16">
        <f ca="1">(L35-'Airfoil 1'!$Z$81)/ABS(L35-'Airfoil 1'!$Z$81)</f>
        <v>-1</v>
      </c>
      <c r="CM35" s="16">
        <f ca="1">(L35-'Airfoil 1'!$Z$82)/ABS(L35-'Airfoil 1'!$Z$82)</f>
        <v>-1</v>
      </c>
      <c r="CN35" s="16">
        <f ca="1">(L35-'Airfoil 1'!$Z$83)/ABS(L35-'Airfoil 1'!$Z$83)</f>
        <v>-1</v>
      </c>
      <c r="CO35" s="16">
        <f ca="1">(L35-'Airfoil 1'!$Z$84)/ABS(L35-'Airfoil 1'!$Z$84)</f>
        <v>-1</v>
      </c>
      <c r="CP35" s="16">
        <f ca="1">(L35-'Airfoil 1'!$Z$85)/ABS(L35-'Airfoil 1'!$Z$85)</f>
        <v>-1</v>
      </c>
      <c r="CQ35" s="16">
        <f ca="1">(L35-'Airfoil 1'!$Z$86)/ABS(L35-'Airfoil 1'!$Z$86)</f>
        <v>-1</v>
      </c>
      <c r="CR35" s="16">
        <f ca="1">(L35-'Airfoil 1'!$Z$87)/ABS(L35-'Airfoil 1'!$Z$87)</f>
        <v>-1</v>
      </c>
      <c r="CS35" s="16">
        <f ca="1">(L35-'Airfoil 1'!$Z$88)/ABS(L35-'Airfoil 1'!$Z$88)</f>
        <v>-1</v>
      </c>
      <c r="CT35" s="16">
        <f ca="1">(L35-'Airfoil 1'!$Z$89)/ABS(L35-'Airfoil 1'!$Z$89)</f>
        <v>-1</v>
      </c>
      <c r="CU35" s="16">
        <f ca="1">(L35-'Airfoil 1'!$Z$90)/ABS(L35-'Airfoil 1'!$Z$90)</f>
        <v>-1</v>
      </c>
      <c r="CV35" s="16">
        <f ca="1">(L35-'Airfoil 1'!$Z$91)/ABS(L35-'Airfoil 1'!$Z$91)</f>
        <v>-1</v>
      </c>
      <c r="CW35" s="5">
        <f t="shared" ca="1" si="10"/>
        <v>4</v>
      </c>
      <c r="CX35" s="42">
        <f ca="1">INDEX('Airfoil 1'!$AA$72:$AA$91,CW35,1)+INDEX('Airfoil 1'!$AB$72:$AB$91,CW35,1)*(L35-INDEX('Airfoil 1'!$Z$72:$Z$91,CW35,1))</f>
        <v>1.1110331491712706E-2</v>
      </c>
    </row>
    <row r="36" spans="2:102">
      <c r="B36" s="31">
        <f>Main!B36</f>
        <v>0.33333333333333326</v>
      </c>
      <c r="D36" s="1">
        <f>'RC'!F36</f>
        <v>0.65969672852566186</v>
      </c>
      <c r="E36" s="4">
        <f>ISA!$R$10</f>
        <v>1.5987591530356481E-5</v>
      </c>
      <c r="G36" s="13">
        <f ca="1">'RC'!X36</f>
        <v>22.533115808238001</v>
      </c>
      <c r="H36" s="5">
        <f t="shared" ca="1" si="0"/>
        <v>309928.33314843953</v>
      </c>
      <c r="I36" s="16">
        <f ca="1">'Airfoil 2'!$K$14*H36^'Airfoil 2'!$L$13</f>
        <v>1.5802176444960525</v>
      </c>
      <c r="J36" s="1">
        <f ca="1">'Airfoil 2'!$K$33*H36^'Airfoil 2'!$L$32</f>
        <v>5.2436160925586224</v>
      </c>
      <c r="K36" s="13">
        <f ca="1">'Airfoil 2'!$K$52*H36^'Airfoil 2'!$L$51</f>
        <v>-8.4511492080709445</v>
      </c>
      <c r="L36" s="16">
        <f ca="1">'Aerodynamics-RC'!W36</f>
        <v>0.9</v>
      </c>
      <c r="M36" s="10">
        <f ca="1">('Airfoil 1'!$B$21+'Airfoil 1'!$B$22*L36+'Airfoil 1'!$B$23*L36^2+'Airfoil 1'!$B$24*L36^3+'Airfoil 1'!$B$25*L36^4+'Airfoil 1'!$B$26*L36^5+'Airfoil 1'!$B$27*L36^6)*0+BD36</f>
        <v>2.4489313868613138E-2</v>
      </c>
      <c r="N36" s="42">
        <f ca="1">('Airfoil 1'!$B$29+'Airfoil 1'!$B$30*L36+'Airfoil 1'!$B$31*L36^2+'Airfoil 1'!$B$32*L36^3+'Airfoil 1'!$B$33*L36^4+'Airfoil 1'!$B$34*L36^5+'Airfoil 1'!$B$35*L36^6)*0+CA36</f>
        <v>1.7370857855361597E-2</v>
      </c>
      <c r="O36" s="42">
        <f ca="1">('Airfoil 1'!$B$37+'Airfoil 1'!$B$38*L36+'Airfoil 1'!$B$39*L36^2+'Airfoil 1'!$B$40*L36^3+'Airfoil 1'!$B$41*L36^4+'Airfoil 1'!$B$42*L36^5+'Airfoil 1'!$B$43*L36^6)*0+CX36</f>
        <v>1.1110331491712706E-2</v>
      </c>
      <c r="P36" s="16">
        <f>LOG('Airfoil 1'!$F$10)+LOG('Airfoil 1'!$G$10)+LOG('Airfoil 1'!$H$10)</f>
        <v>15.176091259055681</v>
      </c>
      <c r="Q36" s="16">
        <f t="shared" ca="1" si="1"/>
        <v>-5.3254750991929125</v>
      </c>
      <c r="R36" s="16">
        <f>LOG('Airfoil 1'!$F$10)^2+LOG('Airfoil 1'!$G$10)^2+LOG('Airfoil 1'!$H$10)^2</f>
        <v>76.867141336751558</v>
      </c>
      <c r="S36" s="16">
        <f ca="1">LOG('Airfoil 1'!$F$10)*LOG(M36)+LOG('Airfoil 1'!$G$10)*LOG(N36)+LOG('Airfoil 1'!$H$10)*LOG(O36)</f>
        <v>-27.014391057528009</v>
      </c>
      <c r="T36" s="16">
        <f t="shared" ca="1" si="2"/>
        <v>141.60346469083578</v>
      </c>
      <c r="U36" s="16">
        <f t="shared" ca="1" si="3"/>
        <v>-0.77613507568957385</v>
      </c>
      <c r="V36" s="42">
        <f ca="1">IF(Energy!$F$11=1,Energy!$T$13,1)*T36*H36^U36</f>
        <v>8.5406709143981806E-3</v>
      </c>
      <c r="W36" s="10">
        <f ca="1">'Airfoil 1'!$B$48+'Airfoil 1'!$B$49*L36+'Airfoil 1'!$B$50*L36^2+'Airfoil 1'!$B$51*L36^3+'Airfoil 1'!$B$52*L36^4+'Airfoil 1'!$B$53*L36^5+'Airfoil 1'!$B$54*L36^6</f>
        <v>-0.155</v>
      </c>
      <c r="X36" s="42">
        <f ca="1">'Airfoil 1'!$B$56+'Airfoil 1'!$B$57*L36+'Airfoil 1'!$B$58*L36^2+'Airfoil 1'!$B$59*L36^3+'Airfoil 1'!$B$60*L36^4+'Airfoil 1'!$B$61*L36^5+'Airfoil 1'!$B$62*L36^6</f>
        <v>-0.155</v>
      </c>
      <c r="Y36" s="42">
        <f ca="1">'Airfoil 1'!$B$64+'Airfoil 1'!$B$65*L36+'Airfoil 1'!$B$66*L36^2+'Airfoil 1'!$B$67*L36^3+'Airfoil 1'!$B$681*L36^4+'Airfoil 1'!$B$69*L36^5+'Airfoil 1'!$B$70*L36^6</f>
        <v>-0.155</v>
      </c>
      <c r="Z36" s="16">
        <f>LOG('Airfoil 1'!$F$10)+LOG('Airfoil 1'!$G$10)+LOG('Airfoil 1'!$H$10)</f>
        <v>15.176091259055681</v>
      </c>
      <c r="AA36" s="16">
        <f t="shared" ca="1" si="4"/>
        <v>-2.4290049054891254</v>
      </c>
      <c r="AB36" s="16">
        <f>LOG('Airfoil 1'!$F$10)^2+LOG('Airfoil 1'!$G$10)^2+LOG('Airfoil 1'!$H$10)^2</f>
        <v>76.867141336751558</v>
      </c>
      <c r="AC36" s="16">
        <f ca="1">LOG('Airfoil 1'!$F$10)*LOG(ABS(W36))+LOG('Airfoil 1'!$G$10)*LOG(ABS(X36))+LOG('Airfoil 1'!$H$10)*LOG(ABS(Y36))</f>
        <v>-12.287600038132297</v>
      </c>
      <c r="AD36" s="16">
        <f t="shared" ca="1" si="5"/>
        <v>0.1550000000000121</v>
      </c>
      <c r="AE36" s="16">
        <f t="shared" ca="1" si="6"/>
        <v>-6.6718325633022456E-15</v>
      </c>
      <c r="AF36" s="42">
        <f t="shared" ca="1" si="7"/>
        <v>-0.15499999999999903</v>
      </c>
      <c r="AG36" s="16"/>
      <c r="AH36" s="42"/>
      <c r="AI36" s="16">
        <f ca="1">(L36-'Airfoil 1'!$Z$22)/ABS(L36-'Airfoil 1'!$Z$22)</f>
        <v>1</v>
      </c>
      <c r="AJ36" s="16">
        <f ca="1">(L36-'Airfoil 1'!$Z$23)/ABS(L36-'Airfoil 1'!$Z$23)</f>
        <v>1</v>
      </c>
      <c r="AK36" s="16">
        <f ca="1">(L36-'Airfoil 1'!$Z$24)/ABS(L36-'Airfoil 1'!$Z$24)</f>
        <v>1</v>
      </c>
      <c r="AL36" s="16">
        <f ca="1">(L36-'Airfoil 1'!$Z$25)/ABS(L36-'Airfoil 1'!$Z$25)</f>
        <v>1</v>
      </c>
      <c r="AM36" s="16">
        <f ca="1">(L36-'Airfoil 1'!$Z$26)/ABS(L36-'Airfoil 1'!$Z$26)</f>
        <v>1</v>
      </c>
      <c r="AN36" s="16">
        <f ca="1">(L36-'Airfoil 1'!$Z$27)/ABS(L36-'Airfoil 1'!$Z$27)</f>
        <v>1</v>
      </c>
      <c r="AO36" s="16">
        <f ca="1">(L36-'Airfoil 1'!$Z$28)/ABS(L36-'Airfoil 1'!$Z$28)</f>
        <v>1</v>
      </c>
      <c r="AP36" s="16">
        <f ca="1">(L36-'Airfoil 1'!$Z$29)/ABS(L36-'Airfoil 1'!$Z$29)</f>
        <v>-1</v>
      </c>
      <c r="AQ36" s="16">
        <f ca="1">(L36-'Airfoil 1'!$Z$30)/ABS(L36-'Airfoil 1'!$Z$30)</f>
        <v>-1</v>
      </c>
      <c r="AR36" s="16">
        <f ca="1">(L36-'Airfoil 1'!$Z$31)/ABS(L36-'Airfoil 1'!$Z$31)</f>
        <v>-1</v>
      </c>
      <c r="AS36" s="16">
        <f ca="1">(L36-'Airfoil 1'!$Z$32)/ABS(L36-'Airfoil 1'!$Z$32)</f>
        <v>-1</v>
      </c>
      <c r="AT36" s="16">
        <f ca="1">(L36-'Airfoil 1'!$Z$33)/ABS(L36-'Airfoil 1'!$Z$33)</f>
        <v>-1</v>
      </c>
      <c r="AU36" s="16">
        <f ca="1">(L36-'Airfoil 1'!$Z$34)/ABS(L36-'Airfoil 1'!$Z$34)</f>
        <v>-1</v>
      </c>
      <c r="AV36" s="16">
        <f ca="1">(L36-'Airfoil 1'!$Z$35)/ABS(L36-'Airfoil 1'!$Z$35)</f>
        <v>-1</v>
      </c>
      <c r="AW36" s="16">
        <f ca="1">(L36-'Airfoil 1'!$Z$36)/ABS(L36-'Airfoil 1'!$Z$36)</f>
        <v>-1</v>
      </c>
      <c r="AX36" s="16">
        <f ca="1">(L36-'Airfoil 1'!$Z$37)/ABS(L36-'Airfoil 1'!$Z$37)</f>
        <v>-1</v>
      </c>
      <c r="AY36" s="16">
        <f ca="1">(L36-'Airfoil 1'!$Z$38)/ABS(L36-'Airfoil 1'!$Z$38)</f>
        <v>-1</v>
      </c>
      <c r="AZ36" s="16">
        <f ca="1">(L36-'Airfoil 1'!$Z$39)/ABS(L36-'Airfoil 1'!$Z$39)</f>
        <v>-1</v>
      </c>
      <c r="BA36" s="16">
        <f ca="1">(L36-'Airfoil 1'!$Z$40)/ABS(L36-'Airfoil 1'!$Z$40)</f>
        <v>-1</v>
      </c>
      <c r="BB36" s="16">
        <f ca="1">(L36-'Airfoil 1'!$Z$41)/ABS(L36-'Airfoil 1'!$Z$41)</f>
        <v>-1</v>
      </c>
      <c r="BC36" s="5">
        <f t="shared" ca="1" si="8"/>
        <v>7</v>
      </c>
      <c r="BD36" s="42">
        <f ca="1">INDEX('Airfoil 1'!$AA$22:$AA$41,BC36,1)+INDEX('Airfoil 1'!$AB$22:$AB$41,BC36,1)*(L36-INDEX('Airfoil 1'!$Z$22:$Z$41,BC36,1))</f>
        <v>2.4489313868613138E-2</v>
      </c>
      <c r="BE36" s="6"/>
      <c r="BF36" s="16">
        <f ca="1">(L36-'Airfoil 1'!$Z$47)/ABS(L36-'Airfoil 1'!$Z$47)</f>
        <v>1</v>
      </c>
      <c r="BG36" s="16">
        <f ca="1">(L36-'Airfoil 1'!$Z$48)/ABS(L36-'Airfoil 1'!$Z$48)</f>
        <v>1</v>
      </c>
      <c r="BH36" s="16">
        <f ca="1">(L36-'Airfoil 1'!$Z$49)/ABS(L36-'Airfoil 1'!$Z$49)</f>
        <v>1</v>
      </c>
      <c r="BI36" s="16">
        <f ca="1">(L36-'Airfoil 1'!$Z$50)/ABS(L36-'Airfoil 1'!$Z$50)</f>
        <v>1</v>
      </c>
      <c r="BJ36" s="16">
        <f ca="1">(L36-'Airfoil 1'!$Z$51)/ABS(L36-'Airfoil 1'!$Z$51)</f>
        <v>1</v>
      </c>
      <c r="BK36" s="16">
        <f ca="1">(L36-'Airfoil 1'!$Z$52)/ABS(L36-'Airfoil 1'!$Z$52)</f>
        <v>1</v>
      </c>
      <c r="BL36" s="16">
        <f ca="1">(L36-'Airfoil 1'!$Z$53)/ABS(L36-'Airfoil 1'!$Z$53)</f>
        <v>-1</v>
      </c>
      <c r="BM36" s="16">
        <f ca="1">(L36-'Airfoil 1'!$Z$54)/ABS(L36-'Airfoil 1'!$Z$54)</f>
        <v>-1</v>
      </c>
      <c r="BN36" s="16">
        <f ca="1">(L36-'Airfoil 1'!$Z$55)/ABS(L36-'Airfoil 1'!$Z$55)</f>
        <v>-1</v>
      </c>
      <c r="BO36" s="16">
        <f ca="1">(L36-'Airfoil 1'!$Z$56)/ABS(L36-'Airfoil 1'!$Z$56)</f>
        <v>-1</v>
      </c>
      <c r="BP36" s="16">
        <f ca="1">(L36-'Airfoil 1'!$Z$57)/ABS(L36-'Airfoil 1'!$Z$57)</f>
        <v>-1</v>
      </c>
      <c r="BQ36" s="16">
        <f ca="1">(L36-'Airfoil 1'!$Z$58)/ABS(L36-'Airfoil 1'!$Z$58)</f>
        <v>-1</v>
      </c>
      <c r="BR36" s="16">
        <f ca="1">(L36-'Airfoil 1'!$Z$59)/ABS(L36-'Airfoil 1'!$Z$59)</f>
        <v>-1</v>
      </c>
      <c r="BS36" s="16">
        <f ca="1">(L36-'Airfoil 1'!$Z$60)/ABS(L36-'Airfoil 1'!$Z$60)</f>
        <v>-1</v>
      </c>
      <c r="BT36" s="16">
        <f ca="1">(L36-'Airfoil 1'!$Z$61)/ABS(L36-'Airfoil 1'!$Z$61)</f>
        <v>-1</v>
      </c>
      <c r="BU36" s="16">
        <f ca="1">(L36-'Airfoil 1'!$Z$62)/ABS(L36-'Airfoil 1'!$Z$62)</f>
        <v>-1</v>
      </c>
      <c r="BV36" s="16">
        <f ca="1">(L36-'Airfoil 1'!$Z$63)/ABS(L36-'Airfoil 1'!$Z$63)</f>
        <v>-1</v>
      </c>
      <c r="BW36" s="16">
        <f ca="1">(L36-'Airfoil 1'!$Z$64)/ABS(L36-'Airfoil 1'!$Z$64)</f>
        <v>-1</v>
      </c>
      <c r="BX36" s="16">
        <f ca="1">(L36-'Airfoil 1'!$Z$65)/ABS(L36-'Airfoil 1'!$Z$65)</f>
        <v>-1</v>
      </c>
      <c r="BY36" s="16">
        <f ca="1">(L36-'Airfoil 1'!$Z$66)/ABS(L36-'Airfoil 1'!$Z$66)</f>
        <v>-1</v>
      </c>
      <c r="BZ36" s="5">
        <f t="shared" ca="1" si="9"/>
        <v>6</v>
      </c>
      <c r="CA36" s="42">
        <f ca="1">INDEX('Airfoil 1'!$AA$47:$AA$66,BZ36,1)+INDEX('Airfoil 1'!$AB$47:$AB$66,BZ36,1)*(L36-INDEX('Airfoil 1'!$Z$47:$Z$66,BZ36,1))</f>
        <v>1.7370857855361597E-2</v>
      </c>
      <c r="CC36" s="16">
        <f ca="1">(L36-'Airfoil 1'!$Z$72)/ABS(L36-'Airfoil 1'!$Z$72)</f>
        <v>1</v>
      </c>
      <c r="CD36" s="16">
        <f ca="1">(L36-'Airfoil 1'!$Z$73)/ABS(L36-'Airfoil 1'!$Z$73)</f>
        <v>1</v>
      </c>
      <c r="CE36" s="16">
        <f ca="1">(L36-'Airfoil 1'!$Z$74)/ABS(L36-'Airfoil 1'!$Z$74)</f>
        <v>1</v>
      </c>
      <c r="CF36" s="16">
        <f ca="1">(L36-'Airfoil 1'!$Z$75)/ABS(L36-'Airfoil 1'!$Z$75)</f>
        <v>1</v>
      </c>
      <c r="CG36" s="16">
        <f ca="1">(L36-'Airfoil 1'!$Z$76)/ABS(L36-'Airfoil 1'!$Z$76)</f>
        <v>-1</v>
      </c>
      <c r="CH36" s="16">
        <f ca="1">(L36-'Airfoil 1'!$Z$77)/ABS(L36-'Airfoil 1'!$Z$77)</f>
        <v>-1</v>
      </c>
      <c r="CI36" s="16">
        <f ca="1">(L36-'Airfoil 1'!$Z$78)/ABS(L36-'Airfoil 1'!$Z$78)</f>
        <v>-1</v>
      </c>
      <c r="CJ36" s="16">
        <f ca="1">(L36-'Airfoil 1'!$Z$79)/ABS(L36-'Airfoil 1'!$Z$79)</f>
        <v>-1</v>
      </c>
      <c r="CK36" s="16">
        <f ca="1">(L36-'Airfoil 1'!$Z$80)/ABS(L36-'Airfoil 1'!$Z$80)</f>
        <v>-1</v>
      </c>
      <c r="CL36" s="16">
        <f ca="1">(L36-'Airfoil 1'!$Z$81)/ABS(L36-'Airfoil 1'!$Z$81)</f>
        <v>-1</v>
      </c>
      <c r="CM36" s="16">
        <f ca="1">(L36-'Airfoil 1'!$Z$82)/ABS(L36-'Airfoil 1'!$Z$82)</f>
        <v>-1</v>
      </c>
      <c r="CN36" s="16">
        <f ca="1">(L36-'Airfoil 1'!$Z$83)/ABS(L36-'Airfoil 1'!$Z$83)</f>
        <v>-1</v>
      </c>
      <c r="CO36" s="16">
        <f ca="1">(L36-'Airfoil 1'!$Z$84)/ABS(L36-'Airfoil 1'!$Z$84)</f>
        <v>-1</v>
      </c>
      <c r="CP36" s="16">
        <f ca="1">(L36-'Airfoil 1'!$Z$85)/ABS(L36-'Airfoil 1'!$Z$85)</f>
        <v>-1</v>
      </c>
      <c r="CQ36" s="16">
        <f ca="1">(L36-'Airfoil 1'!$Z$86)/ABS(L36-'Airfoil 1'!$Z$86)</f>
        <v>-1</v>
      </c>
      <c r="CR36" s="16">
        <f ca="1">(L36-'Airfoil 1'!$Z$87)/ABS(L36-'Airfoil 1'!$Z$87)</f>
        <v>-1</v>
      </c>
      <c r="CS36" s="16">
        <f ca="1">(L36-'Airfoil 1'!$Z$88)/ABS(L36-'Airfoil 1'!$Z$88)</f>
        <v>-1</v>
      </c>
      <c r="CT36" s="16">
        <f ca="1">(L36-'Airfoil 1'!$Z$89)/ABS(L36-'Airfoil 1'!$Z$89)</f>
        <v>-1</v>
      </c>
      <c r="CU36" s="16">
        <f ca="1">(L36-'Airfoil 1'!$Z$90)/ABS(L36-'Airfoil 1'!$Z$90)</f>
        <v>-1</v>
      </c>
      <c r="CV36" s="16">
        <f ca="1">(L36-'Airfoil 1'!$Z$91)/ABS(L36-'Airfoil 1'!$Z$91)</f>
        <v>-1</v>
      </c>
      <c r="CW36" s="5">
        <f t="shared" ca="1" si="10"/>
        <v>4</v>
      </c>
      <c r="CX36" s="42">
        <f ca="1">INDEX('Airfoil 1'!$AA$72:$AA$91,CW36,1)+INDEX('Airfoil 1'!$AB$72:$AB$91,CW36,1)*(L36-INDEX('Airfoil 1'!$Z$72:$Z$91,CW36,1))</f>
        <v>1.1110331491712706E-2</v>
      </c>
    </row>
    <row r="37" spans="2:102">
      <c r="B37" s="31">
        <f>Main!B37</f>
        <v>0.33333333333333326</v>
      </c>
      <c r="D37" s="1">
        <f>'RC'!F37</f>
        <v>0.65969672852566186</v>
      </c>
      <c r="E37" s="4">
        <f>ISA!$R$10</f>
        <v>1.5987591530356481E-5</v>
      </c>
      <c r="G37" s="13">
        <f ca="1">'RC'!X37</f>
        <v>22.215604931199326</v>
      </c>
      <c r="H37" s="5">
        <f t="shared" ca="1" si="0"/>
        <v>305561.17781517137</v>
      </c>
      <c r="I37" s="16">
        <f ca="1">'Airfoil 2'!$K$14*H37^'Airfoil 2'!$L$13</f>
        <v>1.5799059374670188</v>
      </c>
      <c r="J37" s="1">
        <f ca="1">'Airfoil 2'!$K$33*H37^'Airfoil 2'!$L$32</f>
        <v>5.2687042043522982</v>
      </c>
      <c r="K37" s="13">
        <f ca="1">'Airfoil 2'!$K$52*H37^'Airfoil 2'!$L$51</f>
        <v>-8.3713247603627412</v>
      </c>
      <c r="L37" s="16">
        <f ca="1">'Aerodynamics-RC'!W37</f>
        <v>0.9</v>
      </c>
      <c r="M37" s="10">
        <f ca="1">('Airfoil 1'!$B$21+'Airfoil 1'!$B$22*L37+'Airfoil 1'!$B$23*L37^2+'Airfoil 1'!$B$24*L37^3+'Airfoil 1'!$B$25*L37^4+'Airfoil 1'!$B$26*L37^5+'Airfoil 1'!$B$27*L37^6)*0+BD37</f>
        <v>2.4489313868613138E-2</v>
      </c>
      <c r="N37" s="42">
        <f ca="1">('Airfoil 1'!$B$29+'Airfoil 1'!$B$30*L37+'Airfoil 1'!$B$31*L37^2+'Airfoil 1'!$B$32*L37^3+'Airfoil 1'!$B$33*L37^4+'Airfoil 1'!$B$34*L37^5+'Airfoil 1'!$B$35*L37^6)*0+CA37</f>
        <v>1.7370857855361597E-2</v>
      </c>
      <c r="O37" s="42">
        <f ca="1">('Airfoil 1'!$B$37+'Airfoil 1'!$B$38*L37+'Airfoil 1'!$B$39*L37^2+'Airfoil 1'!$B$40*L37^3+'Airfoil 1'!$B$41*L37^4+'Airfoil 1'!$B$42*L37^5+'Airfoil 1'!$B$43*L37^6)*0+CX37</f>
        <v>1.1110331491712706E-2</v>
      </c>
      <c r="P37" s="16">
        <f>LOG('Airfoil 1'!$F$10)+LOG('Airfoil 1'!$G$10)+LOG('Airfoil 1'!$H$10)</f>
        <v>15.176091259055681</v>
      </c>
      <c r="Q37" s="16">
        <f t="shared" ca="1" si="1"/>
        <v>-5.3254750991929125</v>
      </c>
      <c r="R37" s="16">
        <f>LOG('Airfoil 1'!$F$10)^2+LOG('Airfoil 1'!$G$10)^2+LOG('Airfoil 1'!$H$10)^2</f>
        <v>76.867141336751558</v>
      </c>
      <c r="S37" s="16">
        <f ca="1">LOG('Airfoil 1'!$F$10)*LOG(M37)+LOG('Airfoil 1'!$G$10)*LOG(N37)+LOG('Airfoil 1'!$H$10)*LOG(O37)</f>
        <v>-27.014391057528009</v>
      </c>
      <c r="T37" s="16">
        <f t="shared" ca="1" si="2"/>
        <v>141.60346469083578</v>
      </c>
      <c r="U37" s="16">
        <f t="shared" ca="1" si="3"/>
        <v>-0.77613507568957385</v>
      </c>
      <c r="V37" s="42">
        <f ca="1">IF(Energy!$F$11=1,Energy!$T$13,1)*T37*H37^U37</f>
        <v>8.6352594414204863E-3</v>
      </c>
      <c r="W37" s="10">
        <f ca="1">'Airfoil 1'!$B$48+'Airfoil 1'!$B$49*L37+'Airfoil 1'!$B$50*L37^2+'Airfoil 1'!$B$51*L37^3+'Airfoil 1'!$B$52*L37^4+'Airfoil 1'!$B$53*L37^5+'Airfoil 1'!$B$54*L37^6</f>
        <v>-0.155</v>
      </c>
      <c r="X37" s="42">
        <f ca="1">'Airfoil 1'!$B$56+'Airfoil 1'!$B$57*L37+'Airfoil 1'!$B$58*L37^2+'Airfoil 1'!$B$59*L37^3+'Airfoil 1'!$B$60*L37^4+'Airfoil 1'!$B$61*L37^5+'Airfoil 1'!$B$62*L37^6</f>
        <v>-0.155</v>
      </c>
      <c r="Y37" s="42">
        <f ca="1">'Airfoil 1'!$B$64+'Airfoil 1'!$B$65*L37+'Airfoil 1'!$B$66*L37^2+'Airfoil 1'!$B$67*L37^3+'Airfoil 1'!$B$681*L37^4+'Airfoil 1'!$B$69*L37^5+'Airfoil 1'!$B$70*L37^6</f>
        <v>-0.155</v>
      </c>
      <c r="Z37" s="16">
        <f>LOG('Airfoil 1'!$F$10)+LOG('Airfoil 1'!$G$10)+LOG('Airfoil 1'!$H$10)</f>
        <v>15.176091259055681</v>
      </c>
      <c r="AA37" s="16">
        <f t="shared" ca="1" si="4"/>
        <v>-2.4290049054891254</v>
      </c>
      <c r="AB37" s="16">
        <f>LOG('Airfoil 1'!$F$10)^2+LOG('Airfoil 1'!$G$10)^2+LOG('Airfoil 1'!$H$10)^2</f>
        <v>76.867141336751558</v>
      </c>
      <c r="AC37" s="16">
        <f ca="1">LOG('Airfoil 1'!$F$10)*LOG(ABS(W37))+LOG('Airfoil 1'!$G$10)*LOG(ABS(X37))+LOG('Airfoil 1'!$H$10)*LOG(ABS(Y37))</f>
        <v>-12.287600038132297</v>
      </c>
      <c r="AD37" s="16">
        <f t="shared" ca="1" si="5"/>
        <v>0.1550000000000121</v>
      </c>
      <c r="AE37" s="16">
        <f t="shared" ca="1" si="6"/>
        <v>-6.6718325633022456E-15</v>
      </c>
      <c r="AF37" s="42">
        <f t="shared" ca="1" si="7"/>
        <v>-0.15499999999999906</v>
      </c>
      <c r="AG37" s="16"/>
      <c r="AH37" s="42"/>
      <c r="AI37" s="16">
        <f ca="1">(L37-'Airfoil 1'!$Z$22)/ABS(L37-'Airfoil 1'!$Z$22)</f>
        <v>1</v>
      </c>
      <c r="AJ37" s="16">
        <f ca="1">(L37-'Airfoil 1'!$Z$23)/ABS(L37-'Airfoil 1'!$Z$23)</f>
        <v>1</v>
      </c>
      <c r="AK37" s="16">
        <f ca="1">(L37-'Airfoil 1'!$Z$24)/ABS(L37-'Airfoil 1'!$Z$24)</f>
        <v>1</v>
      </c>
      <c r="AL37" s="16">
        <f ca="1">(L37-'Airfoil 1'!$Z$25)/ABS(L37-'Airfoil 1'!$Z$25)</f>
        <v>1</v>
      </c>
      <c r="AM37" s="16">
        <f ca="1">(L37-'Airfoil 1'!$Z$26)/ABS(L37-'Airfoil 1'!$Z$26)</f>
        <v>1</v>
      </c>
      <c r="AN37" s="16">
        <f ca="1">(L37-'Airfoil 1'!$Z$27)/ABS(L37-'Airfoil 1'!$Z$27)</f>
        <v>1</v>
      </c>
      <c r="AO37" s="16">
        <f ca="1">(L37-'Airfoil 1'!$Z$28)/ABS(L37-'Airfoil 1'!$Z$28)</f>
        <v>1</v>
      </c>
      <c r="AP37" s="16">
        <f ca="1">(L37-'Airfoil 1'!$Z$29)/ABS(L37-'Airfoil 1'!$Z$29)</f>
        <v>-1</v>
      </c>
      <c r="AQ37" s="16">
        <f ca="1">(L37-'Airfoil 1'!$Z$30)/ABS(L37-'Airfoil 1'!$Z$30)</f>
        <v>-1</v>
      </c>
      <c r="AR37" s="16">
        <f ca="1">(L37-'Airfoil 1'!$Z$31)/ABS(L37-'Airfoil 1'!$Z$31)</f>
        <v>-1</v>
      </c>
      <c r="AS37" s="16">
        <f ca="1">(L37-'Airfoil 1'!$Z$32)/ABS(L37-'Airfoil 1'!$Z$32)</f>
        <v>-1</v>
      </c>
      <c r="AT37" s="16">
        <f ca="1">(L37-'Airfoil 1'!$Z$33)/ABS(L37-'Airfoil 1'!$Z$33)</f>
        <v>-1</v>
      </c>
      <c r="AU37" s="16">
        <f ca="1">(L37-'Airfoil 1'!$Z$34)/ABS(L37-'Airfoil 1'!$Z$34)</f>
        <v>-1</v>
      </c>
      <c r="AV37" s="16">
        <f ca="1">(L37-'Airfoil 1'!$Z$35)/ABS(L37-'Airfoil 1'!$Z$35)</f>
        <v>-1</v>
      </c>
      <c r="AW37" s="16">
        <f ca="1">(L37-'Airfoil 1'!$Z$36)/ABS(L37-'Airfoil 1'!$Z$36)</f>
        <v>-1</v>
      </c>
      <c r="AX37" s="16">
        <f ca="1">(L37-'Airfoil 1'!$Z$37)/ABS(L37-'Airfoil 1'!$Z$37)</f>
        <v>-1</v>
      </c>
      <c r="AY37" s="16">
        <f ca="1">(L37-'Airfoil 1'!$Z$38)/ABS(L37-'Airfoil 1'!$Z$38)</f>
        <v>-1</v>
      </c>
      <c r="AZ37" s="16">
        <f ca="1">(L37-'Airfoil 1'!$Z$39)/ABS(L37-'Airfoil 1'!$Z$39)</f>
        <v>-1</v>
      </c>
      <c r="BA37" s="16">
        <f ca="1">(L37-'Airfoil 1'!$Z$40)/ABS(L37-'Airfoil 1'!$Z$40)</f>
        <v>-1</v>
      </c>
      <c r="BB37" s="16">
        <f ca="1">(L37-'Airfoil 1'!$Z$41)/ABS(L37-'Airfoil 1'!$Z$41)</f>
        <v>-1</v>
      </c>
      <c r="BC37" s="5">
        <f t="shared" ca="1" si="8"/>
        <v>7</v>
      </c>
      <c r="BD37" s="42">
        <f ca="1">INDEX('Airfoil 1'!$AA$22:$AA$41,BC37,1)+INDEX('Airfoil 1'!$AB$22:$AB$41,BC37,1)*(L37-INDEX('Airfoil 1'!$Z$22:$Z$41,BC37,1))</f>
        <v>2.4489313868613138E-2</v>
      </c>
      <c r="BE37" s="6"/>
      <c r="BF37" s="16">
        <f ca="1">(L37-'Airfoil 1'!$Z$47)/ABS(L37-'Airfoil 1'!$Z$47)</f>
        <v>1</v>
      </c>
      <c r="BG37" s="16">
        <f ca="1">(L37-'Airfoil 1'!$Z$48)/ABS(L37-'Airfoil 1'!$Z$48)</f>
        <v>1</v>
      </c>
      <c r="BH37" s="16">
        <f ca="1">(L37-'Airfoil 1'!$Z$49)/ABS(L37-'Airfoil 1'!$Z$49)</f>
        <v>1</v>
      </c>
      <c r="BI37" s="16">
        <f ca="1">(L37-'Airfoil 1'!$Z$50)/ABS(L37-'Airfoil 1'!$Z$50)</f>
        <v>1</v>
      </c>
      <c r="BJ37" s="16">
        <f ca="1">(L37-'Airfoil 1'!$Z$51)/ABS(L37-'Airfoil 1'!$Z$51)</f>
        <v>1</v>
      </c>
      <c r="BK37" s="16">
        <f ca="1">(L37-'Airfoil 1'!$Z$52)/ABS(L37-'Airfoil 1'!$Z$52)</f>
        <v>1</v>
      </c>
      <c r="BL37" s="16">
        <f ca="1">(L37-'Airfoil 1'!$Z$53)/ABS(L37-'Airfoil 1'!$Z$53)</f>
        <v>-1</v>
      </c>
      <c r="BM37" s="16">
        <f ca="1">(L37-'Airfoil 1'!$Z$54)/ABS(L37-'Airfoil 1'!$Z$54)</f>
        <v>-1</v>
      </c>
      <c r="BN37" s="16">
        <f ca="1">(L37-'Airfoil 1'!$Z$55)/ABS(L37-'Airfoil 1'!$Z$55)</f>
        <v>-1</v>
      </c>
      <c r="BO37" s="16">
        <f ca="1">(L37-'Airfoil 1'!$Z$56)/ABS(L37-'Airfoil 1'!$Z$56)</f>
        <v>-1</v>
      </c>
      <c r="BP37" s="16">
        <f ca="1">(L37-'Airfoil 1'!$Z$57)/ABS(L37-'Airfoil 1'!$Z$57)</f>
        <v>-1</v>
      </c>
      <c r="BQ37" s="16">
        <f ca="1">(L37-'Airfoil 1'!$Z$58)/ABS(L37-'Airfoil 1'!$Z$58)</f>
        <v>-1</v>
      </c>
      <c r="BR37" s="16">
        <f ca="1">(L37-'Airfoil 1'!$Z$59)/ABS(L37-'Airfoil 1'!$Z$59)</f>
        <v>-1</v>
      </c>
      <c r="BS37" s="16">
        <f ca="1">(L37-'Airfoil 1'!$Z$60)/ABS(L37-'Airfoil 1'!$Z$60)</f>
        <v>-1</v>
      </c>
      <c r="BT37" s="16">
        <f ca="1">(L37-'Airfoil 1'!$Z$61)/ABS(L37-'Airfoil 1'!$Z$61)</f>
        <v>-1</v>
      </c>
      <c r="BU37" s="16">
        <f ca="1">(L37-'Airfoil 1'!$Z$62)/ABS(L37-'Airfoil 1'!$Z$62)</f>
        <v>-1</v>
      </c>
      <c r="BV37" s="16">
        <f ca="1">(L37-'Airfoil 1'!$Z$63)/ABS(L37-'Airfoil 1'!$Z$63)</f>
        <v>-1</v>
      </c>
      <c r="BW37" s="16">
        <f ca="1">(L37-'Airfoil 1'!$Z$64)/ABS(L37-'Airfoil 1'!$Z$64)</f>
        <v>-1</v>
      </c>
      <c r="BX37" s="16">
        <f ca="1">(L37-'Airfoil 1'!$Z$65)/ABS(L37-'Airfoil 1'!$Z$65)</f>
        <v>-1</v>
      </c>
      <c r="BY37" s="16">
        <f ca="1">(L37-'Airfoil 1'!$Z$66)/ABS(L37-'Airfoil 1'!$Z$66)</f>
        <v>-1</v>
      </c>
      <c r="BZ37" s="5">
        <f t="shared" ca="1" si="9"/>
        <v>6</v>
      </c>
      <c r="CA37" s="42">
        <f ca="1">INDEX('Airfoil 1'!$AA$47:$AA$66,BZ37,1)+INDEX('Airfoil 1'!$AB$47:$AB$66,BZ37,1)*(L37-INDEX('Airfoil 1'!$Z$47:$Z$66,BZ37,1))</f>
        <v>1.7370857855361597E-2</v>
      </c>
      <c r="CC37" s="16">
        <f ca="1">(L37-'Airfoil 1'!$Z$72)/ABS(L37-'Airfoil 1'!$Z$72)</f>
        <v>1</v>
      </c>
      <c r="CD37" s="16">
        <f ca="1">(L37-'Airfoil 1'!$Z$73)/ABS(L37-'Airfoil 1'!$Z$73)</f>
        <v>1</v>
      </c>
      <c r="CE37" s="16">
        <f ca="1">(L37-'Airfoil 1'!$Z$74)/ABS(L37-'Airfoil 1'!$Z$74)</f>
        <v>1</v>
      </c>
      <c r="CF37" s="16">
        <f ca="1">(L37-'Airfoil 1'!$Z$75)/ABS(L37-'Airfoil 1'!$Z$75)</f>
        <v>1</v>
      </c>
      <c r="CG37" s="16">
        <f ca="1">(L37-'Airfoil 1'!$Z$76)/ABS(L37-'Airfoil 1'!$Z$76)</f>
        <v>-1</v>
      </c>
      <c r="CH37" s="16">
        <f ca="1">(L37-'Airfoil 1'!$Z$77)/ABS(L37-'Airfoil 1'!$Z$77)</f>
        <v>-1</v>
      </c>
      <c r="CI37" s="16">
        <f ca="1">(L37-'Airfoil 1'!$Z$78)/ABS(L37-'Airfoil 1'!$Z$78)</f>
        <v>-1</v>
      </c>
      <c r="CJ37" s="16">
        <f ca="1">(L37-'Airfoil 1'!$Z$79)/ABS(L37-'Airfoil 1'!$Z$79)</f>
        <v>-1</v>
      </c>
      <c r="CK37" s="16">
        <f ca="1">(L37-'Airfoil 1'!$Z$80)/ABS(L37-'Airfoil 1'!$Z$80)</f>
        <v>-1</v>
      </c>
      <c r="CL37" s="16">
        <f ca="1">(L37-'Airfoil 1'!$Z$81)/ABS(L37-'Airfoil 1'!$Z$81)</f>
        <v>-1</v>
      </c>
      <c r="CM37" s="16">
        <f ca="1">(L37-'Airfoil 1'!$Z$82)/ABS(L37-'Airfoil 1'!$Z$82)</f>
        <v>-1</v>
      </c>
      <c r="CN37" s="16">
        <f ca="1">(L37-'Airfoil 1'!$Z$83)/ABS(L37-'Airfoil 1'!$Z$83)</f>
        <v>-1</v>
      </c>
      <c r="CO37" s="16">
        <f ca="1">(L37-'Airfoil 1'!$Z$84)/ABS(L37-'Airfoil 1'!$Z$84)</f>
        <v>-1</v>
      </c>
      <c r="CP37" s="16">
        <f ca="1">(L37-'Airfoil 1'!$Z$85)/ABS(L37-'Airfoil 1'!$Z$85)</f>
        <v>-1</v>
      </c>
      <c r="CQ37" s="16">
        <f ca="1">(L37-'Airfoil 1'!$Z$86)/ABS(L37-'Airfoil 1'!$Z$86)</f>
        <v>-1</v>
      </c>
      <c r="CR37" s="16">
        <f ca="1">(L37-'Airfoil 1'!$Z$87)/ABS(L37-'Airfoil 1'!$Z$87)</f>
        <v>-1</v>
      </c>
      <c r="CS37" s="16">
        <f ca="1">(L37-'Airfoil 1'!$Z$88)/ABS(L37-'Airfoil 1'!$Z$88)</f>
        <v>-1</v>
      </c>
      <c r="CT37" s="16">
        <f ca="1">(L37-'Airfoil 1'!$Z$89)/ABS(L37-'Airfoil 1'!$Z$89)</f>
        <v>-1</v>
      </c>
      <c r="CU37" s="16">
        <f ca="1">(L37-'Airfoil 1'!$Z$90)/ABS(L37-'Airfoil 1'!$Z$90)</f>
        <v>-1</v>
      </c>
      <c r="CV37" s="16">
        <f ca="1">(L37-'Airfoil 1'!$Z$91)/ABS(L37-'Airfoil 1'!$Z$91)</f>
        <v>-1</v>
      </c>
      <c r="CW37" s="5">
        <f t="shared" ca="1" si="10"/>
        <v>4</v>
      </c>
      <c r="CX37" s="42">
        <f ca="1">INDEX('Airfoil 1'!$AA$72:$AA$91,CW37,1)+INDEX('Airfoil 1'!$AB$72:$AB$91,CW37,1)*(L37-INDEX('Airfoil 1'!$Z$72:$Z$91,CW37,1))</f>
        <v>1.1110331491712706E-2</v>
      </c>
    </row>
    <row r="38" spans="2:102">
      <c r="B38" s="31">
        <f>Main!B38</f>
        <v>0.33333333333333326</v>
      </c>
      <c r="D38" s="1">
        <f>'RC'!F38</f>
        <v>0.65969672852566186</v>
      </c>
      <c r="E38" s="4">
        <f>ISA!$R$10</f>
        <v>1.5987591530356481E-5</v>
      </c>
      <c r="G38" s="13">
        <f ca="1">'RC'!X38</f>
        <v>21.913913889377955</v>
      </c>
      <c r="H38" s="5">
        <f t="shared" ca="1" si="0"/>
        <v>301411.6140125778</v>
      </c>
      <c r="I38" s="16">
        <f ca="1">'Airfoil 2'!$K$14*H38^'Airfoil 2'!$L$13</f>
        <v>1.5796056638324583</v>
      </c>
      <c r="J38" s="1">
        <f ca="1">'Airfoil 2'!$K$33*H38^'Airfoil 2'!$L$32</f>
        <v>5.2929903038179811</v>
      </c>
      <c r="K38" s="13">
        <f ca="1">'Airfoil 2'!$K$52*H38^'Airfoil 2'!$L$51</f>
        <v>-8.2951266591831274</v>
      </c>
      <c r="L38" s="16">
        <f ca="1">'Aerodynamics-RC'!W38</f>
        <v>0.9</v>
      </c>
      <c r="M38" s="10">
        <f ca="1">('Airfoil 1'!$B$21+'Airfoil 1'!$B$22*L38+'Airfoil 1'!$B$23*L38^2+'Airfoil 1'!$B$24*L38^3+'Airfoil 1'!$B$25*L38^4+'Airfoil 1'!$B$26*L38^5+'Airfoil 1'!$B$27*L38^6)*0+BD38</f>
        <v>2.4489313868613138E-2</v>
      </c>
      <c r="N38" s="42">
        <f ca="1">('Airfoil 1'!$B$29+'Airfoil 1'!$B$30*L38+'Airfoil 1'!$B$31*L38^2+'Airfoil 1'!$B$32*L38^3+'Airfoil 1'!$B$33*L38^4+'Airfoil 1'!$B$34*L38^5+'Airfoil 1'!$B$35*L38^6)*0+CA38</f>
        <v>1.7370857855361597E-2</v>
      </c>
      <c r="O38" s="42">
        <f ca="1">('Airfoil 1'!$B$37+'Airfoil 1'!$B$38*L38+'Airfoil 1'!$B$39*L38^2+'Airfoil 1'!$B$40*L38^3+'Airfoil 1'!$B$41*L38^4+'Airfoil 1'!$B$42*L38^5+'Airfoil 1'!$B$43*L38^6)*0+CX38</f>
        <v>1.1110331491712706E-2</v>
      </c>
      <c r="P38" s="16">
        <f>LOG('Airfoil 1'!$F$10)+LOG('Airfoil 1'!$G$10)+LOG('Airfoil 1'!$H$10)</f>
        <v>15.176091259055681</v>
      </c>
      <c r="Q38" s="16">
        <f t="shared" ca="1" si="1"/>
        <v>-5.3254750991929125</v>
      </c>
      <c r="R38" s="16">
        <f>LOG('Airfoil 1'!$F$10)^2+LOG('Airfoil 1'!$G$10)^2+LOG('Airfoil 1'!$H$10)^2</f>
        <v>76.867141336751558</v>
      </c>
      <c r="S38" s="16">
        <f ca="1">LOG('Airfoil 1'!$F$10)*LOG(M38)+LOG('Airfoil 1'!$G$10)*LOG(N38)+LOG('Airfoil 1'!$H$10)*LOG(O38)</f>
        <v>-27.014391057528009</v>
      </c>
      <c r="T38" s="16">
        <f t="shared" ca="1" si="2"/>
        <v>141.60346469083578</v>
      </c>
      <c r="U38" s="16">
        <f t="shared" ca="1" si="3"/>
        <v>-0.77613507568957385</v>
      </c>
      <c r="V38" s="42">
        <f ca="1">IF(Energy!$F$11=1,Energy!$T$13,1)*T38*H38^U38</f>
        <v>8.7273869111289884E-3</v>
      </c>
      <c r="W38" s="10">
        <f ca="1">'Airfoil 1'!$B$48+'Airfoil 1'!$B$49*L38+'Airfoil 1'!$B$50*L38^2+'Airfoil 1'!$B$51*L38^3+'Airfoil 1'!$B$52*L38^4+'Airfoil 1'!$B$53*L38^5+'Airfoil 1'!$B$54*L38^6</f>
        <v>-0.155</v>
      </c>
      <c r="X38" s="42">
        <f ca="1">'Airfoil 1'!$B$56+'Airfoil 1'!$B$57*L38+'Airfoil 1'!$B$58*L38^2+'Airfoil 1'!$B$59*L38^3+'Airfoil 1'!$B$60*L38^4+'Airfoil 1'!$B$61*L38^5+'Airfoil 1'!$B$62*L38^6</f>
        <v>-0.155</v>
      </c>
      <c r="Y38" s="42">
        <f ca="1">'Airfoil 1'!$B$64+'Airfoil 1'!$B$65*L38+'Airfoil 1'!$B$66*L38^2+'Airfoil 1'!$B$67*L38^3+'Airfoil 1'!$B$681*L38^4+'Airfoil 1'!$B$69*L38^5+'Airfoil 1'!$B$70*L38^6</f>
        <v>-0.155</v>
      </c>
      <c r="Z38" s="16">
        <f>LOG('Airfoil 1'!$F$10)+LOG('Airfoil 1'!$G$10)+LOG('Airfoil 1'!$H$10)</f>
        <v>15.176091259055681</v>
      </c>
      <c r="AA38" s="16">
        <f t="shared" ca="1" si="4"/>
        <v>-2.4290049054891254</v>
      </c>
      <c r="AB38" s="16">
        <f>LOG('Airfoil 1'!$F$10)^2+LOG('Airfoil 1'!$G$10)^2+LOG('Airfoil 1'!$H$10)^2</f>
        <v>76.867141336751558</v>
      </c>
      <c r="AC38" s="16">
        <f ca="1">LOG('Airfoil 1'!$F$10)*LOG(ABS(W38))+LOG('Airfoil 1'!$G$10)*LOG(ABS(X38))+LOG('Airfoil 1'!$H$10)*LOG(ABS(Y38))</f>
        <v>-12.287600038132297</v>
      </c>
      <c r="AD38" s="16">
        <f t="shared" ca="1" si="5"/>
        <v>0.1550000000000121</v>
      </c>
      <c r="AE38" s="16">
        <f t="shared" ca="1" si="6"/>
        <v>-6.6718325633022456E-15</v>
      </c>
      <c r="AF38" s="42">
        <f t="shared" ca="1" si="7"/>
        <v>-0.15499999999999906</v>
      </c>
      <c r="AG38" s="16"/>
      <c r="AH38" s="42"/>
      <c r="AI38" s="16">
        <f ca="1">(L38-'Airfoil 1'!$Z$22)/ABS(L38-'Airfoil 1'!$Z$22)</f>
        <v>1</v>
      </c>
      <c r="AJ38" s="16">
        <f ca="1">(L38-'Airfoil 1'!$Z$23)/ABS(L38-'Airfoil 1'!$Z$23)</f>
        <v>1</v>
      </c>
      <c r="AK38" s="16">
        <f ca="1">(L38-'Airfoil 1'!$Z$24)/ABS(L38-'Airfoil 1'!$Z$24)</f>
        <v>1</v>
      </c>
      <c r="AL38" s="16">
        <f ca="1">(L38-'Airfoil 1'!$Z$25)/ABS(L38-'Airfoil 1'!$Z$25)</f>
        <v>1</v>
      </c>
      <c r="AM38" s="16">
        <f ca="1">(L38-'Airfoil 1'!$Z$26)/ABS(L38-'Airfoil 1'!$Z$26)</f>
        <v>1</v>
      </c>
      <c r="AN38" s="16">
        <f ca="1">(L38-'Airfoil 1'!$Z$27)/ABS(L38-'Airfoil 1'!$Z$27)</f>
        <v>1</v>
      </c>
      <c r="AO38" s="16">
        <f ca="1">(L38-'Airfoil 1'!$Z$28)/ABS(L38-'Airfoil 1'!$Z$28)</f>
        <v>1</v>
      </c>
      <c r="AP38" s="16">
        <f ca="1">(L38-'Airfoil 1'!$Z$29)/ABS(L38-'Airfoil 1'!$Z$29)</f>
        <v>-1</v>
      </c>
      <c r="AQ38" s="16">
        <f ca="1">(L38-'Airfoil 1'!$Z$30)/ABS(L38-'Airfoil 1'!$Z$30)</f>
        <v>-1</v>
      </c>
      <c r="AR38" s="16">
        <f ca="1">(L38-'Airfoil 1'!$Z$31)/ABS(L38-'Airfoil 1'!$Z$31)</f>
        <v>-1</v>
      </c>
      <c r="AS38" s="16">
        <f ca="1">(L38-'Airfoil 1'!$Z$32)/ABS(L38-'Airfoil 1'!$Z$32)</f>
        <v>-1</v>
      </c>
      <c r="AT38" s="16">
        <f ca="1">(L38-'Airfoil 1'!$Z$33)/ABS(L38-'Airfoil 1'!$Z$33)</f>
        <v>-1</v>
      </c>
      <c r="AU38" s="16">
        <f ca="1">(L38-'Airfoil 1'!$Z$34)/ABS(L38-'Airfoil 1'!$Z$34)</f>
        <v>-1</v>
      </c>
      <c r="AV38" s="16">
        <f ca="1">(L38-'Airfoil 1'!$Z$35)/ABS(L38-'Airfoil 1'!$Z$35)</f>
        <v>-1</v>
      </c>
      <c r="AW38" s="16">
        <f ca="1">(L38-'Airfoil 1'!$Z$36)/ABS(L38-'Airfoil 1'!$Z$36)</f>
        <v>-1</v>
      </c>
      <c r="AX38" s="16">
        <f ca="1">(L38-'Airfoil 1'!$Z$37)/ABS(L38-'Airfoil 1'!$Z$37)</f>
        <v>-1</v>
      </c>
      <c r="AY38" s="16">
        <f ca="1">(L38-'Airfoil 1'!$Z$38)/ABS(L38-'Airfoil 1'!$Z$38)</f>
        <v>-1</v>
      </c>
      <c r="AZ38" s="16">
        <f ca="1">(L38-'Airfoil 1'!$Z$39)/ABS(L38-'Airfoil 1'!$Z$39)</f>
        <v>-1</v>
      </c>
      <c r="BA38" s="16">
        <f ca="1">(L38-'Airfoil 1'!$Z$40)/ABS(L38-'Airfoil 1'!$Z$40)</f>
        <v>-1</v>
      </c>
      <c r="BB38" s="16">
        <f ca="1">(L38-'Airfoil 1'!$Z$41)/ABS(L38-'Airfoil 1'!$Z$41)</f>
        <v>-1</v>
      </c>
      <c r="BC38" s="5">
        <f t="shared" ca="1" si="8"/>
        <v>7</v>
      </c>
      <c r="BD38" s="42">
        <f ca="1">INDEX('Airfoil 1'!$AA$22:$AA$41,BC38,1)+INDEX('Airfoil 1'!$AB$22:$AB$41,BC38,1)*(L38-INDEX('Airfoil 1'!$Z$22:$Z$41,BC38,1))</f>
        <v>2.4489313868613138E-2</v>
      </c>
      <c r="BE38" s="6"/>
      <c r="BF38" s="16">
        <f ca="1">(L38-'Airfoil 1'!$Z$47)/ABS(L38-'Airfoil 1'!$Z$47)</f>
        <v>1</v>
      </c>
      <c r="BG38" s="16">
        <f ca="1">(L38-'Airfoil 1'!$Z$48)/ABS(L38-'Airfoil 1'!$Z$48)</f>
        <v>1</v>
      </c>
      <c r="BH38" s="16">
        <f ca="1">(L38-'Airfoil 1'!$Z$49)/ABS(L38-'Airfoil 1'!$Z$49)</f>
        <v>1</v>
      </c>
      <c r="BI38" s="16">
        <f ca="1">(L38-'Airfoil 1'!$Z$50)/ABS(L38-'Airfoil 1'!$Z$50)</f>
        <v>1</v>
      </c>
      <c r="BJ38" s="16">
        <f ca="1">(L38-'Airfoil 1'!$Z$51)/ABS(L38-'Airfoil 1'!$Z$51)</f>
        <v>1</v>
      </c>
      <c r="BK38" s="16">
        <f ca="1">(L38-'Airfoil 1'!$Z$52)/ABS(L38-'Airfoil 1'!$Z$52)</f>
        <v>1</v>
      </c>
      <c r="BL38" s="16">
        <f ca="1">(L38-'Airfoil 1'!$Z$53)/ABS(L38-'Airfoil 1'!$Z$53)</f>
        <v>-1</v>
      </c>
      <c r="BM38" s="16">
        <f ca="1">(L38-'Airfoil 1'!$Z$54)/ABS(L38-'Airfoil 1'!$Z$54)</f>
        <v>-1</v>
      </c>
      <c r="BN38" s="16">
        <f ca="1">(L38-'Airfoil 1'!$Z$55)/ABS(L38-'Airfoil 1'!$Z$55)</f>
        <v>-1</v>
      </c>
      <c r="BO38" s="16">
        <f ca="1">(L38-'Airfoil 1'!$Z$56)/ABS(L38-'Airfoil 1'!$Z$56)</f>
        <v>-1</v>
      </c>
      <c r="BP38" s="16">
        <f ca="1">(L38-'Airfoil 1'!$Z$57)/ABS(L38-'Airfoil 1'!$Z$57)</f>
        <v>-1</v>
      </c>
      <c r="BQ38" s="16">
        <f ca="1">(L38-'Airfoil 1'!$Z$58)/ABS(L38-'Airfoil 1'!$Z$58)</f>
        <v>-1</v>
      </c>
      <c r="BR38" s="16">
        <f ca="1">(L38-'Airfoil 1'!$Z$59)/ABS(L38-'Airfoil 1'!$Z$59)</f>
        <v>-1</v>
      </c>
      <c r="BS38" s="16">
        <f ca="1">(L38-'Airfoil 1'!$Z$60)/ABS(L38-'Airfoil 1'!$Z$60)</f>
        <v>-1</v>
      </c>
      <c r="BT38" s="16">
        <f ca="1">(L38-'Airfoil 1'!$Z$61)/ABS(L38-'Airfoil 1'!$Z$61)</f>
        <v>-1</v>
      </c>
      <c r="BU38" s="16">
        <f ca="1">(L38-'Airfoil 1'!$Z$62)/ABS(L38-'Airfoil 1'!$Z$62)</f>
        <v>-1</v>
      </c>
      <c r="BV38" s="16">
        <f ca="1">(L38-'Airfoil 1'!$Z$63)/ABS(L38-'Airfoil 1'!$Z$63)</f>
        <v>-1</v>
      </c>
      <c r="BW38" s="16">
        <f ca="1">(L38-'Airfoil 1'!$Z$64)/ABS(L38-'Airfoil 1'!$Z$64)</f>
        <v>-1</v>
      </c>
      <c r="BX38" s="16">
        <f ca="1">(L38-'Airfoil 1'!$Z$65)/ABS(L38-'Airfoil 1'!$Z$65)</f>
        <v>-1</v>
      </c>
      <c r="BY38" s="16">
        <f ca="1">(L38-'Airfoil 1'!$Z$66)/ABS(L38-'Airfoil 1'!$Z$66)</f>
        <v>-1</v>
      </c>
      <c r="BZ38" s="5">
        <f t="shared" ca="1" si="9"/>
        <v>6</v>
      </c>
      <c r="CA38" s="42">
        <f ca="1">INDEX('Airfoil 1'!$AA$47:$AA$66,BZ38,1)+INDEX('Airfoil 1'!$AB$47:$AB$66,BZ38,1)*(L38-INDEX('Airfoil 1'!$Z$47:$Z$66,BZ38,1))</f>
        <v>1.7370857855361597E-2</v>
      </c>
      <c r="CC38" s="16">
        <f ca="1">(L38-'Airfoil 1'!$Z$72)/ABS(L38-'Airfoil 1'!$Z$72)</f>
        <v>1</v>
      </c>
      <c r="CD38" s="16">
        <f ca="1">(L38-'Airfoil 1'!$Z$73)/ABS(L38-'Airfoil 1'!$Z$73)</f>
        <v>1</v>
      </c>
      <c r="CE38" s="16">
        <f ca="1">(L38-'Airfoil 1'!$Z$74)/ABS(L38-'Airfoil 1'!$Z$74)</f>
        <v>1</v>
      </c>
      <c r="CF38" s="16">
        <f ca="1">(L38-'Airfoil 1'!$Z$75)/ABS(L38-'Airfoil 1'!$Z$75)</f>
        <v>1</v>
      </c>
      <c r="CG38" s="16">
        <f ca="1">(L38-'Airfoil 1'!$Z$76)/ABS(L38-'Airfoil 1'!$Z$76)</f>
        <v>-1</v>
      </c>
      <c r="CH38" s="16">
        <f ca="1">(L38-'Airfoil 1'!$Z$77)/ABS(L38-'Airfoil 1'!$Z$77)</f>
        <v>-1</v>
      </c>
      <c r="CI38" s="16">
        <f ca="1">(L38-'Airfoil 1'!$Z$78)/ABS(L38-'Airfoil 1'!$Z$78)</f>
        <v>-1</v>
      </c>
      <c r="CJ38" s="16">
        <f ca="1">(L38-'Airfoil 1'!$Z$79)/ABS(L38-'Airfoil 1'!$Z$79)</f>
        <v>-1</v>
      </c>
      <c r="CK38" s="16">
        <f ca="1">(L38-'Airfoil 1'!$Z$80)/ABS(L38-'Airfoil 1'!$Z$80)</f>
        <v>-1</v>
      </c>
      <c r="CL38" s="16">
        <f ca="1">(L38-'Airfoil 1'!$Z$81)/ABS(L38-'Airfoil 1'!$Z$81)</f>
        <v>-1</v>
      </c>
      <c r="CM38" s="16">
        <f ca="1">(L38-'Airfoil 1'!$Z$82)/ABS(L38-'Airfoil 1'!$Z$82)</f>
        <v>-1</v>
      </c>
      <c r="CN38" s="16">
        <f ca="1">(L38-'Airfoil 1'!$Z$83)/ABS(L38-'Airfoil 1'!$Z$83)</f>
        <v>-1</v>
      </c>
      <c r="CO38" s="16">
        <f ca="1">(L38-'Airfoil 1'!$Z$84)/ABS(L38-'Airfoil 1'!$Z$84)</f>
        <v>-1</v>
      </c>
      <c r="CP38" s="16">
        <f ca="1">(L38-'Airfoil 1'!$Z$85)/ABS(L38-'Airfoil 1'!$Z$85)</f>
        <v>-1</v>
      </c>
      <c r="CQ38" s="16">
        <f ca="1">(L38-'Airfoil 1'!$Z$86)/ABS(L38-'Airfoil 1'!$Z$86)</f>
        <v>-1</v>
      </c>
      <c r="CR38" s="16">
        <f ca="1">(L38-'Airfoil 1'!$Z$87)/ABS(L38-'Airfoil 1'!$Z$87)</f>
        <v>-1</v>
      </c>
      <c r="CS38" s="16">
        <f ca="1">(L38-'Airfoil 1'!$Z$88)/ABS(L38-'Airfoil 1'!$Z$88)</f>
        <v>-1</v>
      </c>
      <c r="CT38" s="16">
        <f ca="1">(L38-'Airfoil 1'!$Z$89)/ABS(L38-'Airfoil 1'!$Z$89)</f>
        <v>-1</v>
      </c>
      <c r="CU38" s="16">
        <f ca="1">(L38-'Airfoil 1'!$Z$90)/ABS(L38-'Airfoil 1'!$Z$90)</f>
        <v>-1</v>
      </c>
      <c r="CV38" s="16">
        <f ca="1">(L38-'Airfoil 1'!$Z$91)/ABS(L38-'Airfoil 1'!$Z$91)</f>
        <v>-1</v>
      </c>
      <c r="CW38" s="5">
        <f t="shared" ca="1" si="10"/>
        <v>4</v>
      </c>
      <c r="CX38" s="42">
        <f ca="1">INDEX('Airfoil 1'!$AA$72:$AA$91,CW38,1)+INDEX('Airfoil 1'!$AB$72:$AB$91,CW38,1)*(L38-INDEX('Airfoil 1'!$Z$72:$Z$91,CW38,1))</f>
        <v>1.1110331491712706E-2</v>
      </c>
    </row>
    <row r="39" spans="2:102">
      <c r="B39" s="31">
        <f>Main!B39</f>
        <v>0.33333333333333326</v>
      </c>
      <c r="D39" s="1">
        <f>'RC'!F39</f>
        <v>0.65969672852566186</v>
      </c>
      <c r="E39" s="4">
        <f>ISA!$R$10</f>
        <v>1.5987591530356481E-5</v>
      </c>
      <c r="G39" s="13">
        <f ca="1">'RC'!X39</f>
        <v>21.626815672280991</v>
      </c>
      <c r="H39" s="5">
        <f t="shared" ca="1" si="0"/>
        <v>297462.76501042506</v>
      </c>
      <c r="I39" s="16">
        <f ca="1">'Airfoil 2'!$K$14*H39^'Airfoil 2'!$L$13</f>
        <v>1.5793161047336937</v>
      </c>
      <c r="J39" s="1">
        <f ca="1">'Airfoil 2'!$K$33*H39^'Airfoil 2'!$L$32</f>
        <v>5.3165202356429013</v>
      </c>
      <c r="K39" s="13">
        <f ca="1">'Airfoil 2'!$K$52*H39^'Airfoil 2'!$L$51</f>
        <v>-8.2222909308880183</v>
      </c>
      <c r="L39" s="16">
        <f ca="1">'Aerodynamics-RC'!W39</f>
        <v>0.9</v>
      </c>
      <c r="M39" s="10">
        <f ca="1">('Airfoil 1'!$B$21+'Airfoil 1'!$B$22*L39+'Airfoil 1'!$B$23*L39^2+'Airfoil 1'!$B$24*L39^3+'Airfoil 1'!$B$25*L39^4+'Airfoil 1'!$B$26*L39^5+'Airfoil 1'!$B$27*L39^6)*0+BD39</f>
        <v>2.4489313868613138E-2</v>
      </c>
      <c r="N39" s="42">
        <f ca="1">('Airfoil 1'!$B$29+'Airfoil 1'!$B$30*L39+'Airfoil 1'!$B$31*L39^2+'Airfoil 1'!$B$32*L39^3+'Airfoil 1'!$B$33*L39^4+'Airfoil 1'!$B$34*L39^5+'Airfoil 1'!$B$35*L39^6)*0+CA39</f>
        <v>1.7370857855361597E-2</v>
      </c>
      <c r="O39" s="42">
        <f ca="1">('Airfoil 1'!$B$37+'Airfoil 1'!$B$38*L39+'Airfoil 1'!$B$39*L39^2+'Airfoil 1'!$B$40*L39^3+'Airfoil 1'!$B$41*L39^4+'Airfoil 1'!$B$42*L39^5+'Airfoil 1'!$B$43*L39^6)*0+CX39</f>
        <v>1.1110331491712706E-2</v>
      </c>
      <c r="P39" s="16">
        <f>LOG('Airfoil 1'!$F$10)+LOG('Airfoil 1'!$G$10)+LOG('Airfoil 1'!$H$10)</f>
        <v>15.176091259055681</v>
      </c>
      <c r="Q39" s="16">
        <f t="shared" ca="1" si="1"/>
        <v>-5.3254750991929125</v>
      </c>
      <c r="R39" s="16">
        <f>LOG('Airfoil 1'!$F$10)^2+LOG('Airfoil 1'!$G$10)^2+LOG('Airfoil 1'!$H$10)^2</f>
        <v>76.867141336751558</v>
      </c>
      <c r="S39" s="16">
        <f ca="1">LOG('Airfoil 1'!$F$10)*LOG(M39)+LOG('Airfoil 1'!$G$10)*LOG(N39)+LOG('Airfoil 1'!$H$10)*LOG(O39)</f>
        <v>-27.014391057528009</v>
      </c>
      <c r="T39" s="16">
        <f t="shared" ca="1" si="2"/>
        <v>141.60346469083578</v>
      </c>
      <c r="U39" s="16">
        <f t="shared" ca="1" si="3"/>
        <v>-0.77613507568957385</v>
      </c>
      <c r="V39" s="42">
        <f ca="1">IF(Energy!$F$11=1,Energy!$T$13,1)*T39*H39^U39</f>
        <v>8.817174669136096E-3</v>
      </c>
      <c r="W39" s="10">
        <f ca="1">'Airfoil 1'!$B$48+'Airfoil 1'!$B$49*L39+'Airfoil 1'!$B$50*L39^2+'Airfoil 1'!$B$51*L39^3+'Airfoil 1'!$B$52*L39^4+'Airfoil 1'!$B$53*L39^5+'Airfoil 1'!$B$54*L39^6</f>
        <v>-0.155</v>
      </c>
      <c r="X39" s="42">
        <f ca="1">'Airfoil 1'!$B$56+'Airfoil 1'!$B$57*L39+'Airfoil 1'!$B$58*L39^2+'Airfoil 1'!$B$59*L39^3+'Airfoil 1'!$B$60*L39^4+'Airfoil 1'!$B$61*L39^5+'Airfoil 1'!$B$62*L39^6</f>
        <v>-0.155</v>
      </c>
      <c r="Y39" s="42">
        <f ca="1">'Airfoil 1'!$B$64+'Airfoil 1'!$B$65*L39+'Airfoil 1'!$B$66*L39^2+'Airfoil 1'!$B$67*L39^3+'Airfoil 1'!$B$681*L39^4+'Airfoil 1'!$B$69*L39^5+'Airfoil 1'!$B$70*L39^6</f>
        <v>-0.155</v>
      </c>
      <c r="Z39" s="16">
        <f>LOG('Airfoil 1'!$F$10)+LOG('Airfoil 1'!$G$10)+LOG('Airfoil 1'!$H$10)</f>
        <v>15.176091259055681</v>
      </c>
      <c r="AA39" s="16">
        <f t="shared" ca="1" si="4"/>
        <v>-2.4290049054891254</v>
      </c>
      <c r="AB39" s="16">
        <f>LOG('Airfoil 1'!$F$10)^2+LOG('Airfoil 1'!$G$10)^2+LOG('Airfoil 1'!$H$10)^2</f>
        <v>76.867141336751558</v>
      </c>
      <c r="AC39" s="16">
        <f ca="1">LOG('Airfoil 1'!$F$10)*LOG(ABS(W39))+LOG('Airfoil 1'!$G$10)*LOG(ABS(X39))+LOG('Airfoil 1'!$H$10)*LOG(ABS(Y39))</f>
        <v>-12.287600038132297</v>
      </c>
      <c r="AD39" s="16">
        <f t="shared" ca="1" si="5"/>
        <v>0.1550000000000121</v>
      </c>
      <c r="AE39" s="16">
        <f t="shared" ca="1" si="6"/>
        <v>-6.6718325633022456E-15</v>
      </c>
      <c r="AF39" s="42">
        <f t="shared" ca="1" si="7"/>
        <v>-0.15499999999999906</v>
      </c>
      <c r="AG39" s="16"/>
      <c r="AH39" s="42"/>
      <c r="AI39" s="16">
        <f ca="1">(L39-'Airfoil 1'!$Z$22)/ABS(L39-'Airfoil 1'!$Z$22)</f>
        <v>1</v>
      </c>
      <c r="AJ39" s="16">
        <f ca="1">(L39-'Airfoil 1'!$Z$23)/ABS(L39-'Airfoil 1'!$Z$23)</f>
        <v>1</v>
      </c>
      <c r="AK39" s="16">
        <f ca="1">(L39-'Airfoil 1'!$Z$24)/ABS(L39-'Airfoil 1'!$Z$24)</f>
        <v>1</v>
      </c>
      <c r="AL39" s="16">
        <f ca="1">(L39-'Airfoil 1'!$Z$25)/ABS(L39-'Airfoil 1'!$Z$25)</f>
        <v>1</v>
      </c>
      <c r="AM39" s="16">
        <f ca="1">(L39-'Airfoil 1'!$Z$26)/ABS(L39-'Airfoil 1'!$Z$26)</f>
        <v>1</v>
      </c>
      <c r="AN39" s="16">
        <f ca="1">(L39-'Airfoil 1'!$Z$27)/ABS(L39-'Airfoil 1'!$Z$27)</f>
        <v>1</v>
      </c>
      <c r="AO39" s="16">
        <f ca="1">(L39-'Airfoil 1'!$Z$28)/ABS(L39-'Airfoil 1'!$Z$28)</f>
        <v>1</v>
      </c>
      <c r="AP39" s="16">
        <f ca="1">(L39-'Airfoil 1'!$Z$29)/ABS(L39-'Airfoil 1'!$Z$29)</f>
        <v>-1</v>
      </c>
      <c r="AQ39" s="16">
        <f ca="1">(L39-'Airfoil 1'!$Z$30)/ABS(L39-'Airfoil 1'!$Z$30)</f>
        <v>-1</v>
      </c>
      <c r="AR39" s="16">
        <f ca="1">(L39-'Airfoil 1'!$Z$31)/ABS(L39-'Airfoil 1'!$Z$31)</f>
        <v>-1</v>
      </c>
      <c r="AS39" s="16">
        <f ca="1">(L39-'Airfoil 1'!$Z$32)/ABS(L39-'Airfoil 1'!$Z$32)</f>
        <v>-1</v>
      </c>
      <c r="AT39" s="16">
        <f ca="1">(L39-'Airfoil 1'!$Z$33)/ABS(L39-'Airfoil 1'!$Z$33)</f>
        <v>-1</v>
      </c>
      <c r="AU39" s="16">
        <f ca="1">(L39-'Airfoil 1'!$Z$34)/ABS(L39-'Airfoil 1'!$Z$34)</f>
        <v>-1</v>
      </c>
      <c r="AV39" s="16">
        <f ca="1">(L39-'Airfoil 1'!$Z$35)/ABS(L39-'Airfoil 1'!$Z$35)</f>
        <v>-1</v>
      </c>
      <c r="AW39" s="16">
        <f ca="1">(L39-'Airfoil 1'!$Z$36)/ABS(L39-'Airfoil 1'!$Z$36)</f>
        <v>-1</v>
      </c>
      <c r="AX39" s="16">
        <f ca="1">(L39-'Airfoil 1'!$Z$37)/ABS(L39-'Airfoil 1'!$Z$37)</f>
        <v>-1</v>
      </c>
      <c r="AY39" s="16">
        <f ca="1">(L39-'Airfoil 1'!$Z$38)/ABS(L39-'Airfoil 1'!$Z$38)</f>
        <v>-1</v>
      </c>
      <c r="AZ39" s="16">
        <f ca="1">(L39-'Airfoil 1'!$Z$39)/ABS(L39-'Airfoil 1'!$Z$39)</f>
        <v>-1</v>
      </c>
      <c r="BA39" s="16">
        <f ca="1">(L39-'Airfoil 1'!$Z$40)/ABS(L39-'Airfoil 1'!$Z$40)</f>
        <v>-1</v>
      </c>
      <c r="BB39" s="16">
        <f ca="1">(L39-'Airfoil 1'!$Z$41)/ABS(L39-'Airfoil 1'!$Z$41)</f>
        <v>-1</v>
      </c>
      <c r="BC39" s="5">
        <f t="shared" ca="1" si="8"/>
        <v>7</v>
      </c>
      <c r="BD39" s="42">
        <f ca="1">INDEX('Airfoil 1'!$AA$22:$AA$41,BC39,1)+INDEX('Airfoil 1'!$AB$22:$AB$41,BC39,1)*(L39-INDEX('Airfoil 1'!$Z$22:$Z$41,BC39,1))</f>
        <v>2.4489313868613138E-2</v>
      </c>
      <c r="BE39" s="6"/>
      <c r="BF39" s="16">
        <f ca="1">(L39-'Airfoil 1'!$Z$47)/ABS(L39-'Airfoil 1'!$Z$47)</f>
        <v>1</v>
      </c>
      <c r="BG39" s="16">
        <f ca="1">(L39-'Airfoil 1'!$Z$48)/ABS(L39-'Airfoil 1'!$Z$48)</f>
        <v>1</v>
      </c>
      <c r="BH39" s="16">
        <f ca="1">(L39-'Airfoil 1'!$Z$49)/ABS(L39-'Airfoil 1'!$Z$49)</f>
        <v>1</v>
      </c>
      <c r="BI39" s="16">
        <f ca="1">(L39-'Airfoil 1'!$Z$50)/ABS(L39-'Airfoil 1'!$Z$50)</f>
        <v>1</v>
      </c>
      <c r="BJ39" s="16">
        <f ca="1">(L39-'Airfoil 1'!$Z$51)/ABS(L39-'Airfoil 1'!$Z$51)</f>
        <v>1</v>
      </c>
      <c r="BK39" s="16">
        <f ca="1">(L39-'Airfoil 1'!$Z$52)/ABS(L39-'Airfoil 1'!$Z$52)</f>
        <v>1</v>
      </c>
      <c r="BL39" s="16">
        <f ca="1">(L39-'Airfoil 1'!$Z$53)/ABS(L39-'Airfoil 1'!$Z$53)</f>
        <v>-1</v>
      </c>
      <c r="BM39" s="16">
        <f ca="1">(L39-'Airfoil 1'!$Z$54)/ABS(L39-'Airfoil 1'!$Z$54)</f>
        <v>-1</v>
      </c>
      <c r="BN39" s="16">
        <f ca="1">(L39-'Airfoil 1'!$Z$55)/ABS(L39-'Airfoil 1'!$Z$55)</f>
        <v>-1</v>
      </c>
      <c r="BO39" s="16">
        <f ca="1">(L39-'Airfoil 1'!$Z$56)/ABS(L39-'Airfoil 1'!$Z$56)</f>
        <v>-1</v>
      </c>
      <c r="BP39" s="16">
        <f ca="1">(L39-'Airfoil 1'!$Z$57)/ABS(L39-'Airfoil 1'!$Z$57)</f>
        <v>-1</v>
      </c>
      <c r="BQ39" s="16">
        <f ca="1">(L39-'Airfoil 1'!$Z$58)/ABS(L39-'Airfoil 1'!$Z$58)</f>
        <v>-1</v>
      </c>
      <c r="BR39" s="16">
        <f ca="1">(L39-'Airfoil 1'!$Z$59)/ABS(L39-'Airfoil 1'!$Z$59)</f>
        <v>-1</v>
      </c>
      <c r="BS39" s="16">
        <f ca="1">(L39-'Airfoil 1'!$Z$60)/ABS(L39-'Airfoil 1'!$Z$60)</f>
        <v>-1</v>
      </c>
      <c r="BT39" s="16">
        <f ca="1">(L39-'Airfoil 1'!$Z$61)/ABS(L39-'Airfoil 1'!$Z$61)</f>
        <v>-1</v>
      </c>
      <c r="BU39" s="16">
        <f ca="1">(L39-'Airfoil 1'!$Z$62)/ABS(L39-'Airfoil 1'!$Z$62)</f>
        <v>-1</v>
      </c>
      <c r="BV39" s="16">
        <f ca="1">(L39-'Airfoil 1'!$Z$63)/ABS(L39-'Airfoil 1'!$Z$63)</f>
        <v>-1</v>
      </c>
      <c r="BW39" s="16">
        <f ca="1">(L39-'Airfoil 1'!$Z$64)/ABS(L39-'Airfoil 1'!$Z$64)</f>
        <v>-1</v>
      </c>
      <c r="BX39" s="16">
        <f ca="1">(L39-'Airfoil 1'!$Z$65)/ABS(L39-'Airfoil 1'!$Z$65)</f>
        <v>-1</v>
      </c>
      <c r="BY39" s="16">
        <f ca="1">(L39-'Airfoil 1'!$Z$66)/ABS(L39-'Airfoil 1'!$Z$66)</f>
        <v>-1</v>
      </c>
      <c r="BZ39" s="5">
        <f t="shared" ca="1" si="9"/>
        <v>6</v>
      </c>
      <c r="CA39" s="42">
        <f ca="1">INDEX('Airfoil 1'!$AA$47:$AA$66,BZ39,1)+INDEX('Airfoil 1'!$AB$47:$AB$66,BZ39,1)*(L39-INDEX('Airfoil 1'!$Z$47:$Z$66,BZ39,1))</f>
        <v>1.7370857855361597E-2</v>
      </c>
      <c r="CC39" s="16">
        <f ca="1">(L39-'Airfoil 1'!$Z$72)/ABS(L39-'Airfoil 1'!$Z$72)</f>
        <v>1</v>
      </c>
      <c r="CD39" s="16">
        <f ca="1">(L39-'Airfoil 1'!$Z$73)/ABS(L39-'Airfoil 1'!$Z$73)</f>
        <v>1</v>
      </c>
      <c r="CE39" s="16">
        <f ca="1">(L39-'Airfoil 1'!$Z$74)/ABS(L39-'Airfoil 1'!$Z$74)</f>
        <v>1</v>
      </c>
      <c r="CF39" s="16">
        <f ca="1">(L39-'Airfoil 1'!$Z$75)/ABS(L39-'Airfoil 1'!$Z$75)</f>
        <v>1</v>
      </c>
      <c r="CG39" s="16">
        <f ca="1">(L39-'Airfoil 1'!$Z$76)/ABS(L39-'Airfoil 1'!$Z$76)</f>
        <v>-1</v>
      </c>
      <c r="CH39" s="16">
        <f ca="1">(L39-'Airfoil 1'!$Z$77)/ABS(L39-'Airfoil 1'!$Z$77)</f>
        <v>-1</v>
      </c>
      <c r="CI39" s="16">
        <f ca="1">(L39-'Airfoil 1'!$Z$78)/ABS(L39-'Airfoil 1'!$Z$78)</f>
        <v>-1</v>
      </c>
      <c r="CJ39" s="16">
        <f ca="1">(L39-'Airfoil 1'!$Z$79)/ABS(L39-'Airfoil 1'!$Z$79)</f>
        <v>-1</v>
      </c>
      <c r="CK39" s="16">
        <f ca="1">(L39-'Airfoil 1'!$Z$80)/ABS(L39-'Airfoil 1'!$Z$80)</f>
        <v>-1</v>
      </c>
      <c r="CL39" s="16">
        <f ca="1">(L39-'Airfoil 1'!$Z$81)/ABS(L39-'Airfoil 1'!$Z$81)</f>
        <v>-1</v>
      </c>
      <c r="CM39" s="16">
        <f ca="1">(L39-'Airfoil 1'!$Z$82)/ABS(L39-'Airfoil 1'!$Z$82)</f>
        <v>-1</v>
      </c>
      <c r="CN39" s="16">
        <f ca="1">(L39-'Airfoil 1'!$Z$83)/ABS(L39-'Airfoil 1'!$Z$83)</f>
        <v>-1</v>
      </c>
      <c r="CO39" s="16">
        <f ca="1">(L39-'Airfoil 1'!$Z$84)/ABS(L39-'Airfoil 1'!$Z$84)</f>
        <v>-1</v>
      </c>
      <c r="CP39" s="16">
        <f ca="1">(L39-'Airfoil 1'!$Z$85)/ABS(L39-'Airfoil 1'!$Z$85)</f>
        <v>-1</v>
      </c>
      <c r="CQ39" s="16">
        <f ca="1">(L39-'Airfoil 1'!$Z$86)/ABS(L39-'Airfoil 1'!$Z$86)</f>
        <v>-1</v>
      </c>
      <c r="CR39" s="16">
        <f ca="1">(L39-'Airfoil 1'!$Z$87)/ABS(L39-'Airfoil 1'!$Z$87)</f>
        <v>-1</v>
      </c>
      <c r="CS39" s="16">
        <f ca="1">(L39-'Airfoil 1'!$Z$88)/ABS(L39-'Airfoil 1'!$Z$88)</f>
        <v>-1</v>
      </c>
      <c r="CT39" s="16">
        <f ca="1">(L39-'Airfoil 1'!$Z$89)/ABS(L39-'Airfoil 1'!$Z$89)</f>
        <v>-1</v>
      </c>
      <c r="CU39" s="16">
        <f ca="1">(L39-'Airfoil 1'!$Z$90)/ABS(L39-'Airfoil 1'!$Z$90)</f>
        <v>-1</v>
      </c>
      <c r="CV39" s="16">
        <f ca="1">(L39-'Airfoil 1'!$Z$91)/ABS(L39-'Airfoil 1'!$Z$91)</f>
        <v>-1</v>
      </c>
      <c r="CW39" s="5">
        <f t="shared" ca="1" si="10"/>
        <v>4</v>
      </c>
      <c r="CX39" s="42">
        <f ca="1">INDEX('Airfoil 1'!$AA$72:$AA$91,CW39,1)+INDEX('Airfoil 1'!$AB$72:$AB$91,CW39,1)*(L39-INDEX('Airfoil 1'!$Z$72:$Z$91,CW39,1))</f>
        <v>1.1110331491712706E-2</v>
      </c>
    </row>
    <row r="40" spans="2:102">
      <c r="B40" s="31">
        <f>Main!B40</f>
        <v>0.33333333333333326</v>
      </c>
      <c r="D40" s="1">
        <f>'RC'!F40</f>
        <v>0.65969672852566186</v>
      </c>
      <c r="E40" s="4">
        <f>ISA!$R$10</f>
        <v>1.5987591530356481E-5</v>
      </c>
      <c r="G40" s="13">
        <f ca="1">'RC'!X40</f>
        <v>19.43145462796252</v>
      </c>
      <c r="H40" s="5">
        <f t="shared" ca="1" si="0"/>
        <v>267267.00358466222</v>
      </c>
      <c r="I40" s="16">
        <f ca="1">'Airfoil 2'!$K$14*H40^'Airfoil 2'!$L$13</f>
        <v>1.5769678081974443</v>
      </c>
      <c r="J40" s="1">
        <f ca="1">'Airfoil 2'!$K$33*H40^'Airfoil 2'!$L$32</f>
        <v>5.5114164675134036</v>
      </c>
      <c r="K40" s="13">
        <f ca="1">'Airfoil 2'!$K$52*H40^'Airfoil 2'!$L$51</f>
        <v>-7.6542820697355989</v>
      </c>
      <c r="L40" s="16">
        <f ca="1">'Aerodynamics-RC'!W40</f>
        <v>0.9</v>
      </c>
      <c r="M40" s="10">
        <f ca="1">('Airfoil 1'!$B$21+'Airfoil 1'!$B$22*L40+'Airfoil 1'!$B$23*L40^2+'Airfoil 1'!$B$24*L40^3+'Airfoil 1'!$B$25*L40^4+'Airfoil 1'!$B$26*L40^5+'Airfoil 1'!$B$27*L40^6)*0+BD40</f>
        <v>2.4489313868613138E-2</v>
      </c>
      <c r="N40" s="42">
        <f ca="1">('Airfoil 1'!$B$29+'Airfoil 1'!$B$30*L40+'Airfoil 1'!$B$31*L40^2+'Airfoil 1'!$B$32*L40^3+'Airfoil 1'!$B$33*L40^4+'Airfoil 1'!$B$34*L40^5+'Airfoil 1'!$B$35*L40^6)*0+CA40</f>
        <v>1.7370857855361597E-2</v>
      </c>
      <c r="O40" s="42">
        <f ca="1">('Airfoil 1'!$B$37+'Airfoil 1'!$B$38*L40+'Airfoil 1'!$B$39*L40^2+'Airfoil 1'!$B$40*L40^3+'Airfoil 1'!$B$41*L40^4+'Airfoil 1'!$B$42*L40^5+'Airfoil 1'!$B$43*L40^6)*0+CX40</f>
        <v>1.1110331491712706E-2</v>
      </c>
      <c r="P40" s="16">
        <f>LOG('Airfoil 1'!$F$10)+LOG('Airfoil 1'!$G$10)+LOG('Airfoil 1'!$H$10)</f>
        <v>15.176091259055681</v>
      </c>
      <c r="Q40" s="16">
        <f t="shared" ca="1" si="1"/>
        <v>-5.3254750991929125</v>
      </c>
      <c r="R40" s="16">
        <f>LOG('Airfoil 1'!$F$10)^2+LOG('Airfoil 1'!$G$10)^2+LOG('Airfoil 1'!$H$10)^2</f>
        <v>76.867141336751558</v>
      </c>
      <c r="S40" s="16">
        <f ca="1">LOG('Airfoil 1'!$F$10)*LOG(M40)+LOG('Airfoil 1'!$G$10)*LOG(N40)+LOG('Airfoil 1'!$H$10)*LOG(O40)</f>
        <v>-27.014391057528009</v>
      </c>
      <c r="T40" s="16">
        <f t="shared" ca="1" si="2"/>
        <v>141.60346469083578</v>
      </c>
      <c r="U40" s="16">
        <f t="shared" ca="1" si="3"/>
        <v>-0.77613507568957385</v>
      </c>
      <c r="V40" s="42">
        <f ca="1">IF(Energy!$F$11=1,Energy!$T$13,1)*T40*H40^U40</f>
        <v>9.5809779772339891E-3</v>
      </c>
      <c r="W40" s="10">
        <f ca="1">'Airfoil 1'!$B$48+'Airfoil 1'!$B$49*L40+'Airfoil 1'!$B$50*L40^2+'Airfoil 1'!$B$51*L40^3+'Airfoil 1'!$B$52*L40^4+'Airfoil 1'!$B$53*L40^5+'Airfoil 1'!$B$54*L40^6</f>
        <v>-0.155</v>
      </c>
      <c r="X40" s="42">
        <f ca="1">'Airfoil 1'!$B$56+'Airfoil 1'!$B$57*L40+'Airfoil 1'!$B$58*L40^2+'Airfoil 1'!$B$59*L40^3+'Airfoil 1'!$B$60*L40^4+'Airfoil 1'!$B$61*L40^5+'Airfoil 1'!$B$62*L40^6</f>
        <v>-0.155</v>
      </c>
      <c r="Y40" s="42">
        <f ca="1">'Airfoil 1'!$B$64+'Airfoil 1'!$B$65*L40+'Airfoil 1'!$B$66*L40^2+'Airfoil 1'!$B$67*L40^3+'Airfoil 1'!$B$681*L40^4+'Airfoil 1'!$B$69*L40^5+'Airfoil 1'!$B$70*L40^6</f>
        <v>-0.155</v>
      </c>
      <c r="Z40" s="16">
        <f>LOG('Airfoil 1'!$F$10)+LOG('Airfoil 1'!$G$10)+LOG('Airfoil 1'!$H$10)</f>
        <v>15.176091259055681</v>
      </c>
      <c r="AA40" s="16">
        <f t="shared" ca="1" si="4"/>
        <v>-2.4290049054891254</v>
      </c>
      <c r="AB40" s="16">
        <f>LOG('Airfoil 1'!$F$10)^2+LOG('Airfoil 1'!$G$10)^2+LOG('Airfoil 1'!$H$10)^2</f>
        <v>76.867141336751558</v>
      </c>
      <c r="AC40" s="16">
        <f ca="1">LOG('Airfoil 1'!$F$10)*LOG(ABS(W40))+LOG('Airfoil 1'!$G$10)*LOG(ABS(X40))+LOG('Airfoil 1'!$H$10)*LOG(ABS(Y40))</f>
        <v>-12.287600038132297</v>
      </c>
      <c r="AD40" s="16">
        <f t="shared" ca="1" si="5"/>
        <v>0.1550000000000121</v>
      </c>
      <c r="AE40" s="16">
        <f t="shared" ca="1" si="6"/>
        <v>-6.6718325633022456E-15</v>
      </c>
      <c r="AF40" s="42">
        <f t="shared" ca="1" si="7"/>
        <v>-0.15499999999999919</v>
      </c>
      <c r="AG40" s="16"/>
      <c r="AH40" s="42"/>
      <c r="AI40" s="16">
        <f ca="1">(L40-'Airfoil 1'!$Z$22)/ABS(L40-'Airfoil 1'!$Z$22)</f>
        <v>1</v>
      </c>
      <c r="AJ40" s="16">
        <f ca="1">(L40-'Airfoil 1'!$Z$23)/ABS(L40-'Airfoil 1'!$Z$23)</f>
        <v>1</v>
      </c>
      <c r="AK40" s="16">
        <f ca="1">(L40-'Airfoil 1'!$Z$24)/ABS(L40-'Airfoil 1'!$Z$24)</f>
        <v>1</v>
      </c>
      <c r="AL40" s="16">
        <f ca="1">(L40-'Airfoil 1'!$Z$25)/ABS(L40-'Airfoil 1'!$Z$25)</f>
        <v>1</v>
      </c>
      <c r="AM40" s="16">
        <f ca="1">(L40-'Airfoil 1'!$Z$26)/ABS(L40-'Airfoil 1'!$Z$26)</f>
        <v>1</v>
      </c>
      <c r="AN40" s="16">
        <f ca="1">(L40-'Airfoil 1'!$Z$27)/ABS(L40-'Airfoil 1'!$Z$27)</f>
        <v>1</v>
      </c>
      <c r="AO40" s="16">
        <f ca="1">(L40-'Airfoil 1'!$Z$28)/ABS(L40-'Airfoil 1'!$Z$28)</f>
        <v>1</v>
      </c>
      <c r="AP40" s="16">
        <f ca="1">(L40-'Airfoil 1'!$Z$29)/ABS(L40-'Airfoil 1'!$Z$29)</f>
        <v>-1</v>
      </c>
      <c r="AQ40" s="16">
        <f ca="1">(L40-'Airfoil 1'!$Z$30)/ABS(L40-'Airfoil 1'!$Z$30)</f>
        <v>-1</v>
      </c>
      <c r="AR40" s="16">
        <f ca="1">(L40-'Airfoil 1'!$Z$31)/ABS(L40-'Airfoil 1'!$Z$31)</f>
        <v>-1</v>
      </c>
      <c r="AS40" s="16">
        <f ca="1">(L40-'Airfoil 1'!$Z$32)/ABS(L40-'Airfoil 1'!$Z$32)</f>
        <v>-1</v>
      </c>
      <c r="AT40" s="16">
        <f ca="1">(L40-'Airfoil 1'!$Z$33)/ABS(L40-'Airfoil 1'!$Z$33)</f>
        <v>-1</v>
      </c>
      <c r="AU40" s="16">
        <f ca="1">(L40-'Airfoil 1'!$Z$34)/ABS(L40-'Airfoil 1'!$Z$34)</f>
        <v>-1</v>
      </c>
      <c r="AV40" s="16">
        <f ca="1">(L40-'Airfoil 1'!$Z$35)/ABS(L40-'Airfoil 1'!$Z$35)</f>
        <v>-1</v>
      </c>
      <c r="AW40" s="16">
        <f ca="1">(L40-'Airfoil 1'!$Z$36)/ABS(L40-'Airfoil 1'!$Z$36)</f>
        <v>-1</v>
      </c>
      <c r="AX40" s="16">
        <f ca="1">(L40-'Airfoil 1'!$Z$37)/ABS(L40-'Airfoil 1'!$Z$37)</f>
        <v>-1</v>
      </c>
      <c r="AY40" s="16">
        <f ca="1">(L40-'Airfoil 1'!$Z$38)/ABS(L40-'Airfoil 1'!$Z$38)</f>
        <v>-1</v>
      </c>
      <c r="AZ40" s="16">
        <f ca="1">(L40-'Airfoil 1'!$Z$39)/ABS(L40-'Airfoil 1'!$Z$39)</f>
        <v>-1</v>
      </c>
      <c r="BA40" s="16">
        <f ca="1">(L40-'Airfoil 1'!$Z$40)/ABS(L40-'Airfoil 1'!$Z$40)</f>
        <v>-1</v>
      </c>
      <c r="BB40" s="16">
        <f ca="1">(L40-'Airfoil 1'!$Z$41)/ABS(L40-'Airfoil 1'!$Z$41)</f>
        <v>-1</v>
      </c>
      <c r="BC40" s="5">
        <f t="shared" ca="1" si="8"/>
        <v>7</v>
      </c>
      <c r="BD40" s="42">
        <f ca="1">INDEX('Airfoil 1'!$AA$22:$AA$41,BC40,1)+INDEX('Airfoil 1'!$AB$22:$AB$41,BC40,1)*(L40-INDEX('Airfoil 1'!$Z$22:$Z$41,BC40,1))</f>
        <v>2.4489313868613138E-2</v>
      </c>
      <c r="BE40" s="6"/>
      <c r="BF40" s="16">
        <f ca="1">(L40-'Airfoil 1'!$Z$47)/ABS(L40-'Airfoil 1'!$Z$47)</f>
        <v>1</v>
      </c>
      <c r="BG40" s="16">
        <f ca="1">(L40-'Airfoil 1'!$Z$48)/ABS(L40-'Airfoil 1'!$Z$48)</f>
        <v>1</v>
      </c>
      <c r="BH40" s="16">
        <f ca="1">(L40-'Airfoil 1'!$Z$49)/ABS(L40-'Airfoil 1'!$Z$49)</f>
        <v>1</v>
      </c>
      <c r="BI40" s="16">
        <f ca="1">(L40-'Airfoil 1'!$Z$50)/ABS(L40-'Airfoil 1'!$Z$50)</f>
        <v>1</v>
      </c>
      <c r="BJ40" s="16">
        <f ca="1">(L40-'Airfoil 1'!$Z$51)/ABS(L40-'Airfoil 1'!$Z$51)</f>
        <v>1</v>
      </c>
      <c r="BK40" s="16">
        <f ca="1">(L40-'Airfoil 1'!$Z$52)/ABS(L40-'Airfoil 1'!$Z$52)</f>
        <v>1</v>
      </c>
      <c r="BL40" s="16">
        <f ca="1">(L40-'Airfoil 1'!$Z$53)/ABS(L40-'Airfoil 1'!$Z$53)</f>
        <v>-1</v>
      </c>
      <c r="BM40" s="16">
        <f ca="1">(L40-'Airfoil 1'!$Z$54)/ABS(L40-'Airfoil 1'!$Z$54)</f>
        <v>-1</v>
      </c>
      <c r="BN40" s="16">
        <f ca="1">(L40-'Airfoil 1'!$Z$55)/ABS(L40-'Airfoil 1'!$Z$55)</f>
        <v>-1</v>
      </c>
      <c r="BO40" s="16">
        <f ca="1">(L40-'Airfoil 1'!$Z$56)/ABS(L40-'Airfoil 1'!$Z$56)</f>
        <v>-1</v>
      </c>
      <c r="BP40" s="16">
        <f ca="1">(L40-'Airfoil 1'!$Z$57)/ABS(L40-'Airfoil 1'!$Z$57)</f>
        <v>-1</v>
      </c>
      <c r="BQ40" s="16">
        <f ca="1">(L40-'Airfoil 1'!$Z$58)/ABS(L40-'Airfoil 1'!$Z$58)</f>
        <v>-1</v>
      </c>
      <c r="BR40" s="16">
        <f ca="1">(L40-'Airfoil 1'!$Z$59)/ABS(L40-'Airfoil 1'!$Z$59)</f>
        <v>-1</v>
      </c>
      <c r="BS40" s="16">
        <f ca="1">(L40-'Airfoil 1'!$Z$60)/ABS(L40-'Airfoil 1'!$Z$60)</f>
        <v>-1</v>
      </c>
      <c r="BT40" s="16">
        <f ca="1">(L40-'Airfoil 1'!$Z$61)/ABS(L40-'Airfoil 1'!$Z$61)</f>
        <v>-1</v>
      </c>
      <c r="BU40" s="16">
        <f ca="1">(L40-'Airfoil 1'!$Z$62)/ABS(L40-'Airfoil 1'!$Z$62)</f>
        <v>-1</v>
      </c>
      <c r="BV40" s="16">
        <f ca="1">(L40-'Airfoil 1'!$Z$63)/ABS(L40-'Airfoil 1'!$Z$63)</f>
        <v>-1</v>
      </c>
      <c r="BW40" s="16">
        <f ca="1">(L40-'Airfoil 1'!$Z$64)/ABS(L40-'Airfoil 1'!$Z$64)</f>
        <v>-1</v>
      </c>
      <c r="BX40" s="16">
        <f ca="1">(L40-'Airfoil 1'!$Z$65)/ABS(L40-'Airfoil 1'!$Z$65)</f>
        <v>-1</v>
      </c>
      <c r="BY40" s="16">
        <f ca="1">(L40-'Airfoil 1'!$Z$66)/ABS(L40-'Airfoil 1'!$Z$66)</f>
        <v>-1</v>
      </c>
      <c r="BZ40" s="5">
        <f t="shared" ca="1" si="9"/>
        <v>6</v>
      </c>
      <c r="CA40" s="42">
        <f ca="1">INDEX('Airfoil 1'!$AA$47:$AA$66,BZ40,1)+INDEX('Airfoil 1'!$AB$47:$AB$66,BZ40,1)*(L40-INDEX('Airfoil 1'!$Z$47:$Z$66,BZ40,1))</f>
        <v>1.7370857855361597E-2</v>
      </c>
      <c r="CC40" s="16">
        <f ca="1">(L40-'Airfoil 1'!$Z$72)/ABS(L40-'Airfoil 1'!$Z$72)</f>
        <v>1</v>
      </c>
      <c r="CD40" s="16">
        <f ca="1">(L40-'Airfoil 1'!$Z$73)/ABS(L40-'Airfoil 1'!$Z$73)</f>
        <v>1</v>
      </c>
      <c r="CE40" s="16">
        <f ca="1">(L40-'Airfoil 1'!$Z$74)/ABS(L40-'Airfoil 1'!$Z$74)</f>
        <v>1</v>
      </c>
      <c r="CF40" s="16">
        <f ca="1">(L40-'Airfoil 1'!$Z$75)/ABS(L40-'Airfoil 1'!$Z$75)</f>
        <v>1</v>
      </c>
      <c r="CG40" s="16">
        <f ca="1">(L40-'Airfoil 1'!$Z$76)/ABS(L40-'Airfoil 1'!$Z$76)</f>
        <v>-1</v>
      </c>
      <c r="CH40" s="16">
        <f ca="1">(L40-'Airfoil 1'!$Z$77)/ABS(L40-'Airfoil 1'!$Z$77)</f>
        <v>-1</v>
      </c>
      <c r="CI40" s="16">
        <f ca="1">(L40-'Airfoil 1'!$Z$78)/ABS(L40-'Airfoil 1'!$Z$78)</f>
        <v>-1</v>
      </c>
      <c r="CJ40" s="16">
        <f ca="1">(L40-'Airfoil 1'!$Z$79)/ABS(L40-'Airfoil 1'!$Z$79)</f>
        <v>-1</v>
      </c>
      <c r="CK40" s="16">
        <f ca="1">(L40-'Airfoil 1'!$Z$80)/ABS(L40-'Airfoil 1'!$Z$80)</f>
        <v>-1</v>
      </c>
      <c r="CL40" s="16">
        <f ca="1">(L40-'Airfoil 1'!$Z$81)/ABS(L40-'Airfoil 1'!$Z$81)</f>
        <v>-1</v>
      </c>
      <c r="CM40" s="16">
        <f ca="1">(L40-'Airfoil 1'!$Z$82)/ABS(L40-'Airfoil 1'!$Z$82)</f>
        <v>-1</v>
      </c>
      <c r="CN40" s="16">
        <f ca="1">(L40-'Airfoil 1'!$Z$83)/ABS(L40-'Airfoil 1'!$Z$83)</f>
        <v>-1</v>
      </c>
      <c r="CO40" s="16">
        <f ca="1">(L40-'Airfoil 1'!$Z$84)/ABS(L40-'Airfoil 1'!$Z$84)</f>
        <v>-1</v>
      </c>
      <c r="CP40" s="16">
        <f ca="1">(L40-'Airfoil 1'!$Z$85)/ABS(L40-'Airfoil 1'!$Z$85)</f>
        <v>-1</v>
      </c>
      <c r="CQ40" s="16">
        <f ca="1">(L40-'Airfoil 1'!$Z$86)/ABS(L40-'Airfoil 1'!$Z$86)</f>
        <v>-1</v>
      </c>
      <c r="CR40" s="16">
        <f ca="1">(L40-'Airfoil 1'!$Z$87)/ABS(L40-'Airfoil 1'!$Z$87)</f>
        <v>-1</v>
      </c>
      <c r="CS40" s="16">
        <f ca="1">(L40-'Airfoil 1'!$Z$88)/ABS(L40-'Airfoil 1'!$Z$88)</f>
        <v>-1</v>
      </c>
      <c r="CT40" s="16">
        <f ca="1">(L40-'Airfoil 1'!$Z$89)/ABS(L40-'Airfoil 1'!$Z$89)</f>
        <v>-1</v>
      </c>
      <c r="CU40" s="16">
        <f ca="1">(L40-'Airfoil 1'!$Z$90)/ABS(L40-'Airfoil 1'!$Z$90)</f>
        <v>-1</v>
      </c>
      <c r="CV40" s="16">
        <f ca="1">(L40-'Airfoil 1'!$Z$91)/ABS(L40-'Airfoil 1'!$Z$91)</f>
        <v>-1</v>
      </c>
      <c r="CW40" s="5">
        <f t="shared" ca="1" si="10"/>
        <v>4</v>
      </c>
      <c r="CX40" s="42">
        <f ca="1">INDEX('Airfoil 1'!$AA$72:$AA$91,CW40,1)+INDEX('Airfoil 1'!$AB$72:$AB$91,CW40,1)*(L40-INDEX('Airfoil 1'!$Z$72:$Z$91,CW40,1))</f>
        <v>1.1110331491712706E-2</v>
      </c>
    </row>
    <row r="41" spans="2:102"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</row>
    <row r="42" spans="2:102">
      <c r="D42" s="4"/>
    </row>
    <row r="44" spans="2:102">
      <c r="I44" s="14"/>
      <c r="M44" s="1"/>
      <c r="N44" s="1"/>
      <c r="O44" s="1"/>
      <c r="P44" s="1"/>
    </row>
    <row r="45" spans="2:102">
      <c r="I45" s="14"/>
    </row>
    <row r="46" spans="2:102">
      <c r="I46" s="14"/>
    </row>
    <row r="47" spans="2:102">
      <c r="I47" s="14"/>
    </row>
    <row r="48" spans="2:102">
      <c r="I48" s="14"/>
    </row>
    <row r="49" spans="9:9">
      <c r="I49" s="14"/>
    </row>
    <row r="50" spans="9:9">
      <c r="I50" s="14"/>
    </row>
    <row r="51" spans="9:9">
      <c r="I51" s="14"/>
    </row>
    <row r="52" spans="9:9">
      <c r="I52" s="14"/>
    </row>
    <row r="53" spans="9:9">
      <c r="I53" s="14"/>
    </row>
    <row r="54" spans="9:9">
      <c r="I54" s="14"/>
    </row>
    <row r="55" spans="9:9">
      <c r="I55" s="14"/>
    </row>
    <row r="56" spans="9:9">
      <c r="I56" s="14"/>
    </row>
    <row r="57" spans="9:9">
      <c r="I57" s="14"/>
    </row>
    <row r="58" spans="9:9">
      <c r="I58" s="14"/>
    </row>
    <row r="59" spans="9:9">
      <c r="I59" s="14"/>
    </row>
    <row r="60" spans="9:9">
      <c r="I60" s="14"/>
    </row>
    <row r="61" spans="9:9">
      <c r="I61" s="14"/>
    </row>
    <row r="62" spans="9:9">
      <c r="I62" s="14"/>
    </row>
    <row r="63" spans="9:9">
      <c r="I63" s="14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CX63"/>
  <sheetViews>
    <sheetView zoomScale="90" workbookViewId="0">
      <selection activeCell="M21" sqref="M21:O40"/>
    </sheetView>
  </sheetViews>
  <sheetFormatPr defaultRowHeight="12.75"/>
  <cols>
    <col min="42" max="42" width="9.42578125" customWidth="1"/>
  </cols>
  <sheetData>
    <row r="1" spans="1:69">
      <c r="A1" s="17" t="s">
        <v>437</v>
      </c>
    </row>
    <row r="3" spans="1:69">
      <c r="A3" t="s">
        <v>270</v>
      </c>
      <c r="C3" s="6"/>
      <c r="D3" s="6"/>
      <c r="E3" s="6"/>
    </row>
    <row r="4" spans="1:69">
      <c r="A4" s="17"/>
      <c r="C4" s="6"/>
      <c r="D4" s="6"/>
      <c r="E4" s="6"/>
    </row>
    <row r="5" spans="1:69">
      <c r="A5" s="17"/>
      <c r="C5" s="6"/>
      <c r="D5" s="6"/>
      <c r="E5" s="6"/>
      <c r="F5" s="6"/>
      <c r="G5" s="6"/>
      <c r="H5" s="6"/>
    </row>
    <row r="6" spans="1:69">
      <c r="A6" s="17"/>
      <c r="C6" s="67"/>
      <c r="D6" s="16"/>
      <c r="E6" s="16"/>
      <c r="F6" s="6"/>
      <c r="G6" s="16"/>
      <c r="H6" s="6"/>
    </row>
    <row r="7" spans="1:69">
      <c r="A7" s="17"/>
      <c r="C7" s="6"/>
      <c r="D7" s="6"/>
      <c r="E7" s="6"/>
    </row>
    <row r="8" spans="1:69">
      <c r="A8" s="17"/>
    </row>
    <row r="9" spans="1:69">
      <c r="A9" s="17"/>
    </row>
    <row r="15" spans="1:69">
      <c r="B15" t="s">
        <v>279</v>
      </c>
      <c r="D15" t="s">
        <v>273</v>
      </c>
      <c r="G15" t="s">
        <v>278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</row>
    <row r="16" spans="1:69"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42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</row>
    <row r="17" spans="2:102"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</row>
    <row r="18" spans="2:102" ht="14.25">
      <c r="B18" s="9" t="s">
        <v>281</v>
      </c>
      <c r="D18" s="9" t="s">
        <v>29</v>
      </c>
      <c r="E18" s="9" t="s">
        <v>31</v>
      </c>
      <c r="G18" s="9" t="s">
        <v>40</v>
      </c>
      <c r="H18" s="9" t="s">
        <v>50</v>
      </c>
      <c r="I18" s="9" t="s">
        <v>335</v>
      </c>
      <c r="J18" s="9" t="s">
        <v>163</v>
      </c>
      <c r="K18" s="47" t="s">
        <v>336</v>
      </c>
      <c r="L18" s="9" t="s">
        <v>52</v>
      </c>
      <c r="M18" s="9" t="s">
        <v>337</v>
      </c>
      <c r="N18" s="23" t="s">
        <v>338</v>
      </c>
      <c r="O18" s="23" t="s">
        <v>339</v>
      </c>
      <c r="P18" s="23" t="s">
        <v>348</v>
      </c>
      <c r="Q18" s="23" t="s">
        <v>349</v>
      </c>
      <c r="R18" s="23" t="s">
        <v>350</v>
      </c>
      <c r="S18" s="9" t="s">
        <v>351</v>
      </c>
      <c r="T18" s="23" t="s">
        <v>100</v>
      </c>
      <c r="U18" s="23" t="s">
        <v>361</v>
      </c>
      <c r="V18" s="23" t="s">
        <v>366</v>
      </c>
      <c r="W18" s="9" t="s">
        <v>387</v>
      </c>
      <c r="X18" s="23" t="s">
        <v>388</v>
      </c>
      <c r="Y18" s="23" t="s">
        <v>389</v>
      </c>
      <c r="Z18" s="23" t="s">
        <v>348</v>
      </c>
      <c r="AA18" s="23" t="s">
        <v>349</v>
      </c>
      <c r="AB18" s="23" t="s">
        <v>350</v>
      </c>
      <c r="AC18" s="9" t="s">
        <v>351</v>
      </c>
      <c r="AD18" s="23" t="s">
        <v>100</v>
      </c>
      <c r="AE18" s="23" t="s">
        <v>361</v>
      </c>
      <c r="AF18" s="23" t="s">
        <v>53</v>
      </c>
      <c r="AG18" s="23"/>
      <c r="AH18" s="23"/>
      <c r="AI18" s="68" t="s">
        <v>792</v>
      </c>
      <c r="AJ18" s="23"/>
      <c r="AK18" s="68"/>
      <c r="AL18" s="68"/>
      <c r="AM18" s="68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68" t="s">
        <v>795</v>
      </c>
      <c r="BD18" s="68" t="s">
        <v>337</v>
      </c>
      <c r="BE18" s="6"/>
      <c r="BF18" s="68" t="s">
        <v>793</v>
      </c>
      <c r="BG18" s="23"/>
      <c r="BH18" s="68"/>
      <c r="BI18" s="68"/>
      <c r="BJ18" s="68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68" t="s">
        <v>794</v>
      </c>
      <c r="CA18" s="68" t="s">
        <v>338</v>
      </c>
      <c r="CC18" s="68" t="s">
        <v>796</v>
      </c>
      <c r="CD18" s="23"/>
      <c r="CE18" s="68"/>
      <c r="CF18" s="68"/>
      <c r="CG18" s="68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68" t="s">
        <v>797</v>
      </c>
      <c r="CX18" s="68" t="s">
        <v>339</v>
      </c>
    </row>
    <row r="19" spans="2:102">
      <c r="B19" s="9" t="s">
        <v>4</v>
      </c>
      <c r="D19" s="9" t="s">
        <v>30</v>
      </c>
      <c r="E19" s="9" t="s">
        <v>2</v>
      </c>
      <c r="G19" s="9" t="s">
        <v>1</v>
      </c>
      <c r="H19" s="9"/>
      <c r="I19" s="9"/>
      <c r="J19" s="9" t="s">
        <v>364</v>
      </c>
      <c r="K19" s="9" t="s">
        <v>303</v>
      </c>
      <c r="L19" s="9"/>
      <c r="N19" s="23"/>
      <c r="O19" s="23"/>
      <c r="P19" s="23" t="s">
        <v>352</v>
      </c>
      <c r="Q19" s="23" t="s">
        <v>365</v>
      </c>
      <c r="R19" s="6"/>
      <c r="T19" s="23"/>
      <c r="U19" s="23"/>
      <c r="V19" s="6"/>
      <c r="X19" s="23"/>
      <c r="Y19" s="23"/>
      <c r="Z19" s="23" t="s">
        <v>352</v>
      </c>
      <c r="AA19" s="23" t="s">
        <v>390</v>
      </c>
      <c r="AB19" s="6"/>
      <c r="AD19" s="23"/>
      <c r="AE19" s="23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23"/>
      <c r="BA19" s="23"/>
      <c r="BB19" s="23"/>
      <c r="BC19" s="23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23"/>
      <c r="BX19" s="23"/>
      <c r="BY19" s="23"/>
      <c r="BZ19" s="23"/>
      <c r="CA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23"/>
      <c r="CU19" s="23"/>
      <c r="CV19" s="23"/>
      <c r="CW19" s="23"/>
      <c r="CX19" s="6"/>
    </row>
    <row r="20" spans="2:102">
      <c r="N20" s="6"/>
      <c r="O20" s="6"/>
      <c r="P20" s="6"/>
      <c r="Q20" s="6"/>
      <c r="R20" s="6"/>
      <c r="S20" s="6"/>
      <c r="T20" s="6"/>
      <c r="U20" s="6"/>
      <c r="V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</row>
    <row r="21" spans="2:102">
      <c r="B21" s="31">
        <f>Main!B21</f>
        <v>0.33333333333333326</v>
      </c>
      <c r="D21" s="1">
        <f>Turn!F21</f>
        <v>0.65969672852566186</v>
      </c>
      <c r="E21" s="4">
        <f>ISA!$R$10</f>
        <v>1.5987591530356481E-5</v>
      </c>
      <c r="G21" s="13">
        <f ca="1">Turn!X21</f>
        <v>29.912886947201152</v>
      </c>
      <c r="H21" s="5">
        <f t="shared" ref="H21:H40" ca="1" si="0">D21*G21*B21/E21</f>
        <v>411432.27905545081</v>
      </c>
      <c r="I21" s="16">
        <f ca="1">'Airfoil 2'!$K$14*H21^'Airfoil 2'!$L$13</f>
        <v>1.5864532889565299</v>
      </c>
      <c r="J21" s="1">
        <f ca="1">'Airfoil 2'!$K$33*H21^'Airfoil 2'!$L$32</f>
        <v>4.7670310826758584</v>
      </c>
      <c r="K21" s="13">
        <f ca="1">'Airfoil 2'!$K$52*H21^'Airfoil 2'!$L$51</f>
        <v>-10.214023780871239</v>
      </c>
      <c r="L21" s="16">
        <f ca="1">'Aerodynamics-Turn'!W21</f>
        <v>1.0392304845413263</v>
      </c>
      <c r="M21" s="10">
        <f ca="1">('Airfoil 1'!$B$21+'Airfoil 1'!$B$22*L21+'Airfoil 1'!$B$23*L21^2+'Airfoil 1'!$B$24*L21^3+'Airfoil 1'!$B$25*L21^4+'Airfoil 1'!$B$26*L21^5+'Airfoil 1'!$B$27*L21^6)*0+BD21</f>
        <v>2.5062216230928001E-2</v>
      </c>
      <c r="N21" s="42">
        <f ca="1">('Airfoil 1'!$B$29+'Airfoil 1'!$B$30*L21+'Airfoil 1'!$B$31*L21^2+'Airfoil 1'!$B$32*L21^3+'Airfoil 1'!$B$33*L21^4+'Airfoil 1'!$B$34*L21^5+'Airfoil 1'!$B$35*L21^6)*0+CA21</f>
        <v>1.8769168637847108E-2</v>
      </c>
      <c r="O21" s="42">
        <f ca="1">('Airfoil 1'!$B$37+'Airfoil 1'!$B$38*L21+'Airfoil 1'!$B$39*L21^2+'Airfoil 1'!$B$40*L21^3+'Airfoil 1'!$B$41*L21^4+'Airfoil 1'!$B$42*L21^5+'Airfoil 1'!$B$43*L21^6)*0+CX21</f>
        <v>1.2282595048042355E-2</v>
      </c>
      <c r="P21" s="16">
        <f>LOG('Airfoil 1'!$F$10)+LOG('Airfoil 1'!$G$10)+LOG('Airfoil 1'!$H$10)</f>
        <v>15.176091259055681</v>
      </c>
      <c r="Q21" s="16">
        <f t="shared" ref="Q21:Q40" ca="1" si="1">LOG(M21)+LOG(N21)+LOG(O21)</f>
        <v>-5.2382453573715591</v>
      </c>
      <c r="R21" s="16">
        <f>LOG('Airfoil 1'!$F$10)^2+LOG('Airfoil 1'!$G$10)^2+LOG('Airfoil 1'!$H$10)^2</f>
        <v>76.867141336751558</v>
      </c>
      <c r="S21" s="16">
        <f ca="1">LOG('Airfoil 1'!$F$10)*LOG(M21)+LOG('Airfoil 1'!$G$10)*LOG(N21)+LOG('Airfoil 1'!$H$10)*LOG(O21)</f>
        <v>-26.566383285240857</v>
      </c>
      <c r="T21" s="16">
        <f t="shared" ref="T21:T40" ca="1" si="2">POWER(10,(S21/R21-Q21/P21)/(P21/R21-3/P21))</f>
        <v>66.780048933841258</v>
      </c>
      <c r="U21" s="16">
        <f t="shared" ref="U21:U40" ca="1" si="3">(Q21-3*LOG(T21))/P21</f>
        <v>-0.70585932657973494</v>
      </c>
      <c r="V21" s="42">
        <f ca="1">IF(Energy!$F$11=1,Energy!$T$13,1)*T21*H21^U21</f>
        <v>8.0190047455820992E-3</v>
      </c>
      <c r="W21" s="10">
        <f ca="1">'Airfoil 1'!$B$48+'Airfoil 1'!$B$49*L21+'Airfoil 1'!$B$50*L21^2+'Airfoil 1'!$B$51*L21^3+'Airfoil 1'!$B$52*L21^4+'Airfoil 1'!$B$53*L21^5+'Airfoil 1'!$B$54*L21^6</f>
        <v>-0.155</v>
      </c>
      <c r="X21" s="42">
        <f ca="1">'Airfoil 1'!$B$56+'Airfoil 1'!$B$57*L21+'Airfoil 1'!$B$58*L21^2+'Airfoil 1'!$B$59*L21^3+'Airfoil 1'!$B$60*L21^4+'Airfoil 1'!$B$61*L21^5+'Airfoil 1'!$B$62*L21^6</f>
        <v>-0.155</v>
      </c>
      <c r="Y21" s="42">
        <f ca="1">'Airfoil 1'!$B$64+'Airfoil 1'!$B$65*L21+'Airfoil 1'!$B$66*L21^2+'Airfoil 1'!$B$67*L21^3+'Airfoil 1'!$B$681*L21^4+'Airfoil 1'!$B$69*L21^5+'Airfoil 1'!$B$70*L21^6</f>
        <v>-0.155</v>
      </c>
      <c r="Z21" s="16">
        <f>LOG('Airfoil 1'!$F$10)+LOG('Airfoil 1'!$G$10)+LOG('Airfoil 1'!$H$10)</f>
        <v>15.176091259055681</v>
      </c>
      <c r="AA21" s="16">
        <f t="shared" ref="AA21:AA40" ca="1" si="4">LOG(ABS(W21))+LOG(ABS(X21))+LOG(ABS(Y21))</f>
        <v>-2.4290049054891254</v>
      </c>
      <c r="AB21" s="16">
        <f>LOG('Airfoil 1'!$F$10)^2+LOG('Airfoil 1'!$G$10)^2+LOG('Airfoil 1'!$H$10)^2</f>
        <v>76.867141336751558</v>
      </c>
      <c r="AC21" s="16">
        <f ca="1">LOG('Airfoil 1'!$F$10)*LOG(ABS(W21))+LOG('Airfoil 1'!$G$10)*LOG(ABS(X21))+LOG('Airfoil 1'!$H$10)*LOG(ABS(Y21))</f>
        <v>-12.287600038132297</v>
      </c>
      <c r="AD21" s="16">
        <f t="shared" ref="AD21:AD40" ca="1" si="5">POWER(10,(AC21/AB21-AA21/Z21)/(Z21/AB21-3/Z21))</f>
        <v>0.1550000000000121</v>
      </c>
      <c r="AE21" s="16">
        <f t="shared" ref="AE21:AE40" ca="1" si="6">(AA21-3*LOG(AD21))/Z21</f>
        <v>-6.6718325633022456E-15</v>
      </c>
      <c r="AF21" s="42">
        <f t="shared" ref="AF21:AF40" ca="1" si="7">W21/ABS(W21)*AD21*H21^AE21</f>
        <v>-0.15499999999999875</v>
      </c>
      <c r="AG21" s="16"/>
      <c r="AH21" s="42"/>
      <c r="AI21" s="16">
        <f ca="1">(L21-'Airfoil 1'!$Z$22)/ABS(L21-'Airfoil 1'!$Z$22)</f>
        <v>1</v>
      </c>
      <c r="AJ21" s="16">
        <f ca="1">(L21-'Airfoil 1'!$Z$23)/ABS(L21-'Airfoil 1'!$Z$23)</f>
        <v>1</v>
      </c>
      <c r="AK21" s="16">
        <f ca="1">(L21-'Airfoil 1'!$Z$24)/ABS(L21-'Airfoil 1'!$Z$24)</f>
        <v>1</v>
      </c>
      <c r="AL21" s="16">
        <f ca="1">(L21-'Airfoil 1'!$Z$25)/ABS(L21-'Airfoil 1'!$Z$25)</f>
        <v>1</v>
      </c>
      <c r="AM21" s="16">
        <f ca="1">(L21-'Airfoil 1'!$Z$26)/ABS(L21-'Airfoil 1'!$Z$26)</f>
        <v>1</v>
      </c>
      <c r="AN21" s="16">
        <f ca="1">(L21-'Airfoil 1'!$Z$27)/ABS(L21-'Airfoil 1'!$Z$27)</f>
        <v>1</v>
      </c>
      <c r="AO21" s="16">
        <f ca="1">(L21-'Airfoil 1'!$Z$28)/ABS(L21-'Airfoil 1'!$Z$28)</f>
        <v>1</v>
      </c>
      <c r="AP21" s="16">
        <f ca="1">(L21-'Airfoil 1'!$Z$29)/ABS(L21-'Airfoil 1'!$Z$29)</f>
        <v>1</v>
      </c>
      <c r="AQ21" s="16">
        <f ca="1">(L21-'Airfoil 1'!$Z$30)/ABS(L21-'Airfoil 1'!$Z$30)</f>
        <v>-1</v>
      </c>
      <c r="AR21" s="16">
        <f ca="1">(L21-'Airfoil 1'!$Z$31)/ABS(L21-'Airfoil 1'!$Z$31)</f>
        <v>-1</v>
      </c>
      <c r="AS21" s="16">
        <f ca="1">(L21-'Airfoil 1'!$Z$32)/ABS(L21-'Airfoil 1'!$Z$32)</f>
        <v>-1</v>
      </c>
      <c r="AT21" s="16">
        <f ca="1">(L21-'Airfoil 1'!$Z$33)/ABS(L21-'Airfoil 1'!$Z$33)</f>
        <v>-1</v>
      </c>
      <c r="AU21" s="16">
        <f ca="1">(L21-'Airfoil 1'!$Z$34)/ABS(L21-'Airfoil 1'!$Z$34)</f>
        <v>-1</v>
      </c>
      <c r="AV21" s="16">
        <f ca="1">(L21-'Airfoil 1'!$Z$35)/ABS(L21-'Airfoil 1'!$Z$35)</f>
        <v>-1</v>
      </c>
      <c r="AW21" s="16">
        <f ca="1">(L21-'Airfoil 1'!$Z$36)/ABS(L21-'Airfoil 1'!$Z$36)</f>
        <v>-1</v>
      </c>
      <c r="AX21" s="16">
        <f ca="1">(L21-'Airfoil 1'!$Z$37)/ABS(L21-'Airfoil 1'!$Z$37)</f>
        <v>-1</v>
      </c>
      <c r="AY21" s="16">
        <f ca="1">(L21-'Airfoil 1'!$Z$38)/ABS(L21-'Airfoil 1'!$Z$38)</f>
        <v>-1</v>
      </c>
      <c r="AZ21" s="16">
        <f ca="1">(L21-'Airfoil 1'!$Z$39)/ABS(L21-'Airfoil 1'!$Z$39)</f>
        <v>-1</v>
      </c>
      <c r="BA21" s="16">
        <f ca="1">(L21-'Airfoil 1'!$Z$40)/ABS(L21-'Airfoil 1'!$Z$40)</f>
        <v>-1</v>
      </c>
      <c r="BB21" s="16">
        <f ca="1">(L21-'Airfoil 1'!$Z$41)/ABS(L21-'Airfoil 1'!$Z$41)</f>
        <v>-1</v>
      </c>
      <c r="BC21" s="5">
        <f ca="1">MAX(1,MATCH(-1,AI21:BB21,0)-1)</f>
        <v>8</v>
      </c>
      <c r="BD21" s="42">
        <f ca="1">INDEX('Airfoil 1'!$AA$22:$AA$41,BC21,1)+INDEX('Airfoil 1'!$AB$22:$AB$41,BC21,1)*(L21-INDEX('Airfoil 1'!$Z$22:$Z$41,BC21,1))</f>
        <v>2.5062216230928001E-2</v>
      </c>
      <c r="BE21" s="6"/>
      <c r="BF21" s="16">
        <f ca="1">(L21-'Airfoil 1'!$Z$47)/ABS(L21-'Airfoil 1'!$Z$47)</f>
        <v>1</v>
      </c>
      <c r="BG21" s="16">
        <f ca="1">(L21-'Airfoil 1'!$Z$48)/ABS(L21-'Airfoil 1'!$Z$48)</f>
        <v>1</v>
      </c>
      <c r="BH21" s="16">
        <f ca="1">(L21-'Airfoil 1'!$Z$49)/ABS(L21-'Airfoil 1'!$Z$49)</f>
        <v>1</v>
      </c>
      <c r="BI21" s="16">
        <f ca="1">(L21-'Airfoil 1'!$Z$50)/ABS(L21-'Airfoil 1'!$Z$50)</f>
        <v>1</v>
      </c>
      <c r="BJ21" s="16">
        <f ca="1">(L21-'Airfoil 1'!$Z$51)/ABS(L21-'Airfoil 1'!$Z$51)</f>
        <v>1</v>
      </c>
      <c r="BK21" s="16">
        <f ca="1">(L21-'Airfoil 1'!$Z$52)/ABS(L21-'Airfoil 1'!$Z$52)</f>
        <v>1</v>
      </c>
      <c r="BL21" s="16">
        <f ca="1">(L21-'Airfoil 1'!$Z$53)/ABS(L21-'Airfoil 1'!$Z$53)</f>
        <v>1</v>
      </c>
      <c r="BM21" s="16">
        <f ca="1">(L21-'Airfoil 1'!$Z$54)/ABS(L21-'Airfoil 1'!$Z$54)</f>
        <v>-1</v>
      </c>
      <c r="BN21" s="16">
        <f ca="1">(L21-'Airfoil 1'!$Z$55)/ABS(L21-'Airfoil 1'!$Z$55)</f>
        <v>-1</v>
      </c>
      <c r="BO21" s="16">
        <f ca="1">(L21-'Airfoil 1'!$Z$56)/ABS(L21-'Airfoil 1'!$Z$56)</f>
        <v>-1</v>
      </c>
      <c r="BP21" s="16">
        <f ca="1">(L21-'Airfoil 1'!$Z$57)/ABS(L21-'Airfoil 1'!$Z$57)</f>
        <v>-1</v>
      </c>
      <c r="BQ21" s="16">
        <f ca="1">(L21-'Airfoil 1'!$Z$58)/ABS(L21-'Airfoil 1'!$Z$58)</f>
        <v>-1</v>
      </c>
      <c r="BR21" s="16">
        <f ca="1">(L21-'Airfoil 1'!$Z$59)/ABS(L21-'Airfoil 1'!$Z$59)</f>
        <v>-1</v>
      </c>
      <c r="BS21" s="16">
        <f ca="1">(L21-'Airfoil 1'!$Z$60)/ABS(L21-'Airfoil 1'!$Z$60)</f>
        <v>-1</v>
      </c>
      <c r="BT21" s="16">
        <f ca="1">(L21-'Airfoil 1'!$Z$61)/ABS(L21-'Airfoil 1'!$Z$61)</f>
        <v>-1</v>
      </c>
      <c r="BU21" s="16">
        <f ca="1">(L21-'Airfoil 1'!$Z$62)/ABS(L21-'Airfoil 1'!$Z$62)</f>
        <v>-1</v>
      </c>
      <c r="BV21" s="16">
        <f ca="1">(L21-'Airfoil 1'!$Z$63)/ABS(L21-'Airfoil 1'!$Z$63)</f>
        <v>-1</v>
      </c>
      <c r="BW21" s="16">
        <f ca="1">(L21-'Airfoil 1'!$Z$64)/ABS(L21-'Airfoil 1'!$Z$64)</f>
        <v>-1</v>
      </c>
      <c r="BX21" s="16">
        <f ca="1">(L21-'Airfoil 1'!$Z$65)/ABS(L21-'Airfoil 1'!$Z$65)</f>
        <v>-1</v>
      </c>
      <c r="BY21" s="16">
        <f ca="1">(L21-'Airfoil 1'!$Z$66)/ABS(L21-'Airfoil 1'!$Z$66)</f>
        <v>-1</v>
      </c>
      <c r="BZ21" s="5">
        <f ca="1">MAX(1,MATCH(-1,BF21:BY21,0)-1)</f>
        <v>7</v>
      </c>
      <c r="CA21" s="42">
        <f ca="1">INDEX('Airfoil 1'!$AA$47:$AA$66,BZ21,1)+INDEX('Airfoil 1'!$AB$47:$AB$66,BZ21,1)*(L21-INDEX('Airfoil 1'!$Z$47:$Z$66,BZ21,1))</f>
        <v>1.8769168637847108E-2</v>
      </c>
      <c r="CC21" s="16">
        <f ca="1">(L21-'Airfoil 1'!$Z$72)/ABS(L21-'Airfoil 1'!$Z$72)</f>
        <v>1</v>
      </c>
      <c r="CD21" s="16">
        <f ca="1">(L21-'Airfoil 1'!$Z$73)/ABS(L21-'Airfoil 1'!$Z$73)</f>
        <v>1</v>
      </c>
      <c r="CE21" s="16">
        <f ca="1">(L21-'Airfoil 1'!$Z$74)/ABS(L21-'Airfoil 1'!$Z$74)</f>
        <v>1</v>
      </c>
      <c r="CF21" s="16">
        <f ca="1">(L21-'Airfoil 1'!$Z$75)/ABS(L21-'Airfoil 1'!$Z$75)</f>
        <v>1</v>
      </c>
      <c r="CG21" s="16">
        <f ca="1">(L21-'Airfoil 1'!$Z$76)/ABS(L21-'Airfoil 1'!$Z$76)</f>
        <v>1</v>
      </c>
      <c r="CH21" s="16">
        <f ca="1">(L21-'Airfoil 1'!$Z$77)/ABS(L21-'Airfoil 1'!$Z$77)</f>
        <v>1</v>
      </c>
      <c r="CI21" s="16">
        <f ca="1">(L21-'Airfoil 1'!$Z$78)/ABS(L21-'Airfoil 1'!$Z$78)</f>
        <v>-1</v>
      </c>
      <c r="CJ21" s="16">
        <f ca="1">(L21-'Airfoil 1'!$Z$79)/ABS(L21-'Airfoil 1'!$Z$79)</f>
        <v>-1</v>
      </c>
      <c r="CK21" s="16">
        <f ca="1">(L21-'Airfoil 1'!$Z$80)/ABS(L21-'Airfoil 1'!$Z$80)</f>
        <v>-1</v>
      </c>
      <c r="CL21" s="16">
        <f ca="1">(L21-'Airfoil 1'!$Z$81)/ABS(L21-'Airfoil 1'!$Z$81)</f>
        <v>-1</v>
      </c>
      <c r="CM21" s="16">
        <f ca="1">(L21-'Airfoil 1'!$Z$82)/ABS(L21-'Airfoil 1'!$Z$82)</f>
        <v>-1</v>
      </c>
      <c r="CN21" s="16">
        <f ca="1">(L21-'Airfoil 1'!$Z$83)/ABS(L21-'Airfoil 1'!$Z$83)</f>
        <v>-1</v>
      </c>
      <c r="CO21" s="16">
        <f ca="1">(L21-'Airfoil 1'!$Z$84)/ABS(L21-'Airfoil 1'!$Z$84)</f>
        <v>-1</v>
      </c>
      <c r="CP21" s="16">
        <f ca="1">(L21-'Airfoil 1'!$Z$85)/ABS(L21-'Airfoil 1'!$Z$85)</f>
        <v>-1</v>
      </c>
      <c r="CQ21" s="16">
        <f ca="1">(L21-'Airfoil 1'!$Z$86)/ABS(L21-'Airfoil 1'!$Z$86)</f>
        <v>-1</v>
      </c>
      <c r="CR21" s="16">
        <f ca="1">(L21-'Airfoil 1'!$Z$87)/ABS(L21-'Airfoil 1'!$Z$87)</f>
        <v>-1</v>
      </c>
      <c r="CS21" s="16">
        <f ca="1">(L21-'Airfoil 1'!$Z$88)/ABS(L21-'Airfoil 1'!$Z$88)</f>
        <v>-1</v>
      </c>
      <c r="CT21" s="16">
        <f ca="1">(L21-'Airfoil 1'!$Z$89)/ABS(L21-'Airfoil 1'!$Z$89)</f>
        <v>-1</v>
      </c>
      <c r="CU21" s="16">
        <f ca="1">(L21-'Airfoil 1'!$Z$90)/ABS(L21-'Airfoil 1'!$Z$90)</f>
        <v>-1</v>
      </c>
      <c r="CV21" s="16">
        <f ca="1">(L21-'Airfoil 1'!$Z$91)/ABS(L21-'Airfoil 1'!$Z$91)</f>
        <v>-1</v>
      </c>
      <c r="CW21" s="5">
        <f ca="1">MAX(1,MATCH(-1,CC21:CV21,0)-1)</f>
        <v>6</v>
      </c>
      <c r="CX21" s="42">
        <f ca="1">INDEX('Airfoil 1'!$AA$72:$AA$91,CW21,1)+INDEX('Airfoil 1'!$AB$72:$AB$91,CW21,1)*(L21-INDEX('Airfoil 1'!$Z$72:$Z$91,CW21,1))</f>
        <v>1.2282595048042355E-2</v>
      </c>
    </row>
    <row r="22" spans="2:102">
      <c r="B22" s="31">
        <f>Main!B22</f>
        <v>0.33333333333333326</v>
      </c>
      <c r="D22" s="1">
        <f>Turn!F22</f>
        <v>0.65969672852566186</v>
      </c>
      <c r="E22" s="4">
        <f>ISA!$R$10</f>
        <v>1.5987591530356481E-5</v>
      </c>
      <c r="G22" s="13">
        <f ca="1">Turn!X22</f>
        <v>29.421519599191594</v>
      </c>
      <c r="H22" s="5">
        <f t="shared" ca="1" si="0"/>
        <v>404673.84118879342</v>
      </c>
      <c r="I22" s="16">
        <f ca="1">'Airfoil 2'!$K$14*H22^'Airfoil 2'!$L$13</f>
        <v>1.5860880524618357</v>
      </c>
      <c r="J22" s="1">
        <f ca="1">'Airfoil 2'!$K$33*H22^'Airfoil 2'!$L$32</f>
        <v>4.7936617965003281</v>
      </c>
      <c r="K22" s="13">
        <f ca="1">'Airfoil 2'!$K$52*H22^'Airfoil 2'!$L$51</f>
        <v>-10.101512127327881</v>
      </c>
      <c r="L22" s="16">
        <f ca="1">'Aerodynamics-Turn'!W22</f>
        <v>1.0392304845413263</v>
      </c>
      <c r="M22" s="10">
        <f ca="1">('Airfoil 1'!$B$21+'Airfoil 1'!$B$22*L22+'Airfoil 1'!$B$23*L22^2+'Airfoil 1'!$B$24*L22^3+'Airfoil 1'!$B$25*L22^4+'Airfoil 1'!$B$26*L22^5+'Airfoil 1'!$B$27*L22^6)*0+BD22</f>
        <v>2.5062216230928001E-2</v>
      </c>
      <c r="N22" s="42">
        <f ca="1">('Airfoil 1'!$B$29+'Airfoil 1'!$B$30*L22+'Airfoil 1'!$B$31*L22^2+'Airfoil 1'!$B$32*L22^3+'Airfoil 1'!$B$33*L22^4+'Airfoil 1'!$B$34*L22^5+'Airfoil 1'!$B$35*L22^6)*0+CA22</f>
        <v>1.8769168637847108E-2</v>
      </c>
      <c r="O22" s="42">
        <f ca="1">('Airfoil 1'!$B$37+'Airfoil 1'!$B$38*L22+'Airfoil 1'!$B$39*L22^2+'Airfoil 1'!$B$40*L22^3+'Airfoil 1'!$B$41*L22^4+'Airfoil 1'!$B$42*L22^5+'Airfoil 1'!$B$43*L22^6)*0+CX22</f>
        <v>1.2282595048042355E-2</v>
      </c>
      <c r="P22" s="16">
        <f>LOG('Airfoil 1'!$F$10)+LOG('Airfoil 1'!$G$10)+LOG('Airfoil 1'!$H$10)</f>
        <v>15.176091259055681</v>
      </c>
      <c r="Q22" s="16">
        <f t="shared" ca="1" si="1"/>
        <v>-5.2382453573715591</v>
      </c>
      <c r="R22" s="16">
        <f>LOG('Airfoil 1'!$F$10)^2+LOG('Airfoil 1'!$G$10)^2+LOG('Airfoil 1'!$H$10)^2</f>
        <v>76.867141336751558</v>
      </c>
      <c r="S22" s="16">
        <f ca="1">LOG('Airfoil 1'!$F$10)*LOG(M22)+LOG('Airfoil 1'!$G$10)*LOG(N22)+LOG('Airfoil 1'!$H$10)*LOG(O22)</f>
        <v>-26.566383285240857</v>
      </c>
      <c r="T22" s="16">
        <f t="shared" ca="1" si="2"/>
        <v>66.780048933841258</v>
      </c>
      <c r="U22" s="16">
        <f t="shared" ca="1" si="3"/>
        <v>-0.70585932657973494</v>
      </c>
      <c r="V22" s="42">
        <f ca="1">IF(Energy!$F$11=1,Energy!$T$13,1)*T22*H22^U22</f>
        <v>8.1133064234696663E-3</v>
      </c>
      <c r="W22" s="10">
        <f ca="1">'Airfoil 1'!$B$48+'Airfoil 1'!$B$49*L22+'Airfoil 1'!$B$50*L22^2+'Airfoil 1'!$B$51*L22^3+'Airfoil 1'!$B$52*L22^4+'Airfoil 1'!$B$53*L22^5+'Airfoil 1'!$B$54*L22^6</f>
        <v>-0.155</v>
      </c>
      <c r="X22" s="42">
        <f ca="1">'Airfoil 1'!$B$56+'Airfoil 1'!$B$57*L22+'Airfoil 1'!$B$58*L22^2+'Airfoil 1'!$B$59*L22^3+'Airfoil 1'!$B$60*L22^4+'Airfoil 1'!$B$61*L22^5+'Airfoil 1'!$B$62*L22^6</f>
        <v>-0.155</v>
      </c>
      <c r="Y22" s="42">
        <f ca="1">'Airfoil 1'!$B$64+'Airfoil 1'!$B$65*L22+'Airfoil 1'!$B$66*L22^2+'Airfoil 1'!$B$67*L22^3+'Airfoil 1'!$B$681*L22^4+'Airfoil 1'!$B$69*L22^5+'Airfoil 1'!$B$70*L22^6</f>
        <v>-0.155</v>
      </c>
      <c r="Z22" s="16">
        <f>LOG('Airfoil 1'!$F$10)+LOG('Airfoil 1'!$G$10)+LOG('Airfoil 1'!$H$10)</f>
        <v>15.176091259055681</v>
      </c>
      <c r="AA22" s="16">
        <f t="shared" ca="1" si="4"/>
        <v>-2.4290049054891254</v>
      </c>
      <c r="AB22" s="16">
        <f>LOG('Airfoil 1'!$F$10)^2+LOG('Airfoil 1'!$G$10)^2+LOG('Airfoil 1'!$H$10)^2</f>
        <v>76.867141336751558</v>
      </c>
      <c r="AC22" s="16">
        <f ca="1">LOG('Airfoil 1'!$F$10)*LOG(ABS(W22))+LOG('Airfoil 1'!$G$10)*LOG(ABS(X22))+LOG('Airfoil 1'!$H$10)*LOG(ABS(Y22))</f>
        <v>-12.287600038132297</v>
      </c>
      <c r="AD22" s="16">
        <f t="shared" ca="1" si="5"/>
        <v>0.1550000000000121</v>
      </c>
      <c r="AE22" s="16">
        <f t="shared" ca="1" si="6"/>
        <v>-6.6718325633022456E-15</v>
      </c>
      <c r="AF22" s="42">
        <f t="shared" ca="1" si="7"/>
        <v>-0.15499999999999875</v>
      </c>
      <c r="AG22" s="16"/>
      <c r="AH22" s="42"/>
      <c r="AI22" s="16">
        <f ca="1">(L22-'Airfoil 1'!$Z$22)/ABS(L22-'Airfoil 1'!$Z$22)</f>
        <v>1</v>
      </c>
      <c r="AJ22" s="16">
        <f ca="1">(L22-'Airfoil 1'!$Z$23)/ABS(L22-'Airfoil 1'!$Z$23)</f>
        <v>1</v>
      </c>
      <c r="AK22" s="16">
        <f ca="1">(L22-'Airfoil 1'!$Z$24)/ABS(L22-'Airfoil 1'!$Z$24)</f>
        <v>1</v>
      </c>
      <c r="AL22" s="16">
        <f ca="1">(L22-'Airfoil 1'!$Z$25)/ABS(L22-'Airfoil 1'!$Z$25)</f>
        <v>1</v>
      </c>
      <c r="AM22" s="16">
        <f ca="1">(L22-'Airfoil 1'!$Z$26)/ABS(L22-'Airfoil 1'!$Z$26)</f>
        <v>1</v>
      </c>
      <c r="AN22" s="16">
        <f ca="1">(L22-'Airfoil 1'!$Z$27)/ABS(L22-'Airfoil 1'!$Z$27)</f>
        <v>1</v>
      </c>
      <c r="AO22" s="16">
        <f ca="1">(L22-'Airfoil 1'!$Z$28)/ABS(L22-'Airfoil 1'!$Z$28)</f>
        <v>1</v>
      </c>
      <c r="AP22" s="16">
        <f ca="1">(L22-'Airfoil 1'!$Z$29)/ABS(L22-'Airfoil 1'!$Z$29)</f>
        <v>1</v>
      </c>
      <c r="AQ22" s="16">
        <f ca="1">(L22-'Airfoil 1'!$Z$30)/ABS(L22-'Airfoil 1'!$Z$30)</f>
        <v>-1</v>
      </c>
      <c r="AR22" s="16">
        <f ca="1">(L22-'Airfoil 1'!$Z$31)/ABS(L22-'Airfoil 1'!$Z$31)</f>
        <v>-1</v>
      </c>
      <c r="AS22" s="16">
        <f ca="1">(L22-'Airfoil 1'!$Z$32)/ABS(L22-'Airfoil 1'!$Z$32)</f>
        <v>-1</v>
      </c>
      <c r="AT22" s="16">
        <f ca="1">(L22-'Airfoil 1'!$Z$33)/ABS(L22-'Airfoil 1'!$Z$33)</f>
        <v>-1</v>
      </c>
      <c r="AU22" s="16">
        <f ca="1">(L22-'Airfoil 1'!$Z$34)/ABS(L22-'Airfoil 1'!$Z$34)</f>
        <v>-1</v>
      </c>
      <c r="AV22" s="16">
        <f ca="1">(L22-'Airfoil 1'!$Z$35)/ABS(L22-'Airfoil 1'!$Z$35)</f>
        <v>-1</v>
      </c>
      <c r="AW22" s="16">
        <f ca="1">(L22-'Airfoil 1'!$Z$36)/ABS(L22-'Airfoil 1'!$Z$36)</f>
        <v>-1</v>
      </c>
      <c r="AX22" s="16">
        <f ca="1">(L22-'Airfoil 1'!$Z$37)/ABS(L22-'Airfoil 1'!$Z$37)</f>
        <v>-1</v>
      </c>
      <c r="AY22" s="16">
        <f ca="1">(L22-'Airfoil 1'!$Z$38)/ABS(L22-'Airfoil 1'!$Z$38)</f>
        <v>-1</v>
      </c>
      <c r="AZ22" s="16">
        <f ca="1">(L22-'Airfoil 1'!$Z$39)/ABS(L22-'Airfoil 1'!$Z$39)</f>
        <v>-1</v>
      </c>
      <c r="BA22" s="16">
        <f ca="1">(L22-'Airfoil 1'!$Z$40)/ABS(L22-'Airfoil 1'!$Z$40)</f>
        <v>-1</v>
      </c>
      <c r="BB22" s="16">
        <f ca="1">(L22-'Airfoil 1'!$Z$41)/ABS(L22-'Airfoil 1'!$Z$41)</f>
        <v>-1</v>
      </c>
      <c r="BC22" s="5">
        <f t="shared" ref="BC22:BC40" ca="1" si="8">MAX(1,MATCH(-1,AI22:BB22,0)-1)</f>
        <v>8</v>
      </c>
      <c r="BD22" s="42">
        <f ca="1">INDEX('Airfoil 1'!$AA$22:$AA$41,BC22,1)+INDEX('Airfoil 1'!$AB$22:$AB$41,BC22,1)*(L22-INDEX('Airfoil 1'!$Z$22:$Z$41,BC22,1))</f>
        <v>2.5062216230928001E-2</v>
      </c>
      <c r="BE22" s="6"/>
      <c r="BF22" s="16">
        <f ca="1">(L22-'Airfoil 1'!$Z$47)/ABS(L22-'Airfoil 1'!$Z$47)</f>
        <v>1</v>
      </c>
      <c r="BG22" s="16">
        <f ca="1">(L22-'Airfoil 1'!$Z$48)/ABS(L22-'Airfoil 1'!$Z$48)</f>
        <v>1</v>
      </c>
      <c r="BH22" s="16">
        <f ca="1">(L22-'Airfoil 1'!$Z$49)/ABS(L22-'Airfoil 1'!$Z$49)</f>
        <v>1</v>
      </c>
      <c r="BI22" s="16">
        <f ca="1">(L22-'Airfoil 1'!$Z$50)/ABS(L22-'Airfoil 1'!$Z$50)</f>
        <v>1</v>
      </c>
      <c r="BJ22" s="16">
        <f ca="1">(L22-'Airfoil 1'!$Z$51)/ABS(L22-'Airfoil 1'!$Z$51)</f>
        <v>1</v>
      </c>
      <c r="BK22" s="16">
        <f ca="1">(L22-'Airfoil 1'!$Z$52)/ABS(L22-'Airfoil 1'!$Z$52)</f>
        <v>1</v>
      </c>
      <c r="BL22" s="16">
        <f ca="1">(L22-'Airfoil 1'!$Z$53)/ABS(L22-'Airfoil 1'!$Z$53)</f>
        <v>1</v>
      </c>
      <c r="BM22" s="16">
        <f ca="1">(L22-'Airfoil 1'!$Z$54)/ABS(L22-'Airfoil 1'!$Z$54)</f>
        <v>-1</v>
      </c>
      <c r="BN22" s="16">
        <f ca="1">(L22-'Airfoil 1'!$Z$55)/ABS(L22-'Airfoil 1'!$Z$55)</f>
        <v>-1</v>
      </c>
      <c r="BO22" s="16">
        <f ca="1">(L22-'Airfoil 1'!$Z$56)/ABS(L22-'Airfoil 1'!$Z$56)</f>
        <v>-1</v>
      </c>
      <c r="BP22" s="16">
        <f ca="1">(L22-'Airfoil 1'!$Z$57)/ABS(L22-'Airfoil 1'!$Z$57)</f>
        <v>-1</v>
      </c>
      <c r="BQ22" s="16">
        <f ca="1">(L22-'Airfoil 1'!$Z$58)/ABS(L22-'Airfoil 1'!$Z$58)</f>
        <v>-1</v>
      </c>
      <c r="BR22" s="16">
        <f ca="1">(L22-'Airfoil 1'!$Z$59)/ABS(L22-'Airfoil 1'!$Z$59)</f>
        <v>-1</v>
      </c>
      <c r="BS22" s="16">
        <f ca="1">(L22-'Airfoil 1'!$Z$60)/ABS(L22-'Airfoil 1'!$Z$60)</f>
        <v>-1</v>
      </c>
      <c r="BT22" s="16">
        <f ca="1">(L22-'Airfoil 1'!$Z$61)/ABS(L22-'Airfoil 1'!$Z$61)</f>
        <v>-1</v>
      </c>
      <c r="BU22" s="16">
        <f ca="1">(L22-'Airfoil 1'!$Z$62)/ABS(L22-'Airfoil 1'!$Z$62)</f>
        <v>-1</v>
      </c>
      <c r="BV22" s="16">
        <f ca="1">(L22-'Airfoil 1'!$Z$63)/ABS(L22-'Airfoil 1'!$Z$63)</f>
        <v>-1</v>
      </c>
      <c r="BW22" s="16">
        <f ca="1">(L22-'Airfoil 1'!$Z$64)/ABS(L22-'Airfoil 1'!$Z$64)</f>
        <v>-1</v>
      </c>
      <c r="BX22" s="16">
        <f ca="1">(L22-'Airfoil 1'!$Z$65)/ABS(L22-'Airfoil 1'!$Z$65)</f>
        <v>-1</v>
      </c>
      <c r="BY22" s="16">
        <f ca="1">(L22-'Airfoil 1'!$Z$66)/ABS(L22-'Airfoil 1'!$Z$66)</f>
        <v>-1</v>
      </c>
      <c r="BZ22" s="5">
        <f t="shared" ref="BZ22:BZ40" ca="1" si="9">MAX(1,MATCH(-1,BF22:BY22,0)-1)</f>
        <v>7</v>
      </c>
      <c r="CA22" s="42">
        <f ca="1">INDEX('Airfoil 1'!$AA$47:$AA$66,BZ22,1)+INDEX('Airfoil 1'!$AB$47:$AB$66,BZ22,1)*(L22-INDEX('Airfoil 1'!$Z$47:$Z$66,BZ22,1))</f>
        <v>1.8769168637847108E-2</v>
      </c>
      <c r="CC22" s="16">
        <f ca="1">(L22-'Airfoil 1'!$Z$72)/ABS(L22-'Airfoil 1'!$Z$72)</f>
        <v>1</v>
      </c>
      <c r="CD22" s="16">
        <f ca="1">(L22-'Airfoil 1'!$Z$73)/ABS(L22-'Airfoil 1'!$Z$73)</f>
        <v>1</v>
      </c>
      <c r="CE22" s="16">
        <f ca="1">(L22-'Airfoil 1'!$Z$74)/ABS(L22-'Airfoil 1'!$Z$74)</f>
        <v>1</v>
      </c>
      <c r="CF22" s="16">
        <f ca="1">(L22-'Airfoil 1'!$Z$75)/ABS(L22-'Airfoil 1'!$Z$75)</f>
        <v>1</v>
      </c>
      <c r="CG22" s="16">
        <f ca="1">(L22-'Airfoil 1'!$Z$76)/ABS(L22-'Airfoil 1'!$Z$76)</f>
        <v>1</v>
      </c>
      <c r="CH22" s="16">
        <f ca="1">(L22-'Airfoil 1'!$Z$77)/ABS(L22-'Airfoil 1'!$Z$77)</f>
        <v>1</v>
      </c>
      <c r="CI22" s="16">
        <f ca="1">(L22-'Airfoil 1'!$Z$78)/ABS(L22-'Airfoil 1'!$Z$78)</f>
        <v>-1</v>
      </c>
      <c r="CJ22" s="16">
        <f ca="1">(L22-'Airfoil 1'!$Z$79)/ABS(L22-'Airfoil 1'!$Z$79)</f>
        <v>-1</v>
      </c>
      <c r="CK22" s="16">
        <f ca="1">(L22-'Airfoil 1'!$Z$80)/ABS(L22-'Airfoil 1'!$Z$80)</f>
        <v>-1</v>
      </c>
      <c r="CL22" s="16">
        <f ca="1">(L22-'Airfoil 1'!$Z$81)/ABS(L22-'Airfoil 1'!$Z$81)</f>
        <v>-1</v>
      </c>
      <c r="CM22" s="16">
        <f ca="1">(L22-'Airfoil 1'!$Z$82)/ABS(L22-'Airfoil 1'!$Z$82)</f>
        <v>-1</v>
      </c>
      <c r="CN22" s="16">
        <f ca="1">(L22-'Airfoil 1'!$Z$83)/ABS(L22-'Airfoil 1'!$Z$83)</f>
        <v>-1</v>
      </c>
      <c r="CO22" s="16">
        <f ca="1">(L22-'Airfoil 1'!$Z$84)/ABS(L22-'Airfoil 1'!$Z$84)</f>
        <v>-1</v>
      </c>
      <c r="CP22" s="16">
        <f ca="1">(L22-'Airfoil 1'!$Z$85)/ABS(L22-'Airfoil 1'!$Z$85)</f>
        <v>-1</v>
      </c>
      <c r="CQ22" s="16">
        <f ca="1">(L22-'Airfoil 1'!$Z$86)/ABS(L22-'Airfoil 1'!$Z$86)</f>
        <v>-1</v>
      </c>
      <c r="CR22" s="16">
        <f ca="1">(L22-'Airfoil 1'!$Z$87)/ABS(L22-'Airfoil 1'!$Z$87)</f>
        <v>-1</v>
      </c>
      <c r="CS22" s="16">
        <f ca="1">(L22-'Airfoil 1'!$Z$88)/ABS(L22-'Airfoil 1'!$Z$88)</f>
        <v>-1</v>
      </c>
      <c r="CT22" s="16">
        <f ca="1">(L22-'Airfoil 1'!$Z$89)/ABS(L22-'Airfoil 1'!$Z$89)</f>
        <v>-1</v>
      </c>
      <c r="CU22" s="16">
        <f ca="1">(L22-'Airfoil 1'!$Z$90)/ABS(L22-'Airfoil 1'!$Z$90)</f>
        <v>-1</v>
      </c>
      <c r="CV22" s="16">
        <f ca="1">(L22-'Airfoil 1'!$Z$91)/ABS(L22-'Airfoil 1'!$Z$91)</f>
        <v>-1</v>
      </c>
      <c r="CW22" s="5">
        <f t="shared" ref="CW22:CW40" ca="1" si="10">MAX(1,MATCH(-1,CC22:CV22,0)-1)</f>
        <v>6</v>
      </c>
      <c r="CX22" s="42">
        <f ca="1">INDEX('Airfoil 1'!$AA$72:$AA$91,CW22,1)+INDEX('Airfoil 1'!$AB$72:$AB$91,CW22,1)*(L22-INDEX('Airfoil 1'!$Z$72:$Z$91,CW22,1))</f>
        <v>1.2282595048042355E-2</v>
      </c>
    </row>
    <row r="23" spans="2:102">
      <c r="B23" s="31">
        <f>Main!B23</f>
        <v>0.33333333333333326</v>
      </c>
      <c r="D23" s="1">
        <f>Turn!F23</f>
        <v>0.65969672852566186</v>
      </c>
      <c r="E23" s="4">
        <f>ISA!$R$10</f>
        <v>1.5987591530356481E-5</v>
      </c>
      <c r="G23" s="13">
        <f ca="1">Turn!X23</f>
        <v>28.95427846750254</v>
      </c>
      <c r="H23" s="5">
        <f t="shared" ca="1" si="0"/>
        <v>398247.24371531681</v>
      </c>
      <c r="I23" s="16">
        <f ca="1">'Airfoil 2'!$K$14*H23^'Airfoil 2'!$L$13</f>
        <v>1.5857351263949091</v>
      </c>
      <c r="J23" s="1">
        <f ca="1">'Airfoil 2'!$K$33*H23^'Airfoil 2'!$L$32</f>
        <v>4.819542111633532</v>
      </c>
      <c r="K23" s="13">
        <f ca="1">'Airfoil 2'!$K$52*H23^'Airfoil 2'!$L$51</f>
        <v>-9.9939460525436559</v>
      </c>
      <c r="L23" s="16">
        <f ca="1">'Aerodynamics-Turn'!W23</f>
        <v>1.0392304845413263</v>
      </c>
      <c r="M23" s="10">
        <f ca="1">('Airfoil 1'!$B$21+'Airfoil 1'!$B$22*L23+'Airfoil 1'!$B$23*L23^2+'Airfoil 1'!$B$24*L23^3+'Airfoil 1'!$B$25*L23^4+'Airfoil 1'!$B$26*L23^5+'Airfoil 1'!$B$27*L23^6)*0+BD23</f>
        <v>2.5062216230928001E-2</v>
      </c>
      <c r="N23" s="42">
        <f ca="1">('Airfoil 1'!$B$29+'Airfoil 1'!$B$30*L23+'Airfoil 1'!$B$31*L23^2+'Airfoil 1'!$B$32*L23^3+'Airfoil 1'!$B$33*L23^4+'Airfoil 1'!$B$34*L23^5+'Airfoil 1'!$B$35*L23^6)*0+CA23</f>
        <v>1.8769168637847108E-2</v>
      </c>
      <c r="O23" s="42">
        <f ca="1">('Airfoil 1'!$B$37+'Airfoil 1'!$B$38*L23+'Airfoil 1'!$B$39*L23^2+'Airfoil 1'!$B$40*L23^3+'Airfoil 1'!$B$41*L23^4+'Airfoil 1'!$B$42*L23^5+'Airfoil 1'!$B$43*L23^6)*0+CX23</f>
        <v>1.2282595048042355E-2</v>
      </c>
      <c r="P23" s="16">
        <f>LOG('Airfoil 1'!$F$10)+LOG('Airfoil 1'!$G$10)+LOG('Airfoil 1'!$H$10)</f>
        <v>15.176091259055681</v>
      </c>
      <c r="Q23" s="16">
        <f t="shared" ca="1" si="1"/>
        <v>-5.2382453573715591</v>
      </c>
      <c r="R23" s="16">
        <f>LOG('Airfoil 1'!$F$10)^2+LOG('Airfoil 1'!$G$10)^2+LOG('Airfoil 1'!$H$10)^2</f>
        <v>76.867141336751558</v>
      </c>
      <c r="S23" s="16">
        <f ca="1">LOG('Airfoil 1'!$F$10)*LOG(M23)+LOG('Airfoil 1'!$G$10)*LOG(N23)+LOG('Airfoil 1'!$H$10)*LOG(O23)</f>
        <v>-26.566383285240857</v>
      </c>
      <c r="T23" s="16">
        <f t="shared" ca="1" si="2"/>
        <v>66.780048933841258</v>
      </c>
      <c r="U23" s="16">
        <f t="shared" ca="1" si="3"/>
        <v>-0.70585932657973494</v>
      </c>
      <c r="V23" s="42">
        <f ca="1">IF(Energy!$F$11=1,Energy!$T$13,1)*T23*H23^U23</f>
        <v>8.2055040083188601E-3</v>
      </c>
      <c r="W23" s="10">
        <f ca="1">'Airfoil 1'!$B$48+'Airfoil 1'!$B$49*L23+'Airfoil 1'!$B$50*L23^2+'Airfoil 1'!$B$51*L23^3+'Airfoil 1'!$B$52*L23^4+'Airfoil 1'!$B$53*L23^5+'Airfoil 1'!$B$54*L23^6</f>
        <v>-0.155</v>
      </c>
      <c r="X23" s="42">
        <f ca="1">'Airfoil 1'!$B$56+'Airfoil 1'!$B$57*L23+'Airfoil 1'!$B$58*L23^2+'Airfoil 1'!$B$59*L23^3+'Airfoil 1'!$B$60*L23^4+'Airfoil 1'!$B$61*L23^5+'Airfoil 1'!$B$62*L23^6</f>
        <v>-0.155</v>
      </c>
      <c r="Y23" s="42">
        <f ca="1">'Airfoil 1'!$B$64+'Airfoil 1'!$B$65*L23+'Airfoil 1'!$B$66*L23^2+'Airfoil 1'!$B$67*L23^3+'Airfoil 1'!$B$681*L23^4+'Airfoil 1'!$B$69*L23^5+'Airfoil 1'!$B$70*L23^6</f>
        <v>-0.155</v>
      </c>
      <c r="Z23" s="16">
        <f>LOG('Airfoil 1'!$F$10)+LOG('Airfoil 1'!$G$10)+LOG('Airfoil 1'!$H$10)</f>
        <v>15.176091259055681</v>
      </c>
      <c r="AA23" s="16">
        <f t="shared" ca="1" si="4"/>
        <v>-2.4290049054891254</v>
      </c>
      <c r="AB23" s="16">
        <f>LOG('Airfoil 1'!$F$10)^2+LOG('Airfoil 1'!$G$10)^2+LOG('Airfoil 1'!$H$10)^2</f>
        <v>76.867141336751558</v>
      </c>
      <c r="AC23" s="16">
        <f ca="1">LOG('Airfoil 1'!$F$10)*LOG(ABS(W23))+LOG('Airfoil 1'!$G$10)*LOG(ABS(X23))+LOG('Airfoil 1'!$H$10)*LOG(ABS(Y23))</f>
        <v>-12.287600038132297</v>
      </c>
      <c r="AD23" s="16">
        <f t="shared" ca="1" si="5"/>
        <v>0.1550000000000121</v>
      </c>
      <c r="AE23" s="16">
        <f t="shared" ca="1" si="6"/>
        <v>-6.6718325633022456E-15</v>
      </c>
      <c r="AF23" s="42">
        <f t="shared" ca="1" si="7"/>
        <v>-0.15499999999999878</v>
      </c>
      <c r="AG23" s="16"/>
      <c r="AH23" s="42"/>
      <c r="AI23" s="16">
        <f ca="1">(L23-'Airfoil 1'!$Z$22)/ABS(L23-'Airfoil 1'!$Z$22)</f>
        <v>1</v>
      </c>
      <c r="AJ23" s="16">
        <f ca="1">(L23-'Airfoil 1'!$Z$23)/ABS(L23-'Airfoil 1'!$Z$23)</f>
        <v>1</v>
      </c>
      <c r="AK23" s="16">
        <f ca="1">(L23-'Airfoil 1'!$Z$24)/ABS(L23-'Airfoil 1'!$Z$24)</f>
        <v>1</v>
      </c>
      <c r="AL23" s="16">
        <f ca="1">(L23-'Airfoil 1'!$Z$25)/ABS(L23-'Airfoil 1'!$Z$25)</f>
        <v>1</v>
      </c>
      <c r="AM23" s="16">
        <f ca="1">(L23-'Airfoil 1'!$Z$26)/ABS(L23-'Airfoil 1'!$Z$26)</f>
        <v>1</v>
      </c>
      <c r="AN23" s="16">
        <f ca="1">(L23-'Airfoil 1'!$Z$27)/ABS(L23-'Airfoil 1'!$Z$27)</f>
        <v>1</v>
      </c>
      <c r="AO23" s="16">
        <f ca="1">(L23-'Airfoil 1'!$Z$28)/ABS(L23-'Airfoil 1'!$Z$28)</f>
        <v>1</v>
      </c>
      <c r="AP23" s="16">
        <f ca="1">(L23-'Airfoil 1'!$Z$29)/ABS(L23-'Airfoil 1'!$Z$29)</f>
        <v>1</v>
      </c>
      <c r="AQ23" s="16">
        <f ca="1">(L23-'Airfoil 1'!$Z$30)/ABS(L23-'Airfoil 1'!$Z$30)</f>
        <v>-1</v>
      </c>
      <c r="AR23" s="16">
        <f ca="1">(L23-'Airfoil 1'!$Z$31)/ABS(L23-'Airfoil 1'!$Z$31)</f>
        <v>-1</v>
      </c>
      <c r="AS23" s="16">
        <f ca="1">(L23-'Airfoil 1'!$Z$32)/ABS(L23-'Airfoil 1'!$Z$32)</f>
        <v>-1</v>
      </c>
      <c r="AT23" s="16">
        <f ca="1">(L23-'Airfoil 1'!$Z$33)/ABS(L23-'Airfoil 1'!$Z$33)</f>
        <v>-1</v>
      </c>
      <c r="AU23" s="16">
        <f ca="1">(L23-'Airfoil 1'!$Z$34)/ABS(L23-'Airfoil 1'!$Z$34)</f>
        <v>-1</v>
      </c>
      <c r="AV23" s="16">
        <f ca="1">(L23-'Airfoil 1'!$Z$35)/ABS(L23-'Airfoil 1'!$Z$35)</f>
        <v>-1</v>
      </c>
      <c r="AW23" s="16">
        <f ca="1">(L23-'Airfoil 1'!$Z$36)/ABS(L23-'Airfoil 1'!$Z$36)</f>
        <v>-1</v>
      </c>
      <c r="AX23" s="16">
        <f ca="1">(L23-'Airfoil 1'!$Z$37)/ABS(L23-'Airfoil 1'!$Z$37)</f>
        <v>-1</v>
      </c>
      <c r="AY23" s="16">
        <f ca="1">(L23-'Airfoil 1'!$Z$38)/ABS(L23-'Airfoil 1'!$Z$38)</f>
        <v>-1</v>
      </c>
      <c r="AZ23" s="16">
        <f ca="1">(L23-'Airfoil 1'!$Z$39)/ABS(L23-'Airfoil 1'!$Z$39)</f>
        <v>-1</v>
      </c>
      <c r="BA23" s="16">
        <f ca="1">(L23-'Airfoil 1'!$Z$40)/ABS(L23-'Airfoil 1'!$Z$40)</f>
        <v>-1</v>
      </c>
      <c r="BB23" s="16">
        <f ca="1">(L23-'Airfoil 1'!$Z$41)/ABS(L23-'Airfoil 1'!$Z$41)</f>
        <v>-1</v>
      </c>
      <c r="BC23" s="5">
        <f t="shared" ca="1" si="8"/>
        <v>8</v>
      </c>
      <c r="BD23" s="42">
        <f ca="1">INDEX('Airfoil 1'!$AA$22:$AA$41,BC23,1)+INDEX('Airfoil 1'!$AB$22:$AB$41,BC23,1)*(L23-INDEX('Airfoil 1'!$Z$22:$Z$41,BC23,1))</f>
        <v>2.5062216230928001E-2</v>
      </c>
      <c r="BE23" s="6"/>
      <c r="BF23" s="16">
        <f ca="1">(L23-'Airfoil 1'!$Z$47)/ABS(L23-'Airfoil 1'!$Z$47)</f>
        <v>1</v>
      </c>
      <c r="BG23" s="16">
        <f ca="1">(L23-'Airfoil 1'!$Z$48)/ABS(L23-'Airfoil 1'!$Z$48)</f>
        <v>1</v>
      </c>
      <c r="BH23" s="16">
        <f ca="1">(L23-'Airfoil 1'!$Z$49)/ABS(L23-'Airfoil 1'!$Z$49)</f>
        <v>1</v>
      </c>
      <c r="BI23" s="16">
        <f ca="1">(L23-'Airfoil 1'!$Z$50)/ABS(L23-'Airfoil 1'!$Z$50)</f>
        <v>1</v>
      </c>
      <c r="BJ23" s="16">
        <f ca="1">(L23-'Airfoil 1'!$Z$51)/ABS(L23-'Airfoil 1'!$Z$51)</f>
        <v>1</v>
      </c>
      <c r="BK23" s="16">
        <f ca="1">(L23-'Airfoil 1'!$Z$52)/ABS(L23-'Airfoil 1'!$Z$52)</f>
        <v>1</v>
      </c>
      <c r="BL23" s="16">
        <f ca="1">(L23-'Airfoil 1'!$Z$53)/ABS(L23-'Airfoil 1'!$Z$53)</f>
        <v>1</v>
      </c>
      <c r="BM23" s="16">
        <f ca="1">(L23-'Airfoil 1'!$Z$54)/ABS(L23-'Airfoil 1'!$Z$54)</f>
        <v>-1</v>
      </c>
      <c r="BN23" s="16">
        <f ca="1">(L23-'Airfoil 1'!$Z$55)/ABS(L23-'Airfoil 1'!$Z$55)</f>
        <v>-1</v>
      </c>
      <c r="BO23" s="16">
        <f ca="1">(L23-'Airfoil 1'!$Z$56)/ABS(L23-'Airfoil 1'!$Z$56)</f>
        <v>-1</v>
      </c>
      <c r="BP23" s="16">
        <f ca="1">(L23-'Airfoil 1'!$Z$57)/ABS(L23-'Airfoil 1'!$Z$57)</f>
        <v>-1</v>
      </c>
      <c r="BQ23" s="16">
        <f ca="1">(L23-'Airfoil 1'!$Z$58)/ABS(L23-'Airfoil 1'!$Z$58)</f>
        <v>-1</v>
      </c>
      <c r="BR23" s="16">
        <f ca="1">(L23-'Airfoil 1'!$Z$59)/ABS(L23-'Airfoil 1'!$Z$59)</f>
        <v>-1</v>
      </c>
      <c r="BS23" s="16">
        <f ca="1">(L23-'Airfoil 1'!$Z$60)/ABS(L23-'Airfoil 1'!$Z$60)</f>
        <v>-1</v>
      </c>
      <c r="BT23" s="16">
        <f ca="1">(L23-'Airfoil 1'!$Z$61)/ABS(L23-'Airfoil 1'!$Z$61)</f>
        <v>-1</v>
      </c>
      <c r="BU23" s="16">
        <f ca="1">(L23-'Airfoil 1'!$Z$62)/ABS(L23-'Airfoil 1'!$Z$62)</f>
        <v>-1</v>
      </c>
      <c r="BV23" s="16">
        <f ca="1">(L23-'Airfoil 1'!$Z$63)/ABS(L23-'Airfoil 1'!$Z$63)</f>
        <v>-1</v>
      </c>
      <c r="BW23" s="16">
        <f ca="1">(L23-'Airfoil 1'!$Z$64)/ABS(L23-'Airfoil 1'!$Z$64)</f>
        <v>-1</v>
      </c>
      <c r="BX23" s="16">
        <f ca="1">(L23-'Airfoil 1'!$Z$65)/ABS(L23-'Airfoil 1'!$Z$65)</f>
        <v>-1</v>
      </c>
      <c r="BY23" s="16">
        <f ca="1">(L23-'Airfoil 1'!$Z$66)/ABS(L23-'Airfoil 1'!$Z$66)</f>
        <v>-1</v>
      </c>
      <c r="BZ23" s="5">
        <f t="shared" ca="1" si="9"/>
        <v>7</v>
      </c>
      <c r="CA23" s="42">
        <f ca="1">INDEX('Airfoil 1'!$AA$47:$AA$66,BZ23,1)+INDEX('Airfoil 1'!$AB$47:$AB$66,BZ23,1)*(L23-INDEX('Airfoil 1'!$Z$47:$Z$66,BZ23,1))</f>
        <v>1.8769168637847108E-2</v>
      </c>
      <c r="CC23" s="16">
        <f ca="1">(L23-'Airfoil 1'!$Z$72)/ABS(L23-'Airfoil 1'!$Z$72)</f>
        <v>1</v>
      </c>
      <c r="CD23" s="16">
        <f ca="1">(L23-'Airfoil 1'!$Z$73)/ABS(L23-'Airfoil 1'!$Z$73)</f>
        <v>1</v>
      </c>
      <c r="CE23" s="16">
        <f ca="1">(L23-'Airfoil 1'!$Z$74)/ABS(L23-'Airfoil 1'!$Z$74)</f>
        <v>1</v>
      </c>
      <c r="CF23" s="16">
        <f ca="1">(L23-'Airfoil 1'!$Z$75)/ABS(L23-'Airfoil 1'!$Z$75)</f>
        <v>1</v>
      </c>
      <c r="CG23" s="16">
        <f ca="1">(L23-'Airfoil 1'!$Z$76)/ABS(L23-'Airfoil 1'!$Z$76)</f>
        <v>1</v>
      </c>
      <c r="CH23" s="16">
        <f ca="1">(L23-'Airfoil 1'!$Z$77)/ABS(L23-'Airfoil 1'!$Z$77)</f>
        <v>1</v>
      </c>
      <c r="CI23" s="16">
        <f ca="1">(L23-'Airfoil 1'!$Z$78)/ABS(L23-'Airfoil 1'!$Z$78)</f>
        <v>-1</v>
      </c>
      <c r="CJ23" s="16">
        <f ca="1">(L23-'Airfoil 1'!$Z$79)/ABS(L23-'Airfoil 1'!$Z$79)</f>
        <v>-1</v>
      </c>
      <c r="CK23" s="16">
        <f ca="1">(L23-'Airfoil 1'!$Z$80)/ABS(L23-'Airfoil 1'!$Z$80)</f>
        <v>-1</v>
      </c>
      <c r="CL23" s="16">
        <f ca="1">(L23-'Airfoil 1'!$Z$81)/ABS(L23-'Airfoil 1'!$Z$81)</f>
        <v>-1</v>
      </c>
      <c r="CM23" s="16">
        <f ca="1">(L23-'Airfoil 1'!$Z$82)/ABS(L23-'Airfoil 1'!$Z$82)</f>
        <v>-1</v>
      </c>
      <c r="CN23" s="16">
        <f ca="1">(L23-'Airfoil 1'!$Z$83)/ABS(L23-'Airfoil 1'!$Z$83)</f>
        <v>-1</v>
      </c>
      <c r="CO23" s="16">
        <f ca="1">(L23-'Airfoil 1'!$Z$84)/ABS(L23-'Airfoil 1'!$Z$84)</f>
        <v>-1</v>
      </c>
      <c r="CP23" s="16">
        <f ca="1">(L23-'Airfoil 1'!$Z$85)/ABS(L23-'Airfoil 1'!$Z$85)</f>
        <v>-1</v>
      </c>
      <c r="CQ23" s="16">
        <f ca="1">(L23-'Airfoil 1'!$Z$86)/ABS(L23-'Airfoil 1'!$Z$86)</f>
        <v>-1</v>
      </c>
      <c r="CR23" s="16">
        <f ca="1">(L23-'Airfoil 1'!$Z$87)/ABS(L23-'Airfoil 1'!$Z$87)</f>
        <v>-1</v>
      </c>
      <c r="CS23" s="16">
        <f ca="1">(L23-'Airfoil 1'!$Z$88)/ABS(L23-'Airfoil 1'!$Z$88)</f>
        <v>-1</v>
      </c>
      <c r="CT23" s="16">
        <f ca="1">(L23-'Airfoil 1'!$Z$89)/ABS(L23-'Airfoil 1'!$Z$89)</f>
        <v>-1</v>
      </c>
      <c r="CU23" s="16">
        <f ca="1">(L23-'Airfoil 1'!$Z$90)/ABS(L23-'Airfoil 1'!$Z$90)</f>
        <v>-1</v>
      </c>
      <c r="CV23" s="16">
        <f ca="1">(L23-'Airfoil 1'!$Z$91)/ABS(L23-'Airfoil 1'!$Z$91)</f>
        <v>-1</v>
      </c>
      <c r="CW23" s="5">
        <f t="shared" ca="1" si="10"/>
        <v>6</v>
      </c>
      <c r="CX23" s="42">
        <f ca="1">INDEX('Airfoil 1'!$AA$72:$AA$91,CW23,1)+INDEX('Airfoil 1'!$AB$72:$AB$91,CW23,1)*(L23-INDEX('Airfoil 1'!$Z$72:$Z$91,CW23,1))</f>
        <v>1.2282595048042355E-2</v>
      </c>
    </row>
    <row r="24" spans="2:102">
      <c r="B24" s="31">
        <f>Main!B24</f>
        <v>0.33333333333333326</v>
      </c>
      <c r="D24" s="1">
        <f>Turn!F24</f>
        <v>0.65969672852566186</v>
      </c>
      <c r="E24" s="4">
        <f>ISA!$R$10</f>
        <v>1.5987591530356481E-5</v>
      </c>
      <c r="G24" s="13">
        <f ca="1">Turn!X24</f>
        <v>27.449674188584485</v>
      </c>
      <c r="H24" s="5">
        <f t="shared" ca="1" si="0"/>
        <v>377552.39173916</v>
      </c>
      <c r="I24" s="16">
        <f ca="1">'Airfoil 2'!$K$14*H24^'Airfoil 2'!$L$13</f>
        <v>1.584559220351571</v>
      </c>
      <c r="J24" s="1">
        <f ca="1">'Airfoil 2'!$K$33*H24^'Airfoil 2'!$L$32</f>
        <v>4.9068271558908192</v>
      </c>
      <c r="K24" s="13">
        <f ca="1">'Airfoil 2'!$K$52*H24^'Airfoil 2'!$L$51</f>
        <v>-9.6435811822405419</v>
      </c>
      <c r="L24" s="16">
        <f ca="1">'Aerodynamics-Turn'!W24</f>
        <v>1.0392304845413263</v>
      </c>
      <c r="M24" s="10">
        <f ca="1">('Airfoil 1'!$B$21+'Airfoil 1'!$B$22*L24+'Airfoil 1'!$B$23*L24^2+'Airfoil 1'!$B$24*L24^3+'Airfoil 1'!$B$25*L24^4+'Airfoil 1'!$B$26*L24^5+'Airfoil 1'!$B$27*L24^6)*0+BD24</f>
        <v>2.5062216230928001E-2</v>
      </c>
      <c r="N24" s="42">
        <f ca="1">('Airfoil 1'!$B$29+'Airfoil 1'!$B$30*L24+'Airfoil 1'!$B$31*L24^2+'Airfoil 1'!$B$32*L24^3+'Airfoil 1'!$B$33*L24^4+'Airfoil 1'!$B$34*L24^5+'Airfoil 1'!$B$35*L24^6)*0+CA24</f>
        <v>1.8769168637847108E-2</v>
      </c>
      <c r="O24" s="42">
        <f ca="1">('Airfoil 1'!$B$37+'Airfoil 1'!$B$38*L24+'Airfoil 1'!$B$39*L24^2+'Airfoil 1'!$B$40*L24^3+'Airfoil 1'!$B$41*L24^4+'Airfoil 1'!$B$42*L24^5+'Airfoil 1'!$B$43*L24^6)*0+CX24</f>
        <v>1.2282595048042355E-2</v>
      </c>
      <c r="P24" s="16">
        <f>LOG('Airfoil 1'!$F$10)+LOG('Airfoil 1'!$G$10)+LOG('Airfoil 1'!$H$10)</f>
        <v>15.176091259055681</v>
      </c>
      <c r="Q24" s="16">
        <f t="shared" ca="1" si="1"/>
        <v>-5.2382453573715591</v>
      </c>
      <c r="R24" s="16">
        <f>LOG('Airfoil 1'!$F$10)^2+LOG('Airfoil 1'!$G$10)^2+LOG('Airfoil 1'!$H$10)^2</f>
        <v>76.867141336751558</v>
      </c>
      <c r="S24" s="16">
        <f ca="1">LOG('Airfoil 1'!$F$10)*LOG(M24)+LOG('Airfoil 1'!$G$10)*LOG(N24)+LOG('Airfoil 1'!$H$10)*LOG(O24)</f>
        <v>-26.566383285240857</v>
      </c>
      <c r="T24" s="16">
        <f t="shared" ca="1" si="2"/>
        <v>66.780048933841258</v>
      </c>
      <c r="U24" s="16">
        <f t="shared" ca="1" si="3"/>
        <v>-0.70585932657973494</v>
      </c>
      <c r="V24" s="42">
        <f ca="1">IF(Energy!$F$11=1,Energy!$T$13,1)*T24*H24^U24</f>
        <v>8.5204776606789059E-3</v>
      </c>
      <c r="W24" s="10">
        <f ca="1">'Airfoil 1'!$B$48+'Airfoil 1'!$B$49*L24+'Airfoil 1'!$B$50*L24^2+'Airfoil 1'!$B$51*L24^3+'Airfoil 1'!$B$52*L24^4+'Airfoil 1'!$B$53*L24^5+'Airfoil 1'!$B$54*L24^6</f>
        <v>-0.155</v>
      </c>
      <c r="X24" s="42">
        <f ca="1">'Airfoil 1'!$B$56+'Airfoil 1'!$B$57*L24+'Airfoil 1'!$B$58*L24^2+'Airfoil 1'!$B$59*L24^3+'Airfoil 1'!$B$60*L24^4+'Airfoil 1'!$B$61*L24^5+'Airfoil 1'!$B$62*L24^6</f>
        <v>-0.155</v>
      </c>
      <c r="Y24" s="42">
        <f ca="1">'Airfoil 1'!$B$64+'Airfoil 1'!$B$65*L24+'Airfoil 1'!$B$66*L24^2+'Airfoil 1'!$B$67*L24^3+'Airfoil 1'!$B$681*L24^4+'Airfoil 1'!$B$69*L24^5+'Airfoil 1'!$B$70*L24^6</f>
        <v>-0.155</v>
      </c>
      <c r="Z24" s="16">
        <f>LOG('Airfoil 1'!$F$10)+LOG('Airfoil 1'!$G$10)+LOG('Airfoil 1'!$H$10)</f>
        <v>15.176091259055681</v>
      </c>
      <c r="AA24" s="16">
        <f t="shared" ca="1" si="4"/>
        <v>-2.4290049054891254</v>
      </c>
      <c r="AB24" s="16">
        <f>LOG('Airfoil 1'!$F$10)^2+LOG('Airfoil 1'!$G$10)^2+LOG('Airfoil 1'!$H$10)^2</f>
        <v>76.867141336751558</v>
      </c>
      <c r="AC24" s="16">
        <f ca="1">LOG('Airfoil 1'!$F$10)*LOG(ABS(W24))+LOG('Airfoil 1'!$G$10)*LOG(ABS(X24))+LOG('Airfoil 1'!$H$10)*LOG(ABS(Y24))</f>
        <v>-12.287600038132297</v>
      </c>
      <c r="AD24" s="16">
        <f t="shared" ca="1" si="5"/>
        <v>0.1550000000000121</v>
      </c>
      <c r="AE24" s="16">
        <f t="shared" ca="1" si="6"/>
        <v>-6.6718325633022456E-15</v>
      </c>
      <c r="AF24" s="42">
        <f t="shared" ca="1" si="7"/>
        <v>-0.15499999999999881</v>
      </c>
      <c r="AG24" s="16"/>
      <c r="AH24" s="42"/>
      <c r="AI24" s="16">
        <f ca="1">(L24-'Airfoil 1'!$Z$22)/ABS(L24-'Airfoil 1'!$Z$22)</f>
        <v>1</v>
      </c>
      <c r="AJ24" s="16">
        <f ca="1">(L24-'Airfoil 1'!$Z$23)/ABS(L24-'Airfoil 1'!$Z$23)</f>
        <v>1</v>
      </c>
      <c r="AK24" s="16">
        <f ca="1">(L24-'Airfoil 1'!$Z$24)/ABS(L24-'Airfoil 1'!$Z$24)</f>
        <v>1</v>
      </c>
      <c r="AL24" s="16">
        <f ca="1">(L24-'Airfoil 1'!$Z$25)/ABS(L24-'Airfoil 1'!$Z$25)</f>
        <v>1</v>
      </c>
      <c r="AM24" s="16">
        <f ca="1">(L24-'Airfoil 1'!$Z$26)/ABS(L24-'Airfoil 1'!$Z$26)</f>
        <v>1</v>
      </c>
      <c r="AN24" s="16">
        <f ca="1">(L24-'Airfoil 1'!$Z$27)/ABS(L24-'Airfoil 1'!$Z$27)</f>
        <v>1</v>
      </c>
      <c r="AO24" s="16">
        <f ca="1">(L24-'Airfoil 1'!$Z$28)/ABS(L24-'Airfoil 1'!$Z$28)</f>
        <v>1</v>
      </c>
      <c r="AP24" s="16">
        <f ca="1">(L24-'Airfoil 1'!$Z$29)/ABS(L24-'Airfoil 1'!$Z$29)</f>
        <v>1</v>
      </c>
      <c r="AQ24" s="16">
        <f ca="1">(L24-'Airfoil 1'!$Z$30)/ABS(L24-'Airfoil 1'!$Z$30)</f>
        <v>-1</v>
      </c>
      <c r="AR24" s="16">
        <f ca="1">(L24-'Airfoil 1'!$Z$31)/ABS(L24-'Airfoil 1'!$Z$31)</f>
        <v>-1</v>
      </c>
      <c r="AS24" s="16">
        <f ca="1">(L24-'Airfoil 1'!$Z$32)/ABS(L24-'Airfoil 1'!$Z$32)</f>
        <v>-1</v>
      </c>
      <c r="AT24" s="16">
        <f ca="1">(L24-'Airfoil 1'!$Z$33)/ABS(L24-'Airfoil 1'!$Z$33)</f>
        <v>-1</v>
      </c>
      <c r="AU24" s="16">
        <f ca="1">(L24-'Airfoil 1'!$Z$34)/ABS(L24-'Airfoil 1'!$Z$34)</f>
        <v>-1</v>
      </c>
      <c r="AV24" s="16">
        <f ca="1">(L24-'Airfoil 1'!$Z$35)/ABS(L24-'Airfoil 1'!$Z$35)</f>
        <v>-1</v>
      </c>
      <c r="AW24" s="16">
        <f ca="1">(L24-'Airfoil 1'!$Z$36)/ABS(L24-'Airfoil 1'!$Z$36)</f>
        <v>-1</v>
      </c>
      <c r="AX24" s="16">
        <f ca="1">(L24-'Airfoil 1'!$Z$37)/ABS(L24-'Airfoil 1'!$Z$37)</f>
        <v>-1</v>
      </c>
      <c r="AY24" s="16">
        <f ca="1">(L24-'Airfoil 1'!$Z$38)/ABS(L24-'Airfoil 1'!$Z$38)</f>
        <v>-1</v>
      </c>
      <c r="AZ24" s="16">
        <f ca="1">(L24-'Airfoil 1'!$Z$39)/ABS(L24-'Airfoil 1'!$Z$39)</f>
        <v>-1</v>
      </c>
      <c r="BA24" s="16">
        <f ca="1">(L24-'Airfoil 1'!$Z$40)/ABS(L24-'Airfoil 1'!$Z$40)</f>
        <v>-1</v>
      </c>
      <c r="BB24" s="16">
        <f ca="1">(L24-'Airfoil 1'!$Z$41)/ABS(L24-'Airfoil 1'!$Z$41)</f>
        <v>-1</v>
      </c>
      <c r="BC24" s="5">
        <f t="shared" ca="1" si="8"/>
        <v>8</v>
      </c>
      <c r="BD24" s="42">
        <f ca="1">INDEX('Airfoil 1'!$AA$22:$AA$41,BC24,1)+INDEX('Airfoil 1'!$AB$22:$AB$41,BC24,1)*(L24-INDEX('Airfoil 1'!$Z$22:$Z$41,BC24,1))</f>
        <v>2.5062216230928001E-2</v>
      </c>
      <c r="BE24" s="6"/>
      <c r="BF24" s="16">
        <f ca="1">(L24-'Airfoil 1'!$Z$47)/ABS(L24-'Airfoil 1'!$Z$47)</f>
        <v>1</v>
      </c>
      <c r="BG24" s="16">
        <f ca="1">(L24-'Airfoil 1'!$Z$48)/ABS(L24-'Airfoil 1'!$Z$48)</f>
        <v>1</v>
      </c>
      <c r="BH24" s="16">
        <f ca="1">(L24-'Airfoil 1'!$Z$49)/ABS(L24-'Airfoil 1'!$Z$49)</f>
        <v>1</v>
      </c>
      <c r="BI24" s="16">
        <f ca="1">(L24-'Airfoil 1'!$Z$50)/ABS(L24-'Airfoil 1'!$Z$50)</f>
        <v>1</v>
      </c>
      <c r="BJ24" s="16">
        <f ca="1">(L24-'Airfoil 1'!$Z$51)/ABS(L24-'Airfoil 1'!$Z$51)</f>
        <v>1</v>
      </c>
      <c r="BK24" s="16">
        <f ca="1">(L24-'Airfoil 1'!$Z$52)/ABS(L24-'Airfoil 1'!$Z$52)</f>
        <v>1</v>
      </c>
      <c r="BL24" s="16">
        <f ca="1">(L24-'Airfoil 1'!$Z$53)/ABS(L24-'Airfoil 1'!$Z$53)</f>
        <v>1</v>
      </c>
      <c r="BM24" s="16">
        <f ca="1">(L24-'Airfoil 1'!$Z$54)/ABS(L24-'Airfoil 1'!$Z$54)</f>
        <v>-1</v>
      </c>
      <c r="BN24" s="16">
        <f ca="1">(L24-'Airfoil 1'!$Z$55)/ABS(L24-'Airfoil 1'!$Z$55)</f>
        <v>-1</v>
      </c>
      <c r="BO24" s="16">
        <f ca="1">(L24-'Airfoil 1'!$Z$56)/ABS(L24-'Airfoil 1'!$Z$56)</f>
        <v>-1</v>
      </c>
      <c r="BP24" s="16">
        <f ca="1">(L24-'Airfoil 1'!$Z$57)/ABS(L24-'Airfoil 1'!$Z$57)</f>
        <v>-1</v>
      </c>
      <c r="BQ24" s="16">
        <f ca="1">(L24-'Airfoil 1'!$Z$58)/ABS(L24-'Airfoil 1'!$Z$58)</f>
        <v>-1</v>
      </c>
      <c r="BR24" s="16">
        <f ca="1">(L24-'Airfoil 1'!$Z$59)/ABS(L24-'Airfoil 1'!$Z$59)</f>
        <v>-1</v>
      </c>
      <c r="BS24" s="16">
        <f ca="1">(L24-'Airfoil 1'!$Z$60)/ABS(L24-'Airfoil 1'!$Z$60)</f>
        <v>-1</v>
      </c>
      <c r="BT24" s="16">
        <f ca="1">(L24-'Airfoil 1'!$Z$61)/ABS(L24-'Airfoil 1'!$Z$61)</f>
        <v>-1</v>
      </c>
      <c r="BU24" s="16">
        <f ca="1">(L24-'Airfoil 1'!$Z$62)/ABS(L24-'Airfoil 1'!$Z$62)</f>
        <v>-1</v>
      </c>
      <c r="BV24" s="16">
        <f ca="1">(L24-'Airfoil 1'!$Z$63)/ABS(L24-'Airfoil 1'!$Z$63)</f>
        <v>-1</v>
      </c>
      <c r="BW24" s="16">
        <f ca="1">(L24-'Airfoil 1'!$Z$64)/ABS(L24-'Airfoil 1'!$Z$64)</f>
        <v>-1</v>
      </c>
      <c r="BX24" s="16">
        <f ca="1">(L24-'Airfoil 1'!$Z$65)/ABS(L24-'Airfoil 1'!$Z$65)</f>
        <v>-1</v>
      </c>
      <c r="BY24" s="16">
        <f ca="1">(L24-'Airfoil 1'!$Z$66)/ABS(L24-'Airfoil 1'!$Z$66)</f>
        <v>-1</v>
      </c>
      <c r="BZ24" s="5">
        <f t="shared" ca="1" si="9"/>
        <v>7</v>
      </c>
      <c r="CA24" s="42">
        <f ca="1">INDEX('Airfoil 1'!$AA$47:$AA$66,BZ24,1)+INDEX('Airfoil 1'!$AB$47:$AB$66,BZ24,1)*(L24-INDEX('Airfoil 1'!$Z$47:$Z$66,BZ24,1))</f>
        <v>1.8769168637847108E-2</v>
      </c>
      <c r="CC24" s="16">
        <f ca="1">(L24-'Airfoil 1'!$Z$72)/ABS(L24-'Airfoil 1'!$Z$72)</f>
        <v>1</v>
      </c>
      <c r="CD24" s="16">
        <f ca="1">(L24-'Airfoil 1'!$Z$73)/ABS(L24-'Airfoil 1'!$Z$73)</f>
        <v>1</v>
      </c>
      <c r="CE24" s="16">
        <f ca="1">(L24-'Airfoil 1'!$Z$74)/ABS(L24-'Airfoil 1'!$Z$74)</f>
        <v>1</v>
      </c>
      <c r="CF24" s="16">
        <f ca="1">(L24-'Airfoil 1'!$Z$75)/ABS(L24-'Airfoil 1'!$Z$75)</f>
        <v>1</v>
      </c>
      <c r="CG24" s="16">
        <f ca="1">(L24-'Airfoil 1'!$Z$76)/ABS(L24-'Airfoil 1'!$Z$76)</f>
        <v>1</v>
      </c>
      <c r="CH24" s="16">
        <f ca="1">(L24-'Airfoil 1'!$Z$77)/ABS(L24-'Airfoil 1'!$Z$77)</f>
        <v>1</v>
      </c>
      <c r="CI24" s="16">
        <f ca="1">(L24-'Airfoil 1'!$Z$78)/ABS(L24-'Airfoil 1'!$Z$78)</f>
        <v>-1</v>
      </c>
      <c r="CJ24" s="16">
        <f ca="1">(L24-'Airfoil 1'!$Z$79)/ABS(L24-'Airfoil 1'!$Z$79)</f>
        <v>-1</v>
      </c>
      <c r="CK24" s="16">
        <f ca="1">(L24-'Airfoil 1'!$Z$80)/ABS(L24-'Airfoil 1'!$Z$80)</f>
        <v>-1</v>
      </c>
      <c r="CL24" s="16">
        <f ca="1">(L24-'Airfoil 1'!$Z$81)/ABS(L24-'Airfoil 1'!$Z$81)</f>
        <v>-1</v>
      </c>
      <c r="CM24" s="16">
        <f ca="1">(L24-'Airfoil 1'!$Z$82)/ABS(L24-'Airfoil 1'!$Z$82)</f>
        <v>-1</v>
      </c>
      <c r="CN24" s="16">
        <f ca="1">(L24-'Airfoil 1'!$Z$83)/ABS(L24-'Airfoil 1'!$Z$83)</f>
        <v>-1</v>
      </c>
      <c r="CO24" s="16">
        <f ca="1">(L24-'Airfoil 1'!$Z$84)/ABS(L24-'Airfoil 1'!$Z$84)</f>
        <v>-1</v>
      </c>
      <c r="CP24" s="16">
        <f ca="1">(L24-'Airfoil 1'!$Z$85)/ABS(L24-'Airfoil 1'!$Z$85)</f>
        <v>-1</v>
      </c>
      <c r="CQ24" s="16">
        <f ca="1">(L24-'Airfoil 1'!$Z$86)/ABS(L24-'Airfoil 1'!$Z$86)</f>
        <v>-1</v>
      </c>
      <c r="CR24" s="16">
        <f ca="1">(L24-'Airfoil 1'!$Z$87)/ABS(L24-'Airfoil 1'!$Z$87)</f>
        <v>-1</v>
      </c>
      <c r="CS24" s="16">
        <f ca="1">(L24-'Airfoil 1'!$Z$88)/ABS(L24-'Airfoil 1'!$Z$88)</f>
        <v>-1</v>
      </c>
      <c r="CT24" s="16">
        <f ca="1">(L24-'Airfoil 1'!$Z$89)/ABS(L24-'Airfoil 1'!$Z$89)</f>
        <v>-1</v>
      </c>
      <c r="CU24" s="16">
        <f ca="1">(L24-'Airfoil 1'!$Z$90)/ABS(L24-'Airfoil 1'!$Z$90)</f>
        <v>-1</v>
      </c>
      <c r="CV24" s="16">
        <f ca="1">(L24-'Airfoil 1'!$Z$91)/ABS(L24-'Airfoil 1'!$Z$91)</f>
        <v>-1</v>
      </c>
      <c r="CW24" s="5">
        <f t="shared" ca="1" si="10"/>
        <v>6</v>
      </c>
      <c r="CX24" s="42">
        <f ca="1">INDEX('Airfoil 1'!$AA$72:$AA$91,CW24,1)+INDEX('Airfoil 1'!$AB$72:$AB$91,CW24,1)*(L24-INDEX('Airfoil 1'!$Z$72:$Z$91,CW24,1))</f>
        <v>1.2282595048042355E-2</v>
      </c>
    </row>
    <row r="25" spans="2:102">
      <c r="B25" s="31">
        <f>Main!B25</f>
        <v>0.33333333333333326</v>
      </c>
      <c r="D25" s="1">
        <f>Turn!F25</f>
        <v>0.65969672852566186</v>
      </c>
      <c r="E25" s="4">
        <f>ISA!$R$10</f>
        <v>1.5987591530356481E-5</v>
      </c>
      <c r="G25" s="13">
        <f ca="1">Turn!X25</f>
        <v>27.038832775859639</v>
      </c>
      <c r="H25" s="5">
        <f t="shared" ca="1" si="0"/>
        <v>371901.53566946328</v>
      </c>
      <c r="I25" s="16">
        <f ca="1">'Airfoil 2'!$K$14*H25^'Airfoil 2'!$L$13</f>
        <v>1.5842270753320722</v>
      </c>
      <c r="J25" s="1">
        <f ca="1">'Airfoil 2'!$K$33*H25^'Airfoil 2'!$L$32</f>
        <v>4.9317785666768117</v>
      </c>
      <c r="K25" s="13">
        <f ca="1">'Airfoil 2'!$K$52*H25^'Airfoil 2'!$L$51</f>
        <v>-9.5468153913771374</v>
      </c>
      <c r="L25" s="16">
        <f ca="1">'Aerodynamics-Turn'!W25</f>
        <v>1.0392304845413263</v>
      </c>
      <c r="M25" s="10">
        <f ca="1">('Airfoil 1'!$B$21+'Airfoil 1'!$B$22*L25+'Airfoil 1'!$B$23*L25^2+'Airfoil 1'!$B$24*L25^3+'Airfoil 1'!$B$25*L25^4+'Airfoil 1'!$B$26*L25^5+'Airfoil 1'!$B$27*L25^6)*0+BD25</f>
        <v>2.5062216230928001E-2</v>
      </c>
      <c r="N25" s="42">
        <f ca="1">('Airfoil 1'!$B$29+'Airfoil 1'!$B$30*L25+'Airfoil 1'!$B$31*L25^2+'Airfoil 1'!$B$32*L25^3+'Airfoil 1'!$B$33*L25^4+'Airfoil 1'!$B$34*L25^5+'Airfoil 1'!$B$35*L25^6)*0+CA25</f>
        <v>1.8769168637847108E-2</v>
      </c>
      <c r="O25" s="42">
        <f ca="1">('Airfoil 1'!$B$37+'Airfoil 1'!$B$38*L25+'Airfoil 1'!$B$39*L25^2+'Airfoil 1'!$B$40*L25^3+'Airfoil 1'!$B$41*L25^4+'Airfoil 1'!$B$42*L25^5+'Airfoil 1'!$B$43*L25^6)*0+CX25</f>
        <v>1.2282595048042355E-2</v>
      </c>
      <c r="P25" s="16">
        <f>LOG('Airfoil 1'!$F$10)+LOG('Airfoil 1'!$G$10)+LOG('Airfoil 1'!$H$10)</f>
        <v>15.176091259055681</v>
      </c>
      <c r="Q25" s="16">
        <f t="shared" ca="1" si="1"/>
        <v>-5.2382453573715591</v>
      </c>
      <c r="R25" s="16">
        <f>LOG('Airfoil 1'!$F$10)^2+LOG('Airfoil 1'!$G$10)^2+LOG('Airfoil 1'!$H$10)^2</f>
        <v>76.867141336751558</v>
      </c>
      <c r="S25" s="16">
        <f ca="1">LOG('Airfoil 1'!$F$10)*LOG(M25)+LOG('Airfoil 1'!$G$10)*LOG(N25)+LOG('Airfoil 1'!$H$10)*LOG(O25)</f>
        <v>-26.566383285240857</v>
      </c>
      <c r="T25" s="16">
        <f t="shared" ca="1" si="2"/>
        <v>66.780048933841258</v>
      </c>
      <c r="U25" s="16">
        <f t="shared" ca="1" si="3"/>
        <v>-0.70585932657973494</v>
      </c>
      <c r="V25" s="42">
        <f ca="1">IF(Energy!$F$11=1,Energy!$T$13,1)*T25*H25^U25</f>
        <v>8.6116583996927211E-3</v>
      </c>
      <c r="W25" s="10">
        <f ca="1">'Airfoil 1'!$B$48+'Airfoil 1'!$B$49*L25+'Airfoil 1'!$B$50*L25^2+'Airfoil 1'!$B$51*L25^3+'Airfoil 1'!$B$52*L25^4+'Airfoil 1'!$B$53*L25^5+'Airfoil 1'!$B$54*L25^6</f>
        <v>-0.155</v>
      </c>
      <c r="X25" s="42">
        <f ca="1">'Airfoil 1'!$B$56+'Airfoil 1'!$B$57*L25+'Airfoil 1'!$B$58*L25^2+'Airfoil 1'!$B$59*L25^3+'Airfoil 1'!$B$60*L25^4+'Airfoil 1'!$B$61*L25^5+'Airfoil 1'!$B$62*L25^6</f>
        <v>-0.155</v>
      </c>
      <c r="Y25" s="42">
        <f ca="1">'Airfoil 1'!$B$64+'Airfoil 1'!$B$65*L25+'Airfoil 1'!$B$66*L25^2+'Airfoil 1'!$B$67*L25^3+'Airfoil 1'!$B$681*L25^4+'Airfoil 1'!$B$69*L25^5+'Airfoil 1'!$B$70*L25^6</f>
        <v>-0.155</v>
      </c>
      <c r="Z25" s="16">
        <f>LOG('Airfoil 1'!$F$10)+LOG('Airfoil 1'!$G$10)+LOG('Airfoil 1'!$H$10)</f>
        <v>15.176091259055681</v>
      </c>
      <c r="AA25" s="16">
        <f t="shared" ca="1" si="4"/>
        <v>-2.4290049054891254</v>
      </c>
      <c r="AB25" s="16">
        <f>LOG('Airfoil 1'!$F$10)^2+LOG('Airfoil 1'!$G$10)^2+LOG('Airfoil 1'!$H$10)^2</f>
        <v>76.867141336751558</v>
      </c>
      <c r="AC25" s="16">
        <f ca="1">LOG('Airfoil 1'!$F$10)*LOG(ABS(W25))+LOG('Airfoil 1'!$G$10)*LOG(ABS(X25))+LOG('Airfoil 1'!$H$10)*LOG(ABS(Y25))</f>
        <v>-12.287600038132297</v>
      </c>
      <c r="AD25" s="16">
        <f t="shared" ca="1" si="5"/>
        <v>0.1550000000000121</v>
      </c>
      <c r="AE25" s="16">
        <f t="shared" ca="1" si="6"/>
        <v>-6.6718325633022456E-15</v>
      </c>
      <c r="AF25" s="42">
        <f t="shared" ca="1" si="7"/>
        <v>-0.15499999999999886</v>
      </c>
      <c r="AG25" s="16"/>
      <c r="AH25" s="42"/>
      <c r="AI25" s="16">
        <f ca="1">(L25-'Airfoil 1'!$Z$22)/ABS(L25-'Airfoil 1'!$Z$22)</f>
        <v>1</v>
      </c>
      <c r="AJ25" s="16">
        <f ca="1">(L25-'Airfoil 1'!$Z$23)/ABS(L25-'Airfoil 1'!$Z$23)</f>
        <v>1</v>
      </c>
      <c r="AK25" s="16">
        <f ca="1">(L25-'Airfoil 1'!$Z$24)/ABS(L25-'Airfoil 1'!$Z$24)</f>
        <v>1</v>
      </c>
      <c r="AL25" s="16">
        <f ca="1">(L25-'Airfoil 1'!$Z$25)/ABS(L25-'Airfoil 1'!$Z$25)</f>
        <v>1</v>
      </c>
      <c r="AM25" s="16">
        <f ca="1">(L25-'Airfoil 1'!$Z$26)/ABS(L25-'Airfoil 1'!$Z$26)</f>
        <v>1</v>
      </c>
      <c r="AN25" s="16">
        <f ca="1">(L25-'Airfoil 1'!$Z$27)/ABS(L25-'Airfoil 1'!$Z$27)</f>
        <v>1</v>
      </c>
      <c r="AO25" s="16">
        <f ca="1">(L25-'Airfoil 1'!$Z$28)/ABS(L25-'Airfoil 1'!$Z$28)</f>
        <v>1</v>
      </c>
      <c r="AP25" s="16">
        <f ca="1">(L25-'Airfoil 1'!$Z$29)/ABS(L25-'Airfoil 1'!$Z$29)</f>
        <v>1</v>
      </c>
      <c r="AQ25" s="16">
        <f ca="1">(L25-'Airfoil 1'!$Z$30)/ABS(L25-'Airfoil 1'!$Z$30)</f>
        <v>-1</v>
      </c>
      <c r="AR25" s="16">
        <f ca="1">(L25-'Airfoil 1'!$Z$31)/ABS(L25-'Airfoil 1'!$Z$31)</f>
        <v>-1</v>
      </c>
      <c r="AS25" s="16">
        <f ca="1">(L25-'Airfoil 1'!$Z$32)/ABS(L25-'Airfoil 1'!$Z$32)</f>
        <v>-1</v>
      </c>
      <c r="AT25" s="16">
        <f ca="1">(L25-'Airfoil 1'!$Z$33)/ABS(L25-'Airfoil 1'!$Z$33)</f>
        <v>-1</v>
      </c>
      <c r="AU25" s="16">
        <f ca="1">(L25-'Airfoil 1'!$Z$34)/ABS(L25-'Airfoil 1'!$Z$34)</f>
        <v>-1</v>
      </c>
      <c r="AV25" s="16">
        <f ca="1">(L25-'Airfoil 1'!$Z$35)/ABS(L25-'Airfoil 1'!$Z$35)</f>
        <v>-1</v>
      </c>
      <c r="AW25" s="16">
        <f ca="1">(L25-'Airfoil 1'!$Z$36)/ABS(L25-'Airfoil 1'!$Z$36)</f>
        <v>-1</v>
      </c>
      <c r="AX25" s="16">
        <f ca="1">(L25-'Airfoil 1'!$Z$37)/ABS(L25-'Airfoil 1'!$Z$37)</f>
        <v>-1</v>
      </c>
      <c r="AY25" s="16">
        <f ca="1">(L25-'Airfoil 1'!$Z$38)/ABS(L25-'Airfoil 1'!$Z$38)</f>
        <v>-1</v>
      </c>
      <c r="AZ25" s="16">
        <f ca="1">(L25-'Airfoil 1'!$Z$39)/ABS(L25-'Airfoil 1'!$Z$39)</f>
        <v>-1</v>
      </c>
      <c r="BA25" s="16">
        <f ca="1">(L25-'Airfoil 1'!$Z$40)/ABS(L25-'Airfoil 1'!$Z$40)</f>
        <v>-1</v>
      </c>
      <c r="BB25" s="16">
        <f ca="1">(L25-'Airfoil 1'!$Z$41)/ABS(L25-'Airfoil 1'!$Z$41)</f>
        <v>-1</v>
      </c>
      <c r="BC25" s="5">
        <f t="shared" ca="1" si="8"/>
        <v>8</v>
      </c>
      <c r="BD25" s="42">
        <f ca="1">INDEX('Airfoil 1'!$AA$22:$AA$41,BC25,1)+INDEX('Airfoil 1'!$AB$22:$AB$41,BC25,1)*(L25-INDEX('Airfoil 1'!$Z$22:$Z$41,BC25,1))</f>
        <v>2.5062216230928001E-2</v>
      </c>
      <c r="BE25" s="6"/>
      <c r="BF25" s="16">
        <f ca="1">(L25-'Airfoil 1'!$Z$47)/ABS(L25-'Airfoil 1'!$Z$47)</f>
        <v>1</v>
      </c>
      <c r="BG25" s="16">
        <f ca="1">(L25-'Airfoil 1'!$Z$48)/ABS(L25-'Airfoil 1'!$Z$48)</f>
        <v>1</v>
      </c>
      <c r="BH25" s="16">
        <f ca="1">(L25-'Airfoil 1'!$Z$49)/ABS(L25-'Airfoil 1'!$Z$49)</f>
        <v>1</v>
      </c>
      <c r="BI25" s="16">
        <f ca="1">(L25-'Airfoil 1'!$Z$50)/ABS(L25-'Airfoil 1'!$Z$50)</f>
        <v>1</v>
      </c>
      <c r="BJ25" s="16">
        <f ca="1">(L25-'Airfoil 1'!$Z$51)/ABS(L25-'Airfoil 1'!$Z$51)</f>
        <v>1</v>
      </c>
      <c r="BK25" s="16">
        <f ca="1">(L25-'Airfoil 1'!$Z$52)/ABS(L25-'Airfoil 1'!$Z$52)</f>
        <v>1</v>
      </c>
      <c r="BL25" s="16">
        <f ca="1">(L25-'Airfoil 1'!$Z$53)/ABS(L25-'Airfoil 1'!$Z$53)</f>
        <v>1</v>
      </c>
      <c r="BM25" s="16">
        <f ca="1">(L25-'Airfoil 1'!$Z$54)/ABS(L25-'Airfoil 1'!$Z$54)</f>
        <v>-1</v>
      </c>
      <c r="BN25" s="16">
        <f ca="1">(L25-'Airfoil 1'!$Z$55)/ABS(L25-'Airfoil 1'!$Z$55)</f>
        <v>-1</v>
      </c>
      <c r="BO25" s="16">
        <f ca="1">(L25-'Airfoil 1'!$Z$56)/ABS(L25-'Airfoil 1'!$Z$56)</f>
        <v>-1</v>
      </c>
      <c r="BP25" s="16">
        <f ca="1">(L25-'Airfoil 1'!$Z$57)/ABS(L25-'Airfoil 1'!$Z$57)</f>
        <v>-1</v>
      </c>
      <c r="BQ25" s="16">
        <f ca="1">(L25-'Airfoil 1'!$Z$58)/ABS(L25-'Airfoil 1'!$Z$58)</f>
        <v>-1</v>
      </c>
      <c r="BR25" s="16">
        <f ca="1">(L25-'Airfoil 1'!$Z$59)/ABS(L25-'Airfoil 1'!$Z$59)</f>
        <v>-1</v>
      </c>
      <c r="BS25" s="16">
        <f ca="1">(L25-'Airfoil 1'!$Z$60)/ABS(L25-'Airfoil 1'!$Z$60)</f>
        <v>-1</v>
      </c>
      <c r="BT25" s="16">
        <f ca="1">(L25-'Airfoil 1'!$Z$61)/ABS(L25-'Airfoil 1'!$Z$61)</f>
        <v>-1</v>
      </c>
      <c r="BU25" s="16">
        <f ca="1">(L25-'Airfoil 1'!$Z$62)/ABS(L25-'Airfoil 1'!$Z$62)</f>
        <v>-1</v>
      </c>
      <c r="BV25" s="16">
        <f ca="1">(L25-'Airfoil 1'!$Z$63)/ABS(L25-'Airfoil 1'!$Z$63)</f>
        <v>-1</v>
      </c>
      <c r="BW25" s="16">
        <f ca="1">(L25-'Airfoil 1'!$Z$64)/ABS(L25-'Airfoil 1'!$Z$64)</f>
        <v>-1</v>
      </c>
      <c r="BX25" s="16">
        <f ca="1">(L25-'Airfoil 1'!$Z$65)/ABS(L25-'Airfoil 1'!$Z$65)</f>
        <v>-1</v>
      </c>
      <c r="BY25" s="16">
        <f ca="1">(L25-'Airfoil 1'!$Z$66)/ABS(L25-'Airfoil 1'!$Z$66)</f>
        <v>-1</v>
      </c>
      <c r="BZ25" s="5">
        <f t="shared" ca="1" si="9"/>
        <v>7</v>
      </c>
      <c r="CA25" s="42">
        <f ca="1">INDEX('Airfoil 1'!$AA$47:$AA$66,BZ25,1)+INDEX('Airfoil 1'!$AB$47:$AB$66,BZ25,1)*(L25-INDEX('Airfoil 1'!$Z$47:$Z$66,BZ25,1))</f>
        <v>1.8769168637847108E-2</v>
      </c>
      <c r="CC25" s="16">
        <f ca="1">(L25-'Airfoil 1'!$Z$72)/ABS(L25-'Airfoil 1'!$Z$72)</f>
        <v>1</v>
      </c>
      <c r="CD25" s="16">
        <f ca="1">(L25-'Airfoil 1'!$Z$73)/ABS(L25-'Airfoil 1'!$Z$73)</f>
        <v>1</v>
      </c>
      <c r="CE25" s="16">
        <f ca="1">(L25-'Airfoil 1'!$Z$74)/ABS(L25-'Airfoil 1'!$Z$74)</f>
        <v>1</v>
      </c>
      <c r="CF25" s="16">
        <f ca="1">(L25-'Airfoil 1'!$Z$75)/ABS(L25-'Airfoil 1'!$Z$75)</f>
        <v>1</v>
      </c>
      <c r="CG25" s="16">
        <f ca="1">(L25-'Airfoil 1'!$Z$76)/ABS(L25-'Airfoil 1'!$Z$76)</f>
        <v>1</v>
      </c>
      <c r="CH25" s="16">
        <f ca="1">(L25-'Airfoil 1'!$Z$77)/ABS(L25-'Airfoil 1'!$Z$77)</f>
        <v>1</v>
      </c>
      <c r="CI25" s="16">
        <f ca="1">(L25-'Airfoil 1'!$Z$78)/ABS(L25-'Airfoil 1'!$Z$78)</f>
        <v>-1</v>
      </c>
      <c r="CJ25" s="16">
        <f ca="1">(L25-'Airfoil 1'!$Z$79)/ABS(L25-'Airfoil 1'!$Z$79)</f>
        <v>-1</v>
      </c>
      <c r="CK25" s="16">
        <f ca="1">(L25-'Airfoil 1'!$Z$80)/ABS(L25-'Airfoil 1'!$Z$80)</f>
        <v>-1</v>
      </c>
      <c r="CL25" s="16">
        <f ca="1">(L25-'Airfoil 1'!$Z$81)/ABS(L25-'Airfoil 1'!$Z$81)</f>
        <v>-1</v>
      </c>
      <c r="CM25" s="16">
        <f ca="1">(L25-'Airfoil 1'!$Z$82)/ABS(L25-'Airfoil 1'!$Z$82)</f>
        <v>-1</v>
      </c>
      <c r="CN25" s="16">
        <f ca="1">(L25-'Airfoil 1'!$Z$83)/ABS(L25-'Airfoil 1'!$Z$83)</f>
        <v>-1</v>
      </c>
      <c r="CO25" s="16">
        <f ca="1">(L25-'Airfoil 1'!$Z$84)/ABS(L25-'Airfoil 1'!$Z$84)</f>
        <v>-1</v>
      </c>
      <c r="CP25" s="16">
        <f ca="1">(L25-'Airfoil 1'!$Z$85)/ABS(L25-'Airfoil 1'!$Z$85)</f>
        <v>-1</v>
      </c>
      <c r="CQ25" s="16">
        <f ca="1">(L25-'Airfoil 1'!$Z$86)/ABS(L25-'Airfoil 1'!$Z$86)</f>
        <v>-1</v>
      </c>
      <c r="CR25" s="16">
        <f ca="1">(L25-'Airfoil 1'!$Z$87)/ABS(L25-'Airfoil 1'!$Z$87)</f>
        <v>-1</v>
      </c>
      <c r="CS25" s="16">
        <f ca="1">(L25-'Airfoil 1'!$Z$88)/ABS(L25-'Airfoil 1'!$Z$88)</f>
        <v>-1</v>
      </c>
      <c r="CT25" s="16">
        <f ca="1">(L25-'Airfoil 1'!$Z$89)/ABS(L25-'Airfoil 1'!$Z$89)</f>
        <v>-1</v>
      </c>
      <c r="CU25" s="16">
        <f ca="1">(L25-'Airfoil 1'!$Z$90)/ABS(L25-'Airfoil 1'!$Z$90)</f>
        <v>-1</v>
      </c>
      <c r="CV25" s="16">
        <f ca="1">(L25-'Airfoil 1'!$Z$91)/ABS(L25-'Airfoil 1'!$Z$91)</f>
        <v>-1</v>
      </c>
      <c r="CW25" s="5">
        <f t="shared" ca="1" si="10"/>
        <v>6</v>
      </c>
      <c r="CX25" s="42">
        <f ca="1">INDEX('Airfoil 1'!$AA$72:$AA$91,CW25,1)+INDEX('Airfoil 1'!$AB$72:$AB$91,CW25,1)*(L25-INDEX('Airfoil 1'!$Z$72:$Z$91,CW25,1))</f>
        <v>1.2282595048042355E-2</v>
      </c>
    </row>
    <row r="26" spans="2:102">
      <c r="B26" s="31">
        <f>Main!B26</f>
        <v>0.33333333333333326</v>
      </c>
      <c r="D26" s="1">
        <f>Turn!F26</f>
        <v>0.65969672852566186</v>
      </c>
      <c r="E26" s="4">
        <f>ISA!$R$10</f>
        <v>1.5987591530356481E-5</v>
      </c>
      <c r="G26" s="13">
        <f ca="1">Turn!X26</f>
        <v>26.646781908888325</v>
      </c>
      <c r="H26" s="5">
        <f t="shared" ca="1" si="0"/>
        <v>366509.13131917827</v>
      </c>
      <c r="I26" s="16">
        <f ca="1">'Airfoil 2'!$K$14*H26^'Airfoil 2'!$L$13</f>
        <v>1.5839054481051409</v>
      </c>
      <c r="J26" s="1">
        <f ca="1">'Airfoil 2'!$K$33*H26^'Airfoil 2'!$L$32</f>
        <v>4.9560657919840949</v>
      </c>
      <c r="K26" s="13">
        <f ca="1">'Airfoil 2'!$K$52*H26^'Airfoil 2'!$L$51</f>
        <v>-9.4540201936136423</v>
      </c>
      <c r="L26" s="16">
        <f ca="1">'Aerodynamics-Turn'!W26</f>
        <v>1.0392304845413263</v>
      </c>
      <c r="M26" s="10">
        <f ca="1">('Airfoil 1'!$B$21+'Airfoil 1'!$B$22*L26+'Airfoil 1'!$B$23*L26^2+'Airfoil 1'!$B$24*L26^3+'Airfoil 1'!$B$25*L26^4+'Airfoil 1'!$B$26*L26^5+'Airfoil 1'!$B$27*L26^6)*0+BD26</f>
        <v>2.5062216230928001E-2</v>
      </c>
      <c r="N26" s="42">
        <f ca="1">('Airfoil 1'!$B$29+'Airfoil 1'!$B$30*L26+'Airfoil 1'!$B$31*L26^2+'Airfoil 1'!$B$32*L26^3+'Airfoil 1'!$B$33*L26^4+'Airfoil 1'!$B$34*L26^5+'Airfoil 1'!$B$35*L26^6)*0+CA26</f>
        <v>1.8769168637847108E-2</v>
      </c>
      <c r="O26" s="42">
        <f ca="1">('Airfoil 1'!$B$37+'Airfoil 1'!$B$38*L26+'Airfoil 1'!$B$39*L26^2+'Airfoil 1'!$B$40*L26^3+'Airfoil 1'!$B$41*L26^4+'Airfoil 1'!$B$42*L26^5+'Airfoil 1'!$B$43*L26^6)*0+CX26</f>
        <v>1.2282595048042355E-2</v>
      </c>
      <c r="P26" s="16">
        <f>LOG('Airfoil 1'!$F$10)+LOG('Airfoil 1'!$G$10)+LOG('Airfoil 1'!$H$10)</f>
        <v>15.176091259055681</v>
      </c>
      <c r="Q26" s="16">
        <f t="shared" ca="1" si="1"/>
        <v>-5.2382453573715591</v>
      </c>
      <c r="R26" s="16">
        <f>LOG('Airfoil 1'!$F$10)^2+LOG('Airfoil 1'!$G$10)^2+LOG('Airfoil 1'!$H$10)^2</f>
        <v>76.867141336751558</v>
      </c>
      <c r="S26" s="16">
        <f ca="1">LOG('Airfoil 1'!$F$10)*LOG(M26)+LOG('Airfoil 1'!$G$10)*LOG(N26)+LOG('Airfoil 1'!$H$10)*LOG(O26)</f>
        <v>-26.566383285240857</v>
      </c>
      <c r="T26" s="16">
        <f t="shared" ca="1" si="2"/>
        <v>66.780048933841258</v>
      </c>
      <c r="U26" s="16">
        <f t="shared" ca="1" si="3"/>
        <v>-0.70585932657973494</v>
      </c>
      <c r="V26" s="42">
        <f ca="1">IF(Energy!$F$11=1,Energy!$T$13,1)*T26*H26^U26</f>
        <v>8.7009000870900115E-3</v>
      </c>
      <c r="W26" s="10">
        <f ca="1">'Airfoil 1'!$B$48+'Airfoil 1'!$B$49*L26+'Airfoil 1'!$B$50*L26^2+'Airfoil 1'!$B$51*L26^3+'Airfoil 1'!$B$52*L26^4+'Airfoil 1'!$B$53*L26^5+'Airfoil 1'!$B$54*L26^6</f>
        <v>-0.155</v>
      </c>
      <c r="X26" s="42">
        <f ca="1">'Airfoil 1'!$B$56+'Airfoil 1'!$B$57*L26+'Airfoil 1'!$B$58*L26^2+'Airfoil 1'!$B$59*L26^3+'Airfoil 1'!$B$60*L26^4+'Airfoil 1'!$B$61*L26^5+'Airfoil 1'!$B$62*L26^6</f>
        <v>-0.155</v>
      </c>
      <c r="Y26" s="42">
        <f ca="1">'Airfoil 1'!$B$64+'Airfoil 1'!$B$65*L26+'Airfoil 1'!$B$66*L26^2+'Airfoil 1'!$B$67*L26^3+'Airfoil 1'!$B$681*L26^4+'Airfoil 1'!$B$69*L26^5+'Airfoil 1'!$B$70*L26^6</f>
        <v>-0.155</v>
      </c>
      <c r="Z26" s="16">
        <f>LOG('Airfoil 1'!$F$10)+LOG('Airfoil 1'!$G$10)+LOG('Airfoil 1'!$H$10)</f>
        <v>15.176091259055681</v>
      </c>
      <c r="AA26" s="16">
        <f t="shared" ca="1" si="4"/>
        <v>-2.4290049054891254</v>
      </c>
      <c r="AB26" s="16">
        <f>LOG('Airfoil 1'!$F$10)^2+LOG('Airfoil 1'!$G$10)^2+LOG('Airfoil 1'!$H$10)^2</f>
        <v>76.867141336751558</v>
      </c>
      <c r="AC26" s="16">
        <f ca="1">LOG('Airfoil 1'!$F$10)*LOG(ABS(W26))+LOG('Airfoil 1'!$G$10)*LOG(ABS(X26))+LOG('Airfoil 1'!$H$10)*LOG(ABS(Y26))</f>
        <v>-12.287600038132297</v>
      </c>
      <c r="AD26" s="16">
        <f t="shared" ca="1" si="5"/>
        <v>0.1550000000000121</v>
      </c>
      <c r="AE26" s="16">
        <f t="shared" ca="1" si="6"/>
        <v>-6.6718325633022456E-15</v>
      </c>
      <c r="AF26" s="42">
        <f t="shared" ca="1" si="7"/>
        <v>-0.15499999999999886</v>
      </c>
      <c r="AG26" s="16"/>
      <c r="AH26" s="42"/>
      <c r="AI26" s="16">
        <f ca="1">(L26-'Airfoil 1'!$Z$22)/ABS(L26-'Airfoil 1'!$Z$22)</f>
        <v>1</v>
      </c>
      <c r="AJ26" s="16">
        <f ca="1">(L26-'Airfoil 1'!$Z$23)/ABS(L26-'Airfoil 1'!$Z$23)</f>
        <v>1</v>
      </c>
      <c r="AK26" s="16">
        <f ca="1">(L26-'Airfoil 1'!$Z$24)/ABS(L26-'Airfoil 1'!$Z$24)</f>
        <v>1</v>
      </c>
      <c r="AL26" s="16">
        <f ca="1">(L26-'Airfoil 1'!$Z$25)/ABS(L26-'Airfoil 1'!$Z$25)</f>
        <v>1</v>
      </c>
      <c r="AM26" s="16">
        <f ca="1">(L26-'Airfoil 1'!$Z$26)/ABS(L26-'Airfoil 1'!$Z$26)</f>
        <v>1</v>
      </c>
      <c r="AN26" s="16">
        <f ca="1">(L26-'Airfoil 1'!$Z$27)/ABS(L26-'Airfoil 1'!$Z$27)</f>
        <v>1</v>
      </c>
      <c r="AO26" s="16">
        <f ca="1">(L26-'Airfoil 1'!$Z$28)/ABS(L26-'Airfoil 1'!$Z$28)</f>
        <v>1</v>
      </c>
      <c r="AP26" s="16">
        <f ca="1">(L26-'Airfoil 1'!$Z$29)/ABS(L26-'Airfoil 1'!$Z$29)</f>
        <v>1</v>
      </c>
      <c r="AQ26" s="16">
        <f ca="1">(L26-'Airfoil 1'!$Z$30)/ABS(L26-'Airfoil 1'!$Z$30)</f>
        <v>-1</v>
      </c>
      <c r="AR26" s="16">
        <f ca="1">(L26-'Airfoil 1'!$Z$31)/ABS(L26-'Airfoil 1'!$Z$31)</f>
        <v>-1</v>
      </c>
      <c r="AS26" s="16">
        <f ca="1">(L26-'Airfoil 1'!$Z$32)/ABS(L26-'Airfoil 1'!$Z$32)</f>
        <v>-1</v>
      </c>
      <c r="AT26" s="16">
        <f ca="1">(L26-'Airfoil 1'!$Z$33)/ABS(L26-'Airfoil 1'!$Z$33)</f>
        <v>-1</v>
      </c>
      <c r="AU26" s="16">
        <f ca="1">(L26-'Airfoil 1'!$Z$34)/ABS(L26-'Airfoil 1'!$Z$34)</f>
        <v>-1</v>
      </c>
      <c r="AV26" s="16">
        <f ca="1">(L26-'Airfoil 1'!$Z$35)/ABS(L26-'Airfoil 1'!$Z$35)</f>
        <v>-1</v>
      </c>
      <c r="AW26" s="16">
        <f ca="1">(L26-'Airfoil 1'!$Z$36)/ABS(L26-'Airfoil 1'!$Z$36)</f>
        <v>-1</v>
      </c>
      <c r="AX26" s="16">
        <f ca="1">(L26-'Airfoil 1'!$Z$37)/ABS(L26-'Airfoil 1'!$Z$37)</f>
        <v>-1</v>
      </c>
      <c r="AY26" s="16">
        <f ca="1">(L26-'Airfoil 1'!$Z$38)/ABS(L26-'Airfoil 1'!$Z$38)</f>
        <v>-1</v>
      </c>
      <c r="AZ26" s="16">
        <f ca="1">(L26-'Airfoil 1'!$Z$39)/ABS(L26-'Airfoil 1'!$Z$39)</f>
        <v>-1</v>
      </c>
      <c r="BA26" s="16">
        <f ca="1">(L26-'Airfoil 1'!$Z$40)/ABS(L26-'Airfoil 1'!$Z$40)</f>
        <v>-1</v>
      </c>
      <c r="BB26" s="16">
        <f ca="1">(L26-'Airfoil 1'!$Z$41)/ABS(L26-'Airfoil 1'!$Z$41)</f>
        <v>-1</v>
      </c>
      <c r="BC26" s="5">
        <f t="shared" ca="1" si="8"/>
        <v>8</v>
      </c>
      <c r="BD26" s="42">
        <f ca="1">INDEX('Airfoil 1'!$AA$22:$AA$41,BC26,1)+INDEX('Airfoil 1'!$AB$22:$AB$41,BC26,1)*(L26-INDEX('Airfoil 1'!$Z$22:$Z$41,BC26,1))</f>
        <v>2.5062216230928001E-2</v>
      </c>
      <c r="BE26" s="6"/>
      <c r="BF26" s="16">
        <f ca="1">(L26-'Airfoil 1'!$Z$47)/ABS(L26-'Airfoil 1'!$Z$47)</f>
        <v>1</v>
      </c>
      <c r="BG26" s="16">
        <f ca="1">(L26-'Airfoil 1'!$Z$48)/ABS(L26-'Airfoil 1'!$Z$48)</f>
        <v>1</v>
      </c>
      <c r="BH26" s="16">
        <f ca="1">(L26-'Airfoil 1'!$Z$49)/ABS(L26-'Airfoil 1'!$Z$49)</f>
        <v>1</v>
      </c>
      <c r="BI26" s="16">
        <f ca="1">(L26-'Airfoil 1'!$Z$50)/ABS(L26-'Airfoil 1'!$Z$50)</f>
        <v>1</v>
      </c>
      <c r="BJ26" s="16">
        <f ca="1">(L26-'Airfoil 1'!$Z$51)/ABS(L26-'Airfoil 1'!$Z$51)</f>
        <v>1</v>
      </c>
      <c r="BK26" s="16">
        <f ca="1">(L26-'Airfoil 1'!$Z$52)/ABS(L26-'Airfoil 1'!$Z$52)</f>
        <v>1</v>
      </c>
      <c r="BL26" s="16">
        <f ca="1">(L26-'Airfoil 1'!$Z$53)/ABS(L26-'Airfoil 1'!$Z$53)</f>
        <v>1</v>
      </c>
      <c r="BM26" s="16">
        <f ca="1">(L26-'Airfoil 1'!$Z$54)/ABS(L26-'Airfoil 1'!$Z$54)</f>
        <v>-1</v>
      </c>
      <c r="BN26" s="16">
        <f ca="1">(L26-'Airfoil 1'!$Z$55)/ABS(L26-'Airfoil 1'!$Z$55)</f>
        <v>-1</v>
      </c>
      <c r="BO26" s="16">
        <f ca="1">(L26-'Airfoil 1'!$Z$56)/ABS(L26-'Airfoil 1'!$Z$56)</f>
        <v>-1</v>
      </c>
      <c r="BP26" s="16">
        <f ca="1">(L26-'Airfoil 1'!$Z$57)/ABS(L26-'Airfoil 1'!$Z$57)</f>
        <v>-1</v>
      </c>
      <c r="BQ26" s="16">
        <f ca="1">(L26-'Airfoil 1'!$Z$58)/ABS(L26-'Airfoil 1'!$Z$58)</f>
        <v>-1</v>
      </c>
      <c r="BR26" s="16">
        <f ca="1">(L26-'Airfoil 1'!$Z$59)/ABS(L26-'Airfoil 1'!$Z$59)</f>
        <v>-1</v>
      </c>
      <c r="BS26" s="16">
        <f ca="1">(L26-'Airfoil 1'!$Z$60)/ABS(L26-'Airfoil 1'!$Z$60)</f>
        <v>-1</v>
      </c>
      <c r="BT26" s="16">
        <f ca="1">(L26-'Airfoil 1'!$Z$61)/ABS(L26-'Airfoil 1'!$Z$61)</f>
        <v>-1</v>
      </c>
      <c r="BU26" s="16">
        <f ca="1">(L26-'Airfoil 1'!$Z$62)/ABS(L26-'Airfoil 1'!$Z$62)</f>
        <v>-1</v>
      </c>
      <c r="BV26" s="16">
        <f ca="1">(L26-'Airfoil 1'!$Z$63)/ABS(L26-'Airfoil 1'!$Z$63)</f>
        <v>-1</v>
      </c>
      <c r="BW26" s="16">
        <f ca="1">(L26-'Airfoil 1'!$Z$64)/ABS(L26-'Airfoil 1'!$Z$64)</f>
        <v>-1</v>
      </c>
      <c r="BX26" s="16">
        <f ca="1">(L26-'Airfoil 1'!$Z$65)/ABS(L26-'Airfoil 1'!$Z$65)</f>
        <v>-1</v>
      </c>
      <c r="BY26" s="16">
        <f ca="1">(L26-'Airfoil 1'!$Z$66)/ABS(L26-'Airfoil 1'!$Z$66)</f>
        <v>-1</v>
      </c>
      <c r="BZ26" s="5">
        <f t="shared" ca="1" si="9"/>
        <v>7</v>
      </c>
      <c r="CA26" s="42">
        <f ca="1">INDEX('Airfoil 1'!$AA$47:$AA$66,BZ26,1)+INDEX('Airfoil 1'!$AB$47:$AB$66,BZ26,1)*(L26-INDEX('Airfoil 1'!$Z$47:$Z$66,BZ26,1))</f>
        <v>1.8769168637847108E-2</v>
      </c>
      <c r="CC26" s="16">
        <f ca="1">(L26-'Airfoil 1'!$Z$72)/ABS(L26-'Airfoil 1'!$Z$72)</f>
        <v>1</v>
      </c>
      <c r="CD26" s="16">
        <f ca="1">(L26-'Airfoil 1'!$Z$73)/ABS(L26-'Airfoil 1'!$Z$73)</f>
        <v>1</v>
      </c>
      <c r="CE26" s="16">
        <f ca="1">(L26-'Airfoil 1'!$Z$74)/ABS(L26-'Airfoil 1'!$Z$74)</f>
        <v>1</v>
      </c>
      <c r="CF26" s="16">
        <f ca="1">(L26-'Airfoil 1'!$Z$75)/ABS(L26-'Airfoil 1'!$Z$75)</f>
        <v>1</v>
      </c>
      <c r="CG26" s="16">
        <f ca="1">(L26-'Airfoil 1'!$Z$76)/ABS(L26-'Airfoil 1'!$Z$76)</f>
        <v>1</v>
      </c>
      <c r="CH26" s="16">
        <f ca="1">(L26-'Airfoil 1'!$Z$77)/ABS(L26-'Airfoil 1'!$Z$77)</f>
        <v>1</v>
      </c>
      <c r="CI26" s="16">
        <f ca="1">(L26-'Airfoil 1'!$Z$78)/ABS(L26-'Airfoil 1'!$Z$78)</f>
        <v>-1</v>
      </c>
      <c r="CJ26" s="16">
        <f ca="1">(L26-'Airfoil 1'!$Z$79)/ABS(L26-'Airfoil 1'!$Z$79)</f>
        <v>-1</v>
      </c>
      <c r="CK26" s="16">
        <f ca="1">(L26-'Airfoil 1'!$Z$80)/ABS(L26-'Airfoil 1'!$Z$80)</f>
        <v>-1</v>
      </c>
      <c r="CL26" s="16">
        <f ca="1">(L26-'Airfoil 1'!$Z$81)/ABS(L26-'Airfoil 1'!$Z$81)</f>
        <v>-1</v>
      </c>
      <c r="CM26" s="16">
        <f ca="1">(L26-'Airfoil 1'!$Z$82)/ABS(L26-'Airfoil 1'!$Z$82)</f>
        <v>-1</v>
      </c>
      <c r="CN26" s="16">
        <f ca="1">(L26-'Airfoil 1'!$Z$83)/ABS(L26-'Airfoil 1'!$Z$83)</f>
        <v>-1</v>
      </c>
      <c r="CO26" s="16">
        <f ca="1">(L26-'Airfoil 1'!$Z$84)/ABS(L26-'Airfoil 1'!$Z$84)</f>
        <v>-1</v>
      </c>
      <c r="CP26" s="16">
        <f ca="1">(L26-'Airfoil 1'!$Z$85)/ABS(L26-'Airfoil 1'!$Z$85)</f>
        <v>-1</v>
      </c>
      <c r="CQ26" s="16">
        <f ca="1">(L26-'Airfoil 1'!$Z$86)/ABS(L26-'Airfoil 1'!$Z$86)</f>
        <v>-1</v>
      </c>
      <c r="CR26" s="16">
        <f ca="1">(L26-'Airfoil 1'!$Z$87)/ABS(L26-'Airfoil 1'!$Z$87)</f>
        <v>-1</v>
      </c>
      <c r="CS26" s="16">
        <f ca="1">(L26-'Airfoil 1'!$Z$88)/ABS(L26-'Airfoil 1'!$Z$88)</f>
        <v>-1</v>
      </c>
      <c r="CT26" s="16">
        <f ca="1">(L26-'Airfoil 1'!$Z$89)/ABS(L26-'Airfoil 1'!$Z$89)</f>
        <v>-1</v>
      </c>
      <c r="CU26" s="16">
        <f ca="1">(L26-'Airfoil 1'!$Z$90)/ABS(L26-'Airfoil 1'!$Z$90)</f>
        <v>-1</v>
      </c>
      <c r="CV26" s="16">
        <f ca="1">(L26-'Airfoil 1'!$Z$91)/ABS(L26-'Airfoil 1'!$Z$91)</f>
        <v>-1</v>
      </c>
      <c r="CW26" s="5">
        <f t="shared" ca="1" si="10"/>
        <v>6</v>
      </c>
      <c r="CX26" s="42">
        <f ca="1">INDEX('Airfoil 1'!$AA$72:$AA$91,CW26,1)+INDEX('Airfoil 1'!$AB$72:$AB$91,CW26,1)*(L26-INDEX('Airfoil 1'!$Z$72:$Z$91,CW26,1))</f>
        <v>1.2282595048042355E-2</v>
      </c>
    </row>
    <row r="27" spans="2:102">
      <c r="B27" s="31">
        <f>Main!B27</f>
        <v>0.33333333333333326</v>
      </c>
      <c r="D27" s="1">
        <f>Turn!F27</f>
        <v>0.65969672852566186</v>
      </c>
      <c r="E27" s="4">
        <f>ISA!$R$10</f>
        <v>1.5987591530356481E-5</v>
      </c>
      <c r="G27" s="13">
        <f ca="1">Turn!X27</f>
        <v>26.272229755721025</v>
      </c>
      <c r="H27" s="5">
        <f t="shared" ca="1" si="0"/>
        <v>361357.41038115066</v>
      </c>
      <c r="I27" s="16">
        <f ca="1">'Airfoil 2'!$K$14*H27^'Airfoil 2'!$L$13</f>
        <v>1.5835937877207515</v>
      </c>
      <c r="J27" s="1">
        <f ca="1">'Airfoil 2'!$K$33*H27^'Airfoil 2'!$L$32</f>
        <v>4.979719222451954</v>
      </c>
      <c r="K27" s="13">
        <f ca="1">'Airfoil 2'!$K$52*H27^'Airfoil 2'!$L$51</f>
        <v>-9.3649434502216398</v>
      </c>
      <c r="L27" s="16">
        <f ca="1">'Aerodynamics-Turn'!W27</f>
        <v>1.0392304845413263</v>
      </c>
      <c r="M27" s="10">
        <f ca="1">('Airfoil 1'!$B$21+'Airfoil 1'!$B$22*L27+'Airfoil 1'!$B$23*L27^2+'Airfoil 1'!$B$24*L27^3+'Airfoil 1'!$B$25*L27^4+'Airfoil 1'!$B$26*L27^5+'Airfoil 1'!$B$27*L27^6)*0+BD27</f>
        <v>2.5062216230928001E-2</v>
      </c>
      <c r="N27" s="42">
        <f ca="1">('Airfoil 1'!$B$29+'Airfoil 1'!$B$30*L27+'Airfoil 1'!$B$31*L27^2+'Airfoil 1'!$B$32*L27^3+'Airfoil 1'!$B$33*L27^4+'Airfoil 1'!$B$34*L27^5+'Airfoil 1'!$B$35*L27^6)*0+CA27</f>
        <v>1.8769168637847108E-2</v>
      </c>
      <c r="O27" s="42">
        <f ca="1">('Airfoil 1'!$B$37+'Airfoil 1'!$B$38*L27+'Airfoil 1'!$B$39*L27^2+'Airfoil 1'!$B$40*L27^3+'Airfoil 1'!$B$41*L27^4+'Airfoil 1'!$B$42*L27^5+'Airfoil 1'!$B$43*L27^6)*0+CX27</f>
        <v>1.2282595048042355E-2</v>
      </c>
      <c r="P27" s="16">
        <f>LOG('Airfoil 1'!$F$10)+LOG('Airfoil 1'!$G$10)+LOG('Airfoil 1'!$H$10)</f>
        <v>15.176091259055681</v>
      </c>
      <c r="Q27" s="16">
        <f t="shared" ca="1" si="1"/>
        <v>-5.2382453573715591</v>
      </c>
      <c r="R27" s="16">
        <f>LOG('Airfoil 1'!$F$10)^2+LOG('Airfoil 1'!$G$10)^2+LOG('Airfoil 1'!$H$10)^2</f>
        <v>76.867141336751558</v>
      </c>
      <c r="S27" s="16">
        <f ca="1">LOG('Airfoil 1'!$F$10)*LOG(M27)+LOG('Airfoil 1'!$G$10)*LOG(N27)+LOG('Airfoil 1'!$H$10)*LOG(O27)</f>
        <v>-26.566383285240857</v>
      </c>
      <c r="T27" s="16">
        <f t="shared" ca="1" si="2"/>
        <v>66.780048933841258</v>
      </c>
      <c r="U27" s="16">
        <f t="shared" ca="1" si="3"/>
        <v>-0.70585932657973494</v>
      </c>
      <c r="V27" s="42">
        <f ca="1">IF(Energy!$F$11=1,Energy!$T$13,1)*T27*H27^U27</f>
        <v>8.7882759987685608E-3</v>
      </c>
      <c r="W27" s="10">
        <f ca="1">'Airfoil 1'!$B$48+'Airfoil 1'!$B$49*L27+'Airfoil 1'!$B$50*L27^2+'Airfoil 1'!$B$51*L27^3+'Airfoil 1'!$B$52*L27^4+'Airfoil 1'!$B$53*L27^5+'Airfoil 1'!$B$54*L27^6</f>
        <v>-0.155</v>
      </c>
      <c r="X27" s="42">
        <f ca="1">'Airfoil 1'!$B$56+'Airfoil 1'!$B$57*L27+'Airfoil 1'!$B$58*L27^2+'Airfoil 1'!$B$59*L27^3+'Airfoil 1'!$B$60*L27^4+'Airfoil 1'!$B$61*L27^5+'Airfoil 1'!$B$62*L27^6</f>
        <v>-0.155</v>
      </c>
      <c r="Y27" s="42">
        <f ca="1">'Airfoil 1'!$B$64+'Airfoil 1'!$B$65*L27+'Airfoil 1'!$B$66*L27^2+'Airfoil 1'!$B$67*L27^3+'Airfoil 1'!$B$681*L27^4+'Airfoil 1'!$B$69*L27^5+'Airfoil 1'!$B$70*L27^6</f>
        <v>-0.155</v>
      </c>
      <c r="Z27" s="16">
        <f>LOG('Airfoil 1'!$F$10)+LOG('Airfoil 1'!$G$10)+LOG('Airfoil 1'!$H$10)</f>
        <v>15.176091259055681</v>
      </c>
      <c r="AA27" s="16">
        <f t="shared" ca="1" si="4"/>
        <v>-2.4290049054891254</v>
      </c>
      <c r="AB27" s="16">
        <f>LOG('Airfoil 1'!$F$10)^2+LOG('Airfoil 1'!$G$10)^2+LOG('Airfoil 1'!$H$10)^2</f>
        <v>76.867141336751558</v>
      </c>
      <c r="AC27" s="16">
        <f ca="1">LOG('Airfoil 1'!$F$10)*LOG(ABS(W27))+LOG('Airfoil 1'!$G$10)*LOG(ABS(X27))+LOG('Airfoil 1'!$H$10)*LOG(ABS(Y27))</f>
        <v>-12.287600038132297</v>
      </c>
      <c r="AD27" s="16">
        <f t="shared" ca="1" si="5"/>
        <v>0.1550000000000121</v>
      </c>
      <c r="AE27" s="16">
        <f t="shared" ca="1" si="6"/>
        <v>-6.6718325633022456E-15</v>
      </c>
      <c r="AF27" s="42">
        <f t="shared" ca="1" si="7"/>
        <v>-0.15499999999999886</v>
      </c>
      <c r="AG27" s="16"/>
      <c r="AH27" s="42"/>
      <c r="AI27" s="16">
        <f ca="1">(L27-'Airfoil 1'!$Z$22)/ABS(L27-'Airfoil 1'!$Z$22)</f>
        <v>1</v>
      </c>
      <c r="AJ27" s="16">
        <f ca="1">(L27-'Airfoil 1'!$Z$23)/ABS(L27-'Airfoil 1'!$Z$23)</f>
        <v>1</v>
      </c>
      <c r="AK27" s="16">
        <f ca="1">(L27-'Airfoil 1'!$Z$24)/ABS(L27-'Airfoil 1'!$Z$24)</f>
        <v>1</v>
      </c>
      <c r="AL27" s="16">
        <f ca="1">(L27-'Airfoil 1'!$Z$25)/ABS(L27-'Airfoil 1'!$Z$25)</f>
        <v>1</v>
      </c>
      <c r="AM27" s="16">
        <f ca="1">(L27-'Airfoil 1'!$Z$26)/ABS(L27-'Airfoil 1'!$Z$26)</f>
        <v>1</v>
      </c>
      <c r="AN27" s="16">
        <f ca="1">(L27-'Airfoil 1'!$Z$27)/ABS(L27-'Airfoil 1'!$Z$27)</f>
        <v>1</v>
      </c>
      <c r="AO27" s="16">
        <f ca="1">(L27-'Airfoil 1'!$Z$28)/ABS(L27-'Airfoil 1'!$Z$28)</f>
        <v>1</v>
      </c>
      <c r="AP27" s="16">
        <f ca="1">(L27-'Airfoil 1'!$Z$29)/ABS(L27-'Airfoil 1'!$Z$29)</f>
        <v>1</v>
      </c>
      <c r="AQ27" s="16">
        <f ca="1">(L27-'Airfoil 1'!$Z$30)/ABS(L27-'Airfoil 1'!$Z$30)</f>
        <v>-1</v>
      </c>
      <c r="AR27" s="16">
        <f ca="1">(L27-'Airfoil 1'!$Z$31)/ABS(L27-'Airfoil 1'!$Z$31)</f>
        <v>-1</v>
      </c>
      <c r="AS27" s="16">
        <f ca="1">(L27-'Airfoil 1'!$Z$32)/ABS(L27-'Airfoil 1'!$Z$32)</f>
        <v>-1</v>
      </c>
      <c r="AT27" s="16">
        <f ca="1">(L27-'Airfoil 1'!$Z$33)/ABS(L27-'Airfoil 1'!$Z$33)</f>
        <v>-1</v>
      </c>
      <c r="AU27" s="16">
        <f ca="1">(L27-'Airfoil 1'!$Z$34)/ABS(L27-'Airfoil 1'!$Z$34)</f>
        <v>-1</v>
      </c>
      <c r="AV27" s="16">
        <f ca="1">(L27-'Airfoil 1'!$Z$35)/ABS(L27-'Airfoil 1'!$Z$35)</f>
        <v>-1</v>
      </c>
      <c r="AW27" s="16">
        <f ca="1">(L27-'Airfoil 1'!$Z$36)/ABS(L27-'Airfoil 1'!$Z$36)</f>
        <v>-1</v>
      </c>
      <c r="AX27" s="16">
        <f ca="1">(L27-'Airfoil 1'!$Z$37)/ABS(L27-'Airfoil 1'!$Z$37)</f>
        <v>-1</v>
      </c>
      <c r="AY27" s="16">
        <f ca="1">(L27-'Airfoil 1'!$Z$38)/ABS(L27-'Airfoil 1'!$Z$38)</f>
        <v>-1</v>
      </c>
      <c r="AZ27" s="16">
        <f ca="1">(L27-'Airfoil 1'!$Z$39)/ABS(L27-'Airfoil 1'!$Z$39)</f>
        <v>-1</v>
      </c>
      <c r="BA27" s="16">
        <f ca="1">(L27-'Airfoil 1'!$Z$40)/ABS(L27-'Airfoil 1'!$Z$40)</f>
        <v>-1</v>
      </c>
      <c r="BB27" s="16">
        <f ca="1">(L27-'Airfoil 1'!$Z$41)/ABS(L27-'Airfoil 1'!$Z$41)</f>
        <v>-1</v>
      </c>
      <c r="BC27" s="5">
        <f t="shared" ca="1" si="8"/>
        <v>8</v>
      </c>
      <c r="BD27" s="42">
        <f ca="1">INDEX('Airfoil 1'!$AA$22:$AA$41,BC27,1)+INDEX('Airfoil 1'!$AB$22:$AB$41,BC27,1)*(L27-INDEX('Airfoil 1'!$Z$22:$Z$41,BC27,1))</f>
        <v>2.5062216230928001E-2</v>
      </c>
      <c r="BE27" s="6"/>
      <c r="BF27" s="16">
        <f ca="1">(L27-'Airfoil 1'!$Z$47)/ABS(L27-'Airfoil 1'!$Z$47)</f>
        <v>1</v>
      </c>
      <c r="BG27" s="16">
        <f ca="1">(L27-'Airfoil 1'!$Z$48)/ABS(L27-'Airfoil 1'!$Z$48)</f>
        <v>1</v>
      </c>
      <c r="BH27" s="16">
        <f ca="1">(L27-'Airfoil 1'!$Z$49)/ABS(L27-'Airfoil 1'!$Z$49)</f>
        <v>1</v>
      </c>
      <c r="BI27" s="16">
        <f ca="1">(L27-'Airfoil 1'!$Z$50)/ABS(L27-'Airfoil 1'!$Z$50)</f>
        <v>1</v>
      </c>
      <c r="BJ27" s="16">
        <f ca="1">(L27-'Airfoil 1'!$Z$51)/ABS(L27-'Airfoil 1'!$Z$51)</f>
        <v>1</v>
      </c>
      <c r="BK27" s="16">
        <f ca="1">(L27-'Airfoil 1'!$Z$52)/ABS(L27-'Airfoil 1'!$Z$52)</f>
        <v>1</v>
      </c>
      <c r="BL27" s="16">
        <f ca="1">(L27-'Airfoil 1'!$Z$53)/ABS(L27-'Airfoil 1'!$Z$53)</f>
        <v>1</v>
      </c>
      <c r="BM27" s="16">
        <f ca="1">(L27-'Airfoil 1'!$Z$54)/ABS(L27-'Airfoil 1'!$Z$54)</f>
        <v>-1</v>
      </c>
      <c r="BN27" s="16">
        <f ca="1">(L27-'Airfoil 1'!$Z$55)/ABS(L27-'Airfoil 1'!$Z$55)</f>
        <v>-1</v>
      </c>
      <c r="BO27" s="16">
        <f ca="1">(L27-'Airfoil 1'!$Z$56)/ABS(L27-'Airfoil 1'!$Z$56)</f>
        <v>-1</v>
      </c>
      <c r="BP27" s="16">
        <f ca="1">(L27-'Airfoil 1'!$Z$57)/ABS(L27-'Airfoil 1'!$Z$57)</f>
        <v>-1</v>
      </c>
      <c r="BQ27" s="16">
        <f ca="1">(L27-'Airfoil 1'!$Z$58)/ABS(L27-'Airfoil 1'!$Z$58)</f>
        <v>-1</v>
      </c>
      <c r="BR27" s="16">
        <f ca="1">(L27-'Airfoil 1'!$Z$59)/ABS(L27-'Airfoil 1'!$Z$59)</f>
        <v>-1</v>
      </c>
      <c r="BS27" s="16">
        <f ca="1">(L27-'Airfoil 1'!$Z$60)/ABS(L27-'Airfoil 1'!$Z$60)</f>
        <v>-1</v>
      </c>
      <c r="BT27" s="16">
        <f ca="1">(L27-'Airfoil 1'!$Z$61)/ABS(L27-'Airfoil 1'!$Z$61)</f>
        <v>-1</v>
      </c>
      <c r="BU27" s="16">
        <f ca="1">(L27-'Airfoil 1'!$Z$62)/ABS(L27-'Airfoil 1'!$Z$62)</f>
        <v>-1</v>
      </c>
      <c r="BV27" s="16">
        <f ca="1">(L27-'Airfoil 1'!$Z$63)/ABS(L27-'Airfoil 1'!$Z$63)</f>
        <v>-1</v>
      </c>
      <c r="BW27" s="16">
        <f ca="1">(L27-'Airfoil 1'!$Z$64)/ABS(L27-'Airfoil 1'!$Z$64)</f>
        <v>-1</v>
      </c>
      <c r="BX27" s="16">
        <f ca="1">(L27-'Airfoil 1'!$Z$65)/ABS(L27-'Airfoil 1'!$Z$65)</f>
        <v>-1</v>
      </c>
      <c r="BY27" s="16">
        <f ca="1">(L27-'Airfoil 1'!$Z$66)/ABS(L27-'Airfoil 1'!$Z$66)</f>
        <v>-1</v>
      </c>
      <c r="BZ27" s="5">
        <f t="shared" ca="1" si="9"/>
        <v>7</v>
      </c>
      <c r="CA27" s="42">
        <f ca="1">INDEX('Airfoil 1'!$AA$47:$AA$66,BZ27,1)+INDEX('Airfoil 1'!$AB$47:$AB$66,BZ27,1)*(L27-INDEX('Airfoil 1'!$Z$47:$Z$66,BZ27,1))</f>
        <v>1.8769168637847108E-2</v>
      </c>
      <c r="CC27" s="16">
        <f ca="1">(L27-'Airfoil 1'!$Z$72)/ABS(L27-'Airfoil 1'!$Z$72)</f>
        <v>1</v>
      </c>
      <c r="CD27" s="16">
        <f ca="1">(L27-'Airfoil 1'!$Z$73)/ABS(L27-'Airfoil 1'!$Z$73)</f>
        <v>1</v>
      </c>
      <c r="CE27" s="16">
        <f ca="1">(L27-'Airfoil 1'!$Z$74)/ABS(L27-'Airfoil 1'!$Z$74)</f>
        <v>1</v>
      </c>
      <c r="CF27" s="16">
        <f ca="1">(L27-'Airfoil 1'!$Z$75)/ABS(L27-'Airfoil 1'!$Z$75)</f>
        <v>1</v>
      </c>
      <c r="CG27" s="16">
        <f ca="1">(L27-'Airfoil 1'!$Z$76)/ABS(L27-'Airfoil 1'!$Z$76)</f>
        <v>1</v>
      </c>
      <c r="CH27" s="16">
        <f ca="1">(L27-'Airfoil 1'!$Z$77)/ABS(L27-'Airfoil 1'!$Z$77)</f>
        <v>1</v>
      </c>
      <c r="CI27" s="16">
        <f ca="1">(L27-'Airfoil 1'!$Z$78)/ABS(L27-'Airfoil 1'!$Z$78)</f>
        <v>-1</v>
      </c>
      <c r="CJ27" s="16">
        <f ca="1">(L27-'Airfoil 1'!$Z$79)/ABS(L27-'Airfoil 1'!$Z$79)</f>
        <v>-1</v>
      </c>
      <c r="CK27" s="16">
        <f ca="1">(L27-'Airfoil 1'!$Z$80)/ABS(L27-'Airfoil 1'!$Z$80)</f>
        <v>-1</v>
      </c>
      <c r="CL27" s="16">
        <f ca="1">(L27-'Airfoil 1'!$Z$81)/ABS(L27-'Airfoil 1'!$Z$81)</f>
        <v>-1</v>
      </c>
      <c r="CM27" s="16">
        <f ca="1">(L27-'Airfoil 1'!$Z$82)/ABS(L27-'Airfoil 1'!$Z$82)</f>
        <v>-1</v>
      </c>
      <c r="CN27" s="16">
        <f ca="1">(L27-'Airfoil 1'!$Z$83)/ABS(L27-'Airfoil 1'!$Z$83)</f>
        <v>-1</v>
      </c>
      <c r="CO27" s="16">
        <f ca="1">(L27-'Airfoil 1'!$Z$84)/ABS(L27-'Airfoil 1'!$Z$84)</f>
        <v>-1</v>
      </c>
      <c r="CP27" s="16">
        <f ca="1">(L27-'Airfoil 1'!$Z$85)/ABS(L27-'Airfoil 1'!$Z$85)</f>
        <v>-1</v>
      </c>
      <c r="CQ27" s="16">
        <f ca="1">(L27-'Airfoil 1'!$Z$86)/ABS(L27-'Airfoil 1'!$Z$86)</f>
        <v>-1</v>
      </c>
      <c r="CR27" s="16">
        <f ca="1">(L27-'Airfoil 1'!$Z$87)/ABS(L27-'Airfoil 1'!$Z$87)</f>
        <v>-1</v>
      </c>
      <c r="CS27" s="16">
        <f ca="1">(L27-'Airfoil 1'!$Z$88)/ABS(L27-'Airfoil 1'!$Z$88)</f>
        <v>-1</v>
      </c>
      <c r="CT27" s="16">
        <f ca="1">(L27-'Airfoil 1'!$Z$89)/ABS(L27-'Airfoil 1'!$Z$89)</f>
        <v>-1</v>
      </c>
      <c r="CU27" s="16">
        <f ca="1">(L27-'Airfoil 1'!$Z$90)/ABS(L27-'Airfoil 1'!$Z$90)</f>
        <v>-1</v>
      </c>
      <c r="CV27" s="16">
        <f ca="1">(L27-'Airfoil 1'!$Z$91)/ABS(L27-'Airfoil 1'!$Z$91)</f>
        <v>-1</v>
      </c>
      <c r="CW27" s="5">
        <f t="shared" ca="1" si="10"/>
        <v>6</v>
      </c>
      <c r="CX27" s="42">
        <f ca="1">INDEX('Airfoil 1'!$AA$72:$AA$91,CW27,1)+INDEX('Airfoil 1'!$AB$72:$AB$91,CW27,1)*(L27-INDEX('Airfoil 1'!$Z$72:$Z$91,CW27,1))</f>
        <v>1.2282595048042355E-2</v>
      </c>
    </row>
    <row r="28" spans="2:102">
      <c r="B28" s="31">
        <f>Main!B28</f>
        <v>0.33333333333333326</v>
      </c>
      <c r="D28" s="1">
        <f>Turn!F28</f>
        <v>0.65969672852566186</v>
      </c>
      <c r="E28" s="4">
        <f>ISA!$R$10</f>
        <v>1.5987591530356481E-5</v>
      </c>
      <c r="G28" s="13">
        <f ca="1">Turn!X28</f>
        <v>25.850372382951573</v>
      </c>
      <c r="H28" s="5">
        <f t="shared" ca="1" si="0"/>
        <v>355555.0369552343</v>
      </c>
      <c r="I28" s="16">
        <f ca="1">'Airfoil 2'!$K$14*H28^'Airfoil 2'!$L$13</f>
        <v>1.5832374750894131</v>
      </c>
      <c r="J28" s="1">
        <f ca="1">'Airfoil 2'!$K$33*H28^'Airfoil 2'!$L$32</f>
        <v>5.0069056188386423</v>
      </c>
      <c r="K28" s="13">
        <f ca="1">'Airfoil 2'!$K$52*H28^'Airfoil 2'!$L$51</f>
        <v>-9.2641111539054677</v>
      </c>
      <c r="L28" s="16">
        <f ca="1">'Aerodynamics-Turn'!W28</f>
        <v>1.0392304845413263</v>
      </c>
      <c r="M28" s="10">
        <f ca="1">('Airfoil 1'!$B$21+'Airfoil 1'!$B$22*L28+'Airfoil 1'!$B$23*L28^2+'Airfoil 1'!$B$24*L28^3+'Airfoil 1'!$B$25*L28^4+'Airfoil 1'!$B$26*L28^5+'Airfoil 1'!$B$27*L28^6)*0+BD28</f>
        <v>2.5062216230928001E-2</v>
      </c>
      <c r="N28" s="42">
        <f ca="1">('Airfoil 1'!$B$29+'Airfoil 1'!$B$30*L28+'Airfoil 1'!$B$31*L28^2+'Airfoil 1'!$B$32*L28^3+'Airfoil 1'!$B$33*L28^4+'Airfoil 1'!$B$34*L28^5+'Airfoil 1'!$B$35*L28^6)*0+CA28</f>
        <v>1.8769168637847108E-2</v>
      </c>
      <c r="O28" s="42">
        <f ca="1">('Airfoil 1'!$B$37+'Airfoil 1'!$B$38*L28+'Airfoil 1'!$B$39*L28^2+'Airfoil 1'!$B$40*L28^3+'Airfoil 1'!$B$41*L28^4+'Airfoil 1'!$B$42*L28^5+'Airfoil 1'!$B$43*L28^6)*0+CX28</f>
        <v>1.2282595048042355E-2</v>
      </c>
      <c r="P28" s="16">
        <f>LOG('Airfoil 1'!$F$10)+LOG('Airfoil 1'!$G$10)+LOG('Airfoil 1'!$H$10)</f>
        <v>15.176091259055681</v>
      </c>
      <c r="Q28" s="16">
        <f t="shared" ca="1" si="1"/>
        <v>-5.2382453573715591</v>
      </c>
      <c r="R28" s="16">
        <f>LOG('Airfoil 1'!$F$10)^2+LOG('Airfoil 1'!$G$10)^2+LOG('Airfoil 1'!$H$10)^2</f>
        <v>76.867141336751558</v>
      </c>
      <c r="S28" s="16">
        <f ca="1">LOG('Airfoil 1'!$F$10)*LOG(M28)+LOG('Airfoil 1'!$G$10)*LOG(N28)+LOG('Airfoil 1'!$H$10)*LOG(O28)</f>
        <v>-26.566383285240857</v>
      </c>
      <c r="T28" s="16">
        <f t="shared" ca="1" si="2"/>
        <v>66.780048933841258</v>
      </c>
      <c r="U28" s="16">
        <f t="shared" ca="1" si="3"/>
        <v>-0.70585932657973494</v>
      </c>
      <c r="V28" s="42">
        <f ca="1">IF(Energy!$F$11=1,Energy!$T$13,1)*T28*H28^U28</f>
        <v>8.8892673963681876E-3</v>
      </c>
      <c r="W28" s="10">
        <f ca="1">'Airfoil 1'!$B$48+'Airfoil 1'!$B$49*L28+'Airfoil 1'!$B$50*L28^2+'Airfoil 1'!$B$51*L28^3+'Airfoil 1'!$B$52*L28^4+'Airfoil 1'!$B$53*L28^5+'Airfoil 1'!$B$54*L28^6</f>
        <v>-0.155</v>
      </c>
      <c r="X28" s="42">
        <f ca="1">'Airfoil 1'!$B$56+'Airfoil 1'!$B$57*L28+'Airfoil 1'!$B$58*L28^2+'Airfoil 1'!$B$59*L28^3+'Airfoil 1'!$B$60*L28^4+'Airfoil 1'!$B$61*L28^5+'Airfoil 1'!$B$62*L28^6</f>
        <v>-0.155</v>
      </c>
      <c r="Y28" s="42">
        <f ca="1">'Airfoil 1'!$B$64+'Airfoil 1'!$B$65*L28+'Airfoil 1'!$B$66*L28^2+'Airfoil 1'!$B$67*L28^3+'Airfoil 1'!$B$681*L28^4+'Airfoil 1'!$B$69*L28^5+'Airfoil 1'!$B$70*L28^6</f>
        <v>-0.155</v>
      </c>
      <c r="Z28" s="16">
        <f>LOG('Airfoil 1'!$F$10)+LOG('Airfoil 1'!$G$10)+LOG('Airfoil 1'!$H$10)</f>
        <v>15.176091259055681</v>
      </c>
      <c r="AA28" s="16">
        <f t="shared" ca="1" si="4"/>
        <v>-2.4290049054891254</v>
      </c>
      <c r="AB28" s="16">
        <f>LOG('Airfoil 1'!$F$10)^2+LOG('Airfoil 1'!$G$10)^2+LOG('Airfoil 1'!$H$10)^2</f>
        <v>76.867141336751558</v>
      </c>
      <c r="AC28" s="16">
        <f ca="1">LOG('Airfoil 1'!$F$10)*LOG(ABS(W28))+LOG('Airfoil 1'!$G$10)*LOG(ABS(X28))+LOG('Airfoil 1'!$H$10)*LOG(ABS(Y28))</f>
        <v>-12.287600038132297</v>
      </c>
      <c r="AD28" s="16">
        <f t="shared" ca="1" si="5"/>
        <v>0.1550000000000121</v>
      </c>
      <c r="AE28" s="16">
        <f t="shared" ca="1" si="6"/>
        <v>-6.6718325633022456E-15</v>
      </c>
      <c r="AF28" s="42">
        <f t="shared" ca="1" si="7"/>
        <v>-0.15499999999999889</v>
      </c>
      <c r="AG28" s="16"/>
      <c r="AH28" s="42"/>
      <c r="AI28" s="16">
        <f ca="1">(L28-'Airfoil 1'!$Z$22)/ABS(L28-'Airfoil 1'!$Z$22)</f>
        <v>1</v>
      </c>
      <c r="AJ28" s="16">
        <f ca="1">(L28-'Airfoil 1'!$Z$23)/ABS(L28-'Airfoil 1'!$Z$23)</f>
        <v>1</v>
      </c>
      <c r="AK28" s="16">
        <f ca="1">(L28-'Airfoil 1'!$Z$24)/ABS(L28-'Airfoil 1'!$Z$24)</f>
        <v>1</v>
      </c>
      <c r="AL28" s="16">
        <f ca="1">(L28-'Airfoil 1'!$Z$25)/ABS(L28-'Airfoil 1'!$Z$25)</f>
        <v>1</v>
      </c>
      <c r="AM28" s="16">
        <f ca="1">(L28-'Airfoil 1'!$Z$26)/ABS(L28-'Airfoil 1'!$Z$26)</f>
        <v>1</v>
      </c>
      <c r="AN28" s="16">
        <f ca="1">(L28-'Airfoil 1'!$Z$27)/ABS(L28-'Airfoil 1'!$Z$27)</f>
        <v>1</v>
      </c>
      <c r="AO28" s="16">
        <f ca="1">(L28-'Airfoil 1'!$Z$28)/ABS(L28-'Airfoil 1'!$Z$28)</f>
        <v>1</v>
      </c>
      <c r="AP28" s="16">
        <f ca="1">(L28-'Airfoil 1'!$Z$29)/ABS(L28-'Airfoil 1'!$Z$29)</f>
        <v>1</v>
      </c>
      <c r="AQ28" s="16">
        <f ca="1">(L28-'Airfoil 1'!$Z$30)/ABS(L28-'Airfoil 1'!$Z$30)</f>
        <v>-1</v>
      </c>
      <c r="AR28" s="16">
        <f ca="1">(L28-'Airfoil 1'!$Z$31)/ABS(L28-'Airfoil 1'!$Z$31)</f>
        <v>-1</v>
      </c>
      <c r="AS28" s="16">
        <f ca="1">(L28-'Airfoil 1'!$Z$32)/ABS(L28-'Airfoil 1'!$Z$32)</f>
        <v>-1</v>
      </c>
      <c r="AT28" s="16">
        <f ca="1">(L28-'Airfoil 1'!$Z$33)/ABS(L28-'Airfoil 1'!$Z$33)</f>
        <v>-1</v>
      </c>
      <c r="AU28" s="16">
        <f ca="1">(L28-'Airfoil 1'!$Z$34)/ABS(L28-'Airfoil 1'!$Z$34)</f>
        <v>-1</v>
      </c>
      <c r="AV28" s="16">
        <f ca="1">(L28-'Airfoil 1'!$Z$35)/ABS(L28-'Airfoil 1'!$Z$35)</f>
        <v>-1</v>
      </c>
      <c r="AW28" s="16">
        <f ca="1">(L28-'Airfoil 1'!$Z$36)/ABS(L28-'Airfoil 1'!$Z$36)</f>
        <v>-1</v>
      </c>
      <c r="AX28" s="16">
        <f ca="1">(L28-'Airfoil 1'!$Z$37)/ABS(L28-'Airfoil 1'!$Z$37)</f>
        <v>-1</v>
      </c>
      <c r="AY28" s="16">
        <f ca="1">(L28-'Airfoil 1'!$Z$38)/ABS(L28-'Airfoil 1'!$Z$38)</f>
        <v>-1</v>
      </c>
      <c r="AZ28" s="16">
        <f ca="1">(L28-'Airfoil 1'!$Z$39)/ABS(L28-'Airfoil 1'!$Z$39)</f>
        <v>-1</v>
      </c>
      <c r="BA28" s="16">
        <f ca="1">(L28-'Airfoil 1'!$Z$40)/ABS(L28-'Airfoil 1'!$Z$40)</f>
        <v>-1</v>
      </c>
      <c r="BB28" s="16">
        <f ca="1">(L28-'Airfoil 1'!$Z$41)/ABS(L28-'Airfoil 1'!$Z$41)</f>
        <v>-1</v>
      </c>
      <c r="BC28" s="5">
        <f t="shared" ca="1" si="8"/>
        <v>8</v>
      </c>
      <c r="BD28" s="42">
        <f ca="1">INDEX('Airfoil 1'!$AA$22:$AA$41,BC28,1)+INDEX('Airfoil 1'!$AB$22:$AB$41,BC28,1)*(L28-INDEX('Airfoil 1'!$Z$22:$Z$41,BC28,1))</f>
        <v>2.5062216230928001E-2</v>
      </c>
      <c r="BE28" s="6"/>
      <c r="BF28" s="16">
        <f ca="1">(L28-'Airfoil 1'!$Z$47)/ABS(L28-'Airfoil 1'!$Z$47)</f>
        <v>1</v>
      </c>
      <c r="BG28" s="16">
        <f ca="1">(L28-'Airfoil 1'!$Z$48)/ABS(L28-'Airfoil 1'!$Z$48)</f>
        <v>1</v>
      </c>
      <c r="BH28" s="16">
        <f ca="1">(L28-'Airfoil 1'!$Z$49)/ABS(L28-'Airfoil 1'!$Z$49)</f>
        <v>1</v>
      </c>
      <c r="BI28" s="16">
        <f ca="1">(L28-'Airfoil 1'!$Z$50)/ABS(L28-'Airfoil 1'!$Z$50)</f>
        <v>1</v>
      </c>
      <c r="BJ28" s="16">
        <f ca="1">(L28-'Airfoil 1'!$Z$51)/ABS(L28-'Airfoil 1'!$Z$51)</f>
        <v>1</v>
      </c>
      <c r="BK28" s="16">
        <f ca="1">(L28-'Airfoil 1'!$Z$52)/ABS(L28-'Airfoil 1'!$Z$52)</f>
        <v>1</v>
      </c>
      <c r="BL28" s="16">
        <f ca="1">(L28-'Airfoil 1'!$Z$53)/ABS(L28-'Airfoil 1'!$Z$53)</f>
        <v>1</v>
      </c>
      <c r="BM28" s="16">
        <f ca="1">(L28-'Airfoil 1'!$Z$54)/ABS(L28-'Airfoil 1'!$Z$54)</f>
        <v>-1</v>
      </c>
      <c r="BN28" s="16">
        <f ca="1">(L28-'Airfoil 1'!$Z$55)/ABS(L28-'Airfoil 1'!$Z$55)</f>
        <v>-1</v>
      </c>
      <c r="BO28" s="16">
        <f ca="1">(L28-'Airfoil 1'!$Z$56)/ABS(L28-'Airfoil 1'!$Z$56)</f>
        <v>-1</v>
      </c>
      <c r="BP28" s="16">
        <f ca="1">(L28-'Airfoil 1'!$Z$57)/ABS(L28-'Airfoil 1'!$Z$57)</f>
        <v>-1</v>
      </c>
      <c r="BQ28" s="16">
        <f ca="1">(L28-'Airfoil 1'!$Z$58)/ABS(L28-'Airfoil 1'!$Z$58)</f>
        <v>-1</v>
      </c>
      <c r="BR28" s="16">
        <f ca="1">(L28-'Airfoil 1'!$Z$59)/ABS(L28-'Airfoil 1'!$Z$59)</f>
        <v>-1</v>
      </c>
      <c r="BS28" s="16">
        <f ca="1">(L28-'Airfoil 1'!$Z$60)/ABS(L28-'Airfoil 1'!$Z$60)</f>
        <v>-1</v>
      </c>
      <c r="BT28" s="16">
        <f ca="1">(L28-'Airfoil 1'!$Z$61)/ABS(L28-'Airfoil 1'!$Z$61)</f>
        <v>-1</v>
      </c>
      <c r="BU28" s="16">
        <f ca="1">(L28-'Airfoil 1'!$Z$62)/ABS(L28-'Airfoil 1'!$Z$62)</f>
        <v>-1</v>
      </c>
      <c r="BV28" s="16">
        <f ca="1">(L28-'Airfoil 1'!$Z$63)/ABS(L28-'Airfoil 1'!$Z$63)</f>
        <v>-1</v>
      </c>
      <c r="BW28" s="16">
        <f ca="1">(L28-'Airfoil 1'!$Z$64)/ABS(L28-'Airfoil 1'!$Z$64)</f>
        <v>-1</v>
      </c>
      <c r="BX28" s="16">
        <f ca="1">(L28-'Airfoil 1'!$Z$65)/ABS(L28-'Airfoil 1'!$Z$65)</f>
        <v>-1</v>
      </c>
      <c r="BY28" s="16">
        <f ca="1">(L28-'Airfoil 1'!$Z$66)/ABS(L28-'Airfoil 1'!$Z$66)</f>
        <v>-1</v>
      </c>
      <c r="BZ28" s="5">
        <f t="shared" ca="1" si="9"/>
        <v>7</v>
      </c>
      <c r="CA28" s="42">
        <f ca="1">INDEX('Airfoil 1'!$AA$47:$AA$66,BZ28,1)+INDEX('Airfoil 1'!$AB$47:$AB$66,BZ28,1)*(L28-INDEX('Airfoil 1'!$Z$47:$Z$66,BZ28,1))</f>
        <v>1.8769168637847108E-2</v>
      </c>
      <c r="CC28" s="16">
        <f ca="1">(L28-'Airfoil 1'!$Z$72)/ABS(L28-'Airfoil 1'!$Z$72)</f>
        <v>1</v>
      </c>
      <c r="CD28" s="16">
        <f ca="1">(L28-'Airfoil 1'!$Z$73)/ABS(L28-'Airfoil 1'!$Z$73)</f>
        <v>1</v>
      </c>
      <c r="CE28" s="16">
        <f ca="1">(L28-'Airfoil 1'!$Z$74)/ABS(L28-'Airfoil 1'!$Z$74)</f>
        <v>1</v>
      </c>
      <c r="CF28" s="16">
        <f ca="1">(L28-'Airfoil 1'!$Z$75)/ABS(L28-'Airfoil 1'!$Z$75)</f>
        <v>1</v>
      </c>
      <c r="CG28" s="16">
        <f ca="1">(L28-'Airfoil 1'!$Z$76)/ABS(L28-'Airfoil 1'!$Z$76)</f>
        <v>1</v>
      </c>
      <c r="CH28" s="16">
        <f ca="1">(L28-'Airfoil 1'!$Z$77)/ABS(L28-'Airfoil 1'!$Z$77)</f>
        <v>1</v>
      </c>
      <c r="CI28" s="16">
        <f ca="1">(L28-'Airfoil 1'!$Z$78)/ABS(L28-'Airfoil 1'!$Z$78)</f>
        <v>-1</v>
      </c>
      <c r="CJ28" s="16">
        <f ca="1">(L28-'Airfoil 1'!$Z$79)/ABS(L28-'Airfoil 1'!$Z$79)</f>
        <v>-1</v>
      </c>
      <c r="CK28" s="16">
        <f ca="1">(L28-'Airfoil 1'!$Z$80)/ABS(L28-'Airfoil 1'!$Z$80)</f>
        <v>-1</v>
      </c>
      <c r="CL28" s="16">
        <f ca="1">(L28-'Airfoil 1'!$Z$81)/ABS(L28-'Airfoil 1'!$Z$81)</f>
        <v>-1</v>
      </c>
      <c r="CM28" s="16">
        <f ca="1">(L28-'Airfoil 1'!$Z$82)/ABS(L28-'Airfoil 1'!$Z$82)</f>
        <v>-1</v>
      </c>
      <c r="CN28" s="16">
        <f ca="1">(L28-'Airfoil 1'!$Z$83)/ABS(L28-'Airfoil 1'!$Z$83)</f>
        <v>-1</v>
      </c>
      <c r="CO28" s="16">
        <f ca="1">(L28-'Airfoil 1'!$Z$84)/ABS(L28-'Airfoil 1'!$Z$84)</f>
        <v>-1</v>
      </c>
      <c r="CP28" s="16">
        <f ca="1">(L28-'Airfoil 1'!$Z$85)/ABS(L28-'Airfoil 1'!$Z$85)</f>
        <v>-1</v>
      </c>
      <c r="CQ28" s="16">
        <f ca="1">(L28-'Airfoil 1'!$Z$86)/ABS(L28-'Airfoil 1'!$Z$86)</f>
        <v>-1</v>
      </c>
      <c r="CR28" s="16">
        <f ca="1">(L28-'Airfoil 1'!$Z$87)/ABS(L28-'Airfoil 1'!$Z$87)</f>
        <v>-1</v>
      </c>
      <c r="CS28" s="16">
        <f ca="1">(L28-'Airfoil 1'!$Z$88)/ABS(L28-'Airfoil 1'!$Z$88)</f>
        <v>-1</v>
      </c>
      <c r="CT28" s="16">
        <f ca="1">(L28-'Airfoil 1'!$Z$89)/ABS(L28-'Airfoil 1'!$Z$89)</f>
        <v>-1</v>
      </c>
      <c r="CU28" s="16">
        <f ca="1">(L28-'Airfoil 1'!$Z$90)/ABS(L28-'Airfoil 1'!$Z$90)</f>
        <v>-1</v>
      </c>
      <c r="CV28" s="16">
        <f ca="1">(L28-'Airfoil 1'!$Z$91)/ABS(L28-'Airfoil 1'!$Z$91)</f>
        <v>-1</v>
      </c>
      <c r="CW28" s="5">
        <f t="shared" ca="1" si="10"/>
        <v>6</v>
      </c>
      <c r="CX28" s="42">
        <f ca="1">INDEX('Airfoil 1'!$AA$72:$AA$91,CW28,1)+INDEX('Airfoil 1'!$AB$72:$AB$91,CW28,1)*(L28-INDEX('Airfoil 1'!$Z$72:$Z$91,CW28,1))</f>
        <v>1.2282595048042355E-2</v>
      </c>
    </row>
    <row r="29" spans="2:102">
      <c r="B29" s="31">
        <f>Main!B29</f>
        <v>0.33333333333333326</v>
      </c>
      <c r="D29" s="1">
        <f>Turn!F29</f>
        <v>0.65969672852566186</v>
      </c>
      <c r="E29" s="4">
        <f>ISA!$R$10</f>
        <v>1.5987591530356481E-5</v>
      </c>
      <c r="G29" s="13">
        <f ca="1">Turn!X29</f>
        <v>25.337550160812658</v>
      </c>
      <c r="H29" s="5">
        <f t="shared" ca="1" si="0"/>
        <v>348501.50126751169</v>
      </c>
      <c r="I29" s="16">
        <f ca="1">'Airfoil 2'!$K$14*H29^'Airfoil 2'!$L$13</f>
        <v>1.582796527783531</v>
      </c>
      <c r="J29" s="1">
        <f ca="1">'Airfoil 2'!$K$33*H29^'Airfoil 2'!$L$32</f>
        <v>5.040763712117367</v>
      </c>
      <c r="K29" s="13">
        <f ca="1">'Airfoil 2'!$K$52*H29^'Airfoil 2'!$L$51</f>
        <v>-9.1407992178556157</v>
      </c>
      <c r="L29" s="16">
        <f ca="1">'Aerodynamics-Turn'!W29</f>
        <v>1.0392304845413263</v>
      </c>
      <c r="M29" s="10">
        <f ca="1">('Airfoil 1'!$B$21+'Airfoil 1'!$B$22*L29+'Airfoil 1'!$B$23*L29^2+'Airfoil 1'!$B$24*L29^3+'Airfoil 1'!$B$25*L29^4+'Airfoil 1'!$B$26*L29^5+'Airfoil 1'!$B$27*L29^6)*0+BD29</f>
        <v>2.5062216230928001E-2</v>
      </c>
      <c r="N29" s="42">
        <f ca="1">('Airfoil 1'!$B$29+'Airfoil 1'!$B$30*L29+'Airfoil 1'!$B$31*L29^2+'Airfoil 1'!$B$32*L29^3+'Airfoil 1'!$B$33*L29^4+'Airfoil 1'!$B$34*L29^5+'Airfoil 1'!$B$35*L29^6)*0+CA29</f>
        <v>1.8769168637847108E-2</v>
      </c>
      <c r="O29" s="42">
        <f ca="1">('Airfoil 1'!$B$37+'Airfoil 1'!$B$38*L29+'Airfoil 1'!$B$39*L29^2+'Airfoil 1'!$B$40*L29^3+'Airfoil 1'!$B$41*L29^4+'Airfoil 1'!$B$42*L29^5+'Airfoil 1'!$B$43*L29^6)*0+CX29</f>
        <v>1.2282595048042355E-2</v>
      </c>
      <c r="P29" s="16">
        <f>LOG('Airfoil 1'!$F$10)+LOG('Airfoil 1'!$G$10)+LOG('Airfoil 1'!$H$10)</f>
        <v>15.176091259055681</v>
      </c>
      <c r="Q29" s="16">
        <f t="shared" ca="1" si="1"/>
        <v>-5.2382453573715591</v>
      </c>
      <c r="R29" s="16">
        <f>LOG('Airfoil 1'!$F$10)^2+LOG('Airfoil 1'!$G$10)^2+LOG('Airfoil 1'!$H$10)^2</f>
        <v>76.867141336751558</v>
      </c>
      <c r="S29" s="16">
        <f ca="1">LOG('Airfoil 1'!$F$10)*LOG(M29)+LOG('Airfoil 1'!$G$10)*LOG(N29)+LOG('Airfoil 1'!$H$10)*LOG(O29)</f>
        <v>-26.566383285240857</v>
      </c>
      <c r="T29" s="16">
        <f t="shared" ca="1" si="2"/>
        <v>66.780048933841258</v>
      </c>
      <c r="U29" s="16">
        <f t="shared" ca="1" si="3"/>
        <v>-0.70585932657973494</v>
      </c>
      <c r="V29" s="42">
        <f ca="1">IF(Energy!$F$11=1,Energy!$T$13,1)*T29*H29^U29</f>
        <v>9.0158875581739083E-3</v>
      </c>
      <c r="W29" s="10">
        <f ca="1">'Airfoil 1'!$B$48+'Airfoil 1'!$B$49*L29+'Airfoil 1'!$B$50*L29^2+'Airfoil 1'!$B$51*L29^3+'Airfoil 1'!$B$52*L29^4+'Airfoil 1'!$B$53*L29^5+'Airfoil 1'!$B$54*L29^6</f>
        <v>-0.155</v>
      </c>
      <c r="X29" s="42">
        <f ca="1">'Airfoil 1'!$B$56+'Airfoil 1'!$B$57*L29+'Airfoil 1'!$B$58*L29^2+'Airfoil 1'!$B$59*L29^3+'Airfoil 1'!$B$60*L29^4+'Airfoil 1'!$B$61*L29^5+'Airfoil 1'!$B$62*L29^6</f>
        <v>-0.155</v>
      </c>
      <c r="Y29" s="42">
        <f ca="1">'Airfoil 1'!$B$64+'Airfoil 1'!$B$65*L29+'Airfoil 1'!$B$66*L29^2+'Airfoil 1'!$B$67*L29^3+'Airfoil 1'!$B$681*L29^4+'Airfoil 1'!$B$69*L29^5+'Airfoil 1'!$B$70*L29^6</f>
        <v>-0.155</v>
      </c>
      <c r="Z29" s="16">
        <f>LOG('Airfoil 1'!$F$10)+LOG('Airfoil 1'!$G$10)+LOG('Airfoil 1'!$H$10)</f>
        <v>15.176091259055681</v>
      </c>
      <c r="AA29" s="16">
        <f t="shared" ca="1" si="4"/>
        <v>-2.4290049054891254</v>
      </c>
      <c r="AB29" s="16">
        <f>LOG('Airfoil 1'!$F$10)^2+LOG('Airfoil 1'!$G$10)^2+LOG('Airfoil 1'!$H$10)^2</f>
        <v>76.867141336751558</v>
      </c>
      <c r="AC29" s="16">
        <f ca="1">LOG('Airfoil 1'!$F$10)*LOG(ABS(W29))+LOG('Airfoil 1'!$G$10)*LOG(ABS(X29))+LOG('Airfoil 1'!$H$10)*LOG(ABS(Y29))</f>
        <v>-12.287600038132297</v>
      </c>
      <c r="AD29" s="16">
        <f t="shared" ca="1" si="5"/>
        <v>0.1550000000000121</v>
      </c>
      <c r="AE29" s="16">
        <f t="shared" ca="1" si="6"/>
        <v>-6.6718325633022456E-15</v>
      </c>
      <c r="AF29" s="42">
        <f t="shared" ca="1" si="7"/>
        <v>-0.15499999999999892</v>
      </c>
      <c r="AG29" s="16"/>
      <c r="AH29" s="42"/>
      <c r="AI29" s="16">
        <f ca="1">(L29-'Airfoil 1'!$Z$22)/ABS(L29-'Airfoil 1'!$Z$22)</f>
        <v>1</v>
      </c>
      <c r="AJ29" s="16">
        <f ca="1">(L29-'Airfoil 1'!$Z$23)/ABS(L29-'Airfoil 1'!$Z$23)</f>
        <v>1</v>
      </c>
      <c r="AK29" s="16">
        <f ca="1">(L29-'Airfoil 1'!$Z$24)/ABS(L29-'Airfoil 1'!$Z$24)</f>
        <v>1</v>
      </c>
      <c r="AL29" s="16">
        <f ca="1">(L29-'Airfoil 1'!$Z$25)/ABS(L29-'Airfoil 1'!$Z$25)</f>
        <v>1</v>
      </c>
      <c r="AM29" s="16">
        <f ca="1">(L29-'Airfoil 1'!$Z$26)/ABS(L29-'Airfoil 1'!$Z$26)</f>
        <v>1</v>
      </c>
      <c r="AN29" s="16">
        <f ca="1">(L29-'Airfoil 1'!$Z$27)/ABS(L29-'Airfoil 1'!$Z$27)</f>
        <v>1</v>
      </c>
      <c r="AO29" s="16">
        <f ca="1">(L29-'Airfoil 1'!$Z$28)/ABS(L29-'Airfoil 1'!$Z$28)</f>
        <v>1</v>
      </c>
      <c r="AP29" s="16">
        <f ca="1">(L29-'Airfoil 1'!$Z$29)/ABS(L29-'Airfoil 1'!$Z$29)</f>
        <v>1</v>
      </c>
      <c r="AQ29" s="16">
        <f ca="1">(L29-'Airfoil 1'!$Z$30)/ABS(L29-'Airfoil 1'!$Z$30)</f>
        <v>-1</v>
      </c>
      <c r="AR29" s="16">
        <f ca="1">(L29-'Airfoil 1'!$Z$31)/ABS(L29-'Airfoil 1'!$Z$31)</f>
        <v>-1</v>
      </c>
      <c r="AS29" s="16">
        <f ca="1">(L29-'Airfoil 1'!$Z$32)/ABS(L29-'Airfoil 1'!$Z$32)</f>
        <v>-1</v>
      </c>
      <c r="AT29" s="16">
        <f ca="1">(L29-'Airfoil 1'!$Z$33)/ABS(L29-'Airfoil 1'!$Z$33)</f>
        <v>-1</v>
      </c>
      <c r="AU29" s="16">
        <f ca="1">(L29-'Airfoil 1'!$Z$34)/ABS(L29-'Airfoil 1'!$Z$34)</f>
        <v>-1</v>
      </c>
      <c r="AV29" s="16">
        <f ca="1">(L29-'Airfoil 1'!$Z$35)/ABS(L29-'Airfoil 1'!$Z$35)</f>
        <v>-1</v>
      </c>
      <c r="AW29" s="16">
        <f ca="1">(L29-'Airfoil 1'!$Z$36)/ABS(L29-'Airfoil 1'!$Z$36)</f>
        <v>-1</v>
      </c>
      <c r="AX29" s="16">
        <f ca="1">(L29-'Airfoil 1'!$Z$37)/ABS(L29-'Airfoil 1'!$Z$37)</f>
        <v>-1</v>
      </c>
      <c r="AY29" s="16">
        <f ca="1">(L29-'Airfoil 1'!$Z$38)/ABS(L29-'Airfoil 1'!$Z$38)</f>
        <v>-1</v>
      </c>
      <c r="AZ29" s="16">
        <f ca="1">(L29-'Airfoil 1'!$Z$39)/ABS(L29-'Airfoil 1'!$Z$39)</f>
        <v>-1</v>
      </c>
      <c r="BA29" s="16">
        <f ca="1">(L29-'Airfoil 1'!$Z$40)/ABS(L29-'Airfoil 1'!$Z$40)</f>
        <v>-1</v>
      </c>
      <c r="BB29" s="16">
        <f ca="1">(L29-'Airfoil 1'!$Z$41)/ABS(L29-'Airfoil 1'!$Z$41)</f>
        <v>-1</v>
      </c>
      <c r="BC29" s="5">
        <f t="shared" ca="1" si="8"/>
        <v>8</v>
      </c>
      <c r="BD29" s="42">
        <f ca="1">INDEX('Airfoil 1'!$AA$22:$AA$41,BC29,1)+INDEX('Airfoil 1'!$AB$22:$AB$41,BC29,1)*(L29-INDEX('Airfoil 1'!$Z$22:$Z$41,BC29,1))</f>
        <v>2.5062216230928001E-2</v>
      </c>
      <c r="BE29" s="6"/>
      <c r="BF29" s="16">
        <f ca="1">(L29-'Airfoil 1'!$Z$47)/ABS(L29-'Airfoil 1'!$Z$47)</f>
        <v>1</v>
      </c>
      <c r="BG29" s="16">
        <f ca="1">(L29-'Airfoil 1'!$Z$48)/ABS(L29-'Airfoil 1'!$Z$48)</f>
        <v>1</v>
      </c>
      <c r="BH29" s="16">
        <f ca="1">(L29-'Airfoil 1'!$Z$49)/ABS(L29-'Airfoil 1'!$Z$49)</f>
        <v>1</v>
      </c>
      <c r="BI29" s="16">
        <f ca="1">(L29-'Airfoil 1'!$Z$50)/ABS(L29-'Airfoil 1'!$Z$50)</f>
        <v>1</v>
      </c>
      <c r="BJ29" s="16">
        <f ca="1">(L29-'Airfoil 1'!$Z$51)/ABS(L29-'Airfoil 1'!$Z$51)</f>
        <v>1</v>
      </c>
      <c r="BK29" s="16">
        <f ca="1">(L29-'Airfoil 1'!$Z$52)/ABS(L29-'Airfoil 1'!$Z$52)</f>
        <v>1</v>
      </c>
      <c r="BL29" s="16">
        <f ca="1">(L29-'Airfoil 1'!$Z$53)/ABS(L29-'Airfoil 1'!$Z$53)</f>
        <v>1</v>
      </c>
      <c r="BM29" s="16">
        <f ca="1">(L29-'Airfoil 1'!$Z$54)/ABS(L29-'Airfoil 1'!$Z$54)</f>
        <v>-1</v>
      </c>
      <c r="BN29" s="16">
        <f ca="1">(L29-'Airfoil 1'!$Z$55)/ABS(L29-'Airfoil 1'!$Z$55)</f>
        <v>-1</v>
      </c>
      <c r="BO29" s="16">
        <f ca="1">(L29-'Airfoil 1'!$Z$56)/ABS(L29-'Airfoil 1'!$Z$56)</f>
        <v>-1</v>
      </c>
      <c r="BP29" s="16">
        <f ca="1">(L29-'Airfoil 1'!$Z$57)/ABS(L29-'Airfoil 1'!$Z$57)</f>
        <v>-1</v>
      </c>
      <c r="BQ29" s="16">
        <f ca="1">(L29-'Airfoil 1'!$Z$58)/ABS(L29-'Airfoil 1'!$Z$58)</f>
        <v>-1</v>
      </c>
      <c r="BR29" s="16">
        <f ca="1">(L29-'Airfoil 1'!$Z$59)/ABS(L29-'Airfoil 1'!$Z$59)</f>
        <v>-1</v>
      </c>
      <c r="BS29" s="16">
        <f ca="1">(L29-'Airfoil 1'!$Z$60)/ABS(L29-'Airfoil 1'!$Z$60)</f>
        <v>-1</v>
      </c>
      <c r="BT29" s="16">
        <f ca="1">(L29-'Airfoil 1'!$Z$61)/ABS(L29-'Airfoil 1'!$Z$61)</f>
        <v>-1</v>
      </c>
      <c r="BU29" s="16">
        <f ca="1">(L29-'Airfoil 1'!$Z$62)/ABS(L29-'Airfoil 1'!$Z$62)</f>
        <v>-1</v>
      </c>
      <c r="BV29" s="16">
        <f ca="1">(L29-'Airfoil 1'!$Z$63)/ABS(L29-'Airfoil 1'!$Z$63)</f>
        <v>-1</v>
      </c>
      <c r="BW29" s="16">
        <f ca="1">(L29-'Airfoil 1'!$Z$64)/ABS(L29-'Airfoil 1'!$Z$64)</f>
        <v>-1</v>
      </c>
      <c r="BX29" s="16">
        <f ca="1">(L29-'Airfoil 1'!$Z$65)/ABS(L29-'Airfoil 1'!$Z$65)</f>
        <v>-1</v>
      </c>
      <c r="BY29" s="16">
        <f ca="1">(L29-'Airfoil 1'!$Z$66)/ABS(L29-'Airfoil 1'!$Z$66)</f>
        <v>-1</v>
      </c>
      <c r="BZ29" s="5">
        <f t="shared" ca="1" si="9"/>
        <v>7</v>
      </c>
      <c r="CA29" s="42">
        <f ca="1">INDEX('Airfoil 1'!$AA$47:$AA$66,BZ29,1)+INDEX('Airfoil 1'!$AB$47:$AB$66,BZ29,1)*(L29-INDEX('Airfoil 1'!$Z$47:$Z$66,BZ29,1))</f>
        <v>1.8769168637847108E-2</v>
      </c>
      <c r="CC29" s="16">
        <f ca="1">(L29-'Airfoil 1'!$Z$72)/ABS(L29-'Airfoil 1'!$Z$72)</f>
        <v>1</v>
      </c>
      <c r="CD29" s="16">
        <f ca="1">(L29-'Airfoil 1'!$Z$73)/ABS(L29-'Airfoil 1'!$Z$73)</f>
        <v>1</v>
      </c>
      <c r="CE29" s="16">
        <f ca="1">(L29-'Airfoil 1'!$Z$74)/ABS(L29-'Airfoil 1'!$Z$74)</f>
        <v>1</v>
      </c>
      <c r="CF29" s="16">
        <f ca="1">(L29-'Airfoil 1'!$Z$75)/ABS(L29-'Airfoil 1'!$Z$75)</f>
        <v>1</v>
      </c>
      <c r="CG29" s="16">
        <f ca="1">(L29-'Airfoil 1'!$Z$76)/ABS(L29-'Airfoil 1'!$Z$76)</f>
        <v>1</v>
      </c>
      <c r="CH29" s="16">
        <f ca="1">(L29-'Airfoil 1'!$Z$77)/ABS(L29-'Airfoil 1'!$Z$77)</f>
        <v>1</v>
      </c>
      <c r="CI29" s="16">
        <f ca="1">(L29-'Airfoil 1'!$Z$78)/ABS(L29-'Airfoil 1'!$Z$78)</f>
        <v>-1</v>
      </c>
      <c r="CJ29" s="16">
        <f ca="1">(L29-'Airfoil 1'!$Z$79)/ABS(L29-'Airfoil 1'!$Z$79)</f>
        <v>-1</v>
      </c>
      <c r="CK29" s="16">
        <f ca="1">(L29-'Airfoil 1'!$Z$80)/ABS(L29-'Airfoil 1'!$Z$80)</f>
        <v>-1</v>
      </c>
      <c r="CL29" s="16">
        <f ca="1">(L29-'Airfoil 1'!$Z$81)/ABS(L29-'Airfoil 1'!$Z$81)</f>
        <v>-1</v>
      </c>
      <c r="CM29" s="16">
        <f ca="1">(L29-'Airfoil 1'!$Z$82)/ABS(L29-'Airfoil 1'!$Z$82)</f>
        <v>-1</v>
      </c>
      <c r="CN29" s="16">
        <f ca="1">(L29-'Airfoil 1'!$Z$83)/ABS(L29-'Airfoil 1'!$Z$83)</f>
        <v>-1</v>
      </c>
      <c r="CO29" s="16">
        <f ca="1">(L29-'Airfoil 1'!$Z$84)/ABS(L29-'Airfoil 1'!$Z$84)</f>
        <v>-1</v>
      </c>
      <c r="CP29" s="16">
        <f ca="1">(L29-'Airfoil 1'!$Z$85)/ABS(L29-'Airfoil 1'!$Z$85)</f>
        <v>-1</v>
      </c>
      <c r="CQ29" s="16">
        <f ca="1">(L29-'Airfoil 1'!$Z$86)/ABS(L29-'Airfoil 1'!$Z$86)</f>
        <v>-1</v>
      </c>
      <c r="CR29" s="16">
        <f ca="1">(L29-'Airfoil 1'!$Z$87)/ABS(L29-'Airfoil 1'!$Z$87)</f>
        <v>-1</v>
      </c>
      <c r="CS29" s="16">
        <f ca="1">(L29-'Airfoil 1'!$Z$88)/ABS(L29-'Airfoil 1'!$Z$88)</f>
        <v>-1</v>
      </c>
      <c r="CT29" s="16">
        <f ca="1">(L29-'Airfoil 1'!$Z$89)/ABS(L29-'Airfoil 1'!$Z$89)</f>
        <v>-1</v>
      </c>
      <c r="CU29" s="16">
        <f ca="1">(L29-'Airfoil 1'!$Z$90)/ABS(L29-'Airfoil 1'!$Z$90)</f>
        <v>-1</v>
      </c>
      <c r="CV29" s="16">
        <f ca="1">(L29-'Airfoil 1'!$Z$91)/ABS(L29-'Airfoil 1'!$Z$91)</f>
        <v>-1</v>
      </c>
      <c r="CW29" s="5">
        <f t="shared" ca="1" si="10"/>
        <v>6</v>
      </c>
      <c r="CX29" s="42">
        <f ca="1">INDEX('Airfoil 1'!$AA$72:$AA$91,CW29,1)+INDEX('Airfoil 1'!$AB$72:$AB$91,CW29,1)*(L29-INDEX('Airfoil 1'!$Z$72:$Z$91,CW29,1))</f>
        <v>1.2282595048042355E-2</v>
      </c>
    </row>
    <row r="30" spans="2:102">
      <c r="B30" s="31">
        <f>Main!B30</f>
        <v>0.33333333333333326</v>
      </c>
      <c r="D30" s="1">
        <f>Turn!F30</f>
        <v>0.65969672852566186</v>
      </c>
      <c r="E30" s="4">
        <f>ISA!$R$10</f>
        <v>1.5987591530356481E-5</v>
      </c>
      <c r="G30" s="13">
        <f ca="1">Turn!X30</f>
        <v>24.858990723373086</v>
      </c>
      <c r="H30" s="5">
        <f t="shared" ca="1" si="0"/>
        <v>341919.22786953463</v>
      </c>
      <c r="I30" s="16">
        <f ca="1">'Airfoil 2'!$K$14*H30^'Airfoil 2'!$L$13</f>
        <v>1.5823770296445867</v>
      </c>
      <c r="J30" s="1">
        <f ca="1">'Airfoil 2'!$K$33*H30^'Airfoil 2'!$L$32</f>
        <v>5.0731961754621828</v>
      </c>
      <c r="K30" s="13">
        <f ca="1">'Airfoil 2'!$K$52*H30^'Airfoil 2'!$L$51</f>
        <v>-9.0249781933346007</v>
      </c>
      <c r="L30" s="16">
        <f ca="1">'Aerodynamics-Turn'!W30</f>
        <v>1.0392304845413263</v>
      </c>
      <c r="M30" s="10">
        <f ca="1">('Airfoil 1'!$B$21+'Airfoil 1'!$B$22*L30+'Airfoil 1'!$B$23*L30^2+'Airfoil 1'!$B$24*L30^3+'Airfoil 1'!$B$25*L30^4+'Airfoil 1'!$B$26*L30^5+'Airfoil 1'!$B$27*L30^6)*0+BD30</f>
        <v>2.5062216230928001E-2</v>
      </c>
      <c r="N30" s="42">
        <f ca="1">('Airfoil 1'!$B$29+'Airfoil 1'!$B$30*L30+'Airfoil 1'!$B$31*L30^2+'Airfoil 1'!$B$32*L30^3+'Airfoil 1'!$B$33*L30^4+'Airfoil 1'!$B$34*L30^5+'Airfoil 1'!$B$35*L30^6)*0+CA30</f>
        <v>1.8769168637847108E-2</v>
      </c>
      <c r="O30" s="42">
        <f ca="1">('Airfoil 1'!$B$37+'Airfoil 1'!$B$38*L30+'Airfoil 1'!$B$39*L30^2+'Airfoil 1'!$B$40*L30^3+'Airfoil 1'!$B$41*L30^4+'Airfoil 1'!$B$42*L30^5+'Airfoil 1'!$B$43*L30^6)*0+CX30</f>
        <v>1.2282595048042355E-2</v>
      </c>
      <c r="P30" s="16">
        <f>LOG('Airfoil 1'!$F$10)+LOG('Airfoil 1'!$G$10)+LOG('Airfoil 1'!$H$10)</f>
        <v>15.176091259055681</v>
      </c>
      <c r="Q30" s="16">
        <f t="shared" ca="1" si="1"/>
        <v>-5.2382453573715591</v>
      </c>
      <c r="R30" s="16">
        <f>LOG('Airfoil 1'!$F$10)^2+LOG('Airfoil 1'!$G$10)^2+LOG('Airfoil 1'!$H$10)^2</f>
        <v>76.867141336751558</v>
      </c>
      <c r="S30" s="16">
        <f ca="1">LOG('Airfoil 1'!$F$10)*LOG(M30)+LOG('Airfoil 1'!$G$10)*LOG(N30)+LOG('Airfoil 1'!$H$10)*LOG(O30)</f>
        <v>-26.566383285240857</v>
      </c>
      <c r="T30" s="16">
        <f t="shared" ca="1" si="2"/>
        <v>66.780048933841258</v>
      </c>
      <c r="U30" s="16">
        <f t="shared" ca="1" si="3"/>
        <v>-0.70585932657973494</v>
      </c>
      <c r="V30" s="42">
        <f ca="1">IF(Energy!$F$11=1,Energy!$T$13,1)*T30*H30^U30</f>
        <v>9.1380556603526432E-3</v>
      </c>
      <c r="W30" s="10">
        <f ca="1">'Airfoil 1'!$B$48+'Airfoil 1'!$B$49*L30+'Airfoil 1'!$B$50*L30^2+'Airfoil 1'!$B$51*L30^3+'Airfoil 1'!$B$52*L30^4+'Airfoil 1'!$B$53*L30^5+'Airfoil 1'!$B$54*L30^6</f>
        <v>-0.155</v>
      </c>
      <c r="X30" s="42">
        <f ca="1">'Airfoil 1'!$B$56+'Airfoil 1'!$B$57*L30+'Airfoil 1'!$B$58*L30^2+'Airfoil 1'!$B$59*L30^3+'Airfoil 1'!$B$60*L30^4+'Airfoil 1'!$B$61*L30^5+'Airfoil 1'!$B$62*L30^6</f>
        <v>-0.155</v>
      </c>
      <c r="Y30" s="42">
        <f ca="1">'Airfoil 1'!$B$64+'Airfoil 1'!$B$65*L30+'Airfoil 1'!$B$66*L30^2+'Airfoil 1'!$B$67*L30^3+'Airfoil 1'!$B$681*L30^4+'Airfoil 1'!$B$69*L30^5+'Airfoil 1'!$B$70*L30^6</f>
        <v>-0.155</v>
      </c>
      <c r="Z30" s="16">
        <f>LOG('Airfoil 1'!$F$10)+LOG('Airfoil 1'!$G$10)+LOG('Airfoil 1'!$H$10)</f>
        <v>15.176091259055681</v>
      </c>
      <c r="AA30" s="16">
        <f t="shared" ca="1" si="4"/>
        <v>-2.4290049054891254</v>
      </c>
      <c r="AB30" s="16">
        <f>LOG('Airfoil 1'!$F$10)^2+LOG('Airfoil 1'!$G$10)^2+LOG('Airfoil 1'!$H$10)^2</f>
        <v>76.867141336751558</v>
      </c>
      <c r="AC30" s="16">
        <f ca="1">LOG('Airfoil 1'!$F$10)*LOG(ABS(W30))+LOG('Airfoil 1'!$G$10)*LOG(ABS(X30))+LOG('Airfoil 1'!$H$10)*LOG(ABS(Y30))</f>
        <v>-12.287600038132297</v>
      </c>
      <c r="AD30" s="16">
        <f t="shared" ca="1" si="5"/>
        <v>0.1550000000000121</v>
      </c>
      <c r="AE30" s="16">
        <f t="shared" ca="1" si="6"/>
        <v>-6.6718325633022456E-15</v>
      </c>
      <c r="AF30" s="42">
        <f t="shared" ca="1" si="7"/>
        <v>-0.15499999999999892</v>
      </c>
      <c r="AG30" s="16"/>
      <c r="AH30" s="42"/>
      <c r="AI30" s="16">
        <f ca="1">(L30-'Airfoil 1'!$Z$22)/ABS(L30-'Airfoil 1'!$Z$22)</f>
        <v>1</v>
      </c>
      <c r="AJ30" s="16">
        <f ca="1">(L30-'Airfoil 1'!$Z$23)/ABS(L30-'Airfoil 1'!$Z$23)</f>
        <v>1</v>
      </c>
      <c r="AK30" s="16">
        <f ca="1">(L30-'Airfoil 1'!$Z$24)/ABS(L30-'Airfoil 1'!$Z$24)</f>
        <v>1</v>
      </c>
      <c r="AL30" s="16">
        <f ca="1">(L30-'Airfoil 1'!$Z$25)/ABS(L30-'Airfoil 1'!$Z$25)</f>
        <v>1</v>
      </c>
      <c r="AM30" s="16">
        <f ca="1">(L30-'Airfoil 1'!$Z$26)/ABS(L30-'Airfoil 1'!$Z$26)</f>
        <v>1</v>
      </c>
      <c r="AN30" s="16">
        <f ca="1">(L30-'Airfoil 1'!$Z$27)/ABS(L30-'Airfoil 1'!$Z$27)</f>
        <v>1</v>
      </c>
      <c r="AO30" s="16">
        <f ca="1">(L30-'Airfoil 1'!$Z$28)/ABS(L30-'Airfoil 1'!$Z$28)</f>
        <v>1</v>
      </c>
      <c r="AP30" s="16">
        <f ca="1">(L30-'Airfoil 1'!$Z$29)/ABS(L30-'Airfoil 1'!$Z$29)</f>
        <v>1</v>
      </c>
      <c r="AQ30" s="16">
        <f ca="1">(L30-'Airfoil 1'!$Z$30)/ABS(L30-'Airfoil 1'!$Z$30)</f>
        <v>-1</v>
      </c>
      <c r="AR30" s="16">
        <f ca="1">(L30-'Airfoil 1'!$Z$31)/ABS(L30-'Airfoil 1'!$Z$31)</f>
        <v>-1</v>
      </c>
      <c r="AS30" s="16">
        <f ca="1">(L30-'Airfoil 1'!$Z$32)/ABS(L30-'Airfoil 1'!$Z$32)</f>
        <v>-1</v>
      </c>
      <c r="AT30" s="16">
        <f ca="1">(L30-'Airfoil 1'!$Z$33)/ABS(L30-'Airfoil 1'!$Z$33)</f>
        <v>-1</v>
      </c>
      <c r="AU30" s="16">
        <f ca="1">(L30-'Airfoil 1'!$Z$34)/ABS(L30-'Airfoil 1'!$Z$34)</f>
        <v>-1</v>
      </c>
      <c r="AV30" s="16">
        <f ca="1">(L30-'Airfoil 1'!$Z$35)/ABS(L30-'Airfoil 1'!$Z$35)</f>
        <v>-1</v>
      </c>
      <c r="AW30" s="16">
        <f ca="1">(L30-'Airfoil 1'!$Z$36)/ABS(L30-'Airfoil 1'!$Z$36)</f>
        <v>-1</v>
      </c>
      <c r="AX30" s="16">
        <f ca="1">(L30-'Airfoil 1'!$Z$37)/ABS(L30-'Airfoil 1'!$Z$37)</f>
        <v>-1</v>
      </c>
      <c r="AY30" s="16">
        <f ca="1">(L30-'Airfoil 1'!$Z$38)/ABS(L30-'Airfoil 1'!$Z$38)</f>
        <v>-1</v>
      </c>
      <c r="AZ30" s="16">
        <f ca="1">(L30-'Airfoil 1'!$Z$39)/ABS(L30-'Airfoil 1'!$Z$39)</f>
        <v>-1</v>
      </c>
      <c r="BA30" s="16">
        <f ca="1">(L30-'Airfoil 1'!$Z$40)/ABS(L30-'Airfoil 1'!$Z$40)</f>
        <v>-1</v>
      </c>
      <c r="BB30" s="16">
        <f ca="1">(L30-'Airfoil 1'!$Z$41)/ABS(L30-'Airfoil 1'!$Z$41)</f>
        <v>-1</v>
      </c>
      <c r="BC30" s="5">
        <f t="shared" ca="1" si="8"/>
        <v>8</v>
      </c>
      <c r="BD30" s="42">
        <f ca="1">INDEX('Airfoil 1'!$AA$22:$AA$41,BC30,1)+INDEX('Airfoil 1'!$AB$22:$AB$41,BC30,1)*(L30-INDEX('Airfoil 1'!$Z$22:$Z$41,BC30,1))</f>
        <v>2.5062216230928001E-2</v>
      </c>
      <c r="BE30" s="6"/>
      <c r="BF30" s="16">
        <f ca="1">(L30-'Airfoil 1'!$Z$47)/ABS(L30-'Airfoil 1'!$Z$47)</f>
        <v>1</v>
      </c>
      <c r="BG30" s="16">
        <f ca="1">(L30-'Airfoil 1'!$Z$48)/ABS(L30-'Airfoil 1'!$Z$48)</f>
        <v>1</v>
      </c>
      <c r="BH30" s="16">
        <f ca="1">(L30-'Airfoil 1'!$Z$49)/ABS(L30-'Airfoil 1'!$Z$49)</f>
        <v>1</v>
      </c>
      <c r="BI30" s="16">
        <f ca="1">(L30-'Airfoil 1'!$Z$50)/ABS(L30-'Airfoil 1'!$Z$50)</f>
        <v>1</v>
      </c>
      <c r="BJ30" s="16">
        <f ca="1">(L30-'Airfoil 1'!$Z$51)/ABS(L30-'Airfoil 1'!$Z$51)</f>
        <v>1</v>
      </c>
      <c r="BK30" s="16">
        <f ca="1">(L30-'Airfoil 1'!$Z$52)/ABS(L30-'Airfoil 1'!$Z$52)</f>
        <v>1</v>
      </c>
      <c r="BL30" s="16">
        <f ca="1">(L30-'Airfoil 1'!$Z$53)/ABS(L30-'Airfoil 1'!$Z$53)</f>
        <v>1</v>
      </c>
      <c r="BM30" s="16">
        <f ca="1">(L30-'Airfoil 1'!$Z$54)/ABS(L30-'Airfoil 1'!$Z$54)</f>
        <v>-1</v>
      </c>
      <c r="BN30" s="16">
        <f ca="1">(L30-'Airfoil 1'!$Z$55)/ABS(L30-'Airfoil 1'!$Z$55)</f>
        <v>-1</v>
      </c>
      <c r="BO30" s="16">
        <f ca="1">(L30-'Airfoil 1'!$Z$56)/ABS(L30-'Airfoil 1'!$Z$56)</f>
        <v>-1</v>
      </c>
      <c r="BP30" s="16">
        <f ca="1">(L30-'Airfoil 1'!$Z$57)/ABS(L30-'Airfoil 1'!$Z$57)</f>
        <v>-1</v>
      </c>
      <c r="BQ30" s="16">
        <f ca="1">(L30-'Airfoil 1'!$Z$58)/ABS(L30-'Airfoil 1'!$Z$58)</f>
        <v>-1</v>
      </c>
      <c r="BR30" s="16">
        <f ca="1">(L30-'Airfoil 1'!$Z$59)/ABS(L30-'Airfoil 1'!$Z$59)</f>
        <v>-1</v>
      </c>
      <c r="BS30" s="16">
        <f ca="1">(L30-'Airfoil 1'!$Z$60)/ABS(L30-'Airfoil 1'!$Z$60)</f>
        <v>-1</v>
      </c>
      <c r="BT30" s="16">
        <f ca="1">(L30-'Airfoil 1'!$Z$61)/ABS(L30-'Airfoil 1'!$Z$61)</f>
        <v>-1</v>
      </c>
      <c r="BU30" s="16">
        <f ca="1">(L30-'Airfoil 1'!$Z$62)/ABS(L30-'Airfoil 1'!$Z$62)</f>
        <v>-1</v>
      </c>
      <c r="BV30" s="16">
        <f ca="1">(L30-'Airfoil 1'!$Z$63)/ABS(L30-'Airfoil 1'!$Z$63)</f>
        <v>-1</v>
      </c>
      <c r="BW30" s="16">
        <f ca="1">(L30-'Airfoil 1'!$Z$64)/ABS(L30-'Airfoil 1'!$Z$64)</f>
        <v>-1</v>
      </c>
      <c r="BX30" s="16">
        <f ca="1">(L30-'Airfoil 1'!$Z$65)/ABS(L30-'Airfoil 1'!$Z$65)</f>
        <v>-1</v>
      </c>
      <c r="BY30" s="16">
        <f ca="1">(L30-'Airfoil 1'!$Z$66)/ABS(L30-'Airfoil 1'!$Z$66)</f>
        <v>-1</v>
      </c>
      <c r="BZ30" s="5">
        <f t="shared" ca="1" si="9"/>
        <v>7</v>
      </c>
      <c r="CA30" s="42">
        <f ca="1">INDEX('Airfoil 1'!$AA$47:$AA$66,BZ30,1)+INDEX('Airfoil 1'!$AB$47:$AB$66,BZ30,1)*(L30-INDEX('Airfoil 1'!$Z$47:$Z$66,BZ30,1))</f>
        <v>1.8769168637847108E-2</v>
      </c>
      <c r="CC30" s="16">
        <f ca="1">(L30-'Airfoil 1'!$Z$72)/ABS(L30-'Airfoil 1'!$Z$72)</f>
        <v>1</v>
      </c>
      <c r="CD30" s="16">
        <f ca="1">(L30-'Airfoil 1'!$Z$73)/ABS(L30-'Airfoil 1'!$Z$73)</f>
        <v>1</v>
      </c>
      <c r="CE30" s="16">
        <f ca="1">(L30-'Airfoil 1'!$Z$74)/ABS(L30-'Airfoil 1'!$Z$74)</f>
        <v>1</v>
      </c>
      <c r="CF30" s="16">
        <f ca="1">(L30-'Airfoil 1'!$Z$75)/ABS(L30-'Airfoil 1'!$Z$75)</f>
        <v>1</v>
      </c>
      <c r="CG30" s="16">
        <f ca="1">(L30-'Airfoil 1'!$Z$76)/ABS(L30-'Airfoil 1'!$Z$76)</f>
        <v>1</v>
      </c>
      <c r="CH30" s="16">
        <f ca="1">(L30-'Airfoil 1'!$Z$77)/ABS(L30-'Airfoil 1'!$Z$77)</f>
        <v>1</v>
      </c>
      <c r="CI30" s="16">
        <f ca="1">(L30-'Airfoil 1'!$Z$78)/ABS(L30-'Airfoil 1'!$Z$78)</f>
        <v>-1</v>
      </c>
      <c r="CJ30" s="16">
        <f ca="1">(L30-'Airfoil 1'!$Z$79)/ABS(L30-'Airfoil 1'!$Z$79)</f>
        <v>-1</v>
      </c>
      <c r="CK30" s="16">
        <f ca="1">(L30-'Airfoil 1'!$Z$80)/ABS(L30-'Airfoil 1'!$Z$80)</f>
        <v>-1</v>
      </c>
      <c r="CL30" s="16">
        <f ca="1">(L30-'Airfoil 1'!$Z$81)/ABS(L30-'Airfoil 1'!$Z$81)</f>
        <v>-1</v>
      </c>
      <c r="CM30" s="16">
        <f ca="1">(L30-'Airfoil 1'!$Z$82)/ABS(L30-'Airfoil 1'!$Z$82)</f>
        <v>-1</v>
      </c>
      <c r="CN30" s="16">
        <f ca="1">(L30-'Airfoil 1'!$Z$83)/ABS(L30-'Airfoil 1'!$Z$83)</f>
        <v>-1</v>
      </c>
      <c r="CO30" s="16">
        <f ca="1">(L30-'Airfoil 1'!$Z$84)/ABS(L30-'Airfoil 1'!$Z$84)</f>
        <v>-1</v>
      </c>
      <c r="CP30" s="16">
        <f ca="1">(L30-'Airfoil 1'!$Z$85)/ABS(L30-'Airfoil 1'!$Z$85)</f>
        <v>-1</v>
      </c>
      <c r="CQ30" s="16">
        <f ca="1">(L30-'Airfoil 1'!$Z$86)/ABS(L30-'Airfoil 1'!$Z$86)</f>
        <v>-1</v>
      </c>
      <c r="CR30" s="16">
        <f ca="1">(L30-'Airfoil 1'!$Z$87)/ABS(L30-'Airfoil 1'!$Z$87)</f>
        <v>-1</v>
      </c>
      <c r="CS30" s="16">
        <f ca="1">(L30-'Airfoil 1'!$Z$88)/ABS(L30-'Airfoil 1'!$Z$88)</f>
        <v>-1</v>
      </c>
      <c r="CT30" s="16">
        <f ca="1">(L30-'Airfoil 1'!$Z$89)/ABS(L30-'Airfoil 1'!$Z$89)</f>
        <v>-1</v>
      </c>
      <c r="CU30" s="16">
        <f ca="1">(L30-'Airfoil 1'!$Z$90)/ABS(L30-'Airfoil 1'!$Z$90)</f>
        <v>-1</v>
      </c>
      <c r="CV30" s="16">
        <f ca="1">(L30-'Airfoil 1'!$Z$91)/ABS(L30-'Airfoil 1'!$Z$91)</f>
        <v>-1</v>
      </c>
      <c r="CW30" s="5">
        <f t="shared" ca="1" si="10"/>
        <v>6</v>
      </c>
      <c r="CX30" s="42">
        <f ca="1">INDEX('Airfoil 1'!$AA$72:$AA$91,CW30,1)+INDEX('Airfoil 1'!$AB$72:$AB$91,CW30,1)*(L30-INDEX('Airfoil 1'!$Z$72:$Z$91,CW30,1))</f>
        <v>1.2282595048042355E-2</v>
      </c>
    </row>
    <row r="31" spans="2:102">
      <c r="B31" s="31">
        <f>Main!B31</f>
        <v>0.33333333333333326</v>
      </c>
      <c r="D31" s="1">
        <f>Turn!F31</f>
        <v>0.65969672852566186</v>
      </c>
      <c r="E31" s="4">
        <f>ISA!$R$10</f>
        <v>1.5987591530356481E-5</v>
      </c>
      <c r="G31" s="13">
        <f ca="1">Turn!X31</f>
        <v>24.411011139904709</v>
      </c>
      <c r="H31" s="5">
        <f t="shared" ca="1" si="0"/>
        <v>335757.56044766272</v>
      </c>
      <c r="I31" s="16">
        <f ca="1">'Airfoil 2'!$K$14*H31^'Airfoil 2'!$L$13</f>
        <v>1.5819770573199003</v>
      </c>
      <c r="J31" s="1">
        <f ca="1">'Airfoil 2'!$K$33*H31^'Airfoil 2'!$L$32</f>
        <v>5.1043214409384863</v>
      </c>
      <c r="K31" s="13">
        <f ca="1">'Airfoil 2'!$K$52*H31^'Airfoil 2'!$L$51</f>
        <v>-8.9158870013693736</v>
      </c>
      <c r="L31" s="16">
        <f ca="1">'Aerodynamics-Turn'!W31</f>
        <v>1.0392304845413263</v>
      </c>
      <c r="M31" s="10">
        <f ca="1">('Airfoil 1'!$B$21+'Airfoil 1'!$B$22*L31+'Airfoil 1'!$B$23*L31^2+'Airfoil 1'!$B$24*L31^3+'Airfoil 1'!$B$25*L31^4+'Airfoil 1'!$B$26*L31^5+'Airfoil 1'!$B$27*L31^6)*0+BD31</f>
        <v>2.5062216230928001E-2</v>
      </c>
      <c r="N31" s="42">
        <f ca="1">('Airfoil 1'!$B$29+'Airfoil 1'!$B$30*L31+'Airfoil 1'!$B$31*L31^2+'Airfoil 1'!$B$32*L31^3+'Airfoil 1'!$B$33*L31^4+'Airfoil 1'!$B$34*L31^5+'Airfoil 1'!$B$35*L31^6)*0+CA31</f>
        <v>1.8769168637847108E-2</v>
      </c>
      <c r="O31" s="42">
        <f ca="1">('Airfoil 1'!$B$37+'Airfoil 1'!$B$38*L31+'Airfoil 1'!$B$39*L31^2+'Airfoil 1'!$B$40*L31^3+'Airfoil 1'!$B$41*L31^4+'Airfoil 1'!$B$42*L31^5+'Airfoil 1'!$B$43*L31^6)*0+CX31</f>
        <v>1.2282595048042355E-2</v>
      </c>
      <c r="P31" s="16">
        <f>LOG('Airfoil 1'!$F$10)+LOG('Airfoil 1'!$G$10)+LOG('Airfoil 1'!$H$10)</f>
        <v>15.176091259055681</v>
      </c>
      <c r="Q31" s="16">
        <f t="shared" ca="1" si="1"/>
        <v>-5.2382453573715591</v>
      </c>
      <c r="R31" s="16">
        <f>LOG('Airfoil 1'!$F$10)^2+LOG('Airfoil 1'!$G$10)^2+LOG('Airfoil 1'!$H$10)^2</f>
        <v>76.867141336751558</v>
      </c>
      <c r="S31" s="16">
        <f ca="1">LOG('Airfoil 1'!$F$10)*LOG(M31)+LOG('Airfoil 1'!$G$10)*LOG(N31)+LOG('Airfoil 1'!$H$10)*LOG(O31)</f>
        <v>-26.566383285240857</v>
      </c>
      <c r="T31" s="16">
        <f t="shared" ca="1" si="2"/>
        <v>66.780048933841258</v>
      </c>
      <c r="U31" s="16">
        <f t="shared" ca="1" si="3"/>
        <v>-0.70585932657973494</v>
      </c>
      <c r="V31" s="42">
        <f ca="1">IF(Energy!$F$11=1,Energy!$T$13,1)*T31*H31^U31</f>
        <v>9.256109437164213E-3</v>
      </c>
      <c r="W31" s="10">
        <f ca="1">'Airfoil 1'!$B$48+'Airfoil 1'!$B$49*L31+'Airfoil 1'!$B$50*L31^2+'Airfoil 1'!$B$51*L31^3+'Airfoil 1'!$B$52*L31^4+'Airfoil 1'!$B$53*L31^5+'Airfoil 1'!$B$54*L31^6</f>
        <v>-0.155</v>
      </c>
      <c r="X31" s="42">
        <f ca="1">'Airfoil 1'!$B$56+'Airfoil 1'!$B$57*L31+'Airfoil 1'!$B$58*L31^2+'Airfoil 1'!$B$59*L31^3+'Airfoil 1'!$B$60*L31^4+'Airfoil 1'!$B$61*L31^5+'Airfoil 1'!$B$62*L31^6</f>
        <v>-0.155</v>
      </c>
      <c r="Y31" s="42">
        <f ca="1">'Airfoil 1'!$B$64+'Airfoil 1'!$B$65*L31+'Airfoil 1'!$B$66*L31^2+'Airfoil 1'!$B$67*L31^3+'Airfoil 1'!$B$681*L31^4+'Airfoil 1'!$B$69*L31^5+'Airfoil 1'!$B$70*L31^6</f>
        <v>-0.155</v>
      </c>
      <c r="Z31" s="16">
        <f>LOG('Airfoil 1'!$F$10)+LOG('Airfoil 1'!$G$10)+LOG('Airfoil 1'!$H$10)</f>
        <v>15.176091259055681</v>
      </c>
      <c r="AA31" s="16">
        <f t="shared" ca="1" si="4"/>
        <v>-2.4290049054891254</v>
      </c>
      <c r="AB31" s="16">
        <f>LOG('Airfoil 1'!$F$10)^2+LOG('Airfoil 1'!$G$10)^2+LOG('Airfoil 1'!$H$10)^2</f>
        <v>76.867141336751558</v>
      </c>
      <c r="AC31" s="16">
        <f ca="1">LOG('Airfoil 1'!$F$10)*LOG(ABS(W31))+LOG('Airfoil 1'!$G$10)*LOG(ABS(X31))+LOG('Airfoil 1'!$H$10)*LOG(ABS(Y31))</f>
        <v>-12.287600038132297</v>
      </c>
      <c r="AD31" s="16">
        <f t="shared" ca="1" si="5"/>
        <v>0.1550000000000121</v>
      </c>
      <c r="AE31" s="16">
        <f t="shared" ca="1" si="6"/>
        <v>-6.6718325633022456E-15</v>
      </c>
      <c r="AF31" s="42">
        <f t="shared" ca="1" si="7"/>
        <v>-0.15499999999999894</v>
      </c>
      <c r="AG31" s="16"/>
      <c r="AH31" s="42"/>
      <c r="AI31" s="16">
        <f ca="1">(L31-'Airfoil 1'!$Z$22)/ABS(L31-'Airfoil 1'!$Z$22)</f>
        <v>1</v>
      </c>
      <c r="AJ31" s="16">
        <f ca="1">(L31-'Airfoil 1'!$Z$23)/ABS(L31-'Airfoil 1'!$Z$23)</f>
        <v>1</v>
      </c>
      <c r="AK31" s="16">
        <f ca="1">(L31-'Airfoil 1'!$Z$24)/ABS(L31-'Airfoil 1'!$Z$24)</f>
        <v>1</v>
      </c>
      <c r="AL31" s="16">
        <f ca="1">(L31-'Airfoil 1'!$Z$25)/ABS(L31-'Airfoil 1'!$Z$25)</f>
        <v>1</v>
      </c>
      <c r="AM31" s="16">
        <f ca="1">(L31-'Airfoil 1'!$Z$26)/ABS(L31-'Airfoil 1'!$Z$26)</f>
        <v>1</v>
      </c>
      <c r="AN31" s="16">
        <f ca="1">(L31-'Airfoil 1'!$Z$27)/ABS(L31-'Airfoil 1'!$Z$27)</f>
        <v>1</v>
      </c>
      <c r="AO31" s="16">
        <f ca="1">(L31-'Airfoil 1'!$Z$28)/ABS(L31-'Airfoil 1'!$Z$28)</f>
        <v>1</v>
      </c>
      <c r="AP31" s="16">
        <f ca="1">(L31-'Airfoil 1'!$Z$29)/ABS(L31-'Airfoil 1'!$Z$29)</f>
        <v>1</v>
      </c>
      <c r="AQ31" s="16">
        <f ca="1">(L31-'Airfoil 1'!$Z$30)/ABS(L31-'Airfoil 1'!$Z$30)</f>
        <v>-1</v>
      </c>
      <c r="AR31" s="16">
        <f ca="1">(L31-'Airfoil 1'!$Z$31)/ABS(L31-'Airfoil 1'!$Z$31)</f>
        <v>-1</v>
      </c>
      <c r="AS31" s="16">
        <f ca="1">(L31-'Airfoil 1'!$Z$32)/ABS(L31-'Airfoil 1'!$Z$32)</f>
        <v>-1</v>
      </c>
      <c r="AT31" s="16">
        <f ca="1">(L31-'Airfoil 1'!$Z$33)/ABS(L31-'Airfoil 1'!$Z$33)</f>
        <v>-1</v>
      </c>
      <c r="AU31" s="16">
        <f ca="1">(L31-'Airfoil 1'!$Z$34)/ABS(L31-'Airfoil 1'!$Z$34)</f>
        <v>-1</v>
      </c>
      <c r="AV31" s="16">
        <f ca="1">(L31-'Airfoil 1'!$Z$35)/ABS(L31-'Airfoil 1'!$Z$35)</f>
        <v>-1</v>
      </c>
      <c r="AW31" s="16">
        <f ca="1">(L31-'Airfoil 1'!$Z$36)/ABS(L31-'Airfoil 1'!$Z$36)</f>
        <v>-1</v>
      </c>
      <c r="AX31" s="16">
        <f ca="1">(L31-'Airfoil 1'!$Z$37)/ABS(L31-'Airfoil 1'!$Z$37)</f>
        <v>-1</v>
      </c>
      <c r="AY31" s="16">
        <f ca="1">(L31-'Airfoil 1'!$Z$38)/ABS(L31-'Airfoil 1'!$Z$38)</f>
        <v>-1</v>
      </c>
      <c r="AZ31" s="16">
        <f ca="1">(L31-'Airfoil 1'!$Z$39)/ABS(L31-'Airfoil 1'!$Z$39)</f>
        <v>-1</v>
      </c>
      <c r="BA31" s="16">
        <f ca="1">(L31-'Airfoil 1'!$Z$40)/ABS(L31-'Airfoil 1'!$Z$40)</f>
        <v>-1</v>
      </c>
      <c r="BB31" s="16">
        <f ca="1">(L31-'Airfoil 1'!$Z$41)/ABS(L31-'Airfoil 1'!$Z$41)</f>
        <v>-1</v>
      </c>
      <c r="BC31" s="5">
        <f t="shared" ca="1" si="8"/>
        <v>8</v>
      </c>
      <c r="BD31" s="42">
        <f ca="1">INDEX('Airfoil 1'!$AA$22:$AA$41,BC31,1)+INDEX('Airfoil 1'!$AB$22:$AB$41,BC31,1)*(L31-INDEX('Airfoil 1'!$Z$22:$Z$41,BC31,1))</f>
        <v>2.5062216230928001E-2</v>
      </c>
      <c r="BE31" s="6"/>
      <c r="BF31" s="16">
        <f ca="1">(L31-'Airfoil 1'!$Z$47)/ABS(L31-'Airfoil 1'!$Z$47)</f>
        <v>1</v>
      </c>
      <c r="BG31" s="16">
        <f ca="1">(L31-'Airfoil 1'!$Z$48)/ABS(L31-'Airfoil 1'!$Z$48)</f>
        <v>1</v>
      </c>
      <c r="BH31" s="16">
        <f ca="1">(L31-'Airfoil 1'!$Z$49)/ABS(L31-'Airfoil 1'!$Z$49)</f>
        <v>1</v>
      </c>
      <c r="BI31" s="16">
        <f ca="1">(L31-'Airfoil 1'!$Z$50)/ABS(L31-'Airfoil 1'!$Z$50)</f>
        <v>1</v>
      </c>
      <c r="BJ31" s="16">
        <f ca="1">(L31-'Airfoil 1'!$Z$51)/ABS(L31-'Airfoil 1'!$Z$51)</f>
        <v>1</v>
      </c>
      <c r="BK31" s="16">
        <f ca="1">(L31-'Airfoil 1'!$Z$52)/ABS(L31-'Airfoil 1'!$Z$52)</f>
        <v>1</v>
      </c>
      <c r="BL31" s="16">
        <f ca="1">(L31-'Airfoil 1'!$Z$53)/ABS(L31-'Airfoil 1'!$Z$53)</f>
        <v>1</v>
      </c>
      <c r="BM31" s="16">
        <f ca="1">(L31-'Airfoil 1'!$Z$54)/ABS(L31-'Airfoil 1'!$Z$54)</f>
        <v>-1</v>
      </c>
      <c r="BN31" s="16">
        <f ca="1">(L31-'Airfoil 1'!$Z$55)/ABS(L31-'Airfoil 1'!$Z$55)</f>
        <v>-1</v>
      </c>
      <c r="BO31" s="16">
        <f ca="1">(L31-'Airfoil 1'!$Z$56)/ABS(L31-'Airfoil 1'!$Z$56)</f>
        <v>-1</v>
      </c>
      <c r="BP31" s="16">
        <f ca="1">(L31-'Airfoil 1'!$Z$57)/ABS(L31-'Airfoil 1'!$Z$57)</f>
        <v>-1</v>
      </c>
      <c r="BQ31" s="16">
        <f ca="1">(L31-'Airfoil 1'!$Z$58)/ABS(L31-'Airfoil 1'!$Z$58)</f>
        <v>-1</v>
      </c>
      <c r="BR31" s="16">
        <f ca="1">(L31-'Airfoil 1'!$Z$59)/ABS(L31-'Airfoil 1'!$Z$59)</f>
        <v>-1</v>
      </c>
      <c r="BS31" s="16">
        <f ca="1">(L31-'Airfoil 1'!$Z$60)/ABS(L31-'Airfoil 1'!$Z$60)</f>
        <v>-1</v>
      </c>
      <c r="BT31" s="16">
        <f ca="1">(L31-'Airfoil 1'!$Z$61)/ABS(L31-'Airfoil 1'!$Z$61)</f>
        <v>-1</v>
      </c>
      <c r="BU31" s="16">
        <f ca="1">(L31-'Airfoil 1'!$Z$62)/ABS(L31-'Airfoil 1'!$Z$62)</f>
        <v>-1</v>
      </c>
      <c r="BV31" s="16">
        <f ca="1">(L31-'Airfoil 1'!$Z$63)/ABS(L31-'Airfoil 1'!$Z$63)</f>
        <v>-1</v>
      </c>
      <c r="BW31" s="16">
        <f ca="1">(L31-'Airfoil 1'!$Z$64)/ABS(L31-'Airfoil 1'!$Z$64)</f>
        <v>-1</v>
      </c>
      <c r="BX31" s="16">
        <f ca="1">(L31-'Airfoil 1'!$Z$65)/ABS(L31-'Airfoil 1'!$Z$65)</f>
        <v>-1</v>
      </c>
      <c r="BY31" s="16">
        <f ca="1">(L31-'Airfoil 1'!$Z$66)/ABS(L31-'Airfoil 1'!$Z$66)</f>
        <v>-1</v>
      </c>
      <c r="BZ31" s="5">
        <f t="shared" ca="1" si="9"/>
        <v>7</v>
      </c>
      <c r="CA31" s="42">
        <f ca="1">INDEX('Airfoil 1'!$AA$47:$AA$66,BZ31,1)+INDEX('Airfoil 1'!$AB$47:$AB$66,BZ31,1)*(L31-INDEX('Airfoil 1'!$Z$47:$Z$66,BZ31,1))</f>
        <v>1.8769168637847108E-2</v>
      </c>
      <c r="CC31" s="16">
        <f ca="1">(L31-'Airfoil 1'!$Z$72)/ABS(L31-'Airfoil 1'!$Z$72)</f>
        <v>1</v>
      </c>
      <c r="CD31" s="16">
        <f ca="1">(L31-'Airfoil 1'!$Z$73)/ABS(L31-'Airfoil 1'!$Z$73)</f>
        <v>1</v>
      </c>
      <c r="CE31" s="16">
        <f ca="1">(L31-'Airfoil 1'!$Z$74)/ABS(L31-'Airfoil 1'!$Z$74)</f>
        <v>1</v>
      </c>
      <c r="CF31" s="16">
        <f ca="1">(L31-'Airfoil 1'!$Z$75)/ABS(L31-'Airfoil 1'!$Z$75)</f>
        <v>1</v>
      </c>
      <c r="CG31" s="16">
        <f ca="1">(L31-'Airfoil 1'!$Z$76)/ABS(L31-'Airfoil 1'!$Z$76)</f>
        <v>1</v>
      </c>
      <c r="CH31" s="16">
        <f ca="1">(L31-'Airfoil 1'!$Z$77)/ABS(L31-'Airfoil 1'!$Z$77)</f>
        <v>1</v>
      </c>
      <c r="CI31" s="16">
        <f ca="1">(L31-'Airfoil 1'!$Z$78)/ABS(L31-'Airfoil 1'!$Z$78)</f>
        <v>-1</v>
      </c>
      <c r="CJ31" s="16">
        <f ca="1">(L31-'Airfoil 1'!$Z$79)/ABS(L31-'Airfoil 1'!$Z$79)</f>
        <v>-1</v>
      </c>
      <c r="CK31" s="16">
        <f ca="1">(L31-'Airfoil 1'!$Z$80)/ABS(L31-'Airfoil 1'!$Z$80)</f>
        <v>-1</v>
      </c>
      <c r="CL31" s="16">
        <f ca="1">(L31-'Airfoil 1'!$Z$81)/ABS(L31-'Airfoil 1'!$Z$81)</f>
        <v>-1</v>
      </c>
      <c r="CM31" s="16">
        <f ca="1">(L31-'Airfoil 1'!$Z$82)/ABS(L31-'Airfoil 1'!$Z$82)</f>
        <v>-1</v>
      </c>
      <c r="CN31" s="16">
        <f ca="1">(L31-'Airfoil 1'!$Z$83)/ABS(L31-'Airfoil 1'!$Z$83)</f>
        <v>-1</v>
      </c>
      <c r="CO31" s="16">
        <f ca="1">(L31-'Airfoil 1'!$Z$84)/ABS(L31-'Airfoil 1'!$Z$84)</f>
        <v>-1</v>
      </c>
      <c r="CP31" s="16">
        <f ca="1">(L31-'Airfoil 1'!$Z$85)/ABS(L31-'Airfoil 1'!$Z$85)</f>
        <v>-1</v>
      </c>
      <c r="CQ31" s="16">
        <f ca="1">(L31-'Airfoil 1'!$Z$86)/ABS(L31-'Airfoil 1'!$Z$86)</f>
        <v>-1</v>
      </c>
      <c r="CR31" s="16">
        <f ca="1">(L31-'Airfoil 1'!$Z$87)/ABS(L31-'Airfoil 1'!$Z$87)</f>
        <v>-1</v>
      </c>
      <c r="CS31" s="16">
        <f ca="1">(L31-'Airfoil 1'!$Z$88)/ABS(L31-'Airfoil 1'!$Z$88)</f>
        <v>-1</v>
      </c>
      <c r="CT31" s="16">
        <f ca="1">(L31-'Airfoil 1'!$Z$89)/ABS(L31-'Airfoil 1'!$Z$89)</f>
        <v>-1</v>
      </c>
      <c r="CU31" s="16">
        <f ca="1">(L31-'Airfoil 1'!$Z$90)/ABS(L31-'Airfoil 1'!$Z$90)</f>
        <v>-1</v>
      </c>
      <c r="CV31" s="16">
        <f ca="1">(L31-'Airfoil 1'!$Z$91)/ABS(L31-'Airfoil 1'!$Z$91)</f>
        <v>-1</v>
      </c>
      <c r="CW31" s="5">
        <f t="shared" ca="1" si="10"/>
        <v>6</v>
      </c>
      <c r="CX31" s="42">
        <f ca="1">INDEX('Airfoil 1'!$AA$72:$AA$91,CW31,1)+INDEX('Airfoil 1'!$AB$72:$AB$91,CW31,1)*(L31-INDEX('Airfoil 1'!$Z$72:$Z$91,CW31,1))</f>
        <v>1.2282595048042355E-2</v>
      </c>
    </row>
    <row r="32" spans="2:102">
      <c r="B32" s="31">
        <f>Main!B32</f>
        <v>0.33333333333333326</v>
      </c>
      <c r="D32" s="1">
        <f>Turn!F32</f>
        <v>0.65969672852566186</v>
      </c>
      <c r="E32" s="4">
        <f>ISA!$R$10</f>
        <v>1.5987591530356481E-5</v>
      </c>
      <c r="G32" s="13">
        <f ca="1">Turn!X32</f>
        <v>23.990482001820197</v>
      </c>
      <c r="H32" s="5">
        <f t="shared" ca="1" si="0"/>
        <v>329973.45602481888</v>
      </c>
      <c r="I32" s="16">
        <f ca="1">'Airfoil 2'!$K$14*H32^'Airfoil 2'!$L$13</f>
        <v>1.5815949518603616</v>
      </c>
      <c r="J32" s="1">
        <f ca="1">'Airfoil 2'!$K$33*H32^'Airfoil 2'!$L$32</f>
        <v>5.1342420892456291</v>
      </c>
      <c r="K32" s="13">
        <f ca="1">'Airfoil 2'!$K$52*H32^'Airfoil 2'!$L$51</f>
        <v>-8.8128754705039434</v>
      </c>
      <c r="L32" s="16">
        <f ca="1">'Aerodynamics-Turn'!W32</f>
        <v>1.0392304845413263</v>
      </c>
      <c r="M32" s="10">
        <f ca="1">('Airfoil 1'!$B$21+'Airfoil 1'!$B$22*L32+'Airfoil 1'!$B$23*L32^2+'Airfoil 1'!$B$24*L32^3+'Airfoil 1'!$B$25*L32^4+'Airfoil 1'!$B$26*L32^5+'Airfoil 1'!$B$27*L32^6)*0+BD32</f>
        <v>2.5062216230928001E-2</v>
      </c>
      <c r="N32" s="42">
        <f ca="1">('Airfoil 1'!$B$29+'Airfoil 1'!$B$30*L32+'Airfoil 1'!$B$31*L32^2+'Airfoil 1'!$B$32*L32^3+'Airfoil 1'!$B$33*L32^4+'Airfoil 1'!$B$34*L32^5+'Airfoil 1'!$B$35*L32^6)*0+CA32</f>
        <v>1.8769168637847108E-2</v>
      </c>
      <c r="O32" s="42">
        <f ca="1">('Airfoil 1'!$B$37+'Airfoil 1'!$B$38*L32+'Airfoil 1'!$B$39*L32^2+'Airfoil 1'!$B$40*L32^3+'Airfoil 1'!$B$41*L32^4+'Airfoil 1'!$B$42*L32^5+'Airfoil 1'!$B$43*L32^6)*0+CX32</f>
        <v>1.2282595048042355E-2</v>
      </c>
      <c r="P32" s="16">
        <f>LOG('Airfoil 1'!$F$10)+LOG('Airfoil 1'!$G$10)+LOG('Airfoil 1'!$H$10)</f>
        <v>15.176091259055681</v>
      </c>
      <c r="Q32" s="16">
        <f t="shared" ca="1" si="1"/>
        <v>-5.2382453573715591</v>
      </c>
      <c r="R32" s="16">
        <f>LOG('Airfoil 1'!$F$10)^2+LOG('Airfoil 1'!$G$10)^2+LOG('Airfoil 1'!$H$10)^2</f>
        <v>76.867141336751558</v>
      </c>
      <c r="S32" s="16">
        <f ca="1">LOG('Airfoil 1'!$F$10)*LOG(M32)+LOG('Airfoil 1'!$G$10)*LOG(N32)+LOG('Airfoil 1'!$H$10)*LOG(O32)</f>
        <v>-26.566383285240857</v>
      </c>
      <c r="T32" s="16">
        <f t="shared" ca="1" si="2"/>
        <v>66.780048933841258</v>
      </c>
      <c r="U32" s="16">
        <f t="shared" ca="1" si="3"/>
        <v>-0.70585932657973494</v>
      </c>
      <c r="V32" s="42">
        <f ca="1">IF(Energy!$F$11=1,Energy!$T$13,1)*T32*H32^U32</f>
        <v>9.3703423118877555E-3</v>
      </c>
      <c r="W32" s="10">
        <f ca="1">'Airfoil 1'!$B$48+'Airfoil 1'!$B$49*L32+'Airfoil 1'!$B$50*L32^2+'Airfoil 1'!$B$51*L32^3+'Airfoil 1'!$B$52*L32^4+'Airfoil 1'!$B$53*L32^5+'Airfoil 1'!$B$54*L32^6</f>
        <v>-0.155</v>
      </c>
      <c r="X32" s="42">
        <f ca="1">'Airfoil 1'!$B$56+'Airfoil 1'!$B$57*L32+'Airfoil 1'!$B$58*L32^2+'Airfoil 1'!$B$59*L32^3+'Airfoil 1'!$B$60*L32^4+'Airfoil 1'!$B$61*L32^5+'Airfoil 1'!$B$62*L32^6</f>
        <v>-0.155</v>
      </c>
      <c r="Y32" s="42">
        <f ca="1">'Airfoil 1'!$B$64+'Airfoil 1'!$B$65*L32+'Airfoil 1'!$B$66*L32^2+'Airfoil 1'!$B$67*L32^3+'Airfoil 1'!$B$681*L32^4+'Airfoil 1'!$B$69*L32^5+'Airfoil 1'!$B$70*L32^6</f>
        <v>-0.155</v>
      </c>
      <c r="Z32" s="16">
        <f>LOG('Airfoil 1'!$F$10)+LOG('Airfoil 1'!$G$10)+LOG('Airfoil 1'!$H$10)</f>
        <v>15.176091259055681</v>
      </c>
      <c r="AA32" s="16">
        <f t="shared" ca="1" si="4"/>
        <v>-2.4290049054891254</v>
      </c>
      <c r="AB32" s="16">
        <f>LOG('Airfoil 1'!$F$10)^2+LOG('Airfoil 1'!$G$10)^2+LOG('Airfoil 1'!$H$10)^2</f>
        <v>76.867141336751558</v>
      </c>
      <c r="AC32" s="16">
        <f ca="1">LOG('Airfoil 1'!$F$10)*LOG(ABS(W32))+LOG('Airfoil 1'!$G$10)*LOG(ABS(X32))+LOG('Airfoil 1'!$H$10)*LOG(ABS(Y32))</f>
        <v>-12.287600038132297</v>
      </c>
      <c r="AD32" s="16">
        <f t="shared" ca="1" si="5"/>
        <v>0.1550000000000121</v>
      </c>
      <c r="AE32" s="16">
        <f t="shared" ca="1" si="6"/>
        <v>-6.6718325633022456E-15</v>
      </c>
      <c r="AF32" s="42">
        <f t="shared" ca="1" si="7"/>
        <v>-0.15499999999999894</v>
      </c>
      <c r="AG32" s="16"/>
      <c r="AH32" s="42"/>
      <c r="AI32" s="16">
        <f ca="1">(L32-'Airfoil 1'!$Z$22)/ABS(L32-'Airfoil 1'!$Z$22)</f>
        <v>1</v>
      </c>
      <c r="AJ32" s="16">
        <f ca="1">(L32-'Airfoil 1'!$Z$23)/ABS(L32-'Airfoil 1'!$Z$23)</f>
        <v>1</v>
      </c>
      <c r="AK32" s="16">
        <f ca="1">(L32-'Airfoil 1'!$Z$24)/ABS(L32-'Airfoil 1'!$Z$24)</f>
        <v>1</v>
      </c>
      <c r="AL32" s="16">
        <f ca="1">(L32-'Airfoil 1'!$Z$25)/ABS(L32-'Airfoil 1'!$Z$25)</f>
        <v>1</v>
      </c>
      <c r="AM32" s="16">
        <f ca="1">(L32-'Airfoil 1'!$Z$26)/ABS(L32-'Airfoil 1'!$Z$26)</f>
        <v>1</v>
      </c>
      <c r="AN32" s="16">
        <f ca="1">(L32-'Airfoil 1'!$Z$27)/ABS(L32-'Airfoil 1'!$Z$27)</f>
        <v>1</v>
      </c>
      <c r="AO32" s="16">
        <f ca="1">(L32-'Airfoil 1'!$Z$28)/ABS(L32-'Airfoil 1'!$Z$28)</f>
        <v>1</v>
      </c>
      <c r="AP32" s="16">
        <f ca="1">(L32-'Airfoil 1'!$Z$29)/ABS(L32-'Airfoil 1'!$Z$29)</f>
        <v>1</v>
      </c>
      <c r="AQ32" s="16">
        <f ca="1">(L32-'Airfoil 1'!$Z$30)/ABS(L32-'Airfoil 1'!$Z$30)</f>
        <v>-1</v>
      </c>
      <c r="AR32" s="16">
        <f ca="1">(L32-'Airfoil 1'!$Z$31)/ABS(L32-'Airfoil 1'!$Z$31)</f>
        <v>-1</v>
      </c>
      <c r="AS32" s="16">
        <f ca="1">(L32-'Airfoil 1'!$Z$32)/ABS(L32-'Airfoil 1'!$Z$32)</f>
        <v>-1</v>
      </c>
      <c r="AT32" s="16">
        <f ca="1">(L32-'Airfoil 1'!$Z$33)/ABS(L32-'Airfoil 1'!$Z$33)</f>
        <v>-1</v>
      </c>
      <c r="AU32" s="16">
        <f ca="1">(L32-'Airfoil 1'!$Z$34)/ABS(L32-'Airfoil 1'!$Z$34)</f>
        <v>-1</v>
      </c>
      <c r="AV32" s="16">
        <f ca="1">(L32-'Airfoil 1'!$Z$35)/ABS(L32-'Airfoil 1'!$Z$35)</f>
        <v>-1</v>
      </c>
      <c r="AW32" s="16">
        <f ca="1">(L32-'Airfoil 1'!$Z$36)/ABS(L32-'Airfoil 1'!$Z$36)</f>
        <v>-1</v>
      </c>
      <c r="AX32" s="16">
        <f ca="1">(L32-'Airfoil 1'!$Z$37)/ABS(L32-'Airfoil 1'!$Z$37)</f>
        <v>-1</v>
      </c>
      <c r="AY32" s="16">
        <f ca="1">(L32-'Airfoil 1'!$Z$38)/ABS(L32-'Airfoil 1'!$Z$38)</f>
        <v>-1</v>
      </c>
      <c r="AZ32" s="16">
        <f ca="1">(L32-'Airfoil 1'!$Z$39)/ABS(L32-'Airfoil 1'!$Z$39)</f>
        <v>-1</v>
      </c>
      <c r="BA32" s="16">
        <f ca="1">(L32-'Airfoil 1'!$Z$40)/ABS(L32-'Airfoil 1'!$Z$40)</f>
        <v>-1</v>
      </c>
      <c r="BB32" s="16">
        <f ca="1">(L32-'Airfoil 1'!$Z$41)/ABS(L32-'Airfoil 1'!$Z$41)</f>
        <v>-1</v>
      </c>
      <c r="BC32" s="5">
        <f t="shared" ca="1" si="8"/>
        <v>8</v>
      </c>
      <c r="BD32" s="42">
        <f ca="1">INDEX('Airfoil 1'!$AA$22:$AA$41,BC32,1)+INDEX('Airfoil 1'!$AB$22:$AB$41,BC32,1)*(L32-INDEX('Airfoil 1'!$Z$22:$Z$41,BC32,1))</f>
        <v>2.5062216230928001E-2</v>
      </c>
      <c r="BE32" s="6"/>
      <c r="BF32" s="16">
        <f ca="1">(L32-'Airfoil 1'!$Z$47)/ABS(L32-'Airfoil 1'!$Z$47)</f>
        <v>1</v>
      </c>
      <c r="BG32" s="16">
        <f ca="1">(L32-'Airfoil 1'!$Z$48)/ABS(L32-'Airfoil 1'!$Z$48)</f>
        <v>1</v>
      </c>
      <c r="BH32" s="16">
        <f ca="1">(L32-'Airfoil 1'!$Z$49)/ABS(L32-'Airfoil 1'!$Z$49)</f>
        <v>1</v>
      </c>
      <c r="BI32" s="16">
        <f ca="1">(L32-'Airfoil 1'!$Z$50)/ABS(L32-'Airfoil 1'!$Z$50)</f>
        <v>1</v>
      </c>
      <c r="BJ32" s="16">
        <f ca="1">(L32-'Airfoil 1'!$Z$51)/ABS(L32-'Airfoil 1'!$Z$51)</f>
        <v>1</v>
      </c>
      <c r="BK32" s="16">
        <f ca="1">(L32-'Airfoil 1'!$Z$52)/ABS(L32-'Airfoil 1'!$Z$52)</f>
        <v>1</v>
      </c>
      <c r="BL32" s="16">
        <f ca="1">(L32-'Airfoil 1'!$Z$53)/ABS(L32-'Airfoil 1'!$Z$53)</f>
        <v>1</v>
      </c>
      <c r="BM32" s="16">
        <f ca="1">(L32-'Airfoil 1'!$Z$54)/ABS(L32-'Airfoil 1'!$Z$54)</f>
        <v>-1</v>
      </c>
      <c r="BN32" s="16">
        <f ca="1">(L32-'Airfoil 1'!$Z$55)/ABS(L32-'Airfoil 1'!$Z$55)</f>
        <v>-1</v>
      </c>
      <c r="BO32" s="16">
        <f ca="1">(L32-'Airfoil 1'!$Z$56)/ABS(L32-'Airfoil 1'!$Z$56)</f>
        <v>-1</v>
      </c>
      <c r="BP32" s="16">
        <f ca="1">(L32-'Airfoil 1'!$Z$57)/ABS(L32-'Airfoil 1'!$Z$57)</f>
        <v>-1</v>
      </c>
      <c r="BQ32" s="16">
        <f ca="1">(L32-'Airfoil 1'!$Z$58)/ABS(L32-'Airfoil 1'!$Z$58)</f>
        <v>-1</v>
      </c>
      <c r="BR32" s="16">
        <f ca="1">(L32-'Airfoil 1'!$Z$59)/ABS(L32-'Airfoil 1'!$Z$59)</f>
        <v>-1</v>
      </c>
      <c r="BS32" s="16">
        <f ca="1">(L32-'Airfoil 1'!$Z$60)/ABS(L32-'Airfoil 1'!$Z$60)</f>
        <v>-1</v>
      </c>
      <c r="BT32" s="16">
        <f ca="1">(L32-'Airfoil 1'!$Z$61)/ABS(L32-'Airfoil 1'!$Z$61)</f>
        <v>-1</v>
      </c>
      <c r="BU32" s="16">
        <f ca="1">(L32-'Airfoil 1'!$Z$62)/ABS(L32-'Airfoil 1'!$Z$62)</f>
        <v>-1</v>
      </c>
      <c r="BV32" s="16">
        <f ca="1">(L32-'Airfoil 1'!$Z$63)/ABS(L32-'Airfoil 1'!$Z$63)</f>
        <v>-1</v>
      </c>
      <c r="BW32" s="16">
        <f ca="1">(L32-'Airfoil 1'!$Z$64)/ABS(L32-'Airfoil 1'!$Z$64)</f>
        <v>-1</v>
      </c>
      <c r="BX32" s="16">
        <f ca="1">(L32-'Airfoil 1'!$Z$65)/ABS(L32-'Airfoil 1'!$Z$65)</f>
        <v>-1</v>
      </c>
      <c r="BY32" s="16">
        <f ca="1">(L32-'Airfoil 1'!$Z$66)/ABS(L32-'Airfoil 1'!$Z$66)</f>
        <v>-1</v>
      </c>
      <c r="BZ32" s="5">
        <f t="shared" ca="1" si="9"/>
        <v>7</v>
      </c>
      <c r="CA32" s="42">
        <f ca="1">INDEX('Airfoil 1'!$AA$47:$AA$66,BZ32,1)+INDEX('Airfoil 1'!$AB$47:$AB$66,BZ32,1)*(L32-INDEX('Airfoil 1'!$Z$47:$Z$66,BZ32,1))</f>
        <v>1.8769168637847108E-2</v>
      </c>
      <c r="CC32" s="16">
        <f ca="1">(L32-'Airfoil 1'!$Z$72)/ABS(L32-'Airfoil 1'!$Z$72)</f>
        <v>1</v>
      </c>
      <c r="CD32" s="16">
        <f ca="1">(L32-'Airfoil 1'!$Z$73)/ABS(L32-'Airfoil 1'!$Z$73)</f>
        <v>1</v>
      </c>
      <c r="CE32" s="16">
        <f ca="1">(L32-'Airfoil 1'!$Z$74)/ABS(L32-'Airfoil 1'!$Z$74)</f>
        <v>1</v>
      </c>
      <c r="CF32" s="16">
        <f ca="1">(L32-'Airfoil 1'!$Z$75)/ABS(L32-'Airfoil 1'!$Z$75)</f>
        <v>1</v>
      </c>
      <c r="CG32" s="16">
        <f ca="1">(L32-'Airfoil 1'!$Z$76)/ABS(L32-'Airfoil 1'!$Z$76)</f>
        <v>1</v>
      </c>
      <c r="CH32" s="16">
        <f ca="1">(L32-'Airfoil 1'!$Z$77)/ABS(L32-'Airfoil 1'!$Z$77)</f>
        <v>1</v>
      </c>
      <c r="CI32" s="16">
        <f ca="1">(L32-'Airfoil 1'!$Z$78)/ABS(L32-'Airfoil 1'!$Z$78)</f>
        <v>-1</v>
      </c>
      <c r="CJ32" s="16">
        <f ca="1">(L32-'Airfoil 1'!$Z$79)/ABS(L32-'Airfoil 1'!$Z$79)</f>
        <v>-1</v>
      </c>
      <c r="CK32" s="16">
        <f ca="1">(L32-'Airfoil 1'!$Z$80)/ABS(L32-'Airfoil 1'!$Z$80)</f>
        <v>-1</v>
      </c>
      <c r="CL32" s="16">
        <f ca="1">(L32-'Airfoil 1'!$Z$81)/ABS(L32-'Airfoil 1'!$Z$81)</f>
        <v>-1</v>
      </c>
      <c r="CM32" s="16">
        <f ca="1">(L32-'Airfoil 1'!$Z$82)/ABS(L32-'Airfoil 1'!$Z$82)</f>
        <v>-1</v>
      </c>
      <c r="CN32" s="16">
        <f ca="1">(L32-'Airfoil 1'!$Z$83)/ABS(L32-'Airfoil 1'!$Z$83)</f>
        <v>-1</v>
      </c>
      <c r="CO32" s="16">
        <f ca="1">(L32-'Airfoil 1'!$Z$84)/ABS(L32-'Airfoil 1'!$Z$84)</f>
        <v>-1</v>
      </c>
      <c r="CP32" s="16">
        <f ca="1">(L32-'Airfoil 1'!$Z$85)/ABS(L32-'Airfoil 1'!$Z$85)</f>
        <v>-1</v>
      </c>
      <c r="CQ32" s="16">
        <f ca="1">(L32-'Airfoil 1'!$Z$86)/ABS(L32-'Airfoil 1'!$Z$86)</f>
        <v>-1</v>
      </c>
      <c r="CR32" s="16">
        <f ca="1">(L32-'Airfoil 1'!$Z$87)/ABS(L32-'Airfoil 1'!$Z$87)</f>
        <v>-1</v>
      </c>
      <c r="CS32" s="16">
        <f ca="1">(L32-'Airfoil 1'!$Z$88)/ABS(L32-'Airfoil 1'!$Z$88)</f>
        <v>-1</v>
      </c>
      <c r="CT32" s="16">
        <f ca="1">(L32-'Airfoil 1'!$Z$89)/ABS(L32-'Airfoil 1'!$Z$89)</f>
        <v>-1</v>
      </c>
      <c r="CU32" s="16">
        <f ca="1">(L32-'Airfoil 1'!$Z$90)/ABS(L32-'Airfoil 1'!$Z$90)</f>
        <v>-1</v>
      </c>
      <c r="CV32" s="16">
        <f ca="1">(L32-'Airfoil 1'!$Z$91)/ABS(L32-'Airfoil 1'!$Z$91)</f>
        <v>-1</v>
      </c>
      <c r="CW32" s="5">
        <f t="shared" ca="1" si="10"/>
        <v>6</v>
      </c>
      <c r="CX32" s="42">
        <f ca="1">INDEX('Airfoil 1'!$AA$72:$AA$91,CW32,1)+INDEX('Airfoil 1'!$AB$72:$AB$91,CW32,1)*(L32-INDEX('Airfoil 1'!$Z$72:$Z$91,CW32,1))</f>
        <v>1.2282595048042355E-2</v>
      </c>
    </row>
    <row r="33" spans="2:102">
      <c r="B33" s="31">
        <f>Main!B33</f>
        <v>0.33333333333333326</v>
      </c>
      <c r="D33" s="1">
        <f>Turn!F33</f>
        <v>0.65969672852566186</v>
      </c>
      <c r="E33" s="4">
        <f>ISA!$R$10</f>
        <v>1.5987591530356481E-5</v>
      </c>
      <c r="G33" s="13">
        <f ca="1">Turn!X33</f>
        <v>23.594721425812608</v>
      </c>
      <c r="H33" s="5">
        <f t="shared" ca="1" si="0"/>
        <v>324530.02704270463</v>
      </c>
      <c r="I33" s="16">
        <f ca="1">'Airfoil 2'!$K$14*H33^'Airfoil 2'!$L$13</f>
        <v>1.5812292704140105</v>
      </c>
      <c r="J33" s="1">
        <f ca="1">'Airfoil 2'!$K$33*H33^'Airfoil 2'!$L$32</f>
        <v>5.1630477180641652</v>
      </c>
      <c r="K33" s="13">
        <f ca="1">'Airfoil 2'!$K$52*H33^'Airfoil 2'!$L$51</f>
        <v>-8.7153834748650247</v>
      </c>
      <c r="L33" s="16">
        <f ca="1">'Aerodynamics-Turn'!W33</f>
        <v>1.0392304845413263</v>
      </c>
      <c r="M33" s="10">
        <f ca="1">('Airfoil 1'!$B$21+'Airfoil 1'!$B$22*L33+'Airfoil 1'!$B$23*L33^2+'Airfoil 1'!$B$24*L33^3+'Airfoil 1'!$B$25*L33^4+'Airfoil 1'!$B$26*L33^5+'Airfoil 1'!$B$27*L33^6)*0+BD33</f>
        <v>2.5062216230928001E-2</v>
      </c>
      <c r="N33" s="42">
        <f ca="1">('Airfoil 1'!$B$29+'Airfoil 1'!$B$30*L33+'Airfoil 1'!$B$31*L33^2+'Airfoil 1'!$B$32*L33^3+'Airfoil 1'!$B$33*L33^4+'Airfoil 1'!$B$34*L33^5+'Airfoil 1'!$B$35*L33^6)*0+CA33</f>
        <v>1.8769168637847108E-2</v>
      </c>
      <c r="O33" s="42">
        <f ca="1">('Airfoil 1'!$B$37+'Airfoil 1'!$B$38*L33+'Airfoil 1'!$B$39*L33^2+'Airfoil 1'!$B$40*L33^3+'Airfoil 1'!$B$41*L33^4+'Airfoil 1'!$B$42*L33^5+'Airfoil 1'!$B$43*L33^6)*0+CX33</f>
        <v>1.2282595048042355E-2</v>
      </c>
      <c r="P33" s="16">
        <f>LOG('Airfoil 1'!$F$10)+LOG('Airfoil 1'!$G$10)+LOG('Airfoil 1'!$H$10)</f>
        <v>15.176091259055681</v>
      </c>
      <c r="Q33" s="16">
        <f t="shared" ca="1" si="1"/>
        <v>-5.2382453573715591</v>
      </c>
      <c r="R33" s="16">
        <f>LOG('Airfoil 1'!$F$10)^2+LOG('Airfoil 1'!$G$10)^2+LOG('Airfoil 1'!$H$10)^2</f>
        <v>76.867141336751558</v>
      </c>
      <c r="S33" s="16">
        <f ca="1">LOG('Airfoil 1'!$F$10)*LOG(M33)+LOG('Airfoil 1'!$G$10)*LOG(N33)+LOG('Airfoil 1'!$H$10)*LOG(O33)</f>
        <v>-26.566383285240857</v>
      </c>
      <c r="T33" s="16">
        <f t="shared" ca="1" si="2"/>
        <v>66.780048933841258</v>
      </c>
      <c r="U33" s="16">
        <f t="shared" ca="1" si="3"/>
        <v>-0.70585932657973494</v>
      </c>
      <c r="V33" s="42">
        <f ca="1">IF(Energy!$F$11=1,Energy!$T$13,1)*T33*H33^U33</f>
        <v>9.4810113979272286E-3</v>
      </c>
      <c r="W33" s="10">
        <f ca="1">'Airfoil 1'!$B$48+'Airfoil 1'!$B$49*L33+'Airfoil 1'!$B$50*L33^2+'Airfoil 1'!$B$51*L33^3+'Airfoil 1'!$B$52*L33^4+'Airfoil 1'!$B$53*L33^5+'Airfoil 1'!$B$54*L33^6</f>
        <v>-0.155</v>
      </c>
      <c r="X33" s="42">
        <f ca="1">'Airfoil 1'!$B$56+'Airfoil 1'!$B$57*L33+'Airfoil 1'!$B$58*L33^2+'Airfoil 1'!$B$59*L33^3+'Airfoil 1'!$B$60*L33^4+'Airfoil 1'!$B$61*L33^5+'Airfoil 1'!$B$62*L33^6</f>
        <v>-0.155</v>
      </c>
      <c r="Y33" s="42">
        <f ca="1">'Airfoil 1'!$B$64+'Airfoil 1'!$B$65*L33+'Airfoil 1'!$B$66*L33^2+'Airfoil 1'!$B$67*L33^3+'Airfoil 1'!$B$681*L33^4+'Airfoil 1'!$B$69*L33^5+'Airfoil 1'!$B$70*L33^6</f>
        <v>-0.155</v>
      </c>
      <c r="Z33" s="16">
        <f>LOG('Airfoil 1'!$F$10)+LOG('Airfoil 1'!$G$10)+LOG('Airfoil 1'!$H$10)</f>
        <v>15.176091259055681</v>
      </c>
      <c r="AA33" s="16">
        <f t="shared" ca="1" si="4"/>
        <v>-2.4290049054891254</v>
      </c>
      <c r="AB33" s="16">
        <f>LOG('Airfoil 1'!$F$10)^2+LOG('Airfoil 1'!$G$10)^2+LOG('Airfoil 1'!$H$10)^2</f>
        <v>76.867141336751558</v>
      </c>
      <c r="AC33" s="16">
        <f ca="1">LOG('Airfoil 1'!$F$10)*LOG(ABS(W33))+LOG('Airfoil 1'!$G$10)*LOG(ABS(X33))+LOG('Airfoil 1'!$H$10)*LOG(ABS(Y33))</f>
        <v>-12.287600038132297</v>
      </c>
      <c r="AD33" s="16">
        <f t="shared" ca="1" si="5"/>
        <v>0.1550000000000121</v>
      </c>
      <c r="AE33" s="16">
        <f t="shared" ca="1" si="6"/>
        <v>-6.6718325633022456E-15</v>
      </c>
      <c r="AF33" s="42">
        <f t="shared" ca="1" si="7"/>
        <v>-0.154999999999999</v>
      </c>
      <c r="AG33" s="16"/>
      <c r="AH33" s="42"/>
      <c r="AI33" s="16">
        <f ca="1">(L33-'Airfoil 1'!$Z$22)/ABS(L33-'Airfoil 1'!$Z$22)</f>
        <v>1</v>
      </c>
      <c r="AJ33" s="16">
        <f ca="1">(L33-'Airfoil 1'!$Z$23)/ABS(L33-'Airfoil 1'!$Z$23)</f>
        <v>1</v>
      </c>
      <c r="AK33" s="16">
        <f ca="1">(L33-'Airfoil 1'!$Z$24)/ABS(L33-'Airfoil 1'!$Z$24)</f>
        <v>1</v>
      </c>
      <c r="AL33" s="16">
        <f ca="1">(L33-'Airfoil 1'!$Z$25)/ABS(L33-'Airfoil 1'!$Z$25)</f>
        <v>1</v>
      </c>
      <c r="AM33" s="16">
        <f ca="1">(L33-'Airfoil 1'!$Z$26)/ABS(L33-'Airfoil 1'!$Z$26)</f>
        <v>1</v>
      </c>
      <c r="AN33" s="16">
        <f ca="1">(L33-'Airfoil 1'!$Z$27)/ABS(L33-'Airfoil 1'!$Z$27)</f>
        <v>1</v>
      </c>
      <c r="AO33" s="16">
        <f ca="1">(L33-'Airfoil 1'!$Z$28)/ABS(L33-'Airfoil 1'!$Z$28)</f>
        <v>1</v>
      </c>
      <c r="AP33" s="16">
        <f ca="1">(L33-'Airfoil 1'!$Z$29)/ABS(L33-'Airfoil 1'!$Z$29)</f>
        <v>1</v>
      </c>
      <c r="AQ33" s="16">
        <f ca="1">(L33-'Airfoil 1'!$Z$30)/ABS(L33-'Airfoil 1'!$Z$30)</f>
        <v>-1</v>
      </c>
      <c r="AR33" s="16">
        <f ca="1">(L33-'Airfoil 1'!$Z$31)/ABS(L33-'Airfoil 1'!$Z$31)</f>
        <v>-1</v>
      </c>
      <c r="AS33" s="16">
        <f ca="1">(L33-'Airfoil 1'!$Z$32)/ABS(L33-'Airfoil 1'!$Z$32)</f>
        <v>-1</v>
      </c>
      <c r="AT33" s="16">
        <f ca="1">(L33-'Airfoil 1'!$Z$33)/ABS(L33-'Airfoil 1'!$Z$33)</f>
        <v>-1</v>
      </c>
      <c r="AU33" s="16">
        <f ca="1">(L33-'Airfoil 1'!$Z$34)/ABS(L33-'Airfoil 1'!$Z$34)</f>
        <v>-1</v>
      </c>
      <c r="AV33" s="16">
        <f ca="1">(L33-'Airfoil 1'!$Z$35)/ABS(L33-'Airfoil 1'!$Z$35)</f>
        <v>-1</v>
      </c>
      <c r="AW33" s="16">
        <f ca="1">(L33-'Airfoil 1'!$Z$36)/ABS(L33-'Airfoil 1'!$Z$36)</f>
        <v>-1</v>
      </c>
      <c r="AX33" s="16">
        <f ca="1">(L33-'Airfoil 1'!$Z$37)/ABS(L33-'Airfoil 1'!$Z$37)</f>
        <v>-1</v>
      </c>
      <c r="AY33" s="16">
        <f ca="1">(L33-'Airfoil 1'!$Z$38)/ABS(L33-'Airfoil 1'!$Z$38)</f>
        <v>-1</v>
      </c>
      <c r="AZ33" s="16">
        <f ca="1">(L33-'Airfoil 1'!$Z$39)/ABS(L33-'Airfoil 1'!$Z$39)</f>
        <v>-1</v>
      </c>
      <c r="BA33" s="16">
        <f ca="1">(L33-'Airfoil 1'!$Z$40)/ABS(L33-'Airfoil 1'!$Z$40)</f>
        <v>-1</v>
      </c>
      <c r="BB33" s="16">
        <f ca="1">(L33-'Airfoil 1'!$Z$41)/ABS(L33-'Airfoil 1'!$Z$41)</f>
        <v>-1</v>
      </c>
      <c r="BC33" s="5">
        <f t="shared" ca="1" si="8"/>
        <v>8</v>
      </c>
      <c r="BD33" s="42">
        <f ca="1">INDEX('Airfoil 1'!$AA$22:$AA$41,BC33,1)+INDEX('Airfoil 1'!$AB$22:$AB$41,BC33,1)*(L33-INDEX('Airfoil 1'!$Z$22:$Z$41,BC33,1))</f>
        <v>2.5062216230928001E-2</v>
      </c>
      <c r="BE33" s="6"/>
      <c r="BF33" s="16">
        <f ca="1">(L33-'Airfoil 1'!$Z$47)/ABS(L33-'Airfoil 1'!$Z$47)</f>
        <v>1</v>
      </c>
      <c r="BG33" s="16">
        <f ca="1">(L33-'Airfoil 1'!$Z$48)/ABS(L33-'Airfoil 1'!$Z$48)</f>
        <v>1</v>
      </c>
      <c r="BH33" s="16">
        <f ca="1">(L33-'Airfoil 1'!$Z$49)/ABS(L33-'Airfoil 1'!$Z$49)</f>
        <v>1</v>
      </c>
      <c r="BI33" s="16">
        <f ca="1">(L33-'Airfoil 1'!$Z$50)/ABS(L33-'Airfoil 1'!$Z$50)</f>
        <v>1</v>
      </c>
      <c r="BJ33" s="16">
        <f ca="1">(L33-'Airfoil 1'!$Z$51)/ABS(L33-'Airfoil 1'!$Z$51)</f>
        <v>1</v>
      </c>
      <c r="BK33" s="16">
        <f ca="1">(L33-'Airfoil 1'!$Z$52)/ABS(L33-'Airfoil 1'!$Z$52)</f>
        <v>1</v>
      </c>
      <c r="BL33" s="16">
        <f ca="1">(L33-'Airfoil 1'!$Z$53)/ABS(L33-'Airfoil 1'!$Z$53)</f>
        <v>1</v>
      </c>
      <c r="BM33" s="16">
        <f ca="1">(L33-'Airfoil 1'!$Z$54)/ABS(L33-'Airfoil 1'!$Z$54)</f>
        <v>-1</v>
      </c>
      <c r="BN33" s="16">
        <f ca="1">(L33-'Airfoil 1'!$Z$55)/ABS(L33-'Airfoil 1'!$Z$55)</f>
        <v>-1</v>
      </c>
      <c r="BO33" s="16">
        <f ca="1">(L33-'Airfoil 1'!$Z$56)/ABS(L33-'Airfoil 1'!$Z$56)</f>
        <v>-1</v>
      </c>
      <c r="BP33" s="16">
        <f ca="1">(L33-'Airfoil 1'!$Z$57)/ABS(L33-'Airfoil 1'!$Z$57)</f>
        <v>-1</v>
      </c>
      <c r="BQ33" s="16">
        <f ca="1">(L33-'Airfoil 1'!$Z$58)/ABS(L33-'Airfoil 1'!$Z$58)</f>
        <v>-1</v>
      </c>
      <c r="BR33" s="16">
        <f ca="1">(L33-'Airfoil 1'!$Z$59)/ABS(L33-'Airfoil 1'!$Z$59)</f>
        <v>-1</v>
      </c>
      <c r="BS33" s="16">
        <f ca="1">(L33-'Airfoil 1'!$Z$60)/ABS(L33-'Airfoil 1'!$Z$60)</f>
        <v>-1</v>
      </c>
      <c r="BT33" s="16">
        <f ca="1">(L33-'Airfoil 1'!$Z$61)/ABS(L33-'Airfoil 1'!$Z$61)</f>
        <v>-1</v>
      </c>
      <c r="BU33" s="16">
        <f ca="1">(L33-'Airfoil 1'!$Z$62)/ABS(L33-'Airfoil 1'!$Z$62)</f>
        <v>-1</v>
      </c>
      <c r="BV33" s="16">
        <f ca="1">(L33-'Airfoil 1'!$Z$63)/ABS(L33-'Airfoil 1'!$Z$63)</f>
        <v>-1</v>
      </c>
      <c r="BW33" s="16">
        <f ca="1">(L33-'Airfoil 1'!$Z$64)/ABS(L33-'Airfoil 1'!$Z$64)</f>
        <v>-1</v>
      </c>
      <c r="BX33" s="16">
        <f ca="1">(L33-'Airfoil 1'!$Z$65)/ABS(L33-'Airfoil 1'!$Z$65)</f>
        <v>-1</v>
      </c>
      <c r="BY33" s="16">
        <f ca="1">(L33-'Airfoil 1'!$Z$66)/ABS(L33-'Airfoil 1'!$Z$66)</f>
        <v>-1</v>
      </c>
      <c r="BZ33" s="5">
        <f t="shared" ca="1" si="9"/>
        <v>7</v>
      </c>
      <c r="CA33" s="42">
        <f ca="1">INDEX('Airfoil 1'!$AA$47:$AA$66,BZ33,1)+INDEX('Airfoil 1'!$AB$47:$AB$66,BZ33,1)*(L33-INDEX('Airfoil 1'!$Z$47:$Z$66,BZ33,1))</f>
        <v>1.8769168637847108E-2</v>
      </c>
      <c r="CC33" s="16">
        <f ca="1">(L33-'Airfoil 1'!$Z$72)/ABS(L33-'Airfoil 1'!$Z$72)</f>
        <v>1</v>
      </c>
      <c r="CD33" s="16">
        <f ca="1">(L33-'Airfoil 1'!$Z$73)/ABS(L33-'Airfoil 1'!$Z$73)</f>
        <v>1</v>
      </c>
      <c r="CE33" s="16">
        <f ca="1">(L33-'Airfoil 1'!$Z$74)/ABS(L33-'Airfoil 1'!$Z$74)</f>
        <v>1</v>
      </c>
      <c r="CF33" s="16">
        <f ca="1">(L33-'Airfoil 1'!$Z$75)/ABS(L33-'Airfoil 1'!$Z$75)</f>
        <v>1</v>
      </c>
      <c r="CG33" s="16">
        <f ca="1">(L33-'Airfoil 1'!$Z$76)/ABS(L33-'Airfoil 1'!$Z$76)</f>
        <v>1</v>
      </c>
      <c r="CH33" s="16">
        <f ca="1">(L33-'Airfoil 1'!$Z$77)/ABS(L33-'Airfoil 1'!$Z$77)</f>
        <v>1</v>
      </c>
      <c r="CI33" s="16">
        <f ca="1">(L33-'Airfoil 1'!$Z$78)/ABS(L33-'Airfoil 1'!$Z$78)</f>
        <v>-1</v>
      </c>
      <c r="CJ33" s="16">
        <f ca="1">(L33-'Airfoil 1'!$Z$79)/ABS(L33-'Airfoil 1'!$Z$79)</f>
        <v>-1</v>
      </c>
      <c r="CK33" s="16">
        <f ca="1">(L33-'Airfoil 1'!$Z$80)/ABS(L33-'Airfoil 1'!$Z$80)</f>
        <v>-1</v>
      </c>
      <c r="CL33" s="16">
        <f ca="1">(L33-'Airfoil 1'!$Z$81)/ABS(L33-'Airfoil 1'!$Z$81)</f>
        <v>-1</v>
      </c>
      <c r="CM33" s="16">
        <f ca="1">(L33-'Airfoil 1'!$Z$82)/ABS(L33-'Airfoil 1'!$Z$82)</f>
        <v>-1</v>
      </c>
      <c r="CN33" s="16">
        <f ca="1">(L33-'Airfoil 1'!$Z$83)/ABS(L33-'Airfoil 1'!$Z$83)</f>
        <v>-1</v>
      </c>
      <c r="CO33" s="16">
        <f ca="1">(L33-'Airfoil 1'!$Z$84)/ABS(L33-'Airfoil 1'!$Z$84)</f>
        <v>-1</v>
      </c>
      <c r="CP33" s="16">
        <f ca="1">(L33-'Airfoil 1'!$Z$85)/ABS(L33-'Airfoil 1'!$Z$85)</f>
        <v>-1</v>
      </c>
      <c r="CQ33" s="16">
        <f ca="1">(L33-'Airfoil 1'!$Z$86)/ABS(L33-'Airfoil 1'!$Z$86)</f>
        <v>-1</v>
      </c>
      <c r="CR33" s="16">
        <f ca="1">(L33-'Airfoil 1'!$Z$87)/ABS(L33-'Airfoil 1'!$Z$87)</f>
        <v>-1</v>
      </c>
      <c r="CS33" s="16">
        <f ca="1">(L33-'Airfoil 1'!$Z$88)/ABS(L33-'Airfoil 1'!$Z$88)</f>
        <v>-1</v>
      </c>
      <c r="CT33" s="16">
        <f ca="1">(L33-'Airfoil 1'!$Z$89)/ABS(L33-'Airfoil 1'!$Z$89)</f>
        <v>-1</v>
      </c>
      <c r="CU33" s="16">
        <f ca="1">(L33-'Airfoil 1'!$Z$90)/ABS(L33-'Airfoil 1'!$Z$90)</f>
        <v>-1</v>
      </c>
      <c r="CV33" s="16">
        <f ca="1">(L33-'Airfoil 1'!$Z$91)/ABS(L33-'Airfoil 1'!$Z$91)</f>
        <v>-1</v>
      </c>
      <c r="CW33" s="5">
        <f t="shared" ca="1" si="10"/>
        <v>6</v>
      </c>
      <c r="CX33" s="42">
        <f ca="1">INDEX('Airfoil 1'!$AA$72:$AA$91,CW33,1)+INDEX('Airfoil 1'!$AB$72:$AB$91,CW33,1)*(L33-INDEX('Airfoil 1'!$Z$72:$Z$91,CW33,1))</f>
        <v>1.2282595048042355E-2</v>
      </c>
    </row>
    <row r="34" spans="2:102">
      <c r="B34" s="31">
        <f>Main!B34</f>
        <v>0.33333333333333326</v>
      </c>
      <c r="D34" s="1">
        <f>Turn!F34</f>
        <v>0.65969672852566186</v>
      </c>
      <c r="E34" s="4">
        <f>ISA!$R$10</f>
        <v>1.5987591530356481E-5</v>
      </c>
      <c r="G34" s="13">
        <f ca="1">Turn!X34</f>
        <v>23.22130627806888</v>
      </c>
      <c r="H34" s="5">
        <f t="shared" ca="1" si="0"/>
        <v>319393.94487379841</v>
      </c>
      <c r="I34" s="16">
        <f ca="1">'Airfoil 2'!$K$14*H34^'Airfoil 2'!$L$13</f>
        <v>1.5808786473143408</v>
      </c>
      <c r="J34" s="1">
        <f ca="1">'Airfoil 2'!$K$33*H34^'Airfoil 2'!$L$32</f>
        <v>5.1908252281472196</v>
      </c>
      <c r="K34" s="13">
        <f ca="1">'Airfoil 2'!$K$52*H34^'Airfoil 2'!$L$51</f>
        <v>-8.6228982065674789</v>
      </c>
      <c r="L34" s="16">
        <f ca="1">'Aerodynamics-Turn'!W34</f>
        <v>1.0392304845413263</v>
      </c>
      <c r="M34" s="10">
        <f ca="1">('Airfoil 1'!$B$21+'Airfoil 1'!$B$22*L34+'Airfoil 1'!$B$23*L34^2+'Airfoil 1'!$B$24*L34^3+'Airfoil 1'!$B$25*L34^4+'Airfoil 1'!$B$26*L34^5+'Airfoil 1'!$B$27*L34^6)*0+BD34</f>
        <v>2.5062216230928001E-2</v>
      </c>
      <c r="N34" s="42">
        <f ca="1">('Airfoil 1'!$B$29+'Airfoil 1'!$B$30*L34+'Airfoil 1'!$B$31*L34^2+'Airfoil 1'!$B$32*L34^3+'Airfoil 1'!$B$33*L34^4+'Airfoil 1'!$B$34*L34^5+'Airfoil 1'!$B$35*L34^6)*0+CA34</f>
        <v>1.8769168637847108E-2</v>
      </c>
      <c r="O34" s="42">
        <f ca="1">('Airfoil 1'!$B$37+'Airfoil 1'!$B$38*L34+'Airfoil 1'!$B$39*L34^2+'Airfoil 1'!$B$40*L34^3+'Airfoil 1'!$B$41*L34^4+'Airfoil 1'!$B$42*L34^5+'Airfoil 1'!$B$43*L34^6)*0+CX34</f>
        <v>1.2282595048042355E-2</v>
      </c>
      <c r="P34" s="16">
        <f>LOG('Airfoil 1'!$F$10)+LOG('Airfoil 1'!$G$10)+LOG('Airfoil 1'!$H$10)</f>
        <v>15.176091259055681</v>
      </c>
      <c r="Q34" s="16">
        <f t="shared" ca="1" si="1"/>
        <v>-5.2382453573715591</v>
      </c>
      <c r="R34" s="16">
        <f>LOG('Airfoil 1'!$F$10)^2+LOG('Airfoil 1'!$G$10)^2+LOG('Airfoil 1'!$H$10)^2</f>
        <v>76.867141336751558</v>
      </c>
      <c r="S34" s="16">
        <f ca="1">LOG('Airfoil 1'!$F$10)*LOG(M34)+LOG('Airfoil 1'!$G$10)*LOG(N34)+LOG('Airfoil 1'!$H$10)*LOG(O34)</f>
        <v>-26.566383285240857</v>
      </c>
      <c r="T34" s="16">
        <f t="shared" ca="1" si="2"/>
        <v>66.780048933841258</v>
      </c>
      <c r="U34" s="16">
        <f t="shared" ca="1" si="3"/>
        <v>-0.70585932657973494</v>
      </c>
      <c r="V34" s="42">
        <f ca="1">IF(Energy!$F$11=1,Energy!$T$13,1)*T34*H34^U34</f>
        <v>9.5883749487150945E-3</v>
      </c>
      <c r="W34" s="10">
        <f ca="1">'Airfoil 1'!$B$48+'Airfoil 1'!$B$49*L34+'Airfoil 1'!$B$50*L34^2+'Airfoil 1'!$B$51*L34^3+'Airfoil 1'!$B$52*L34^4+'Airfoil 1'!$B$53*L34^5+'Airfoil 1'!$B$54*L34^6</f>
        <v>-0.155</v>
      </c>
      <c r="X34" s="42">
        <f ca="1">'Airfoil 1'!$B$56+'Airfoil 1'!$B$57*L34+'Airfoil 1'!$B$58*L34^2+'Airfoil 1'!$B$59*L34^3+'Airfoil 1'!$B$60*L34^4+'Airfoil 1'!$B$61*L34^5+'Airfoil 1'!$B$62*L34^6</f>
        <v>-0.155</v>
      </c>
      <c r="Y34" s="42">
        <f ca="1">'Airfoil 1'!$B$64+'Airfoil 1'!$B$65*L34+'Airfoil 1'!$B$66*L34^2+'Airfoil 1'!$B$67*L34^3+'Airfoil 1'!$B$681*L34^4+'Airfoil 1'!$B$69*L34^5+'Airfoil 1'!$B$70*L34^6</f>
        <v>-0.155</v>
      </c>
      <c r="Z34" s="16">
        <f>LOG('Airfoil 1'!$F$10)+LOG('Airfoil 1'!$G$10)+LOG('Airfoil 1'!$H$10)</f>
        <v>15.176091259055681</v>
      </c>
      <c r="AA34" s="16">
        <f t="shared" ca="1" si="4"/>
        <v>-2.4290049054891254</v>
      </c>
      <c r="AB34" s="16">
        <f>LOG('Airfoil 1'!$F$10)^2+LOG('Airfoil 1'!$G$10)^2+LOG('Airfoil 1'!$H$10)^2</f>
        <v>76.867141336751558</v>
      </c>
      <c r="AC34" s="16">
        <f ca="1">LOG('Airfoil 1'!$F$10)*LOG(ABS(W34))+LOG('Airfoil 1'!$G$10)*LOG(ABS(X34))+LOG('Airfoil 1'!$H$10)*LOG(ABS(Y34))</f>
        <v>-12.287600038132297</v>
      </c>
      <c r="AD34" s="16">
        <f t="shared" ca="1" si="5"/>
        <v>0.1550000000000121</v>
      </c>
      <c r="AE34" s="16">
        <f t="shared" ca="1" si="6"/>
        <v>-6.6718325633022456E-15</v>
      </c>
      <c r="AF34" s="42">
        <f t="shared" ca="1" si="7"/>
        <v>-0.154999999999999</v>
      </c>
      <c r="AG34" s="16"/>
      <c r="AH34" s="42"/>
      <c r="AI34" s="16">
        <f ca="1">(L34-'Airfoil 1'!$Z$22)/ABS(L34-'Airfoil 1'!$Z$22)</f>
        <v>1</v>
      </c>
      <c r="AJ34" s="16">
        <f ca="1">(L34-'Airfoil 1'!$Z$23)/ABS(L34-'Airfoil 1'!$Z$23)</f>
        <v>1</v>
      </c>
      <c r="AK34" s="16">
        <f ca="1">(L34-'Airfoil 1'!$Z$24)/ABS(L34-'Airfoil 1'!$Z$24)</f>
        <v>1</v>
      </c>
      <c r="AL34" s="16">
        <f ca="1">(L34-'Airfoil 1'!$Z$25)/ABS(L34-'Airfoil 1'!$Z$25)</f>
        <v>1</v>
      </c>
      <c r="AM34" s="16">
        <f ca="1">(L34-'Airfoil 1'!$Z$26)/ABS(L34-'Airfoil 1'!$Z$26)</f>
        <v>1</v>
      </c>
      <c r="AN34" s="16">
        <f ca="1">(L34-'Airfoil 1'!$Z$27)/ABS(L34-'Airfoil 1'!$Z$27)</f>
        <v>1</v>
      </c>
      <c r="AO34" s="16">
        <f ca="1">(L34-'Airfoil 1'!$Z$28)/ABS(L34-'Airfoil 1'!$Z$28)</f>
        <v>1</v>
      </c>
      <c r="AP34" s="16">
        <f ca="1">(L34-'Airfoil 1'!$Z$29)/ABS(L34-'Airfoil 1'!$Z$29)</f>
        <v>1</v>
      </c>
      <c r="AQ34" s="16">
        <f ca="1">(L34-'Airfoil 1'!$Z$30)/ABS(L34-'Airfoil 1'!$Z$30)</f>
        <v>-1</v>
      </c>
      <c r="AR34" s="16">
        <f ca="1">(L34-'Airfoil 1'!$Z$31)/ABS(L34-'Airfoil 1'!$Z$31)</f>
        <v>-1</v>
      </c>
      <c r="AS34" s="16">
        <f ca="1">(L34-'Airfoil 1'!$Z$32)/ABS(L34-'Airfoil 1'!$Z$32)</f>
        <v>-1</v>
      </c>
      <c r="AT34" s="16">
        <f ca="1">(L34-'Airfoil 1'!$Z$33)/ABS(L34-'Airfoil 1'!$Z$33)</f>
        <v>-1</v>
      </c>
      <c r="AU34" s="16">
        <f ca="1">(L34-'Airfoil 1'!$Z$34)/ABS(L34-'Airfoil 1'!$Z$34)</f>
        <v>-1</v>
      </c>
      <c r="AV34" s="16">
        <f ca="1">(L34-'Airfoil 1'!$Z$35)/ABS(L34-'Airfoil 1'!$Z$35)</f>
        <v>-1</v>
      </c>
      <c r="AW34" s="16">
        <f ca="1">(L34-'Airfoil 1'!$Z$36)/ABS(L34-'Airfoil 1'!$Z$36)</f>
        <v>-1</v>
      </c>
      <c r="AX34" s="16">
        <f ca="1">(L34-'Airfoil 1'!$Z$37)/ABS(L34-'Airfoil 1'!$Z$37)</f>
        <v>-1</v>
      </c>
      <c r="AY34" s="16">
        <f ca="1">(L34-'Airfoil 1'!$Z$38)/ABS(L34-'Airfoil 1'!$Z$38)</f>
        <v>-1</v>
      </c>
      <c r="AZ34" s="16">
        <f ca="1">(L34-'Airfoil 1'!$Z$39)/ABS(L34-'Airfoil 1'!$Z$39)</f>
        <v>-1</v>
      </c>
      <c r="BA34" s="16">
        <f ca="1">(L34-'Airfoil 1'!$Z$40)/ABS(L34-'Airfoil 1'!$Z$40)</f>
        <v>-1</v>
      </c>
      <c r="BB34" s="16">
        <f ca="1">(L34-'Airfoil 1'!$Z$41)/ABS(L34-'Airfoil 1'!$Z$41)</f>
        <v>-1</v>
      </c>
      <c r="BC34" s="5">
        <f t="shared" ca="1" si="8"/>
        <v>8</v>
      </c>
      <c r="BD34" s="42">
        <f ca="1">INDEX('Airfoil 1'!$AA$22:$AA$41,BC34,1)+INDEX('Airfoil 1'!$AB$22:$AB$41,BC34,1)*(L34-INDEX('Airfoil 1'!$Z$22:$Z$41,BC34,1))</f>
        <v>2.5062216230928001E-2</v>
      </c>
      <c r="BE34" s="6"/>
      <c r="BF34" s="16">
        <f ca="1">(L34-'Airfoil 1'!$Z$47)/ABS(L34-'Airfoil 1'!$Z$47)</f>
        <v>1</v>
      </c>
      <c r="BG34" s="16">
        <f ca="1">(L34-'Airfoil 1'!$Z$48)/ABS(L34-'Airfoil 1'!$Z$48)</f>
        <v>1</v>
      </c>
      <c r="BH34" s="16">
        <f ca="1">(L34-'Airfoil 1'!$Z$49)/ABS(L34-'Airfoil 1'!$Z$49)</f>
        <v>1</v>
      </c>
      <c r="BI34" s="16">
        <f ca="1">(L34-'Airfoil 1'!$Z$50)/ABS(L34-'Airfoil 1'!$Z$50)</f>
        <v>1</v>
      </c>
      <c r="BJ34" s="16">
        <f ca="1">(L34-'Airfoil 1'!$Z$51)/ABS(L34-'Airfoil 1'!$Z$51)</f>
        <v>1</v>
      </c>
      <c r="BK34" s="16">
        <f ca="1">(L34-'Airfoil 1'!$Z$52)/ABS(L34-'Airfoil 1'!$Z$52)</f>
        <v>1</v>
      </c>
      <c r="BL34" s="16">
        <f ca="1">(L34-'Airfoil 1'!$Z$53)/ABS(L34-'Airfoil 1'!$Z$53)</f>
        <v>1</v>
      </c>
      <c r="BM34" s="16">
        <f ca="1">(L34-'Airfoil 1'!$Z$54)/ABS(L34-'Airfoil 1'!$Z$54)</f>
        <v>-1</v>
      </c>
      <c r="BN34" s="16">
        <f ca="1">(L34-'Airfoil 1'!$Z$55)/ABS(L34-'Airfoil 1'!$Z$55)</f>
        <v>-1</v>
      </c>
      <c r="BO34" s="16">
        <f ca="1">(L34-'Airfoil 1'!$Z$56)/ABS(L34-'Airfoil 1'!$Z$56)</f>
        <v>-1</v>
      </c>
      <c r="BP34" s="16">
        <f ca="1">(L34-'Airfoil 1'!$Z$57)/ABS(L34-'Airfoil 1'!$Z$57)</f>
        <v>-1</v>
      </c>
      <c r="BQ34" s="16">
        <f ca="1">(L34-'Airfoil 1'!$Z$58)/ABS(L34-'Airfoil 1'!$Z$58)</f>
        <v>-1</v>
      </c>
      <c r="BR34" s="16">
        <f ca="1">(L34-'Airfoil 1'!$Z$59)/ABS(L34-'Airfoil 1'!$Z$59)</f>
        <v>-1</v>
      </c>
      <c r="BS34" s="16">
        <f ca="1">(L34-'Airfoil 1'!$Z$60)/ABS(L34-'Airfoil 1'!$Z$60)</f>
        <v>-1</v>
      </c>
      <c r="BT34" s="16">
        <f ca="1">(L34-'Airfoil 1'!$Z$61)/ABS(L34-'Airfoil 1'!$Z$61)</f>
        <v>-1</v>
      </c>
      <c r="BU34" s="16">
        <f ca="1">(L34-'Airfoil 1'!$Z$62)/ABS(L34-'Airfoil 1'!$Z$62)</f>
        <v>-1</v>
      </c>
      <c r="BV34" s="16">
        <f ca="1">(L34-'Airfoil 1'!$Z$63)/ABS(L34-'Airfoil 1'!$Z$63)</f>
        <v>-1</v>
      </c>
      <c r="BW34" s="16">
        <f ca="1">(L34-'Airfoil 1'!$Z$64)/ABS(L34-'Airfoil 1'!$Z$64)</f>
        <v>-1</v>
      </c>
      <c r="BX34" s="16">
        <f ca="1">(L34-'Airfoil 1'!$Z$65)/ABS(L34-'Airfoil 1'!$Z$65)</f>
        <v>-1</v>
      </c>
      <c r="BY34" s="16">
        <f ca="1">(L34-'Airfoil 1'!$Z$66)/ABS(L34-'Airfoil 1'!$Z$66)</f>
        <v>-1</v>
      </c>
      <c r="BZ34" s="5">
        <f t="shared" ca="1" si="9"/>
        <v>7</v>
      </c>
      <c r="CA34" s="42">
        <f ca="1">INDEX('Airfoil 1'!$AA$47:$AA$66,BZ34,1)+INDEX('Airfoil 1'!$AB$47:$AB$66,BZ34,1)*(L34-INDEX('Airfoil 1'!$Z$47:$Z$66,BZ34,1))</f>
        <v>1.8769168637847108E-2</v>
      </c>
      <c r="CC34" s="16">
        <f ca="1">(L34-'Airfoil 1'!$Z$72)/ABS(L34-'Airfoil 1'!$Z$72)</f>
        <v>1</v>
      </c>
      <c r="CD34" s="16">
        <f ca="1">(L34-'Airfoil 1'!$Z$73)/ABS(L34-'Airfoil 1'!$Z$73)</f>
        <v>1</v>
      </c>
      <c r="CE34" s="16">
        <f ca="1">(L34-'Airfoil 1'!$Z$74)/ABS(L34-'Airfoil 1'!$Z$74)</f>
        <v>1</v>
      </c>
      <c r="CF34" s="16">
        <f ca="1">(L34-'Airfoil 1'!$Z$75)/ABS(L34-'Airfoil 1'!$Z$75)</f>
        <v>1</v>
      </c>
      <c r="CG34" s="16">
        <f ca="1">(L34-'Airfoil 1'!$Z$76)/ABS(L34-'Airfoil 1'!$Z$76)</f>
        <v>1</v>
      </c>
      <c r="CH34" s="16">
        <f ca="1">(L34-'Airfoil 1'!$Z$77)/ABS(L34-'Airfoil 1'!$Z$77)</f>
        <v>1</v>
      </c>
      <c r="CI34" s="16">
        <f ca="1">(L34-'Airfoil 1'!$Z$78)/ABS(L34-'Airfoil 1'!$Z$78)</f>
        <v>-1</v>
      </c>
      <c r="CJ34" s="16">
        <f ca="1">(L34-'Airfoil 1'!$Z$79)/ABS(L34-'Airfoil 1'!$Z$79)</f>
        <v>-1</v>
      </c>
      <c r="CK34" s="16">
        <f ca="1">(L34-'Airfoil 1'!$Z$80)/ABS(L34-'Airfoil 1'!$Z$80)</f>
        <v>-1</v>
      </c>
      <c r="CL34" s="16">
        <f ca="1">(L34-'Airfoil 1'!$Z$81)/ABS(L34-'Airfoil 1'!$Z$81)</f>
        <v>-1</v>
      </c>
      <c r="CM34" s="16">
        <f ca="1">(L34-'Airfoil 1'!$Z$82)/ABS(L34-'Airfoil 1'!$Z$82)</f>
        <v>-1</v>
      </c>
      <c r="CN34" s="16">
        <f ca="1">(L34-'Airfoil 1'!$Z$83)/ABS(L34-'Airfoil 1'!$Z$83)</f>
        <v>-1</v>
      </c>
      <c r="CO34" s="16">
        <f ca="1">(L34-'Airfoil 1'!$Z$84)/ABS(L34-'Airfoil 1'!$Z$84)</f>
        <v>-1</v>
      </c>
      <c r="CP34" s="16">
        <f ca="1">(L34-'Airfoil 1'!$Z$85)/ABS(L34-'Airfoil 1'!$Z$85)</f>
        <v>-1</v>
      </c>
      <c r="CQ34" s="16">
        <f ca="1">(L34-'Airfoil 1'!$Z$86)/ABS(L34-'Airfoil 1'!$Z$86)</f>
        <v>-1</v>
      </c>
      <c r="CR34" s="16">
        <f ca="1">(L34-'Airfoil 1'!$Z$87)/ABS(L34-'Airfoil 1'!$Z$87)</f>
        <v>-1</v>
      </c>
      <c r="CS34" s="16">
        <f ca="1">(L34-'Airfoil 1'!$Z$88)/ABS(L34-'Airfoil 1'!$Z$88)</f>
        <v>-1</v>
      </c>
      <c r="CT34" s="16">
        <f ca="1">(L34-'Airfoil 1'!$Z$89)/ABS(L34-'Airfoil 1'!$Z$89)</f>
        <v>-1</v>
      </c>
      <c r="CU34" s="16">
        <f ca="1">(L34-'Airfoil 1'!$Z$90)/ABS(L34-'Airfoil 1'!$Z$90)</f>
        <v>-1</v>
      </c>
      <c r="CV34" s="16">
        <f ca="1">(L34-'Airfoil 1'!$Z$91)/ABS(L34-'Airfoil 1'!$Z$91)</f>
        <v>-1</v>
      </c>
      <c r="CW34" s="5">
        <f t="shared" ca="1" si="10"/>
        <v>6</v>
      </c>
      <c r="CX34" s="42">
        <f ca="1">INDEX('Airfoil 1'!$AA$72:$AA$91,CW34,1)+INDEX('Airfoil 1'!$AB$72:$AB$91,CW34,1)*(L34-INDEX('Airfoil 1'!$Z$72:$Z$91,CW34,1))</f>
        <v>1.2282595048042355E-2</v>
      </c>
    </row>
    <row r="35" spans="2:102">
      <c r="B35" s="31">
        <f>Main!B35</f>
        <v>0.33333333333333326</v>
      </c>
      <c r="D35" s="1">
        <f>Turn!F35</f>
        <v>0.65969672852566186</v>
      </c>
      <c r="E35" s="4">
        <f>ISA!$R$10</f>
        <v>1.5987591530356481E-5</v>
      </c>
      <c r="G35" s="13">
        <f ca="1">Turn!X35</f>
        <v>22.867828371770738</v>
      </c>
      <c r="H35" s="5">
        <f t="shared" ca="1" si="0"/>
        <v>314532.08647675713</v>
      </c>
      <c r="I35" s="16">
        <f ca="1">'Airfoil 2'!$K$14*H35^'Airfoil 2'!$L$13</f>
        <v>1.5805415838186156</v>
      </c>
      <c r="J35" s="1">
        <f ca="1">'Airfoil 2'!$K$33*H35^'Airfoil 2'!$L$32</f>
        <v>5.2176752338374115</v>
      </c>
      <c r="K35" s="13">
        <f ca="1">'Airfoil 2'!$K$52*H35^'Airfoil 2'!$L$51</f>
        <v>-8.5348959263984749</v>
      </c>
      <c r="L35" s="16">
        <f ca="1">'Aerodynamics-Turn'!W35</f>
        <v>1.0392304845413263</v>
      </c>
      <c r="M35" s="10">
        <f ca="1">('Airfoil 1'!$B$21+'Airfoil 1'!$B$22*L35+'Airfoil 1'!$B$23*L35^2+'Airfoil 1'!$B$24*L35^3+'Airfoil 1'!$B$25*L35^4+'Airfoil 1'!$B$26*L35^5+'Airfoil 1'!$B$27*L35^6)*0+BD35</f>
        <v>2.5062216230928001E-2</v>
      </c>
      <c r="N35" s="42">
        <f ca="1">('Airfoil 1'!$B$29+'Airfoil 1'!$B$30*L35+'Airfoil 1'!$B$31*L35^2+'Airfoil 1'!$B$32*L35^3+'Airfoil 1'!$B$33*L35^4+'Airfoil 1'!$B$34*L35^5+'Airfoil 1'!$B$35*L35^6)*0+CA35</f>
        <v>1.8769168637847108E-2</v>
      </c>
      <c r="O35" s="42">
        <f ca="1">('Airfoil 1'!$B$37+'Airfoil 1'!$B$38*L35+'Airfoil 1'!$B$39*L35^2+'Airfoil 1'!$B$40*L35^3+'Airfoil 1'!$B$41*L35^4+'Airfoil 1'!$B$42*L35^5+'Airfoil 1'!$B$43*L35^6)*0+CX35</f>
        <v>1.2282595048042355E-2</v>
      </c>
      <c r="P35" s="16">
        <f>LOG('Airfoil 1'!$F$10)+LOG('Airfoil 1'!$G$10)+LOG('Airfoil 1'!$H$10)</f>
        <v>15.176091259055681</v>
      </c>
      <c r="Q35" s="16">
        <f t="shared" ca="1" si="1"/>
        <v>-5.2382453573715591</v>
      </c>
      <c r="R35" s="16">
        <f>LOG('Airfoil 1'!$F$10)^2+LOG('Airfoil 1'!$G$10)^2+LOG('Airfoil 1'!$H$10)^2</f>
        <v>76.867141336751558</v>
      </c>
      <c r="S35" s="16">
        <f ca="1">LOG('Airfoil 1'!$F$10)*LOG(M35)+LOG('Airfoil 1'!$G$10)*LOG(N35)+LOG('Airfoil 1'!$H$10)*LOG(O35)</f>
        <v>-26.566383285240857</v>
      </c>
      <c r="T35" s="16">
        <f t="shared" ca="1" si="2"/>
        <v>66.780048933841258</v>
      </c>
      <c r="U35" s="16">
        <f t="shared" ca="1" si="3"/>
        <v>-0.70585932657973494</v>
      </c>
      <c r="V35" s="42">
        <f ca="1">IF(Energy!$F$11=1,Energy!$T$13,1)*T35*H35^U35</f>
        <v>9.6927552720324252E-3</v>
      </c>
      <c r="W35" s="10">
        <f ca="1">'Airfoil 1'!$B$48+'Airfoil 1'!$B$49*L35+'Airfoil 1'!$B$50*L35^2+'Airfoil 1'!$B$51*L35^3+'Airfoil 1'!$B$52*L35^4+'Airfoil 1'!$B$53*L35^5+'Airfoil 1'!$B$54*L35^6</f>
        <v>-0.155</v>
      </c>
      <c r="X35" s="42">
        <f ca="1">'Airfoil 1'!$B$56+'Airfoil 1'!$B$57*L35+'Airfoil 1'!$B$58*L35^2+'Airfoil 1'!$B$59*L35^3+'Airfoil 1'!$B$60*L35^4+'Airfoil 1'!$B$61*L35^5+'Airfoil 1'!$B$62*L35^6</f>
        <v>-0.155</v>
      </c>
      <c r="Y35" s="42">
        <f ca="1">'Airfoil 1'!$B$64+'Airfoil 1'!$B$65*L35+'Airfoil 1'!$B$66*L35^2+'Airfoil 1'!$B$67*L35^3+'Airfoil 1'!$B$681*L35^4+'Airfoil 1'!$B$69*L35^5+'Airfoil 1'!$B$70*L35^6</f>
        <v>-0.155</v>
      </c>
      <c r="Z35" s="16">
        <f>LOG('Airfoil 1'!$F$10)+LOG('Airfoil 1'!$G$10)+LOG('Airfoil 1'!$H$10)</f>
        <v>15.176091259055681</v>
      </c>
      <c r="AA35" s="16">
        <f t="shared" ca="1" si="4"/>
        <v>-2.4290049054891254</v>
      </c>
      <c r="AB35" s="16">
        <f>LOG('Airfoil 1'!$F$10)^2+LOG('Airfoil 1'!$G$10)^2+LOG('Airfoil 1'!$H$10)^2</f>
        <v>76.867141336751558</v>
      </c>
      <c r="AC35" s="16">
        <f ca="1">LOG('Airfoil 1'!$F$10)*LOG(ABS(W35))+LOG('Airfoil 1'!$G$10)*LOG(ABS(X35))+LOG('Airfoil 1'!$H$10)*LOG(ABS(Y35))</f>
        <v>-12.287600038132297</v>
      </c>
      <c r="AD35" s="16">
        <f t="shared" ca="1" si="5"/>
        <v>0.1550000000000121</v>
      </c>
      <c r="AE35" s="16">
        <f t="shared" ca="1" si="6"/>
        <v>-6.6718325633022456E-15</v>
      </c>
      <c r="AF35" s="42">
        <f t="shared" ca="1" si="7"/>
        <v>-0.15499999999999903</v>
      </c>
      <c r="AG35" s="16"/>
      <c r="AH35" s="42"/>
      <c r="AI35" s="16">
        <f ca="1">(L35-'Airfoil 1'!$Z$22)/ABS(L35-'Airfoil 1'!$Z$22)</f>
        <v>1</v>
      </c>
      <c r="AJ35" s="16">
        <f ca="1">(L35-'Airfoil 1'!$Z$23)/ABS(L35-'Airfoil 1'!$Z$23)</f>
        <v>1</v>
      </c>
      <c r="AK35" s="16">
        <f ca="1">(L35-'Airfoil 1'!$Z$24)/ABS(L35-'Airfoil 1'!$Z$24)</f>
        <v>1</v>
      </c>
      <c r="AL35" s="16">
        <f ca="1">(L35-'Airfoil 1'!$Z$25)/ABS(L35-'Airfoil 1'!$Z$25)</f>
        <v>1</v>
      </c>
      <c r="AM35" s="16">
        <f ca="1">(L35-'Airfoil 1'!$Z$26)/ABS(L35-'Airfoil 1'!$Z$26)</f>
        <v>1</v>
      </c>
      <c r="AN35" s="16">
        <f ca="1">(L35-'Airfoil 1'!$Z$27)/ABS(L35-'Airfoil 1'!$Z$27)</f>
        <v>1</v>
      </c>
      <c r="AO35" s="16">
        <f ca="1">(L35-'Airfoil 1'!$Z$28)/ABS(L35-'Airfoil 1'!$Z$28)</f>
        <v>1</v>
      </c>
      <c r="AP35" s="16">
        <f ca="1">(L35-'Airfoil 1'!$Z$29)/ABS(L35-'Airfoil 1'!$Z$29)</f>
        <v>1</v>
      </c>
      <c r="AQ35" s="16">
        <f ca="1">(L35-'Airfoil 1'!$Z$30)/ABS(L35-'Airfoil 1'!$Z$30)</f>
        <v>-1</v>
      </c>
      <c r="AR35" s="16">
        <f ca="1">(L35-'Airfoil 1'!$Z$31)/ABS(L35-'Airfoil 1'!$Z$31)</f>
        <v>-1</v>
      </c>
      <c r="AS35" s="16">
        <f ca="1">(L35-'Airfoil 1'!$Z$32)/ABS(L35-'Airfoil 1'!$Z$32)</f>
        <v>-1</v>
      </c>
      <c r="AT35" s="16">
        <f ca="1">(L35-'Airfoil 1'!$Z$33)/ABS(L35-'Airfoil 1'!$Z$33)</f>
        <v>-1</v>
      </c>
      <c r="AU35" s="16">
        <f ca="1">(L35-'Airfoil 1'!$Z$34)/ABS(L35-'Airfoil 1'!$Z$34)</f>
        <v>-1</v>
      </c>
      <c r="AV35" s="16">
        <f ca="1">(L35-'Airfoil 1'!$Z$35)/ABS(L35-'Airfoil 1'!$Z$35)</f>
        <v>-1</v>
      </c>
      <c r="AW35" s="16">
        <f ca="1">(L35-'Airfoil 1'!$Z$36)/ABS(L35-'Airfoil 1'!$Z$36)</f>
        <v>-1</v>
      </c>
      <c r="AX35" s="16">
        <f ca="1">(L35-'Airfoil 1'!$Z$37)/ABS(L35-'Airfoil 1'!$Z$37)</f>
        <v>-1</v>
      </c>
      <c r="AY35" s="16">
        <f ca="1">(L35-'Airfoil 1'!$Z$38)/ABS(L35-'Airfoil 1'!$Z$38)</f>
        <v>-1</v>
      </c>
      <c r="AZ35" s="16">
        <f ca="1">(L35-'Airfoil 1'!$Z$39)/ABS(L35-'Airfoil 1'!$Z$39)</f>
        <v>-1</v>
      </c>
      <c r="BA35" s="16">
        <f ca="1">(L35-'Airfoil 1'!$Z$40)/ABS(L35-'Airfoil 1'!$Z$40)</f>
        <v>-1</v>
      </c>
      <c r="BB35" s="16">
        <f ca="1">(L35-'Airfoil 1'!$Z$41)/ABS(L35-'Airfoil 1'!$Z$41)</f>
        <v>-1</v>
      </c>
      <c r="BC35" s="5">
        <f t="shared" ca="1" si="8"/>
        <v>8</v>
      </c>
      <c r="BD35" s="42">
        <f ca="1">INDEX('Airfoil 1'!$AA$22:$AA$41,BC35,1)+INDEX('Airfoil 1'!$AB$22:$AB$41,BC35,1)*(L35-INDEX('Airfoil 1'!$Z$22:$Z$41,BC35,1))</f>
        <v>2.5062216230928001E-2</v>
      </c>
      <c r="BE35" s="6"/>
      <c r="BF35" s="16">
        <f ca="1">(L35-'Airfoil 1'!$Z$47)/ABS(L35-'Airfoil 1'!$Z$47)</f>
        <v>1</v>
      </c>
      <c r="BG35" s="16">
        <f ca="1">(L35-'Airfoil 1'!$Z$48)/ABS(L35-'Airfoil 1'!$Z$48)</f>
        <v>1</v>
      </c>
      <c r="BH35" s="16">
        <f ca="1">(L35-'Airfoil 1'!$Z$49)/ABS(L35-'Airfoil 1'!$Z$49)</f>
        <v>1</v>
      </c>
      <c r="BI35" s="16">
        <f ca="1">(L35-'Airfoil 1'!$Z$50)/ABS(L35-'Airfoil 1'!$Z$50)</f>
        <v>1</v>
      </c>
      <c r="BJ35" s="16">
        <f ca="1">(L35-'Airfoil 1'!$Z$51)/ABS(L35-'Airfoil 1'!$Z$51)</f>
        <v>1</v>
      </c>
      <c r="BK35" s="16">
        <f ca="1">(L35-'Airfoil 1'!$Z$52)/ABS(L35-'Airfoil 1'!$Z$52)</f>
        <v>1</v>
      </c>
      <c r="BL35" s="16">
        <f ca="1">(L35-'Airfoil 1'!$Z$53)/ABS(L35-'Airfoil 1'!$Z$53)</f>
        <v>1</v>
      </c>
      <c r="BM35" s="16">
        <f ca="1">(L35-'Airfoil 1'!$Z$54)/ABS(L35-'Airfoil 1'!$Z$54)</f>
        <v>-1</v>
      </c>
      <c r="BN35" s="16">
        <f ca="1">(L35-'Airfoil 1'!$Z$55)/ABS(L35-'Airfoil 1'!$Z$55)</f>
        <v>-1</v>
      </c>
      <c r="BO35" s="16">
        <f ca="1">(L35-'Airfoil 1'!$Z$56)/ABS(L35-'Airfoil 1'!$Z$56)</f>
        <v>-1</v>
      </c>
      <c r="BP35" s="16">
        <f ca="1">(L35-'Airfoil 1'!$Z$57)/ABS(L35-'Airfoil 1'!$Z$57)</f>
        <v>-1</v>
      </c>
      <c r="BQ35" s="16">
        <f ca="1">(L35-'Airfoil 1'!$Z$58)/ABS(L35-'Airfoil 1'!$Z$58)</f>
        <v>-1</v>
      </c>
      <c r="BR35" s="16">
        <f ca="1">(L35-'Airfoil 1'!$Z$59)/ABS(L35-'Airfoil 1'!$Z$59)</f>
        <v>-1</v>
      </c>
      <c r="BS35" s="16">
        <f ca="1">(L35-'Airfoil 1'!$Z$60)/ABS(L35-'Airfoil 1'!$Z$60)</f>
        <v>-1</v>
      </c>
      <c r="BT35" s="16">
        <f ca="1">(L35-'Airfoil 1'!$Z$61)/ABS(L35-'Airfoil 1'!$Z$61)</f>
        <v>-1</v>
      </c>
      <c r="BU35" s="16">
        <f ca="1">(L35-'Airfoil 1'!$Z$62)/ABS(L35-'Airfoil 1'!$Z$62)</f>
        <v>-1</v>
      </c>
      <c r="BV35" s="16">
        <f ca="1">(L35-'Airfoil 1'!$Z$63)/ABS(L35-'Airfoil 1'!$Z$63)</f>
        <v>-1</v>
      </c>
      <c r="BW35" s="16">
        <f ca="1">(L35-'Airfoil 1'!$Z$64)/ABS(L35-'Airfoil 1'!$Z$64)</f>
        <v>-1</v>
      </c>
      <c r="BX35" s="16">
        <f ca="1">(L35-'Airfoil 1'!$Z$65)/ABS(L35-'Airfoil 1'!$Z$65)</f>
        <v>-1</v>
      </c>
      <c r="BY35" s="16">
        <f ca="1">(L35-'Airfoil 1'!$Z$66)/ABS(L35-'Airfoil 1'!$Z$66)</f>
        <v>-1</v>
      </c>
      <c r="BZ35" s="5">
        <f t="shared" ca="1" si="9"/>
        <v>7</v>
      </c>
      <c r="CA35" s="42">
        <f ca="1">INDEX('Airfoil 1'!$AA$47:$AA$66,BZ35,1)+INDEX('Airfoil 1'!$AB$47:$AB$66,BZ35,1)*(L35-INDEX('Airfoil 1'!$Z$47:$Z$66,BZ35,1))</f>
        <v>1.8769168637847108E-2</v>
      </c>
      <c r="CC35" s="16">
        <f ca="1">(L35-'Airfoil 1'!$Z$72)/ABS(L35-'Airfoil 1'!$Z$72)</f>
        <v>1</v>
      </c>
      <c r="CD35" s="16">
        <f ca="1">(L35-'Airfoil 1'!$Z$73)/ABS(L35-'Airfoil 1'!$Z$73)</f>
        <v>1</v>
      </c>
      <c r="CE35" s="16">
        <f ca="1">(L35-'Airfoil 1'!$Z$74)/ABS(L35-'Airfoil 1'!$Z$74)</f>
        <v>1</v>
      </c>
      <c r="CF35" s="16">
        <f ca="1">(L35-'Airfoil 1'!$Z$75)/ABS(L35-'Airfoil 1'!$Z$75)</f>
        <v>1</v>
      </c>
      <c r="CG35" s="16">
        <f ca="1">(L35-'Airfoil 1'!$Z$76)/ABS(L35-'Airfoil 1'!$Z$76)</f>
        <v>1</v>
      </c>
      <c r="CH35" s="16">
        <f ca="1">(L35-'Airfoil 1'!$Z$77)/ABS(L35-'Airfoil 1'!$Z$77)</f>
        <v>1</v>
      </c>
      <c r="CI35" s="16">
        <f ca="1">(L35-'Airfoil 1'!$Z$78)/ABS(L35-'Airfoil 1'!$Z$78)</f>
        <v>-1</v>
      </c>
      <c r="CJ35" s="16">
        <f ca="1">(L35-'Airfoil 1'!$Z$79)/ABS(L35-'Airfoil 1'!$Z$79)</f>
        <v>-1</v>
      </c>
      <c r="CK35" s="16">
        <f ca="1">(L35-'Airfoil 1'!$Z$80)/ABS(L35-'Airfoil 1'!$Z$80)</f>
        <v>-1</v>
      </c>
      <c r="CL35" s="16">
        <f ca="1">(L35-'Airfoil 1'!$Z$81)/ABS(L35-'Airfoil 1'!$Z$81)</f>
        <v>-1</v>
      </c>
      <c r="CM35" s="16">
        <f ca="1">(L35-'Airfoil 1'!$Z$82)/ABS(L35-'Airfoil 1'!$Z$82)</f>
        <v>-1</v>
      </c>
      <c r="CN35" s="16">
        <f ca="1">(L35-'Airfoil 1'!$Z$83)/ABS(L35-'Airfoil 1'!$Z$83)</f>
        <v>-1</v>
      </c>
      <c r="CO35" s="16">
        <f ca="1">(L35-'Airfoil 1'!$Z$84)/ABS(L35-'Airfoil 1'!$Z$84)</f>
        <v>-1</v>
      </c>
      <c r="CP35" s="16">
        <f ca="1">(L35-'Airfoil 1'!$Z$85)/ABS(L35-'Airfoil 1'!$Z$85)</f>
        <v>-1</v>
      </c>
      <c r="CQ35" s="16">
        <f ca="1">(L35-'Airfoil 1'!$Z$86)/ABS(L35-'Airfoil 1'!$Z$86)</f>
        <v>-1</v>
      </c>
      <c r="CR35" s="16">
        <f ca="1">(L35-'Airfoil 1'!$Z$87)/ABS(L35-'Airfoil 1'!$Z$87)</f>
        <v>-1</v>
      </c>
      <c r="CS35" s="16">
        <f ca="1">(L35-'Airfoil 1'!$Z$88)/ABS(L35-'Airfoil 1'!$Z$88)</f>
        <v>-1</v>
      </c>
      <c r="CT35" s="16">
        <f ca="1">(L35-'Airfoil 1'!$Z$89)/ABS(L35-'Airfoil 1'!$Z$89)</f>
        <v>-1</v>
      </c>
      <c r="CU35" s="16">
        <f ca="1">(L35-'Airfoil 1'!$Z$90)/ABS(L35-'Airfoil 1'!$Z$90)</f>
        <v>-1</v>
      </c>
      <c r="CV35" s="16">
        <f ca="1">(L35-'Airfoil 1'!$Z$91)/ABS(L35-'Airfoil 1'!$Z$91)</f>
        <v>-1</v>
      </c>
      <c r="CW35" s="5">
        <f t="shared" ca="1" si="10"/>
        <v>6</v>
      </c>
      <c r="CX35" s="42">
        <f ca="1">INDEX('Airfoil 1'!$AA$72:$AA$91,CW35,1)+INDEX('Airfoil 1'!$AB$72:$AB$91,CW35,1)*(L35-INDEX('Airfoil 1'!$Z$72:$Z$91,CW35,1))</f>
        <v>1.2282595048042355E-2</v>
      </c>
    </row>
    <row r="36" spans="2:102">
      <c r="B36" s="31">
        <f>Main!B36</f>
        <v>0.33333333333333326</v>
      </c>
      <c r="D36" s="1">
        <f>Turn!F36</f>
        <v>0.65969672852566186</v>
      </c>
      <c r="E36" s="4">
        <f>ISA!$R$10</f>
        <v>1.5987591530356481E-5</v>
      </c>
      <c r="G36" s="13">
        <f ca="1">Turn!X36</f>
        <v>22.533115808336419</v>
      </c>
      <c r="H36" s="5">
        <f t="shared" ca="1" si="0"/>
        <v>309928.33314979321</v>
      </c>
      <c r="I36" s="16">
        <f ca="1">'Airfoil 2'!$K$14*H36^'Airfoil 2'!$L$13</f>
        <v>1.5802176444961484</v>
      </c>
      <c r="J36" s="1">
        <f ca="1">'Airfoil 2'!$K$33*H36^'Airfoil 2'!$L$32</f>
        <v>5.2436160925509157</v>
      </c>
      <c r="K36" s="13">
        <f ca="1">'Airfoil 2'!$K$52*H36^'Airfoil 2'!$L$51</f>
        <v>-8.4511492080956412</v>
      </c>
      <c r="L36" s="16">
        <f ca="1">'Aerodynamics-Turn'!W36</f>
        <v>1.0392304845413263</v>
      </c>
      <c r="M36" s="10">
        <f ca="1">('Airfoil 1'!$B$21+'Airfoil 1'!$B$22*L36+'Airfoil 1'!$B$23*L36^2+'Airfoil 1'!$B$24*L36^3+'Airfoil 1'!$B$25*L36^4+'Airfoil 1'!$B$26*L36^5+'Airfoil 1'!$B$27*L36^6)*0+BD36</f>
        <v>2.5062216230928001E-2</v>
      </c>
      <c r="N36" s="42">
        <f ca="1">('Airfoil 1'!$B$29+'Airfoil 1'!$B$30*L36+'Airfoil 1'!$B$31*L36^2+'Airfoil 1'!$B$32*L36^3+'Airfoil 1'!$B$33*L36^4+'Airfoil 1'!$B$34*L36^5+'Airfoil 1'!$B$35*L36^6)*0+CA36</f>
        <v>1.8769168637847108E-2</v>
      </c>
      <c r="O36" s="42">
        <f ca="1">('Airfoil 1'!$B$37+'Airfoil 1'!$B$38*L36+'Airfoil 1'!$B$39*L36^2+'Airfoil 1'!$B$40*L36^3+'Airfoil 1'!$B$41*L36^4+'Airfoil 1'!$B$42*L36^5+'Airfoil 1'!$B$43*L36^6)*0+CX36</f>
        <v>1.2282595048042355E-2</v>
      </c>
      <c r="P36" s="16">
        <f>LOG('Airfoil 1'!$F$10)+LOG('Airfoil 1'!$G$10)+LOG('Airfoil 1'!$H$10)</f>
        <v>15.176091259055681</v>
      </c>
      <c r="Q36" s="16">
        <f t="shared" ca="1" si="1"/>
        <v>-5.2382453573715591</v>
      </c>
      <c r="R36" s="16">
        <f>LOG('Airfoil 1'!$F$10)^2+LOG('Airfoil 1'!$G$10)^2+LOG('Airfoil 1'!$H$10)^2</f>
        <v>76.867141336751558</v>
      </c>
      <c r="S36" s="16">
        <f ca="1">LOG('Airfoil 1'!$F$10)*LOG(M36)+LOG('Airfoil 1'!$G$10)*LOG(N36)+LOG('Airfoil 1'!$H$10)*LOG(O36)</f>
        <v>-26.566383285240857</v>
      </c>
      <c r="T36" s="16">
        <f t="shared" ca="1" si="2"/>
        <v>66.780048933841258</v>
      </c>
      <c r="U36" s="16">
        <f t="shared" ca="1" si="3"/>
        <v>-0.70585932657973494</v>
      </c>
      <c r="V36" s="42">
        <f ca="1">IF(Energy!$F$11=1,Energy!$T$13,1)*T36*H36^U36</f>
        <v>9.7941633159137845E-3</v>
      </c>
      <c r="W36" s="10">
        <f ca="1">'Airfoil 1'!$B$48+'Airfoil 1'!$B$49*L36+'Airfoil 1'!$B$50*L36^2+'Airfoil 1'!$B$51*L36^3+'Airfoil 1'!$B$52*L36^4+'Airfoil 1'!$B$53*L36^5+'Airfoil 1'!$B$54*L36^6</f>
        <v>-0.155</v>
      </c>
      <c r="X36" s="42">
        <f ca="1">'Airfoil 1'!$B$56+'Airfoil 1'!$B$57*L36+'Airfoil 1'!$B$58*L36^2+'Airfoil 1'!$B$59*L36^3+'Airfoil 1'!$B$60*L36^4+'Airfoil 1'!$B$61*L36^5+'Airfoil 1'!$B$62*L36^6</f>
        <v>-0.155</v>
      </c>
      <c r="Y36" s="42">
        <f ca="1">'Airfoil 1'!$B$64+'Airfoil 1'!$B$65*L36+'Airfoil 1'!$B$66*L36^2+'Airfoil 1'!$B$67*L36^3+'Airfoil 1'!$B$681*L36^4+'Airfoil 1'!$B$69*L36^5+'Airfoil 1'!$B$70*L36^6</f>
        <v>-0.155</v>
      </c>
      <c r="Z36" s="16">
        <f>LOG('Airfoil 1'!$F$10)+LOG('Airfoil 1'!$G$10)+LOG('Airfoil 1'!$H$10)</f>
        <v>15.176091259055681</v>
      </c>
      <c r="AA36" s="16">
        <f t="shared" ca="1" si="4"/>
        <v>-2.4290049054891254</v>
      </c>
      <c r="AB36" s="16">
        <f>LOG('Airfoil 1'!$F$10)^2+LOG('Airfoil 1'!$G$10)^2+LOG('Airfoil 1'!$H$10)^2</f>
        <v>76.867141336751558</v>
      </c>
      <c r="AC36" s="16">
        <f ca="1">LOG('Airfoil 1'!$F$10)*LOG(ABS(W36))+LOG('Airfoil 1'!$G$10)*LOG(ABS(X36))+LOG('Airfoil 1'!$H$10)*LOG(ABS(Y36))</f>
        <v>-12.287600038132297</v>
      </c>
      <c r="AD36" s="16">
        <f t="shared" ca="1" si="5"/>
        <v>0.1550000000000121</v>
      </c>
      <c r="AE36" s="16">
        <f t="shared" ca="1" si="6"/>
        <v>-6.6718325633022456E-15</v>
      </c>
      <c r="AF36" s="42">
        <f t="shared" ca="1" si="7"/>
        <v>-0.15499999999999903</v>
      </c>
      <c r="AG36" s="16"/>
      <c r="AH36" s="42"/>
      <c r="AI36" s="16">
        <f ca="1">(L36-'Airfoil 1'!$Z$22)/ABS(L36-'Airfoil 1'!$Z$22)</f>
        <v>1</v>
      </c>
      <c r="AJ36" s="16">
        <f ca="1">(L36-'Airfoil 1'!$Z$23)/ABS(L36-'Airfoil 1'!$Z$23)</f>
        <v>1</v>
      </c>
      <c r="AK36" s="16">
        <f ca="1">(L36-'Airfoil 1'!$Z$24)/ABS(L36-'Airfoil 1'!$Z$24)</f>
        <v>1</v>
      </c>
      <c r="AL36" s="16">
        <f ca="1">(L36-'Airfoil 1'!$Z$25)/ABS(L36-'Airfoil 1'!$Z$25)</f>
        <v>1</v>
      </c>
      <c r="AM36" s="16">
        <f ca="1">(L36-'Airfoil 1'!$Z$26)/ABS(L36-'Airfoil 1'!$Z$26)</f>
        <v>1</v>
      </c>
      <c r="AN36" s="16">
        <f ca="1">(L36-'Airfoil 1'!$Z$27)/ABS(L36-'Airfoil 1'!$Z$27)</f>
        <v>1</v>
      </c>
      <c r="AO36" s="16">
        <f ca="1">(L36-'Airfoil 1'!$Z$28)/ABS(L36-'Airfoil 1'!$Z$28)</f>
        <v>1</v>
      </c>
      <c r="AP36" s="16">
        <f ca="1">(L36-'Airfoil 1'!$Z$29)/ABS(L36-'Airfoil 1'!$Z$29)</f>
        <v>1</v>
      </c>
      <c r="AQ36" s="16">
        <f ca="1">(L36-'Airfoil 1'!$Z$30)/ABS(L36-'Airfoil 1'!$Z$30)</f>
        <v>-1</v>
      </c>
      <c r="AR36" s="16">
        <f ca="1">(L36-'Airfoil 1'!$Z$31)/ABS(L36-'Airfoil 1'!$Z$31)</f>
        <v>-1</v>
      </c>
      <c r="AS36" s="16">
        <f ca="1">(L36-'Airfoil 1'!$Z$32)/ABS(L36-'Airfoil 1'!$Z$32)</f>
        <v>-1</v>
      </c>
      <c r="AT36" s="16">
        <f ca="1">(L36-'Airfoil 1'!$Z$33)/ABS(L36-'Airfoil 1'!$Z$33)</f>
        <v>-1</v>
      </c>
      <c r="AU36" s="16">
        <f ca="1">(L36-'Airfoil 1'!$Z$34)/ABS(L36-'Airfoil 1'!$Z$34)</f>
        <v>-1</v>
      </c>
      <c r="AV36" s="16">
        <f ca="1">(L36-'Airfoil 1'!$Z$35)/ABS(L36-'Airfoil 1'!$Z$35)</f>
        <v>-1</v>
      </c>
      <c r="AW36" s="16">
        <f ca="1">(L36-'Airfoil 1'!$Z$36)/ABS(L36-'Airfoil 1'!$Z$36)</f>
        <v>-1</v>
      </c>
      <c r="AX36" s="16">
        <f ca="1">(L36-'Airfoil 1'!$Z$37)/ABS(L36-'Airfoil 1'!$Z$37)</f>
        <v>-1</v>
      </c>
      <c r="AY36" s="16">
        <f ca="1">(L36-'Airfoil 1'!$Z$38)/ABS(L36-'Airfoil 1'!$Z$38)</f>
        <v>-1</v>
      </c>
      <c r="AZ36" s="16">
        <f ca="1">(L36-'Airfoil 1'!$Z$39)/ABS(L36-'Airfoil 1'!$Z$39)</f>
        <v>-1</v>
      </c>
      <c r="BA36" s="16">
        <f ca="1">(L36-'Airfoil 1'!$Z$40)/ABS(L36-'Airfoil 1'!$Z$40)</f>
        <v>-1</v>
      </c>
      <c r="BB36" s="16">
        <f ca="1">(L36-'Airfoil 1'!$Z$41)/ABS(L36-'Airfoil 1'!$Z$41)</f>
        <v>-1</v>
      </c>
      <c r="BC36" s="5">
        <f t="shared" ca="1" si="8"/>
        <v>8</v>
      </c>
      <c r="BD36" s="42">
        <f ca="1">INDEX('Airfoil 1'!$AA$22:$AA$41,BC36,1)+INDEX('Airfoil 1'!$AB$22:$AB$41,BC36,1)*(L36-INDEX('Airfoil 1'!$Z$22:$Z$41,BC36,1))</f>
        <v>2.5062216230928001E-2</v>
      </c>
      <c r="BE36" s="6"/>
      <c r="BF36" s="16">
        <f ca="1">(L36-'Airfoil 1'!$Z$47)/ABS(L36-'Airfoil 1'!$Z$47)</f>
        <v>1</v>
      </c>
      <c r="BG36" s="16">
        <f ca="1">(L36-'Airfoil 1'!$Z$48)/ABS(L36-'Airfoil 1'!$Z$48)</f>
        <v>1</v>
      </c>
      <c r="BH36" s="16">
        <f ca="1">(L36-'Airfoil 1'!$Z$49)/ABS(L36-'Airfoil 1'!$Z$49)</f>
        <v>1</v>
      </c>
      <c r="BI36" s="16">
        <f ca="1">(L36-'Airfoil 1'!$Z$50)/ABS(L36-'Airfoil 1'!$Z$50)</f>
        <v>1</v>
      </c>
      <c r="BJ36" s="16">
        <f ca="1">(L36-'Airfoil 1'!$Z$51)/ABS(L36-'Airfoil 1'!$Z$51)</f>
        <v>1</v>
      </c>
      <c r="BK36" s="16">
        <f ca="1">(L36-'Airfoil 1'!$Z$52)/ABS(L36-'Airfoil 1'!$Z$52)</f>
        <v>1</v>
      </c>
      <c r="BL36" s="16">
        <f ca="1">(L36-'Airfoil 1'!$Z$53)/ABS(L36-'Airfoil 1'!$Z$53)</f>
        <v>1</v>
      </c>
      <c r="BM36" s="16">
        <f ca="1">(L36-'Airfoil 1'!$Z$54)/ABS(L36-'Airfoil 1'!$Z$54)</f>
        <v>-1</v>
      </c>
      <c r="BN36" s="16">
        <f ca="1">(L36-'Airfoil 1'!$Z$55)/ABS(L36-'Airfoil 1'!$Z$55)</f>
        <v>-1</v>
      </c>
      <c r="BO36" s="16">
        <f ca="1">(L36-'Airfoil 1'!$Z$56)/ABS(L36-'Airfoil 1'!$Z$56)</f>
        <v>-1</v>
      </c>
      <c r="BP36" s="16">
        <f ca="1">(L36-'Airfoil 1'!$Z$57)/ABS(L36-'Airfoil 1'!$Z$57)</f>
        <v>-1</v>
      </c>
      <c r="BQ36" s="16">
        <f ca="1">(L36-'Airfoil 1'!$Z$58)/ABS(L36-'Airfoil 1'!$Z$58)</f>
        <v>-1</v>
      </c>
      <c r="BR36" s="16">
        <f ca="1">(L36-'Airfoil 1'!$Z$59)/ABS(L36-'Airfoil 1'!$Z$59)</f>
        <v>-1</v>
      </c>
      <c r="BS36" s="16">
        <f ca="1">(L36-'Airfoil 1'!$Z$60)/ABS(L36-'Airfoil 1'!$Z$60)</f>
        <v>-1</v>
      </c>
      <c r="BT36" s="16">
        <f ca="1">(L36-'Airfoil 1'!$Z$61)/ABS(L36-'Airfoil 1'!$Z$61)</f>
        <v>-1</v>
      </c>
      <c r="BU36" s="16">
        <f ca="1">(L36-'Airfoil 1'!$Z$62)/ABS(L36-'Airfoil 1'!$Z$62)</f>
        <v>-1</v>
      </c>
      <c r="BV36" s="16">
        <f ca="1">(L36-'Airfoil 1'!$Z$63)/ABS(L36-'Airfoil 1'!$Z$63)</f>
        <v>-1</v>
      </c>
      <c r="BW36" s="16">
        <f ca="1">(L36-'Airfoil 1'!$Z$64)/ABS(L36-'Airfoil 1'!$Z$64)</f>
        <v>-1</v>
      </c>
      <c r="BX36" s="16">
        <f ca="1">(L36-'Airfoil 1'!$Z$65)/ABS(L36-'Airfoil 1'!$Z$65)</f>
        <v>-1</v>
      </c>
      <c r="BY36" s="16">
        <f ca="1">(L36-'Airfoil 1'!$Z$66)/ABS(L36-'Airfoil 1'!$Z$66)</f>
        <v>-1</v>
      </c>
      <c r="BZ36" s="5">
        <f t="shared" ca="1" si="9"/>
        <v>7</v>
      </c>
      <c r="CA36" s="42">
        <f ca="1">INDEX('Airfoil 1'!$AA$47:$AA$66,BZ36,1)+INDEX('Airfoil 1'!$AB$47:$AB$66,BZ36,1)*(L36-INDEX('Airfoil 1'!$Z$47:$Z$66,BZ36,1))</f>
        <v>1.8769168637847108E-2</v>
      </c>
      <c r="CC36" s="16">
        <f ca="1">(L36-'Airfoil 1'!$Z$72)/ABS(L36-'Airfoil 1'!$Z$72)</f>
        <v>1</v>
      </c>
      <c r="CD36" s="16">
        <f ca="1">(L36-'Airfoil 1'!$Z$73)/ABS(L36-'Airfoil 1'!$Z$73)</f>
        <v>1</v>
      </c>
      <c r="CE36" s="16">
        <f ca="1">(L36-'Airfoil 1'!$Z$74)/ABS(L36-'Airfoil 1'!$Z$74)</f>
        <v>1</v>
      </c>
      <c r="CF36" s="16">
        <f ca="1">(L36-'Airfoil 1'!$Z$75)/ABS(L36-'Airfoil 1'!$Z$75)</f>
        <v>1</v>
      </c>
      <c r="CG36" s="16">
        <f ca="1">(L36-'Airfoil 1'!$Z$76)/ABS(L36-'Airfoil 1'!$Z$76)</f>
        <v>1</v>
      </c>
      <c r="CH36" s="16">
        <f ca="1">(L36-'Airfoil 1'!$Z$77)/ABS(L36-'Airfoil 1'!$Z$77)</f>
        <v>1</v>
      </c>
      <c r="CI36" s="16">
        <f ca="1">(L36-'Airfoil 1'!$Z$78)/ABS(L36-'Airfoil 1'!$Z$78)</f>
        <v>-1</v>
      </c>
      <c r="CJ36" s="16">
        <f ca="1">(L36-'Airfoil 1'!$Z$79)/ABS(L36-'Airfoil 1'!$Z$79)</f>
        <v>-1</v>
      </c>
      <c r="CK36" s="16">
        <f ca="1">(L36-'Airfoil 1'!$Z$80)/ABS(L36-'Airfoil 1'!$Z$80)</f>
        <v>-1</v>
      </c>
      <c r="CL36" s="16">
        <f ca="1">(L36-'Airfoil 1'!$Z$81)/ABS(L36-'Airfoil 1'!$Z$81)</f>
        <v>-1</v>
      </c>
      <c r="CM36" s="16">
        <f ca="1">(L36-'Airfoil 1'!$Z$82)/ABS(L36-'Airfoil 1'!$Z$82)</f>
        <v>-1</v>
      </c>
      <c r="CN36" s="16">
        <f ca="1">(L36-'Airfoil 1'!$Z$83)/ABS(L36-'Airfoil 1'!$Z$83)</f>
        <v>-1</v>
      </c>
      <c r="CO36" s="16">
        <f ca="1">(L36-'Airfoil 1'!$Z$84)/ABS(L36-'Airfoil 1'!$Z$84)</f>
        <v>-1</v>
      </c>
      <c r="CP36" s="16">
        <f ca="1">(L36-'Airfoil 1'!$Z$85)/ABS(L36-'Airfoil 1'!$Z$85)</f>
        <v>-1</v>
      </c>
      <c r="CQ36" s="16">
        <f ca="1">(L36-'Airfoil 1'!$Z$86)/ABS(L36-'Airfoil 1'!$Z$86)</f>
        <v>-1</v>
      </c>
      <c r="CR36" s="16">
        <f ca="1">(L36-'Airfoil 1'!$Z$87)/ABS(L36-'Airfoil 1'!$Z$87)</f>
        <v>-1</v>
      </c>
      <c r="CS36" s="16">
        <f ca="1">(L36-'Airfoil 1'!$Z$88)/ABS(L36-'Airfoil 1'!$Z$88)</f>
        <v>-1</v>
      </c>
      <c r="CT36" s="16">
        <f ca="1">(L36-'Airfoil 1'!$Z$89)/ABS(L36-'Airfoil 1'!$Z$89)</f>
        <v>-1</v>
      </c>
      <c r="CU36" s="16">
        <f ca="1">(L36-'Airfoil 1'!$Z$90)/ABS(L36-'Airfoil 1'!$Z$90)</f>
        <v>-1</v>
      </c>
      <c r="CV36" s="16">
        <f ca="1">(L36-'Airfoil 1'!$Z$91)/ABS(L36-'Airfoil 1'!$Z$91)</f>
        <v>-1</v>
      </c>
      <c r="CW36" s="5">
        <f t="shared" ca="1" si="10"/>
        <v>6</v>
      </c>
      <c r="CX36" s="42">
        <f ca="1">INDEX('Airfoil 1'!$AA$72:$AA$91,CW36,1)+INDEX('Airfoil 1'!$AB$72:$AB$91,CW36,1)*(L36-INDEX('Airfoil 1'!$Z$72:$Z$91,CW36,1))</f>
        <v>1.2282595048042355E-2</v>
      </c>
    </row>
    <row r="37" spans="2:102">
      <c r="B37" s="31">
        <f>Main!B37</f>
        <v>0.33333333333333326</v>
      </c>
      <c r="D37" s="1">
        <f>Turn!F37</f>
        <v>0.65969672852566186</v>
      </c>
      <c r="E37" s="4">
        <f>ISA!$R$10</f>
        <v>1.5987591530356481E-5</v>
      </c>
      <c r="G37" s="13">
        <f ca="1">Turn!X37</f>
        <v>22.215604931298369</v>
      </c>
      <c r="H37" s="5">
        <f t="shared" ca="1" si="0"/>
        <v>305561.1778165336</v>
      </c>
      <c r="I37" s="16">
        <f ca="1">'Airfoil 2'!$K$14*H37^'Airfoil 2'!$L$13</f>
        <v>1.5799059374671165</v>
      </c>
      <c r="J37" s="1">
        <f ca="1">'Airfoil 2'!$K$33*H37^'Airfoil 2'!$L$32</f>
        <v>5.2687042043443979</v>
      </c>
      <c r="K37" s="13">
        <f ca="1">'Airfoil 2'!$K$52*H37^'Airfoil 2'!$L$51</f>
        <v>-8.3713247603876937</v>
      </c>
      <c r="L37" s="16">
        <f ca="1">'Aerodynamics-Turn'!W37</f>
        <v>1.0392304845413263</v>
      </c>
      <c r="M37" s="10">
        <f ca="1">('Airfoil 1'!$B$21+'Airfoil 1'!$B$22*L37+'Airfoil 1'!$B$23*L37^2+'Airfoil 1'!$B$24*L37^3+'Airfoil 1'!$B$25*L37^4+'Airfoil 1'!$B$26*L37^5+'Airfoil 1'!$B$27*L37^6)*0+BD37</f>
        <v>2.5062216230928001E-2</v>
      </c>
      <c r="N37" s="42">
        <f ca="1">('Airfoil 1'!$B$29+'Airfoil 1'!$B$30*L37+'Airfoil 1'!$B$31*L37^2+'Airfoil 1'!$B$32*L37^3+'Airfoil 1'!$B$33*L37^4+'Airfoil 1'!$B$34*L37^5+'Airfoil 1'!$B$35*L37^6)*0+CA37</f>
        <v>1.8769168637847108E-2</v>
      </c>
      <c r="O37" s="42">
        <f ca="1">('Airfoil 1'!$B$37+'Airfoil 1'!$B$38*L37+'Airfoil 1'!$B$39*L37^2+'Airfoil 1'!$B$40*L37^3+'Airfoil 1'!$B$41*L37^4+'Airfoil 1'!$B$42*L37^5+'Airfoil 1'!$B$43*L37^6)*0+CX37</f>
        <v>1.2282595048042355E-2</v>
      </c>
      <c r="P37" s="16">
        <f>LOG('Airfoil 1'!$F$10)+LOG('Airfoil 1'!$G$10)+LOG('Airfoil 1'!$H$10)</f>
        <v>15.176091259055681</v>
      </c>
      <c r="Q37" s="16">
        <f t="shared" ca="1" si="1"/>
        <v>-5.2382453573715591</v>
      </c>
      <c r="R37" s="16">
        <f>LOG('Airfoil 1'!$F$10)^2+LOG('Airfoil 1'!$G$10)^2+LOG('Airfoil 1'!$H$10)^2</f>
        <v>76.867141336751558</v>
      </c>
      <c r="S37" s="16">
        <f ca="1">LOG('Airfoil 1'!$F$10)*LOG(M37)+LOG('Airfoil 1'!$G$10)*LOG(N37)+LOG('Airfoil 1'!$H$10)*LOG(O37)</f>
        <v>-26.566383285240857</v>
      </c>
      <c r="T37" s="16">
        <f t="shared" ca="1" si="2"/>
        <v>66.780048933841258</v>
      </c>
      <c r="U37" s="16">
        <f t="shared" ca="1" si="3"/>
        <v>-0.70585932657973494</v>
      </c>
      <c r="V37" s="42">
        <f ca="1">IF(Energy!$F$11=1,Energy!$T$13,1)*T37*H37^U37</f>
        <v>9.8927634997174625E-3</v>
      </c>
      <c r="W37" s="10">
        <f ca="1">'Airfoil 1'!$B$48+'Airfoil 1'!$B$49*L37+'Airfoil 1'!$B$50*L37^2+'Airfoil 1'!$B$51*L37^3+'Airfoil 1'!$B$52*L37^4+'Airfoil 1'!$B$53*L37^5+'Airfoil 1'!$B$54*L37^6</f>
        <v>-0.155</v>
      </c>
      <c r="X37" s="42">
        <f ca="1">'Airfoil 1'!$B$56+'Airfoil 1'!$B$57*L37+'Airfoil 1'!$B$58*L37^2+'Airfoil 1'!$B$59*L37^3+'Airfoil 1'!$B$60*L37^4+'Airfoil 1'!$B$61*L37^5+'Airfoil 1'!$B$62*L37^6</f>
        <v>-0.155</v>
      </c>
      <c r="Y37" s="42">
        <f ca="1">'Airfoil 1'!$B$64+'Airfoil 1'!$B$65*L37+'Airfoil 1'!$B$66*L37^2+'Airfoil 1'!$B$67*L37^3+'Airfoil 1'!$B$681*L37^4+'Airfoil 1'!$B$69*L37^5+'Airfoil 1'!$B$70*L37^6</f>
        <v>-0.155</v>
      </c>
      <c r="Z37" s="16">
        <f>LOG('Airfoil 1'!$F$10)+LOG('Airfoil 1'!$G$10)+LOG('Airfoil 1'!$H$10)</f>
        <v>15.176091259055681</v>
      </c>
      <c r="AA37" s="16">
        <f t="shared" ca="1" si="4"/>
        <v>-2.4290049054891254</v>
      </c>
      <c r="AB37" s="16">
        <f>LOG('Airfoil 1'!$F$10)^2+LOG('Airfoil 1'!$G$10)^2+LOG('Airfoil 1'!$H$10)^2</f>
        <v>76.867141336751558</v>
      </c>
      <c r="AC37" s="16">
        <f ca="1">LOG('Airfoil 1'!$F$10)*LOG(ABS(W37))+LOG('Airfoil 1'!$G$10)*LOG(ABS(X37))+LOG('Airfoil 1'!$H$10)*LOG(ABS(Y37))</f>
        <v>-12.287600038132297</v>
      </c>
      <c r="AD37" s="16">
        <f t="shared" ca="1" si="5"/>
        <v>0.1550000000000121</v>
      </c>
      <c r="AE37" s="16">
        <f t="shared" ca="1" si="6"/>
        <v>-6.6718325633022456E-15</v>
      </c>
      <c r="AF37" s="42">
        <f t="shared" ca="1" si="7"/>
        <v>-0.15499999999999906</v>
      </c>
      <c r="AG37" s="16"/>
      <c r="AH37" s="42"/>
      <c r="AI37" s="16">
        <f ca="1">(L37-'Airfoil 1'!$Z$22)/ABS(L37-'Airfoil 1'!$Z$22)</f>
        <v>1</v>
      </c>
      <c r="AJ37" s="16">
        <f ca="1">(L37-'Airfoil 1'!$Z$23)/ABS(L37-'Airfoil 1'!$Z$23)</f>
        <v>1</v>
      </c>
      <c r="AK37" s="16">
        <f ca="1">(L37-'Airfoil 1'!$Z$24)/ABS(L37-'Airfoil 1'!$Z$24)</f>
        <v>1</v>
      </c>
      <c r="AL37" s="16">
        <f ca="1">(L37-'Airfoil 1'!$Z$25)/ABS(L37-'Airfoil 1'!$Z$25)</f>
        <v>1</v>
      </c>
      <c r="AM37" s="16">
        <f ca="1">(L37-'Airfoil 1'!$Z$26)/ABS(L37-'Airfoil 1'!$Z$26)</f>
        <v>1</v>
      </c>
      <c r="AN37" s="16">
        <f ca="1">(L37-'Airfoil 1'!$Z$27)/ABS(L37-'Airfoil 1'!$Z$27)</f>
        <v>1</v>
      </c>
      <c r="AO37" s="16">
        <f ca="1">(L37-'Airfoil 1'!$Z$28)/ABS(L37-'Airfoil 1'!$Z$28)</f>
        <v>1</v>
      </c>
      <c r="AP37" s="16">
        <f ca="1">(L37-'Airfoil 1'!$Z$29)/ABS(L37-'Airfoil 1'!$Z$29)</f>
        <v>1</v>
      </c>
      <c r="AQ37" s="16">
        <f ca="1">(L37-'Airfoil 1'!$Z$30)/ABS(L37-'Airfoil 1'!$Z$30)</f>
        <v>-1</v>
      </c>
      <c r="AR37" s="16">
        <f ca="1">(L37-'Airfoil 1'!$Z$31)/ABS(L37-'Airfoil 1'!$Z$31)</f>
        <v>-1</v>
      </c>
      <c r="AS37" s="16">
        <f ca="1">(L37-'Airfoil 1'!$Z$32)/ABS(L37-'Airfoil 1'!$Z$32)</f>
        <v>-1</v>
      </c>
      <c r="AT37" s="16">
        <f ca="1">(L37-'Airfoil 1'!$Z$33)/ABS(L37-'Airfoil 1'!$Z$33)</f>
        <v>-1</v>
      </c>
      <c r="AU37" s="16">
        <f ca="1">(L37-'Airfoil 1'!$Z$34)/ABS(L37-'Airfoil 1'!$Z$34)</f>
        <v>-1</v>
      </c>
      <c r="AV37" s="16">
        <f ca="1">(L37-'Airfoil 1'!$Z$35)/ABS(L37-'Airfoil 1'!$Z$35)</f>
        <v>-1</v>
      </c>
      <c r="AW37" s="16">
        <f ca="1">(L37-'Airfoil 1'!$Z$36)/ABS(L37-'Airfoil 1'!$Z$36)</f>
        <v>-1</v>
      </c>
      <c r="AX37" s="16">
        <f ca="1">(L37-'Airfoil 1'!$Z$37)/ABS(L37-'Airfoil 1'!$Z$37)</f>
        <v>-1</v>
      </c>
      <c r="AY37" s="16">
        <f ca="1">(L37-'Airfoil 1'!$Z$38)/ABS(L37-'Airfoil 1'!$Z$38)</f>
        <v>-1</v>
      </c>
      <c r="AZ37" s="16">
        <f ca="1">(L37-'Airfoil 1'!$Z$39)/ABS(L37-'Airfoil 1'!$Z$39)</f>
        <v>-1</v>
      </c>
      <c r="BA37" s="16">
        <f ca="1">(L37-'Airfoil 1'!$Z$40)/ABS(L37-'Airfoil 1'!$Z$40)</f>
        <v>-1</v>
      </c>
      <c r="BB37" s="16">
        <f ca="1">(L37-'Airfoil 1'!$Z$41)/ABS(L37-'Airfoil 1'!$Z$41)</f>
        <v>-1</v>
      </c>
      <c r="BC37" s="5">
        <f t="shared" ca="1" si="8"/>
        <v>8</v>
      </c>
      <c r="BD37" s="42">
        <f ca="1">INDEX('Airfoil 1'!$AA$22:$AA$41,BC37,1)+INDEX('Airfoil 1'!$AB$22:$AB$41,BC37,1)*(L37-INDEX('Airfoil 1'!$Z$22:$Z$41,BC37,1))</f>
        <v>2.5062216230928001E-2</v>
      </c>
      <c r="BE37" s="6"/>
      <c r="BF37" s="16">
        <f ca="1">(L37-'Airfoil 1'!$Z$47)/ABS(L37-'Airfoil 1'!$Z$47)</f>
        <v>1</v>
      </c>
      <c r="BG37" s="16">
        <f ca="1">(L37-'Airfoil 1'!$Z$48)/ABS(L37-'Airfoil 1'!$Z$48)</f>
        <v>1</v>
      </c>
      <c r="BH37" s="16">
        <f ca="1">(L37-'Airfoil 1'!$Z$49)/ABS(L37-'Airfoil 1'!$Z$49)</f>
        <v>1</v>
      </c>
      <c r="BI37" s="16">
        <f ca="1">(L37-'Airfoil 1'!$Z$50)/ABS(L37-'Airfoil 1'!$Z$50)</f>
        <v>1</v>
      </c>
      <c r="BJ37" s="16">
        <f ca="1">(L37-'Airfoil 1'!$Z$51)/ABS(L37-'Airfoil 1'!$Z$51)</f>
        <v>1</v>
      </c>
      <c r="BK37" s="16">
        <f ca="1">(L37-'Airfoil 1'!$Z$52)/ABS(L37-'Airfoil 1'!$Z$52)</f>
        <v>1</v>
      </c>
      <c r="BL37" s="16">
        <f ca="1">(L37-'Airfoil 1'!$Z$53)/ABS(L37-'Airfoil 1'!$Z$53)</f>
        <v>1</v>
      </c>
      <c r="BM37" s="16">
        <f ca="1">(L37-'Airfoil 1'!$Z$54)/ABS(L37-'Airfoil 1'!$Z$54)</f>
        <v>-1</v>
      </c>
      <c r="BN37" s="16">
        <f ca="1">(L37-'Airfoil 1'!$Z$55)/ABS(L37-'Airfoil 1'!$Z$55)</f>
        <v>-1</v>
      </c>
      <c r="BO37" s="16">
        <f ca="1">(L37-'Airfoil 1'!$Z$56)/ABS(L37-'Airfoil 1'!$Z$56)</f>
        <v>-1</v>
      </c>
      <c r="BP37" s="16">
        <f ca="1">(L37-'Airfoil 1'!$Z$57)/ABS(L37-'Airfoil 1'!$Z$57)</f>
        <v>-1</v>
      </c>
      <c r="BQ37" s="16">
        <f ca="1">(L37-'Airfoil 1'!$Z$58)/ABS(L37-'Airfoil 1'!$Z$58)</f>
        <v>-1</v>
      </c>
      <c r="BR37" s="16">
        <f ca="1">(L37-'Airfoil 1'!$Z$59)/ABS(L37-'Airfoil 1'!$Z$59)</f>
        <v>-1</v>
      </c>
      <c r="BS37" s="16">
        <f ca="1">(L37-'Airfoil 1'!$Z$60)/ABS(L37-'Airfoil 1'!$Z$60)</f>
        <v>-1</v>
      </c>
      <c r="BT37" s="16">
        <f ca="1">(L37-'Airfoil 1'!$Z$61)/ABS(L37-'Airfoil 1'!$Z$61)</f>
        <v>-1</v>
      </c>
      <c r="BU37" s="16">
        <f ca="1">(L37-'Airfoil 1'!$Z$62)/ABS(L37-'Airfoil 1'!$Z$62)</f>
        <v>-1</v>
      </c>
      <c r="BV37" s="16">
        <f ca="1">(L37-'Airfoil 1'!$Z$63)/ABS(L37-'Airfoil 1'!$Z$63)</f>
        <v>-1</v>
      </c>
      <c r="BW37" s="16">
        <f ca="1">(L37-'Airfoil 1'!$Z$64)/ABS(L37-'Airfoil 1'!$Z$64)</f>
        <v>-1</v>
      </c>
      <c r="BX37" s="16">
        <f ca="1">(L37-'Airfoil 1'!$Z$65)/ABS(L37-'Airfoil 1'!$Z$65)</f>
        <v>-1</v>
      </c>
      <c r="BY37" s="16">
        <f ca="1">(L37-'Airfoil 1'!$Z$66)/ABS(L37-'Airfoil 1'!$Z$66)</f>
        <v>-1</v>
      </c>
      <c r="BZ37" s="5">
        <f t="shared" ca="1" si="9"/>
        <v>7</v>
      </c>
      <c r="CA37" s="42">
        <f ca="1">INDEX('Airfoil 1'!$AA$47:$AA$66,BZ37,1)+INDEX('Airfoil 1'!$AB$47:$AB$66,BZ37,1)*(L37-INDEX('Airfoil 1'!$Z$47:$Z$66,BZ37,1))</f>
        <v>1.8769168637847108E-2</v>
      </c>
      <c r="CC37" s="16">
        <f ca="1">(L37-'Airfoil 1'!$Z$72)/ABS(L37-'Airfoil 1'!$Z$72)</f>
        <v>1</v>
      </c>
      <c r="CD37" s="16">
        <f ca="1">(L37-'Airfoil 1'!$Z$73)/ABS(L37-'Airfoil 1'!$Z$73)</f>
        <v>1</v>
      </c>
      <c r="CE37" s="16">
        <f ca="1">(L37-'Airfoil 1'!$Z$74)/ABS(L37-'Airfoil 1'!$Z$74)</f>
        <v>1</v>
      </c>
      <c r="CF37" s="16">
        <f ca="1">(L37-'Airfoil 1'!$Z$75)/ABS(L37-'Airfoil 1'!$Z$75)</f>
        <v>1</v>
      </c>
      <c r="CG37" s="16">
        <f ca="1">(L37-'Airfoil 1'!$Z$76)/ABS(L37-'Airfoil 1'!$Z$76)</f>
        <v>1</v>
      </c>
      <c r="CH37" s="16">
        <f ca="1">(L37-'Airfoil 1'!$Z$77)/ABS(L37-'Airfoil 1'!$Z$77)</f>
        <v>1</v>
      </c>
      <c r="CI37" s="16">
        <f ca="1">(L37-'Airfoil 1'!$Z$78)/ABS(L37-'Airfoil 1'!$Z$78)</f>
        <v>-1</v>
      </c>
      <c r="CJ37" s="16">
        <f ca="1">(L37-'Airfoil 1'!$Z$79)/ABS(L37-'Airfoil 1'!$Z$79)</f>
        <v>-1</v>
      </c>
      <c r="CK37" s="16">
        <f ca="1">(L37-'Airfoil 1'!$Z$80)/ABS(L37-'Airfoil 1'!$Z$80)</f>
        <v>-1</v>
      </c>
      <c r="CL37" s="16">
        <f ca="1">(L37-'Airfoil 1'!$Z$81)/ABS(L37-'Airfoil 1'!$Z$81)</f>
        <v>-1</v>
      </c>
      <c r="CM37" s="16">
        <f ca="1">(L37-'Airfoil 1'!$Z$82)/ABS(L37-'Airfoil 1'!$Z$82)</f>
        <v>-1</v>
      </c>
      <c r="CN37" s="16">
        <f ca="1">(L37-'Airfoil 1'!$Z$83)/ABS(L37-'Airfoil 1'!$Z$83)</f>
        <v>-1</v>
      </c>
      <c r="CO37" s="16">
        <f ca="1">(L37-'Airfoil 1'!$Z$84)/ABS(L37-'Airfoil 1'!$Z$84)</f>
        <v>-1</v>
      </c>
      <c r="CP37" s="16">
        <f ca="1">(L37-'Airfoil 1'!$Z$85)/ABS(L37-'Airfoil 1'!$Z$85)</f>
        <v>-1</v>
      </c>
      <c r="CQ37" s="16">
        <f ca="1">(L37-'Airfoil 1'!$Z$86)/ABS(L37-'Airfoil 1'!$Z$86)</f>
        <v>-1</v>
      </c>
      <c r="CR37" s="16">
        <f ca="1">(L37-'Airfoil 1'!$Z$87)/ABS(L37-'Airfoil 1'!$Z$87)</f>
        <v>-1</v>
      </c>
      <c r="CS37" s="16">
        <f ca="1">(L37-'Airfoil 1'!$Z$88)/ABS(L37-'Airfoil 1'!$Z$88)</f>
        <v>-1</v>
      </c>
      <c r="CT37" s="16">
        <f ca="1">(L37-'Airfoil 1'!$Z$89)/ABS(L37-'Airfoil 1'!$Z$89)</f>
        <v>-1</v>
      </c>
      <c r="CU37" s="16">
        <f ca="1">(L37-'Airfoil 1'!$Z$90)/ABS(L37-'Airfoil 1'!$Z$90)</f>
        <v>-1</v>
      </c>
      <c r="CV37" s="16">
        <f ca="1">(L37-'Airfoil 1'!$Z$91)/ABS(L37-'Airfoil 1'!$Z$91)</f>
        <v>-1</v>
      </c>
      <c r="CW37" s="5">
        <f t="shared" ca="1" si="10"/>
        <v>6</v>
      </c>
      <c r="CX37" s="42">
        <f ca="1">INDEX('Airfoil 1'!$AA$72:$AA$91,CW37,1)+INDEX('Airfoil 1'!$AB$72:$AB$91,CW37,1)*(L37-INDEX('Airfoil 1'!$Z$72:$Z$91,CW37,1))</f>
        <v>1.2282595048042355E-2</v>
      </c>
    </row>
    <row r="38" spans="2:102">
      <c r="B38" s="31">
        <f>Main!B38</f>
        <v>0.33333333333333326</v>
      </c>
      <c r="D38" s="1">
        <f>Turn!F38</f>
        <v>0.65969672852566186</v>
      </c>
      <c r="E38" s="4">
        <f>ISA!$R$10</f>
        <v>1.5987591530356481E-5</v>
      </c>
      <c r="G38" s="13">
        <f ca="1">Turn!X38</f>
        <v>21.913913889477552</v>
      </c>
      <c r="H38" s="5">
        <f t="shared" ca="1" si="0"/>
        <v>301411.61401394766</v>
      </c>
      <c r="I38" s="16">
        <f ca="1">'Airfoil 2'!$K$14*H38^'Airfoil 2'!$L$13</f>
        <v>1.579605663832558</v>
      </c>
      <c r="J38" s="1">
        <f ca="1">'Airfoil 2'!$K$33*H38^'Airfoil 2'!$L$32</f>
        <v>5.2929903038098889</v>
      </c>
      <c r="K38" s="13">
        <f ca="1">'Airfoil 2'!$K$52*H38^'Airfoil 2'!$L$51</f>
        <v>-8.2951266592083392</v>
      </c>
      <c r="L38" s="16">
        <f ca="1">'Aerodynamics-Turn'!W38</f>
        <v>1.0392304845413263</v>
      </c>
      <c r="M38" s="10">
        <f ca="1">('Airfoil 1'!$B$21+'Airfoil 1'!$B$22*L38+'Airfoil 1'!$B$23*L38^2+'Airfoil 1'!$B$24*L38^3+'Airfoil 1'!$B$25*L38^4+'Airfoil 1'!$B$26*L38^5+'Airfoil 1'!$B$27*L38^6)*0+BD38</f>
        <v>2.5062216230928001E-2</v>
      </c>
      <c r="N38" s="42">
        <f ca="1">('Airfoil 1'!$B$29+'Airfoil 1'!$B$30*L38+'Airfoil 1'!$B$31*L38^2+'Airfoil 1'!$B$32*L38^3+'Airfoil 1'!$B$33*L38^4+'Airfoil 1'!$B$34*L38^5+'Airfoil 1'!$B$35*L38^6)*0+CA38</f>
        <v>1.8769168637847108E-2</v>
      </c>
      <c r="O38" s="42">
        <f ca="1">('Airfoil 1'!$B$37+'Airfoil 1'!$B$38*L38+'Airfoil 1'!$B$39*L38^2+'Airfoil 1'!$B$40*L38^3+'Airfoil 1'!$B$41*L38^4+'Airfoil 1'!$B$42*L38^5+'Airfoil 1'!$B$43*L38^6)*0+CX38</f>
        <v>1.2282595048042355E-2</v>
      </c>
      <c r="P38" s="16">
        <f>LOG('Airfoil 1'!$F$10)+LOG('Airfoil 1'!$G$10)+LOG('Airfoil 1'!$H$10)</f>
        <v>15.176091259055681</v>
      </c>
      <c r="Q38" s="16">
        <f t="shared" ca="1" si="1"/>
        <v>-5.2382453573715591</v>
      </c>
      <c r="R38" s="16">
        <f>LOG('Airfoil 1'!$F$10)^2+LOG('Airfoil 1'!$G$10)^2+LOG('Airfoil 1'!$H$10)^2</f>
        <v>76.867141336751558</v>
      </c>
      <c r="S38" s="16">
        <f ca="1">LOG('Airfoil 1'!$F$10)*LOG(M38)+LOG('Airfoil 1'!$G$10)*LOG(N38)+LOG('Airfoil 1'!$H$10)*LOG(O38)</f>
        <v>-26.566383285240857</v>
      </c>
      <c r="T38" s="16">
        <f t="shared" ca="1" si="2"/>
        <v>66.780048933841258</v>
      </c>
      <c r="U38" s="16">
        <f t="shared" ca="1" si="3"/>
        <v>-0.70585932657973494</v>
      </c>
      <c r="V38" s="42">
        <f ca="1">IF(Energy!$F$11=1,Energy!$T$13,1)*T38*H38^U38</f>
        <v>9.9887042739214889E-3</v>
      </c>
      <c r="W38" s="10">
        <f ca="1">'Airfoil 1'!$B$48+'Airfoil 1'!$B$49*L38+'Airfoil 1'!$B$50*L38^2+'Airfoil 1'!$B$51*L38^3+'Airfoil 1'!$B$52*L38^4+'Airfoil 1'!$B$53*L38^5+'Airfoil 1'!$B$54*L38^6</f>
        <v>-0.155</v>
      </c>
      <c r="X38" s="42">
        <f ca="1">'Airfoil 1'!$B$56+'Airfoil 1'!$B$57*L38+'Airfoil 1'!$B$58*L38^2+'Airfoil 1'!$B$59*L38^3+'Airfoil 1'!$B$60*L38^4+'Airfoil 1'!$B$61*L38^5+'Airfoil 1'!$B$62*L38^6</f>
        <v>-0.155</v>
      </c>
      <c r="Y38" s="42">
        <f ca="1">'Airfoil 1'!$B$64+'Airfoil 1'!$B$65*L38+'Airfoil 1'!$B$66*L38^2+'Airfoil 1'!$B$67*L38^3+'Airfoil 1'!$B$681*L38^4+'Airfoil 1'!$B$69*L38^5+'Airfoil 1'!$B$70*L38^6</f>
        <v>-0.155</v>
      </c>
      <c r="Z38" s="16">
        <f>LOG('Airfoil 1'!$F$10)+LOG('Airfoil 1'!$G$10)+LOG('Airfoil 1'!$H$10)</f>
        <v>15.176091259055681</v>
      </c>
      <c r="AA38" s="16">
        <f t="shared" ca="1" si="4"/>
        <v>-2.4290049054891254</v>
      </c>
      <c r="AB38" s="16">
        <f>LOG('Airfoil 1'!$F$10)^2+LOG('Airfoil 1'!$G$10)^2+LOG('Airfoil 1'!$H$10)^2</f>
        <v>76.867141336751558</v>
      </c>
      <c r="AC38" s="16">
        <f ca="1">LOG('Airfoil 1'!$F$10)*LOG(ABS(W38))+LOG('Airfoil 1'!$G$10)*LOG(ABS(X38))+LOG('Airfoil 1'!$H$10)*LOG(ABS(Y38))</f>
        <v>-12.287600038132297</v>
      </c>
      <c r="AD38" s="16">
        <f t="shared" ca="1" si="5"/>
        <v>0.1550000000000121</v>
      </c>
      <c r="AE38" s="16">
        <f t="shared" ca="1" si="6"/>
        <v>-6.6718325633022456E-15</v>
      </c>
      <c r="AF38" s="42">
        <f t="shared" ca="1" si="7"/>
        <v>-0.15499999999999906</v>
      </c>
      <c r="AG38" s="16"/>
      <c r="AH38" s="42"/>
      <c r="AI38" s="16">
        <f ca="1">(L38-'Airfoil 1'!$Z$22)/ABS(L38-'Airfoil 1'!$Z$22)</f>
        <v>1</v>
      </c>
      <c r="AJ38" s="16">
        <f ca="1">(L38-'Airfoil 1'!$Z$23)/ABS(L38-'Airfoil 1'!$Z$23)</f>
        <v>1</v>
      </c>
      <c r="AK38" s="16">
        <f ca="1">(L38-'Airfoil 1'!$Z$24)/ABS(L38-'Airfoil 1'!$Z$24)</f>
        <v>1</v>
      </c>
      <c r="AL38" s="16">
        <f ca="1">(L38-'Airfoil 1'!$Z$25)/ABS(L38-'Airfoil 1'!$Z$25)</f>
        <v>1</v>
      </c>
      <c r="AM38" s="16">
        <f ca="1">(L38-'Airfoil 1'!$Z$26)/ABS(L38-'Airfoil 1'!$Z$26)</f>
        <v>1</v>
      </c>
      <c r="AN38" s="16">
        <f ca="1">(L38-'Airfoil 1'!$Z$27)/ABS(L38-'Airfoil 1'!$Z$27)</f>
        <v>1</v>
      </c>
      <c r="AO38" s="16">
        <f ca="1">(L38-'Airfoil 1'!$Z$28)/ABS(L38-'Airfoil 1'!$Z$28)</f>
        <v>1</v>
      </c>
      <c r="AP38" s="16">
        <f ca="1">(L38-'Airfoil 1'!$Z$29)/ABS(L38-'Airfoil 1'!$Z$29)</f>
        <v>1</v>
      </c>
      <c r="AQ38" s="16">
        <f ca="1">(L38-'Airfoil 1'!$Z$30)/ABS(L38-'Airfoil 1'!$Z$30)</f>
        <v>-1</v>
      </c>
      <c r="AR38" s="16">
        <f ca="1">(L38-'Airfoil 1'!$Z$31)/ABS(L38-'Airfoil 1'!$Z$31)</f>
        <v>-1</v>
      </c>
      <c r="AS38" s="16">
        <f ca="1">(L38-'Airfoil 1'!$Z$32)/ABS(L38-'Airfoil 1'!$Z$32)</f>
        <v>-1</v>
      </c>
      <c r="AT38" s="16">
        <f ca="1">(L38-'Airfoil 1'!$Z$33)/ABS(L38-'Airfoil 1'!$Z$33)</f>
        <v>-1</v>
      </c>
      <c r="AU38" s="16">
        <f ca="1">(L38-'Airfoil 1'!$Z$34)/ABS(L38-'Airfoil 1'!$Z$34)</f>
        <v>-1</v>
      </c>
      <c r="AV38" s="16">
        <f ca="1">(L38-'Airfoil 1'!$Z$35)/ABS(L38-'Airfoil 1'!$Z$35)</f>
        <v>-1</v>
      </c>
      <c r="AW38" s="16">
        <f ca="1">(L38-'Airfoil 1'!$Z$36)/ABS(L38-'Airfoil 1'!$Z$36)</f>
        <v>-1</v>
      </c>
      <c r="AX38" s="16">
        <f ca="1">(L38-'Airfoil 1'!$Z$37)/ABS(L38-'Airfoil 1'!$Z$37)</f>
        <v>-1</v>
      </c>
      <c r="AY38" s="16">
        <f ca="1">(L38-'Airfoil 1'!$Z$38)/ABS(L38-'Airfoil 1'!$Z$38)</f>
        <v>-1</v>
      </c>
      <c r="AZ38" s="16">
        <f ca="1">(L38-'Airfoil 1'!$Z$39)/ABS(L38-'Airfoil 1'!$Z$39)</f>
        <v>-1</v>
      </c>
      <c r="BA38" s="16">
        <f ca="1">(L38-'Airfoil 1'!$Z$40)/ABS(L38-'Airfoil 1'!$Z$40)</f>
        <v>-1</v>
      </c>
      <c r="BB38" s="16">
        <f ca="1">(L38-'Airfoil 1'!$Z$41)/ABS(L38-'Airfoil 1'!$Z$41)</f>
        <v>-1</v>
      </c>
      <c r="BC38" s="5">
        <f t="shared" ca="1" si="8"/>
        <v>8</v>
      </c>
      <c r="BD38" s="42">
        <f ca="1">INDEX('Airfoil 1'!$AA$22:$AA$41,BC38,1)+INDEX('Airfoil 1'!$AB$22:$AB$41,BC38,1)*(L38-INDEX('Airfoil 1'!$Z$22:$Z$41,BC38,1))</f>
        <v>2.5062216230928001E-2</v>
      </c>
      <c r="BE38" s="6"/>
      <c r="BF38" s="16">
        <f ca="1">(L38-'Airfoil 1'!$Z$47)/ABS(L38-'Airfoil 1'!$Z$47)</f>
        <v>1</v>
      </c>
      <c r="BG38" s="16">
        <f ca="1">(L38-'Airfoil 1'!$Z$48)/ABS(L38-'Airfoil 1'!$Z$48)</f>
        <v>1</v>
      </c>
      <c r="BH38" s="16">
        <f ca="1">(L38-'Airfoil 1'!$Z$49)/ABS(L38-'Airfoil 1'!$Z$49)</f>
        <v>1</v>
      </c>
      <c r="BI38" s="16">
        <f ca="1">(L38-'Airfoil 1'!$Z$50)/ABS(L38-'Airfoil 1'!$Z$50)</f>
        <v>1</v>
      </c>
      <c r="BJ38" s="16">
        <f ca="1">(L38-'Airfoil 1'!$Z$51)/ABS(L38-'Airfoil 1'!$Z$51)</f>
        <v>1</v>
      </c>
      <c r="BK38" s="16">
        <f ca="1">(L38-'Airfoil 1'!$Z$52)/ABS(L38-'Airfoil 1'!$Z$52)</f>
        <v>1</v>
      </c>
      <c r="BL38" s="16">
        <f ca="1">(L38-'Airfoil 1'!$Z$53)/ABS(L38-'Airfoil 1'!$Z$53)</f>
        <v>1</v>
      </c>
      <c r="BM38" s="16">
        <f ca="1">(L38-'Airfoil 1'!$Z$54)/ABS(L38-'Airfoil 1'!$Z$54)</f>
        <v>-1</v>
      </c>
      <c r="BN38" s="16">
        <f ca="1">(L38-'Airfoil 1'!$Z$55)/ABS(L38-'Airfoil 1'!$Z$55)</f>
        <v>-1</v>
      </c>
      <c r="BO38" s="16">
        <f ca="1">(L38-'Airfoil 1'!$Z$56)/ABS(L38-'Airfoil 1'!$Z$56)</f>
        <v>-1</v>
      </c>
      <c r="BP38" s="16">
        <f ca="1">(L38-'Airfoil 1'!$Z$57)/ABS(L38-'Airfoil 1'!$Z$57)</f>
        <v>-1</v>
      </c>
      <c r="BQ38" s="16">
        <f ca="1">(L38-'Airfoil 1'!$Z$58)/ABS(L38-'Airfoil 1'!$Z$58)</f>
        <v>-1</v>
      </c>
      <c r="BR38" s="16">
        <f ca="1">(L38-'Airfoil 1'!$Z$59)/ABS(L38-'Airfoil 1'!$Z$59)</f>
        <v>-1</v>
      </c>
      <c r="BS38" s="16">
        <f ca="1">(L38-'Airfoil 1'!$Z$60)/ABS(L38-'Airfoil 1'!$Z$60)</f>
        <v>-1</v>
      </c>
      <c r="BT38" s="16">
        <f ca="1">(L38-'Airfoil 1'!$Z$61)/ABS(L38-'Airfoil 1'!$Z$61)</f>
        <v>-1</v>
      </c>
      <c r="BU38" s="16">
        <f ca="1">(L38-'Airfoil 1'!$Z$62)/ABS(L38-'Airfoil 1'!$Z$62)</f>
        <v>-1</v>
      </c>
      <c r="BV38" s="16">
        <f ca="1">(L38-'Airfoil 1'!$Z$63)/ABS(L38-'Airfoil 1'!$Z$63)</f>
        <v>-1</v>
      </c>
      <c r="BW38" s="16">
        <f ca="1">(L38-'Airfoil 1'!$Z$64)/ABS(L38-'Airfoil 1'!$Z$64)</f>
        <v>-1</v>
      </c>
      <c r="BX38" s="16">
        <f ca="1">(L38-'Airfoil 1'!$Z$65)/ABS(L38-'Airfoil 1'!$Z$65)</f>
        <v>-1</v>
      </c>
      <c r="BY38" s="16">
        <f ca="1">(L38-'Airfoil 1'!$Z$66)/ABS(L38-'Airfoil 1'!$Z$66)</f>
        <v>-1</v>
      </c>
      <c r="BZ38" s="5">
        <f t="shared" ca="1" si="9"/>
        <v>7</v>
      </c>
      <c r="CA38" s="42">
        <f ca="1">INDEX('Airfoil 1'!$AA$47:$AA$66,BZ38,1)+INDEX('Airfoil 1'!$AB$47:$AB$66,BZ38,1)*(L38-INDEX('Airfoil 1'!$Z$47:$Z$66,BZ38,1))</f>
        <v>1.8769168637847108E-2</v>
      </c>
      <c r="CC38" s="16">
        <f ca="1">(L38-'Airfoil 1'!$Z$72)/ABS(L38-'Airfoil 1'!$Z$72)</f>
        <v>1</v>
      </c>
      <c r="CD38" s="16">
        <f ca="1">(L38-'Airfoil 1'!$Z$73)/ABS(L38-'Airfoil 1'!$Z$73)</f>
        <v>1</v>
      </c>
      <c r="CE38" s="16">
        <f ca="1">(L38-'Airfoil 1'!$Z$74)/ABS(L38-'Airfoil 1'!$Z$74)</f>
        <v>1</v>
      </c>
      <c r="CF38" s="16">
        <f ca="1">(L38-'Airfoil 1'!$Z$75)/ABS(L38-'Airfoil 1'!$Z$75)</f>
        <v>1</v>
      </c>
      <c r="CG38" s="16">
        <f ca="1">(L38-'Airfoil 1'!$Z$76)/ABS(L38-'Airfoil 1'!$Z$76)</f>
        <v>1</v>
      </c>
      <c r="CH38" s="16">
        <f ca="1">(L38-'Airfoil 1'!$Z$77)/ABS(L38-'Airfoil 1'!$Z$77)</f>
        <v>1</v>
      </c>
      <c r="CI38" s="16">
        <f ca="1">(L38-'Airfoil 1'!$Z$78)/ABS(L38-'Airfoil 1'!$Z$78)</f>
        <v>-1</v>
      </c>
      <c r="CJ38" s="16">
        <f ca="1">(L38-'Airfoil 1'!$Z$79)/ABS(L38-'Airfoil 1'!$Z$79)</f>
        <v>-1</v>
      </c>
      <c r="CK38" s="16">
        <f ca="1">(L38-'Airfoil 1'!$Z$80)/ABS(L38-'Airfoil 1'!$Z$80)</f>
        <v>-1</v>
      </c>
      <c r="CL38" s="16">
        <f ca="1">(L38-'Airfoil 1'!$Z$81)/ABS(L38-'Airfoil 1'!$Z$81)</f>
        <v>-1</v>
      </c>
      <c r="CM38" s="16">
        <f ca="1">(L38-'Airfoil 1'!$Z$82)/ABS(L38-'Airfoil 1'!$Z$82)</f>
        <v>-1</v>
      </c>
      <c r="CN38" s="16">
        <f ca="1">(L38-'Airfoil 1'!$Z$83)/ABS(L38-'Airfoil 1'!$Z$83)</f>
        <v>-1</v>
      </c>
      <c r="CO38" s="16">
        <f ca="1">(L38-'Airfoil 1'!$Z$84)/ABS(L38-'Airfoil 1'!$Z$84)</f>
        <v>-1</v>
      </c>
      <c r="CP38" s="16">
        <f ca="1">(L38-'Airfoil 1'!$Z$85)/ABS(L38-'Airfoil 1'!$Z$85)</f>
        <v>-1</v>
      </c>
      <c r="CQ38" s="16">
        <f ca="1">(L38-'Airfoil 1'!$Z$86)/ABS(L38-'Airfoil 1'!$Z$86)</f>
        <v>-1</v>
      </c>
      <c r="CR38" s="16">
        <f ca="1">(L38-'Airfoil 1'!$Z$87)/ABS(L38-'Airfoil 1'!$Z$87)</f>
        <v>-1</v>
      </c>
      <c r="CS38" s="16">
        <f ca="1">(L38-'Airfoil 1'!$Z$88)/ABS(L38-'Airfoil 1'!$Z$88)</f>
        <v>-1</v>
      </c>
      <c r="CT38" s="16">
        <f ca="1">(L38-'Airfoil 1'!$Z$89)/ABS(L38-'Airfoil 1'!$Z$89)</f>
        <v>-1</v>
      </c>
      <c r="CU38" s="16">
        <f ca="1">(L38-'Airfoil 1'!$Z$90)/ABS(L38-'Airfoil 1'!$Z$90)</f>
        <v>-1</v>
      </c>
      <c r="CV38" s="16">
        <f ca="1">(L38-'Airfoil 1'!$Z$91)/ABS(L38-'Airfoil 1'!$Z$91)</f>
        <v>-1</v>
      </c>
      <c r="CW38" s="5">
        <f t="shared" ca="1" si="10"/>
        <v>6</v>
      </c>
      <c r="CX38" s="42">
        <f ca="1">INDEX('Airfoil 1'!$AA$72:$AA$91,CW38,1)+INDEX('Airfoil 1'!$AB$72:$AB$91,CW38,1)*(L38-INDEX('Airfoil 1'!$Z$72:$Z$91,CW38,1))</f>
        <v>1.2282595048042355E-2</v>
      </c>
    </row>
    <row r="39" spans="2:102">
      <c r="B39" s="31">
        <f>Main!B39</f>
        <v>0.33333333333333326</v>
      </c>
      <c r="D39" s="1">
        <f>Turn!F39</f>
        <v>0.65969672852566186</v>
      </c>
      <c r="E39" s="4">
        <f>ISA!$R$10</f>
        <v>1.5987591530356481E-5</v>
      </c>
      <c r="G39" s="13">
        <f ca="1">Turn!X39</f>
        <v>21.626815672381081</v>
      </c>
      <c r="H39" s="5">
        <f t="shared" ca="1" si="0"/>
        <v>297462.76501180185</v>
      </c>
      <c r="I39" s="16">
        <f ca="1">'Airfoil 2'!$K$14*H39^'Airfoil 2'!$L$13</f>
        <v>1.5793161047337951</v>
      </c>
      <c r="J39" s="1">
        <f ca="1">'Airfoil 2'!$K$33*H39^'Airfoil 2'!$L$32</f>
        <v>5.3165202356346235</v>
      </c>
      <c r="K39" s="13">
        <f ca="1">'Airfoil 2'!$K$52*H39^'Airfoil 2'!$L$51</f>
        <v>-8.2222909309134753</v>
      </c>
      <c r="L39" s="16">
        <f ca="1">'Aerodynamics-Turn'!W39</f>
        <v>1.0392304845413263</v>
      </c>
      <c r="M39" s="10">
        <f ca="1">('Airfoil 1'!$B$21+'Airfoil 1'!$B$22*L39+'Airfoil 1'!$B$23*L39^2+'Airfoil 1'!$B$24*L39^3+'Airfoil 1'!$B$25*L39^4+'Airfoil 1'!$B$26*L39^5+'Airfoil 1'!$B$27*L39^6)*0+BD39</f>
        <v>2.5062216230928001E-2</v>
      </c>
      <c r="N39" s="42">
        <f ca="1">('Airfoil 1'!$B$29+'Airfoil 1'!$B$30*L39+'Airfoil 1'!$B$31*L39^2+'Airfoil 1'!$B$32*L39^3+'Airfoil 1'!$B$33*L39^4+'Airfoil 1'!$B$34*L39^5+'Airfoil 1'!$B$35*L39^6)*0+CA39</f>
        <v>1.8769168637847108E-2</v>
      </c>
      <c r="O39" s="42">
        <f ca="1">('Airfoil 1'!$B$37+'Airfoil 1'!$B$38*L39+'Airfoil 1'!$B$39*L39^2+'Airfoil 1'!$B$40*L39^3+'Airfoil 1'!$B$41*L39^4+'Airfoil 1'!$B$42*L39^5+'Airfoil 1'!$B$43*L39^6)*0+CX39</f>
        <v>1.2282595048042355E-2</v>
      </c>
      <c r="P39" s="16">
        <f>LOG('Airfoil 1'!$F$10)+LOG('Airfoil 1'!$G$10)+LOG('Airfoil 1'!$H$10)</f>
        <v>15.176091259055681</v>
      </c>
      <c r="Q39" s="16">
        <f t="shared" ca="1" si="1"/>
        <v>-5.2382453573715591</v>
      </c>
      <c r="R39" s="16">
        <f>LOG('Airfoil 1'!$F$10)^2+LOG('Airfoil 1'!$G$10)^2+LOG('Airfoil 1'!$H$10)^2</f>
        <v>76.867141336751558</v>
      </c>
      <c r="S39" s="16">
        <f ca="1">LOG('Airfoil 1'!$F$10)*LOG(M39)+LOG('Airfoil 1'!$G$10)*LOG(N39)+LOG('Airfoil 1'!$H$10)*LOG(O39)</f>
        <v>-26.566383285240857</v>
      </c>
      <c r="T39" s="16">
        <f t="shared" ca="1" si="2"/>
        <v>66.780048933841258</v>
      </c>
      <c r="U39" s="16">
        <f t="shared" ca="1" si="3"/>
        <v>-0.70585932657973494</v>
      </c>
      <c r="V39" s="42">
        <f ca="1">IF(Energy!$F$11=1,Energy!$T$13,1)*T39*H39^U39</f>
        <v>1.0082120286174853E-2</v>
      </c>
      <c r="W39" s="10">
        <f ca="1">'Airfoil 1'!$B$48+'Airfoil 1'!$B$49*L39+'Airfoil 1'!$B$50*L39^2+'Airfoil 1'!$B$51*L39^3+'Airfoil 1'!$B$52*L39^4+'Airfoil 1'!$B$53*L39^5+'Airfoil 1'!$B$54*L39^6</f>
        <v>-0.155</v>
      </c>
      <c r="X39" s="42">
        <f ca="1">'Airfoil 1'!$B$56+'Airfoil 1'!$B$57*L39+'Airfoil 1'!$B$58*L39^2+'Airfoil 1'!$B$59*L39^3+'Airfoil 1'!$B$60*L39^4+'Airfoil 1'!$B$61*L39^5+'Airfoil 1'!$B$62*L39^6</f>
        <v>-0.155</v>
      </c>
      <c r="Y39" s="42">
        <f ca="1">'Airfoil 1'!$B$64+'Airfoil 1'!$B$65*L39+'Airfoil 1'!$B$66*L39^2+'Airfoil 1'!$B$67*L39^3+'Airfoil 1'!$B$681*L39^4+'Airfoil 1'!$B$69*L39^5+'Airfoil 1'!$B$70*L39^6</f>
        <v>-0.155</v>
      </c>
      <c r="Z39" s="16">
        <f>LOG('Airfoil 1'!$F$10)+LOG('Airfoil 1'!$G$10)+LOG('Airfoil 1'!$H$10)</f>
        <v>15.176091259055681</v>
      </c>
      <c r="AA39" s="16">
        <f t="shared" ca="1" si="4"/>
        <v>-2.4290049054891254</v>
      </c>
      <c r="AB39" s="16">
        <f>LOG('Airfoil 1'!$F$10)^2+LOG('Airfoil 1'!$G$10)^2+LOG('Airfoil 1'!$H$10)^2</f>
        <v>76.867141336751558</v>
      </c>
      <c r="AC39" s="16">
        <f ca="1">LOG('Airfoil 1'!$F$10)*LOG(ABS(W39))+LOG('Airfoil 1'!$G$10)*LOG(ABS(X39))+LOG('Airfoil 1'!$H$10)*LOG(ABS(Y39))</f>
        <v>-12.287600038132297</v>
      </c>
      <c r="AD39" s="16">
        <f t="shared" ca="1" si="5"/>
        <v>0.1550000000000121</v>
      </c>
      <c r="AE39" s="16">
        <f t="shared" ca="1" si="6"/>
        <v>-6.6718325633022456E-15</v>
      </c>
      <c r="AF39" s="42">
        <f t="shared" ca="1" si="7"/>
        <v>-0.15499999999999906</v>
      </c>
      <c r="AG39" s="16"/>
      <c r="AH39" s="42"/>
      <c r="AI39" s="16">
        <f ca="1">(L39-'Airfoil 1'!$Z$22)/ABS(L39-'Airfoil 1'!$Z$22)</f>
        <v>1</v>
      </c>
      <c r="AJ39" s="16">
        <f ca="1">(L39-'Airfoil 1'!$Z$23)/ABS(L39-'Airfoil 1'!$Z$23)</f>
        <v>1</v>
      </c>
      <c r="AK39" s="16">
        <f ca="1">(L39-'Airfoil 1'!$Z$24)/ABS(L39-'Airfoil 1'!$Z$24)</f>
        <v>1</v>
      </c>
      <c r="AL39" s="16">
        <f ca="1">(L39-'Airfoil 1'!$Z$25)/ABS(L39-'Airfoil 1'!$Z$25)</f>
        <v>1</v>
      </c>
      <c r="AM39" s="16">
        <f ca="1">(L39-'Airfoil 1'!$Z$26)/ABS(L39-'Airfoil 1'!$Z$26)</f>
        <v>1</v>
      </c>
      <c r="AN39" s="16">
        <f ca="1">(L39-'Airfoil 1'!$Z$27)/ABS(L39-'Airfoil 1'!$Z$27)</f>
        <v>1</v>
      </c>
      <c r="AO39" s="16">
        <f ca="1">(L39-'Airfoil 1'!$Z$28)/ABS(L39-'Airfoil 1'!$Z$28)</f>
        <v>1</v>
      </c>
      <c r="AP39" s="16">
        <f ca="1">(L39-'Airfoil 1'!$Z$29)/ABS(L39-'Airfoil 1'!$Z$29)</f>
        <v>1</v>
      </c>
      <c r="AQ39" s="16">
        <f ca="1">(L39-'Airfoil 1'!$Z$30)/ABS(L39-'Airfoil 1'!$Z$30)</f>
        <v>-1</v>
      </c>
      <c r="AR39" s="16">
        <f ca="1">(L39-'Airfoil 1'!$Z$31)/ABS(L39-'Airfoil 1'!$Z$31)</f>
        <v>-1</v>
      </c>
      <c r="AS39" s="16">
        <f ca="1">(L39-'Airfoil 1'!$Z$32)/ABS(L39-'Airfoil 1'!$Z$32)</f>
        <v>-1</v>
      </c>
      <c r="AT39" s="16">
        <f ca="1">(L39-'Airfoil 1'!$Z$33)/ABS(L39-'Airfoil 1'!$Z$33)</f>
        <v>-1</v>
      </c>
      <c r="AU39" s="16">
        <f ca="1">(L39-'Airfoil 1'!$Z$34)/ABS(L39-'Airfoil 1'!$Z$34)</f>
        <v>-1</v>
      </c>
      <c r="AV39" s="16">
        <f ca="1">(L39-'Airfoil 1'!$Z$35)/ABS(L39-'Airfoil 1'!$Z$35)</f>
        <v>-1</v>
      </c>
      <c r="AW39" s="16">
        <f ca="1">(L39-'Airfoil 1'!$Z$36)/ABS(L39-'Airfoil 1'!$Z$36)</f>
        <v>-1</v>
      </c>
      <c r="AX39" s="16">
        <f ca="1">(L39-'Airfoil 1'!$Z$37)/ABS(L39-'Airfoil 1'!$Z$37)</f>
        <v>-1</v>
      </c>
      <c r="AY39" s="16">
        <f ca="1">(L39-'Airfoil 1'!$Z$38)/ABS(L39-'Airfoil 1'!$Z$38)</f>
        <v>-1</v>
      </c>
      <c r="AZ39" s="16">
        <f ca="1">(L39-'Airfoil 1'!$Z$39)/ABS(L39-'Airfoil 1'!$Z$39)</f>
        <v>-1</v>
      </c>
      <c r="BA39" s="16">
        <f ca="1">(L39-'Airfoil 1'!$Z$40)/ABS(L39-'Airfoil 1'!$Z$40)</f>
        <v>-1</v>
      </c>
      <c r="BB39" s="16">
        <f ca="1">(L39-'Airfoil 1'!$Z$41)/ABS(L39-'Airfoil 1'!$Z$41)</f>
        <v>-1</v>
      </c>
      <c r="BC39" s="5">
        <f t="shared" ca="1" si="8"/>
        <v>8</v>
      </c>
      <c r="BD39" s="42">
        <f ca="1">INDEX('Airfoil 1'!$AA$22:$AA$41,BC39,1)+INDEX('Airfoil 1'!$AB$22:$AB$41,BC39,1)*(L39-INDEX('Airfoil 1'!$Z$22:$Z$41,BC39,1))</f>
        <v>2.5062216230928001E-2</v>
      </c>
      <c r="BE39" s="6"/>
      <c r="BF39" s="16">
        <f ca="1">(L39-'Airfoil 1'!$Z$47)/ABS(L39-'Airfoil 1'!$Z$47)</f>
        <v>1</v>
      </c>
      <c r="BG39" s="16">
        <f ca="1">(L39-'Airfoil 1'!$Z$48)/ABS(L39-'Airfoil 1'!$Z$48)</f>
        <v>1</v>
      </c>
      <c r="BH39" s="16">
        <f ca="1">(L39-'Airfoil 1'!$Z$49)/ABS(L39-'Airfoil 1'!$Z$49)</f>
        <v>1</v>
      </c>
      <c r="BI39" s="16">
        <f ca="1">(L39-'Airfoil 1'!$Z$50)/ABS(L39-'Airfoil 1'!$Z$50)</f>
        <v>1</v>
      </c>
      <c r="BJ39" s="16">
        <f ca="1">(L39-'Airfoil 1'!$Z$51)/ABS(L39-'Airfoil 1'!$Z$51)</f>
        <v>1</v>
      </c>
      <c r="BK39" s="16">
        <f ca="1">(L39-'Airfoil 1'!$Z$52)/ABS(L39-'Airfoil 1'!$Z$52)</f>
        <v>1</v>
      </c>
      <c r="BL39" s="16">
        <f ca="1">(L39-'Airfoil 1'!$Z$53)/ABS(L39-'Airfoil 1'!$Z$53)</f>
        <v>1</v>
      </c>
      <c r="BM39" s="16">
        <f ca="1">(L39-'Airfoil 1'!$Z$54)/ABS(L39-'Airfoil 1'!$Z$54)</f>
        <v>-1</v>
      </c>
      <c r="BN39" s="16">
        <f ca="1">(L39-'Airfoil 1'!$Z$55)/ABS(L39-'Airfoil 1'!$Z$55)</f>
        <v>-1</v>
      </c>
      <c r="BO39" s="16">
        <f ca="1">(L39-'Airfoil 1'!$Z$56)/ABS(L39-'Airfoil 1'!$Z$56)</f>
        <v>-1</v>
      </c>
      <c r="BP39" s="16">
        <f ca="1">(L39-'Airfoil 1'!$Z$57)/ABS(L39-'Airfoil 1'!$Z$57)</f>
        <v>-1</v>
      </c>
      <c r="BQ39" s="16">
        <f ca="1">(L39-'Airfoil 1'!$Z$58)/ABS(L39-'Airfoil 1'!$Z$58)</f>
        <v>-1</v>
      </c>
      <c r="BR39" s="16">
        <f ca="1">(L39-'Airfoil 1'!$Z$59)/ABS(L39-'Airfoil 1'!$Z$59)</f>
        <v>-1</v>
      </c>
      <c r="BS39" s="16">
        <f ca="1">(L39-'Airfoil 1'!$Z$60)/ABS(L39-'Airfoil 1'!$Z$60)</f>
        <v>-1</v>
      </c>
      <c r="BT39" s="16">
        <f ca="1">(L39-'Airfoil 1'!$Z$61)/ABS(L39-'Airfoil 1'!$Z$61)</f>
        <v>-1</v>
      </c>
      <c r="BU39" s="16">
        <f ca="1">(L39-'Airfoil 1'!$Z$62)/ABS(L39-'Airfoil 1'!$Z$62)</f>
        <v>-1</v>
      </c>
      <c r="BV39" s="16">
        <f ca="1">(L39-'Airfoil 1'!$Z$63)/ABS(L39-'Airfoil 1'!$Z$63)</f>
        <v>-1</v>
      </c>
      <c r="BW39" s="16">
        <f ca="1">(L39-'Airfoil 1'!$Z$64)/ABS(L39-'Airfoil 1'!$Z$64)</f>
        <v>-1</v>
      </c>
      <c r="BX39" s="16">
        <f ca="1">(L39-'Airfoil 1'!$Z$65)/ABS(L39-'Airfoil 1'!$Z$65)</f>
        <v>-1</v>
      </c>
      <c r="BY39" s="16">
        <f ca="1">(L39-'Airfoil 1'!$Z$66)/ABS(L39-'Airfoil 1'!$Z$66)</f>
        <v>-1</v>
      </c>
      <c r="BZ39" s="5">
        <f t="shared" ca="1" si="9"/>
        <v>7</v>
      </c>
      <c r="CA39" s="42">
        <f ca="1">INDEX('Airfoil 1'!$AA$47:$AA$66,BZ39,1)+INDEX('Airfoil 1'!$AB$47:$AB$66,BZ39,1)*(L39-INDEX('Airfoil 1'!$Z$47:$Z$66,BZ39,1))</f>
        <v>1.8769168637847108E-2</v>
      </c>
      <c r="CC39" s="16">
        <f ca="1">(L39-'Airfoil 1'!$Z$72)/ABS(L39-'Airfoil 1'!$Z$72)</f>
        <v>1</v>
      </c>
      <c r="CD39" s="16">
        <f ca="1">(L39-'Airfoil 1'!$Z$73)/ABS(L39-'Airfoil 1'!$Z$73)</f>
        <v>1</v>
      </c>
      <c r="CE39" s="16">
        <f ca="1">(L39-'Airfoil 1'!$Z$74)/ABS(L39-'Airfoil 1'!$Z$74)</f>
        <v>1</v>
      </c>
      <c r="CF39" s="16">
        <f ca="1">(L39-'Airfoil 1'!$Z$75)/ABS(L39-'Airfoil 1'!$Z$75)</f>
        <v>1</v>
      </c>
      <c r="CG39" s="16">
        <f ca="1">(L39-'Airfoil 1'!$Z$76)/ABS(L39-'Airfoil 1'!$Z$76)</f>
        <v>1</v>
      </c>
      <c r="CH39" s="16">
        <f ca="1">(L39-'Airfoil 1'!$Z$77)/ABS(L39-'Airfoil 1'!$Z$77)</f>
        <v>1</v>
      </c>
      <c r="CI39" s="16">
        <f ca="1">(L39-'Airfoil 1'!$Z$78)/ABS(L39-'Airfoil 1'!$Z$78)</f>
        <v>-1</v>
      </c>
      <c r="CJ39" s="16">
        <f ca="1">(L39-'Airfoil 1'!$Z$79)/ABS(L39-'Airfoil 1'!$Z$79)</f>
        <v>-1</v>
      </c>
      <c r="CK39" s="16">
        <f ca="1">(L39-'Airfoil 1'!$Z$80)/ABS(L39-'Airfoil 1'!$Z$80)</f>
        <v>-1</v>
      </c>
      <c r="CL39" s="16">
        <f ca="1">(L39-'Airfoil 1'!$Z$81)/ABS(L39-'Airfoil 1'!$Z$81)</f>
        <v>-1</v>
      </c>
      <c r="CM39" s="16">
        <f ca="1">(L39-'Airfoil 1'!$Z$82)/ABS(L39-'Airfoil 1'!$Z$82)</f>
        <v>-1</v>
      </c>
      <c r="CN39" s="16">
        <f ca="1">(L39-'Airfoil 1'!$Z$83)/ABS(L39-'Airfoil 1'!$Z$83)</f>
        <v>-1</v>
      </c>
      <c r="CO39" s="16">
        <f ca="1">(L39-'Airfoil 1'!$Z$84)/ABS(L39-'Airfoil 1'!$Z$84)</f>
        <v>-1</v>
      </c>
      <c r="CP39" s="16">
        <f ca="1">(L39-'Airfoil 1'!$Z$85)/ABS(L39-'Airfoil 1'!$Z$85)</f>
        <v>-1</v>
      </c>
      <c r="CQ39" s="16">
        <f ca="1">(L39-'Airfoil 1'!$Z$86)/ABS(L39-'Airfoil 1'!$Z$86)</f>
        <v>-1</v>
      </c>
      <c r="CR39" s="16">
        <f ca="1">(L39-'Airfoil 1'!$Z$87)/ABS(L39-'Airfoil 1'!$Z$87)</f>
        <v>-1</v>
      </c>
      <c r="CS39" s="16">
        <f ca="1">(L39-'Airfoil 1'!$Z$88)/ABS(L39-'Airfoil 1'!$Z$88)</f>
        <v>-1</v>
      </c>
      <c r="CT39" s="16">
        <f ca="1">(L39-'Airfoil 1'!$Z$89)/ABS(L39-'Airfoil 1'!$Z$89)</f>
        <v>-1</v>
      </c>
      <c r="CU39" s="16">
        <f ca="1">(L39-'Airfoil 1'!$Z$90)/ABS(L39-'Airfoil 1'!$Z$90)</f>
        <v>-1</v>
      </c>
      <c r="CV39" s="16">
        <f ca="1">(L39-'Airfoil 1'!$Z$91)/ABS(L39-'Airfoil 1'!$Z$91)</f>
        <v>-1</v>
      </c>
      <c r="CW39" s="5">
        <f t="shared" ca="1" si="10"/>
        <v>6</v>
      </c>
      <c r="CX39" s="42">
        <f ca="1">INDEX('Airfoil 1'!$AA$72:$AA$91,CW39,1)+INDEX('Airfoil 1'!$AB$72:$AB$91,CW39,1)*(L39-INDEX('Airfoil 1'!$Z$72:$Z$91,CW39,1))</f>
        <v>1.2282595048042355E-2</v>
      </c>
    </row>
    <row r="40" spans="2:102">
      <c r="B40" s="31">
        <f>Main!B40</f>
        <v>0.33333333333333326</v>
      </c>
      <c r="D40" s="1">
        <f>Turn!F40</f>
        <v>0.65969672852566186</v>
      </c>
      <c r="E40" s="4">
        <f>ISA!$R$10</f>
        <v>1.5987591530356481E-5</v>
      </c>
      <c r="G40" s="13">
        <f ca="1">Turn!X40</f>
        <v>19.431650494678902</v>
      </c>
      <c r="H40" s="5">
        <f t="shared" ca="1" si="0"/>
        <v>267269.69760378695</v>
      </c>
      <c r="I40" s="16">
        <f ca="1">'Airfoil 2'!$K$14*H40^'Airfoil 2'!$L$13</f>
        <v>1.5769680291674149</v>
      </c>
      <c r="J40" s="1">
        <f ca="1">'Airfoil 2'!$K$33*H40^'Airfoil 2'!$L$32</f>
        <v>5.5113977821917333</v>
      </c>
      <c r="K40" s="13">
        <f ca="1">'Airfoil 2'!$K$52*H40^'Airfoil 2'!$L$51</f>
        <v>-7.6543336665765676</v>
      </c>
      <c r="L40" s="16">
        <f ca="1">'Aerodynamics-Turn'!W40</f>
        <v>1.0392304845413263</v>
      </c>
      <c r="M40" s="10">
        <f ca="1">('Airfoil 1'!$B$21+'Airfoil 1'!$B$22*L40+'Airfoil 1'!$B$23*L40^2+'Airfoil 1'!$B$24*L40^3+'Airfoil 1'!$B$25*L40^4+'Airfoil 1'!$B$26*L40^5+'Airfoil 1'!$B$27*L40^6)*0+BD40</f>
        <v>2.5062216230928001E-2</v>
      </c>
      <c r="N40" s="42">
        <f ca="1">('Airfoil 1'!$B$29+'Airfoil 1'!$B$30*L40+'Airfoil 1'!$B$31*L40^2+'Airfoil 1'!$B$32*L40^3+'Airfoil 1'!$B$33*L40^4+'Airfoil 1'!$B$34*L40^5+'Airfoil 1'!$B$35*L40^6)*0+CA40</f>
        <v>1.8769168637847108E-2</v>
      </c>
      <c r="O40" s="42">
        <f ca="1">('Airfoil 1'!$B$37+'Airfoil 1'!$B$38*L40+'Airfoil 1'!$B$39*L40^2+'Airfoil 1'!$B$40*L40^3+'Airfoil 1'!$B$41*L40^4+'Airfoil 1'!$B$42*L40^5+'Airfoil 1'!$B$43*L40^6)*0+CX40</f>
        <v>1.2282595048042355E-2</v>
      </c>
      <c r="P40" s="16">
        <f>LOG('Airfoil 1'!$F$10)+LOG('Airfoil 1'!$G$10)+LOG('Airfoil 1'!$H$10)</f>
        <v>15.176091259055681</v>
      </c>
      <c r="Q40" s="16">
        <f t="shared" ca="1" si="1"/>
        <v>-5.2382453573715591</v>
      </c>
      <c r="R40" s="16">
        <f>LOG('Airfoil 1'!$F$10)^2+LOG('Airfoil 1'!$G$10)^2+LOG('Airfoil 1'!$H$10)^2</f>
        <v>76.867141336751558</v>
      </c>
      <c r="S40" s="16">
        <f ca="1">LOG('Airfoil 1'!$F$10)*LOG(M40)+LOG('Airfoil 1'!$G$10)*LOG(N40)+LOG('Airfoil 1'!$H$10)*LOG(O40)</f>
        <v>-26.566383285240857</v>
      </c>
      <c r="T40" s="16">
        <f t="shared" ca="1" si="2"/>
        <v>66.780048933841258</v>
      </c>
      <c r="U40" s="16">
        <f t="shared" ca="1" si="3"/>
        <v>-0.70585932657973494</v>
      </c>
      <c r="V40" s="42">
        <f ca="1">IF(Energy!$F$11=1,Energy!$T$13,1)*T40*H40^U40</f>
        <v>1.0873322135778176E-2</v>
      </c>
      <c r="W40" s="10">
        <f ca="1">'Airfoil 1'!$B$48+'Airfoil 1'!$B$49*L40+'Airfoil 1'!$B$50*L40^2+'Airfoil 1'!$B$51*L40^3+'Airfoil 1'!$B$52*L40^4+'Airfoil 1'!$B$53*L40^5+'Airfoil 1'!$B$54*L40^6</f>
        <v>-0.155</v>
      </c>
      <c r="X40" s="42">
        <f ca="1">'Airfoil 1'!$B$56+'Airfoil 1'!$B$57*L40+'Airfoil 1'!$B$58*L40^2+'Airfoil 1'!$B$59*L40^3+'Airfoil 1'!$B$60*L40^4+'Airfoil 1'!$B$61*L40^5+'Airfoil 1'!$B$62*L40^6</f>
        <v>-0.155</v>
      </c>
      <c r="Y40" s="42">
        <f ca="1">'Airfoil 1'!$B$64+'Airfoil 1'!$B$65*L40+'Airfoil 1'!$B$66*L40^2+'Airfoil 1'!$B$67*L40^3+'Airfoil 1'!$B$681*L40^4+'Airfoil 1'!$B$69*L40^5+'Airfoil 1'!$B$70*L40^6</f>
        <v>-0.155</v>
      </c>
      <c r="Z40" s="16">
        <f>LOG('Airfoil 1'!$F$10)+LOG('Airfoil 1'!$G$10)+LOG('Airfoil 1'!$H$10)</f>
        <v>15.176091259055681</v>
      </c>
      <c r="AA40" s="16">
        <f t="shared" ca="1" si="4"/>
        <v>-2.4290049054891254</v>
      </c>
      <c r="AB40" s="16">
        <f>LOG('Airfoil 1'!$F$10)^2+LOG('Airfoil 1'!$G$10)^2+LOG('Airfoil 1'!$H$10)^2</f>
        <v>76.867141336751558</v>
      </c>
      <c r="AC40" s="16">
        <f ca="1">LOG('Airfoil 1'!$F$10)*LOG(ABS(W40))+LOG('Airfoil 1'!$G$10)*LOG(ABS(X40))+LOG('Airfoil 1'!$H$10)*LOG(ABS(Y40))</f>
        <v>-12.287600038132297</v>
      </c>
      <c r="AD40" s="16">
        <f t="shared" ca="1" si="5"/>
        <v>0.1550000000000121</v>
      </c>
      <c r="AE40" s="16">
        <f t="shared" ca="1" si="6"/>
        <v>-6.6718325633022456E-15</v>
      </c>
      <c r="AF40" s="42">
        <f t="shared" ca="1" si="7"/>
        <v>-0.15499999999999919</v>
      </c>
      <c r="AG40" s="16"/>
      <c r="AH40" s="42"/>
      <c r="AI40" s="16">
        <f ca="1">(L40-'Airfoil 1'!$Z$22)/ABS(L40-'Airfoil 1'!$Z$22)</f>
        <v>1</v>
      </c>
      <c r="AJ40" s="16">
        <f ca="1">(L40-'Airfoil 1'!$Z$23)/ABS(L40-'Airfoil 1'!$Z$23)</f>
        <v>1</v>
      </c>
      <c r="AK40" s="16">
        <f ca="1">(L40-'Airfoil 1'!$Z$24)/ABS(L40-'Airfoil 1'!$Z$24)</f>
        <v>1</v>
      </c>
      <c r="AL40" s="16">
        <f ca="1">(L40-'Airfoil 1'!$Z$25)/ABS(L40-'Airfoil 1'!$Z$25)</f>
        <v>1</v>
      </c>
      <c r="AM40" s="16">
        <f ca="1">(L40-'Airfoil 1'!$Z$26)/ABS(L40-'Airfoil 1'!$Z$26)</f>
        <v>1</v>
      </c>
      <c r="AN40" s="16">
        <f ca="1">(L40-'Airfoil 1'!$Z$27)/ABS(L40-'Airfoil 1'!$Z$27)</f>
        <v>1</v>
      </c>
      <c r="AO40" s="16">
        <f ca="1">(L40-'Airfoil 1'!$Z$28)/ABS(L40-'Airfoil 1'!$Z$28)</f>
        <v>1</v>
      </c>
      <c r="AP40" s="16">
        <f ca="1">(L40-'Airfoil 1'!$Z$29)/ABS(L40-'Airfoil 1'!$Z$29)</f>
        <v>1</v>
      </c>
      <c r="AQ40" s="16">
        <f ca="1">(L40-'Airfoil 1'!$Z$30)/ABS(L40-'Airfoil 1'!$Z$30)</f>
        <v>-1</v>
      </c>
      <c r="AR40" s="16">
        <f ca="1">(L40-'Airfoil 1'!$Z$31)/ABS(L40-'Airfoil 1'!$Z$31)</f>
        <v>-1</v>
      </c>
      <c r="AS40" s="16">
        <f ca="1">(L40-'Airfoil 1'!$Z$32)/ABS(L40-'Airfoil 1'!$Z$32)</f>
        <v>-1</v>
      </c>
      <c r="AT40" s="16">
        <f ca="1">(L40-'Airfoil 1'!$Z$33)/ABS(L40-'Airfoil 1'!$Z$33)</f>
        <v>-1</v>
      </c>
      <c r="AU40" s="16">
        <f ca="1">(L40-'Airfoil 1'!$Z$34)/ABS(L40-'Airfoil 1'!$Z$34)</f>
        <v>-1</v>
      </c>
      <c r="AV40" s="16">
        <f ca="1">(L40-'Airfoil 1'!$Z$35)/ABS(L40-'Airfoil 1'!$Z$35)</f>
        <v>-1</v>
      </c>
      <c r="AW40" s="16">
        <f ca="1">(L40-'Airfoil 1'!$Z$36)/ABS(L40-'Airfoil 1'!$Z$36)</f>
        <v>-1</v>
      </c>
      <c r="AX40" s="16">
        <f ca="1">(L40-'Airfoil 1'!$Z$37)/ABS(L40-'Airfoil 1'!$Z$37)</f>
        <v>-1</v>
      </c>
      <c r="AY40" s="16">
        <f ca="1">(L40-'Airfoil 1'!$Z$38)/ABS(L40-'Airfoil 1'!$Z$38)</f>
        <v>-1</v>
      </c>
      <c r="AZ40" s="16">
        <f ca="1">(L40-'Airfoil 1'!$Z$39)/ABS(L40-'Airfoil 1'!$Z$39)</f>
        <v>-1</v>
      </c>
      <c r="BA40" s="16">
        <f ca="1">(L40-'Airfoil 1'!$Z$40)/ABS(L40-'Airfoil 1'!$Z$40)</f>
        <v>-1</v>
      </c>
      <c r="BB40" s="16">
        <f ca="1">(L40-'Airfoil 1'!$Z$41)/ABS(L40-'Airfoil 1'!$Z$41)</f>
        <v>-1</v>
      </c>
      <c r="BC40" s="5">
        <f t="shared" ca="1" si="8"/>
        <v>8</v>
      </c>
      <c r="BD40" s="42">
        <f ca="1">INDEX('Airfoil 1'!$AA$22:$AA$41,BC40,1)+INDEX('Airfoil 1'!$AB$22:$AB$41,BC40,1)*(L40-INDEX('Airfoil 1'!$Z$22:$Z$41,BC40,1))</f>
        <v>2.5062216230928001E-2</v>
      </c>
      <c r="BE40" s="6"/>
      <c r="BF40" s="16">
        <f ca="1">(L40-'Airfoil 1'!$Z$47)/ABS(L40-'Airfoil 1'!$Z$47)</f>
        <v>1</v>
      </c>
      <c r="BG40" s="16">
        <f ca="1">(L40-'Airfoil 1'!$Z$48)/ABS(L40-'Airfoil 1'!$Z$48)</f>
        <v>1</v>
      </c>
      <c r="BH40" s="16">
        <f ca="1">(L40-'Airfoil 1'!$Z$49)/ABS(L40-'Airfoil 1'!$Z$49)</f>
        <v>1</v>
      </c>
      <c r="BI40" s="16">
        <f ca="1">(L40-'Airfoil 1'!$Z$50)/ABS(L40-'Airfoil 1'!$Z$50)</f>
        <v>1</v>
      </c>
      <c r="BJ40" s="16">
        <f ca="1">(L40-'Airfoil 1'!$Z$51)/ABS(L40-'Airfoil 1'!$Z$51)</f>
        <v>1</v>
      </c>
      <c r="BK40" s="16">
        <f ca="1">(L40-'Airfoil 1'!$Z$52)/ABS(L40-'Airfoil 1'!$Z$52)</f>
        <v>1</v>
      </c>
      <c r="BL40" s="16">
        <f ca="1">(L40-'Airfoil 1'!$Z$53)/ABS(L40-'Airfoil 1'!$Z$53)</f>
        <v>1</v>
      </c>
      <c r="BM40" s="16">
        <f ca="1">(L40-'Airfoil 1'!$Z$54)/ABS(L40-'Airfoil 1'!$Z$54)</f>
        <v>-1</v>
      </c>
      <c r="BN40" s="16">
        <f ca="1">(L40-'Airfoil 1'!$Z$55)/ABS(L40-'Airfoil 1'!$Z$55)</f>
        <v>-1</v>
      </c>
      <c r="BO40" s="16">
        <f ca="1">(L40-'Airfoil 1'!$Z$56)/ABS(L40-'Airfoil 1'!$Z$56)</f>
        <v>-1</v>
      </c>
      <c r="BP40" s="16">
        <f ca="1">(L40-'Airfoil 1'!$Z$57)/ABS(L40-'Airfoil 1'!$Z$57)</f>
        <v>-1</v>
      </c>
      <c r="BQ40" s="16">
        <f ca="1">(L40-'Airfoil 1'!$Z$58)/ABS(L40-'Airfoil 1'!$Z$58)</f>
        <v>-1</v>
      </c>
      <c r="BR40" s="16">
        <f ca="1">(L40-'Airfoil 1'!$Z$59)/ABS(L40-'Airfoil 1'!$Z$59)</f>
        <v>-1</v>
      </c>
      <c r="BS40" s="16">
        <f ca="1">(L40-'Airfoil 1'!$Z$60)/ABS(L40-'Airfoil 1'!$Z$60)</f>
        <v>-1</v>
      </c>
      <c r="BT40" s="16">
        <f ca="1">(L40-'Airfoil 1'!$Z$61)/ABS(L40-'Airfoil 1'!$Z$61)</f>
        <v>-1</v>
      </c>
      <c r="BU40" s="16">
        <f ca="1">(L40-'Airfoil 1'!$Z$62)/ABS(L40-'Airfoil 1'!$Z$62)</f>
        <v>-1</v>
      </c>
      <c r="BV40" s="16">
        <f ca="1">(L40-'Airfoil 1'!$Z$63)/ABS(L40-'Airfoil 1'!$Z$63)</f>
        <v>-1</v>
      </c>
      <c r="BW40" s="16">
        <f ca="1">(L40-'Airfoil 1'!$Z$64)/ABS(L40-'Airfoil 1'!$Z$64)</f>
        <v>-1</v>
      </c>
      <c r="BX40" s="16">
        <f ca="1">(L40-'Airfoil 1'!$Z$65)/ABS(L40-'Airfoil 1'!$Z$65)</f>
        <v>-1</v>
      </c>
      <c r="BY40" s="16">
        <f ca="1">(L40-'Airfoil 1'!$Z$66)/ABS(L40-'Airfoil 1'!$Z$66)</f>
        <v>-1</v>
      </c>
      <c r="BZ40" s="5">
        <f t="shared" ca="1" si="9"/>
        <v>7</v>
      </c>
      <c r="CA40" s="42">
        <f ca="1">INDEX('Airfoil 1'!$AA$47:$AA$66,BZ40,1)+INDEX('Airfoil 1'!$AB$47:$AB$66,BZ40,1)*(L40-INDEX('Airfoil 1'!$Z$47:$Z$66,BZ40,1))</f>
        <v>1.8769168637847108E-2</v>
      </c>
      <c r="CC40" s="16">
        <f ca="1">(L40-'Airfoil 1'!$Z$72)/ABS(L40-'Airfoil 1'!$Z$72)</f>
        <v>1</v>
      </c>
      <c r="CD40" s="16">
        <f ca="1">(L40-'Airfoil 1'!$Z$73)/ABS(L40-'Airfoil 1'!$Z$73)</f>
        <v>1</v>
      </c>
      <c r="CE40" s="16">
        <f ca="1">(L40-'Airfoil 1'!$Z$74)/ABS(L40-'Airfoil 1'!$Z$74)</f>
        <v>1</v>
      </c>
      <c r="CF40" s="16">
        <f ca="1">(L40-'Airfoil 1'!$Z$75)/ABS(L40-'Airfoil 1'!$Z$75)</f>
        <v>1</v>
      </c>
      <c r="CG40" s="16">
        <f ca="1">(L40-'Airfoil 1'!$Z$76)/ABS(L40-'Airfoil 1'!$Z$76)</f>
        <v>1</v>
      </c>
      <c r="CH40" s="16">
        <f ca="1">(L40-'Airfoil 1'!$Z$77)/ABS(L40-'Airfoil 1'!$Z$77)</f>
        <v>1</v>
      </c>
      <c r="CI40" s="16">
        <f ca="1">(L40-'Airfoil 1'!$Z$78)/ABS(L40-'Airfoil 1'!$Z$78)</f>
        <v>-1</v>
      </c>
      <c r="CJ40" s="16">
        <f ca="1">(L40-'Airfoil 1'!$Z$79)/ABS(L40-'Airfoil 1'!$Z$79)</f>
        <v>-1</v>
      </c>
      <c r="CK40" s="16">
        <f ca="1">(L40-'Airfoil 1'!$Z$80)/ABS(L40-'Airfoil 1'!$Z$80)</f>
        <v>-1</v>
      </c>
      <c r="CL40" s="16">
        <f ca="1">(L40-'Airfoil 1'!$Z$81)/ABS(L40-'Airfoil 1'!$Z$81)</f>
        <v>-1</v>
      </c>
      <c r="CM40" s="16">
        <f ca="1">(L40-'Airfoil 1'!$Z$82)/ABS(L40-'Airfoil 1'!$Z$82)</f>
        <v>-1</v>
      </c>
      <c r="CN40" s="16">
        <f ca="1">(L40-'Airfoil 1'!$Z$83)/ABS(L40-'Airfoil 1'!$Z$83)</f>
        <v>-1</v>
      </c>
      <c r="CO40" s="16">
        <f ca="1">(L40-'Airfoil 1'!$Z$84)/ABS(L40-'Airfoil 1'!$Z$84)</f>
        <v>-1</v>
      </c>
      <c r="CP40" s="16">
        <f ca="1">(L40-'Airfoil 1'!$Z$85)/ABS(L40-'Airfoil 1'!$Z$85)</f>
        <v>-1</v>
      </c>
      <c r="CQ40" s="16">
        <f ca="1">(L40-'Airfoil 1'!$Z$86)/ABS(L40-'Airfoil 1'!$Z$86)</f>
        <v>-1</v>
      </c>
      <c r="CR40" s="16">
        <f ca="1">(L40-'Airfoil 1'!$Z$87)/ABS(L40-'Airfoil 1'!$Z$87)</f>
        <v>-1</v>
      </c>
      <c r="CS40" s="16">
        <f ca="1">(L40-'Airfoil 1'!$Z$88)/ABS(L40-'Airfoil 1'!$Z$88)</f>
        <v>-1</v>
      </c>
      <c r="CT40" s="16">
        <f ca="1">(L40-'Airfoil 1'!$Z$89)/ABS(L40-'Airfoil 1'!$Z$89)</f>
        <v>-1</v>
      </c>
      <c r="CU40" s="16">
        <f ca="1">(L40-'Airfoil 1'!$Z$90)/ABS(L40-'Airfoil 1'!$Z$90)</f>
        <v>-1</v>
      </c>
      <c r="CV40" s="16">
        <f ca="1">(L40-'Airfoil 1'!$Z$91)/ABS(L40-'Airfoil 1'!$Z$91)</f>
        <v>-1</v>
      </c>
      <c r="CW40" s="5">
        <f t="shared" ca="1" si="10"/>
        <v>6</v>
      </c>
      <c r="CX40" s="42">
        <f ca="1">INDEX('Airfoil 1'!$AA$72:$AA$91,CW40,1)+INDEX('Airfoil 1'!$AB$72:$AB$91,CW40,1)*(L40-INDEX('Airfoil 1'!$Z$72:$Z$91,CW40,1))</f>
        <v>1.2282595048042355E-2</v>
      </c>
    </row>
    <row r="41" spans="2:102"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</row>
    <row r="42" spans="2:102">
      <c r="D42" s="4"/>
    </row>
    <row r="44" spans="2:102">
      <c r="I44" s="14"/>
      <c r="M44" s="1"/>
      <c r="N44" s="1"/>
      <c r="O44" s="1"/>
      <c r="P44" s="1"/>
    </row>
    <row r="45" spans="2:102">
      <c r="I45" s="14"/>
    </row>
    <row r="46" spans="2:102">
      <c r="I46" s="14"/>
    </row>
    <row r="47" spans="2:102">
      <c r="I47" s="14"/>
    </row>
    <row r="48" spans="2:102">
      <c r="I48" s="14"/>
    </row>
    <row r="49" spans="9:9">
      <c r="I49" s="14"/>
    </row>
    <row r="50" spans="9:9">
      <c r="I50" s="14"/>
    </row>
    <row r="51" spans="9:9">
      <c r="I51" s="14"/>
    </row>
    <row r="52" spans="9:9">
      <c r="I52" s="14"/>
    </row>
    <row r="53" spans="9:9">
      <c r="I53" s="14"/>
    </row>
    <row r="54" spans="9:9">
      <c r="I54" s="14"/>
    </row>
    <row r="55" spans="9:9">
      <c r="I55" s="14"/>
    </row>
    <row r="56" spans="9:9">
      <c r="I56" s="14"/>
    </row>
    <row r="57" spans="9:9">
      <c r="I57" s="14"/>
    </row>
    <row r="58" spans="9:9">
      <c r="I58" s="14"/>
    </row>
    <row r="59" spans="9:9">
      <c r="I59" s="14"/>
    </row>
    <row r="60" spans="9:9">
      <c r="I60" s="14"/>
    </row>
    <row r="61" spans="9:9">
      <c r="I61" s="14"/>
    </row>
    <row r="62" spans="9:9">
      <c r="I62" s="14"/>
    </row>
    <row r="63" spans="9:9">
      <c r="I63" s="14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CX63"/>
  <sheetViews>
    <sheetView topLeftCell="H1" zoomScale="90" workbookViewId="0">
      <selection activeCell="M21" sqref="M21:O40"/>
    </sheetView>
  </sheetViews>
  <sheetFormatPr defaultRowHeight="12.75"/>
  <cols>
    <col min="42" max="42" width="9.42578125" customWidth="1"/>
  </cols>
  <sheetData>
    <row r="1" spans="1:69">
      <c r="A1" s="17" t="s">
        <v>436</v>
      </c>
    </row>
    <row r="3" spans="1:69">
      <c r="A3" t="s">
        <v>270</v>
      </c>
      <c r="C3" s="6"/>
      <c r="D3" s="6"/>
      <c r="E3" s="6"/>
    </row>
    <row r="4" spans="1:69">
      <c r="A4" s="17"/>
      <c r="C4" s="6"/>
      <c r="D4" s="6"/>
      <c r="E4" s="6"/>
    </row>
    <row r="5" spans="1:69">
      <c r="A5" s="17"/>
      <c r="C5" s="6"/>
      <c r="D5" s="6"/>
      <c r="E5" s="6"/>
      <c r="F5" s="6"/>
      <c r="G5" s="6"/>
      <c r="H5" s="6"/>
    </row>
    <row r="6" spans="1:69">
      <c r="A6" s="17"/>
      <c r="C6" s="67"/>
      <c r="D6" s="16"/>
      <c r="E6" s="16"/>
      <c r="F6" s="6"/>
      <c r="G6" s="16"/>
      <c r="H6" s="6"/>
    </row>
    <row r="7" spans="1:69">
      <c r="A7" s="17"/>
      <c r="C7" s="6"/>
      <c r="D7" s="6"/>
      <c r="E7" s="6"/>
    </row>
    <row r="8" spans="1:69">
      <c r="A8" s="17"/>
    </row>
    <row r="9" spans="1:69">
      <c r="A9" s="17"/>
    </row>
    <row r="15" spans="1:69">
      <c r="B15" t="s">
        <v>279</v>
      </c>
      <c r="D15" t="s">
        <v>273</v>
      </c>
      <c r="G15" t="s">
        <v>278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</row>
    <row r="16" spans="1:69"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42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</row>
    <row r="17" spans="2:102"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</row>
    <row r="18" spans="2:102" ht="14.25">
      <c r="B18" s="9" t="s">
        <v>281</v>
      </c>
      <c r="D18" s="9" t="s">
        <v>29</v>
      </c>
      <c r="E18" s="9" t="s">
        <v>31</v>
      </c>
      <c r="G18" s="9" t="s">
        <v>40</v>
      </c>
      <c r="H18" s="9" t="s">
        <v>50</v>
      </c>
      <c r="I18" s="9" t="s">
        <v>335</v>
      </c>
      <c r="J18" s="9" t="s">
        <v>163</v>
      </c>
      <c r="K18" s="47" t="s">
        <v>336</v>
      </c>
      <c r="L18" s="9" t="s">
        <v>52</v>
      </c>
      <c r="M18" s="9" t="s">
        <v>337</v>
      </c>
      <c r="N18" s="23" t="s">
        <v>338</v>
      </c>
      <c r="O18" s="23" t="s">
        <v>339</v>
      </c>
      <c r="P18" s="23" t="s">
        <v>348</v>
      </c>
      <c r="Q18" s="23" t="s">
        <v>349</v>
      </c>
      <c r="R18" s="23" t="s">
        <v>350</v>
      </c>
      <c r="S18" s="9" t="s">
        <v>351</v>
      </c>
      <c r="T18" s="23" t="s">
        <v>100</v>
      </c>
      <c r="U18" s="23" t="s">
        <v>361</v>
      </c>
      <c r="V18" s="23" t="s">
        <v>366</v>
      </c>
      <c r="W18" s="9" t="s">
        <v>387</v>
      </c>
      <c r="X18" s="23" t="s">
        <v>388</v>
      </c>
      <c r="Y18" s="23" t="s">
        <v>389</v>
      </c>
      <c r="Z18" s="23" t="s">
        <v>348</v>
      </c>
      <c r="AA18" s="23" t="s">
        <v>349</v>
      </c>
      <c r="AB18" s="23" t="s">
        <v>350</v>
      </c>
      <c r="AC18" s="9" t="s">
        <v>351</v>
      </c>
      <c r="AD18" s="23" t="s">
        <v>100</v>
      </c>
      <c r="AE18" s="23" t="s">
        <v>361</v>
      </c>
      <c r="AF18" s="23" t="s">
        <v>53</v>
      </c>
      <c r="AG18" s="23"/>
      <c r="AH18" s="23"/>
      <c r="AI18" s="68" t="s">
        <v>792</v>
      </c>
      <c r="AJ18" s="23"/>
      <c r="AK18" s="68"/>
      <c r="AL18" s="68"/>
      <c r="AM18" s="68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68" t="s">
        <v>795</v>
      </c>
      <c r="BD18" s="68" t="s">
        <v>337</v>
      </c>
      <c r="BE18" s="6"/>
      <c r="BF18" s="68" t="s">
        <v>793</v>
      </c>
      <c r="BG18" s="23"/>
      <c r="BH18" s="68"/>
      <c r="BI18" s="68"/>
      <c r="BJ18" s="68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68" t="s">
        <v>794</v>
      </c>
      <c r="CA18" s="68" t="s">
        <v>338</v>
      </c>
      <c r="CC18" s="68" t="s">
        <v>796</v>
      </c>
      <c r="CD18" s="23"/>
      <c r="CE18" s="68"/>
      <c r="CF18" s="68"/>
      <c r="CG18" s="68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68" t="s">
        <v>797</v>
      </c>
      <c r="CX18" s="68" t="s">
        <v>339</v>
      </c>
    </row>
    <row r="19" spans="2:102">
      <c r="B19" s="9" t="s">
        <v>4</v>
      </c>
      <c r="D19" s="9" t="s">
        <v>30</v>
      </c>
      <c r="E19" s="9" t="s">
        <v>2</v>
      </c>
      <c r="G19" s="9" t="s">
        <v>1</v>
      </c>
      <c r="H19" s="9"/>
      <c r="I19" s="9"/>
      <c r="J19" s="9" t="s">
        <v>364</v>
      </c>
      <c r="K19" s="9" t="s">
        <v>303</v>
      </c>
      <c r="L19" s="9"/>
      <c r="N19" s="23"/>
      <c r="O19" s="23"/>
      <c r="P19" s="23" t="s">
        <v>352</v>
      </c>
      <c r="Q19" s="23" t="s">
        <v>365</v>
      </c>
      <c r="R19" s="6"/>
      <c r="T19" s="23"/>
      <c r="U19" s="23"/>
      <c r="V19" s="6"/>
      <c r="X19" s="23"/>
      <c r="Y19" s="23"/>
      <c r="Z19" s="23" t="s">
        <v>352</v>
      </c>
      <c r="AA19" s="23" t="s">
        <v>390</v>
      </c>
      <c r="AB19" s="6"/>
      <c r="AD19" s="23"/>
      <c r="AE19" s="23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23"/>
      <c r="BA19" s="23"/>
      <c r="BB19" s="23"/>
      <c r="BC19" s="23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23"/>
      <c r="BX19" s="23"/>
      <c r="BY19" s="23"/>
      <c r="BZ19" s="23"/>
      <c r="CA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23"/>
      <c r="CU19" s="23"/>
      <c r="CV19" s="23"/>
      <c r="CW19" s="23"/>
      <c r="CX19" s="6"/>
    </row>
    <row r="20" spans="2:102">
      <c r="N20" s="6"/>
      <c r="O20" s="6"/>
      <c r="P20" s="6"/>
      <c r="Q20" s="6"/>
      <c r="R20" s="6"/>
      <c r="S20" s="6"/>
      <c r="T20" s="6"/>
      <c r="U20" s="6"/>
      <c r="V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</row>
    <row r="21" spans="2:102">
      <c r="B21" s="31">
        <f>Main!B21</f>
        <v>0.33333333333333326</v>
      </c>
      <c r="D21" s="1">
        <f>Cruise!F21</f>
        <v>0.65969672852566186</v>
      </c>
      <c r="E21" s="4">
        <f>ISA!$R$10</f>
        <v>1.5987591530356481E-5</v>
      </c>
      <c r="G21" s="13">
        <f ca="1">Cruise!X21</f>
        <v>29.912886947201152</v>
      </c>
      <c r="H21" s="5">
        <f t="shared" ref="H21:H40" ca="1" si="0">D21*G21*B21/E21</f>
        <v>411432.27905545081</v>
      </c>
      <c r="I21" s="16">
        <f ca="1">'Airfoil 2'!$K$14*H21^'Airfoil 2'!$L$13</f>
        <v>1.5864532889565299</v>
      </c>
      <c r="J21" s="1">
        <f ca="1">'Airfoil 2'!$K$33*H21^'Airfoil 2'!$L$32</f>
        <v>4.7670310826758584</v>
      </c>
      <c r="K21" s="13">
        <f ca="1">'Airfoil 2'!$K$52*H21^'Airfoil 2'!$L$51</f>
        <v>-10.214023780871239</v>
      </c>
      <c r="L21" s="16">
        <f ca="1">'Aerodynamics-Cruise'!W21</f>
        <v>0.9</v>
      </c>
      <c r="M21" s="10">
        <f ca="1">('Airfoil 1'!$B$21+'Airfoil 1'!$B$22*L21+'Airfoil 1'!$B$23*L21^2+'Airfoil 1'!$B$24*L21^3+'Airfoil 1'!$B$25*L21^4+'Airfoil 1'!$B$26*L21^5+'Airfoil 1'!$B$27*L21^6)*0+BD21</f>
        <v>2.4489313868613138E-2</v>
      </c>
      <c r="N21" s="42">
        <f ca="1">('Airfoil 1'!$B$29+'Airfoil 1'!$B$30*L21+'Airfoil 1'!$B$31*L21^2+'Airfoil 1'!$B$32*L21^3+'Airfoil 1'!$B$33*L21^4+'Airfoil 1'!$B$34*L21^5+'Airfoil 1'!$B$35*L21^6)*0+CA21</f>
        <v>1.7370857855361597E-2</v>
      </c>
      <c r="O21" s="42">
        <f ca="1">('Airfoil 1'!$B$37+'Airfoil 1'!$B$38*L21+'Airfoil 1'!$B$39*L21^2+'Airfoil 1'!$B$40*L21^3+'Airfoil 1'!$B$41*L21^4+'Airfoil 1'!$B$42*L21^5+'Airfoil 1'!$B$43*L21^6)*0+CX21</f>
        <v>1.1110331491712706E-2</v>
      </c>
      <c r="P21" s="16">
        <f>LOG('Airfoil 1'!$F$10)+LOG('Airfoil 1'!$G$10)+LOG('Airfoil 1'!$H$10)</f>
        <v>15.176091259055681</v>
      </c>
      <c r="Q21" s="16">
        <f t="shared" ref="Q21:Q40" ca="1" si="1">LOG(M21)+LOG(N21)+LOG(O21)</f>
        <v>-5.3254750991929125</v>
      </c>
      <c r="R21" s="16">
        <f>LOG('Airfoil 1'!$F$10)^2+LOG('Airfoil 1'!$G$10)^2+LOG('Airfoil 1'!$H$10)^2</f>
        <v>76.867141336751558</v>
      </c>
      <c r="S21" s="16">
        <f ca="1">LOG('Airfoil 1'!$F$10)*LOG(M21)+LOG('Airfoil 1'!$G$10)*LOG(N21)+LOG('Airfoil 1'!$H$10)*LOG(O21)</f>
        <v>-27.014391057528009</v>
      </c>
      <c r="T21" s="16">
        <f t="shared" ref="T21:T40" ca="1" si="2">POWER(10,(S21/R21-Q21/P21)/(P21/R21-3/P21))</f>
        <v>141.60346469083578</v>
      </c>
      <c r="U21" s="16">
        <f t="shared" ref="U21:U40" ca="1" si="3">(Q21-3*LOG(T21))/P21</f>
        <v>-0.77613507568957385</v>
      </c>
      <c r="V21" s="42">
        <f ca="1">IF(Energy!$F$11=1,Energy!$T$13,1)*T21*H21^U21</f>
        <v>6.8548600734317641E-3</v>
      </c>
      <c r="W21" s="10">
        <f ca="1">'Airfoil 1'!$B$48+'Airfoil 1'!$B$49*L21+'Airfoil 1'!$B$50*L21^2+'Airfoil 1'!$B$51*L21^3+'Airfoil 1'!$B$52*L21^4+'Airfoil 1'!$B$53*L21^5+'Airfoil 1'!$B$54*L21^6</f>
        <v>-0.155</v>
      </c>
      <c r="X21" s="42">
        <f ca="1">'Airfoil 1'!$B$56+'Airfoil 1'!$B$57*L21+'Airfoil 1'!$B$58*L21^2+'Airfoil 1'!$B$59*L21^3+'Airfoil 1'!$B$60*L21^4+'Airfoil 1'!$B$61*L21^5+'Airfoil 1'!$B$62*L21^6</f>
        <v>-0.155</v>
      </c>
      <c r="Y21" s="42">
        <f ca="1">'Airfoil 1'!$B$64+'Airfoil 1'!$B$65*L21+'Airfoil 1'!$B$66*L21^2+'Airfoil 1'!$B$67*L21^3+'Airfoil 1'!$B$681*L21^4+'Airfoil 1'!$B$69*L21^5+'Airfoil 1'!$B$70*L21^6</f>
        <v>-0.155</v>
      </c>
      <c r="Z21" s="16">
        <f>LOG('Airfoil 1'!$F$10)+LOG('Airfoil 1'!$G$10)+LOG('Airfoil 1'!$H$10)</f>
        <v>15.176091259055681</v>
      </c>
      <c r="AA21" s="16">
        <f t="shared" ref="AA21:AA40" ca="1" si="4">LOG(ABS(W21))+LOG(ABS(X21))+LOG(ABS(Y21))</f>
        <v>-2.4290049054891254</v>
      </c>
      <c r="AB21" s="16">
        <f>LOG('Airfoil 1'!$F$10)^2+LOG('Airfoil 1'!$G$10)^2+LOG('Airfoil 1'!$H$10)^2</f>
        <v>76.867141336751558</v>
      </c>
      <c r="AC21" s="16">
        <f ca="1">LOG('Airfoil 1'!$F$10)*LOG(ABS(W21))+LOG('Airfoil 1'!$G$10)*LOG(ABS(X21))+LOG('Airfoil 1'!$H$10)*LOG(ABS(Y21))</f>
        <v>-12.287600038132297</v>
      </c>
      <c r="AD21" s="16">
        <f t="shared" ref="AD21:AD40" ca="1" si="5">POWER(10,(AC21/AB21-AA21/Z21)/(Z21/AB21-3/Z21))</f>
        <v>0.1550000000000121</v>
      </c>
      <c r="AE21" s="16">
        <f t="shared" ref="AE21:AE40" ca="1" si="6">(AA21-3*LOG(AD21))/Z21</f>
        <v>-6.6718325633022456E-15</v>
      </c>
      <c r="AF21" s="42">
        <f t="shared" ref="AF21:AF40" ca="1" si="7">W21/ABS(W21)*AD21*H21^AE21</f>
        <v>-0.15499999999999875</v>
      </c>
      <c r="AG21" s="16"/>
      <c r="AH21" s="42"/>
      <c r="AI21" s="16">
        <f ca="1">(L21-'Airfoil 1'!$Z$22)/ABS(L21-'Airfoil 1'!$Z$22)</f>
        <v>1</v>
      </c>
      <c r="AJ21" s="16">
        <f ca="1">(L21-'Airfoil 1'!$Z$23)/ABS(L21-'Airfoil 1'!$Z$23)</f>
        <v>1</v>
      </c>
      <c r="AK21" s="16">
        <f ca="1">(L21-'Airfoil 1'!$Z$24)/ABS(L21-'Airfoil 1'!$Z$24)</f>
        <v>1</v>
      </c>
      <c r="AL21" s="16">
        <f ca="1">(L21-'Airfoil 1'!$Z$25)/ABS(L21-'Airfoil 1'!$Z$25)</f>
        <v>1</v>
      </c>
      <c r="AM21" s="16">
        <f ca="1">(L21-'Airfoil 1'!$Z$26)/ABS(L21-'Airfoil 1'!$Z$26)</f>
        <v>1</v>
      </c>
      <c r="AN21" s="16">
        <f ca="1">(L21-'Airfoil 1'!$Z$27)/ABS(L21-'Airfoil 1'!$Z$27)</f>
        <v>1</v>
      </c>
      <c r="AO21" s="16">
        <f ca="1">(L21-'Airfoil 1'!$Z$28)/ABS(L21-'Airfoil 1'!$Z$28)</f>
        <v>1</v>
      </c>
      <c r="AP21" s="16">
        <f ca="1">(L21-'Airfoil 1'!$Z$29)/ABS(L21-'Airfoil 1'!$Z$29)</f>
        <v>-1</v>
      </c>
      <c r="AQ21" s="16">
        <f ca="1">(L21-'Airfoil 1'!$Z$30)/ABS(L21-'Airfoil 1'!$Z$30)</f>
        <v>-1</v>
      </c>
      <c r="AR21" s="16">
        <f ca="1">(L21-'Airfoil 1'!$Z$31)/ABS(L21-'Airfoil 1'!$Z$31)</f>
        <v>-1</v>
      </c>
      <c r="AS21" s="16">
        <f ca="1">(L21-'Airfoil 1'!$Z$32)/ABS(L21-'Airfoil 1'!$Z$32)</f>
        <v>-1</v>
      </c>
      <c r="AT21" s="16">
        <f ca="1">(L21-'Airfoil 1'!$Z$33)/ABS(L21-'Airfoil 1'!$Z$33)</f>
        <v>-1</v>
      </c>
      <c r="AU21" s="16">
        <f ca="1">(L21-'Airfoil 1'!$Z$34)/ABS(L21-'Airfoil 1'!$Z$34)</f>
        <v>-1</v>
      </c>
      <c r="AV21" s="16">
        <f ca="1">(L21-'Airfoil 1'!$Z$35)/ABS(L21-'Airfoil 1'!$Z$35)</f>
        <v>-1</v>
      </c>
      <c r="AW21" s="16">
        <f ca="1">(L21-'Airfoil 1'!$Z$36)/ABS(L21-'Airfoil 1'!$Z$36)</f>
        <v>-1</v>
      </c>
      <c r="AX21" s="16">
        <f ca="1">(L21-'Airfoil 1'!$Z$37)/ABS(L21-'Airfoil 1'!$Z$37)</f>
        <v>-1</v>
      </c>
      <c r="AY21" s="16">
        <f ca="1">(L21-'Airfoil 1'!$Z$38)/ABS(L21-'Airfoil 1'!$Z$38)</f>
        <v>-1</v>
      </c>
      <c r="AZ21" s="16">
        <f ca="1">(L21-'Airfoil 1'!$Z$39)/ABS(L21-'Airfoil 1'!$Z$39)</f>
        <v>-1</v>
      </c>
      <c r="BA21" s="16">
        <f ca="1">(L21-'Airfoil 1'!$Z$40)/ABS(L21-'Airfoil 1'!$Z$40)</f>
        <v>-1</v>
      </c>
      <c r="BB21" s="16">
        <f ca="1">(L21-'Airfoil 1'!$Z$41)/ABS(L21-'Airfoil 1'!$Z$41)</f>
        <v>-1</v>
      </c>
      <c r="BC21" s="5">
        <f ca="1">MAX(1,MATCH(-1,AI21:BB21,0)-1)</f>
        <v>7</v>
      </c>
      <c r="BD21" s="42">
        <f ca="1">INDEX('Airfoil 1'!$AA$22:$AA$41,BC21,1)+INDEX('Airfoil 1'!$AB$22:$AB$41,BC21,1)*(L21-INDEX('Airfoil 1'!$Z$22:$Z$41,BC21,1))</f>
        <v>2.4489313868613138E-2</v>
      </c>
      <c r="BE21" s="6"/>
      <c r="BF21" s="16">
        <f ca="1">(L21-'Airfoil 1'!$Z$47)/ABS(L21-'Airfoil 1'!$Z$47)</f>
        <v>1</v>
      </c>
      <c r="BG21" s="16">
        <f ca="1">(L21-'Airfoil 1'!$Z$48)/ABS(L21-'Airfoil 1'!$Z$48)</f>
        <v>1</v>
      </c>
      <c r="BH21" s="16">
        <f ca="1">(L21-'Airfoil 1'!$Z$49)/ABS(L21-'Airfoil 1'!$Z$49)</f>
        <v>1</v>
      </c>
      <c r="BI21" s="16">
        <f ca="1">(L21-'Airfoil 1'!$Z$50)/ABS(L21-'Airfoil 1'!$Z$50)</f>
        <v>1</v>
      </c>
      <c r="BJ21" s="16">
        <f ca="1">(L21-'Airfoil 1'!$Z$51)/ABS(L21-'Airfoil 1'!$Z$51)</f>
        <v>1</v>
      </c>
      <c r="BK21" s="16">
        <f ca="1">(L21-'Airfoil 1'!$Z$52)/ABS(L21-'Airfoil 1'!$Z$52)</f>
        <v>1</v>
      </c>
      <c r="BL21" s="16">
        <f ca="1">(L21-'Airfoil 1'!$Z$53)/ABS(L21-'Airfoil 1'!$Z$53)</f>
        <v>-1</v>
      </c>
      <c r="BM21" s="16">
        <f ca="1">(L21-'Airfoil 1'!$Z$54)/ABS(L21-'Airfoil 1'!$Z$54)</f>
        <v>-1</v>
      </c>
      <c r="BN21" s="16">
        <f ca="1">(L21-'Airfoil 1'!$Z$55)/ABS(L21-'Airfoil 1'!$Z$55)</f>
        <v>-1</v>
      </c>
      <c r="BO21" s="16">
        <f ca="1">(L21-'Airfoil 1'!$Z$56)/ABS(L21-'Airfoil 1'!$Z$56)</f>
        <v>-1</v>
      </c>
      <c r="BP21" s="16">
        <f ca="1">(L21-'Airfoil 1'!$Z$57)/ABS(L21-'Airfoil 1'!$Z$57)</f>
        <v>-1</v>
      </c>
      <c r="BQ21" s="16">
        <f ca="1">(L21-'Airfoil 1'!$Z$58)/ABS(L21-'Airfoil 1'!$Z$58)</f>
        <v>-1</v>
      </c>
      <c r="BR21" s="16">
        <f ca="1">(L21-'Airfoil 1'!$Z$59)/ABS(L21-'Airfoil 1'!$Z$59)</f>
        <v>-1</v>
      </c>
      <c r="BS21" s="16">
        <f ca="1">(L21-'Airfoil 1'!$Z$60)/ABS(L21-'Airfoil 1'!$Z$60)</f>
        <v>-1</v>
      </c>
      <c r="BT21" s="16">
        <f ca="1">(L21-'Airfoil 1'!$Z$61)/ABS(L21-'Airfoil 1'!$Z$61)</f>
        <v>-1</v>
      </c>
      <c r="BU21" s="16">
        <f ca="1">(L21-'Airfoil 1'!$Z$62)/ABS(L21-'Airfoil 1'!$Z$62)</f>
        <v>-1</v>
      </c>
      <c r="BV21" s="16">
        <f ca="1">(L21-'Airfoil 1'!$Z$63)/ABS(L21-'Airfoil 1'!$Z$63)</f>
        <v>-1</v>
      </c>
      <c r="BW21" s="16">
        <f ca="1">(L21-'Airfoil 1'!$Z$64)/ABS(L21-'Airfoil 1'!$Z$64)</f>
        <v>-1</v>
      </c>
      <c r="BX21" s="16">
        <f ca="1">(L21-'Airfoil 1'!$Z$65)/ABS(L21-'Airfoil 1'!$Z$65)</f>
        <v>-1</v>
      </c>
      <c r="BY21" s="16">
        <f ca="1">(L21-'Airfoil 1'!$Z$66)/ABS(L21-'Airfoil 1'!$Z$66)</f>
        <v>-1</v>
      </c>
      <c r="BZ21" s="5">
        <f ca="1">MAX(1,MATCH(-1,BF21:BY21,0)-1)</f>
        <v>6</v>
      </c>
      <c r="CA21" s="42">
        <f ca="1">INDEX('Airfoil 1'!$AA$47:$AA$66,BZ21,1)+INDEX('Airfoil 1'!$AB$47:$AB$66,BZ21,1)*(L21-INDEX('Airfoil 1'!$Z$47:$Z$66,BZ21,1))</f>
        <v>1.7370857855361597E-2</v>
      </c>
      <c r="CC21" s="16">
        <f ca="1">(L21-'Airfoil 1'!$Z$72)/ABS(L21-'Airfoil 1'!$Z$72)</f>
        <v>1</v>
      </c>
      <c r="CD21" s="16">
        <f ca="1">(L21-'Airfoil 1'!$Z$73)/ABS(L21-'Airfoil 1'!$Z$73)</f>
        <v>1</v>
      </c>
      <c r="CE21" s="16">
        <f ca="1">(L21-'Airfoil 1'!$Z$74)/ABS(L21-'Airfoil 1'!$Z$74)</f>
        <v>1</v>
      </c>
      <c r="CF21" s="16">
        <f ca="1">(L21-'Airfoil 1'!$Z$75)/ABS(L21-'Airfoil 1'!$Z$75)</f>
        <v>1</v>
      </c>
      <c r="CG21" s="16">
        <f ca="1">(L21-'Airfoil 1'!$Z$76)/ABS(L21-'Airfoil 1'!$Z$76)</f>
        <v>-1</v>
      </c>
      <c r="CH21" s="16">
        <f ca="1">(L21-'Airfoil 1'!$Z$77)/ABS(L21-'Airfoil 1'!$Z$77)</f>
        <v>-1</v>
      </c>
      <c r="CI21" s="16">
        <f ca="1">(L21-'Airfoil 1'!$Z$78)/ABS(L21-'Airfoil 1'!$Z$78)</f>
        <v>-1</v>
      </c>
      <c r="CJ21" s="16">
        <f ca="1">(L21-'Airfoil 1'!$Z$79)/ABS(L21-'Airfoil 1'!$Z$79)</f>
        <v>-1</v>
      </c>
      <c r="CK21" s="16">
        <f ca="1">(L21-'Airfoil 1'!$Z$80)/ABS(L21-'Airfoil 1'!$Z$80)</f>
        <v>-1</v>
      </c>
      <c r="CL21" s="16">
        <f ca="1">(L21-'Airfoil 1'!$Z$81)/ABS(L21-'Airfoil 1'!$Z$81)</f>
        <v>-1</v>
      </c>
      <c r="CM21" s="16">
        <f ca="1">(L21-'Airfoil 1'!$Z$82)/ABS(L21-'Airfoil 1'!$Z$82)</f>
        <v>-1</v>
      </c>
      <c r="CN21" s="16">
        <f ca="1">(L21-'Airfoil 1'!$Z$83)/ABS(L21-'Airfoil 1'!$Z$83)</f>
        <v>-1</v>
      </c>
      <c r="CO21" s="16">
        <f ca="1">(L21-'Airfoil 1'!$Z$84)/ABS(L21-'Airfoil 1'!$Z$84)</f>
        <v>-1</v>
      </c>
      <c r="CP21" s="16">
        <f ca="1">(L21-'Airfoil 1'!$Z$85)/ABS(L21-'Airfoil 1'!$Z$85)</f>
        <v>-1</v>
      </c>
      <c r="CQ21" s="16">
        <f ca="1">(L21-'Airfoil 1'!$Z$86)/ABS(L21-'Airfoil 1'!$Z$86)</f>
        <v>-1</v>
      </c>
      <c r="CR21" s="16">
        <f ca="1">(L21-'Airfoil 1'!$Z$87)/ABS(L21-'Airfoil 1'!$Z$87)</f>
        <v>-1</v>
      </c>
      <c r="CS21" s="16">
        <f ca="1">(L21-'Airfoil 1'!$Z$88)/ABS(L21-'Airfoil 1'!$Z$88)</f>
        <v>-1</v>
      </c>
      <c r="CT21" s="16">
        <f ca="1">(L21-'Airfoil 1'!$Z$89)/ABS(L21-'Airfoil 1'!$Z$89)</f>
        <v>-1</v>
      </c>
      <c r="CU21" s="16">
        <f ca="1">(L21-'Airfoil 1'!$Z$90)/ABS(L21-'Airfoil 1'!$Z$90)</f>
        <v>-1</v>
      </c>
      <c r="CV21" s="16">
        <f ca="1">(L21-'Airfoil 1'!$Z$91)/ABS(L21-'Airfoil 1'!$Z$91)</f>
        <v>-1</v>
      </c>
      <c r="CW21" s="5">
        <f ca="1">MAX(1,MATCH(-1,CC21:CV21,0)-1)</f>
        <v>4</v>
      </c>
      <c r="CX21" s="42">
        <f ca="1">INDEX('Airfoil 1'!$AA$72:$AA$91,CW21,1)+INDEX('Airfoil 1'!$AB$72:$AB$91,CW21,1)*(L21-INDEX('Airfoil 1'!$Z$72:$Z$91,CW21,1))</f>
        <v>1.1110331491712706E-2</v>
      </c>
    </row>
    <row r="22" spans="2:102">
      <c r="B22" s="31">
        <f>Main!B22</f>
        <v>0.33333333333333326</v>
      </c>
      <c r="D22" s="1">
        <f>Cruise!F22</f>
        <v>0.65969672852566186</v>
      </c>
      <c r="E22" s="4">
        <f>ISA!$R$10</f>
        <v>1.5987591530356481E-5</v>
      </c>
      <c r="G22" s="13">
        <f ca="1">Cruise!X22</f>
        <v>29.421519599191594</v>
      </c>
      <c r="H22" s="5">
        <f t="shared" ca="1" si="0"/>
        <v>404673.84118879342</v>
      </c>
      <c r="I22" s="16">
        <f ca="1">'Airfoil 2'!$K$14*H22^'Airfoil 2'!$L$13</f>
        <v>1.5860880524618357</v>
      </c>
      <c r="J22" s="1">
        <f ca="1">'Airfoil 2'!$K$33*H22^'Airfoil 2'!$L$32</f>
        <v>4.7936617965003281</v>
      </c>
      <c r="K22" s="13">
        <f ca="1">'Airfoil 2'!$K$52*H22^'Airfoil 2'!$L$51</f>
        <v>-10.101512127327881</v>
      </c>
      <c r="L22" s="16">
        <f ca="1">'Aerodynamics-Cruise'!W22</f>
        <v>0.9</v>
      </c>
      <c r="M22" s="10">
        <f ca="1">('Airfoil 1'!$B$21+'Airfoil 1'!$B$22*L22+'Airfoil 1'!$B$23*L22^2+'Airfoil 1'!$B$24*L22^3+'Airfoil 1'!$B$25*L22^4+'Airfoil 1'!$B$26*L22^5+'Airfoil 1'!$B$27*L22^6)*0+BD22</f>
        <v>2.4489313868613138E-2</v>
      </c>
      <c r="N22" s="42">
        <f ca="1">('Airfoil 1'!$B$29+'Airfoil 1'!$B$30*L22+'Airfoil 1'!$B$31*L22^2+'Airfoil 1'!$B$32*L22^3+'Airfoil 1'!$B$33*L22^4+'Airfoil 1'!$B$34*L22^5+'Airfoil 1'!$B$35*L22^6)*0+CA22</f>
        <v>1.7370857855361597E-2</v>
      </c>
      <c r="O22" s="42">
        <f ca="1">('Airfoil 1'!$B$37+'Airfoil 1'!$B$38*L22+'Airfoil 1'!$B$39*L22^2+'Airfoil 1'!$B$40*L22^3+'Airfoil 1'!$B$41*L22^4+'Airfoil 1'!$B$42*L22^5+'Airfoil 1'!$B$43*L22^6)*0+CX22</f>
        <v>1.1110331491712706E-2</v>
      </c>
      <c r="P22" s="16">
        <f>LOG('Airfoil 1'!$F$10)+LOG('Airfoil 1'!$G$10)+LOG('Airfoil 1'!$H$10)</f>
        <v>15.176091259055681</v>
      </c>
      <c r="Q22" s="16">
        <f t="shared" ca="1" si="1"/>
        <v>-5.3254750991929125</v>
      </c>
      <c r="R22" s="16">
        <f>LOG('Airfoil 1'!$F$10)^2+LOG('Airfoil 1'!$G$10)^2+LOG('Airfoil 1'!$H$10)^2</f>
        <v>76.867141336751558</v>
      </c>
      <c r="S22" s="16">
        <f ca="1">LOG('Airfoil 1'!$F$10)*LOG(M22)+LOG('Airfoil 1'!$G$10)*LOG(N22)+LOG('Airfoil 1'!$H$10)*LOG(O22)</f>
        <v>-27.014391057528009</v>
      </c>
      <c r="T22" s="16">
        <f t="shared" ca="1" si="2"/>
        <v>141.60346469083578</v>
      </c>
      <c r="U22" s="16">
        <f t="shared" ca="1" si="3"/>
        <v>-0.77613507568957385</v>
      </c>
      <c r="V22" s="42">
        <f ca="1">IF(Energy!$F$11=1,Energy!$T$13,1)*T22*H22^U22</f>
        <v>6.9435491164787184E-3</v>
      </c>
      <c r="W22" s="10">
        <f ca="1">'Airfoil 1'!$B$48+'Airfoil 1'!$B$49*L22+'Airfoil 1'!$B$50*L22^2+'Airfoil 1'!$B$51*L22^3+'Airfoil 1'!$B$52*L22^4+'Airfoil 1'!$B$53*L22^5+'Airfoil 1'!$B$54*L22^6</f>
        <v>-0.155</v>
      </c>
      <c r="X22" s="42">
        <f ca="1">'Airfoil 1'!$B$56+'Airfoil 1'!$B$57*L22+'Airfoil 1'!$B$58*L22^2+'Airfoil 1'!$B$59*L22^3+'Airfoil 1'!$B$60*L22^4+'Airfoil 1'!$B$61*L22^5+'Airfoil 1'!$B$62*L22^6</f>
        <v>-0.155</v>
      </c>
      <c r="Y22" s="42">
        <f ca="1">'Airfoil 1'!$B$64+'Airfoil 1'!$B$65*L22+'Airfoil 1'!$B$66*L22^2+'Airfoil 1'!$B$67*L22^3+'Airfoil 1'!$B$681*L22^4+'Airfoil 1'!$B$69*L22^5+'Airfoil 1'!$B$70*L22^6</f>
        <v>-0.155</v>
      </c>
      <c r="Z22" s="16">
        <f>LOG('Airfoil 1'!$F$10)+LOG('Airfoil 1'!$G$10)+LOG('Airfoil 1'!$H$10)</f>
        <v>15.176091259055681</v>
      </c>
      <c r="AA22" s="16">
        <f t="shared" ca="1" si="4"/>
        <v>-2.4290049054891254</v>
      </c>
      <c r="AB22" s="16">
        <f>LOG('Airfoil 1'!$F$10)^2+LOG('Airfoil 1'!$G$10)^2+LOG('Airfoil 1'!$H$10)^2</f>
        <v>76.867141336751558</v>
      </c>
      <c r="AC22" s="16">
        <f ca="1">LOG('Airfoil 1'!$F$10)*LOG(ABS(W22))+LOG('Airfoil 1'!$G$10)*LOG(ABS(X22))+LOG('Airfoil 1'!$H$10)*LOG(ABS(Y22))</f>
        <v>-12.287600038132297</v>
      </c>
      <c r="AD22" s="16">
        <f t="shared" ca="1" si="5"/>
        <v>0.1550000000000121</v>
      </c>
      <c r="AE22" s="16">
        <f t="shared" ca="1" si="6"/>
        <v>-6.6718325633022456E-15</v>
      </c>
      <c r="AF22" s="42">
        <f t="shared" ca="1" si="7"/>
        <v>-0.15499999999999875</v>
      </c>
      <c r="AG22" s="16"/>
      <c r="AH22" s="42"/>
      <c r="AI22" s="16">
        <f ca="1">(L22-'Airfoil 1'!$Z$22)/ABS(L22-'Airfoil 1'!$Z$22)</f>
        <v>1</v>
      </c>
      <c r="AJ22" s="16">
        <f ca="1">(L22-'Airfoil 1'!$Z$23)/ABS(L22-'Airfoil 1'!$Z$23)</f>
        <v>1</v>
      </c>
      <c r="AK22" s="16">
        <f ca="1">(L22-'Airfoil 1'!$Z$24)/ABS(L22-'Airfoil 1'!$Z$24)</f>
        <v>1</v>
      </c>
      <c r="AL22" s="16">
        <f ca="1">(L22-'Airfoil 1'!$Z$25)/ABS(L22-'Airfoil 1'!$Z$25)</f>
        <v>1</v>
      </c>
      <c r="AM22" s="16">
        <f ca="1">(L22-'Airfoil 1'!$Z$26)/ABS(L22-'Airfoil 1'!$Z$26)</f>
        <v>1</v>
      </c>
      <c r="AN22" s="16">
        <f ca="1">(L22-'Airfoil 1'!$Z$27)/ABS(L22-'Airfoil 1'!$Z$27)</f>
        <v>1</v>
      </c>
      <c r="AO22" s="16">
        <f ca="1">(L22-'Airfoil 1'!$Z$28)/ABS(L22-'Airfoil 1'!$Z$28)</f>
        <v>1</v>
      </c>
      <c r="AP22" s="16">
        <f ca="1">(L22-'Airfoil 1'!$Z$29)/ABS(L22-'Airfoil 1'!$Z$29)</f>
        <v>-1</v>
      </c>
      <c r="AQ22" s="16">
        <f ca="1">(L22-'Airfoil 1'!$Z$30)/ABS(L22-'Airfoil 1'!$Z$30)</f>
        <v>-1</v>
      </c>
      <c r="AR22" s="16">
        <f ca="1">(L22-'Airfoil 1'!$Z$31)/ABS(L22-'Airfoil 1'!$Z$31)</f>
        <v>-1</v>
      </c>
      <c r="AS22" s="16">
        <f ca="1">(L22-'Airfoil 1'!$Z$32)/ABS(L22-'Airfoil 1'!$Z$32)</f>
        <v>-1</v>
      </c>
      <c r="AT22" s="16">
        <f ca="1">(L22-'Airfoil 1'!$Z$33)/ABS(L22-'Airfoil 1'!$Z$33)</f>
        <v>-1</v>
      </c>
      <c r="AU22" s="16">
        <f ca="1">(L22-'Airfoil 1'!$Z$34)/ABS(L22-'Airfoil 1'!$Z$34)</f>
        <v>-1</v>
      </c>
      <c r="AV22" s="16">
        <f ca="1">(L22-'Airfoil 1'!$Z$35)/ABS(L22-'Airfoil 1'!$Z$35)</f>
        <v>-1</v>
      </c>
      <c r="AW22" s="16">
        <f ca="1">(L22-'Airfoil 1'!$Z$36)/ABS(L22-'Airfoil 1'!$Z$36)</f>
        <v>-1</v>
      </c>
      <c r="AX22" s="16">
        <f ca="1">(L22-'Airfoil 1'!$Z$37)/ABS(L22-'Airfoil 1'!$Z$37)</f>
        <v>-1</v>
      </c>
      <c r="AY22" s="16">
        <f ca="1">(L22-'Airfoil 1'!$Z$38)/ABS(L22-'Airfoil 1'!$Z$38)</f>
        <v>-1</v>
      </c>
      <c r="AZ22" s="16">
        <f ca="1">(L22-'Airfoil 1'!$Z$39)/ABS(L22-'Airfoil 1'!$Z$39)</f>
        <v>-1</v>
      </c>
      <c r="BA22" s="16">
        <f ca="1">(L22-'Airfoil 1'!$Z$40)/ABS(L22-'Airfoil 1'!$Z$40)</f>
        <v>-1</v>
      </c>
      <c r="BB22" s="16">
        <f ca="1">(L22-'Airfoil 1'!$Z$41)/ABS(L22-'Airfoil 1'!$Z$41)</f>
        <v>-1</v>
      </c>
      <c r="BC22" s="5">
        <f t="shared" ref="BC22:BC40" ca="1" si="8">MAX(1,MATCH(-1,AI22:BB22,0)-1)</f>
        <v>7</v>
      </c>
      <c r="BD22" s="42">
        <f ca="1">INDEX('Airfoil 1'!$AA$22:$AA$41,BC22,1)+INDEX('Airfoil 1'!$AB$22:$AB$41,BC22,1)*(L22-INDEX('Airfoil 1'!$Z$22:$Z$41,BC22,1))</f>
        <v>2.4489313868613138E-2</v>
      </c>
      <c r="BE22" s="6"/>
      <c r="BF22" s="16">
        <f ca="1">(L22-'Airfoil 1'!$Z$47)/ABS(L22-'Airfoil 1'!$Z$47)</f>
        <v>1</v>
      </c>
      <c r="BG22" s="16">
        <f ca="1">(L22-'Airfoil 1'!$Z$48)/ABS(L22-'Airfoil 1'!$Z$48)</f>
        <v>1</v>
      </c>
      <c r="BH22" s="16">
        <f ca="1">(L22-'Airfoil 1'!$Z$49)/ABS(L22-'Airfoil 1'!$Z$49)</f>
        <v>1</v>
      </c>
      <c r="BI22" s="16">
        <f ca="1">(L22-'Airfoil 1'!$Z$50)/ABS(L22-'Airfoil 1'!$Z$50)</f>
        <v>1</v>
      </c>
      <c r="BJ22" s="16">
        <f ca="1">(L22-'Airfoil 1'!$Z$51)/ABS(L22-'Airfoil 1'!$Z$51)</f>
        <v>1</v>
      </c>
      <c r="BK22" s="16">
        <f ca="1">(L22-'Airfoil 1'!$Z$52)/ABS(L22-'Airfoil 1'!$Z$52)</f>
        <v>1</v>
      </c>
      <c r="BL22" s="16">
        <f ca="1">(L22-'Airfoil 1'!$Z$53)/ABS(L22-'Airfoil 1'!$Z$53)</f>
        <v>-1</v>
      </c>
      <c r="BM22" s="16">
        <f ca="1">(L22-'Airfoil 1'!$Z$54)/ABS(L22-'Airfoil 1'!$Z$54)</f>
        <v>-1</v>
      </c>
      <c r="BN22" s="16">
        <f ca="1">(L22-'Airfoil 1'!$Z$55)/ABS(L22-'Airfoil 1'!$Z$55)</f>
        <v>-1</v>
      </c>
      <c r="BO22" s="16">
        <f ca="1">(L22-'Airfoil 1'!$Z$56)/ABS(L22-'Airfoil 1'!$Z$56)</f>
        <v>-1</v>
      </c>
      <c r="BP22" s="16">
        <f ca="1">(L22-'Airfoil 1'!$Z$57)/ABS(L22-'Airfoil 1'!$Z$57)</f>
        <v>-1</v>
      </c>
      <c r="BQ22" s="16">
        <f ca="1">(L22-'Airfoil 1'!$Z$58)/ABS(L22-'Airfoil 1'!$Z$58)</f>
        <v>-1</v>
      </c>
      <c r="BR22" s="16">
        <f ca="1">(L22-'Airfoil 1'!$Z$59)/ABS(L22-'Airfoil 1'!$Z$59)</f>
        <v>-1</v>
      </c>
      <c r="BS22" s="16">
        <f ca="1">(L22-'Airfoil 1'!$Z$60)/ABS(L22-'Airfoil 1'!$Z$60)</f>
        <v>-1</v>
      </c>
      <c r="BT22" s="16">
        <f ca="1">(L22-'Airfoil 1'!$Z$61)/ABS(L22-'Airfoil 1'!$Z$61)</f>
        <v>-1</v>
      </c>
      <c r="BU22" s="16">
        <f ca="1">(L22-'Airfoil 1'!$Z$62)/ABS(L22-'Airfoil 1'!$Z$62)</f>
        <v>-1</v>
      </c>
      <c r="BV22" s="16">
        <f ca="1">(L22-'Airfoil 1'!$Z$63)/ABS(L22-'Airfoil 1'!$Z$63)</f>
        <v>-1</v>
      </c>
      <c r="BW22" s="16">
        <f ca="1">(L22-'Airfoil 1'!$Z$64)/ABS(L22-'Airfoil 1'!$Z$64)</f>
        <v>-1</v>
      </c>
      <c r="BX22" s="16">
        <f ca="1">(L22-'Airfoil 1'!$Z$65)/ABS(L22-'Airfoil 1'!$Z$65)</f>
        <v>-1</v>
      </c>
      <c r="BY22" s="16">
        <f ca="1">(L22-'Airfoil 1'!$Z$66)/ABS(L22-'Airfoil 1'!$Z$66)</f>
        <v>-1</v>
      </c>
      <c r="BZ22" s="5">
        <f t="shared" ref="BZ22:BZ40" ca="1" si="9">MAX(1,MATCH(-1,BF22:BY22,0)-1)</f>
        <v>6</v>
      </c>
      <c r="CA22" s="42">
        <f ca="1">INDEX('Airfoil 1'!$AA$47:$AA$66,BZ22,1)+INDEX('Airfoil 1'!$AB$47:$AB$66,BZ22,1)*(L22-INDEX('Airfoil 1'!$Z$47:$Z$66,BZ22,1))</f>
        <v>1.7370857855361597E-2</v>
      </c>
      <c r="CC22" s="16">
        <f ca="1">(L22-'Airfoil 1'!$Z$72)/ABS(L22-'Airfoil 1'!$Z$72)</f>
        <v>1</v>
      </c>
      <c r="CD22" s="16">
        <f ca="1">(L22-'Airfoil 1'!$Z$73)/ABS(L22-'Airfoil 1'!$Z$73)</f>
        <v>1</v>
      </c>
      <c r="CE22" s="16">
        <f ca="1">(L22-'Airfoil 1'!$Z$74)/ABS(L22-'Airfoil 1'!$Z$74)</f>
        <v>1</v>
      </c>
      <c r="CF22" s="16">
        <f ca="1">(L22-'Airfoil 1'!$Z$75)/ABS(L22-'Airfoil 1'!$Z$75)</f>
        <v>1</v>
      </c>
      <c r="CG22" s="16">
        <f ca="1">(L22-'Airfoil 1'!$Z$76)/ABS(L22-'Airfoil 1'!$Z$76)</f>
        <v>-1</v>
      </c>
      <c r="CH22" s="16">
        <f ca="1">(L22-'Airfoil 1'!$Z$77)/ABS(L22-'Airfoil 1'!$Z$77)</f>
        <v>-1</v>
      </c>
      <c r="CI22" s="16">
        <f ca="1">(L22-'Airfoil 1'!$Z$78)/ABS(L22-'Airfoil 1'!$Z$78)</f>
        <v>-1</v>
      </c>
      <c r="CJ22" s="16">
        <f ca="1">(L22-'Airfoil 1'!$Z$79)/ABS(L22-'Airfoil 1'!$Z$79)</f>
        <v>-1</v>
      </c>
      <c r="CK22" s="16">
        <f ca="1">(L22-'Airfoil 1'!$Z$80)/ABS(L22-'Airfoil 1'!$Z$80)</f>
        <v>-1</v>
      </c>
      <c r="CL22" s="16">
        <f ca="1">(L22-'Airfoil 1'!$Z$81)/ABS(L22-'Airfoil 1'!$Z$81)</f>
        <v>-1</v>
      </c>
      <c r="CM22" s="16">
        <f ca="1">(L22-'Airfoil 1'!$Z$82)/ABS(L22-'Airfoil 1'!$Z$82)</f>
        <v>-1</v>
      </c>
      <c r="CN22" s="16">
        <f ca="1">(L22-'Airfoil 1'!$Z$83)/ABS(L22-'Airfoil 1'!$Z$83)</f>
        <v>-1</v>
      </c>
      <c r="CO22" s="16">
        <f ca="1">(L22-'Airfoil 1'!$Z$84)/ABS(L22-'Airfoil 1'!$Z$84)</f>
        <v>-1</v>
      </c>
      <c r="CP22" s="16">
        <f ca="1">(L22-'Airfoil 1'!$Z$85)/ABS(L22-'Airfoil 1'!$Z$85)</f>
        <v>-1</v>
      </c>
      <c r="CQ22" s="16">
        <f ca="1">(L22-'Airfoil 1'!$Z$86)/ABS(L22-'Airfoil 1'!$Z$86)</f>
        <v>-1</v>
      </c>
      <c r="CR22" s="16">
        <f ca="1">(L22-'Airfoil 1'!$Z$87)/ABS(L22-'Airfoil 1'!$Z$87)</f>
        <v>-1</v>
      </c>
      <c r="CS22" s="16">
        <f ca="1">(L22-'Airfoil 1'!$Z$88)/ABS(L22-'Airfoil 1'!$Z$88)</f>
        <v>-1</v>
      </c>
      <c r="CT22" s="16">
        <f ca="1">(L22-'Airfoil 1'!$Z$89)/ABS(L22-'Airfoil 1'!$Z$89)</f>
        <v>-1</v>
      </c>
      <c r="CU22" s="16">
        <f ca="1">(L22-'Airfoil 1'!$Z$90)/ABS(L22-'Airfoil 1'!$Z$90)</f>
        <v>-1</v>
      </c>
      <c r="CV22" s="16">
        <f ca="1">(L22-'Airfoil 1'!$Z$91)/ABS(L22-'Airfoil 1'!$Z$91)</f>
        <v>-1</v>
      </c>
      <c r="CW22" s="5">
        <f t="shared" ref="CW22:CW40" ca="1" si="10">MAX(1,MATCH(-1,CC22:CV22,0)-1)</f>
        <v>4</v>
      </c>
      <c r="CX22" s="42">
        <f ca="1">INDEX('Airfoil 1'!$AA$72:$AA$91,CW22,1)+INDEX('Airfoil 1'!$AB$72:$AB$91,CW22,1)*(L22-INDEX('Airfoil 1'!$Z$72:$Z$91,CW22,1))</f>
        <v>1.1110331491712706E-2</v>
      </c>
    </row>
    <row r="23" spans="2:102">
      <c r="B23" s="31">
        <f>Main!B23</f>
        <v>0.33333333333333326</v>
      </c>
      <c r="D23" s="1">
        <f>Cruise!F23</f>
        <v>0.65969672852566186</v>
      </c>
      <c r="E23" s="4">
        <f>ISA!$R$10</f>
        <v>1.5987591530356481E-5</v>
      </c>
      <c r="G23" s="13">
        <f ca="1">Cruise!X23</f>
        <v>28.95427846750254</v>
      </c>
      <c r="H23" s="5">
        <f t="shared" ca="1" si="0"/>
        <v>398247.24371531681</v>
      </c>
      <c r="I23" s="16">
        <f ca="1">'Airfoil 2'!$K$14*H23^'Airfoil 2'!$L$13</f>
        <v>1.5857351263949091</v>
      </c>
      <c r="J23" s="1">
        <f ca="1">'Airfoil 2'!$K$33*H23^'Airfoil 2'!$L$32</f>
        <v>4.819542111633532</v>
      </c>
      <c r="K23" s="13">
        <f ca="1">'Airfoil 2'!$K$52*H23^'Airfoil 2'!$L$51</f>
        <v>-9.9939460525436559</v>
      </c>
      <c r="L23" s="16">
        <f ca="1">'Aerodynamics-Cruise'!W23</f>
        <v>0.9</v>
      </c>
      <c r="M23" s="10">
        <f ca="1">('Airfoil 1'!$B$21+'Airfoil 1'!$B$22*L23+'Airfoil 1'!$B$23*L23^2+'Airfoil 1'!$B$24*L23^3+'Airfoil 1'!$B$25*L23^4+'Airfoil 1'!$B$26*L23^5+'Airfoil 1'!$B$27*L23^6)*0+BD23</f>
        <v>2.4489313868613138E-2</v>
      </c>
      <c r="N23" s="42">
        <f ca="1">('Airfoil 1'!$B$29+'Airfoil 1'!$B$30*L23+'Airfoil 1'!$B$31*L23^2+'Airfoil 1'!$B$32*L23^3+'Airfoil 1'!$B$33*L23^4+'Airfoil 1'!$B$34*L23^5+'Airfoil 1'!$B$35*L23^6)*0+CA23</f>
        <v>1.7370857855361597E-2</v>
      </c>
      <c r="O23" s="42">
        <f ca="1">('Airfoil 1'!$B$37+'Airfoil 1'!$B$38*L23+'Airfoil 1'!$B$39*L23^2+'Airfoil 1'!$B$40*L23^3+'Airfoil 1'!$B$41*L23^4+'Airfoil 1'!$B$42*L23^5+'Airfoil 1'!$B$43*L23^6)*0+CX23</f>
        <v>1.1110331491712706E-2</v>
      </c>
      <c r="P23" s="16">
        <f>LOG('Airfoil 1'!$F$10)+LOG('Airfoil 1'!$G$10)+LOG('Airfoil 1'!$H$10)</f>
        <v>15.176091259055681</v>
      </c>
      <c r="Q23" s="16">
        <f t="shared" ca="1" si="1"/>
        <v>-5.3254750991929125</v>
      </c>
      <c r="R23" s="16">
        <f>LOG('Airfoil 1'!$F$10)^2+LOG('Airfoil 1'!$G$10)^2+LOG('Airfoil 1'!$H$10)^2</f>
        <v>76.867141336751558</v>
      </c>
      <c r="S23" s="16">
        <f ca="1">LOG('Airfoil 1'!$F$10)*LOG(M23)+LOG('Airfoil 1'!$G$10)*LOG(N23)+LOG('Airfoil 1'!$H$10)*LOG(O23)</f>
        <v>-27.014391057528009</v>
      </c>
      <c r="T23" s="16">
        <f t="shared" ca="1" si="2"/>
        <v>141.60346469083578</v>
      </c>
      <c r="U23" s="16">
        <f t="shared" ca="1" si="3"/>
        <v>-0.77613507568957385</v>
      </c>
      <c r="V23" s="42">
        <f ca="1">IF(Energy!$F$11=1,Energy!$T$13,1)*T23*H23^U23</f>
        <v>7.0303585865637676E-3</v>
      </c>
      <c r="W23" s="10">
        <f ca="1">'Airfoil 1'!$B$48+'Airfoil 1'!$B$49*L23+'Airfoil 1'!$B$50*L23^2+'Airfoil 1'!$B$51*L23^3+'Airfoil 1'!$B$52*L23^4+'Airfoil 1'!$B$53*L23^5+'Airfoil 1'!$B$54*L23^6</f>
        <v>-0.155</v>
      </c>
      <c r="X23" s="42">
        <f ca="1">'Airfoil 1'!$B$56+'Airfoil 1'!$B$57*L23+'Airfoil 1'!$B$58*L23^2+'Airfoil 1'!$B$59*L23^3+'Airfoil 1'!$B$60*L23^4+'Airfoil 1'!$B$61*L23^5+'Airfoil 1'!$B$62*L23^6</f>
        <v>-0.155</v>
      </c>
      <c r="Y23" s="42">
        <f ca="1">'Airfoil 1'!$B$64+'Airfoil 1'!$B$65*L23+'Airfoil 1'!$B$66*L23^2+'Airfoil 1'!$B$67*L23^3+'Airfoil 1'!$B$681*L23^4+'Airfoil 1'!$B$69*L23^5+'Airfoil 1'!$B$70*L23^6</f>
        <v>-0.155</v>
      </c>
      <c r="Z23" s="16">
        <f>LOG('Airfoil 1'!$F$10)+LOG('Airfoil 1'!$G$10)+LOG('Airfoil 1'!$H$10)</f>
        <v>15.176091259055681</v>
      </c>
      <c r="AA23" s="16">
        <f t="shared" ca="1" si="4"/>
        <v>-2.4290049054891254</v>
      </c>
      <c r="AB23" s="16">
        <f>LOG('Airfoil 1'!$F$10)^2+LOG('Airfoil 1'!$G$10)^2+LOG('Airfoil 1'!$H$10)^2</f>
        <v>76.867141336751558</v>
      </c>
      <c r="AC23" s="16">
        <f ca="1">LOG('Airfoil 1'!$F$10)*LOG(ABS(W23))+LOG('Airfoil 1'!$G$10)*LOG(ABS(X23))+LOG('Airfoil 1'!$H$10)*LOG(ABS(Y23))</f>
        <v>-12.287600038132297</v>
      </c>
      <c r="AD23" s="16">
        <f t="shared" ca="1" si="5"/>
        <v>0.1550000000000121</v>
      </c>
      <c r="AE23" s="16">
        <f t="shared" ca="1" si="6"/>
        <v>-6.6718325633022456E-15</v>
      </c>
      <c r="AF23" s="42">
        <f t="shared" ca="1" si="7"/>
        <v>-0.15499999999999878</v>
      </c>
      <c r="AG23" s="16"/>
      <c r="AH23" s="42"/>
      <c r="AI23" s="16">
        <f ca="1">(L23-'Airfoil 1'!$Z$22)/ABS(L23-'Airfoil 1'!$Z$22)</f>
        <v>1</v>
      </c>
      <c r="AJ23" s="16">
        <f ca="1">(L23-'Airfoil 1'!$Z$23)/ABS(L23-'Airfoil 1'!$Z$23)</f>
        <v>1</v>
      </c>
      <c r="AK23" s="16">
        <f ca="1">(L23-'Airfoil 1'!$Z$24)/ABS(L23-'Airfoil 1'!$Z$24)</f>
        <v>1</v>
      </c>
      <c r="AL23" s="16">
        <f ca="1">(L23-'Airfoil 1'!$Z$25)/ABS(L23-'Airfoil 1'!$Z$25)</f>
        <v>1</v>
      </c>
      <c r="AM23" s="16">
        <f ca="1">(L23-'Airfoil 1'!$Z$26)/ABS(L23-'Airfoil 1'!$Z$26)</f>
        <v>1</v>
      </c>
      <c r="AN23" s="16">
        <f ca="1">(L23-'Airfoil 1'!$Z$27)/ABS(L23-'Airfoil 1'!$Z$27)</f>
        <v>1</v>
      </c>
      <c r="AO23" s="16">
        <f ca="1">(L23-'Airfoil 1'!$Z$28)/ABS(L23-'Airfoil 1'!$Z$28)</f>
        <v>1</v>
      </c>
      <c r="AP23" s="16">
        <f ca="1">(L23-'Airfoil 1'!$Z$29)/ABS(L23-'Airfoil 1'!$Z$29)</f>
        <v>-1</v>
      </c>
      <c r="AQ23" s="16">
        <f ca="1">(L23-'Airfoil 1'!$Z$30)/ABS(L23-'Airfoil 1'!$Z$30)</f>
        <v>-1</v>
      </c>
      <c r="AR23" s="16">
        <f ca="1">(L23-'Airfoil 1'!$Z$31)/ABS(L23-'Airfoil 1'!$Z$31)</f>
        <v>-1</v>
      </c>
      <c r="AS23" s="16">
        <f ca="1">(L23-'Airfoil 1'!$Z$32)/ABS(L23-'Airfoil 1'!$Z$32)</f>
        <v>-1</v>
      </c>
      <c r="AT23" s="16">
        <f ca="1">(L23-'Airfoil 1'!$Z$33)/ABS(L23-'Airfoil 1'!$Z$33)</f>
        <v>-1</v>
      </c>
      <c r="AU23" s="16">
        <f ca="1">(L23-'Airfoil 1'!$Z$34)/ABS(L23-'Airfoil 1'!$Z$34)</f>
        <v>-1</v>
      </c>
      <c r="AV23" s="16">
        <f ca="1">(L23-'Airfoil 1'!$Z$35)/ABS(L23-'Airfoil 1'!$Z$35)</f>
        <v>-1</v>
      </c>
      <c r="AW23" s="16">
        <f ca="1">(L23-'Airfoil 1'!$Z$36)/ABS(L23-'Airfoil 1'!$Z$36)</f>
        <v>-1</v>
      </c>
      <c r="AX23" s="16">
        <f ca="1">(L23-'Airfoil 1'!$Z$37)/ABS(L23-'Airfoil 1'!$Z$37)</f>
        <v>-1</v>
      </c>
      <c r="AY23" s="16">
        <f ca="1">(L23-'Airfoil 1'!$Z$38)/ABS(L23-'Airfoil 1'!$Z$38)</f>
        <v>-1</v>
      </c>
      <c r="AZ23" s="16">
        <f ca="1">(L23-'Airfoil 1'!$Z$39)/ABS(L23-'Airfoil 1'!$Z$39)</f>
        <v>-1</v>
      </c>
      <c r="BA23" s="16">
        <f ca="1">(L23-'Airfoil 1'!$Z$40)/ABS(L23-'Airfoil 1'!$Z$40)</f>
        <v>-1</v>
      </c>
      <c r="BB23" s="16">
        <f ca="1">(L23-'Airfoil 1'!$Z$41)/ABS(L23-'Airfoil 1'!$Z$41)</f>
        <v>-1</v>
      </c>
      <c r="BC23" s="5">
        <f t="shared" ca="1" si="8"/>
        <v>7</v>
      </c>
      <c r="BD23" s="42">
        <f ca="1">INDEX('Airfoil 1'!$AA$22:$AA$41,BC23,1)+INDEX('Airfoil 1'!$AB$22:$AB$41,BC23,1)*(L23-INDEX('Airfoil 1'!$Z$22:$Z$41,BC23,1))</f>
        <v>2.4489313868613138E-2</v>
      </c>
      <c r="BE23" s="6"/>
      <c r="BF23" s="16">
        <f ca="1">(L23-'Airfoil 1'!$Z$47)/ABS(L23-'Airfoil 1'!$Z$47)</f>
        <v>1</v>
      </c>
      <c r="BG23" s="16">
        <f ca="1">(L23-'Airfoil 1'!$Z$48)/ABS(L23-'Airfoil 1'!$Z$48)</f>
        <v>1</v>
      </c>
      <c r="BH23" s="16">
        <f ca="1">(L23-'Airfoil 1'!$Z$49)/ABS(L23-'Airfoil 1'!$Z$49)</f>
        <v>1</v>
      </c>
      <c r="BI23" s="16">
        <f ca="1">(L23-'Airfoil 1'!$Z$50)/ABS(L23-'Airfoil 1'!$Z$50)</f>
        <v>1</v>
      </c>
      <c r="BJ23" s="16">
        <f ca="1">(L23-'Airfoil 1'!$Z$51)/ABS(L23-'Airfoil 1'!$Z$51)</f>
        <v>1</v>
      </c>
      <c r="BK23" s="16">
        <f ca="1">(L23-'Airfoil 1'!$Z$52)/ABS(L23-'Airfoil 1'!$Z$52)</f>
        <v>1</v>
      </c>
      <c r="BL23" s="16">
        <f ca="1">(L23-'Airfoil 1'!$Z$53)/ABS(L23-'Airfoil 1'!$Z$53)</f>
        <v>-1</v>
      </c>
      <c r="BM23" s="16">
        <f ca="1">(L23-'Airfoil 1'!$Z$54)/ABS(L23-'Airfoil 1'!$Z$54)</f>
        <v>-1</v>
      </c>
      <c r="BN23" s="16">
        <f ca="1">(L23-'Airfoil 1'!$Z$55)/ABS(L23-'Airfoil 1'!$Z$55)</f>
        <v>-1</v>
      </c>
      <c r="BO23" s="16">
        <f ca="1">(L23-'Airfoil 1'!$Z$56)/ABS(L23-'Airfoil 1'!$Z$56)</f>
        <v>-1</v>
      </c>
      <c r="BP23" s="16">
        <f ca="1">(L23-'Airfoil 1'!$Z$57)/ABS(L23-'Airfoil 1'!$Z$57)</f>
        <v>-1</v>
      </c>
      <c r="BQ23" s="16">
        <f ca="1">(L23-'Airfoil 1'!$Z$58)/ABS(L23-'Airfoil 1'!$Z$58)</f>
        <v>-1</v>
      </c>
      <c r="BR23" s="16">
        <f ca="1">(L23-'Airfoil 1'!$Z$59)/ABS(L23-'Airfoil 1'!$Z$59)</f>
        <v>-1</v>
      </c>
      <c r="BS23" s="16">
        <f ca="1">(L23-'Airfoil 1'!$Z$60)/ABS(L23-'Airfoil 1'!$Z$60)</f>
        <v>-1</v>
      </c>
      <c r="BT23" s="16">
        <f ca="1">(L23-'Airfoil 1'!$Z$61)/ABS(L23-'Airfoil 1'!$Z$61)</f>
        <v>-1</v>
      </c>
      <c r="BU23" s="16">
        <f ca="1">(L23-'Airfoil 1'!$Z$62)/ABS(L23-'Airfoil 1'!$Z$62)</f>
        <v>-1</v>
      </c>
      <c r="BV23" s="16">
        <f ca="1">(L23-'Airfoil 1'!$Z$63)/ABS(L23-'Airfoil 1'!$Z$63)</f>
        <v>-1</v>
      </c>
      <c r="BW23" s="16">
        <f ca="1">(L23-'Airfoil 1'!$Z$64)/ABS(L23-'Airfoil 1'!$Z$64)</f>
        <v>-1</v>
      </c>
      <c r="BX23" s="16">
        <f ca="1">(L23-'Airfoil 1'!$Z$65)/ABS(L23-'Airfoil 1'!$Z$65)</f>
        <v>-1</v>
      </c>
      <c r="BY23" s="16">
        <f ca="1">(L23-'Airfoil 1'!$Z$66)/ABS(L23-'Airfoil 1'!$Z$66)</f>
        <v>-1</v>
      </c>
      <c r="BZ23" s="5">
        <f t="shared" ca="1" si="9"/>
        <v>6</v>
      </c>
      <c r="CA23" s="42">
        <f ca="1">INDEX('Airfoil 1'!$AA$47:$AA$66,BZ23,1)+INDEX('Airfoil 1'!$AB$47:$AB$66,BZ23,1)*(L23-INDEX('Airfoil 1'!$Z$47:$Z$66,BZ23,1))</f>
        <v>1.7370857855361597E-2</v>
      </c>
      <c r="CC23" s="16">
        <f ca="1">(L23-'Airfoil 1'!$Z$72)/ABS(L23-'Airfoil 1'!$Z$72)</f>
        <v>1</v>
      </c>
      <c r="CD23" s="16">
        <f ca="1">(L23-'Airfoil 1'!$Z$73)/ABS(L23-'Airfoil 1'!$Z$73)</f>
        <v>1</v>
      </c>
      <c r="CE23" s="16">
        <f ca="1">(L23-'Airfoil 1'!$Z$74)/ABS(L23-'Airfoil 1'!$Z$74)</f>
        <v>1</v>
      </c>
      <c r="CF23" s="16">
        <f ca="1">(L23-'Airfoil 1'!$Z$75)/ABS(L23-'Airfoil 1'!$Z$75)</f>
        <v>1</v>
      </c>
      <c r="CG23" s="16">
        <f ca="1">(L23-'Airfoil 1'!$Z$76)/ABS(L23-'Airfoil 1'!$Z$76)</f>
        <v>-1</v>
      </c>
      <c r="CH23" s="16">
        <f ca="1">(L23-'Airfoil 1'!$Z$77)/ABS(L23-'Airfoil 1'!$Z$77)</f>
        <v>-1</v>
      </c>
      <c r="CI23" s="16">
        <f ca="1">(L23-'Airfoil 1'!$Z$78)/ABS(L23-'Airfoil 1'!$Z$78)</f>
        <v>-1</v>
      </c>
      <c r="CJ23" s="16">
        <f ca="1">(L23-'Airfoil 1'!$Z$79)/ABS(L23-'Airfoil 1'!$Z$79)</f>
        <v>-1</v>
      </c>
      <c r="CK23" s="16">
        <f ca="1">(L23-'Airfoil 1'!$Z$80)/ABS(L23-'Airfoil 1'!$Z$80)</f>
        <v>-1</v>
      </c>
      <c r="CL23" s="16">
        <f ca="1">(L23-'Airfoil 1'!$Z$81)/ABS(L23-'Airfoil 1'!$Z$81)</f>
        <v>-1</v>
      </c>
      <c r="CM23" s="16">
        <f ca="1">(L23-'Airfoil 1'!$Z$82)/ABS(L23-'Airfoil 1'!$Z$82)</f>
        <v>-1</v>
      </c>
      <c r="CN23" s="16">
        <f ca="1">(L23-'Airfoil 1'!$Z$83)/ABS(L23-'Airfoil 1'!$Z$83)</f>
        <v>-1</v>
      </c>
      <c r="CO23" s="16">
        <f ca="1">(L23-'Airfoil 1'!$Z$84)/ABS(L23-'Airfoil 1'!$Z$84)</f>
        <v>-1</v>
      </c>
      <c r="CP23" s="16">
        <f ca="1">(L23-'Airfoil 1'!$Z$85)/ABS(L23-'Airfoil 1'!$Z$85)</f>
        <v>-1</v>
      </c>
      <c r="CQ23" s="16">
        <f ca="1">(L23-'Airfoil 1'!$Z$86)/ABS(L23-'Airfoil 1'!$Z$86)</f>
        <v>-1</v>
      </c>
      <c r="CR23" s="16">
        <f ca="1">(L23-'Airfoil 1'!$Z$87)/ABS(L23-'Airfoil 1'!$Z$87)</f>
        <v>-1</v>
      </c>
      <c r="CS23" s="16">
        <f ca="1">(L23-'Airfoil 1'!$Z$88)/ABS(L23-'Airfoil 1'!$Z$88)</f>
        <v>-1</v>
      </c>
      <c r="CT23" s="16">
        <f ca="1">(L23-'Airfoil 1'!$Z$89)/ABS(L23-'Airfoil 1'!$Z$89)</f>
        <v>-1</v>
      </c>
      <c r="CU23" s="16">
        <f ca="1">(L23-'Airfoil 1'!$Z$90)/ABS(L23-'Airfoil 1'!$Z$90)</f>
        <v>-1</v>
      </c>
      <c r="CV23" s="16">
        <f ca="1">(L23-'Airfoil 1'!$Z$91)/ABS(L23-'Airfoil 1'!$Z$91)</f>
        <v>-1</v>
      </c>
      <c r="CW23" s="5">
        <f t="shared" ca="1" si="10"/>
        <v>4</v>
      </c>
      <c r="CX23" s="42">
        <f ca="1">INDEX('Airfoil 1'!$AA$72:$AA$91,CW23,1)+INDEX('Airfoil 1'!$AB$72:$AB$91,CW23,1)*(L23-INDEX('Airfoil 1'!$Z$72:$Z$91,CW23,1))</f>
        <v>1.1110331491712706E-2</v>
      </c>
    </row>
    <row r="24" spans="2:102">
      <c r="B24" s="31">
        <f>Main!B24</f>
        <v>0.33333333333333326</v>
      </c>
      <c r="D24" s="1">
        <f>Cruise!F24</f>
        <v>0.65969672852566186</v>
      </c>
      <c r="E24" s="4">
        <f>ISA!$R$10</f>
        <v>1.5987591530356481E-5</v>
      </c>
      <c r="G24" s="13">
        <f ca="1">Cruise!X24</f>
        <v>27.449674188584485</v>
      </c>
      <c r="H24" s="5">
        <f t="shared" ca="1" si="0"/>
        <v>377552.39173916</v>
      </c>
      <c r="I24" s="16">
        <f ca="1">'Airfoil 2'!$K$14*H24^'Airfoil 2'!$L$13</f>
        <v>1.584559220351571</v>
      </c>
      <c r="J24" s="1">
        <f ca="1">'Airfoil 2'!$K$33*H24^'Airfoil 2'!$L$32</f>
        <v>4.9068271558908192</v>
      </c>
      <c r="K24" s="13">
        <f ca="1">'Airfoil 2'!$K$52*H24^'Airfoil 2'!$L$51</f>
        <v>-9.6435811822405419</v>
      </c>
      <c r="L24" s="16">
        <f ca="1">'Aerodynamics-Cruise'!W24</f>
        <v>0.9</v>
      </c>
      <c r="M24" s="10">
        <f ca="1">('Airfoil 1'!$B$21+'Airfoil 1'!$B$22*L24+'Airfoil 1'!$B$23*L24^2+'Airfoil 1'!$B$24*L24^3+'Airfoil 1'!$B$25*L24^4+'Airfoil 1'!$B$26*L24^5+'Airfoil 1'!$B$27*L24^6)*0+BD24</f>
        <v>2.4489313868613138E-2</v>
      </c>
      <c r="N24" s="42">
        <f ca="1">('Airfoil 1'!$B$29+'Airfoil 1'!$B$30*L24+'Airfoil 1'!$B$31*L24^2+'Airfoil 1'!$B$32*L24^3+'Airfoil 1'!$B$33*L24^4+'Airfoil 1'!$B$34*L24^5+'Airfoil 1'!$B$35*L24^6)*0+CA24</f>
        <v>1.7370857855361597E-2</v>
      </c>
      <c r="O24" s="42">
        <f ca="1">('Airfoil 1'!$B$37+'Airfoil 1'!$B$38*L24+'Airfoil 1'!$B$39*L24^2+'Airfoil 1'!$B$40*L24^3+'Airfoil 1'!$B$41*L24^4+'Airfoil 1'!$B$42*L24^5+'Airfoil 1'!$B$43*L24^6)*0+CX24</f>
        <v>1.1110331491712706E-2</v>
      </c>
      <c r="P24" s="16">
        <f>LOG('Airfoil 1'!$F$10)+LOG('Airfoil 1'!$G$10)+LOG('Airfoil 1'!$H$10)</f>
        <v>15.176091259055681</v>
      </c>
      <c r="Q24" s="16">
        <f t="shared" ca="1" si="1"/>
        <v>-5.3254750991929125</v>
      </c>
      <c r="R24" s="16">
        <f>LOG('Airfoil 1'!$F$10)^2+LOG('Airfoil 1'!$G$10)^2+LOG('Airfoil 1'!$H$10)^2</f>
        <v>76.867141336751558</v>
      </c>
      <c r="S24" s="16">
        <f ca="1">LOG('Airfoil 1'!$F$10)*LOG(M24)+LOG('Airfoil 1'!$G$10)*LOG(N24)+LOG('Airfoil 1'!$H$10)*LOG(O24)</f>
        <v>-27.014391057528009</v>
      </c>
      <c r="T24" s="16">
        <f t="shared" ca="1" si="2"/>
        <v>141.60346469083578</v>
      </c>
      <c r="U24" s="16">
        <f t="shared" ca="1" si="3"/>
        <v>-0.77613507568957385</v>
      </c>
      <c r="V24" s="42">
        <f ca="1">IF(Energy!$F$11=1,Energy!$T$13,1)*T24*H24^U24</f>
        <v>7.3276520093846264E-3</v>
      </c>
      <c r="W24" s="10">
        <f ca="1">'Airfoil 1'!$B$48+'Airfoil 1'!$B$49*L24+'Airfoil 1'!$B$50*L24^2+'Airfoil 1'!$B$51*L24^3+'Airfoil 1'!$B$52*L24^4+'Airfoil 1'!$B$53*L24^5+'Airfoil 1'!$B$54*L24^6</f>
        <v>-0.155</v>
      </c>
      <c r="X24" s="42">
        <f ca="1">'Airfoil 1'!$B$56+'Airfoil 1'!$B$57*L24+'Airfoil 1'!$B$58*L24^2+'Airfoil 1'!$B$59*L24^3+'Airfoil 1'!$B$60*L24^4+'Airfoil 1'!$B$61*L24^5+'Airfoil 1'!$B$62*L24^6</f>
        <v>-0.155</v>
      </c>
      <c r="Y24" s="42">
        <f ca="1">'Airfoil 1'!$B$64+'Airfoil 1'!$B$65*L24+'Airfoil 1'!$B$66*L24^2+'Airfoil 1'!$B$67*L24^3+'Airfoil 1'!$B$681*L24^4+'Airfoil 1'!$B$69*L24^5+'Airfoil 1'!$B$70*L24^6</f>
        <v>-0.155</v>
      </c>
      <c r="Z24" s="16">
        <f>LOG('Airfoil 1'!$F$10)+LOG('Airfoil 1'!$G$10)+LOG('Airfoil 1'!$H$10)</f>
        <v>15.176091259055681</v>
      </c>
      <c r="AA24" s="16">
        <f t="shared" ca="1" si="4"/>
        <v>-2.4290049054891254</v>
      </c>
      <c r="AB24" s="16">
        <f>LOG('Airfoil 1'!$F$10)^2+LOG('Airfoil 1'!$G$10)^2+LOG('Airfoil 1'!$H$10)^2</f>
        <v>76.867141336751558</v>
      </c>
      <c r="AC24" s="16">
        <f ca="1">LOG('Airfoil 1'!$F$10)*LOG(ABS(W24))+LOG('Airfoil 1'!$G$10)*LOG(ABS(X24))+LOG('Airfoil 1'!$H$10)*LOG(ABS(Y24))</f>
        <v>-12.287600038132297</v>
      </c>
      <c r="AD24" s="16">
        <f t="shared" ca="1" si="5"/>
        <v>0.1550000000000121</v>
      </c>
      <c r="AE24" s="16">
        <f t="shared" ca="1" si="6"/>
        <v>-6.6718325633022456E-15</v>
      </c>
      <c r="AF24" s="42">
        <f t="shared" ca="1" si="7"/>
        <v>-0.15499999999999881</v>
      </c>
      <c r="AG24" s="16"/>
      <c r="AH24" s="42"/>
      <c r="AI24" s="16">
        <f ca="1">(L24-'Airfoil 1'!$Z$22)/ABS(L24-'Airfoil 1'!$Z$22)</f>
        <v>1</v>
      </c>
      <c r="AJ24" s="16">
        <f ca="1">(L24-'Airfoil 1'!$Z$23)/ABS(L24-'Airfoil 1'!$Z$23)</f>
        <v>1</v>
      </c>
      <c r="AK24" s="16">
        <f ca="1">(L24-'Airfoil 1'!$Z$24)/ABS(L24-'Airfoil 1'!$Z$24)</f>
        <v>1</v>
      </c>
      <c r="AL24" s="16">
        <f ca="1">(L24-'Airfoil 1'!$Z$25)/ABS(L24-'Airfoil 1'!$Z$25)</f>
        <v>1</v>
      </c>
      <c r="AM24" s="16">
        <f ca="1">(L24-'Airfoil 1'!$Z$26)/ABS(L24-'Airfoil 1'!$Z$26)</f>
        <v>1</v>
      </c>
      <c r="AN24" s="16">
        <f ca="1">(L24-'Airfoil 1'!$Z$27)/ABS(L24-'Airfoil 1'!$Z$27)</f>
        <v>1</v>
      </c>
      <c r="AO24" s="16">
        <f ca="1">(L24-'Airfoil 1'!$Z$28)/ABS(L24-'Airfoil 1'!$Z$28)</f>
        <v>1</v>
      </c>
      <c r="AP24" s="16">
        <f ca="1">(L24-'Airfoil 1'!$Z$29)/ABS(L24-'Airfoil 1'!$Z$29)</f>
        <v>-1</v>
      </c>
      <c r="AQ24" s="16">
        <f ca="1">(L24-'Airfoil 1'!$Z$30)/ABS(L24-'Airfoil 1'!$Z$30)</f>
        <v>-1</v>
      </c>
      <c r="AR24" s="16">
        <f ca="1">(L24-'Airfoil 1'!$Z$31)/ABS(L24-'Airfoil 1'!$Z$31)</f>
        <v>-1</v>
      </c>
      <c r="AS24" s="16">
        <f ca="1">(L24-'Airfoil 1'!$Z$32)/ABS(L24-'Airfoil 1'!$Z$32)</f>
        <v>-1</v>
      </c>
      <c r="AT24" s="16">
        <f ca="1">(L24-'Airfoil 1'!$Z$33)/ABS(L24-'Airfoil 1'!$Z$33)</f>
        <v>-1</v>
      </c>
      <c r="AU24" s="16">
        <f ca="1">(L24-'Airfoil 1'!$Z$34)/ABS(L24-'Airfoil 1'!$Z$34)</f>
        <v>-1</v>
      </c>
      <c r="AV24" s="16">
        <f ca="1">(L24-'Airfoil 1'!$Z$35)/ABS(L24-'Airfoil 1'!$Z$35)</f>
        <v>-1</v>
      </c>
      <c r="AW24" s="16">
        <f ca="1">(L24-'Airfoil 1'!$Z$36)/ABS(L24-'Airfoil 1'!$Z$36)</f>
        <v>-1</v>
      </c>
      <c r="AX24" s="16">
        <f ca="1">(L24-'Airfoil 1'!$Z$37)/ABS(L24-'Airfoil 1'!$Z$37)</f>
        <v>-1</v>
      </c>
      <c r="AY24" s="16">
        <f ca="1">(L24-'Airfoil 1'!$Z$38)/ABS(L24-'Airfoil 1'!$Z$38)</f>
        <v>-1</v>
      </c>
      <c r="AZ24" s="16">
        <f ca="1">(L24-'Airfoil 1'!$Z$39)/ABS(L24-'Airfoil 1'!$Z$39)</f>
        <v>-1</v>
      </c>
      <c r="BA24" s="16">
        <f ca="1">(L24-'Airfoil 1'!$Z$40)/ABS(L24-'Airfoil 1'!$Z$40)</f>
        <v>-1</v>
      </c>
      <c r="BB24" s="16">
        <f ca="1">(L24-'Airfoil 1'!$Z$41)/ABS(L24-'Airfoil 1'!$Z$41)</f>
        <v>-1</v>
      </c>
      <c r="BC24" s="5">
        <f t="shared" ca="1" si="8"/>
        <v>7</v>
      </c>
      <c r="BD24" s="42">
        <f ca="1">INDEX('Airfoil 1'!$AA$22:$AA$41,BC24,1)+INDEX('Airfoil 1'!$AB$22:$AB$41,BC24,1)*(L24-INDEX('Airfoil 1'!$Z$22:$Z$41,BC24,1))</f>
        <v>2.4489313868613138E-2</v>
      </c>
      <c r="BE24" s="6"/>
      <c r="BF24" s="16">
        <f ca="1">(L24-'Airfoil 1'!$Z$47)/ABS(L24-'Airfoil 1'!$Z$47)</f>
        <v>1</v>
      </c>
      <c r="BG24" s="16">
        <f ca="1">(L24-'Airfoil 1'!$Z$48)/ABS(L24-'Airfoil 1'!$Z$48)</f>
        <v>1</v>
      </c>
      <c r="BH24" s="16">
        <f ca="1">(L24-'Airfoil 1'!$Z$49)/ABS(L24-'Airfoil 1'!$Z$49)</f>
        <v>1</v>
      </c>
      <c r="BI24" s="16">
        <f ca="1">(L24-'Airfoil 1'!$Z$50)/ABS(L24-'Airfoil 1'!$Z$50)</f>
        <v>1</v>
      </c>
      <c r="BJ24" s="16">
        <f ca="1">(L24-'Airfoil 1'!$Z$51)/ABS(L24-'Airfoil 1'!$Z$51)</f>
        <v>1</v>
      </c>
      <c r="BK24" s="16">
        <f ca="1">(L24-'Airfoil 1'!$Z$52)/ABS(L24-'Airfoil 1'!$Z$52)</f>
        <v>1</v>
      </c>
      <c r="BL24" s="16">
        <f ca="1">(L24-'Airfoil 1'!$Z$53)/ABS(L24-'Airfoil 1'!$Z$53)</f>
        <v>-1</v>
      </c>
      <c r="BM24" s="16">
        <f ca="1">(L24-'Airfoil 1'!$Z$54)/ABS(L24-'Airfoil 1'!$Z$54)</f>
        <v>-1</v>
      </c>
      <c r="BN24" s="16">
        <f ca="1">(L24-'Airfoil 1'!$Z$55)/ABS(L24-'Airfoil 1'!$Z$55)</f>
        <v>-1</v>
      </c>
      <c r="BO24" s="16">
        <f ca="1">(L24-'Airfoil 1'!$Z$56)/ABS(L24-'Airfoil 1'!$Z$56)</f>
        <v>-1</v>
      </c>
      <c r="BP24" s="16">
        <f ca="1">(L24-'Airfoil 1'!$Z$57)/ABS(L24-'Airfoil 1'!$Z$57)</f>
        <v>-1</v>
      </c>
      <c r="BQ24" s="16">
        <f ca="1">(L24-'Airfoil 1'!$Z$58)/ABS(L24-'Airfoil 1'!$Z$58)</f>
        <v>-1</v>
      </c>
      <c r="BR24" s="16">
        <f ca="1">(L24-'Airfoil 1'!$Z$59)/ABS(L24-'Airfoil 1'!$Z$59)</f>
        <v>-1</v>
      </c>
      <c r="BS24" s="16">
        <f ca="1">(L24-'Airfoil 1'!$Z$60)/ABS(L24-'Airfoil 1'!$Z$60)</f>
        <v>-1</v>
      </c>
      <c r="BT24" s="16">
        <f ca="1">(L24-'Airfoil 1'!$Z$61)/ABS(L24-'Airfoil 1'!$Z$61)</f>
        <v>-1</v>
      </c>
      <c r="BU24" s="16">
        <f ca="1">(L24-'Airfoil 1'!$Z$62)/ABS(L24-'Airfoil 1'!$Z$62)</f>
        <v>-1</v>
      </c>
      <c r="BV24" s="16">
        <f ca="1">(L24-'Airfoil 1'!$Z$63)/ABS(L24-'Airfoil 1'!$Z$63)</f>
        <v>-1</v>
      </c>
      <c r="BW24" s="16">
        <f ca="1">(L24-'Airfoil 1'!$Z$64)/ABS(L24-'Airfoil 1'!$Z$64)</f>
        <v>-1</v>
      </c>
      <c r="BX24" s="16">
        <f ca="1">(L24-'Airfoil 1'!$Z$65)/ABS(L24-'Airfoil 1'!$Z$65)</f>
        <v>-1</v>
      </c>
      <c r="BY24" s="16">
        <f ca="1">(L24-'Airfoil 1'!$Z$66)/ABS(L24-'Airfoil 1'!$Z$66)</f>
        <v>-1</v>
      </c>
      <c r="BZ24" s="5">
        <f t="shared" ca="1" si="9"/>
        <v>6</v>
      </c>
      <c r="CA24" s="42">
        <f ca="1">INDEX('Airfoil 1'!$AA$47:$AA$66,BZ24,1)+INDEX('Airfoil 1'!$AB$47:$AB$66,BZ24,1)*(L24-INDEX('Airfoil 1'!$Z$47:$Z$66,BZ24,1))</f>
        <v>1.7370857855361597E-2</v>
      </c>
      <c r="CC24" s="16">
        <f ca="1">(L24-'Airfoil 1'!$Z$72)/ABS(L24-'Airfoil 1'!$Z$72)</f>
        <v>1</v>
      </c>
      <c r="CD24" s="16">
        <f ca="1">(L24-'Airfoil 1'!$Z$73)/ABS(L24-'Airfoil 1'!$Z$73)</f>
        <v>1</v>
      </c>
      <c r="CE24" s="16">
        <f ca="1">(L24-'Airfoil 1'!$Z$74)/ABS(L24-'Airfoil 1'!$Z$74)</f>
        <v>1</v>
      </c>
      <c r="CF24" s="16">
        <f ca="1">(L24-'Airfoil 1'!$Z$75)/ABS(L24-'Airfoil 1'!$Z$75)</f>
        <v>1</v>
      </c>
      <c r="CG24" s="16">
        <f ca="1">(L24-'Airfoil 1'!$Z$76)/ABS(L24-'Airfoil 1'!$Z$76)</f>
        <v>-1</v>
      </c>
      <c r="CH24" s="16">
        <f ca="1">(L24-'Airfoil 1'!$Z$77)/ABS(L24-'Airfoil 1'!$Z$77)</f>
        <v>-1</v>
      </c>
      <c r="CI24" s="16">
        <f ca="1">(L24-'Airfoil 1'!$Z$78)/ABS(L24-'Airfoil 1'!$Z$78)</f>
        <v>-1</v>
      </c>
      <c r="CJ24" s="16">
        <f ca="1">(L24-'Airfoil 1'!$Z$79)/ABS(L24-'Airfoil 1'!$Z$79)</f>
        <v>-1</v>
      </c>
      <c r="CK24" s="16">
        <f ca="1">(L24-'Airfoil 1'!$Z$80)/ABS(L24-'Airfoil 1'!$Z$80)</f>
        <v>-1</v>
      </c>
      <c r="CL24" s="16">
        <f ca="1">(L24-'Airfoil 1'!$Z$81)/ABS(L24-'Airfoil 1'!$Z$81)</f>
        <v>-1</v>
      </c>
      <c r="CM24" s="16">
        <f ca="1">(L24-'Airfoil 1'!$Z$82)/ABS(L24-'Airfoil 1'!$Z$82)</f>
        <v>-1</v>
      </c>
      <c r="CN24" s="16">
        <f ca="1">(L24-'Airfoil 1'!$Z$83)/ABS(L24-'Airfoil 1'!$Z$83)</f>
        <v>-1</v>
      </c>
      <c r="CO24" s="16">
        <f ca="1">(L24-'Airfoil 1'!$Z$84)/ABS(L24-'Airfoil 1'!$Z$84)</f>
        <v>-1</v>
      </c>
      <c r="CP24" s="16">
        <f ca="1">(L24-'Airfoil 1'!$Z$85)/ABS(L24-'Airfoil 1'!$Z$85)</f>
        <v>-1</v>
      </c>
      <c r="CQ24" s="16">
        <f ca="1">(L24-'Airfoil 1'!$Z$86)/ABS(L24-'Airfoil 1'!$Z$86)</f>
        <v>-1</v>
      </c>
      <c r="CR24" s="16">
        <f ca="1">(L24-'Airfoil 1'!$Z$87)/ABS(L24-'Airfoil 1'!$Z$87)</f>
        <v>-1</v>
      </c>
      <c r="CS24" s="16">
        <f ca="1">(L24-'Airfoil 1'!$Z$88)/ABS(L24-'Airfoil 1'!$Z$88)</f>
        <v>-1</v>
      </c>
      <c r="CT24" s="16">
        <f ca="1">(L24-'Airfoil 1'!$Z$89)/ABS(L24-'Airfoil 1'!$Z$89)</f>
        <v>-1</v>
      </c>
      <c r="CU24" s="16">
        <f ca="1">(L24-'Airfoil 1'!$Z$90)/ABS(L24-'Airfoil 1'!$Z$90)</f>
        <v>-1</v>
      </c>
      <c r="CV24" s="16">
        <f ca="1">(L24-'Airfoil 1'!$Z$91)/ABS(L24-'Airfoil 1'!$Z$91)</f>
        <v>-1</v>
      </c>
      <c r="CW24" s="5">
        <f t="shared" ca="1" si="10"/>
        <v>4</v>
      </c>
      <c r="CX24" s="42">
        <f ca="1">INDEX('Airfoil 1'!$AA$72:$AA$91,CW24,1)+INDEX('Airfoil 1'!$AB$72:$AB$91,CW24,1)*(L24-INDEX('Airfoil 1'!$Z$72:$Z$91,CW24,1))</f>
        <v>1.1110331491712706E-2</v>
      </c>
    </row>
    <row r="25" spans="2:102">
      <c r="B25" s="31">
        <f>Main!B25</f>
        <v>0.33333333333333326</v>
      </c>
      <c r="D25" s="1">
        <f>Cruise!F25</f>
        <v>0.65969672852566186</v>
      </c>
      <c r="E25" s="4">
        <f>ISA!$R$10</f>
        <v>1.5987591530356481E-5</v>
      </c>
      <c r="G25" s="13">
        <f ca="1">Cruise!X25</f>
        <v>27.038832775859639</v>
      </c>
      <c r="H25" s="5">
        <f t="shared" ca="1" si="0"/>
        <v>371901.53566946328</v>
      </c>
      <c r="I25" s="16">
        <f ca="1">'Airfoil 2'!$K$14*H25^'Airfoil 2'!$L$13</f>
        <v>1.5842270753320722</v>
      </c>
      <c r="J25" s="1">
        <f ca="1">'Airfoil 2'!$K$33*H25^'Airfoil 2'!$L$32</f>
        <v>4.9317785666768117</v>
      </c>
      <c r="K25" s="13">
        <f ca="1">'Airfoil 2'!$K$52*H25^'Airfoil 2'!$L$51</f>
        <v>-9.5468153913771374</v>
      </c>
      <c r="L25" s="16">
        <f ca="1">'Aerodynamics-Cruise'!W25</f>
        <v>0.9</v>
      </c>
      <c r="M25" s="10">
        <f ca="1">('Airfoil 1'!$B$21+'Airfoil 1'!$B$22*L25+'Airfoil 1'!$B$23*L25^2+'Airfoil 1'!$B$24*L25^3+'Airfoil 1'!$B$25*L25^4+'Airfoil 1'!$B$26*L25^5+'Airfoil 1'!$B$27*L25^6)*0+BD25</f>
        <v>2.4489313868613138E-2</v>
      </c>
      <c r="N25" s="42">
        <f ca="1">('Airfoil 1'!$B$29+'Airfoil 1'!$B$30*L25+'Airfoil 1'!$B$31*L25^2+'Airfoil 1'!$B$32*L25^3+'Airfoil 1'!$B$33*L25^4+'Airfoil 1'!$B$34*L25^5+'Airfoil 1'!$B$35*L25^6)*0+CA25</f>
        <v>1.7370857855361597E-2</v>
      </c>
      <c r="O25" s="42">
        <f ca="1">('Airfoil 1'!$B$37+'Airfoil 1'!$B$38*L25+'Airfoil 1'!$B$39*L25^2+'Airfoil 1'!$B$40*L25^3+'Airfoil 1'!$B$41*L25^4+'Airfoil 1'!$B$42*L25^5+'Airfoil 1'!$B$43*L25^6)*0+CX25</f>
        <v>1.1110331491712706E-2</v>
      </c>
      <c r="P25" s="16">
        <f>LOG('Airfoil 1'!$F$10)+LOG('Airfoil 1'!$G$10)+LOG('Airfoil 1'!$H$10)</f>
        <v>15.176091259055681</v>
      </c>
      <c r="Q25" s="16">
        <f t="shared" ca="1" si="1"/>
        <v>-5.3254750991929125</v>
      </c>
      <c r="R25" s="16">
        <f>LOG('Airfoil 1'!$F$10)^2+LOG('Airfoil 1'!$G$10)^2+LOG('Airfoil 1'!$H$10)^2</f>
        <v>76.867141336751558</v>
      </c>
      <c r="S25" s="16">
        <f ca="1">LOG('Airfoil 1'!$F$10)*LOG(M25)+LOG('Airfoil 1'!$G$10)*LOG(N25)+LOG('Airfoil 1'!$H$10)*LOG(O25)</f>
        <v>-27.014391057528009</v>
      </c>
      <c r="T25" s="16">
        <f t="shared" ca="1" si="2"/>
        <v>141.60346469083578</v>
      </c>
      <c r="U25" s="16">
        <f t="shared" ca="1" si="3"/>
        <v>-0.77613507568957385</v>
      </c>
      <c r="V25" s="42">
        <f ca="1">IF(Energy!$F$11=1,Energy!$T$13,1)*T25*H25^U25</f>
        <v>7.4139208002394581E-3</v>
      </c>
      <c r="W25" s="10">
        <f ca="1">'Airfoil 1'!$B$48+'Airfoil 1'!$B$49*L25+'Airfoil 1'!$B$50*L25^2+'Airfoil 1'!$B$51*L25^3+'Airfoil 1'!$B$52*L25^4+'Airfoil 1'!$B$53*L25^5+'Airfoil 1'!$B$54*L25^6</f>
        <v>-0.155</v>
      </c>
      <c r="X25" s="42">
        <f ca="1">'Airfoil 1'!$B$56+'Airfoil 1'!$B$57*L25+'Airfoil 1'!$B$58*L25^2+'Airfoil 1'!$B$59*L25^3+'Airfoil 1'!$B$60*L25^4+'Airfoil 1'!$B$61*L25^5+'Airfoil 1'!$B$62*L25^6</f>
        <v>-0.155</v>
      </c>
      <c r="Y25" s="42">
        <f ca="1">'Airfoil 1'!$B$64+'Airfoil 1'!$B$65*L25+'Airfoil 1'!$B$66*L25^2+'Airfoil 1'!$B$67*L25^3+'Airfoil 1'!$B$681*L25^4+'Airfoil 1'!$B$69*L25^5+'Airfoil 1'!$B$70*L25^6</f>
        <v>-0.155</v>
      </c>
      <c r="Z25" s="16">
        <f>LOG('Airfoil 1'!$F$10)+LOG('Airfoil 1'!$G$10)+LOG('Airfoil 1'!$H$10)</f>
        <v>15.176091259055681</v>
      </c>
      <c r="AA25" s="16">
        <f t="shared" ca="1" si="4"/>
        <v>-2.4290049054891254</v>
      </c>
      <c r="AB25" s="16">
        <f>LOG('Airfoil 1'!$F$10)^2+LOG('Airfoil 1'!$G$10)^2+LOG('Airfoil 1'!$H$10)^2</f>
        <v>76.867141336751558</v>
      </c>
      <c r="AC25" s="16">
        <f ca="1">LOG('Airfoil 1'!$F$10)*LOG(ABS(W25))+LOG('Airfoil 1'!$G$10)*LOG(ABS(X25))+LOG('Airfoil 1'!$H$10)*LOG(ABS(Y25))</f>
        <v>-12.287600038132297</v>
      </c>
      <c r="AD25" s="16">
        <f t="shared" ca="1" si="5"/>
        <v>0.1550000000000121</v>
      </c>
      <c r="AE25" s="16">
        <f t="shared" ca="1" si="6"/>
        <v>-6.6718325633022456E-15</v>
      </c>
      <c r="AF25" s="42">
        <f t="shared" ca="1" si="7"/>
        <v>-0.15499999999999886</v>
      </c>
      <c r="AG25" s="16"/>
      <c r="AH25" s="42"/>
      <c r="AI25" s="16">
        <f ca="1">(L25-'Airfoil 1'!$Z$22)/ABS(L25-'Airfoil 1'!$Z$22)</f>
        <v>1</v>
      </c>
      <c r="AJ25" s="16">
        <f ca="1">(L25-'Airfoil 1'!$Z$23)/ABS(L25-'Airfoil 1'!$Z$23)</f>
        <v>1</v>
      </c>
      <c r="AK25" s="16">
        <f ca="1">(L25-'Airfoil 1'!$Z$24)/ABS(L25-'Airfoil 1'!$Z$24)</f>
        <v>1</v>
      </c>
      <c r="AL25" s="16">
        <f ca="1">(L25-'Airfoil 1'!$Z$25)/ABS(L25-'Airfoil 1'!$Z$25)</f>
        <v>1</v>
      </c>
      <c r="AM25" s="16">
        <f ca="1">(L25-'Airfoil 1'!$Z$26)/ABS(L25-'Airfoil 1'!$Z$26)</f>
        <v>1</v>
      </c>
      <c r="AN25" s="16">
        <f ca="1">(L25-'Airfoil 1'!$Z$27)/ABS(L25-'Airfoil 1'!$Z$27)</f>
        <v>1</v>
      </c>
      <c r="AO25" s="16">
        <f ca="1">(L25-'Airfoil 1'!$Z$28)/ABS(L25-'Airfoil 1'!$Z$28)</f>
        <v>1</v>
      </c>
      <c r="AP25" s="16">
        <f ca="1">(L25-'Airfoil 1'!$Z$29)/ABS(L25-'Airfoil 1'!$Z$29)</f>
        <v>-1</v>
      </c>
      <c r="AQ25" s="16">
        <f ca="1">(L25-'Airfoil 1'!$Z$30)/ABS(L25-'Airfoil 1'!$Z$30)</f>
        <v>-1</v>
      </c>
      <c r="AR25" s="16">
        <f ca="1">(L25-'Airfoil 1'!$Z$31)/ABS(L25-'Airfoil 1'!$Z$31)</f>
        <v>-1</v>
      </c>
      <c r="AS25" s="16">
        <f ca="1">(L25-'Airfoil 1'!$Z$32)/ABS(L25-'Airfoil 1'!$Z$32)</f>
        <v>-1</v>
      </c>
      <c r="AT25" s="16">
        <f ca="1">(L25-'Airfoil 1'!$Z$33)/ABS(L25-'Airfoil 1'!$Z$33)</f>
        <v>-1</v>
      </c>
      <c r="AU25" s="16">
        <f ca="1">(L25-'Airfoil 1'!$Z$34)/ABS(L25-'Airfoil 1'!$Z$34)</f>
        <v>-1</v>
      </c>
      <c r="AV25" s="16">
        <f ca="1">(L25-'Airfoil 1'!$Z$35)/ABS(L25-'Airfoil 1'!$Z$35)</f>
        <v>-1</v>
      </c>
      <c r="AW25" s="16">
        <f ca="1">(L25-'Airfoil 1'!$Z$36)/ABS(L25-'Airfoil 1'!$Z$36)</f>
        <v>-1</v>
      </c>
      <c r="AX25" s="16">
        <f ca="1">(L25-'Airfoil 1'!$Z$37)/ABS(L25-'Airfoil 1'!$Z$37)</f>
        <v>-1</v>
      </c>
      <c r="AY25" s="16">
        <f ca="1">(L25-'Airfoil 1'!$Z$38)/ABS(L25-'Airfoil 1'!$Z$38)</f>
        <v>-1</v>
      </c>
      <c r="AZ25" s="16">
        <f ca="1">(L25-'Airfoil 1'!$Z$39)/ABS(L25-'Airfoil 1'!$Z$39)</f>
        <v>-1</v>
      </c>
      <c r="BA25" s="16">
        <f ca="1">(L25-'Airfoil 1'!$Z$40)/ABS(L25-'Airfoil 1'!$Z$40)</f>
        <v>-1</v>
      </c>
      <c r="BB25" s="16">
        <f ca="1">(L25-'Airfoil 1'!$Z$41)/ABS(L25-'Airfoil 1'!$Z$41)</f>
        <v>-1</v>
      </c>
      <c r="BC25" s="5">
        <f t="shared" ca="1" si="8"/>
        <v>7</v>
      </c>
      <c r="BD25" s="42">
        <f ca="1">INDEX('Airfoil 1'!$AA$22:$AA$41,BC25,1)+INDEX('Airfoil 1'!$AB$22:$AB$41,BC25,1)*(L25-INDEX('Airfoil 1'!$Z$22:$Z$41,BC25,1))</f>
        <v>2.4489313868613138E-2</v>
      </c>
      <c r="BE25" s="6"/>
      <c r="BF25" s="16">
        <f ca="1">(L25-'Airfoil 1'!$Z$47)/ABS(L25-'Airfoil 1'!$Z$47)</f>
        <v>1</v>
      </c>
      <c r="BG25" s="16">
        <f ca="1">(L25-'Airfoil 1'!$Z$48)/ABS(L25-'Airfoil 1'!$Z$48)</f>
        <v>1</v>
      </c>
      <c r="BH25" s="16">
        <f ca="1">(L25-'Airfoil 1'!$Z$49)/ABS(L25-'Airfoil 1'!$Z$49)</f>
        <v>1</v>
      </c>
      <c r="BI25" s="16">
        <f ca="1">(L25-'Airfoil 1'!$Z$50)/ABS(L25-'Airfoil 1'!$Z$50)</f>
        <v>1</v>
      </c>
      <c r="BJ25" s="16">
        <f ca="1">(L25-'Airfoil 1'!$Z$51)/ABS(L25-'Airfoil 1'!$Z$51)</f>
        <v>1</v>
      </c>
      <c r="BK25" s="16">
        <f ca="1">(L25-'Airfoil 1'!$Z$52)/ABS(L25-'Airfoil 1'!$Z$52)</f>
        <v>1</v>
      </c>
      <c r="BL25" s="16">
        <f ca="1">(L25-'Airfoil 1'!$Z$53)/ABS(L25-'Airfoil 1'!$Z$53)</f>
        <v>-1</v>
      </c>
      <c r="BM25" s="16">
        <f ca="1">(L25-'Airfoil 1'!$Z$54)/ABS(L25-'Airfoil 1'!$Z$54)</f>
        <v>-1</v>
      </c>
      <c r="BN25" s="16">
        <f ca="1">(L25-'Airfoil 1'!$Z$55)/ABS(L25-'Airfoil 1'!$Z$55)</f>
        <v>-1</v>
      </c>
      <c r="BO25" s="16">
        <f ca="1">(L25-'Airfoil 1'!$Z$56)/ABS(L25-'Airfoil 1'!$Z$56)</f>
        <v>-1</v>
      </c>
      <c r="BP25" s="16">
        <f ca="1">(L25-'Airfoil 1'!$Z$57)/ABS(L25-'Airfoil 1'!$Z$57)</f>
        <v>-1</v>
      </c>
      <c r="BQ25" s="16">
        <f ca="1">(L25-'Airfoil 1'!$Z$58)/ABS(L25-'Airfoil 1'!$Z$58)</f>
        <v>-1</v>
      </c>
      <c r="BR25" s="16">
        <f ca="1">(L25-'Airfoil 1'!$Z$59)/ABS(L25-'Airfoil 1'!$Z$59)</f>
        <v>-1</v>
      </c>
      <c r="BS25" s="16">
        <f ca="1">(L25-'Airfoil 1'!$Z$60)/ABS(L25-'Airfoil 1'!$Z$60)</f>
        <v>-1</v>
      </c>
      <c r="BT25" s="16">
        <f ca="1">(L25-'Airfoil 1'!$Z$61)/ABS(L25-'Airfoil 1'!$Z$61)</f>
        <v>-1</v>
      </c>
      <c r="BU25" s="16">
        <f ca="1">(L25-'Airfoil 1'!$Z$62)/ABS(L25-'Airfoil 1'!$Z$62)</f>
        <v>-1</v>
      </c>
      <c r="BV25" s="16">
        <f ca="1">(L25-'Airfoil 1'!$Z$63)/ABS(L25-'Airfoil 1'!$Z$63)</f>
        <v>-1</v>
      </c>
      <c r="BW25" s="16">
        <f ca="1">(L25-'Airfoil 1'!$Z$64)/ABS(L25-'Airfoil 1'!$Z$64)</f>
        <v>-1</v>
      </c>
      <c r="BX25" s="16">
        <f ca="1">(L25-'Airfoil 1'!$Z$65)/ABS(L25-'Airfoil 1'!$Z$65)</f>
        <v>-1</v>
      </c>
      <c r="BY25" s="16">
        <f ca="1">(L25-'Airfoil 1'!$Z$66)/ABS(L25-'Airfoil 1'!$Z$66)</f>
        <v>-1</v>
      </c>
      <c r="BZ25" s="5">
        <f t="shared" ca="1" si="9"/>
        <v>6</v>
      </c>
      <c r="CA25" s="42">
        <f ca="1">INDEX('Airfoil 1'!$AA$47:$AA$66,BZ25,1)+INDEX('Airfoil 1'!$AB$47:$AB$66,BZ25,1)*(L25-INDEX('Airfoil 1'!$Z$47:$Z$66,BZ25,1))</f>
        <v>1.7370857855361597E-2</v>
      </c>
      <c r="CC25" s="16">
        <f ca="1">(L25-'Airfoil 1'!$Z$72)/ABS(L25-'Airfoil 1'!$Z$72)</f>
        <v>1</v>
      </c>
      <c r="CD25" s="16">
        <f ca="1">(L25-'Airfoil 1'!$Z$73)/ABS(L25-'Airfoil 1'!$Z$73)</f>
        <v>1</v>
      </c>
      <c r="CE25" s="16">
        <f ca="1">(L25-'Airfoil 1'!$Z$74)/ABS(L25-'Airfoil 1'!$Z$74)</f>
        <v>1</v>
      </c>
      <c r="CF25" s="16">
        <f ca="1">(L25-'Airfoil 1'!$Z$75)/ABS(L25-'Airfoil 1'!$Z$75)</f>
        <v>1</v>
      </c>
      <c r="CG25" s="16">
        <f ca="1">(L25-'Airfoil 1'!$Z$76)/ABS(L25-'Airfoil 1'!$Z$76)</f>
        <v>-1</v>
      </c>
      <c r="CH25" s="16">
        <f ca="1">(L25-'Airfoil 1'!$Z$77)/ABS(L25-'Airfoil 1'!$Z$77)</f>
        <v>-1</v>
      </c>
      <c r="CI25" s="16">
        <f ca="1">(L25-'Airfoil 1'!$Z$78)/ABS(L25-'Airfoil 1'!$Z$78)</f>
        <v>-1</v>
      </c>
      <c r="CJ25" s="16">
        <f ca="1">(L25-'Airfoil 1'!$Z$79)/ABS(L25-'Airfoil 1'!$Z$79)</f>
        <v>-1</v>
      </c>
      <c r="CK25" s="16">
        <f ca="1">(L25-'Airfoil 1'!$Z$80)/ABS(L25-'Airfoil 1'!$Z$80)</f>
        <v>-1</v>
      </c>
      <c r="CL25" s="16">
        <f ca="1">(L25-'Airfoil 1'!$Z$81)/ABS(L25-'Airfoil 1'!$Z$81)</f>
        <v>-1</v>
      </c>
      <c r="CM25" s="16">
        <f ca="1">(L25-'Airfoil 1'!$Z$82)/ABS(L25-'Airfoil 1'!$Z$82)</f>
        <v>-1</v>
      </c>
      <c r="CN25" s="16">
        <f ca="1">(L25-'Airfoil 1'!$Z$83)/ABS(L25-'Airfoil 1'!$Z$83)</f>
        <v>-1</v>
      </c>
      <c r="CO25" s="16">
        <f ca="1">(L25-'Airfoil 1'!$Z$84)/ABS(L25-'Airfoil 1'!$Z$84)</f>
        <v>-1</v>
      </c>
      <c r="CP25" s="16">
        <f ca="1">(L25-'Airfoil 1'!$Z$85)/ABS(L25-'Airfoil 1'!$Z$85)</f>
        <v>-1</v>
      </c>
      <c r="CQ25" s="16">
        <f ca="1">(L25-'Airfoil 1'!$Z$86)/ABS(L25-'Airfoil 1'!$Z$86)</f>
        <v>-1</v>
      </c>
      <c r="CR25" s="16">
        <f ca="1">(L25-'Airfoil 1'!$Z$87)/ABS(L25-'Airfoil 1'!$Z$87)</f>
        <v>-1</v>
      </c>
      <c r="CS25" s="16">
        <f ca="1">(L25-'Airfoil 1'!$Z$88)/ABS(L25-'Airfoil 1'!$Z$88)</f>
        <v>-1</v>
      </c>
      <c r="CT25" s="16">
        <f ca="1">(L25-'Airfoil 1'!$Z$89)/ABS(L25-'Airfoil 1'!$Z$89)</f>
        <v>-1</v>
      </c>
      <c r="CU25" s="16">
        <f ca="1">(L25-'Airfoil 1'!$Z$90)/ABS(L25-'Airfoil 1'!$Z$90)</f>
        <v>-1</v>
      </c>
      <c r="CV25" s="16">
        <f ca="1">(L25-'Airfoil 1'!$Z$91)/ABS(L25-'Airfoil 1'!$Z$91)</f>
        <v>-1</v>
      </c>
      <c r="CW25" s="5">
        <f t="shared" ca="1" si="10"/>
        <v>4</v>
      </c>
      <c r="CX25" s="42">
        <f ca="1">INDEX('Airfoil 1'!$AA$72:$AA$91,CW25,1)+INDEX('Airfoil 1'!$AB$72:$AB$91,CW25,1)*(L25-INDEX('Airfoil 1'!$Z$72:$Z$91,CW25,1))</f>
        <v>1.1110331491712706E-2</v>
      </c>
    </row>
    <row r="26" spans="2:102">
      <c r="B26" s="31">
        <f>Main!B26</f>
        <v>0.33333333333333326</v>
      </c>
      <c r="D26" s="1">
        <f>Cruise!F26</f>
        <v>0.65969672852566186</v>
      </c>
      <c r="E26" s="4">
        <f>ISA!$R$10</f>
        <v>1.5987591530356481E-5</v>
      </c>
      <c r="G26" s="13">
        <f ca="1">Cruise!X26</f>
        <v>26.646781908888325</v>
      </c>
      <c r="H26" s="5">
        <f t="shared" ca="1" si="0"/>
        <v>366509.13131917827</v>
      </c>
      <c r="I26" s="16">
        <f ca="1">'Airfoil 2'!$K$14*H26^'Airfoil 2'!$L$13</f>
        <v>1.5839054481051409</v>
      </c>
      <c r="J26" s="1">
        <f ca="1">'Airfoil 2'!$K$33*H26^'Airfoil 2'!$L$32</f>
        <v>4.9560657919840949</v>
      </c>
      <c r="K26" s="13">
        <f ca="1">'Airfoil 2'!$K$52*H26^'Airfoil 2'!$L$51</f>
        <v>-9.4540201936136423</v>
      </c>
      <c r="L26" s="16">
        <f ca="1">'Aerodynamics-Cruise'!W26</f>
        <v>0.9</v>
      </c>
      <c r="M26" s="10">
        <f ca="1">('Airfoil 1'!$B$21+'Airfoil 1'!$B$22*L26+'Airfoil 1'!$B$23*L26^2+'Airfoil 1'!$B$24*L26^3+'Airfoil 1'!$B$25*L26^4+'Airfoil 1'!$B$26*L26^5+'Airfoil 1'!$B$27*L26^6)*0+BD26</f>
        <v>2.4489313868613138E-2</v>
      </c>
      <c r="N26" s="42">
        <f ca="1">('Airfoil 1'!$B$29+'Airfoil 1'!$B$30*L26+'Airfoil 1'!$B$31*L26^2+'Airfoil 1'!$B$32*L26^3+'Airfoil 1'!$B$33*L26^4+'Airfoil 1'!$B$34*L26^5+'Airfoil 1'!$B$35*L26^6)*0+CA26</f>
        <v>1.7370857855361597E-2</v>
      </c>
      <c r="O26" s="42">
        <f ca="1">('Airfoil 1'!$B$37+'Airfoil 1'!$B$38*L26+'Airfoil 1'!$B$39*L26^2+'Airfoil 1'!$B$40*L26^3+'Airfoil 1'!$B$41*L26^4+'Airfoil 1'!$B$42*L26^5+'Airfoil 1'!$B$43*L26^6)*0+CX26</f>
        <v>1.1110331491712706E-2</v>
      </c>
      <c r="P26" s="16">
        <f>LOG('Airfoil 1'!$F$10)+LOG('Airfoil 1'!$G$10)+LOG('Airfoil 1'!$H$10)</f>
        <v>15.176091259055681</v>
      </c>
      <c r="Q26" s="16">
        <f t="shared" ca="1" si="1"/>
        <v>-5.3254750991929125</v>
      </c>
      <c r="R26" s="16">
        <f>LOG('Airfoil 1'!$F$10)^2+LOG('Airfoil 1'!$G$10)^2+LOG('Airfoil 1'!$H$10)^2</f>
        <v>76.867141336751558</v>
      </c>
      <c r="S26" s="16">
        <f ca="1">LOG('Airfoil 1'!$F$10)*LOG(M26)+LOG('Airfoil 1'!$G$10)*LOG(N26)+LOG('Airfoil 1'!$H$10)*LOG(O26)</f>
        <v>-27.014391057528009</v>
      </c>
      <c r="T26" s="16">
        <f t="shared" ca="1" si="2"/>
        <v>141.60346469083578</v>
      </c>
      <c r="U26" s="16">
        <f t="shared" ca="1" si="3"/>
        <v>-0.77613507568957385</v>
      </c>
      <c r="V26" s="42">
        <f ca="1">IF(Energy!$F$11=1,Energy!$T$13,1)*T26*H26^U26</f>
        <v>7.4984431111499083E-3</v>
      </c>
      <c r="W26" s="10">
        <f ca="1">'Airfoil 1'!$B$48+'Airfoil 1'!$B$49*L26+'Airfoil 1'!$B$50*L26^2+'Airfoil 1'!$B$51*L26^3+'Airfoil 1'!$B$52*L26^4+'Airfoil 1'!$B$53*L26^5+'Airfoil 1'!$B$54*L26^6</f>
        <v>-0.155</v>
      </c>
      <c r="X26" s="42">
        <f ca="1">'Airfoil 1'!$B$56+'Airfoil 1'!$B$57*L26+'Airfoil 1'!$B$58*L26^2+'Airfoil 1'!$B$59*L26^3+'Airfoil 1'!$B$60*L26^4+'Airfoil 1'!$B$61*L26^5+'Airfoil 1'!$B$62*L26^6</f>
        <v>-0.155</v>
      </c>
      <c r="Y26" s="42">
        <f ca="1">'Airfoil 1'!$B$64+'Airfoil 1'!$B$65*L26+'Airfoil 1'!$B$66*L26^2+'Airfoil 1'!$B$67*L26^3+'Airfoil 1'!$B$681*L26^4+'Airfoil 1'!$B$69*L26^5+'Airfoil 1'!$B$70*L26^6</f>
        <v>-0.155</v>
      </c>
      <c r="Z26" s="16">
        <f>LOG('Airfoil 1'!$F$10)+LOG('Airfoil 1'!$G$10)+LOG('Airfoil 1'!$H$10)</f>
        <v>15.176091259055681</v>
      </c>
      <c r="AA26" s="16">
        <f t="shared" ca="1" si="4"/>
        <v>-2.4290049054891254</v>
      </c>
      <c r="AB26" s="16">
        <f>LOG('Airfoil 1'!$F$10)^2+LOG('Airfoil 1'!$G$10)^2+LOG('Airfoil 1'!$H$10)^2</f>
        <v>76.867141336751558</v>
      </c>
      <c r="AC26" s="16">
        <f ca="1">LOG('Airfoil 1'!$F$10)*LOG(ABS(W26))+LOG('Airfoil 1'!$G$10)*LOG(ABS(X26))+LOG('Airfoil 1'!$H$10)*LOG(ABS(Y26))</f>
        <v>-12.287600038132297</v>
      </c>
      <c r="AD26" s="16">
        <f t="shared" ca="1" si="5"/>
        <v>0.1550000000000121</v>
      </c>
      <c r="AE26" s="16">
        <f t="shared" ca="1" si="6"/>
        <v>-6.6718325633022456E-15</v>
      </c>
      <c r="AF26" s="42">
        <f t="shared" ca="1" si="7"/>
        <v>-0.15499999999999886</v>
      </c>
      <c r="AG26" s="16"/>
      <c r="AH26" s="42"/>
      <c r="AI26" s="16">
        <f ca="1">(L26-'Airfoil 1'!$Z$22)/ABS(L26-'Airfoil 1'!$Z$22)</f>
        <v>1</v>
      </c>
      <c r="AJ26" s="16">
        <f ca="1">(L26-'Airfoil 1'!$Z$23)/ABS(L26-'Airfoil 1'!$Z$23)</f>
        <v>1</v>
      </c>
      <c r="AK26" s="16">
        <f ca="1">(L26-'Airfoil 1'!$Z$24)/ABS(L26-'Airfoil 1'!$Z$24)</f>
        <v>1</v>
      </c>
      <c r="AL26" s="16">
        <f ca="1">(L26-'Airfoil 1'!$Z$25)/ABS(L26-'Airfoil 1'!$Z$25)</f>
        <v>1</v>
      </c>
      <c r="AM26" s="16">
        <f ca="1">(L26-'Airfoil 1'!$Z$26)/ABS(L26-'Airfoil 1'!$Z$26)</f>
        <v>1</v>
      </c>
      <c r="AN26" s="16">
        <f ca="1">(L26-'Airfoil 1'!$Z$27)/ABS(L26-'Airfoil 1'!$Z$27)</f>
        <v>1</v>
      </c>
      <c r="AO26" s="16">
        <f ca="1">(L26-'Airfoil 1'!$Z$28)/ABS(L26-'Airfoil 1'!$Z$28)</f>
        <v>1</v>
      </c>
      <c r="AP26" s="16">
        <f ca="1">(L26-'Airfoil 1'!$Z$29)/ABS(L26-'Airfoil 1'!$Z$29)</f>
        <v>-1</v>
      </c>
      <c r="AQ26" s="16">
        <f ca="1">(L26-'Airfoil 1'!$Z$30)/ABS(L26-'Airfoil 1'!$Z$30)</f>
        <v>-1</v>
      </c>
      <c r="AR26" s="16">
        <f ca="1">(L26-'Airfoil 1'!$Z$31)/ABS(L26-'Airfoil 1'!$Z$31)</f>
        <v>-1</v>
      </c>
      <c r="AS26" s="16">
        <f ca="1">(L26-'Airfoil 1'!$Z$32)/ABS(L26-'Airfoil 1'!$Z$32)</f>
        <v>-1</v>
      </c>
      <c r="AT26" s="16">
        <f ca="1">(L26-'Airfoil 1'!$Z$33)/ABS(L26-'Airfoil 1'!$Z$33)</f>
        <v>-1</v>
      </c>
      <c r="AU26" s="16">
        <f ca="1">(L26-'Airfoil 1'!$Z$34)/ABS(L26-'Airfoil 1'!$Z$34)</f>
        <v>-1</v>
      </c>
      <c r="AV26" s="16">
        <f ca="1">(L26-'Airfoil 1'!$Z$35)/ABS(L26-'Airfoil 1'!$Z$35)</f>
        <v>-1</v>
      </c>
      <c r="AW26" s="16">
        <f ca="1">(L26-'Airfoil 1'!$Z$36)/ABS(L26-'Airfoil 1'!$Z$36)</f>
        <v>-1</v>
      </c>
      <c r="AX26" s="16">
        <f ca="1">(L26-'Airfoil 1'!$Z$37)/ABS(L26-'Airfoil 1'!$Z$37)</f>
        <v>-1</v>
      </c>
      <c r="AY26" s="16">
        <f ca="1">(L26-'Airfoil 1'!$Z$38)/ABS(L26-'Airfoil 1'!$Z$38)</f>
        <v>-1</v>
      </c>
      <c r="AZ26" s="16">
        <f ca="1">(L26-'Airfoil 1'!$Z$39)/ABS(L26-'Airfoil 1'!$Z$39)</f>
        <v>-1</v>
      </c>
      <c r="BA26" s="16">
        <f ca="1">(L26-'Airfoil 1'!$Z$40)/ABS(L26-'Airfoil 1'!$Z$40)</f>
        <v>-1</v>
      </c>
      <c r="BB26" s="16">
        <f ca="1">(L26-'Airfoil 1'!$Z$41)/ABS(L26-'Airfoil 1'!$Z$41)</f>
        <v>-1</v>
      </c>
      <c r="BC26" s="5">
        <f t="shared" ca="1" si="8"/>
        <v>7</v>
      </c>
      <c r="BD26" s="42">
        <f ca="1">INDEX('Airfoil 1'!$AA$22:$AA$41,BC26,1)+INDEX('Airfoil 1'!$AB$22:$AB$41,BC26,1)*(L26-INDEX('Airfoil 1'!$Z$22:$Z$41,BC26,1))</f>
        <v>2.4489313868613138E-2</v>
      </c>
      <c r="BE26" s="6"/>
      <c r="BF26" s="16">
        <f ca="1">(L26-'Airfoil 1'!$Z$47)/ABS(L26-'Airfoil 1'!$Z$47)</f>
        <v>1</v>
      </c>
      <c r="BG26" s="16">
        <f ca="1">(L26-'Airfoil 1'!$Z$48)/ABS(L26-'Airfoil 1'!$Z$48)</f>
        <v>1</v>
      </c>
      <c r="BH26" s="16">
        <f ca="1">(L26-'Airfoil 1'!$Z$49)/ABS(L26-'Airfoil 1'!$Z$49)</f>
        <v>1</v>
      </c>
      <c r="BI26" s="16">
        <f ca="1">(L26-'Airfoil 1'!$Z$50)/ABS(L26-'Airfoil 1'!$Z$50)</f>
        <v>1</v>
      </c>
      <c r="BJ26" s="16">
        <f ca="1">(L26-'Airfoil 1'!$Z$51)/ABS(L26-'Airfoil 1'!$Z$51)</f>
        <v>1</v>
      </c>
      <c r="BK26" s="16">
        <f ca="1">(L26-'Airfoil 1'!$Z$52)/ABS(L26-'Airfoil 1'!$Z$52)</f>
        <v>1</v>
      </c>
      <c r="BL26" s="16">
        <f ca="1">(L26-'Airfoil 1'!$Z$53)/ABS(L26-'Airfoil 1'!$Z$53)</f>
        <v>-1</v>
      </c>
      <c r="BM26" s="16">
        <f ca="1">(L26-'Airfoil 1'!$Z$54)/ABS(L26-'Airfoil 1'!$Z$54)</f>
        <v>-1</v>
      </c>
      <c r="BN26" s="16">
        <f ca="1">(L26-'Airfoil 1'!$Z$55)/ABS(L26-'Airfoil 1'!$Z$55)</f>
        <v>-1</v>
      </c>
      <c r="BO26" s="16">
        <f ca="1">(L26-'Airfoil 1'!$Z$56)/ABS(L26-'Airfoil 1'!$Z$56)</f>
        <v>-1</v>
      </c>
      <c r="BP26" s="16">
        <f ca="1">(L26-'Airfoil 1'!$Z$57)/ABS(L26-'Airfoil 1'!$Z$57)</f>
        <v>-1</v>
      </c>
      <c r="BQ26" s="16">
        <f ca="1">(L26-'Airfoil 1'!$Z$58)/ABS(L26-'Airfoil 1'!$Z$58)</f>
        <v>-1</v>
      </c>
      <c r="BR26" s="16">
        <f ca="1">(L26-'Airfoil 1'!$Z$59)/ABS(L26-'Airfoil 1'!$Z$59)</f>
        <v>-1</v>
      </c>
      <c r="BS26" s="16">
        <f ca="1">(L26-'Airfoil 1'!$Z$60)/ABS(L26-'Airfoil 1'!$Z$60)</f>
        <v>-1</v>
      </c>
      <c r="BT26" s="16">
        <f ca="1">(L26-'Airfoil 1'!$Z$61)/ABS(L26-'Airfoil 1'!$Z$61)</f>
        <v>-1</v>
      </c>
      <c r="BU26" s="16">
        <f ca="1">(L26-'Airfoil 1'!$Z$62)/ABS(L26-'Airfoil 1'!$Z$62)</f>
        <v>-1</v>
      </c>
      <c r="BV26" s="16">
        <f ca="1">(L26-'Airfoil 1'!$Z$63)/ABS(L26-'Airfoil 1'!$Z$63)</f>
        <v>-1</v>
      </c>
      <c r="BW26" s="16">
        <f ca="1">(L26-'Airfoil 1'!$Z$64)/ABS(L26-'Airfoil 1'!$Z$64)</f>
        <v>-1</v>
      </c>
      <c r="BX26" s="16">
        <f ca="1">(L26-'Airfoil 1'!$Z$65)/ABS(L26-'Airfoil 1'!$Z$65)</f>
        <v>-1</v>
      </c>
      <c r="BY26" s="16">
        <f ca="1">(L26-'Airfoil 1'!$Z$66)/ABS(L26-'Airfoil 1'!$Z$66)</f>
        <v>-1</v>
      </c>
      <c r="BZ26" s="5">
        <f t="shared" ca="1" si="9"/>
        <v>6</v>
      </c>
      <c r="CA26" s="42">
        <f ca="1">INDEX('Airfoil 1'!$AA$47:$AA$66,BZ26,1)+INDEX('Airfoil 1'!$AB$47:$AB$66,BZ26,1)*(L26-INDEX('Airfoil 1'!$Z$47:$Z$66,BZ26,1))</f>
        <v>1.7370857855361597E-2</v>
      </c>
      <c r="CC26" s="16">
        <f ca="1">(L26-'Airfoil 1'!$Z$72)/ABS(L26-'Airfoil 1'!$Z$72)</f>
        <v>1</v>
      </c>
      <c r="CD26" s="16">
        <f ca="1">(L26-'Airfoil 1'!$Z$73)/ABS(L26-'Airfoil 1'!$Z$73)</f>
        <v>1</v>
      </c>
      <c r="CE26" s="16">
        <f ca="1">(L26-'Airfoil 1'!$Z$74)/ABS(L26-'Airfoil 1'!$Z$74)</f>
        <v>1</v>
      </c>
      <c r="CF26" s="16">
        <f ca="1">(L26-'Airfoil 1'!$Z$75)/ABS(L26-'Airfoil 1'!$Z$75)</f>
        <v>1</v>
      </c>
      <c r="CG26" s="16">
        <f ca="1">(L26-'Airfoil 1'!$Z$76)/ABS(L26-'Airfoil 1'!$Z$76)</f>
        <v>-1</v>
      </c>
      <c r="CH26" s="16">
        <f ca="1">(L26-'Airfoil 1'!$Z$77)/ABS(L26-'Airfoil 1'!$Z$77)</f>
        <v>-1</v>
      </c>
      <c r="CI26" s="16">
        <f ca="1">(L26-'Airfoil 1'!$Z$78)/ABS(L26-'Airfoil 1'!$Z$78)</f>
        <v>-1</v>
      </c>
      <c r="CJ26" s="16">
        <f ca="1">(L26-'Airfoil 1'!$Z$79)/ABS(L26-'Airfoil 1'!$Z$79)</f>
        <v>-1</v>
      </c>
      <c r="CK26" s="16">
        <f ca="1">(L26-'Airfoil 1'!$Z$80)/ABS(L26-'Airfoil 1'!$Z$80)</f>
        <v>-1</v>
      </c>
      <c r="CL26" s="16">
        <f ca="1">(L26-'Airfoil 1'!$Z$81)/ABS(L26-'Airfoil 1'!$Z$81)</f>
        <v>-1</v>
      </c>
      <c r="CM26" s="16">
        <f ca="1">(L26-'Airfoil 1'!$Z$82)/ABS(L26-'Airfoil 1'!$Z$82)</f>
        <v>-1</v>
      </c>
      <c r="CN26" s="16">
        <f ca="1">(L26-'Airfoil 1'!$Z$83)/ABS(L26-'Airfoil 1'!$Z$83)</f>
        <v>-1</v>
      </c>
      <c r="CO26" s="16">
        <f ca="1">(L26-'Airfoil 1'!$Z$84)/ABS(L26-'Airfoil 1'!$Z$84)</f>
        <v>-1</v>
      </c>
      <c r="CP26" s="16">
        <f ca="1">(L26-'Airfoil 1'!$Z$85)/ABS(L26-'Airfoil 1'!$Z$85)</f>
        <v>-1</v>
      </c>
      <c r="CQ26" s="16">
        <f ca="1">(L26-'Airfoil 1'!$Z$86)/ABS(L26-'Airfoil 1'!$Z$86)</f>
        <v>-1</v>
      </c>
      <c r="CR26" s="16">
        <f ca="1">(L26-'Airfoil 1'!$Z$87)/ABS(L26-'Airfoil 1'!$Z$87)</f>
        <v>-1</v>
      </c>
      <c r="CS26" s="16">
        <f ca="1">(L26-'Airfoil 1'!$Z$88)/ABS(L26-'Airfoil 1'!$Z$88)</f>
        <v>-1</v>
      </c>
      <c r="CT26" s="16">
        <f ca="1">(L26-'Airfoil 1'!$Z$89)/ABS(L26-'Airfoil 1'!$Z$89)</f>
        <v>-1</v>
      </c>
      <c r="CU26" s="16">
        <f ca="1">(L26-'Airfoil 1'!$Z$90)/ABS(L26-'Airfoil 1'!$Z$90)</f>
        <v>-1</v>
      </c>
      <c r="CV26" s="16">
        <f ca="1">(L26-'Airfoil 1'!$Z$91)/ABS(L26-'Airfoil 1'!$Z$91)</f>
        <v>-1</v>
      </c>
      <c r="CW26" s="5">
        <f t="shared" ca="1" si="10"/>
        <v>4</v>
      </c>
      <c r="CX26" s="42">
        <f ca="1">INDEX('Airfoil 1'!$AA$72:$AA$91,CW26,1)+INDEX('Airfoil 1'!$AB$72:$AB$91,CW26,1)*(L26-INDEX('Airfoil 1'!$Z$72:$Z$91,CW26,1))</f>
        <v>1.1110331491712706E-2</v>
      </c>
    </row>
    <row r="27" spans="2:102">
      <c r="B27" s="31">
        <f>Main!B27</f>
        <v>0.33333333333333326</v>
      </c>
      <c r="D27" s="1">
        <f>Cruise!F27</f>
        <v>0.65969672852566186</v>
      </c>
      <c r="E27" s="4">
        <f>ISA!$R$10</f>
        <v>1.5987591530356481E-5</v>
      </c>
      <c r="G27" s="13">
        <f ca="1">Cruise!X27</f>
        <v>26.272229755721025</v>
      </c>
      <c r="H27" s="5">
        <f t="shared" ca="1" si="0"/>
        <v>361357.41038115066</v>
      </c>
      <c r="I27" s="16">
        <f ca="1">'Airfoil 2'!$K$14*H27^'Airfoil 2'!$L$13</f>
        <v>1.5835937877207515</v>
      </c>
      <c r="J27" s="1">
        <f ca="1">'Airfoil 2'!$K$33*H27^'Airfoil 2'!$L$32</f>
        <v>4.979719222451954</v>
      </c>
      <c r="K27" s="13">
        <f ca="1">'Airfoil 2'!$K$52*H27^'Airfoil 2'!$L$51</f>
        <v>-9.3649434502216398</v>
      </c>
      <c r="L27" s="16">
        <f ca="1">'Aerodynamics-Cruise'!W27</f>
        <v>0.9</v>
      </c>
      <c r="M27" s="10">
        <f ca="1">('Airfoil 1'!$B$21+'Airfoil 1'!$B$22*L27+'Airfoil 1'!$B$23*L27^2+'Airfoil 1'!$B$24*L27^3+'Airfoil 1'!$B$25*L27^4+'Airfoil 1'!$B$26*L27^5+'Airfoil 1'!$B$27*L27^6)*0+BD27</f>
        <v>2.4489313868613138E-2</v>
      </c>
      <c r="N27" s="42">
        <f ca="1">('Airfoil 1'!$B$29+'Airfoil 1'!$B$30*L27+'Airfoil 1'!$B$31*L27^2+'Airfoil 1'!$B$32*L27^3+'Airfoil 1'!$B$33*L27^4+'Airfoil 1'!$B$34*L27^5+'Airfoil 1'!$B$35*L27^6)*0+CA27</f>
        <v>1.7370857855361597E-2</v>
      </c>
      <c r="O27" s="42">
        <f ca="1">('Airfoil 1'!$B$37+'Airfoil 1'!$B$38*L27+'Airfoil 1'!$B$39*L27^2+'Airfoil 1'!$B$40*L27^3+'Airfoil 1'!$B$41*L27^4+'Airfoil 1'!$B$42*L27^5+'Airfoil 1'!$B$43*L27^6)*0+CX27</f>
        <v>1.1110331491712706E-2</v>
      </c>
      <c r="P27" s="16">
        <f>LOG('Airfoil 1'!$F$10)+LOG('Airfoil 1'!$G$10)+LOG('Airfoil 1'!$H$10)</f>
        <v>15.176091259055681</v>
      </c>
      <c r="Q27" s="16">
        <f t="shared" ca="1" si="1"/>
        <v>-5.3254750991929125</v>
      </c>
      <c r="R27" s="16">
        <f>LOG('Airfoil 1'!$F$10)^2+LOG('Airfoil 1'!$G$10)^2+LOG('Airfoil 1'!$H$10)^2</f>
        <v>76.867141336751558</v>
      </c>
      <c r="S27" s="16">
        <f ca="1">LOG('Airfoil 1'!$F$10)*LOG(M27)+LOG('Airfoil 1'!$G$10)*LOG(N27)+LOG('Airfoil 1'!$H$10)*LOG(O27)</f>
        <v>-27.014391057528009</v>
      </c>
      <c r="T27" s="16">
        <f t="shared" ca="1" si="2"/>
        <v>141.60346469083578</v>
      </c>
      <c r="U27" s="16">
        <f t="shared" ca="1" si="3"/>
        <v>-0.77613507568957385</v>
      </c>
      <c r="V27" s="42">
        <f ca="1">IF(Energy!$F$11=1,Energy!$T$13,1)*T27*H27^U27</f>
        <v>7.5812819861602546E-3</v>
      </c>
      <c r="W27" s="10">
        <f ca="1">'Airfoil 1'!$B$48+'Airfoil 1'!$B$49*L27+'Airfoil 1'!$B$50*L27^2+'Airfoil 1'!$B$51*L27^3+'Airfoil 1'!$B$52*L27^4+'Airfoil 1'!$B$53*L27^5+'Airfoil 1'!$B$54*L27^6</f>
        <v>-0.155</v>
      </c>
      <c r="X27" s="42">
        <f ca="1">'Airfoil 1'!$B$56+'Airfoil 1'!$B$57*L27+'Airfoil 1'!$B$58*L27^2+'Airfoil 1'!$B$59*L27^3+'Airfoil 1'!$B$60*L27^4+'Airfoil 1'!$B$61*L27^5+'Airfoil 1'!$B$62*L27^6</f>
        <v>-0.155</v>
      </c>
      <c r="Y27" s="42">
        <f ca="1">'Airfoil 1'!$B$64+'Airfoil 1'!$B$65*L27+'Airfoil 1'!$B$66*L27^2+'Airfoil 1'!$B$67*L27^3+'Airfoil 1'!$B$681*L27^4+'Airfoil 1'!$B$69*L27^5+'Airfoil 1'!$B$70*L27^6</f>
        <v>-0.155</v>
      </c>
      <c r="Z27" s="16">
        <f>LOG('Airfoil 1'!$F$10)+LOG('Airfoil 1'!$G$10)+LOG('Airfoil 1'!$H$10)</f>
        <v>15.176091259055681</v>
      </c>
      <c r="AA27" s="16">
        <f t="shared" ca="1" si="4"/>
        <v>-2.4290049054891254</v>
      </c>
      <c r="AB27" s="16">
        <f>LOG('Airfoil 1'!$F$10)^2+LOG('Airfoil 1'!$G$10)^2+LOG('Airfoil 1'!$H$10)^2</f>
        <v>76.867141336751558</v>
      </c>
      <c r="AC27" s="16">
        <f ca="1">LOG('Airfoil 1'!$F$10)*LOG(ABS(W27))+LOG('Airfoil 1'!$G$10)*LOG(ABS(X27))+LOG('Airfoil 1'!$H$10)*LOG(ABS(Y27))</f>
        <v>-12.287600038132297</v>
      </c>
      <c r="AD27" s="16">
        <f t="shared" ca="1" si="5"/>
        <v>0.1550000000000121</v>
      </c>
      <c r="AE27" s="16">
        <f t="shared" ca="1" si="6"/>
        <v>-6.6718325633022456E-15</v>
      </c>
      <c r="AF27" s="42">
        <f t="shared" ca="1" si="7"/>
        <v>-0.15499999999999886</v>
      </c>
      <c r="AG27" s="16"/>
      <c r="AH27" s="42"/>
      <c r="AI27" s="16">
        <f ca="1">(L27-'Airfoil 1'!$Z$22)/ABS(L27-'Airfoil 1'!$Z$22)</f>
        <v>1</v>
      </c>
      <c r="AJ27" s="16">
        <f ca="1">(L27-'Airfoil 1'!$Z$23)/ABS(L27-'Airfoil 1'!$Z$23)</f>
        <v>1</v>
      </c>
      <c r="AK27" s="16">
        <f ca="1">(L27-'Airfoil 1'!$Z$24)/ABS(L27-'Airfoil 1'!$Z$24)</f>
        <v>1</v>
      </c>
      <c r="AL27" s="16">
        <f ca="1">(L27-'Airfoil 1'!$Z$25)/ABS(L27-'Airfoil 1'!$Z$25)</f>
        <v>1</v>
      </c>
      <c r="AM27" s="16">
        <f ca="1">(L27-'Airfoil 1'!$Z$26)/ABS(L27-'Airfoil 1'!$Z$26)</f>
        <v>1</v>
      </c>
      <c r="AN27" s="16">
        <f ca="1">(L27-'Airfoil 1'!$Z$27)/ABS(L27-'Airfoil 1'!$Z$27)</f>
        <v>1</v>
      </c>
      <c r="AO27" s="16">
        <f ca="1">(L27-'Airfoil 1'!$Z$28)/ABS(L27-'Airfoil 1'!$Z$28)</f>
        <v>1</v>
      </c>
      <c r="AP27" s="16">
        <f ca="1">(L27-'Airfoil 1'!$Z$29)/ABS(L27-'Airfoil 1'!$Z$29)</f>
        <v>-1</v>
      </c>
      <c r="AQ27" s="16">
        <f ca="1">(L27-'Airfoil 1'!$Z$30)/ABS(L27-'Airfoil 1'!$Z$30)</f>
        <v>-1</v>
      </c>
      <c r="AR27" s="16">
        <f ca="1">(L27-'Airfoil 1'!$Z$31)/ABS(L27-'Airfoil 1'!$Z$31)</f>
        <v>-1</v>
      </c>
      <c r="AS27" s="16">
        <f ca="1">(L27-'Airfoil 1'!$Z$32)/ABS(L27-'Airfoil 1'!$Z$32)</f>
        <v>-1</v>
      </c>
      <c r="AT27" s="16">
        <f ca="1">(L27-'Airfoil 1'!$Z$33)/ABS(L27-'Airfoil 1'!$Z$33)</f>
        <v>-1</v>
      </c>
      <c r="AU27" s="16">
        <f ca="1">(L27-'Airfoil 1'!$Z$34)/ABS(L27-'Airfoil 1'!$Z$34)</f>
        <v>-1</v>
      </c>
      <c r="AV27" s="16">
        <f ca="1">(L27-'Airfoil 1'!$Z$35)/ABS(L27-'Airfoil 1'!$Z$35)</f>
        <v>-1</v>
      </c>
      <c r="AW27" s="16">
        <f ca="1">(L27-'Airfoil 1'!$Z$36)/ABS(L27-'Airfoil 1'!$Z$36)</f>
        <v>-1</v>
      </c>
      <c r="AX27" s="16">
        <f ca="1">(L27-'Airfoil 1'!$Z$37)/ABS(L27-'Airfoil 1'!$Z$37)</f>
        <v>-1</v>
      </c>
      <c r="AY27" s="16">
        <f ca="1">(L27-'Airfoil 1'!$Z$38)/ABS(L27-'Airfoil 1'!$Z$38)</f>
        <v>-1</v>
      </c>
      <c r="AZ27" s="16">
        <f ca="1">(L27-'Airfoil 1'!$Z$39)/ABS(L27-'Airfoil 1'!$Z$39)</f>
        <v>-1</v>
      </c>
      <c r="BA27" s="16">
        <f ca="1">(L27-'Airfoil 1'!$Z$40)/ABS(L27-'Airfoil 1'!$Z$40)</f>
        <v>-1</v>
      </c>
      <c r="BB27" s="16">
        <f ca="1">(L27-'Airfoil 1'!$Z$41)/ABS(L27-'Airfoil 1'!$Z$41)</f>
        <v>-1</v>
      </c>
      <c r="BC27" s="5">
        <f t="shared" ca="1" si="8"/>
        <v>7</v>
      </c>
      <c r="BD27" s="42">
        <f ca="1">INDEX('Airfoil 1'!$AA$22:$AA$41,BC27,1)+INDEX('Airfoil 1'!$AB$22:$AB$41,BC27,1)*(L27-INDEX('Airfoil 1'!$Z$22:$Z$41,BC27,1))</f>
        <v>2.4489313868613138E-2</v>
      </c>
      <c r="BE27" s="6"/>
      <c r="BF27" s="16">
        <f ca="1">(L27-'Airfoil 1'!$Z$47)/ABS(L27-'Airfoil 1'!$Z$47)</f>
        <v>1</v>
      </c>
      <c r="BG27" s="16">
        <f ca="1">(L27-'Airfoil 1'!$Z$48)/ABS(L27-'Airfoil 1'!$Z$48)</f>
        <v>1</v>
      </c>
      <c r="BH27" s="16">
        <f ca="1">(L27-'Airfoil 1'!$Z$49)/ABS(L27-'Airfoil 1'!$Z$49)</f>
        <v>1</v>
      </c>
      <c r="BI27" s="16">
        <f ca="1">(L27-'Airfoil 1'!$Z$50)/ABS(L27-'Airfoil 1'!$Z$50)</f>
        <v>1</v>
      </c>
      <c r="BJ27" s="16">
        <f ca="1">(L27-'Airfoil 1'!$Z$51)/ABS(L27-'Airfoil 1'!$Z$51)</f>
        <v>1</v>
      </c>
      <c r="BK27" s="16">
        <f ca="1">(L27-'Airfoil 1'!$Z$52)/ABS(L27-'Airfoil 1'!$Z$52)</f>
        <v>1</v>
      </c>
      <c r="BL27" s="16">
        <f ca="1">(L27-'Airfoil 1'!$Z$53)/ABS(L27-'Airfoil 1'!$Z$53)</f>
        <v>-1</v>
      </c>
      <c r="BM27" s="16">
        <f ca="1">(L27-'Airfoil 1'!$Z$54)/ABS(L27-'Airfoil 1'!$Z$54)</f>
        <v>-1</v>
      </c>
      <c r="BN27" s="16">
        <f ca="1">(L27-'Airfoil 1'!$Z$55)/ABS(L27-'Airfoil 1'!$Z$55)</f>
        <v>-1</v>
      </c>
      <c r="BO27" s="16">
        <f ca="1">(L27-'Airfoil 1'!$Z$56)/ABS(L27-'Airfoil 1'!$Z$56)</f>
        <v>-1</v>
      </c>
      <c r="BP27" s="16">
        <f ca="1">(L27-'Airfoil 1'!$Z$57)/ABS(L27-'Airfoil 1'!$Z$57)</f>
        <v>-1</v>
      </c>
      <c r="BQ27" s="16">
        <f ca="1">(L27-'Airfoil 1'!$Z$58)/ABS(L27-'Airfoil 1'!$Z$58)</f>
        <v>-1</v>
      </c>
      <c r="BR27" s="16">
        <f ca="1">(L27-'Airfoil 1'!$Z$59)/ABS(L27-'Airfoil 1'!$Z$59)</f>
        <v>-1</v>
      </c>
      <c r="BS27" s="16">
        <f ca="1">(L27-'Airfoil 1'!$Z$60)/ABS(L27-'Airfoil 1'!$Z$60)</f>
        <v>-1</v>
      </c>
      <c r="BT27" s="16">
        <f ca="1">(L27-'Airfoil 1'!$Z$61)/ABS(L27-'Airfoil 1'!$Z$61)</f>
        <v>-1</v>
      </c>
      <c r="BU27" s="16">
        <f ca="1">(L27-'Airfoil 1'!$Z$62)/ABS(L27-'Airfoil 1'!$Z$62)</f>
        <v>-1</v>
      </c>
      <c r="BV27" s="16">
        <f ca="1">(L27-'Airfoil 1'!$Z$63)/ABS(L27-'Airfoil 1'!$Z$63)</f>
        <v>-1</v>
      </c>
      <c r="BW27" s="16">
        <f ca="1">(L27-'Airfoil 1'!$Z$64)/ABS(L27-'Airfoil 1'!$Z$64)</f>
        <v>-1</v>
      </c>
      <c r="BX27" s="16">
        <f ca="1">(L27-'Airfoil 1'!$Z$65)/ABS(L27-'Airfoil 1'!$Z$65)</f>
        <v>-1</v>
      </c>
      <c r="BY27" s="16">
        <f ca="1">(L27-'Airfoil 1'!$Z$66)/ABS(L27-'Airfoil 1'!$Z$66)</f>
        <v>-1</v>
      </c>
      <c r="BZ27" s="5">
        <f t="shared" ca="1" si="9"/>
        <v>6</v>
      </c>
      <c r="CA27" s="42">
        <f ca="1">INDEX('Airfoil 1'!$AA$47:$AA$66,BZ27,1)+INDEX('Airfoil 1'!$AB$47:$AB$66,BZ27,1)*(L27-INDEX('Airfoil 1'!$Z$47:$Z$66,BZ27,1))</f>
        <v>1.7370857855361597E-2</v>
      </c>
      <c r="CC27" s="16">
        <f ca="1">(L27-'Airfoil 1'!$Z$72)/ABS(L27-'Airfoil 1'!$Z$72)</f>
        <v>1</v>
      </c>
      <c r="CD27" s="16">
        <f ca="1">(L27-'Airfoil 1'!$Z$73)/ABS(L27-'Airfoil 1'!$Z$73)</f>
        <v>1</v>
      </c>
      <c r="CE27" s="16">
        <f ca="1">(L27-'Airfoil 1'!$Z$74)/ABS(L27-'Airfoil 1'!$Z$74)</f>
        <v>1</v>
      </c>
      <c r="CF27" s="16">
        <f ca="1">(L27-'Airfoil 1'!$Z$75)/ABS(L27-'Airfoil 1'!$Z$75)</f>
        <v>1</v>
      </c>
      <c r="CG27" s="16">
        <f ca="1">(L27-'Airfoil 1'!$Z$76)/ABS(L27-'Airfoil 1'!$Z$76)</f>
        <v>-1</v>
      </c>
      <c r="CH27" s="16">
        <f ca="1">(L27-'Airfoil 1'!$Z$77)/ABS(L27-'Airfoil 1'!$Z$77)</f>
        <v>-1</v>
      </c>
      <c r="CI27" s="16">
        <f ca="1">(L27-'Airfoil 1'!$Z$78)/ABS(L27-'Airfoil 1'!$Z$78)</f>
        <v>-1</v>
      </c>
      <c r="CJ27" s="16">
        <f ca="1">(L27-'Airfoil 1'!$Z$79)/ABS(L27-'Airfoil 1'!$Z$79)</f>
        <v>-1</v>
      </c>
      <c r="CK27" s="16">
        <f ca="1">(L27-'Airfoil 1'!$Z$80)/ABS(L27-'Airfoil 1'!$Z$80)</f>
        <v>-1</v>
      </c>
      <c r="CL27" s="16">
        <f ca="1">(L27-'Airfoil 1'!$Z$81)/ABS(L27-'Airfoil 1'!$Z$81)</f>
        <v>-1</v>
      </c>
      <c r="CM27" s="16">
        <f ca="1">(L27-'Airfoil 1'!$Z$82)/ABS(L27-'Airfoil 1'!$Z$82)</f>
        <v>-1</v>
      </c>
      <c r="CN27" s="16">
        <f ca="1">(L27-'Airfoil 1'!$Z$83)/ABS(L27-'Airfoil 1'!$Z$83)</f>
        <v>-1</v>
      </c>
      <c r="CO27" s="16">
        <f ca="1">(L27-'Airfoil 1'!$Z$84)/ABS(L27-'Airfoil 1'!$Z$84)</f>
        <v>-1</v>
      </c>
      <c r="CP27" s="16">
        <f ca="1">(L27-'Airfoil 1'!$Z$85)/ABS(L27-'Airfoil 1'!$Z$85)</f>
        <v>-1</v>
      </c>
      <c r="CQ27" s="16">
        <f ca="1">(L27-'Airfoil 1'!$Z$86)/ABS(L27-'Airfoil 1'!$Z$86)</f>
        <v>-1</v>
      </c>
      <c r="CR27" s="16">
        <f ca="1">(L27-'Airfoil 1'!$Z$87)/ABS(L27-'Airfoil 1'!$Z$87)</f>
        <v>-1</v>
      </c>
      <c r="CS27" s="16">
        <f ca="1">(L27-'Airfoil 1'!$Z$88)/ABS(L27-'Airfoil 1'!$Z$88)</f>
        <v>-1</v>
      </c>
      <c r="CT27" s="16">
        <f ca="1">(L27-'Airfoil 1'!$Z$89)/ABS(L27-'Airfoil 1'!$Z$89)</f>
        <v>-1</v>
      </c>
      <c r="CU27" s="16">
        <f ca="1">(L27-'Airfoil 1'!$Z$90)/ABS(L27-'Airfoil 1'!$Z$90)</f>
        <v>-1</v>
      </c>
      <c r="CV27" s="16">
        <f ca="1">(L27-'Airfoil 1'!$Z$91)/ABS(L27-'Airfoil 1'!$Z$91)</f>
        <v>-1</v>
      </c>
      <c r="CW27" s="5">
        <f t="shared" ca="1" si="10"/>
        <v>4</v>
      </c>
      <c r="CX27" s="42">
        <f ca="1">INDEX('Airfoil 1'!$AA$72:$AA$91,CW27,1)+INDEX('Airfoil 1'!$AB$72:$AB$91,CW27,1)*(L27-INDEX('Airfoil 1'!$Z$72:$Z$91,CW27,1))</f>
        <v>1.1110331491712706E-2</v>
      </c>
    </row>
    <row r="28" spans="2:102">
      <c r="B28" s="31">
        <f>Main!B28</f>
        <v>0.33333333333333326</v>
      </c>
      <c r="D28" s="1">
        <f>Cruise!F28</f>
        <v>0.65969672852566186</v>
      </c>
      <c r="E28" s="4">
        <f>ISA!$R$10</f>
        <v>1.5987591530356481E-5</v>
      </c>
      <c r="G28" s="13">
        <f ca="1">Cruise!X28</f>
        <v>25.850372382951573</v>
      </c>
      <c r="H28" s="5">
        <f t="shared" ca="1" si="0"/>
        <v>355555.0369552343</v>
      </c>
      <c r="I28" s="16">
        <f ca="1">'Airfoil 2'!$K$14*H28^'Airfoil 2'!$L$13</f>
        <v>1.5832374750894131</v>
      </c>
      <c r="J28" s="1">
        <f ca="1">'Airfoil 2'!$K$33*H28^'Airfoil 2'!$L$32</f>
        <v>5.0069056188386423</v>
      </c>
      <c r="K28" s="13">
        <f ca="1">'Airfoil 2'!$K$52*H28^'Airfoil 2'!$L$51</f>
        <v>-9.2641111539054677</v>
      </c>
      <c r="L28" s="16">
        <f ca="1">'Aerodynamics-Cruise'!W28</f>
        <v>0.9</v>
      </c>
      <c r="M28" s="10">
        <f ca="1">('Airfoil 1'!$B$21+'Airfoil 1'!$B$22*L28+'Airfoil 1'!$B$23*L28^2+'Airfoil 1'!$B$24*L28^3+'Airfoil 1'!$B$25*L28^4+'Airfoil 1'!$B$26*L28^5+'Airfoil 1'!$B$27*L28^6)*0+BD28</f>
        <v>2.4489313868613138E-2</v>
      </c>
      <c r="N28" s="42">
        <f ca="1">('Airfoil 1'!$B$29+'Airfoil 1'!$B$30*L28+'Airfoil 1'!$B$31*L28^2+'Airfoil 1'!$B$32*L28^3+'Airfoil 1'!$B$33*L28^4+'Airfoil 1'!$B$34*L28^5+'Airfoil 1'!$B$35*L28^6)*0+CA28</f>
        <v>1.7370857855361597E-2</v>
      </c>
      <c r="O28" s="42">
        <f ca="1">('Airfoil 1'!$B$37+'Airfoil 1'!$B$38*L28+'Airfoil 1'!$B$39*L28^2+'Airfoil 1'!$B$40*L28^3+'Airfoil 1'!$B$41*L28^4+'Airfoil 1'!$B$42*L28^5+'Airfoil 1'!$B$43*L28^6)*0+CX28</f>
        <v>1.1110331491712706E-2</v>
      </c>
      <c r="P28" s="16">
        <f>LOG('Airfoil 1'!$F$10)+LOG('Airfoil 1'!$G$10)+LOG('Airfoil 1'!$H$10)</f>
        <v>15.176091259055681</v>
      </c>
      <c r="Q28" s="16">
        <f t="shared" ca="1" si="1"/>
        <v>-5.3254750991929125</v>
      </c>
      <c r="R28" s="16">
        <f>LOG('Airfoil 1'!$F$10)^2+LOG('Airfoil 1'!$G$10)^2+LOG('Airfoil 1'!$H$10)^2</f>
        <v>76.867141336751558</v>
      </c>
      <c r="S28" s="16">
        <f ca="1">LOG('Airfoil 1'!$F$10)*LOG(M28)+LOG('Airfoil 1'!$G$10)*LOG(N28)+LOG('Airfoil 1'!$H$10)*LOG(O28)</f>
        <v>-27.014391057528009</v>
      </c>
      <c r="T28" s="16">
        <f t="shared" ca="1" si="2"/>
        <v>141.60346469083578</v>
      </c>
      <c r="U28" s="16">
        <f t="shared" ca="1" si="3"/>
        <v>-0.77613507568957385</v>
      </c>
      <c r="V28" s="42">
        <f ca="1">IF(Energy!$F$11=1,Energy!$T$13,1)*T28*H28^U28</f>
        <v>7.677131522487916E-3</v>
      </c>
      <c r="W28" s="10">
        <f ca="1">'Airfoil 1'!$B$48+'Airfoil 1'!$B$49*L28+'Airfoil 1'!$B$50*L28^2+'Airfoil 1'!$B$51*L28^3+'Airfoil 1'!$B$52*L28^4+'Airfoil 1'!$B$53*L28^5+'Airfoil 1'!$B$54*L28^6</f>
        <v>-0.155</v>
      </c>
      <c r="X28" s="42">
        <f ca="1">'Airfoil 1'!$B$56+'Airfoil 1'!$B$57*L28+'Airfoil 1'!$B$58*L28^2+'Airfoil 1'!$B$59*L28^3+'Airfoil 1'!$B$60*L28^4+'Airfoil 1'!$B$61*L28^5+'Airfoil 1'!$B$62*L28^6</f>
        <v>-0.155</v>
      </c>
      <c r="Y28" s="42">
        <f ca="1">'Airfoil 1'!$B$64+'Airfoil 1'!$B$65*L28+'Airfoil 1'!$B$66*L28^2+'Airfoil 1'!$B$67*L28^3+'Airfoil 1'!$B$681*L28^4+'Airfoil 1'!$B$69*L28^5+'Airfoil 1'!$B$70*L28^6</f>
        <v>-0.155</v>
      </c>
      <c r="Z28" s="16">
        <f>LOG('Airfoil 1'!$F$10)+LOG('Airfoil 1'!$G$10)+LOG('Airfoil 1'!$H$10)</f>
        <v>15.176091259055681</v>
      </c>
      <c r="AA28" s="16">
        <f t="shared" ca="1" si="4"/>
        <v>-2.4290049054891254</v>
      </c>
      <c r="AB28" s="16">
        <f>LOG('Airfoil 1'!$F$10)^2+LOG('Airfoil 1'!$G$10)^2+LOG('Airfoil 1'!$H$10)^2</f>
        <v>76.867141336751558</v>
      </c>
      <c r="AC28" s="16">
        <f ca="1">LOG('Airfoil 1'!$F$10)*LOG(ABS(W28))+LOG('Airfoil 1'!$G$10)*LOG(ABS(X28))+LOG('Airfoil 1'!$H$10)*LOG(ABS(Y28))</f>
        <v>-12.287600038132297</v>
      </c>
      <c r="AD28" s="16">
        <f t="shared" ca="1" si="5"/>
        <v>0.1550000000000121</v>
      </c>
      <c r="AE28" s="16">
        <f t="shared" ca="1" si="6"/>
        <v>-6.6718325633022456E-15</v>
      </c>
      <c r="AF28" s="42">
        <f t="shared" ca="1" si="7"/>
        <v>-0.15499999999999889</v>
      </c>
      <c r="AG28" s="16"/>
      <c r="AH28" s="42"/>
      <c r="AI28" s="16">
        <f ca="1">(L28-'Airfoil 1'!$Z$22)/ABS(L28-'Airfoil 1'!$Z$22)</f>
        <v>1</v>
      </c>
      <c r="AJ28" s="16">
        <f ca="1">(L28-'Airfoil 1'!$Z$23)/ABS(L28-'Airfoil 1'!$Z$23)</f>
        <v>1</v>
      </c>
      <c r="AK28" s="16">
        <f ca="1">(L28-'Airfoil 1'!$Z$24)/ABS(L28-'Airfoil 1'!$Z$24)</f>
        <v>1</v>
      </c>
      <c r="AL28" s="16">
        <f ca="1">(L28-'Airfoil 1'!$Z$25)/ABS(L28-'Airfoil 1'!$Z$25)</f>
        <v>1</v>
      </c>
      <c r="AM28" s="16">
        <f ca="1">(L28-'Airfoil 1'!$Z$26)/ABS(L28-'Airfoil 1'!$Z$26)</f>
        <v>1</v>
      </c>
      <c r="AN28" s="16">
        <f ca="1">(L28-'Airfoil 1'!$Z$27)/ABS(L28-'Airfoil 1'!$Z$27)</f>
        <v>1</v>
      </c>
      <c r="AO28" s="16">
        <f ca="1">(L28-'Airfoil 1'!$Z$28)/ABS(L28-'Airfoil 1'!$Z$28)</f>
        <v>1</v>
      </c>
      <c r="AP28" s="16">
        <f ca="1">(L28-'Airfoil 1'!$Z$29)/ABS(L28-'Airfoil 1'!$Z$29)</f>
        <v>-1</v>
      </c>
      <c r="AQ28" s="16">
        <f ca="1">(L28-'Airfoil 1'!$Z$30)/ABS(L28-'Airfoil 1'!$Z$30)</f>
        <v>-1</v>
      </c>
      <c r="AR28" s="16">
        <f ca="1">(L28-'Airfoil 1'!$Z$31)/ABS(L28-'Airfoil 1'!$Z$31)</f>
        <v>-1</v>
      </c>
      <c r="AS28" s="16">
        <f ca="1">(L28-'Airfoil 1'!$Z$32)/ABS(L28-'Airfoil 1'!$Z$32)</f>
        <v>-1</v>
      </c>
      <c r="AT28" s="16">
        <f ca="1">(L28-'Airfoil 1'!$Z$33)/ABS(L28-'Airfoil 1'!$Z$33)</f>
        <v>-1</v>
      </c>
      <c r="AU28" s="16">
        <f ca="1">(L28-'Airfoil 1'!$Z$34)/ABS(L28-'Airfoil 1'!$Z$34)</f>
        <v>-1</v>
      </c>
      <c r="AV28" s="16">
        <f ca="1">(L28-'Airfoil 1'!$Z$35)/ABS(L28-'Airfoil 1'!$Z$35)</f>
        <v>-1</v>
      </c>
      <c r="AW28" s="16">
        <f ca="1">(L28-'Airfoil 1'!$Z$36)/ABS(L28-'Airfoil 1'!$Z$36)</f>
        <v>-1</v>
      </c>
      <c r="AX28" s="16">
        <f ca="1">(L28-'Airfoil 1'!$Z$37)/ABS(L28-'Airfoil 1'!$Z$37)</f>
        <v>-1</v>
      </c>
      <c r="AY28" s="16">
        <f ca="1">(L28-'Airfoil 1'!$Z$38)/ABS(L28-'Airfoil 1'!$Z$38)</f>
        <v>-1</v>
      </c>
      <c r="AZ28" s="16">
        <f ca="1">(L28-'Airfoil 1'!$Z$39)/ABS(L28-'Airfoil 1'!$Z$39)</f>
        <v>-1</v>
      </c>
      <c r="BA28" s="16">
        <f ca="1">(L28-'Airfoil 1'!$Z$40)/ABS(L28-'Airfoil 1'!$Z$40)</f>
        <v>-1</v>
      </c>
      <c r="BB28" s="16">
        <f ca="1">(L28-'Airfoil 1'!$Z$41)/ABS(L28-'Airfoil 1'!$Z$41)</f>
        <v>-1</v>
      </c>
      <c r="BC28" s="5">
        <f t="shared" ca="1" si="8"/>
        <v>7</v>
      </c>
      <c r="BD28" s="42">
        <f ca="1">INDEX('Airfoil 1'!$AA$22:$AA$41,BC28,1)+INDEX('Airfoil 1'!$AB$22:$AB$41,BC28,1)*(L28-INDEX('Airfoil 1'!$Z$22:$Z$41,BC28,1))</f>
        <v>2.4489313868613138E-2</v>
      </c>
      <c r="BE28" s="6"/>
      <c r="BF28" s="16">
        <f ca="1">(L28-'Airfoil 1'!$Z$47)/ABS(L28-'Airfoil 1'!$Z$47)</f>
        <v>1</v>
      </c>
      <c r="BG28" s="16">
        <f ca="1">(L28-'Airfoil 1'!$Z$48)/ABS(L28-'Airfoil 1'!$Z$48)</f>
        <v>1</v>
      </c>
      <c r="BH28" s="16">
        <f ca="1">(L28-'Airfoil 1'!$Z$49)/ABS(L28-'Airfoil 1'!$Z$49)</f>
        <v>1</v>
      </c>
      <c r="BI28" s="16">
        <f ca="1">(L28-'Airfoil 1'!$Z$50)/ABS(L28-'Airfoil 1'!$Z$50)</f>
        <v>1</v>
      </c>
      <c r="BJ28" s="16">
        <f ca="1">(L28-'Airfoil 1'!$Z$51)/ABS(L28-'Airfoil 1'!$Z$51)</f>
        <v>1</v>
      </c>
      <c r="BK28" s="16">
        <f ca="1">(L28-'Airfoil 1'!$Z$52)/ABS(L28-'Airfoil 1'!$Z$52)</f>
        <v>1</v>
      </c>
      <c r="BL28" s="16">
        <f ca="1">(L28-'Airfoil 1'!$Z$53)/ABS(L28-'Airfoil 1'!$Z$53)</f>
        <v>-1</v>
      </c>
      <c r="BM28" s="16">
        <f ca="1">(L28-'Airfoil 1'!$Z$54)/ABS(L28-'Airfoil 1'!$Z$54)</f>
        <v>-1</v>
      </c>
      <c r="BN28" s="16">
        <f ca="1">(L28-'Airfoil 1'!$Z$55)/ABS(L28-'Airfoil 1'!$Z$55)</f>
        <v>-1</v>
      </c>
      <c r="BO28" s="16">
        <f ca="1">(L28-'Airfoil 1'!$Z$56)/ABS(L28-'Airfoil 1'!$Z$56)</f>
        <v>-1</v>
      </c>
      <c r="BP28" s="16">
        <f ca="1">(L28-'Airfoil 1'!$Z$57)/ABS(L28-'Airfoil 1'!$Z$57)</f>
        <v>-1</v>
      </c>
      <c r="BQ28" s="16">
        <f ca="1">(L28-'Airfoil 1'!$Z$58)/ABS(L28-'Airfoil 1'!$Z$58)</f>
        <v>-1</v>
      </c>
      <c r="BR28" s="16">
        <f ca="1">(L28-'Airfoil 1'!$Z$59)/ABS(L28-'Airfoil 1'!$Z$59)</f>
        <v>-1</v>
      </c>
      <c r="BS28" s="16">
        <f ca="1">(L28-'Airfoil 1'!$Z$60)/ABS(L28-'Airfoil 1'!$Z$60)</f>
        <v>-1</v>
      </c>
      <c r="BT28" s="16">
        <f ca="1">(L28-'Airfoil 1'!$Z$61)/ABS(L28-'Airfoil 1'!$Z$61)</f>
        <v>-1</v>
      </c>
      <c r="BU28" s="16">
        <f ca="1">(L28-'Airfoil 1'!$Z$62)/ABS(L28-'Airfoil 1'!$Z$62)</f>
        <v>-1</v>
      </c>
      <c r="BV28" s="16">
        <f ca="1">(L28-'Airfoil 1'!$Z$63)/ABS(L28-'Airfoil 1'!$Z$63)</f>
        <v>-1</v>
      </c>
      <c r="BW28" s="16">
        <f ca="1">(L28-'Airfoil 1'!$Z$64)/ABS(L28-'Airfoil 1'!$Z$64)</f>
        <v>-1</v>
      </c>
      <c r="BX28" s="16">
        <f ca="1">(L28-'Airfoil 1'!$Z$65)/ABS(L28-'Airfoil 1'!$Z$65)</f>
        <v>-1</v>
      </c>
      <c r="BY28" s="16">
        <f ca="1">(L28-'Airfoil 1'!$Z$66)/ABS(L28-'Airfoil 1'!$Z$66)</f>
        <v>-1</v>
      </c>
      <c r="BZ28" s="5">
        <f t="shared" ca="1" si="9"/>
        <v>6</v>
      </c>
      <c r="CA28" s="42">
        <f ca="1">INDEX('Airfoil 1'!$AA$47:$AA$66,BZ28,1)+INDEX('Airfoil 1'!$AB$47:$AB$66,BZ28,1)*(L28-INDEX('Airfoil 1'!$Z$47:$Z$66,BZ28,1))</f>
        <v>1.7370857855361597E-2</v>
      </c>
      <c r="CC28" s="16">
        <f ca="1">(L28-'Airfoil 1'!$Z$72)/ABS(L28-'Airfoil 1'!$Z$72)</f>
        <v>1</v>
      </c>
      <c r="CD28" s="16">
        <f ca="1">(L28-'Airfoil 1'!$Z$73)/ABS(L28-'Airfoil 1'!$Z$73)</f>
        <v>1</v>
      </c>
      <c r="CE28" s="16">
        <f ca="1">(L28-'Airfoil 1'!$Z$74)/ABS(L28-'Airfoil 1'!$Z$74)</f>
        <v>1</v>
      </c>
      <c r="CF28" s="16">
        <f ca="1">(L28-'Airfoil 1'!$Z$75)/ABS(L28-'Airfoil 1'!$Z$75)</f>
        <v>1</v>
      </c>
      <c r="CG28" s="16">
        <f ca="1">(L28-'Airfoil 1'!$Z$76)/ABS(L28-'Airfoil 1'!$Z$76)</f>
        <v>-1</v>
      </c>
      <c r="CH28" s="16">
        <f ca="1">(L28-'Airfoil 1'!$Z$77)/ABS(L28-'Airfoil 1'!$Z$77)</f>
        <v>-1</v>
      </c>
      <c r="CI28" s="16">
        <f ca="1">(L28-'Airfoil 1'!$Z$78)/ABS(L28-'Airfoil 1'!$Z$78)</f>
        <v>-1</v>
      </c>
      <c r="CJ28" s="16">
        <f ca="1">(L28-'Airfoil 1'!$Z$79)/ABS(L28-'Airfoil 1'!$Z$79)</f>
        <v>-1</v>
      </c>
      <c r="CK28" s="16">
        <f ca="1">(L28-'Airfoil 1'!$Z$80)/ABS(L28-'Airfoil 1'!$Z$80)</f>
        <v>-1</v>
      </c>
      <c r="CL28" s="16">
        <f ca="1">(L28-'Airfoil 1'!$Z$81)/ABS(L28-'Airfoil 1'!$Z$81)</f>
        <v>-1</v>
      </c>
      <c r="CM28" s="16">
        <f ca="1">(L28-'Airfoil 1'!$Z$82)/ABS(L28-'Airfoil 1'!$Z$82)</f>
        <v>-1</v>
      </c>
      <c r="CN28" s="16">
        <f ca="1">(L28-'Airfoil 1'!$Z$83)/ABS(L28-'Airfoil 1'!$Z$83)</f>
        <v>-1</v>
      </c>
      <c r="CO28" s="16">
        <f ca="1">(L28-'Airfoil 1'!$Z$84)/ABS(L28-'Airfoil 1'!$Z$84)</f>
        <v>-1</v>
      </c>
      <c r="CP28" s="16">
        <f ca="1">(L28-'Airfoil 1'!$Z$85)/ABS(L28-'Airfoil 1'!$Z$85)</f>
        <v>-1</v>
      </c>
      <c r="CQ28" s="16">
        <f ca="1">(L28-'Airfoil 1'!$Z$86)/ABS(L28-'Airfoil 1'!$Z$86)</f>
        <v>-1</v>
      </c>
      <c r="CR28" s="16">
        <f ca="1">(L28-'Airfoil 1'!$Z$87)/ABS(L28-'Airfoil 1'!$Z$87)</f>
        <v>-1</v>
      </c>
      <c r="CS28" s="16">
        <f ca="1">(L28-'Airfoil 1'!$Z$88)/ABS(L28-'Airfoil 1'!$Z$88)</f>
        <v>-1</v>
      </c>
      <c r="CT28" s="16">
        <f ca="1">(L28-'Airfoil 1'!$Z$89)/ABS(L28-'Airfoil 1'!$Z$89)</f>
        <v>-1</v>
      </c>
      <c r="CU28" s="16">
        <f ca="1">(L28-'Airfoil 1'!$Z$90)/ABS(L28-'Airfoil 1'!$Z$90)</f>
        <v>-1</v>
      </c>
      <c r="CV28" s="16">
        <f ca="1">(L28-'Airfoil 1'!$Z$91)/ABS(L28-'Airfoil 1'!$Z$91)</f>
        <v>-1</v>
      </c>
      <c r="CW28" s="5">
        <f t="shared" ca="1" si="10"/>
        <v>4</v>
      </c>
      <c r="CX28" s="42">
        <f ca="1">INDEX('Airfoil 1'!$AA$72:$AA$91,CW28,1)+INDEX('Airfoil 1'!$AB$72:$AB$91,CW28,1)*(L28-INDEX('Airfoil 1'!$Z$72:$Z$91,CW28,1))</f>
        <v>1.1110331491712706E-2</v>
      </c>
    </row>
    <row r="29" spans="2:102">
      <c r="B29" s="31">
        <f>Main!B29</f>
        <v>0.33333333333333326</v>
      </c>
      <c r="D29" s="1">
        <f>Cruise!F29</f>
        <v>0.65969672852566186</v>
      </c>
      <c r="E29" s="4">
        <f>ISA!$R$10</f>
        <v>1.5987591530356481E-5</v>
      </c>
      <c r="G29" s="13">
        <f ca="1">Cruise!X29</f>
        <v>25.337550160812658</v>
      </c>
      <c r="H29" s="5">
        <f t="shared" ca="1" si="0"/>
        <v>348501.50126751169</v>
      </c>
      <c r="I29" s="16">
        <f ca="1">'Airfoil 2'!$K$14*H29^'Airfoil 2'!$L$13</f>
        <v>1.582796527783531</v>
      </c>
      <c r="J29" s="1">
        <f ca="1">'Airfoil 2'!$K$33*H29^'Airfoil 2'!$L$32</f>
        <v>5.040763712117367</v>
      </c>
      <c r="K29" s="13">
        <f ca="1">'Airfoil 2'!$K$52*H29^'Airfoil 2'!$L$51</f>
        <v>-9.1407992178556157</v>
      </c>
      <c r="L29" s="16">
        <f ca="1">'Aerodynamics-Cruise'!W29</f>
        <v>0.9</v>
      </c>
      <c r="M29" s="10">
        <f ca="1">('Airfoil 1'!$B$21+'Airfoil 1'!$B$22*L29+'Airfoil 1'!$B$23*L29^2+'Airfoil 1'!$B$24*L29^3+'Airfoil 1'!$B$25*L29^4+'Airfoil 1'!$B$26*L29^5+'Airfoil 1'!$B$27*L29^6)*0+BD29</f>
        <v>2.4489313868613138E-2</v>
      </c>
      <c r="N29" s="42">
        <f ca="1">('Airfoil 1'!$B$29+'Airfoil 1'!$B$30*L29+'Airfoil 1'!$B$31*L29^2+'Airfoil 1'!$B$32*L29^3+'Airfoil 1'!$B$33*L29^4+'Airfoil 1'!$B$34*L29^5+'Airfoil 1'!$B$35*L29^6)*0+CA29</f>
        <v>1.7370857855361597E-2</v>
      </c>
      <c r="O29" s="42">
        <f ca="1">('Airfoil 1'!$B$37+'Airfoil 1'!$B$38*L29+'Airfoil 1'!$B$39*L29^2+'Airfoil 1'!$B$40*L29^3+'Airfoil 1'!$B$41*L29^4+'Airfoil 1'!$B$42*L29^5+'Airfoil 1'!$B$43*L29^6)*0+CX29</f>
        <v>1.1110331491712706E-2</v>
      </c>
      <c r="P29" s="16">
        <f>LOG('Airfoil 1'!$F$10)+LOG('Airfoil 1'!$G$10)+LOG('Airfoil 1'!$H$10)</f>
        <v>15.176091259055681</v>
      </c>
      <c r="Q29" s="16">
        <f t="shared" ca="1" si="1"/>
        <v>-5.3254750991929125</v>
      </c>
      <c r="R29" s="16">
        <f>LOG('Airfoil 1'!$F$10)^2+LOG('Airfoil 1'!$G$10)^2+LOG('Airfoil 1'!$H$10)^2</f>
        <v>76.867141336751558</v>
      </c>
      <c r="S29" s="16">
        <f ca="1">LOG('Airfoil 1'!$F$10)*LOG(M29)+LOG('Airfoil 1'!$G$10)*LOG(N29)+LOG('Airfoil 1'!$H$10)*LOG(O29)</f>
        <v>-27.014391057528009</v>
      </c>
      <c r="T29" s="16">
        <f t="shared" ca="1" si="2"/>
        <v>141.60346469083578</v>
      </c>
      <c r="U29" s="16">
        <f t="shared" ca="1" si="3"/>
        <v>-0.77613507568957385</v>
      </c>
      <c r="V29" s="42">
        <f ca="1">IF(Energy!$F$11=1,Energy!$T$13,1)*T29*H29^U29</f>
        <v>7.7974580991343519E-3</v>
      </c>
      <c r="W29" s="10">
        <f ca="1">'Airfoil 1'!$B$48+'Airfoil 1'!$B$49*L29+'Airfoil 1'!$B$50*L29^2+'Airfoil 1'!$B$51*L29^3+'Airfoil 1'!$B$52*L29^4+'Airfoil 1'!$B$53*L29^5+'Airfoil 1'!$B$54*L29^6</f>
        <v>-0.155</v>
      </c>
      <c r="X29" s="42">
        <f ca="1">'Airfoil 1'!$B$56+'Airfoil 1'!$B$57*L29+'Airfoil 1'!$B$58*L29^2+'Airfoil 1'!$B$59*L29^3+'Airfoil 1'!$B$60*L29^4+'Airfoil 1'!$B$61*L29^5+'Airfoil 1'!$B$62*L29^6</f>
        <v>-0.155</v>
      </c>
      <c r="Y29" s="42">
        <f ca="1">'Airfoil 1'!$B$64+'Airfoil 1'!$B$65*L29+'Airfoil 1'!$B$66*L29^2+'Airfoil 1'!$B$67*L29^3+'Airfoil 1'!$B$681*L29^4+'Airfoil 1'!$B$69*L29^5+'Airfoil 1'!$B$70*L29^6</f>
        <v>-0.155</v>
      </c>
      <c r="Z29" s="16">
        <f>LOG('Airfoil 1'!$F$10)+LOG('Airfoil 1'!$G$10)+LOG('Airfoil 1'!$H$10)</f>
        <v>15.176091259055681</v>
      </c>
      <c r="AA29" s="16">
        <f t="shared" ca="1" si="4"/>
        <v>-2.4290049054891254</v>
      </c>
      <c r="AB29" s="16">
        <f>LOG('Airfoil 1'!$F$10)^2+LOG('Airfoil 1'!$G$10)^2+LOG('Airfoil 1'!$H$10)^2</f>
        <v>76.867141336751558</v>
      </c>
      <c r="AC29" s="16">
        <f ca="1">LOG('Airfoil 1'!$F$10)*LOG(ABS(W29))+LOG('Airfoil 1'!$G$10)*LOG(ABS(X29))+LOG('Airfoil 1'!$H$10)*LOG(ABS(Y29))</f>
        <v>-12.287600038132297</v>
      </c>
      <c r="AD29" s="16">
        <f t="shared" ca="1" si="5"/>
        <v>0.1550000000000121</v>
      </c>
      <c r="AE29" s="16">
        <f t="shared" ca="1" si="6"/>
        <v>-6.6718325633022456E-15</v>
      </c>
      <c r="AF29" s="42">
        <f t="shared" ca="1" si="7"/>
        <v>-0.15499999999999892</v>
      </c>
      <c r="AG29" s="16"/>
      <c r="AH29" s="42"/>
      <c r="AI29" s="16">
        <f ca="1">(L29-'Airfoil 1'!$Z$22)/ABS(L29-'Airfoil 1'!$Z$22)</f>
        <v>1</v>
      </c>
      <c r="AJ29" s="16">
        <f ca="1">(L29-'Airfoil 1'!$Z$23)/ABS(L29-'Airfoil 1'!$Z$23)</f>
        <v>1</v>
      </c>
      <c r="AK29" s="16">
        <f ca="1">(L29-'Airfoil 1'!$Z$24)/ABS(L29-'Airfoil 1'!$Z$24)</f>
        <v>1</v>
      </c>
      <c r="AL29" s="16">
        <f ca="1">(L29-'Airfoil 1'!$Z$25)/ABS(L29-'Airfoil 1'!$Z$25)</f>
        <v>1</v>
      </c>
      <c r="AM29" s="16">
        <f ca="1">(L29-'Airfoil 1'!$Z$26)/ABS(L29-'Airfoil 1'!$Z$26)</f>
        <v>1</v>
      </c>
      <c r="AN29" s="16">
        <f ca="1">(L29-'Airfoil 1'!$Z$27)/ABS(L29-'Airfoil 1'!$Z$27)</f>
        <v>1</v>
      </c>
      <c r="AO29" s="16">
        <f ca="1">(L29-'Airfoil 1'!$Z$28)/ABS(L29-'Airfoil 1'!$Z$28)</f>
        <v>1</v>
      </c>
      <c r="AP29" s="16">
        <f ca="1">(L29-'Airfoil 1'!$Z$29)/ABS(L29-'Airfoil 1'!$Z$29)</f>
        <v>-1</v>
      </c>
      <c r="AQ29" s="16">
        <f ca="1">(L29-'Airfoil 1'!$Z$30)/ABS(L29-'Airfoil 1'!$Z$30)</f>
        <v>-1</v>
      </c>
      <c r="AR29" s="16">
        <f ca="1">(L29-'Airfoil 1'!$Z$31)/ABS(L29-'Airfoil 1'!$Z$31)</f>
        <v>-1</v>
      </c>
      <c r="AS29" s="16">
        <f ca="1">(L29-'Airfoil 1'!$Z$32)/ABS(L29-'Airfoil 1'!$Z$32)</f>
        <v>-1</v>
      </c>
      <c r="AT29" s="16">
        <f ca="1">(L29-'Airfoil 1'!$Z$33)/ABS(L29-'Airfoil 1'!$Z$33)</f>
        <v>-1</v>
      </c>
      <c r="AU29" s="16">
        <f ca="1">(L29-'Airfoil 1'!$Z$34)/ABS(L29-'Airfoil 1'!$Z$34)</f>
        <v>-1</v>
      </c>
      <c r="AV29" s="16">
        <f ca="1">(L29-'Airfoil 1'!$Z$35)/ABS(L29-'Airfoil 1'!$Z$35)</f>
        <v>-1</v>
      </c>
      <c r="AW29" s="16">
        <f ca="1">(L29-'Airfoil 1'!$Z$36)/ABS(L29-'Airfoil 1'!$Z$36)</f>
        <v>-1</v>
      </c>
      <c r="AX29" s="16">
        <f ca="1">(L29-'Airfoil 1'!$Z$37)/ABS(L29-'Airfoil 1'!$Z$37)</f>
        <v>-1</v>
      </c>
      <c r="AY29" s="16">
        <f ca="1">(L29-'Airfoil 1'!$Z$38)/ABS(L29-'Airfoil 1'!$Z$38)</f>
        <v>-1</v>
      </c>
      <c r="AZ29" s="16">
        <f ca="1">(L29-'Airfoil 1'!$Z$39)/ABS(L29-'Airfoil 1'!$Z$39)</f>
        <v>-1</v>
      </c>
      <c r="BA29" s="16">
        <f ca="1">(L29-'Airfoil 1'!$Z$40)/ABS(L29-'Airfoil 1'!$Z$40)</f>
        <v>-1</v>
      </c>
      <c r="BB29" s="16">
        <f ca="1">(L29-'Airfoil 1'!$Z$41)/ABS(L29-'Airfoil 1'!$Z$41)</f>
        <v>-1</v>
      </c>
      <c r="BC29" s="5">
        <f t="shared" ca="1" si="8"/>
        <v>7</v>
      </c>
      <c r="BD29" s="42">
        <f ca="1">INDEX('Airfoil 1'!$AA$22:$AA$41,BC29,1)+INDEX('Airfoil 1'!$AB$22:$AB$41,BC29,1)*(L29-INDEX('Airfoil 1'!$Z$22:$Z$41,BC29,1))</f>
        <v>2.4489313868613138E-2</v>
      </c>
      <c r="BE29" s="6"/>
      <c r="BF29" s="16">
        <f ca="1">(L29-'Airfoil 1'!$Z$47)/ABS(L29-'Airfoil 1'!$Z$47)</f>
        <v>1</v>
      </c>
      <c r="BG29" s="16">
        <f ca="1">(L29-'Airfoil 1'!$Z$48)/ABS(L29-'Airfoil 1'!$Z$48)</f>
        <v>1</v>
      </c>
      <c r="BH29" s="16">
        <f ca="1">(L29-'Airfoil 1'!$Z$49)/ABS(L29-'Airfoil 1'!$Z$49)</f>
        <v>1</v>
      </c>
      <c r="BI29" s="16">
        <f ca="1">(L29-'Airfoil 1'!$Z$50)/ABS(L29-'Airfoil 1'!$Z$50)</f>
        <v>1</v>
      </c>
      <c r="BJ29" s="16">
        <f ca="1">(L29-'Airfoil 1'!$Z$51)/ABS(L29-'Airfoil 1'!$Z$51)</f>
        <v>1</v>
      </c>
      <c r="BK29" s="16">
        <f ca="1">(L29-'Airfoil 1'!$Z$52)/ABS(L29-'Airfoil 1'!$Z$52)</f>
        <v>1</v>
      </c>
      <c r="BL29" s="16">
        <f ca="1">(L29-'Airfoil 1'!$Z$53)/ABS(L29-'Airfoil 1'!$Z$53)</f>
        <v>-1</v>
      </c>
      <c r="BM29" s="16">
        <f ca="1">(L29-'Airfoil 1'!$Z$54)/ABS(L29-'Airfoil 1'!$Z$54)</f>
        <v>-1</v>
      </c>
      <c r="BN29" s="16">
        <f ca="1">(L29-'Airfoil 1'!$Z$55)/ABS(L29-'Airfoil 1'!$Z$55)</f>
        <v>-1</v>
      </c>
      <c r="BO29" s="16">
        <f ca="1">(L29-'Airfoil 1'!$Z$56)/ABS(L29-'Airfoil 1'!$Z$56)</f>
        <v>-1</v>
      </c>
      <c r="BP29" s="16">
        <f ca="1">(L29-'Airfoil 1'!$Z$57)/ABS(L29-'Airfoil 1'!$Z$57)</f>
        <v>-1</v>
      </c>
      <c r="BQ29" s="16">
        <f ca="1">(L29-'Airfoil 1'!$Z$58)/ABS(L29-'Airfoil 1'!$Z$58)</f>
        <v>-1</v>
      </c>
      <c r="BR29" s="16">
        <f ca="1">(L29-'Airfoil 1'!$Z$59)/ABS(L29-'Airfoil 1'!$Z$59)</f>
        <v>-1</v>
      </c>
      <c r="BS29" s="16">
        <f ca="1">(L29-'Airfoil 1'!$Z$60)/ABS(L29-'Airfoil 1'!$Z$60)</f>
        <v>-1</v>
      </c>
      <c r="BT29" s="16">
        <f ca="1">(L29-'Airfoil 1'!$Z$61)/ABS(L29-'Airfoil 1'!$Z$61)</f>
        <v>-1</v>
      </c>
      <c r="BU29" s="16">
        <f ca="1">(L29-'Airfoil 1'!$Z$62)/ABS(L29-'Airfoil 1'!$Z$62)</f>
        <v>-1</v>
      </c>
      <c r="BV29" s="16">
        <f ca="1">(L29-'Airfoil 1'!$Z$63)/ABS(L29-'Airfoil 1'!$Z$63)</f>
        <v>-1</v>
      </c>
      <c r="BW29" s="16">
        <f ca="1">(L29-'Airfoil 1'!$Z$64)/ABS(L29-'Airfoil 1'!$Z$64)</f>
        <v>-1</v>
      </c>
      <c r="BX29" s="16">
        <f ca="1">(L29-'Airfoil 1'!$Z$65)/ABS(L29-'Airfoil 1'!$Z$65)</f>
        <v>-1</v>
      </c>
      <c r="BY29" s="16">
        <f ca="1">(L29-'Airfoil 1'!$Z$66)/ABS(L29-'Airfoil 1'!$Z$66)</f>
        <v>-1</v>
      </c>
      <c r="BZ29" s="5">
        <f t="shared" ca="1" si="9"/>
        <v>6</v>
      </c>
      <c r="CA29" s="42">
        <f ca="1">INDEX('Airfoil 1'!$AA$47:$AA$66,BZ29,1)+INDEX('Airfoil 1'!$AB$47:$AB$66,BZ29,1)*(L29-INDEX('Airfoil 1'!$Z$47:$Z$66,BZ29,1))</f>
        <v>1.7370857855361597E-2</v>
      </c>
      <c r="CC29" s="16">
        <f ca="1">(L29-'Airfoil 1'!$Z$72)/ABS(L29-'Airfoil 1'!$Z$72)</f>
        <v>1</v>
      </c>
      <c r="CD29" s="16">
        <f ca="1">(L29-'Airfoil 1'!$Z$73)/ABS(L29-'Airfoil 1'!$Z$73)</f>
        <v>1</v>
      </c>
      <c r="CE29" s="16">
        <f ca="1">(L29-'Airfoil 1'!$Z$74)/ABS(L29-'Airfoil 1'!$Z$74)</f>
        <v>1</v>
      </c>
      <c r="CF29" s="16">
        <f ca="1">(L29-'Airfoil 1'!$Z$75)/ABS(L29-'Airfoil 1'!$Z$75)</f>
        <v>1</v>
      </c>
      <c r="CG29" s="16">
        <f ca="1">(L29-'Airfoil 1'!$Z$76)/ABS(L29-'Airfoil 1'!$Z$76)</f>
        <v>-1</v>
      </c>
      <c r="CH29" s="16">
        <f ca="1">(L29-'Airfoil 1'!$Z$77)/ABS(L29-'Airfoil 1'!$Z$77)</f>
        <v>-1</v>
      </c>
      <c r="CI29" s="16">
        <f ca="1">(L29-'Airfoil 1'!$Z$78)/ABS(L29-'Airfoil 1'!$Z$78)</f>
        <v>-1</v>
      </c>
      <c r="CJ29" s="16">
        <f ca="1">(L29-'Airfoil 1'!$Z$79)/ABS(L29-'Airfoil 1'!$Z$79)</f>
        <v>-1</v>
      </c>
      <c r="CK29" s="16">
        <f ca="1">(L29-'Airfoil 1'!$Z$80)/ABS(L29-'Airfoil 1'!$Z$80)</f>
        <v>-1</v>
      </c>
      <c r="CL29" s="16">
        <f ca="1">(L29-'Airfoil 1'!$Z$81)/ABS(L29-'Airfoil 1'!$Z$81)</f>
        <v>-1</v>
      </c>
      <c r="CM29" s="16">
        <f ca="1">(L29-'Airfoil 1'!$Z$82)/ABS(L29-'Airfoil 1'!$Z$82)</f>
        <v>-1</v>
      </c>
      <c r="CN29" s="16">
        <f ca="1">(L29-'Airfoil 1'!$Z$83)/ABS(L29-'Airfoil 1'!$Z$83)</f>
        <v>-1</v>
      </c>
      <c r="CO29" s="16">
        <f ca="1">(L29-'Airfoil 1'!$Z$84)/ABS(L29-'Airfoil 1'!$Z$84)</f>
        <v>-1</v>
      </c>
      <c r="CP29" s="16">
        <f ca="1">(L29-'Airfoil 1'!$Z$85)/ABS(L29-'Airfoil 1'!$Z$85)</f>
        <v>-1</v>
      </c>
      <c r="CQ29" s="16">
        <f ca="1">(L29-'Airfoil 1'!$Z$86)/ABS(L29-'Airfoil 1'!$Z$86)</f>
        <v>-1</v>
      </c>
      <c r="CR29" s="16">
        <f ca="1">(L29-'Airfoil 1'!$Z$87)/ABS(L29-'Airfoil 1'!$Z$87)</f>
        <v>-1</v>
      </c>
      <c r="CS29" s="16">
        <f ca="1">(L29-'Airfoil 1'!$Z$88)/ABS(L29-'Airfoil 1'!$Z$88)</f>
        <v>-1</v>
      </c>
      <c r="CT29" s="16">
        <f ca="1">(L29-'Airfoil 1'!$Z$89)/ABS(L29-'Airfoil 1'!$Z$89)</f>
        <v>-1</v>
      </c>
      <c r="CU29" s="16">
        <f ca="1">(L29-'Airfoil 1'!$Z$90)/ABS(L29-'Airfoil 1'!$Z$90)</f>
        <v>-1</v>
      </c>
      <c r="CV29" s="16">
        <f ca="1">(L29-'Airfoil 1'!$Z$91)/ABS(L29-'Airfoil 1'!$Z$91)</f>
        <v>-1</v>
      </c>
      <c r="CW29" s="5">
        <f t="shared" ca="1" si="10"/>
        <v>4</v>
      </c>
      <c r="CX29" s="42">
        <f ca="1">INDEX('Airfoil 1'!$AA$72:$AA$91,CW29,1)+INDEX('Airfoil 1'!$AB$72:$AB$91,CW29,1)*(L29-INDEX('Airfoil 1'!$Z$72:$Z$91,CW29,1))</f>
        <v>1.1110331491712706E-2</v>
      </c>
    </row>
    <row r="30" spans="2:102">
      <c r="B30" s="31">
        <f>Main!B30</f>
        <v>0.33333333333333326</v>
      </c>
      <c r="D30" s="1">
        <f>Cruise!F30</f>
        <v>0.65969672852566186</v>
      </c>
      <c r="E30" s="4">
        <f>ISA!$R$10</f>
        <v>1.5987591530356481E-5</v>
      </c>
      <c r="G30" s="13">
        <f ca="1">Cruise!X30</f>
        <v>24.858990723373086</v>
      </c>
      <c r="H30" s="5">
        <f t="shared" ca="1" si="0"/>
        <v>341919.22786953463</v>
      </c>
      <c r="I30" s="16">
        <f ca="1">'Airfoil 2'!$K$14*H30^'Airfoil 2'!$L$13</f>
        <v>1.5823770296445867</v>
      </c>
      <c r="J30" s="1">
        <f ca="1">'Airfoil 2'!$K$33*H30^'Airfoil 2'!$L$32</f>
        <v>5.0731961754621828</v>
      </c>
      <c r="K30" s="13">
        <f ca="1">'Airfoil 2'!$K$52*H30^'Airfoil 2'!$L$51</f>
        <v>-9.0249781933346007</v>
      </c>
      <c r="L30" s="16">
        <f ca="1">'Aerodynamics-Cruise'!W30</f>
        <v>0.9</v>
      </c>
      <c r="M30" s="10">
        <f ca="1">('Airfoil 1'!$B$21+'Airfoil 1'!$B$22*L30+'Airfoil 1'!$B$23*L30^2+'Airfoil 1'!$B$24*L30^3+'Airfoil 1'!$B$25*L30^4+'Airfoil 1'!$B$26*L30^5+'Airfoil 1'!$B$27*L30^6)*0+BD30</f>
        <v>2.4489313868613138E-2</v>
      </c>
      <c r="N30" s="42">
        <f ca="1">('Airfoil 1'!$B$29+'Airfoil 1'!$B$30*L30+'Airfoil 1'!$B$31*L30^2+'Airfoil 1'!$B$32*L30^3+'Airfoil 1'!$B$33*L30^4+'Airfoil 1'!$B$34*L30^5+'Airfoil 1'!$B$35*L30^6)*0+CA30</f>
        <v>1.7370857855361597E-2</v>
      </c>
      <c r="O30" s="42">
        <f ca="1">('Airfoil 1'!$B$37+'Airfoil 1'!$B$38*L30+'Airfoil 1'!$B$39*L30^2+'Airfoil 1'!$B$40*L30^3+'Airfoil 1'!$B$41*L30^4+'Airfoil 1'!$B$42*L30^5+'Airfoil 1'!$B$43*L30^6)*0+CX30</f>
        <v>1.1110331491712706E-2</v>
      </c>
      <c r="P30" s="16">
        <f>LOG('Airfoil 1'!$F$10)+LOG('Airfoil 1'!$G$10)+LOG('Airfoil 1'!$H$10)</f>
        <v>15.176091259055681</v>
      </c>
      <c r="Q30" s="16">
        <f t="shared" ca="1" si="1"/>
        <v>-5.3254750991929125</v>
      </c>
      <c r="R30" s="16">
        <f>LOG('Airfoil 1'!$F$10)^2+LOG('Airfoil 1'!$G$10)^2+LOG('Airfoil 1'!$H$10)^2</f>
        <v>76.867141336751558</v>
      </c>
      <c r="S30" s="16">
        <f ca="1">LOG('Airfoil 1'!$F$10)*LOG(M30)+LOG('Airfoil 1'!$G$10)*LOG(N30)+LOG('Airfoil 1'!$H$10)*LOG(O30)</f>
        <v>-27.014391057528009</v>
      </c>
      <c r="T30" s="16">
        <f t="shared" ca="1" si="2"/>
        <v>141.60346469083578</v>
      </c>
      <c r="U30" s="16">
        <f t="shared" ca="1" si="3"/>
        <v>-0.77613507568957385</v>
      </c>
      <c r="V30" s="42">
        <f ca="1">IF(Energy!$F$11=1,Energy!$T$13,1)*T30*H30^U30</f>
        <v>7.9137135193256061E-3</v>
      </c>
      <c r="W30" s="10">
        <f ca="1">'Airfoil 1'!$B$48+'Airfoil 1'!$B$49*L30+'Airfoil 1'!$B$50*L30^2+'Airfoil 1'!$B$51*L30^3+'Airfoil 1'!$B$52*L30^4+'Airfoil 1'!$B$53*L30^5+'Airfoil 1'!$B$54*L30^6</f>
        <v>-0.155</v>
      </c>
      <c r="X30" s="42">
        <f ca="1">'Airfoil 1'!$B$56+'Airfoil 1'!$B$57*L30+'Airfoil 1'!$B$58*L30^2+'Airfoil 1'!$B$59*L30^3+'Airfoil 1'!$B$60*L30^4+'Airfoil 1'!$B$61*L30^5+'Airfoil 1'!$B$62*L30^6</f>
        <v>-0.155</v>
      </c>
      <c r="Y30" s="42">
        <f ca="1">'Airfoil 1'!$B$64+'Airfoil 1'!$B$65*L30+'Airfoil 1'!$B$66*L30^2+'Airfoil 1'!$B$67*L30^3+'Airfoil 1'!$B$681*L30^4+'Airfoil 1'!$B$69*L30^5+'Airfoil 1'!$B$70*L30^6</f>
        <v>-0.155</v>
      </c>
      <c r="Z30" s="16">
        <f>LOG('Airfoil 1'!$F$10)+LOG('Airfoil 1'!$G$10)+LOG('Airfoil 1'!$H$10)</f>
        <v>15.176091259055681</v>
      </c>
      <c r="AA30" s="16">
        <f t="shared" ca="1" si="4"/>
        <v>-2.4290049054891254</v>
      </c>
      <c r="AB30" s="16">
        <f>LOG('Airfoil 1'!$F$10)^2+LOG('Airfoil 1'!$G$10)^2+LOG('Airfoil 1'!$H$10)^2</f>
        <v>76.867141336751558</v>
      </c>
      <c r="AC30" s="16">
        <f ca="1">LOG('Airfoil 1'!$F$10)*LOG(ABS(W30))+LOG('Airfoil 1'!$G$10)*LOG(ABS(X30))+LOG('Airfoil 1'!$H$10)*LOG(ABS(Y30))</f>
        <v>-12.287600038132297</v>
      </c>
      <c r="AD30" s="16">
        <f t="shared" ca="1" si="5"/>
        <v>0.1550000000000121</v>
      </c>
      <c r="AE30" s="16">
        <f t="shared" ca="1" si="6"/>
        <v>-6.6718325633022456E-15</v>
      </c>
      <c r="AF30" s="42">
        <f t="shared" ca="1" si="7"/>
        <v>-0.15499999999999892</v>
      </c>
      <c r="AG30" s="16"/>
      <c r="AH30" s="42"/>
      <c r="AI30" s="16">
        <f ca="1">(L30-'Airfoil 1'!$Z$22)/ABS(L30-'Airfoil 1'!$Z$22)</f>
        <v>1</v>
      </c>
      <c r="AJ30" s="16">
        <f ca="1">(L30-'Airfoil 1'!$Z$23)/ABS(L30-'Airfoil 1'!$Z$23)</f>
        <v>1</v>
      </c>
      <c r="AK30" s="16">
        <f ca="1">(L30-'Airfoil 1'!$Z$24)/ABS(L30-'Airfoil 1'!$Z$24)</f>
        <v>1</v>
      </c>
      <c r="AL30" s="16">
        <f ca="1">(L30-'Airfoil 1'!$Z$25)/ABS(L30-'Airfoil 1'!$Z$25)</f>
        <v>1</v>
      </c>
      <c r="AM30" s="16">
        <f ca="1">(L30-'Airfoil 1'!$Z$26)/ABS(L30-'Airfoil 1'!$Z$26)</f>
        <v>1</v>
      </c>
      <c r="AN30" s="16">
        <f ca="1">(L30-'Airfoil 1'!$Z$27)/ABS(L30-'Airfoil 1'!$Z$27)</f>
        <v>1</v>
      </c>
      <c r="AO30" s="16">
        <f ca="1">(L30-'Airfoil 1'!$Z$28)/ABS(L30-'Airfoil 1'!$Z$28)</f>
        <v>1</v>
      </c>
      <c r="AP30" s="16">
        <f ca="1">(L30-'Airfoil 1'!$Z$29)/ABS(L30-'Airfoil 1'!$Z$29)</f>
        <v>-1</v>
      </c>
      <c r="AQ30" s="16">
        <f ca="1">(L30-'Airfoil 1'!$Z$30)/ABS(L30-'Airfoil 1'!$Z$30)</f>
        <v>-1</v>
      </c>
      <c r="AR30" s="16">
        <f ca="1">(L30-'Airfoil 1'!$Z$31)/ABS(L30-'Airfoil 1'!$Z$31)</f>
        <v>-1</v>
      </c>
      <c r="AS30" s="16">
        <f ca="1">(L30-'Airfoil 1'!$Z$32)/ABS(L30-'Airfoil 1'!$Z$32)</f>
        <v>-1</v>
      </c>
      <c r="AT30" s="16">
        <f ca="1">(L30-'Airfoil 1'!$Z$33)/ABS(L30-'Airfoil 1'!$Z$33)</f>
        <v>-1</v>
      </c>
      <c r="AU30" s="16">
        <f ca="1">(L30-'Airfoil 1'!$Z$34)/ABS(L30-'Airfoil 1'!$Z$34)</f>
        <v>-1</v>
      </c>
      <c r="AV30" s="16">
        <f ca="1">(L30-'Airfoil 1'!$Z$35)/ABS(L30-'Airfoil 1'!$Z$35)</f>
        <v>-1</v>
      </c>
      <c r="AW30" s="16">
        <f ca="1">(L30-'Airfoil 1'!$Z$36)/ABS(L30-'Airfoil 1'!$Z$36)</f>
        <v>-1</v>
      </c>
      <c r="AX30" s="16">
        <f ca="1">(L30-'Airfoil 1'!$Z$37)/ABS(L30-'Airfoil 1'!$Z$37)</f>
        <v>-1</v>
      </c>
      <c r="AY30" s="16">
        <f ca="1">(L30-'Airfoil 1'!$Z$38)/ABS(L30-'Airfoil 1'!$Z$38)</f>
        <v>-1</v>
      </c>
      <c r="AZ30" s="16">
        <f ca="1">(L30-'Airfoil 1'!$Z$39)/ABS(L30-'Airfoil 1'!$Z$39)</f>
        <v>-1</v>
      </c>
      <c r="BA30" s="16">
        <f ca="1">(L30-'Airfoil 1'!$Z$40)/ABS(L30-'Airfoil 1'!$Z$40)</f>
        <v>-1</v>
      </c>
      <c r="BB30" s="16">
        <f ca="1">(L30-'Airfoil 1'!$Z$41)/ABS(L30-'Airfoil 1'!$Z$41)</f>
        <v>-1</v>
      </c>
      <c r="BC30" s="5">
        <f t="shared" ca="1" si="8"/>
        <v>7</v>
      </c>
      <c r="BD30" s="42">
        <f ca="1">INDEX('Airfoil 1'!$AA$22:$AA$41,BC30,1)+INDEX('Airfoil 1'!$AB$22:$AB$41,BC30,1)*(L30-INDEX('Airfoil 1'!$Z$22:$Z$41,BC30,1))</f>
        <v>2.4489313868613138E-2</v>
      </c>
      <c r="BE30" s="6"/>
      <c r="BF30" s="16">
        <f ca="1">(L30-'Airfoil 1'!$Z$47)/ABS(L30-'Airfoil 1'!$Z$47)</f>
        <v>1</v>
      </c>
      <c r="BG30" s="16">
        <f ca="1">(L30-'Airfoil 1'!$Z$48)/ABS(L30-'Airfoil 1'!$Z$48)</f>
        <v>1</v>
      </c>
      <c r="BH30" s="16">
        <f ca="1">(L30-'Airfoil 1'!$Z$49)/ABS(L30-'Airfoil 1'!$Z$49)</f>
        <v>1</v>
      </c>
      <c r="BI30" s="16">
        <f ca="1">(L30-'Airfoil 1'!$Z$50)/ABS(L30-'Airfoil 1'!$Z$50)</f>
        <v>1</v>
      </c>
      <c r="BJ30" s="16">
        <f ca="1">(L30-'Airfoil 1'!$Z$51)/ABS(L30-'Airfoil 1'!$Z$51)</f>
        <v>1</v>
      </c>
      <c r="BK30" s="16">
        <f ca="1">(L30-'Airfoil 1'!$Z$52)/ABS(L30-'Airfoil 1'!$Z$52)</f>
        <v>1</v>
      </c>
      <c r="BL30" s="16">
        <f ca="1">(L30-'Airfoil 1'!$Z$53)/ABS(L30-'Airfoil 1'!$Z$53)</f>
        <v>-1</v>
      </c>
      <c r="BM30" s="16">
        <f ca="1">(L30-'Airfoil 1'!$Z$54)/ABS(L30-'Airfoil 1'!$Z$54)</f>
        <v>-1</v>
      </c>
      <c r="BN30" s="16">
        <f ca="1">(L30-'Airfoil 1'!$Z$55)/ABS(L30-'Airfoil 1'!$Z$55)</f>
        <v>-1</v>
      </c>
      <c r="BO30" s="16">
        <f ca="1">(L30-'Airfoil 1'!$Z$56)/ABS(L30-'Airfoil 1'!$Z$56)</f>
        <v>-1</v>
      </c>
      <c r="BP30" s="16">
        <f ca="1">(L30-'Airfoil 1'!$Z$57)/ABS(L30-'Airfoil 1'!$Z$57)</f>
        <v>-1</v>
      </c>
      <c r="BQ30" s="16">
        <f ca="1">(L30-'Airfoil 1'!$Z$58)/ABS(L30-'Airfoil 1'!$Z$58)</f>
        <v>-1</v>
      </c>
      <c r="BR30" s="16">
        <f ca="1">(L30-'Airfoil 1'!$Z$59)/ABS(L30-'Airfoil 1'!$Z$59)</f>
        <v>-1</v>
      </c>
      <c r="BS30" s="16">
        <f ca="1">(L30-'Airfoil 1'!$Z$60)/ABS(L30-'Airfoil 1'!$Z$60)</f>
        <v>-1</v>
      </c>
      <c r="BT30" s="16">
        <f ca="1">(L30-'Airfoil 1'!$Z$61)/ABS(L30-'Airfoil 1'!$Z$61)</f>
        <v>-1</v>
      </c>
      <c r="BU30" s="16">
        <f ca="1">(L30-'Airfoil 1'!$Z$62)/ABS(L30-'Airfoil 1'!$Z$62)</f>
        <v>-1</v>
      </c>
      <c r="BV30" s="16">
        <f ca="1">(L30-'Airfoil 1'!$Z$63)/ABS(L30-'Airfoil 1'!$Z$63)</f>
        <v>-1</v>
      </c>
      <c r="BW30" s="16">
        <f ca="1">(L30-'Airfoil 1'!$Z$64)/ABS(L30-'Airfoil 1'!$Z$64)</f>
        <v>-1</v>
      </c>
      <c r="BX30" s="16">
        <f ca="1">(L30-'Airfoil 1'!$Z$65)/ABS(L30-'Airfoil 1'!$Z$65)</f>
        <v>-1</v>
      </c>
      <c r="BY30" s="16">
        <f ca="1">(L30-'Airfoil 1'!$Z$66)/ABS(L30-'Airfoil 1'!$Z$66)</f>
        <v>-1</v>
      </c>
      <c r="BZ30" s="5">
        <f t="shared" ca="1" si="9"/>
        <v>6</v>
      </c>
      <c r="CA30" s="42">
        <f ca="1">INDEX('Airfoil 1'!$AA$47:$AA$66,BZ30,1)+INDEX('Airfoil 1'!$AB$47:$AB$66,BZ30,1)*(L30-INDEX('Airfoil 1'!$Z$47:$Z$66,BZ30,1))</f>
        <v>1.7370857855361597E-2</v>
      </c>
      <c r="CC30" s="16">
        <f ca="1">(L30-'Airfoil 1'!$Z$72)/ABS(L30-'Airfoil 1'!$Z$72)</f>
        <v>1</v>
      </c>
      <c r="CD30" s="16">
        <f ca="1">(L30-'Airfoil 1'!$Z$73)/ABS(L30-'Airfoil 1'!$Z$73)</f>
        <v>1</v>
      </c>
      <c r="CE30" s="16">
        <f ca="1">(L30-'Airfoil 1'!$Z$74)/ABS(L30-'Airfoil 1'!$Z$74)</f>
        <v>1</v>
      </c>
      <c r="CF30" s="16">
        <f ca="1">(L30-'Airfoil 1'!$Z$75)/ABS(L30-'Airfoil 1'!$Z$75)</f>
        <v>1</v>
      </c>
      <c r="CG30" s="16">
        <f ca="1">(L30-'Airfoil 1'!$Z$76)/ABS(L30-'Airfoil 1'!$Z$76)</f>
        <v>-1</v>
      </c>
      <c r="CH30" s="16">
        <f ca="1">(L30-'Airfoil 1'!$Z$77)/ABS(L30-'Airfoil 1'!$Z$77)</f>
        <v>-1</v>
      </c>
      <c r="CI30" s="16">
        <f ca="1">(L30-'Airfoil 1'!$Z$78)/ABS(L30-'Airfoil 1'!$Z$78)</f>
        <v>-1</v>
      </c>
      <c r="CJ30" s="16">
        <f ca="1">(L30-'Airfoil 1'!$Z$79)/ABS(L30-'Airfoil 1'!$Z$79)</f>
        <v>-1</v>
      </c>
      <c r="CK30" s="16">
        <f ca="1">(L30-'Airfoil 1'!$Z$80)/ABS(L30-'Airfoil 1'!$Z$80)</f>
        <v>-1</v>
      </c>
      <c r="CL30" s="16">
        <f ca="1">(L30-'Airfoil 1'!$Z$81)/ABS(L30-'Airfoil 1'!$Z$81)</f>
        <v>-1</v>
      </c>
      <c r="CM30" s="16">
        <f ca="1">(L30-'Airfoil 1'!$Z$82)/ABS(L30-'Airfoil 1'!$Z$82)</f>
        <v>-1</v>
      </c>
      <c r="CN30" s="16">
        <f ca="1">(L30-'Airfoil 1'!$Z$83)/ABS(L30-'Airfoil 1'!$Z$83)</f>
        <v>-1</v>
      </c>
      <c r="CO30" s="16">
        <f ca="1">(L30-'Airfoil 1'!$Z$84)/ABS(L30-'Airfoil 1'!$Z$84)</f>
        <v>-1</v>
      </c>
      <c r="CP30" s="16">
        <f ca="1">(L30-'Airfoil 1'!$Z$85)/ABS(L30-'Airfoil 1'!$Z$85)</f>
        <v>-1</v>
      </c>
      <c r="CQ30" s="16">
        <f ca="1">(L30-'Airfoil 1'!$Z$86)/ABS(L30-'Airfoil 1'!$Z$86)</f>
        <v>-1</v>
      </c>
      <c r="CR30" s="16">
        <f ca="1">(L30-'Airfoil 1'!$Z$87)/ABS(L30-'Airfoil 1'!$Z$87)</f>
        <v>-1</v>
      </c>
      <c r="CS30" s="16">
        <f ca="1">(L30-'Airfoil 1'!$Z$88)/ABS(L30-'Airfoil 1'!$Z$88)</f>
        <v>-1</v>
      </c>
      <c r="CT30" s="16">
        <f ca="1">(L30-'Airfoil 1'!$Z$89)/ABS(L30-'Airfoil 1'!$Z$89)</f>
        <v>-1</v>
      </c>
      <c r="CU30" s="16">
        <f ca="1">(L30-'Airfoil 1'!$Z$90)/ABS(L30-'Airfoil 1'!$Z$90)</f>
        <v>-1</v>
      </c>
      <c r="CV30" s="16">
        <f ca="1">(L30-'Airfoil 1'!$Z$91)/ABS(L30-'Airfoil 1'!$Z$91)</f>
        <v>-1</v>
      </c>
      <c r="CW30" s="5">
        <f t="shared" ca="1" si="10"/>
        <v>4</v>
      </c>
      <c r="CX30" s="42">
        <f ca="1">INDEX('Airfoil 1'!$AA$72:$AA$91,CW30,1)+INDEX('Airfoil 1'!$AB$72:$AB$91,CW30,1)*(L30-INDEX('Airfoil 1'!$Z$72:$Z$91,CW30,1))</f>
        <v>1.1110331491712706E-2</v>
      </c>
    </row>
    <row r="31" spans="2:102">
      <c r="B31" s="31">
        <f>Main!B31</f>
        <v>0.33333333333333326</v>
      </c>
      <c r="D31" s="1">
        <f>Cruise!F31</f>
        <v>0.65969672852566186</v>
      </c>
      <c r="E31" s="4">
        <f>ISA!$R$10</f>
        <v>1.5987591530356481E-5</v>
      </c>
      <c r="G31" s="13">
        <f ca="1">Cruise!X31</f>
        <v>24.411011139904709</v>
      </c>
      <c r="H31" s="5">
        <f t="shared" ca="1" si="0"/>
        <v>335757.56044766272</v>
      </c>
      <c r="I31" s="16">
        <f ca="1">'Airfoil 2'!$K$14*H31^'Airfoil 2'!$L$13</f>
        <v>1.5819770573199003</v>
      </c>
      <c r="J31" s="1">
        <f ca="1">'Airfoil 2'!$K$33*H31^'Airfoil 2'!$L$32</f>
        <v>5.1043214409384863</v>
      </c>
      <c r="K31" s="13">
        <f ca="1">'Airfoil 2'!$K$52*H31^'Airfoil 2'!$L$51</f>
        <v>-8.9158870013693736</v>
      </c>
      <c r="L31" s="16">
        <f ca="1">'Aerodynamics-Cruise'!W31</f>
        <v>0.9</v>
      </c>
      <c r="M31" s="10">
        <f ca="1">('Airfoil 1'!$B$21+'Airfoil 1'!$B$22*L31+'Airfoil 1'!$B$23*L31^2+'Airfoil 1'!$B$24*L31^3+'Airfoil 1'!$B$25*L31^4+'Airfoil 1'!$B$26*L31^5+'Airfoil 1'!$B$27*L31^6)*0+BD31</f>
        <v>2.4489313868613138E-2</v>
      </c>
      <c r="N31" s="42">
        <f ca="1">('Airfoil 1'!$B$29+'Airfoil 1'!$B$30*L31+'Airfoil 1'!$B$31*L31^2+'Airfoil 1'!$B$32*L31^3+'Airfoil 1'!$B$33*L31^4+'Airfoil 1'!$B$34*L31^5+'Airfoil 1'!$B$35*L31^6)*0+CA31</f>
        <v>1.7370857855361597E-2</v>
      </c>
      <c r="O31" s="42">
        <f ca="1">('Airfoil 1'!$B$37+'Airfoil 1'!$B$38*L31+'Airfoil 1'!$B$39*L31^2+'Airfoil 1'!$B$40*L31^3+'Airfoil 1'!$B$41*L31^4+'Airfoil 1'!$B$42*L31^5+'Airfoil 1'!$B$43*L31^6)*0+CX31</f>
        <v>1.1110331491712706E-2</v>
      </c>
      <c r="P31" s="16">
        <f>LOG('Airfoil 1'!$F$10)+LOG('Airfoil 1'!$G$10)+LOG('Airfoil 1'!$H$10)</f>
        <v>15.176091259055681</v>
      </c>
      <c r="Q31" s="16">
        <f t="shared" ca="1" si="1"/>
        <v>-5.3254750991929125</v>
      </c>
      <c r="R31" s="16">
        <f>LOG('Airfoil 1'!$F$10)^2+LOG('Airfoil 1'!$G$10)^2+LOG('Airfoil 1'!$H$10)^2</f>
        <v>76.867141336751558</v>
      </c>
      <c r="S31" s="16">
        <f ca="1">LOG('Airfoil 1'!$F$10)*LOG(M31)+LOG('Airfoil 1'!$G$10)*LOG(N31)+LOG('Airfoil 1'!$H$10)*LOG(O31)</f>
        <v>-27.014391057528009</v>
      </c>
      <c r="T31" s="16">
        <f t="shared" ca="1" si="2"/>
        <v>141.60346469083578</v>
      </c>
      <c r="U31" s="16">
        <f t="shared" ca="1" si="3"/>
        <v>-0.77613507568957385</v>
      </c>
      <c r="V31" s="42">
        <f ca="1">IF(Energy!$F$11=1,Energy!$T$13,1)*T31*H31^U31</f>
        <v>8.0262008722650352E-3</v>
      </c>
      <c r="W31" s="10">
        <f ca="1">'Airfoil 1'!$B$48+'Airfoil 1'!$B$49*L31+'Airfoil 1'!$B$50*L31^2+'Airfoil 1'!$B$51*L31^3+'Airfoil 1'!$B$52*L31^4+'Airfoil 1'!$B$53*L31^5+'Airfoil 1'!$B$54*L31^6</f>
        <v>-0.155</v>
      </c>
      <c r="X31" s="42">
        <f ca="1">'Airfoil 1'!$B$56+'Airfoil 1'!$B$57*L31+'Airfoil 1'!$B$58*L31^2+'Airfoil 1'!$B$59*L31^3+'Airfoil 1'!$B$60*L31^4+'Airfoil 1'!$B$61*L31^5+'Airfoil 1'!$B$62*L31^6</f>
        <v>-0.155</v>
      </c>
      <c r="Y31" s="42">
        <f ca="1">'Airfoil 1'!$B$64+'Airfoil 1'!$B$65*L31+'Airfoil 1'!$B$66*L31^2+'Airfoil 1'!$B$67*L31^3+'Airfoil 1'!$B$681*L31^4+'Airfoil 1'!$B$69*L31^5+'Airfoil 1'!$B$70*L31^6</f>
        <v>-0.155</v>
      </c>
      <c r="Z31" s="16">
        <f>LOG('Airfoil 1'!$F$10)+LOG('Airfoil 1'!$G$10)+LOG('Airfoil 1'!$H$10)</f>
        <v>15.176091259055681</v>
      </c>
      <c r="AA31" s="16">
        <f t="shared" ca="1" si="4"/>
        <v>-2.4290049054891254</v>
      </c>
      <c r="AB31" s="16">
        <f>LOG('Airfoil 1'!$F$10)^2+LOG('Airfoil 1'!$G$10)^2+LOG('Airfoil 1'!$H$10)^2</f>
        <v>76.867141336751558</v>
      </c>
      <c r="AC31" s="16">
        <f ca="1">LOG('Airfoil 1'!$F$10)*LOG(ABS(W31))+LOG('Airfoil 1'!$G$10)*LOG(ABS(X31))+LOG('Airfoil 1'!$H$10)*LOG(ABS(Y31))</f>
        <v>-12.287600038132297</v>
      </c>
      <c r="AD31" s="16">
        <f t="shared" ca="1" si="5"/>
        <v>0.1550000000000121</v>
      </c>
      <c r="AE31" s="16">
        <f t="shared" ca="1" si="6"/>
        <v>-6.6718325633022456E-15</v>
      </c>
      <c r="AF31" s="42">
        <f t="shared" ca="1" si="7"/>
        <v>-0.15499999999999894</v>
      </c>
      <c r="AG31" s="16"/>
      <c r="AH31" s="42"/>
      <c r="AI31" s="16">
        <f ca="1">(L31-'Airfoil 1'!$Z$22)/ABS(L31-'Airfoil 1'!$Z$22)</f>
        <v>1</v>
      </c>
      <c r="AJ31" s="16">
        <f ca="1">(L31-'Airfoil 1'!$Z$23)/ABS(L31-'Airfoil 1'!$Z$23)</f>
        <v>1</v>
      </c>
      <c r="AK31" s="16">
        <f ca="1">(L31-'Airfoil 1'!$Z$24)/ABS(L31-'Airfoil 1'!$Z$24)</f>
        <v>1</v>
      </c>
      <c r="AL31" s="16">
        <f ca="1">(L31-'Airfoil 1'!$Z$25)/ABS(L31-'Airfoil 1'!$Z$25)</f>
        <v>1</v>
      </c>
      <c r="AM31" s="16">
        <f ca="1">(L31-'Airfoil 1'!$Z$26)/ABS(L31-'Airfoil 1'!$Z$26)</f>
        <v>1</v>
      </c>
      <c r="AN31" s="16">
        <f ca="1">(L31-'Airfoil 1'!$Z$27)/ABS(L31-'Airfoil 1'!$Z$27)</f>
        <v>1</v>
      </c>
      <c r="AO31" s="16">
        <f ca="1">(L31-'Airfoil 1'!$Z$28)/ABS(L31-'Airfoil 1'!$Z$28)</f>
        <v>1</v>
      </c>
      <c r="AP31" s="16">
        <f ca="1">(L31-'Airfoil 1'!$Z$29)/ABS(L31-'Airfoil 1'!$Z$29)</f>
        <v>-1</v>
      </c>
      <c r="AQ31" s="16">
        <f ca="1">(L31-'Airfoil 1'!$Z$30)/ABS(L31-'Airfoil 1'!$Z$30)</f>
        <v>-1</v>
      </c>
      <c r="AR31" s="16">
        <f ca="1">(L31-'Airfoil 1'!$Z$31)/ABS(L31-'Airfoil 1'!$Z$31)</f>
        <v>-1</v>
      </c>
      <c r="AS31" s="16">
        <f ca="1">(L31-'Airfoil 1'!$Z$32)/ABS(L31-'Airfoil 1'!$Z$32)</f>
        <v>-1</v>
      </c>
      <c r="AT31" s="16">
        <f ca="1">(L31-'Airfoil 1'!$Z$33)/ABS(L31-'Airfoil 1'!$Z$33)</f>
        <v>-1</v>
      </c>
      <c r="AU31" s="16">
        <f ca="1">(L31-'Airfoil 1'!$Z$34)/ABS(L31-'Airfoil 1'!$Z$34)</f>
        <v>-1</v>
      </c>
      <c r="AV31" s="16">
        <f ca="1">(L31-'Airfoil 1'!$Z$35)/ABS(L31-'Airfoil 1'!$Z$35)</f>
        <v>-1</v>
      </c>
      <c r="AW31" s="16">
        <f ca="1">(L31-'Airfoil 1'!$Z$36)/ABS(L31-'Airfoil 1'!$Z$36)</f>
        <v>-1</v>
      </c>
      <c r="AX31" s="16">
        <f ca="1">(L31-'Airfoil 1'!$Z$37)/ABS(L31-'Airfoil 1'!$Z$37)</f>
        <v>-1</v>
      </c>
      <c r="AY31" s="16">
        <f ca="1">(L31-'Airfoil 1'!$Z$38)/ABS(L31-'Airfoil 1'!$Z$38)</f>
        <v>-1</v>
      </c>
      <c r="AZ31" s="16">
        <f ca="1">(L31-'Airfoil 1'!$Z$39)/ABS(L31-'Airfoil 1'!$Z$39)</f>
        <v>-1</v>
      </c>
      <c r="BA31" s="16">
        <f ca="1">(L31-'Airfoil 1'!$Z$40)/ABS(L31-'Airfoil 1'!$Z$40)</f>
        <v>-1</v>
      </c>
      <c r="BB31" s="16">
        <f ca="1">(L31-'Airfoil 1'!$Z$41)/ABS(L31-'Airfoil 1'!$Z$41)</f>
        <v>-1</v>
      </c>
      <c r="BC31" s="5">
        <f t="shared" ca="1" si="8"/>
        <v>7</v>
      </c>
      <c r="BD31" s="42">
        <f ca="1">INDEX('Airfoil 1'!$AA$22:$AA$41,BC31,1)+INDEX('Airfoil 1'!$AB$22:$AB$41,BC31,1)*(L31-INDEX('Airfoil 1'!$Z$22:$Z$41,BC31,1))</f>
        <v>2.4489313868613138E-2</v>
      </c>
      <c r="BE31" s="6"/>
      <c r="BF31" s="16">
        <f ca="1">(L31-'Airfoil 1'!$Z$47)/ABS(L31-'Airfoil 1'!$Z$47)</f>
        <v>1</v>
      </c>
      <c r="BG31" s="16">
        <f ca="1">(L31-'Airfoil 1'!$Z$48)/ABS(L31-'Airfoil 1'!$Z$48)</f>
        <v>1</v>
      </c>
      <c r="BH31" s="16">
        <f ca="1">(L31-'Airfoil 1'!$Z$49)/ABS(L31-'Airfoil 1'!$Z$49)</f>
        <v>1</v>
      </c>
      <c r="BI31" s="16">
        <f ca="1">(L31-'Airfoil 1'!$Z$50)/ABS(L31-'Airfoil 1'!$Z$50)</f>
        <v>1</v>
      </c>
      <c r="BJ31" s="16">
        <f ca="1">(L31-'Airfoil 1'!$Z$51)/ABS(L31-'Airfoil 1'!$Z$51)</f>
        <v>1</v>
      </c>
      <c r="BK31" s="16">
        <f ca="1">(L31-'Airfoil 1'!$Z$52)/ABS(L31-'Airfoil 1'!$Z$52)</f>
        <v>1</v>
      </c>
      <c r="BL31" s="16">
        <f ca="1">(L31-'Airfoil 1'!$Z$53)/ABS(L31-'Airfoil 1'!$Z$53)</f>
        <v>-1</v>
      </c>
      <c r="BM31" s="16">
        <f ca="1">(L31-'Airfoil 1'!$Z$54)/ABS(L31-'Airfoil 1'!$Z$54)</f>
        <v>-1</v>
      </c>
      <c r="BN31" s="16">
        <f ca="1">(L31-'Airfoil 1'!$Z$55)/ABS(L31-'Airfoil 1'!$Z$55)</f>
        <v>-1</v>
      </c>
      <c r="BO31" s="16">
        <f ca="1">(L31-'Airfoil 1'!$Z$56)/ABS(L31-'Airfoil 1'!$Z$56)</f>
        <v>-1</v>
      </c>
      <c r="BP31" s="16">
        <f ca="1">(L31-'Airfoil 1'!$Z$57)/ABS(L31-'Airfoil 1'!$Z$57)</f>
        <v>-1</v>
      </c>
      <c r="BQ31" s="16">
        <f ca="1">(L31-'Airfoil 1'!$Z$58)/ABS(L31-'Airfoil 1'!$Z$58)</f>
        <v>-1</v>
      </c>
      <c r="BR31" s="16">
        <f ca="1">(L31-'Airfoil 1'!$Z$59)/ABS(L31-'Airfoil 1'!$Z$59)</f>
        <v>-1</v>
      </c>
      <c r="BS31" s="16">
        <f ca="1">(L31-'Airfoil 1'!$Z$60)/ABS(L31-'Airfoil 1'!$Z$60)</f>
        <v>-1</v>
      </c>
      <c r="BT31" s="16">
        <f ca="1">(L31-'Airfoil 1'!$Z$61)/ABS(L31-'Airfoil 1'!$Z$61)</f>
        <v>-1</v>
      </c>
      <c r="BU31" s="16">
        <f ca="1">(L31-'Airfoil 1'!$Z$62)/ABS(L31-'Airfoil 1'!$Z$62)</f>
        <v>-1</v>
      </c>
      <c r="BV31" s="16">
        <f ca="1">(L31-'Airfoil 1'!$Z$63)/ABS(L31-'Airfoil 1'!$Z$63)</f>
        <v>-1</v>
      </c>
      <c r="BW31" s="16">
        <f ca="1">(L31-'Airfoil 1'!$Z$64)/ABS(L31-'Airfoil 1'!$Z$64)</f>
        <v>-1</v>
      </c>
      <c r="BX31" s="16">
        <f ca="1">(L31-'Airfoil 1'!$Z$65)/ABS(L31-'Airfoil 1'!$Z$65)</f>
        <v>-1</v>
      </c>
      <c r="BY31" s="16">
        <f ca="1">(L31-'Airfoil 1'!$Z$66)/ABS(L31-'Airfoil 1'!$Z$66)</f>
        <v>-1</v>
      </c>
      <c r="BZ31" s="5">
        <f t="shared" ca="1" si="9"/>
        <v>6</v>
      </c>
      <c r="CA31" s="42">
        <f ca="1">INDEX('Airfoil 1'!$AA$47:$AA$66,BZ31,1)+INDEX('Airfoil 1'!$AB$47:$AB$66,BZ31,1)*(L31-INDEX('Airfoil 1'!$Z$47:$Z$66,BZ31,1))</f>
        <v>1.7370857855361597E-2</v>
      </c>
      <c r="CC31" s="16">
        <f ca="1">(L31-'Airfoil 1'!$Z$72)/ABS(L31-'Airfoil 1'!$Z$72)</f>
        <v>1</v>
      </c>
      <c r="CD31" s="16">
        <f ca="1">(L31-'Airfoil 1'!$Z$73)/ABS(L31-'Airfoil 1'!$Z$73)</f>
        <v>1</v>
      </c>
      <c r="CE31" s="16">
        <f ca="1">(L31-'Airfoil 1'!$Z$74)/ABS(L31-'Airfoil 1'!$Z$74)</f>
        <v>1</v>
      </c>
      <c r="CF31" s="16">
        <f ca="1">(L31-'Airfoil 1'!$Z$75)/ABS(L31-'Airfoil 1'!$Z$75)</f>
        <v>1</v>
      </c>
      <c r="CG31" s="16">
        <f ca="1">(L31-'Airfoil 1'!$Z$76)/ABS(L31-'Airfoil 1'!$Z$76)</f>
        <v>-1</v>
      </c>
      <c r="CH31" s="16">
        <f ca="1">(L31-'Airfoil 1'!$Z$77)/ABS(L31-'Airfoil 1'!$Z$77)</f>
        <v>-1</v>
      </c>
      <c r="CI31" s="16">
        <f ca="1">(L31-'Airfoil 1'!$Z$78)/ABS(L31-'Airfoil 1'!$Z$78)</f>
        <v>-1</v>
      </c>
      <c r="CJ31" s="16">
        <f ca="1">(L31-'Airfoil 1'!$Z$79)/ABS(L31-'Airfoil 1'!$Z$79)</f>
        <v>-1</v>
      </c>
      <c r="CK31" s="16">
        <f ca="1">(L31-'Airfoil 1'!$Z$80)/ABS(L31-'Airfoil 1'!$Z$80)</f>
        <v>-1</v>
      </c>
      <c r="CL31" s="16">
        <f ca="1">(L31-'Airfoil 1'!$Z$81)/ABS(L31-'Airfoil 1'!$Z$81)</f>
        <v>-1</v>
      </c>
      <c r="CM31" s="16">
        <f ca="1">(L31-'Airfoil 1'!$Z$82)/ABS(L31-'Airfoil 1'!$Z$82)</f>
        <v>-1</v>
      </c>
      <c r="CN31" s="16">
        <f ca="1">(L31-'Airfoil 1'!$Z$83)/ABS(L31-'Airfoil 1'!$Z$83)</f>
        <v>-1</v>
      </c>
      <c r="CO31" s="16">
        <f ca="1">(L31-'Airfoil 1'!$Z$84)/ABS(L31-'Airfoil 1'!$Z$84)</f>
        <v>-1</v>
      </c>
      <c r="CP31" s="16">
        <f ca="1">(L31-'Airfoil 1'!$Z$85)/ABS(L31-'Airfoil 1'!$Z$85)</f>
        <v>-1</v>
      </c>
      <c r="CQ31" s="16">
        <f ca="1">(L31-'Airfoil 1'!$Z$86)/ABS(L31-'Airfoil 1'!$Z$86)</f>
        <v>-1</v>
      </c>
      <c r="CR31" s="16">
        <f ca="1">(L31-'Airfoil 1'!$Z$87)/ABS(L31-'Airfoil 1'!$Z$87)</f>
        <v>-1</v>
      </c>
      <c r="CS31" s="16">
        <f ca="1">(L31-'Airfoil 1'!$Z$88)/ABS(L31-'Airfoil 1'!$Z$88)</f>
        <v>-1</v>
      </c>
      <c r="CT31" s="16">
        <f ca="1">(L31-'Airfoil 1'!$Z$89)/ABS(L31-'Airfoil 1'!$Z$89)</f>
        <v>-1</v>
      </c>
      <c r="CU31" s="16">
        <f ca="1">(L31-'Airfoil 1'!$Z$90)/ABS(L31-'Airfoil 1'!$Z$90)</f>
        <v>-1</v>
      </c>
      <c r="CV31" s="16">
        <f ca="1">(L31-'Airfoil 1'!$Z$91)/ABS(L31-'Airfoil 1'!$Z$91)</f>
        <v>-1</v>
      </c>
      <c r="CW31" s="5">
        <f t="shared" ca="1" si="10"/>
        <v>4</v>
      </c>
      <c r="CX31" s="42">
        <f ca="1">INDEX('Airfoil 1'!$AA$72:$AA$91,CW31,1)+INDEX('Airfoil 1'!$AB$72:$AB$91,CW31,1)*(L31-INDEX('Airfoil 1'!$Z$72:$Z$91,CW31,1))</f>
        <v>1.1110331491712706E-2</v>
      </c>
    </row>
    <row r="32" spans="2:102">
      <c r="B32" s="31">
        <f>Main!B32</f>
        <v>0.33333333333333326</v>
      </c>
      <c r="D32" s="1">
        <f>Cruise!F32</f>
        <v>0.65969672852566186</v>
      </c>
      <c r="E32" s="4">
        <f>ISA!$R$10</f>
        <v>1.5987591530356481E-5</v>
      </c>
      <c r="G32" s="13">
        <f ca="1">Cruise!X32</f>
        <v>23.990482001820197</v>
      </c>
      <c r="H32" s="5">
        <f t="shared" ca="1" si="0"/>
        <v>329973.45602481888</v>
      </c>
      <c r="I32" s="16">
        <f ca="1">'Airfoil 2'!$K$14*H32^'Airfoil 2'!$L$13</f>
        <v>1.5815949518603616</v>
      </c>
      <c r="J32" s="1">
        <f ca="1">'Airfoil 2'!$K$33*H32^'Airfoil 2'!$L$32</f>
        <v>5.1342420892456291</v>
      </c>
      <c r="K32" s="13">
        <f ca="1">'Airfoil 2'!$K$52*H32^'Airfoil 2'!$L$51</f>
        <v>-8.8128754705039434</v>
      </c>
      <c r="L32" s="16">
        <f ca="1">'Aerodynamics-Cruise'!W32</f>
        <v>0.9</v>
      </c>
      <c r="M32" s="10">
        <f ca="1">('Airfoil 1'!$B$21+'Airfoil 1'!$B$22*L32+'Airfoil 1'!$B$23*L32^2+'Airfoil 1'!$B$24*L32^3+'Airfoil 1'!$B$25*L32^4+'Airfoil 1'!$B$26*L32^5+'Airfoil 1'!$B$27*L32^6)*0+BD32</f>
        <v>2.4489313868613138E-2</v>
      </c>
      <c r="N32" s="42">
        <f ca="1">('Airfoil 1'!$B$29+'Airfoil 1'!$B$30*L32+'Airfoil 1'!$B$31*L32^2+'Airfoil 1'!$B$32*L32^3+'Airfoil 1'!$B$33*L32^4+'Airfoil 1'!$B$34*L32^5+'Airfoil 1'!$B$35*L32^6)*0+CA32</f>
        <v>1.7370857855361597E-2</v>
      </c>
      <c r="O32" s="42">
        <f ca="1">('Airfoil 1'!$B$37+'Airfoil 1'!$B$38*L32+'Airfoil 1'!$B$39*L32^2+'Airfoil 1'!$B$40*L32^3+'Airfoil 1'!$B$41*L32^4+'Airfoil 1'!$B$42*L32^5+'Airfoil 1'!$B$43*L32^6)*0+CX32</f>
        <v>1.1110331491712706E-2</v>
      </c>
      <c r="P32" s="16">
        <f>LOG('Airfoil 1'!$F$10)+LOG('Airfoil 1'!$G$10)+LOG('Airfoil 1'!$H$10)</f>
        <v>15.176091259055681</v>
      </c>
      <c r="Q32" s="16">
        <f t="shared" ca="1" si="1"/>
        <v>-5.3254750991929125</v>
      </c>
      <c r="R32" s="16">
        <f>LOG('Airfoil 1'!$F$10)^2+LOG('Airfoil 1'!$G$10)^2+LOG('Airfoil 1'!$H$10)^2</f>
        <v>76.867141336751558</v>
      </c>
      <c r="S32" s="16">
        <f ca="1">LOG('Airfoil 1'!$F$10)*LOG(M32)+LOG('Airfoil 1'!$G$10)*LOG(N32)+LOG('Airfoil 1'!$H$10)*LOG(O32)</f>
        <v>-27.014391057528009</v>
      </c>
      <c r="T32" s="16">
        <f t="shared" ca="1" si="2"/>
        <v>141.60346469083578</v>
      </c>
      <c r="U32" s="16">
        <f t="shared" ca="1" si="3"/>
        <v>-0.77613507568957385</v>
      </c>
      <c r="V32" s="42">
        <f ca="1">IF(Energy!$F$11=1,Energy!$T$13,1)*T32*H32^U32</f>
        <v>8.1351835691857305E-3</v>
      </c>
      <c r="W32" s="10">
        <f ca="1">'Airfoil 1'!$B$48+'Airfoil 1'!$B$49*L32+'Airfoil 1'!$B$50*L32^2+'Airfoil 1'!$B$51*L32^3+'Airfoil 1'!$B$52*L32^4+'Airfoil 1'!$B$53*L32^5+'Airfoil 1'!$B$54*L32^6</f>
        <v>-0.155</v>
      </c>
      <c r="X32" s="42">
        <f ca="1">'Airfoil 1'!$B$56+'Airfoil 1'!$B$57*L32+'Airfoil 1'!$B$58*L32^2+'Airfoil 1'!$B$59*L32^3+'Airfoil 1'!$B$60*L32^4+'Airfoil 1'!$B$61*L32^5+'Airfoil 1'!$B$62*L32^6</f>
        <v>-0.155</v>
      </c>
      <c r="Y32" s="42">
        <f ca="1">'Airfoil 1'!$B$64+'Airfoil 1'!$B$65*L32+'Airfoil 1'!$B$66*L32^2+'Airfoil 1'!$B$67*L32^3+'Airfoil 1'!$B$681*L32^4+'Airfoil 1'!$B$69*L32^5+'Airfoil 1'!$B$70*L32^6</f>
        <v>-0.155</v>
      </c>
      <c r="Z32" s="16">
        <f>LOG('Airfoil 1'!$F$10)+LOG('Airfoil 1'!$G$10)+LOG('Airfoil 1'!$H$10)</f>
        <v>15.176091259055681</v>
      </c>
      <c r="AA32" s="16">
        <f t="shared" ca="1" si="4"/>
        <v>-2.4290049054891254</v>
      </c>
      <c r="AB32" s="16">
        <f>LOG('Airfoil 1'!$F$10)^2+LOG('Airfoil 1'!$G$10)^2+LOG('Airfoil 1'!$H$10)^2</f>
        <v>76.867141336751558</v>
      </c>
      <c r="AC32" s="16">
        <f ca="1">LOG('Airfoil 1'!$F$10)*LOG(ABS(W32))+LOG('Airfoil 1'!$G$10)*LOG(ABS(X32))+LOG('Airfoil 1'!$H$10)*LOG(ABS(Y32))</f>
        <v>-12.287600038132297</v>
      </c>
      <c r="AD32" s="16">
        <f t="shared" ca="1" si="5"/>
        <v>0.1550000000000121</v>
      </c>
      <c r="AE32" s="16">
        <f t="shared" ca="1" si="6"/>
        <v>-6.6718325633022456E-15</v>
      </c>
      <c r="AF32" s="42">
        <f t="shared" ca="1" si="7"/>
        <v>-0.15499999999999894</v>
      </c>
      <c r="AG32" s="16"/>
      <c r="AH32" s="42"/>
      <c r="AI32" s="16">
        <f ca="1">(L32-'Airfoil 1'!$Z$22)/ABS(L32-'Airfoil 1'!$Z$22)</f>
        <v>1</v>
      </c>
      <c r="AJ32" s="16">
        <f ca="1">(L32-'Airfoil 1'!$Z$23)/ABS(L32-'Airfoil 1'!$Z$23)</f>
        <v>1</v>
      </c>
      <c r="AK32" s="16">
        <f ca="1">(L32-'Airfoil 1'!$Z$24)/ABS(L32-'Airfoil 1'!$Z$24)</f>
        <v>1</v>
      </c>
      <c r="AL32" s="16">
        <f ca="1">(L32-'Airfoil 1'!$Z$25)/ABS(L32-'Airfoil 1'!$Z$25)</f>
        <v>1</v>
      </c>
      <c r="AM32" s="16">
        <f ca="1">(L32-'Airfoil 1'!$Z$26)/ABS(L32-'Airfoil 1'!$Z$26)</f>
        <v>1</v>
      </c>
      <c r="AN32" s="16">
        <f ca="1">(L32-'Airfoil 1'!$Z$27)/ABS(L32-'Airfoil 1'!$Z$27)</f>
        <v>1</v>
      </c>
      <c r="AO32" s="16">
        <f ca="1">(L32-'Airfoil 1'!$Z$28)/ABS(L32-'Airfoil 1'!$Z$28)</f>
        <v>1</v>
      </c>
      <c r="AP32" s="16">
        <f ca="1">(L32-'Airfoil 1'!$Z$29)/ABS(L32-'Airfoil 1'!$Z$29)</f>
        <v>-1</v>
      </c>
      <c r="AQ32" s="16">
        <f ca="1">(L32-'Airfoil 1'!$Z$30)/ABS(L32-'Airfoil 1'!$Z$30)</f>
        <v>-1</v>
      </c>
      <c r="AR32" s="16">
        <f ca="1">(L32-'Airfoil 1'!$Z$31)/ABS(L32-'Airfoil 1'!$Z$31)</f>
        <v>-1</v>
      </c>
      <c r="AS32" s="16">
        <f ca="1">(L32-'Airfoil 1'!$Z$32)/ABS(L32-'Airfoil 1'!$Z$32)</f>
        <v>-1</v>
      </c>
      <c r="AT32" s="16">
        <f ca="1">(L32-'Airfoil 1'!$Z$33)/ABS(L32-'Airfoil 1'!$Z$33)</f>
        <v>-1</v>
      </c>
      <c r="AU32" s="16">
        <f ca="1">(L32-'Airfoil 1'!$Z$34)/ABS(L32-'Airfoil 1'!$Z$34)</f>
        <v>-1</v>
      </c>
      <c r="AV32" s="16">
        <f ca="1">(L32-'Airfoil 1'!$Z$35)/ABS(L32-'Airfoil 1'!$Z$35)</f>
        <v>-1</v>
      </c>
      <c r="AW32" s="16">
        <f ca="1">(L32-'Airfoil 1'!$Z$36)/ABS(L32-'Airfoil 1'!$Z$36)</f>
        <v>-1</v>
      </c>
      <c r="AX32" s="16">
        <f ca="1">(L32-'Airfoil 1'!$Z$37)/ABS(L32-'Airfoil 1'!$Z$37)</f>
        <v>-1</v>
      </c>
      <c r="AY32" s="16">
        <f ca="1">(L32-'Airfoil 1'!$Z$38)/ABS(L32-'Airfoil 1'!$Z$38)</f>
        <v>-1</v>
      </c>
      <c r="AZ32" s="16">
        <f ca="1">(L32-'Airfoil 1'!$Z$39)/ABS(L32-'Airfoil 1'!$Z$39)</f>
        <v>-1</v>
      </c>
      <c r="BA32" s="16">
        <f ca="1">(L32-'Airfoil 1'!$Z$40)/ABS(L32-'Airfoil 1'!$Z$40)</f>
        <v>-1</v>
      </c>
      <c r="BB32" s="16">
        <f ca="1">(L32-'Airfoil 1'!$Z$41)/ABS(L32-'Airfoil 1'!$Z$41)</f>
        <v>-1</v>
      </c>
      <c r="BC32" s="5">
        <f t="shared" ca="1" si="8"/>
        <v>7</v>
      </c>
      <c r="BD32" s="42">
        <f ca="1">INDEX('Airfoil 1'!$AA$22:$AA$41,BC32,1)+INDEX('Airfoil 1'!$AB$22:$AB$41,BC32,1)*(L32-INDEX('Airfoil 1'!$Z$22:$Z$41,BC32,1))</f>
        <v>2.4489313868613138E-2</v>
      </c>
      <c r="BE32" s="6"/>
      <c r="BF32" s="16">
        <f ca="1">(L32-'Airfoil 1'!$Z$47)/ABS(L32-'Airfoil 1'!$Z$47)</f>
        <v>1</v>
      </c>
      <c r="BG32" s="16">
        <f ca="1">(L32-'Airfoil 1'!$Z$48)/ABS(L32-'Airfoil 1'!$Z$48)</f>
        <v>1</v>
      </c>
      <c r="BH32" s="16">
        <f ca="1">(L32-'Airfoil 1'!$Z$49)/ABS(L32-'Airfoil 1'!$Z$49)</f>
        <v>1</v>
      </c>
      <c r="BI32" s="16">
        <f ca="1">(L32-'Airfoil 1'!$Z$50)/ABS(L32-'Airfoil 1'!$Z$50)</f>
        <v>1</v>
      </c>
      <c r="BJ32" s="16">
        <f ca="1">(L32-'Airfoil 1'!$Z$51)/ABS(L32-'Airfoil 1'!$Z$51)</f>
        <v>1</v>
      </c>
      <c r="BK32" s="16">
        <f ca="1">(L32-'Airfoil 1'!$Z$52)/ABS(L32-'Airfoil 1'!$Z$52)</f>
        <v>1</v>
      </c>
      <c r="BL32" s="16">
        <f ca="1">(L32-'Airfoil 1'!$Z$53)/ABS(L32-'Airfoil 1'!$Z$53)</f>
        <v>-1</v>
      </c>
      <c r="BM32" s="16">
        <f ca="1">(L32-'Airfoil 1'!$Z$54)/ABS(L32-'Airfoil 1'!$Z$54)</f>
        <v>-1</v>
      </c>
      <c r="BN32" s="16">
        <f ca="1">(L32-'Airfoil 1'!$Z$55)/ABS(L32-'Airfoil 1'!$Z$55)</f>
        <v>-1</v>
      </c>
      <c r="BO32" s="16">
        <f ca="1">(L32-'Airfoil 1'!$Z$56)/ABS(L32-'Airfoil 1'!$Z$56)</f>
        <v>-1</v>
      </c>
      <c r="BP32" s="16">
        <f ca="1">(L32-'Airfoil 1'!$Z$57)/ABS(L32-'Airfoil 1'!$Z$57)</f>
        <v>-1</v>
      </c>
      <c r="BQ32" s="16">
        <f ca="1">(L32-'Airfoil 1'!$Z$58)/ABS(L32-'Airfoil 1'!$Z$58)</f>
        <v>-1</v>
      </c>
      <c r="BR32" s="16">
        <f ca="1">(L32-'Airfoil 1'!$Z$59)/ABS(L32-'Airfoil 1'!$Z$59)</f>
        <v>-1</v>
      </c>
      <c r="BS32" s="16">
        <f ca="1">(L32-'Airfoil 1'!$Z$60)/ABS(L32-'Airfoil 1'!$Z$60)</f>
        <v>-1</v>
      </c>
      <c r="BT32" s="16">
        <f ca="1">(L32-'Airfoil 1'!$Z$61)/ABS(L32-'Airfoil 1'!$Z$61)</f>
        <v>-1</v>
      </c>
      <c r="BU32" s="16">
        <f ca="1">(L32-'Airfoil 1'!$Z$62)/ABS(L32-'Airfoil 1'!$Z$62)</f>
        <v>-1</v>
      </c>
      <c r="BV32" s="16">
        <f ca="1">(L32-'Airfoil 1'!$Z$63)/ABS(L32-'Airfoil 1'!$Z$63)</f>
        <v>-1</v>
      </c>
      <c r="BW32" s="16">
        <f ca="1">(L32-'Airfoil 1'!$Z$64)/ABS(L32-'Airfoil 1'!$Z$64)</f>
        <v>-1</v>
      </c>
      <c r="BX32" s="16">
        <f ca="1">(L32-'Airfoil 1'!$Z$65)/ABS(L32-'Airfoil 1'!$Z$65)</f>
        <v>-1</v>
      </c>
      <c r="BY32" s="16">
        <f ca="1">(L32-'Airfoil 1'!$Z$66)/ABS(L32-'Airfoil 1'!$Z$66)</f>
        <v>-1</v>
      </c>
      <c r="BZ32" s="5">
        <f t="shared" ca="1" si="9"/>
        <v>6</v>
      </c>
      <c r="CA32" s="42">
        <f ca="1">INDEX('Airfoil 1'!$AA$47:$AA$66,BZ32,1)+INDEX('Airfoil 1'!$AB$47:$AB$66,BZ32,1)*(L32-INDEX('Airfoil 1'!$Z$47:$Z$66,BZ32,1))</f>
        <v>1.7370857855361597E-2</v>
      </c>
      <c r="CC32" s="16">
        <f ca="1">(L32-'Airfoil 1'!$Z$72)/ABS(L32-'Airfoil 1'!$Z$72)</f>
        <v>1</v>
      </c>
      <c r="CD32" s="16">
        <f ca="1">(L32-'Airfoil 1'!$Z$73)/ABS(L32-'Airfoil 1'!$Z$73)</f>
        <v>1</v>
      </c>
      <c r="CE32" s="16">
        <f ca="1">(L32-'Airfoil 1'!$Z$74)/ABS(L32-'Airfoil 1'!$Z$74)</f>
        <v>1</v>
      </c>
      <c r="CF32" s="16">
        <f ca="1">(L32-'Airfoil 1'!$Z$75)/ABS(L32-'Airfoil 1'!$Z$75)</f>
        <v>1</v>
      </c>
      <c r="CG32" s="16">
        <f ca="1">(L32-'Airfoil 1'!$Z$76)/ABS(L32-'Airfoil 1'!$Z$76)</f>
        <v>-1</v>
      </c>
      <c r="CH32" s="16">
        <f ca="1">(L32-'Airfoil 1'!$Z$77)/ABS(L32-'Airfoil 1'!$Z$77)</f>
        <v>-1</v>
      </c>
      <c r="CI32" s="16">
        <f ca="1">(L32-'Airfoil 1'!$Z$78)/ABS(L32-'Airfoil 1'!$Z$78)</f>
        <v>-1</v>
      </c>
      <c r="CJ32" s="16">
        <f ca="1">(L32-'Airfoil 1'!$Z$79)/ABS(L32-'Airfoil 1'!$Z$79)</f>
        <v>-1</v>
      </c>
      <c r="CK32" s="16">
        <f ca="1">(L32-'Airfoil 1'!$Z$80)/ABS(L32-'Airfoil 1'!$Z$80)</f>
        <v>-1</v>
      </c>
      <c r="CL32" s="16">
        <f ca="1">(L32-'Airfoil 1'!$Z$81)/ABS(L32-'Airfoil 1'!$Z$81)</f>
        <v>-1</v>
      </c>
      <c r="CM32" s="16">
        <f ca="1">(L32-'Airfoil 1'!$Z$82)/ABS(L32-'Airfoil 1'!$Z$82)</f>
        <v>-1</v>
      </c>
      <c r="CN32" s="16">
        <f ca="1">(L32-'Airfoil 1'!$Z$83)/ABS(L32-'Airfoil 1'!$Z$83)</f>
        <v>-1</v>
      </c>
      <c r="CO32" s="16">
        <f ca="1">(L32-'Airfoil 1'!$Z$84)/ABS(L32-'Airfoil 1'!$Z$84)</f>
        <v>-1</v>
      </c>
      <c r="CP32" s="16">
        <f ca="1">(L32-'Airfoil 1'!$Z$85)/ABS(L32-'Airfoil 1'!$Z$85)</f>
        <v>-1</v>
      </c>
      <c r="CQ32" s="16">
        <f ca="1">(L32-'Airfoil 1'!$Z$86)/ABS(L32-'Airfoil 1'!$Z$86)</f>
        <v>-1</v>
      </c>
      <c r="CR32" s="16">
        <f ca="1">(L32-'Airfoil 1'!$Z$87)/ABS(L32-'Airfoil 1'!$Z$87)</f>
        <v>-1</v>
      </c>
      <c r="CS32" s="16">
        <f ca="1">(L32-'Airfoil 1'!$Z$88)/ABS(L32-'Airfoil 1'!$Z$88)</f>
        <v>-1</v>
      </c>
      <c r="CT32" s="16">
        <f ca="1">(L32-'Airfoil 1'!$Z$89)/ABS(L32-'Airfoil 1'!$Z$89)</f>
        <v>-1</v>
      </c>
      <c r="CU32" s="16">
        <f ca="1">(L32-'Airfoil 1'!$Z$90)/ABS(L32-'Airfoil 1'!$Z$90)</f>
        <v>-1</v>
      </c>
      <c r="CV32" s="16">
        <f ca="1">(L32-'Airfoil 1'!$Z$91)/ABS(L32-'Airfoil 1'!$Z$91)</f>
        <v>-1</v>
      </c>
      <c r="CW32" s="5">
        <f t="shared" ca="1" si="10"/>
        <v>4</v>
      </c>
      <c r="CX32" s="42">
        <f ca="1">INDEX('Airfoil 1'!$AA$72:$AA$91,CW32,1)+INDEX('Airfoil 1'!$AB$72:$AB$91,CW32,1)*(L32-INDEX('Airfoil 1'!$Z$72:$Z$91,CW32,1))</f>
        <v>1.1110331491712706E-2</v>
      </c>
    </row>
    <row r="33" spans="2:102">
      <c r="B33" s="31">
        <f>Main!B33</f>
        <v>0.33333333333333326</v>
      </c>
      <c r="D33" s="1">
        <f>Cruise!F33</f>
        <v>0.65969672852566186</v>
      </c>
      <c r="E33" s="4">
        <f>ISA!$R$10</f>
        <v>1.5987591530356481E-5</v>
      </c>
      <c r="G33" s="13">
        <f ca="1">Cruise!X33</f>
        <v>23.594721425812608</v>
      </c>
      <c r="H33" s="5">
        <f t="shared" ca="1" si="0"/>
        <v>324530.02704270463</v>
      </c>
      <c r="I33" s="16">
        <f ca="1">'Airfoil 2'!$K$14*H33^'Airfoil 2'!$L$13</f>
        <v>1.5812292704140105</v>
      </c>
      <c r="J33" s="1">
        <f ca="1">'Airfoil 2'!$K$33*H33^'Airfoil 2'!$L$32</f>
        <v>5.1630477180641652</v>
      </c>
      <c r="K33" s="13">
        <f ca="1">'Airfoil 2'!$K$52*H33^'Airfoil 2'!$L$51</f>
        <v>-8.7153834748650247</v>
      </c>
      <c r="L33" s="16">
        <f ca="1">'Aerodynamics-Cruise'!W33</f>
        <v>0.9</v>
      </c>
      <c r="M33" s="10">
        <f ca="1">('Airfoil 1'!$B$21+'Airfoil 1'!$B$22*L33+'Airfoil 1'!$B$23*L33^2+'Airfoil 1'!$B$24*L33^3+'Airfoil 1'!$B$25*L33^4+'Airfoil 1'!$B$26*L33^5+'Airfoil 1'!$B$27*L33^6)*0+BD33</f>
        <v>2.4489313868613138E-2</v>
      </c>
      <c r="N33" s="42">
        <f ca="1">('Airfoil 1'!$B$29+'Airfoil 1'!$B$30*L33+'Airfoil 1'!$B$31*L33^2+'Airfoil 1'!$B$32*L33^3+'Airfoil 1'!$B$33*L33^4+'Airfoil 1'!$B$34*L33^5+'Airfoil 1'!$B$35*L33^6)*0+CA33</f>
        <v>1.7370857855361597E-2</v>
      </c>
      <c r="O33" s="42">
        <f ca="1">('Airfoil 1'!$B$37+'Airfoil 1'!$B$38*L33+'Airfoil 1'!$B$39*L33^2+'Airfoil 1'!$B$40*L33^3+'Airfoil 1'!$B$41*L33^4+'Airfoil 1'!$B$42*L33^5+'Airfoil 1'!$B$43*L33^6)*0+CX33</f>
        <v>1.1110331491712706E-2</v>
      </c>
      <c r="P33" s="16">
        <f>LOG('Airfoil 1'!$F$10)+LOG('Airfoil 1'!$G$10)+LOG('Airfoil 1'!$H$10)</f>
        <v>15.176091259055681</v>
      </c>
      <c r="Q33" s="16">
        <f t="shared" ca="1" si="1"/>
        <v>-5.3254750991929125</v>
      </c>
      <c r="R33" s="16">
        <f>LOG('Airfoil 1'!$F$10)^2+LOG('Airfoil 1'!$G$10)^2+LOG('Airfoil 1'!$H$10)^2</f>
        <v>76.867141336751558</v>
      </c>
      <c r="S33" s="16">
        <f ca="1">LOG('Airfoil 1'!$F$10)*LOG(M33)+LOG('Airfoil 1'!$G$10)*LOG(N33)+LOG('Airfoil 1'!$H$10)*LOG(O33)</f>
        <v>-27.014391057528009</v>
      </c>
      <c r="T33" s="16">
        <f t="shared" ca="1" si="2"/>
        <v>141.60346469083578</v>
      </c>
      <c r="U33" s="16">
        <f t="shared" ca="1" si="3"/>
        <v>-0.77613507568957385</v>
      </c>
      <c r="V33" s="42">
        <f ca="1">IF(Energy!$F$11=1,Energy!$T$13,1)*T33*H33^U33</f>
        <v>8.2408925143109147E-3</v>
      </c>
      <c r="W33" s="10">
        <f ca="1">'Airfoil 1'!$B$48+'Airfoil 1'!$B$49*L33+'Airfoil 1'!$B$50*L33^2+'Airfoil 1'!$B$51*L33^3+'Airfoil 1'!$B$52*L33^4+'Airfoil 1'!$B$53*L33^5+'Airfoil 1'!$B$54*L33^6</f>
        <v>-0.155</v>
      </c>
      <c r="X33" s="42">
        <f ca="1">'Airfoil 1'!$B$56+'Airfoil 1'!$B$57*L33+'Airfoil 1'!$B$58*L33^2+'Airfoil 1'!$B$59*L33^3+'Airfoil 1'!$B$60*L33^4+'Airfoil 1'!$B$61*L33^5+'Airfoil 1'!$B$62*L33^6</f>
        <v>-0.155</v>
      </c>
      <c r="Y33" s="42">
        <f ca="1">'Airfoil 1'!$B$64+'Airfoil 1'!$B$65*L33+'Airfoil 1'!$B$66*L33^2+'Airfoil 1'!$B$67*L33^3+'Airfoil 1'!$B$681*L33^4+'Airfoil 1'!$B$69*L33^5+'Airfoil 1'!$B$70*L33^6</f>
        <v>-0.155</v>
      </c>
      <c r="Z33" s="16">
        <f>LOG('Airfoil 1'!$F$10)+LOG('Airfoil 1'!$G$10)+LOG('Airfoil 1'!$H$10)</f>
        <v>15.176091259055681</v>
      </c>
      <c r="AA33" s="16">
        <f t="shared" ca="1" si="4"/>
        <v>-2.4290049054891254</v>
      </c>
      <c r="AB33" s="16">
        <f>LOG('Airfoil 1'!$F$10)^2+LOG('Airfoil 1'!$G$10)^2+LOG('Airfoil 1'!$H$10)^2</f>
        <v>76.867141336751558</v>
      </c>
      <c r="AC33" s="16">
        <f ca="1">LOG('Airfoil 1'!$F$10)*LOG(ABS(W33))+LOG('Airfoil 1'!$G$10)*LOG(ABS(X33))+LOG('Airfoil 1'!$H$10)*LOG(ABS(Y33))</f>
        <v>-12.287600038132297</v>
      </c>
      <c r="AD33" s="16">
        <f t="shared" ca="1" si="5"/>
        <v>0.1550000000000121</v>
      </c>
      <c r="AE33" s="16">
        <f t="shared" ca="1" si="6"/>
        <v>-6.6718325633022456E-15</v>
      </c>
      <c r="AF33" s="42">
        <f t="shared" ca="1" si="7"/>
        <v>-0.154999999999999</v>
      </c>
      <c r="AG33" s="16"/>
      <c r="AH33" s="42"/>
      <c r="AI33" s="16">
        <f ca="1">(L33-'Airfoil 1'!$Z$22)/ABS(L33-'Airfoil 1'!$Z$22)</f>
        <v>1</v>
      </c>
      <c r="AJ33" s="16">
        <f ca="1">(L33-'Airfoil 1'!$Z$23)/ABS(L33-'Airfoil 1'!$Z$23)</f>
        <v>1</v>
      </c>
      <c r="AK33" s="16">
        <f ca="1">(L33-'Airfoil 1'!$Z$24)/ABS(L33-'Airfoil 1'!$Z$24)</f>
        <v>1</v>
      </c>
      <c r="AL33" s="16">
        <f ca="1">(L33-'Airfoil 1'!$Z$25)/ABS(L33-'Airfoil 1'!$Z$25)</f>
        <v>1</v>
      </c>
      <c r="AM33" s="16">
        <f ca="1">(L33-'Airfoil 1'!$Z$26)/ABS(L33-'Airfoil 1'!$Z$26)</f>
        <v>1</v>
      </c>
      <c r="AN33" s="16">
        <f ca="1">(L33-'Airfoil 1'!$Z$27)/ABS(L33-'Airfoil 1'!$Z$27)</f>
        <v>1</v>
      </c>
      <c r="AO33" s="16">
        <f ca="1">(L33-'Airfoil 1'!$Z$28)/ABS(L33-'Airfoil 1'!$Z$28)</f>
        <v>1</v>
      </c>
      <c r="AP33" s="16">
        <f ca="1">(L33-'Airfoil 1'!$Z$29)/ABS(L33-'Airfoil 1'!$Z$29)</f>
        <v>-1</v>
      </c>
      <c r="AQ33" s="16">
        <f ca="1">(L33-'Airfoil 1'!$Z$30)/ABS(L33-'Airfoil 1'!$Z$30)</f>
        <v>-1</v>
      </c>
      <c r="AR33" s="16">
        <f ca="1">(L33-'Airfoil 1'!$Z$31)/ABS(L33-'Airfoil 1'!$Z$31)</f>
        <v>-1</v>
      </c>
      <c r="AS33" s="16">
        <f ca="1">(L33-'Airfoil 1'!$Z$32)/ABS(L33-'Airfoil 1'!$Z$32)</f>
        <v>-1</v>
      </c>
      <c r="AT33" s="16">
        <f ca="1">(L33-'Airfoil 1'!$Z$33)/ABS(L33-'Airfoil 1'!$Z$33)</f>
        <v>-1</v>
      </c>
      <c r="AU33" s="16">
        <f ca="1">(L33-'Airfoil 1'!$Z$34)/ABS(L33-'Airfoil 1'!$Z$34)</f>
        <v>-1</v>
      </c>
      <c r="AV33" s="16">
        <f ca="1">(L33-'Airfoil 1'!$Z$35)/ABS(L33-'Airfoil 1'!$Z$35)</f>
        <v>-1</v>
      </c>
      <c r="AW33" s="16">
        <f ca="1">(L33-'Airfoil 1'!$Z$36)/ABS(L33-'Airfoil 1'!$Z$36)</f>
        <v>-1</v>
      </c>
      <c r="AX33" s="16">
        <f ca="1">(L33-'Airfoil 1'!$Z$37)/ABS(L33-'Airfoil 1'!$Z$37)</f>
        <v>-1</v>
      </c>
      <c r="AY33" s="16">
        <f ca="1">(L33-'Airfoil 1'!$Z$38)/ABS(L33-'Airfoil 1'!$Z$38)</f>
        <v>-1</v>
      </c>
      <c r="AZ33" s="16">
        <f ca="1">(L33-'Airfoil 1'!$Z$39)/ABS(L33-'Airfoil 1'!$Z$39)</f>
        <v>-1</v>
      </c>
      <c r="BA33" s="16">
        <f ca="1">(L33-'Airfoil 1'!$Z$40)/ABS(L33-'Airfoil 1'!$Z$40)</f>
        <v>-1</v>
      </c>
      <c r="BB33" s="16">
        <f ca="1">(L33-'Airfoil 1'!$Z$41)/ABS(L33-'Airfoil 1'!$Z$41)</f>
        <v>-1</v>
      </c>
      <c r="BC33" s="5">
        <f t="shared" ca="1" si="8"/>
        <v>7</v>
      </c>
      <c r="BD33" s="42">
        <f ca="1">INDEX('Airfoil 1'!$AA$22:$AA$41,BC33,1)+INDEX('Airfoil 1'!$AB$22:$AB$41,BC33,1)*(L33-INDEX('Airfoil 1'!$Z$22:$Z$41,BC33,1))</f>
        <v>2.4489313868613138E-2</v>
      </c>
      <c r="BE33" s="6"/>
      <c r="BF33" s="16">
        <f ca="1">(L33-'Airfoil 1'!$Z$47)/ABS(L33-'Airfoil 1'!$Z$47)</f>
        <v>1</v>
      </c>
      <c r="BG33" s="16">
        <f ca="1">(L33-'Airfoil 1'!$Z$48)/ABS(L33-'Airfoil 1'!$Z$48)</f>
        <v>1</v>
      </c>
      <c r="BH33" s="16">
        <f ca="1">(L33-'Airfoil 1'!$Z$49)/ABS(L33-'Airfoil 1'!$Z$49)</f>
        <v>1</v>
      </c>
      <c r="BI33" s="16">
        <f ca="1">(L33-'Airfoil 1'!$Z$50)/ABS(L33-'Airfoil 1'!$Z$50)</f>
        <v>1</v>
      </c>
      <c r="BJ33" s="16">
        <f ca="1">(L33-'Airfoil 1'!$Z$51)/ABS(L33-'Airfoil 1'!$Z$51)</f>
        <v>1</v>
      </c>
      <c r="BK33" s="16">
        <f ca="1">(L33-'Airfoil 1'!$Z$52)/ABS(L33-'Airfoil 1'!$Z$52)</f>
        <v>1</v>
      </c>
      <c r="BL33" s="16">
        <f ca="1">(L33-'Airfoil 1'!$Z$53)/ABS(L33-'Airfoil 1'!$Z$53)</f>
        <v>-1</v>
      </c>
      <c r="BM33" s="16">
        <f ca="1">(L33-'Airfoil 1'!$Z$54)/ABS(L33-'Airfoil 1'!$Z$54)</f>
        <v>-1</v>
      </c>
      <c r="BN33" s="16">
        <f ca="1">(L33-'Airfoil 1'!$Z$55)/ABS(L33-'Airfoil 1'!$Z$55)</f>
        <v>-1</v>
      </c>
      <c r="BO33" s="16">
        <f ca="1">(L33-'Airfoil 1'!$Z$56)/ABS(L33-'Airfoil 1'!$Z$56)</f>
        <v>-1</v>
      </c>
      <c r="BP33" s="16">
        <f ca="1">(L33-'Airfoil 1'!$Z$57)/ABS(L33-'Airfoil 1'!$Z$57)</f>
        <v>-1</v>
      </c>
      <c r="BQ33" s="16">
        <f ca="1">(L33-'Airfoil 1'!$Z$58)/ABS(L33-'Airfoil 1'!$Z$58)</f>
        <v>-1</v>
      </c>
      <c r="BR33" s="16">
        <f ca="1">(L33-'Airfoil 1'!$Z$59)/ABS(L33-'Airfoil 1'!$Z$59)</f>
        <v>-1</v>
      </c>
      <c r="BS33" s="16">
        <f ca="1">(L33-'Airfoil 1'!$Z$60)/ABS(L33-'Airfoil 1'!$Z$60)</f>
        <v>-1</v>
      </c>
      <c r="BT33" s="16">
        <f ca="1">(L33-'Airfoil 1'!$Z$61)/ABS(L33-'Airfoil 1'!$Z$61)</f>
        <v>-1</v>
      </c>
      <c r="BU33" s="16">
        <f ca="1">(L33-'Airfoil 1'!$Z$62)/ABS(L33-'Airfoil 1'!$Z$62)</f>
        <v>-1</v>
      </c>
      <c r="BV33" s="16">
        <f ca="1">(L33-'Airfoil 1'!$Z$63)/ABS(L33-'Airfoil 1'!$Z$63)</f>
        <v>-1</v>
      </c>
      <c r="BW33" s="16">
        <f ca="1">(L33-'Airfoil 1'!$Z$64)/ABS(L33-'Airfoil 1'!$Z$64)</f>
        <v>-1</v>
      </c>
      <c r="BX33" s="16">
        <f ca="1">(L33-'Airfoil 1'!$Z$65)/ABS(L33-'Airfoil 1'!$Z$65)</f>
        <v>-1</v>
      </c>
      <c r="BY33" s="16">
        <f ca="1">(L33-'Airfoil 1'!$Z$66)/ABS(L33-'Airfoil 1'!$Z$66)</f>
        <v>-1</v>
      </c>
      <c r="BZ33" s="5">
        <f t="shared" ca="1" si="9"/>
        <v>6</v>
      </c>
      <c r="CA33" s="42">
        <f ca="1">INDEX('Airfoil 1'!$AA$47:$AA$66,BZ33,1)+INDEX('Airfoil 1'!$AB$47:$AB$66,BZ33,1)*(L33-INDEX('Airfoil 1'!$Z$47:$Z$66,BZ33,1))</f>
        <v>1.7370857855361597E-2</v>
      </c>
      <c r="CC33" s="16">
        <f ca="1">(L33-'Airfoil 1'!$Z$72)/ABS(L33-'Airfoil 1'!$Z$72)</f>
        <v>1</v>
      </c>
      <c r="CD33" s="16">
        <f ca="1">(L33-'Airfoil 1'!$Z$73)/ABS(L33-'Airfoil 1'!$Z$73)</f>
        <v>1</v>
      </c>
      <c r="CE33" s="16">
        <f ca="1">(L33-'Airfoil 1'!$Z$74)/ABS(L33-'Airfoil 1'!$Z$74)</f>
        <v>1</v>
      </c>
      <c r="CF33" s="16">
        <f ca="1">(L33-'Airfoil 1'!$Z$75)/ABS(L33-'Airfoil 1'!$Z$75)</f>
        <v>1</v>
      </c>
      <c r="CG33" s="16">
        <f ca="1">(L33-'Airfoil 1'!$Z$76)/ABS(L33-'Airfoil 1'!$Z$76)</f>
        <v>-1</v>
      </c>
      <c r="CH33" s="16">
        <f ca="1">(L33-'Airfoil 1'!$Z$77)/ABS(L33-'Airfoil 1'!$Z$77)</f>
        <v>-1</v>
      </c>
      <c r="CI33" s="16">
        <f ca="1">(L33-'Airfoil 1'!$Z$78)/ABS(L33-'Airfoil 1'!$Z$78)</f>
        <v>-1</v>
      </c>
      <c r="CJ33" s="16">
        <f ca="1">(L33-'Airfoil 1'!$Z$79)/ABS(L33-'Airfoil 1'!$Z$79)</f>
        <v>-1</v>
      </c>
      <c r="CK33" s="16">
        <f ca="1">(L33-'Airfoil 1'!$Z$80)/ABS(L33-'Airfoil 1'!$Z$80)</f>
        <v>-1</v>
      </c>
      <c r="CL33" s="16">
        <f ca="1">(L33-'Airfoil 1'!$Z$81)/ABS(L33-'Airfoil 1'!$Z$81)</f>
        <v>-1</v>
      </c>
      <c r="CM33" s="16">
        <f ca="1">(L33-'Airfoil 1'!$Z$82)/ABS(L33-'Airfoil 1'!$Z$82)</f>
        <v>-1</v>
      </c>
      <c r="CN33" s="16">
        <f ca="1">(L33-'Airfoil 1'!$Z$83)/ABS(L33-'Airfoil 1'!$Z$83)</f>
        <v>-1</v>
      </c>
      <c r="CO33" s="16">
        <f ca="1">(L33-'Airfoil 1'!$Z$84)/ABS(L33-'Airfoil 1'!$Z$84)</f>
        <v>-1</v>
      </c>
      <c r="CP33" s="16">
        <f ca="1">(L33-'Airfoil 1'!$Z$85)/ABS(L33-'Airfoil 1'!$Z$85)</f>
        <v>-1</v>
      </c>
      <c r="CQ33" s="16">
        <f ca="1">(L33-'Airfoil 1'!$Z$86)/ABS(L33-'Airfoil 1'!$Z$86)</f>
        <v>-1</v>
      </c>
      <c r="CR33" s="16">
        <f ca="1">(L33-'Airfoil 1'!$Z$87)/ABS(L33-'Airfoil 1'!$Z$87)</f>
        <v>-1</v>
      </c>
      <c r="CS33" s="16">
        <f ca="1">(L33-'Airfoil 1'!$Z$88)/ABS(L33-'Airfoil 1'!$Z$88)</f>
        <v>-1</v>
      </c>
      <c r="CT33" s="16">
        <f ca="1">(L33-'Airfoil 1'!$Z$89)/ABS(L33-'Airfoil 1'!$Z$89)</f>
        <v>-1</v>
      </c>
      <c r="CU33" s="16">
        <f ca="1">(L33-'Airfoil 1'!$Z$90)/ABS(L33-'Airfoil 1'!$Z$90)</f>
        <v>-1</v>
      </c>
      <c r="CV33" s="16">
        <f ca="1">(L33-'Airfoil 1'!$Z$91)/ABS(L33-'Airfoil 1'!$Z$91)</f>
        <v>-1</v>
      </c>
      <c r="CW33" s="5">
        <f t="shared" ca="1" si="10"/>
        <v>4</v>
      </c>
      <c r="CX33" s="42">
        <f ca="1">INDEX('Airfoil 1'!$AA$72:$AA$91,CW33,1)+INDEX('Airfoil 1'!$AB$72:$AB$91,CW33,1)*(L33-INDEX('Airfoil 1'!$Z$72:$Z$91,CW33,1))</f>
        <v>1.1110331491712706E-2</v>
      </c>
    </row>
    <row r="34" spans="2:102">
      <c r="B34" s="31">
        <f>Main!B34</f>
        <v>0.33333333333333326</v>
      </c>
      <c r="D34" s="1">
        <f>Cruise!F34</f>
        <v>0.65969672852566186</v>
      </c>
      <c r="E34" s="4">
        <f>ISA!$R$10</f>
        <v>1.5987591530356481E-5</v>
      </c>
      <c r="G34" s="13">
        <f ca="1">Cruise!X34</f>
        <v>23.22130627806888</v>
      </c>
      <c r="H34" s="5">
        <f t="shared" ca="1" si="0"/>
        <v>319393.94487379841</v>
      </c>
      <c r="I34" s="16">
        <f ca="1">'Airfoil 2'!$K$14*H34^'Airfoil 2'!$L$13</f>
        <v>1.5808786473143408</v>
      </c>
      <c r="J34" s="1">
        <f ca="1">'Airfoil 2'!$K$33*H34^'Airfoil 2'!$L$32</f>
        <v>5.1908252281472196</v>
      </c>
      <c r="K34" s="13">
        <f ca="1">'Airfoil 2'!$K$52*H34^'Airfoil 2'!$L$51</f>
        <v>-8.6228982065674789</v>
      </c>
      <c r="L34" s="16">
        <f ca="1">'Aerodynamics-Cruise'!W34</f>
        <v>0.9</v>
      </c>
      <c r="M34" s="10">
        <f ca="1">('Airfoil 1'!$B$21+'Airfoil 1'!$B$22*L34+'Airfoil 1'!$B$23*L34^2+'Airfoil 1'!$B$24*L34^3+'Airfoil 1'!$B$25*L34^4+'Airfoil 1'!$B$26*L34^5+'Airfoil 1'!$B$27*L34^6)*0+BD34</f>
        <v>2.4489313868613138E-2</v>
      </c>
      <c r="N34" s="42">
        <f ca="1">('Airfoil 1'!$B$29+'Airfoil 1'!$B$30*L34+'Airfoil 1'!$B$31*L34^2+'Airfoil 1'!$B$32*L34^3+'Airfoil 1'!$B$33*L34^4+'Airfoil 1'!$B$34*L34^5+'Airfoil 1'!$B$35*L34^6)*0+CA34</f>
        <v>1.7370857855361597E-2</v>
      </c>
      <c r="O34" s="42">
        <f ca="1">('Airfoil 1'!$B$37+'Airfoil 1'!$B$38*L34+'Airfoil 1'!$B$39*L34^2+'Airfoil 1'!$B$40*L34^3+'Airfoil 1'!$B$41*L34^4+'Airfoil 1'!$B$42*L34^5+'Airfoil 1'!$B$43*L34^6)*0+CX34</f>
        <v>1.1110331491712706E-2</v>
      </c>
      <c r="P34" s="16">
        <f>LOG('Airfoil 1'!$F$10)+LOG('Airfoil 1'!$G$10)+LOG('Airfoil 1'!$H$10)</f>
        <v>15.176091259055681</v>
      </c>
      <c r="Q34" s="16">
        <f t="shared" ca="1" si="1"/>
        <v>-5.3254750991929125</v>
      </c>
      <c r="R34" s="16">
        <f>LOG('Airfoil 1'!$F$10)^2+LOG('Airfoil 1'!$G$10)^2+LOG('Airfoil 1'!$H$10)^2</f>
        <v>76.867141336751558</v>
      </c>
      <c r="S34" s="16">
        <f ca="1">LOG('Airfoil 1'!$F$10)*LOG(M34)+LOG('Airfoil 1'!$G$10)*LOG(N34)+LOG('Airfoil 1'!$H$10)*LOG(O34)</f>
        <v>-27.014391057528009</v>
      </c>
      <c r="T34" s="16">
        <f t="shared" ca="1" si="2"/>
        <v>141.60346469083578</v>
      </c>
      <c r="U34" s="16">
        <f t="shared" ca="1" si="3"/>
        <v>-0.77613507568957385</v>
      </c>
      <c r="V34" s="42">
        <f ca="1">IF(Energy!$F$11=1,Energy!$T$13,1)*T34*H34^U34</f>
        <v>8.3435615594175637E-3</v>
      </c>
      <c r="W34" s="10">
        <f ca="1">'Airfoil 1'!$B$48+'Airfoil 1'!$B$49*L34+'Airfoil 1'!$B$50*L34^2+'Airfoil 1'!$B$51*L34^3+'Airfoil 1'!$B$52*L34^4+'Airfoil 1'!$B$53*L34^5+'Airfoil 1'!$B$54*L34^6</f>
        <v>-0.155</v>
      </c>
      <c r="X34" s="42">
        <f ca="1">'Airfoil 1'!$B$56+'Airfoil 1'!$B$57*L34+'Airfoil 1'!$B$58*L34^2+'Airfoil 1'!$B$59*L34^3+'Airfoil 1'!$B$60*L34^4+'Airfoil 1'!$B$61*L34^5+'Airfoil 1'!$B$62*L34^6</f>
        <v>-0.155</v>
      </c>
      <c r="Y34" s="42">
        <f ca="1">'Airfoil 1'!$B$64+'Airfoil 1'!$B$65*L34+'Airfoil 1'!$B$66*L34^2+'Airfoil 1'!$B$67*L34^3+'Airfoil 1'!$B$681*L34^4+'Airfoil 1'!$B$69*L34^5+'Airfoil 1'!$B$70*L34^6</f>
        <v>-0.155</v>
      </c>
      <c r="Z34" s="16">
        <f>LOG('Airfoil 1'!$F$10)+LOG('Airfoil 1'!$G$10)+LOG('Airfoil 1'!$H$10)</f>
        <v>15.176091259055681</v>
      </c>
      <c r="AA34" s="16">
        <f t="shared" ca="1" si="4"/>
        <v>-2.4290049054891254</v>
      </c>
      <c r="AB34" s="16">
        <f>LOG('Airfoil 1'!$F$10)^2+LOG('Airfoil 1'!$G$10)^2+LOG('Airfoil 1'!$H$10)^2</f>
        <v>76.867141336751558</v>
      </c>
      <c r="AC34" s="16">
        <f ca="1">LOG('Airfoil 1'!$F$10)*LOG(ABS(W34))+LOG('Airfoil 1'!$G$10)*LOG(ABS(X34))+LOG('Airfoil 1'!$H$10)*LOG(ABS(Y34))</f>
        <v>-12.287600038132297</v>
      </c>
      <c r="AD34" s="16">
        <f t="shared" ca="1" si="5"/>
        <v>0.1550000000000121</v>
      </c>
      <c r="AE34" s="16">
        <f t="shared" ca="1" si="6"/>
        <v>-6.6718325633022456E-15</v>
      </c>
      <c r="AF34" s="42">
        <f t="shared" ca="1" si="7"/>
        <v>-0.154999999999999</v>
      </c>
      <c r="AG34" s="16"/>
      <c r="AH34" s="42"/>
      <c r="AI34" s="16">
        <f ca="1">(L34-'Airfoil 1'!$Z$22)/ABS(L34-'Airfoil 1'!$Z$22)</f>
        <v>1</v>
      </c>
      <c r="AJ34" s="16">
        <f ca="1">(L34-'Airfoil 1'!$Z$23)/ABS(L34-'Airfoil 1'!$Z$23)</f>
        <v>1</v>
      </c>
      <c r="AK34" s="16">
        <f ca="1">(L34-'Airfoil 1'!$Z$24)/ABS(L34-'Airfoil 1'!$Z$24)</f>
        <v>1</v>
      </c>
      <c r="AL34" s="16">
        <f ca="1">(L34-'Airfoil 1'!$Z$25)/ABS(L34-'Airfoil 1'!$Z$25)</f>
        <v>1</v>
      </c>
      <c r="AM34" s="16">
        <f ca="1">(L34-'Airfoil 1'!$Z$26)/ABS(L34-'Airfoil 1'!$Z$26)</f>
        <v>1</v>
      </c>
      <c r="AN34" s="16">
        <f ca="1">(L34-'Airfoil 1'!$Z$27)/ABS(L34-'Airfoil 1'!$Z$27)</f>
        <v>1</v>
      </c>
      <c r="AO34" s="16">
        <f ca="1">(L34-'Airfoil 1'!$Z$28)/ABS(L34-'Airfoil 1'!$Z$28)</f>
        <v>1</v>
      </c>
      <c r="AP34" s="16">
        <f ca="1">(L34-'Airfoil 1'!$Z$29)/ABS(L34-'Airfoil 1'!$Z$29)</f>
        <v>-1</v>
      </c>
      <c r="AQ34" s="16">
        <f ca="1">(L34-'Airfoil 1'!$Z$30)/ABS(L34-'Airfoil 1'!$Z$30)</f>
        <v>-1</v>
      </c>
      <c r="AR34" s="16">
        <f ca="1">(L34-'Airfoil 1'!$Z$31)/ABS(L34-'Airfoil 1'!$Z$31)</f>
        <v>-1</v>
      </c>
      <c r="AS34" s="16">
        <f ca="1">(L34-'Airfoil 1'!$Z$32)/ABS(L34-'Airfoil 1'!$Z$32)</f>
        <v>-1</v>
      </c>
      <c r="AT34" s="16">
        <f ca="1">(L34-'Airfoil 1'!$Z$33)/ABS(L34-'Airfoil 1'!$Z$33)</f>
        <v>-1</v>
      </c>
      <c r="AU34" s="16">
        <f ca="1">(L34-'Airfoil 1'!$Z$34)/ABS(L34-'Airfoil 1'!$Z$34)</f>
        <v>-1</v>
      </c>
      <c r="AV34" s="16">
        <f ca="1">(L34-'Airfoil 1'!$Z$35)/ABS(L34-'Airfoil 1'!$Z$35)</f>
        <v>-1</v>
      </c>
      <c r="AW34" s="16">
        <f ca="1">(L34-'Airfoil 1'!$Z$36)/ABS(L34-'Airfoil 1'!$Z$36)</f>
        <v>-1</v>
      </c>
      <c r="AX34" s="16">
        <f ca="1">(L34-'Airfoil 1'!$Z$37)/ABS(L34-'Airfoil 1'!$Z$37)</f>
        <v>-1</v>
      </c>
      <c r="AY34" s="16">
        <f ca="1">(L34-'Airfoil 1'!$Z$38)/ABS(L34-'Airfoil 1'!$Z$38)</f>
        <v>-1</v>
      </c>
      <c r="AZ34" s="16">
        <f ca="1">(L34-'Airfoil 1'!$Z$39)/ABS(L34-'Airfoil 1'!$Z$39)</f>
        <v>-1</v>
      </c>
      <c r="BA34" s="16">
        <f ca="1">(L34-'Airfoil 1'!$Z$40)/ABS(L34-'Airfoil 1'!$Z$40)</f>
        <v>-1</v>
      </c>
      <c r="BB34" s="16">
        <f ca="1">(L34-'Airfoil 1'!$Z$41)/ABS(L34-'Airfoil 1'!$Z$41)</f>
        <v>-1</v>
      </c>
      <c r="BC34" s="5">
        <f t="shared" ca="1" si="8"/>
        <v>7</v>
      </c>
      <c r="BD34" s="42">
        <f ca="1">INDEX('Airfoil 1'!$AA$22:$AA$41,BC34,1)+INDEX('Airfoil 1'!$AB$22:$AB$41,BC34,1)*(L34-INDEX('Airfoil 1'!$Z$22:$Z$41,BC34,1))</f>
        <v>2.4489313868613138E-2</v>
      </c>
      <c r="BE34" s="6"/>
      <c r="BF34" s="16">
        <f ca="1">(L34-'Airfoil 1'!$Z$47)/ABS(L34-'Airfoil 1'!$Z$47)</f>
        <v>1</v>
      </c>
      <c r="BG34" s="16">
        <f ca="1">(L34-'Airfoil 1'!$Z$48)/ABS(L34-'Airfoil 1'!$Z$48)</f>
        <v>1</v>
      </c>
      <c r="BH34" s="16">
        <f ca="1">(L34-'Airfoil 1'!$Z$49)/ABS(L34-'Airfoil 1'!$Z$49)</f>
        <v>1</v>
      </c>
      <c r="BI34" s="16">
        <f ca="1">(L34-'Airfoil 1'!$Z$50)/ABS(L34-'Airfoil 1'!$Z$50)</f>
        <v>1</v>
      </c>
      <c r="BJ34" s="16">
        <f ca="1">(L34-'Airfoil 1'!$Z$51)/ABS(L34-'Airfoil 1'!$Z$51)</f>
        <v>1</v>
      </c>
      <c r="BK34" s="16">
        <f ca="1">(L34-'Airfoil 1'!$Z$52)/ABS(L34-'Airfoil 1'!$Z$52)</f>
        <v>1</v>
      </c>
      <c r="BL34" s="16">
        <f ca="1">(L34-'Airfoil 1'!$Z$53)/ABS(L34-'Airfoil 1'!$Z$53)</f>
        <v>-1</v>
      </c>
      <c r="BM34" s="16">
        <f ca="1">(L34-'Airfoil 1'!$Z$54)/ABS(L34-'Airfoil 1'!$Z$54)</f>
        <v>-1</v>
      </c>
      <c r="BN34" s="16">
        <f ca="1">(L34-'Airfoil 1'!$Z$55)/ABS(L34-'Airfoil 1'!$Z$55)</f>
        <v>-1</v>
      </c>
      <c r="BO34" s="16">
        <f ca="1">(L34-'Airfoil 1'!$Z$56)/ABS(L34-'Airfoil 1'!$Z$56)</f>
        <v>-1</v>
      </c>
      <c r="BP34" s="16">
        <f ca="1">(L34-'Airfoil 1'!$Z$57)/ABS(L34-'Airfoil 1'!$Z$57)</f>
        <v>-1</v>
      </c>
      <c r="BQ34" s="16">
        <f ca="1">(L34-'Airfoil 1'!$Z$58)/ABS(L34-'Airfoil 1'!$Z$58)</f>
        <v>-1</v>
      </c>
      <c r="BR34" s="16">
        <f ca="1">(L34-'Airfoil 1'!$Z$59)/ABS(L34-'Airfoil 1'!$Z$59)</f>
        <v>-1</v>
      </c>
      <c r="BS34" s="16">
        <f ca="1">(L34-'Airfoil 1'!$Z$60)/ABS(L34-'Airfoil 1'!$Z$60)</f>
        <v>-1</v>
      </c>
      <c r="BT34" s="16">
        <f ca="1">(L34-'Airfoil 1'!$Z$61)/ABS(L34-'Airfoil 1'!$Z$61)</f>
        <v>-1</v>
      </c>
      <c r="BU34" s="16">
        <f ca="1">(L34-'Airfoil 1'!$Z$62)/ABS(L34-'Airfoil 1'!$Z$62)</f>
        <v>-1</v>
      </c>
      <c r="BV34" s="16">
        <f ca="1">(L34-'Airfoil 1'!$Z$63)/ABS(L34-'Airfoil 1'!$Z$63)</f>
        <v>-1</v>
      </c>
      <c r="BW34" s="16">
        <f ca="1">(L34-'Airfoil 1'!$Z$64)/ABS(L34-'Airfoil 1'!$Z$64)</f>
        <v>-1</v>
      </c>
      <c r="BX34" s="16">
        <f ca="1">(L34-'Airfoil 1'!$Z$65)/ABS(L34-'Airfoil 1'!$Z$65)</f>
        <v>-1</v>
      </c>
      <c r="BY34" s="16">
        <f ca="1">(L34-'Airfoil 1'!$Z$66)/ABS(L34-'Airfoil 1'!$Z$66)</f>
        <v>-1</v>
      </c>
      <c r="BZ34" s="5">
        <f t="shared" ca="1" si="9"/>
        <v>6</v>
      </c>
      <c r="CA34" s="42">
        <f ca="1">INDEX('Airfoil 1'!$AA$47:$AA$66,BZ34,1)+INDEX('Airfoil 1'!$AB$47:$AB$66,BZ34,1)*(L34-INDEX('Airfoil 1'!$Z$47:$Z$66,BZ34,1))</f>
        <v>1.7370857855361597E-2</v>
      </c>
      <c r="CC34" s="16">
        <f ca="1">(L34-'Airfoil 1'!$Z$72)/ABS(L34-'Airfoil 1'!$Z$72)</f>
        <v>1</v>
      </c>
      <c r="CD34" s="16">
        <f ca="1">(L34-'Airfoil 1'!$Z$73)/ABS(L34-'Airfoil 1'!$Z$73)</f>
        <v>1</v>
      </c>
      <c r="CE34" s="16">
        <f ca="1">(L34-'Airfoil 1'!$Z$74)/ABS(L34-'Airfoil 1'!$Z$74)</f>
        <v>1</v>
      </c>
      <c r="CF34" s="16">
        <f ca="1">(L34-'Airfoil 1'!$Z$75)/ABS(L34-'Airfoil 1'!$Z$75)</f>
        <v>1</v>
      </c>
      <c r="CG34" s="16">
        <f ca="1">(L34-'Airfoil 1'!$Z$76)/ABS(L34-'Airfoil 1'!$Z$76)</f>
        <v>-1</v>
      </c>
      <c r="CH34" s="16">
        <f ca="1">(L34-'Airfoil 1'!$Z$77)/ABS(L34-'Airfoil 1'!$Z$77)</f>
        <v>-1</v>
      </c>
      <c r="CI34" s="16">
        <f ca="1">(L34-'Airfoil 1'!$Z$78)/ABS(L34-'Airfoil 1'!$Z$78)</f>
        <v>-1</v>
      </c>
      <c r="CJ34" s="16">
        <f ca="1">(L34-'Airfoil 1'!$Z$79)/ABS(L34-'Airfoil 1'!$Z$79)</f>
        <v>-1</v>
      </c>
      <c r="CK34" s="16">
        <f ca="1">(L34-'Airfoil 1'!$Z$80)/ABS(L34-'Airfoil 1'!$Z$80)</f>
        <v>-1</v>
      </c>
      <c r="CL34" s="16">
        <f ca="1">(L34-'Airfoil 1'!$Z$81)/ABS(L34-'Airfoil 1'!$Z$81)</f>
        <v>-1</v>
      </c>
      <c r="CM34" s="16">
        <f ca="1">(L34-'Airfoil 1'!$Z$82)/ABS(L34-'Airfoil 1'!$Z$82)</f>
        <v>-1</v>
      </c>
      <c r="CN34" s="16">
        <f ca="1">(L34-'Airfoil 1'!$Z$83)/ABS(L34-'Airfoil 1'!$Z$83)</f>
        <v>-1</v>
      </c>
      <c r="CO34" s="16">
        <f ca="1">(L34-'Airfoil 1'!$Z$84)/ABS(L34-'Airfoil 1'!$Z$84)</f>
        <v>-1</v>
      </c>
      <c r="CP34" s="16">
        <f ca="1">(L34-'Airfoil 1'!$Z$85)/ABS(L34-'Airfoil 1'!$Z$85)</f>
        <v>-1</v>
      </c>
      <c r="CQ34" s="16">
        <f ca="1">(L34-'Airfoil 1'!$Z$86)/ABS(L34-'Airfoil 1'!$Z$86)</f>
        <v>-1</v>
      </c>
      <c r="CR34" s="16">
        <f ca="1">(L34-'Airfoil 1'!$Z$87)/ABS(L34-'Airfoil 1'!$Z$87)</f>
        <v>-1</v>
      </c>
      <c r="CS34" s="16">
        <f ca="1">(L34-'Airfoil 1'!$Z$88)/ABS(L34-'Airfoil 1'!$Z$88)</f>
        <v>-1</v>
      </c>
      <c r="CT34" s="16">
        <f ca="1">(L34-'Airfoil 1'!$Z$89)/ABS(L34-'Airfoil 1'!$Z$89)</f>
        <v>-1</v>
      </c>
      <c r="CU34" s="16">
        <f ca="1">(L34-'Airfoil 1'!$Z$90)/ABS(L34-'Airfoil 1'!$Z$90)</f>
        <v>-1</v>
      </c>
      <c r="CV34" s="16">
        <f ca="1">(L34-'Airfoil 1'!$Z$91)/ABS(L34-'Airfoil 1'!$Z$91)</f>
        <v>-1</v>
      </c>
      <c r="CW34" s="5">
        <f t="shared" ca="1" si="10"/>
        <v>4</v>
      </c>
      <c r="CX34" s="42">
        <f ca="1">INDEX('Airfoil 1'!$AA$72:$AA$91,CW34,1)+INDEX('Airfoil 1'!$AB$72:$AB$91,CW34,1)*(L34-INDEX('Airfoil 1'!$Z$72:$Z$91,CW34,1))</f>
        <v>1.1110331491712706E-2</v>
      </c>
    </row>
    <row r="35" spans="2:102">
      <c r="B35" s="31">
        <f>Main!B35</f>
        <v>0.33333333333333326</v>
      </c>
      <c r="D35" s="1">
        <f>Cruise!F35</f>
        <v>0.65969672852566186</v>
      </c>
      <c r="E35" s="4">
        <f>ISA!$R$10</f>
        <v>1.5987591530356481E-5</v>
      </c>
      <c r="G35" s="13">
        <f ca="1">Cruise!X35</f>
        <v>22.867828371770738</v>
      </c>
      <c r="H35" s="5">
        <f t="shared" ca="1" si="0"/>
        <v>314532.08647675713</v>
      </c>
      <c r="I35" s="16">
        <f ca="1">'Airfoil 2'!$K$14*H35^'Airfoil 2'!$L$13</f>
        <v>1.5805415838186156</v>
      </c>
      <c r="J35" s="1">
        <f ca="1">'Airfoil 2'!$K$33*H35^'Airfoil 2'!$L$32</f>
        <v>5.2176752338374115</v>
      </c>
      <c r="K35" s="13">
        <f ca="1">'Airfoil 2'!$K$52*H35^'Airfoil 2'!$L$51</f>
        <v>-8.5348959263984749</v>
      </c>
      <c r="L35" s="16">
        <f ca="1">'Aerodynamics-Cruise'!W35</f>
        <v>0.9</v>
      </c>
      <c r="M35" s="10">
        <f ca="1">('Airfoil 1'!$B$21+'Airfoil 1'!$B$22*L35+'Airfoil 1'!$B$23*L35^2+'Airfoil 1'!$B$24*L35^3+'Airfoil 1'!$B$25*L35^4+'Airfoil 1'!$B$26*L35^5+'Airfoil 1'!$B$27*L35^6)*0+BD35</f>
        <v>2.4489313868613138E-2</v>
      </c>
      <c r="N35" s="42">
        <f ca="1">('Airfoil 1'!$B$29+'Airfoil 1'!$B$30*L35+'Airfoil 1'!$B$31*L35^2+'Airfoil 1'!$B$32*L35^3+'Airfoil 1'!$B$33*L35^4+'Airfoil 1'!$B$34*L35^5+'Airfoil 1'!$B$35*L35^6)*0+CA35</f>
        <v>1.7370857855361597E-2</v>
      </c>
      <c r="O35" s="42">
        <f ca="1">('Airfoil 1'!$B$37+'Airfoil 1'!$B$38*L35+'Airfoil 1'!$B$39*L35^2+'Airfoil 1'!$B$40*L35^3+'Airfoil 1'!$B$41*L35^4+'Airfoil 1'!$B$42*L35^5+'Airfoil 1'!$B$43*L35^6)*0+CX35</f>
        <v>1.1110331491712706E-2</v>
      </c>
      <c r="P35" s="16">
        <f>LOG('Airfoil 1'!$F$10)+LOG('Airfoil 1'!$G$10)+LOG('Airfoil 1'!$H$10)</f>
        <v>15.176091259055681</v>
      </c>
      <c r="Q35" s="16">
        <f t="shared" ca="1" si="1"/>
        <v>-5.3254750991929125</v>
      </c>
      <c r="R35" s="16">
        <f>LOG('Airfoil 1'!$F$10)^2+LOG('Airfoil 1'!$G$10)^2+LOG('Airfoil 1'!$H$10)^2</f>
        <v>76.867141336751558</v>
      </c>
      <c r="S35" s="16">
        <f ca="1">LOG('Airfoil 1'!$F$10)*LOG(M35)+LOG('Airfoil 1'!$G$10)*LOG(N35)+LOG('Airfoil 1'!$H$10)*LOG(O35)</f>
        <v>-27.014391057528009</v>
      </c>
      <c r="T35" s="16">
        <f t="shared" ca="1" si="2"/>
        <v>141.60346469083578</v>
      </c>
      <c r="U35" s="16">
        <f t="shared" ca="1" si="3"/>
        <v>-0.77613507568957385</v>
      </c>
      <c r="V35" s="42">
        <f ca="1">IF(Energy!$F$11=1,Energy!$T$13,1)*T35*H35^U35</f>
        <v>8.4434876229700986E-3</v>
      </c>
      <c r="W35" s="10">
        <f ca="1">'Airfoil 1'!$B$48+'Airfoil 1'!$B$49*L35+'Airfoil 1'!$B$50*L35^2+'Airfoil 1'!$B$51*L35^3+'Airfoil 1'!$B$52*L35^4+'Airfoil 1'!$B$53*L35^5+'Airfoil 1'!$B$54*L35^6</f>
        <v>-0.155</v>
      </c>
      <c r="X35" s="42">
        <f ca="1">'Airfoil 1'!$B$56+'Airfoil 1'!$B$57*L35+'Airfoil 1'!$B$58*L35^2+'Airfoil 1'!$B$59*L35^3+'Airfoil 1'!$B$60*L35^4+'Airfoil 1'!$B$61*L35^5+'Airfoil 1'!$B$62*L35^6</f>
        <v>-0.155</v>
      </c>
      <c r="Y35" s="42">
        <f ca="1">'Airfoil 1'!$B$64+'Airfoil 1'!$B$65*L35+'Airfoil 1'!$B$66*L35^2+'Airfoil 1'!$B$67*L35^3+'Airfoil 1'!$B$681*L35^4+'Airfoil 1'!$B$69*L35^5+'Airfoil 1'!$B$70*L35^6</f>
        <v>-0.155</v>
      </c>
      <c r="Z35" s="16">
        <f>LOG('Airfoil 1'!$F$10)+LOG('Airfoil 1'!$G$10)+LOG('Airfoil 1'!$H$10)</f>
        <v>15.176091259055681</v>
      </c>
      <c r="AA35" s="16">
        <f t="shared" ca="1" si="4"/>
        <v>-2.4290049054891254</v>
      </c>
      <c r="AB35" s="16">
        <f>LOG('Airfoil 1'!$F$10)^2+LOG('Airfoil 1'!$G$10)^2+LOG('Airfoil 1'!$H$10)^2</f>
        <v>76.867141336751558</v>
      </c>
      <c r="AC35" s="16">
        <f ca="1">LOG('Airfoil 1'!$F$10)*LOG(ABS(W35))+LOG('Airfoil 1'!$G$10)*LOG(ABS(X35))+LOG('Airfoil 1'!$H$10)*LOG(ABS(Y35))</f>
        <v>-12.287600038132297</v>
      </c>
      <c r="AD35" s="16">
        <f t="shared" ca="1" si="5"/>
        <v>0.1550000000000121</v>
      </c>
      <c r="AE35" s="16">
        <f t="shared" ca="1" si="6"/>
        <v>-6.6718325633022456E-15</v>
      </c>
      <c r="AF35" s="42">
        <f t="shared" ca="1" si="7"/>
        <v>-0.15499999999999903</v>
      </c>
      <c r="AG35" s="16"/>
      <c r="AH35" s="42"/>
      <c r="AI35" s="16">
        <f ca="1">(L35-'Airfoil 1'!$Z$22)/ABS(L35-'Airfoil 1'!$Z$22)</f>
        <v>1</v>
      </c>
      <c r="AJ35" s="16">
        <f ca="1">(L35-'Airfoil 1'!$Z$23)/ABS(L35-'Airfoil 1'!$Z$23)</f>
        <v>1</v>
      </c>
      <c r="AK35" s="16">
        <f ca="1">(L35-'Airfoil 1'!$Z$24)/ABS(L35-'Airfoil 1'!$Z$24)</f>
        <v>1</v>
      </c>
      <c r="AL35" s="16">
        <f ca="1">(L35-'Airfoil 1'!$Z$25)/ABS(L35-'Airfoil 1'!$Z$25)</f>
        <v>1</v>
      </c>
      <c r="AM35" s="16">
        <f ca="1">(L35-'Airfoil 1'!$Z$26)/ABS(L35-'Airfoil 1'!$Z$26)</f>
        <v>1</v>
      </c>
      <c r="AN35" s="16">
        <f ca="1">(L35-'Airfoil 1'!$Z$27)/ABS(L35-'Airfoil 1'!$Z$27)</f>
        <v>1</v>
      </c>
      <c r="AO35" s="16">
        <f ca="1">(L35-'Airfoil 1'!$Z$28)/ABS(L35-'Airfoil 1'!$Z$28)</f>
        <v>1</v>
      </c>
      <c r="AP35" s="16">
        <f ca="1">(L35-'Airfoil 1'!$Z$29)/ABS(L35-'Airfoil 1'!$Z$29)</f>
        <v>-1</v>
      </c>
      <c r="AQ35" s="16">
        <f ca="1">(L35-'Airfoil 1'!$Z$30)/ABS(L35-'Airfoil 1'!$Z$30)</f>
        <v>-1</v>
      </c>
      <c r="AR35" s="16">
        <f ca="1">(L35-'Airfoil 1'!$Z$31)/ABS(L35-'Airfoil 1'!$Z$31)</f>
        <v>-1</v>
      </c>
      <c r="AS35" s="16">
        <f ca="1">(L35-'Airfoil 1'!$Z$32)/ABS(L35-'Airfoil 1'!$Z$32)</f>
        <v>-1</v>
      </c>
      <c r="AT35" s="16">
        <f ca="1">(L35-'Airfoil 1'!$Z$33)/ABS(L35-'Airfoil 1'!$Z$33)</f>
        <v>-1</v>
      </c>
      <c r="AU35" s="16">
        <f ca="1">(L35-'Airfoil 1'!$Z$34)/ABS(L35-'Airfoil 1'!$Z$34)</f>
        <v>-1</v>
      </c>
      <c r="AV35" s="16">
        <f ca="1">(L35-'Airfoil 1'!$Z$35)/ABS(L35-'Airfoil 1'!$Z$35)</f>
        <v>-1</v>
      </c>
      <c r="AW35" s="16">
        <f ca="1">(L35-'Airfoil 1'!$Z$36)/ABS(L35-'Airfoil 1'!$Z$36)</f>
        <v>-1</v>
      </c>
      <c r="AX35" s="16">
        <f ca="1">(L35-'Airfoil 1'!$Z$37)/ABS(L35-'Airfoil 1'!$Z$37)</f>
        <v>-1</v>
      </c>
      <c r="AY35" s="16">
        <f ca="1">(L35-'Airfoil 1'!$Z$38)/ABS(L35-'Airfoil 1'!$Z$38)</f>
        <v>-1</v>
      </c>
      <c r="AZ35" s="16">
        <f ca="1">(L35-'Airfoil 1'!$Z$39)/ABS(L35-'Airfoil 1'!$Z$39)</f>
        <v>-1</v>
      </c>
      <c r="BA35" s="16">
        <f ca="1">(L35-'Airfoil 1'!$Z$40)/ABS(L35-'Airfoil 1'!$Z$40)</f>
        <v>-1</v>
      </c>
      <c r="BB35" s="16">
        <f ca="1">(L35-'Airfoil 1'!$Z$41)/ABS(L35-'Airfoil 1'!$Z$41)</f>
        <v>-1</v>
      </c>
      <c r="BC35" s="5">
        <f t="shared" ca="1" si="8"/>
        <v>7</v>
      </c>
      <c r="BD35" s="42">
        <f ca="1">INDEX('Airfoil 1'!$AA$22:$AA$41,BC35,1)+INDEX('Airfoil 1'!$AB$22:$AB$41,BC35,1)*(L35-INDEX('Airfoil 1'!$Z$22:$Z$41,BC35,1))</f>
        <v>2.4489313868613138E-2</v>
      </c>
      <c r="BE35" s="6"/>
      <c r="BF35" s="16">
        <f ca="1">(L35-'Airfoil 1'!$Z$47)/ABS(L35-'Airfoil 1'!$Z$47)</f>
        <v>1</v>
      </c>
      <c r="BG35" s="16">
        <f ca="1">(L35-'Airfoil 1'!$Z$48)/ABS(L35-'Airfoil 1'!$Z$48)</f>
        <v>1</v>
      </c>
      <c r="BH35" s="16">
        <f ca="1">(L35-'Airfoil 1'!$Z$49)/ABS(L35-'Airfoil 1'!$Z$49)</f>
        <v>1</v>
      </c>
      <c r="BI35" s="16">
        <f ca="1">(L35-'Airfoil 1'!$Z$50)/ABS(L35-'Airfoil 1'!$Z$50)</f>
        <v>1</v>
      </c>
      <c r="BJ35" s="16">
        <f ca="1">(L35-'Airfoil 1'!$Z$51)/ABS(L35-'Airfoil 1'!$Z$51)</f>
        <v>1</v>
      </c>
      <c r="BK35" s="16">
        <f ca="1">(L35-'Airfoil 1'!$Z$52)/ABS(L35-'Airfoil 1'!$Z$52)</f>
        <v>1</v>
      </c>
      <c r="BL35" s="16">
        <f ca="1">(L35-'Airfoil 1'!$Z$53)/ABS(L35-'Airfoil 1'!$Z$53)</f>
        <v>-1</v>
      </c>
      <c r="BM35" s="16">
        <f ca="1">(L35-'Airfoil 1'!$Z$54)/ABS(L35-'Airfoil 1'!$Z$54)</f>
        <v>-1</v>
      </c>
      <c r="BN35" s="16">
        <f ca="1">(L35-'Airfoil 1'!$Z$55)/ABS(L35-'Airfoil 1'!$Z$55)</f>
        <v>-1</v>
      </c>
      <c r="BO35" s="16">
        <f ca="1">(L35-'Airfoil 1'!$Z$56)/ABS(L35-'Airfoil 1'!$Z$56)</f>
        <v>-1</v>
      </c>
      <c r="BP35" s="16">
        <f ca="1">(L35-'Airfoil 1'!$Z$57)/ABS(L35-'Airfoil 1'!$Z$57)</f>
        <v>-1</v>
      </c>
      <c r="BQ35" s="16">
        <f ca="1">(L35-'Airfoil 1'!$Z$58)/ABS(L35-'Airfoil 1'!$Z$58)</f>
        <v>-1</v>
      </c>
      <c r="BR35" s="16">
        <f ca="1">(L35-'Airfoil 1'!$Z$59)/ABS(L35-'Airfoil 1'!$Z$59)</f>
        <v>-1</v>
      </c>
      <c r="BS35" s="16">
        <f ca="1">(L35-'Airfoil 1'!$Z$60)/ABS(L35-'Airfoil 1'!$Z$60)</f>
        <v>-1</v>
      </c>
      <c r="BT35" s="16">
        <f ca="1">(L35-'Airfoil 1'!$Z$61)/ABS(L35-'Airfoil 1'!$Z$61)</f>
        <v>-1</v>
      </c>
      <c r="BU35" s="16">
        <f ca="1">(L35-'Airfoil 1'!$Z$62)/ABS(L35-'Airfoil 1'!$Z$62)</f>
        <v>-1</v>
      </c>
      <c r="BV35" s="16">
        <f ca="1">(L35-'Airfoil 1'!$Z$63)/ABS(L35-'Airfoil 1'!$Z$63)</f>
        <v>-1</v>
      </c>
      <c r="BW35" s="16">
        <f ca="1">(L35-'Airfoil 1'!$Z$64)/ABS(L35-'Airfoil 1'!$Z$64)</f>
        <v>-1</v>
      </c>
      <c r="BX35" s="16">
        <f ca="1">(L35-'Airfoil 1'!$Z$65)/ABS(L35-'Airfoil 1'!$Z$65)</f>
        <v>-1</v>
      </c>
      <c r="BY35" s="16">
        <f ca="1">(L35-'Airfoil 1'!$Z$66)/ABS(L35-'Airfoil 1'!$Z$66)</f>
        <v>-1</v>
      </c>
      <c r="BZ35" s="5">
        <f t="shared" ca="1" si="9"/>
        <v>6</v>
      </c>
      <c r="CA35" s="42">
        <f ca="1">INDEX('Airfoil 1'!$AA$47:$AA$66,BZ35,1)+INDEX('Airfoil 1'!$AB$47:$AB$66,BZ35,1)*(L35-INDEX('Airfoil 1'!$Z$47:$Z$66,BZ35,1))</f>
        <v>1.7370857855361597E-2</v>
      </c>
      <c r="CC35" s="16">
        <f ca="1">(L35-'Airfoil 1'!$Z$72)/ABS(L35-'Airfoil 1'!$Z$72)</f>
        <v>1</v>
      </c>
      <c r="CD35" s="16">
        <f ca="1">(L35-'Airfoil 1'!$Z$73)/ABS(L35-'Airfoil 1'!$Z$73)</f>
        <v>1</v>
      </c>
      <c r="CE35" s="16">
        <f ca="1">(L35-'Airfoil 1'!$Z$74)/ABS(L35-'Airfoil 1'!$Z$74)</f>
        <v>1</v>
      </c>
      <c r="CF35" s="16">
        <f ca="1">(L35-'Airfoil 1'!$Z$75)/ABS(L35-'Airfoil 1'!$Z$75)</f>
        <v>1</v>
      </c>
      <c r="CG35" s="16">
        <f ca="1">(L35-'Airfoil 1'!$Z$76)/ABS(L35-'Airfoil 1'!$Z$76)</f>
        <v>-1</v>
      </c>
      <c r="CH35" s="16">
        <f ca="1">(L35-'Airfoil 1'!$Z$77)/ABS(L35-'Airfoil 1'!$Z$77)</f>
        <v>-1</v>
      </c>
      <c r="CI35" s="16">
        <f ca="1">(L35-'Airfoil 1'!$Z$78)/ABS(L35-'Airfoil 1'!$Z$78)</f>
        <v>-1</v>
      </c>
      <c r="CJ35" s="16">
        <f ca="1">(L35-'Airfoil 1'!$Z$79)/ABS(L35-'Airfoil 1'!$Z$79)</f>
        <v>-1</v>
      </c>
      <c r="CK35" s="16">
        <f ca="1">(L35-'Airfoil 1'!$Z$80)/ABS(L35-'Airfoil 1'!$Z$80)</f>
        <v>-1</v>
      </c>
      <c r="CL35" s="16">
        <f ca="1">(L35-'Airfoil 1'!$Z$81)/ABS(L35-'Airfoil 1'!$Z$81)</f>
        <v>-1</v>
      </c>
      <c r="CM35" s="16">
        <f ca="1">(L35-'Airfoil 1'!$Z$82)/ABS(L35-'Airfoil 1'!$Z$82)</f>
        <v>-1</v>
      </c>
      <c r="CN35" s="16">
        <f ca="1">(L35-'Airfoil 1'!$Z$83)/ABS(L35-'Airfoil 1'!$Z$83)</f>
        <v>-1</v>
      </c>
      <c r="CO35" s="16">
        <f ca="1">(L35-'Airfoil 1'!$Z$84)/ABS(L35-'Airfoil 1'!$Z$84)</f>
        <v>-1</v>
      </c>
      <c r="CP35" s="16">
        <f ca="1">(L35-'Airfoil 1'!$Z$85)/ABS(L35-'Airfoil 1'!$Z$85)</f>
        <v>-1</v>
      </c>
      <c r="CQ35" s="16">
        <f ca="1">(L35-'Airfoil 1'!$Z$86)/ABS(L35-'Airfoil 1'!$Z$86)</f>
        <v>-1</v>
      </c>
      <c r="CR35" s="16">
        <f ca="1">(L35-'Airfoil 1'!$Z$87)/ABS(L35-'Airfoil 1'!$Z$87)</f>
        <v>-1</v>
      </c>
      <c r="CS35" s="16">
        <f ca="1">(L35-'Airfoil 1'!$Z$88)/ABS(L35-'Airfoil 1'!$Z$88)</f>
        <v>-1</v>
      </c>
      <c r="CT35" s="16">
        <f ca="1">(L35-'Airfoil 1'!$Z$89)/ABS(L35-'Airfoil 1'!$Z$89)</f>
        <v>-1</v>
      </c>
      <c r="CU35" s="16">
        <f ca="1">(L35-'Airfoil 1'!$Z$90)/ABS(L35-'Airfoil 1'!$Z$90)</f>
        <v>-1</v>
      </c>
      <c r="CV35" s="16">
        <f ca="1">(L35-'Airfoil 1'!$Z$91)/ABS(L35-'Airfoil 1'!$Z$91)</f>
        <v>-1</v>
      </c>
      <c r="CW35" s="5">
        <f t="shared" ca="1" si="10"/>
        <v>4</v>
      </c>
      <c r="CX35" s="42">
        <f ca="1">INDEX('Airfoil 1'!$AA$72:$AA$91,CW35,1)+INDEX('Airfoil 1'!$AB$72:$AB$91,CW35,1)*(L35-INDEX('Airfoil 1'!$Z$72:$Z$91,CW35,1))</f>
        <v>1.1110331491712706E-2</v>
      </c>
    </row>
    <row r="36" spans="2:102">
      <c r="B36" s="31">
        <f>Main!B36</f>
        <v>0.33333333333333326</v>
      </c>
      <c r="D36" s="1">
        <f>Cruise!F36</f>
        <v>0.65969672852566186</v>
      </c>
      <c r="E36" s="4">
        <f>ISA!$R$10</f>
        <v>1.5987591530356481E-5</v>
      </c>
      <c r="G36" s="13">
        <f ca="1">Cruise!X36</f>
        <v>22.533115808336419</v>
      </c>
      <c r="H36" s="5">
        <f t="shared" ca="1" si="0"/>
        <v>309928.33314979321</v>
      </c>
      <c r="I36" s="16">
        <f ca="1">'Airfoil 2'!$K$14*H36^'Airfoil 2'!$L$13</f>
        <v>1.5802176444961484</v>
      </c>
      <c r="J36" s="1">
        <f ca="1">'Airfoil 2'!$K$33*H36^'Airfoil 2'!$L$32</f>
        <v>5.2436160925509157</v>
      </c>
      <c r="K36" s="13">
        <f ca="1">'Airfoil 2'!$K$52*H36^'Airfoil 2'!$L$51</f>
        <v>-8.4511492080956412</v>
      </c>
      <c r="L36" s="16">
        <f ca="1">'Aerodynamics-Cruise'!W36</f>
        <v>0.9</v>
      </c>
      <c r="M36" s="10">
        <f ca="1">('Airfoil 1'!$B$21+'Airfoil 1'!$B$22*L36+'Airfoil 1'!$B$23*L36^2+'Airfoil 1'!$B$24*L36^3+'Airfoil 1'!$B$25*L36^4+'Airfoil 1'!$B$26*L36^5+'Airfoil 1'!$B$27*L36^6)*0+BD36</f>
        <v>2.4489313868613138E-2</v>
      </c>
      <c r="N36" s="42">
        <f ca="1">('Airfoil 1'!$B$29+'Airfoil 1'!$B$30*L36+'Airfoil 1'!$B$31*L36^2+'Airfoil 1'!$B$32*L36^3+'Airfoil 1'!$B$33*L36^4+'Airfoil 1'!$B$34*L36^5+'Airfoil 1'!$B$35*L36^6)*0+CA36</f>
        <v>1.7370857855361597E-2</v>
      </c>
      <c r="O36" s="42">
        <f ca="1">('Airfoil 1'!$B$37+'Airfoil 1'!$B$38*L36+'Airfoil 1'!$B$39*L36^2+'Airfoil 1'!$B$40*L36^3+'Airfoil 1'!$B$41*L36^4+'Airfoil 1'!$B$42*L36^5+'Airfoil 1'!$B$43*L36^6)*0+CX36</f>
        <v>1.1110331491712706E-2</v>
      </c>
      <c r="P36" s="16">
        <f>LOG('Airfoil 1'!$F$10)+LOG('Airfoil 1'!$G$10)+LOG('Airfoil 1'!$H$10)</f>
        <v>15.176091259055681</v>
      </c>
      <c r="Q36" s="16">
        <f t="shared" ca="1" si="1"/>
        <v>-5.3254750991929125</v>
      </c>
      <c r="R36" s="16">
        <f>LOG('Airfoil 1'!$F$10)^2+LOG('Airfoil 1'!$G$10)^2+LOG('Airfoil 1'!$H$10)^2</f>
        <v>76.867141336751558</v>
      </c>
      <c r="S36" s="16">
        <f ca="1">LOG('Airfoil 1'!$F$10)*LOG(M36)+LOG('Airfoil 1'!$G$10)*LOG(N36)+LOG('Airfoil 1'!$H$10)*LOG(O36)</f>
        <v>-27.014391057528009</v>
      </c>
      <c r="T36" s="16">
        <f t="shared" ca="1" si="2"/>
        <v>141.60346469083578</v>
      </c>
      <c r="U36" s="16">
        <f t="shared" ca="1" si="3"/>
        <v>-0.77613507568957385</v>
      </c>
      <c r="V36" s="42">
        <f ca="1">IF(Energy!$F$11=1,Energy!$T$13,1)*T36*H36^U36</f>
        <v>8.5406709143692212E-3</v>
      </c>
      <c r="W36" s="10">
        <f ca="1">'Airfoil 1'!$B$48+'Airfoil 1'!$B$49*L36+'Airfoil 1'!$B$50*L36^2+'Airfoil 1'!$B$51*L36^3+'Airfoil 1'!$B$52*L36^4+'Airfoil 1'!$B$53*L36^5+'Airfoil 1'!$B$54*L36^6</f>
        <v>-0.155</v>
      </c>
      <c r="X36" s="42">
        <f ca="1">'Airfoil 1'!$B$56+'Airfoil 1'!$B$57*L36+'Airfoil 1'!$B$58*L36^2+'Airfoil 1'!$B$59*L36^3+'Airfoil 1'!$B$60*L36^4+'Airfoil 1'!$B$61*L36^5+'Airfoil 1'!$B$62*L36^6</f>
        <v>-0.155</v>
      </c>
      <c r="Y36" s="42">
        <f ca="1">'Airfoil 1'!$B$64+'Airfoil 1'!$B$65*L36+'Airfoil 1'!$B$66*L36^2+'Airfoil 1'!$B$67*L36^3+'Airfoil 1'!$B$681*L36^4+'Airfoil 1'!$B$69*L36^5+'Airfoil 1'!$B$70*L36^6</f>
        <v>-0.155</v>
      </c>
      <c r="Z36" s="16">
        <f>LOG('Airfoil 1'!$F$10)+LOG('Airfoil 1'!$G$10)+LOG('Airfoil 1'!$H$10)</f>
        <v>15.176091259055681</v>
      </c>
      <c r="AA36" s="16">
        <f t="shared" ca="1" si="4"/>
        <v>-2.4290049054891254</v>
      </c>
      <c r="AB36" s="16">
        <f>LOG('Airfoil 1'!$F$10)^2+LOG('Airfoil 1'!$G$10)^2+LOG('Airfoil 1'!$H$10)^2</f>
        <v>76.867141336751558</v>
      </c>
      <c r="AC36" s="16">
        <f ca="1">LOG('Airfoil 1'!$F$10)*LOG(ABS(W36))+LOG('Airfoil 1'!$G$10)*LOG(ABS(X36))+LOG('Airfoil 1'!$H$10)*LOG(ABS(Y36))</f>
        <v>-12.287600038132297</v>
      </c>
      <c r="AD36" s="16">
        <f t="shared" ca="1" si="5"/>
        <v>0.1550000000000121</v>
      </c>
      <c r="AE36" s="16">
        <f t="shared" ca="1" si="6"/>
        <v>-6.6718325633022456E-15</v>
      </c>
      <c r="AF36" s="42">
        <f t="shared" ca="1" si="7"/>
        <v>-0.15499999999999903</v>
      </c>
      <c r="AG36" s="16"/>
      <c r="AH36" s="42"/>
      <c r="AI36" s="16">
        <f ca="1">(L36-'Airfoil 1'!$Z$22)/ABS(L36-'Airfoil 1'!$Z$22)</f>
        <v>1</v>
      </c>
      <c r="AJ36" s="16">
        <f ca="1">(L36-'Airfoil 1'!$Z$23)/ABS(L36-'Airfoil 1'!$Z$23)</f>
        <v>1</v>
      </c>
      <c r="AK36" s="16">
        <f ca="1">(L36-'Airfoil 1'!$Z$24)/ABS(L36-'Airfoil 1'!$Z$24)</f>
        <v>1</v>
      </c>
      <c r="AL36" s="16">
        <f ca="1">(L36-'Airfoil 1'!$Z$25)/ABS(L36-'Airfoil 1'!$Z$25)</f>
        <v>1</v>
      </c>
      <c r="AM36" s="16">
        <f ca="1">(L36-'Airfoil 1'!$Z$26)/ABS(L36-'Airfoil 1'!$Z$26)</f>
        <v>1</v>
      </c>
      <c r="AN36" s="16">
        <f ca="1">(L36-'Airfoil 1'!$Z$27)/ABS(L36-'Airfoil 1'!$Z$27)</f>
        <v>1</v>
      </c>
      <c r="AO36" s="16">
        <f ca="1">(L36-'Airfoil 1'!$Z$28)/ABS(L36-'Airfoil 1'!$Z$28)</f>
        <v>1</v>
      </c>
      <c r="AP36" s="16">
        <f ca="1">(L36-'Airfoil 1'!$Z$29)/ABS(L36-'Airfoil 1'!$Z$29)</f>
        <v>-1</v>
      </c>
      <c r="AQ36" s="16">
        <f ca="1">(L36-'Airfoil 1'!$Z$30)/ABS(L36-'Airfoil 1'!$Z$30)</f>
        <v>-1</v>
      </c>
      <c r="AR36" s="16">
        <f ca="1">(L36-'Airfoil 1'!$Z$31)/ABS(L36-'Airfoil 1'!$Z$31)</f>
        <v>-1</v>
      </c>
      <c r="AS36" s="16">
        <f ca="1">(L36-'Airfoil 1'!$Z$32)/ABS(L36-'Airfoil 1'!$Z$32)</f>
        <v>-1</v>
      </c>
      <c r="AT36" s="16">
        <f ca="1">(L36-'Airfoil 1'!$Z$33)/ABS(L36-'Airfoil 1'!$Z$33)</f>
        <v>-1</v>
      </c>
      <c r="AU36" s="16">
        <f ca="1">(L36-'Airfoil 1'!$Z$34)/ABS(L36-'Airfoil 1'!$Z$34)</f>
        <v>-1</v>
      </c>
      <c r="AV36" s="16">
        <f ca="1">(L36-'Airfoil 1'!$Z$35)/ABS(L36-'Airfoil 1'!$Z$35)</f>
        <v>-1</v>
      </c>
      <c r="AW36" s="16">
        <f ca="1">(L36-'Airfoil 1'!$Z$36)/ABS(L36-'Airfoil 1'!$Z$36)</f>
        <v>-1</v>
      </c>
      <c r="AX36" s="16">
        <f ca="1">(L36-'Airfoil 1'!$Z$37)/ABS(L36-'Airfoil 1'!$Z$37)</f>
        <v>-1</v>
      </c>
      <c r="AY36" s="16">
        <f ca="1">(L36-'Airfoil 1'!$Z$38)/ABS(L36-'Airfoil 1'!$Z$38)</f>
        <v>-1</v>
      </c>
      <c r="AZ36" s="16">
        <f ca="1">(L36-'Airfoil 1'!$Z$39)/ABS(L36-'Airfoil 1'!$Z$39)</f>
        <v>-1</v>
      </c>
      <c r="BA36" s="16">
        <f ca="1">(L36-'Airfoil 1'!$Z$40)/ABS(L36-'Airfoil 1'!$Z$40)</f>
        <v>-1</v>
      </c>
      <c r="BB36" s="16">
        <f ca="1">(L36-'Airfoil 1'!$Z$41)/ABS(L36-'Airfoil 1'!$Z$41)</f>
        <v>-1</v>
      </c>
      <c r="BC36" s="5">
        <f t="shared" ca="1" si="8"/>
        <v>7</v>
      </c>
      <c r="BD36" s="42">
        <f ca="1">INDEX('Airfoil 1'!$AA$22:$AA$41,BC36,1)+INDEX('Airfoil 1'!$AB$22:$AB$41,BC36,1)*(L36-INDEX('Airfoil 1'!$Z$22:$Z$41,BC36,1))</f>
        <v>2.4489313868613138E-2</v>
      </c>
      <c r="BE36" s="6"/>
      <c r="BF36" s="16">
        <f ca="1">(L36-'Airfoil 1'!$Z$47)/ABS(L36-'Airfoil 1'!$Z$47)</f>
        <v>1</v>
      </c>
      <c r="BG36" s="16">
        <f ca="1">(L36-'Airfoil 1'!$Z$48)/ABS(L36-'Airfoil 1'!$Z$48)</f>
        <v>1</v>
      </c>
      <c r="BH36" s="16">
        <f ca="1">(L36-'Airfoil 1'!$Z$49)/ABS(L36-'Airfoil 1'!$Z$49)</f>
        <v>1</v>
      </c>
      <c r="BI36" s="16">
        <f ca="1">(L36-'Airfoil 1'!$Z$50)/ABS(L36-'Airfoil 1'!$Z$50)</f>
        <v>1</v>
      </c>
      <c r="BJ36" s="16">
        <f ca="1">(L36-'Airfoil 1'!$Z$51)/ABS(L36-'Airfoil 1'!$Z$51)</f>
        <v>1</v>
      </c>
      <c r="BK36" s="16">
        <f ca="1">(L36-'Airfoil 1'!$Z$52)/ABS(L36-'Airfoil 1'!$Z$52)</f>
        <v>1</v>
      </c>
      <c r="BL36" s="16">
        <f ca="1">(L36-'Airfoil 1'!$Z$53)/ABS(L36-'Airfoil 1'!$Z$53)</f>
        <v>-1</v>
      </c>
      <c r="BM36" s="16">
        <f ca="1">(L36-'Airfoil 1'!$Z$54)/ABS(L36-'Airfoil 1'!$Z$54)</f>
        <v>-1</v>
      </c>
      <c r="BN36" s="16">
        <f ca="1">(L36-'Airfoil 1'!$Z$55)/ABS(L36-'Airfoil 1'!$Z$55)</f>
        <v>-1</v>
      </c>
      <c r="BO36" s="16">
        <f ca="1">(L36-'Airfoil 1'!$Z$56)/ABS(L36-'Airfoil 1'!$Z$56)</f>
        <v>-1</v>
      </c>
      <c r="BP36" s="16">
        <f ca="1">(L36-'Airfoil 1'!$Z$57)/ABS(L36-'Airfoil 1'!$Z$57)</f>
        <v>-1</v>
      </c>
      <c r="BQ36" s="16">
        <f ca="1">(L36-'Airfoil 1'!$Z$58)/ABS(L36-'Airfoil 1'!$Z$58)</f>
        <v>-1</v>
      </c>
      <c r="BR36" s="16">
        <f ca="1">(L36-'Airfoil 1'!$Z$59)/ABS(L36-'Airfoil 1'!$Z$59)</f>
        <v>-1</v>
      </c>
      <c r="BS36" s="16">
        <f ca="1">(L36-'Airfoil 1'!$Z$60)/ABS(L36-'Airfoil 1'!$Z$60)</f>
        <v>-1</v>
      </c>
      <c r="BT36" s="16">
        <f ca="1">(L36-'Airfoil 1'!$Z$61)/ABS(L36-'Airfoil 1'!$Z$61)</f>
        <v>-1</v>
      </c>
      <c r="BU36" s="16">
        <f ca="1">(L36-'Airfoil 1'!$Z$62)/ABS(L36-'Airfoil 1'!$Z$62)</f>
        <v>-1</v>
      </c>
      <c r="BV36" s="16">
        <f ca="1">(L36-'Airfoil 1'!$Z$63)/ABS(L36-'Airfoil 1'!$Z$63)</f>
        <v>-1</v>
      </c>
      <c r="BW36" s="16">
        <f ca="1">(L36-'Airfoil 1'!$Z$64)/ABS(L36-'Airfoil 1'!$Z$64)</f>
        <v>-1</v>
      </c>
      <c r="BX36" s="16">
        <f ca="1">(L36-'Airfoil 1'!$Z$65)/ABS(L36-'Airfoil 1'!$Z$65)</f>
        <v>-1</v>
      </c>
      <c r="BY36" s="16">
        <f ca="1">(L36-'Airfoil 1'!$Z$66)/ABS(L36-'Airfoil 1'!$Z$66)</f>
        <v>-1</v>
      </c>
      <c r="BZ36" s="5">
        <f t="shared" ca="1" si="9"/>
        <v>6</v>
      </c>
      <c r="CA36" s="42">
        <f ca="1">INDEX('Airfoil 1'!$AA$47:$AA$66,BZ36,1)+INDEX('Airfoil 1'!$AB$47:$AB$66,BZ36,1)*(L36-INDEX('Airfoil 1'!$Z$47:$Z$66,BZ36,1))</f>
        <v>1.7370857855361597E-2</v>
      </c>
      <c r="CC36" s="16">
        <f ca="1">(L36-'Airfoil 1'!$Z$72)/ABS(L36-'Airfoil 1'!$Z$72)</f>
        <v>1</v>
      </c>
      <c r="CD36" s="16">
        <f ca="1">(L36-'Airfoil 1'!$Z$73)/ABS(L36-'Airfoil 1'!$Z$73)</f>
        <v>1</v>
      </c>
      <c r="CE36" s="16">
        <f ca="1">(L36-'Airfoil 1'!$Z$74)/ABS(L36-'Airfoil 1'!$Z$74)</f>
        <v>1</v>
      </c>
      <c r="CF36" s="16">
        <f ca="1">(L36-'Airfoil 1'!$Z$75)/ABS(L36-'Airfoil 1'!$Z$75)</f>
        <v>1</v>
      </c>
      <c r="CG36" s="16">
        <f ca="1">(L36-'Airfoil 1'!$Z$76)/ABS(L36-'Airfoil 1'!$Z$76)</f>
        <v>-1</v>
      </c>
      <c r="CH36" s="16">
        <f ca="1">(L36-'Airfoil 1'!$Z$77)/ABS(L36-'Airfoil 1'!$Z$77)</f>
        <v>-1</v>
      </c>
      <c r="CI36" s="16">
        <f ca="1">(L36-'Airfoil 1'!$Z$78)/ABS(L36-'Airfoil 1'!$Z$78)</f>
        <v>-1</v>
      </c>
      <c r="CJ36" s="16">
        <f ca="1">(L36-'Airfoil 1'!$Z$79)/ABS(L36-'Airfoil 1'!$Z$79)</f>
        <v>-1</v>
      </c>
      <c r="CK36" s="16">
        <f ca="1">(L36-'Airfoil 1'!$Z$80)/ABS(L36-'Airfoil 1'!$Z$80)</f>
        <v>-1</v>
      </c>
      <c r="CL36" s="16">
        <f ca="1">(L36-'Airfoil 1'!$Z$81)/ABS(L36-'Airfoil 1'!$Z$81)</f>
        <v>-1</v>
      </c>
      <c r="CM36" s="16">
        <f ca="1">(L36-'Airfoil 1'!$Z$82)/ABS(L36-'Airfoil 1'!$Z$82)</f>
        <v>-1</v>
      </c>
      <c r="CN36" s="16">
        <f ca="1">(L36-'Airfoil 1'!$Z$83)/ABS(L36-'Airfoil 1'!$Z$83)</f>
        <v>-1</v>
      </c>
      <c r="CO36" s="16">
        <f ca="1">(L36-'Airfoil 1'!$Z$84)/ABS(L36-'Airfoil 1'!$Z$84)</f>
        <v>-1</v>
      </c>
      <c r="CP36" s="16">
        <f ca="1">(L36-'Airfoil 1'!$Z$85)/ABS(L36-'Airfoil 1'!$Z$85)</f>
        <v>-1</v>
      </c>
      <c r="CQ36" s="16">
        <f ca="1">(L36-'Airfoil 1'!$Z$86)/ABS(L36-'Airfoil 1'!$Z$86)</f>
        <v>-1</v>
      </c>
      <c r="CR36" s="16">
        <f ca="1">(L36-'Airfoil 1'!$Z$87)/ABS(L36-'Airfoil 1'!$Z$87)</f>
        <v>-1</v>
      </c>
      <c r="CS36" s="16">
        <f ca="1">(L36-'Airfoil 1'!$Z$88)/ABS(L36-'Airfoil 1'!$Z$88)</f>
        <v>-1</v>
      </c>
      <c r="CT36" s="16">
        <f ca="1">(L36-'Airfoil 1'!$Z$89)/ABS(L36-'Airfoil 1'!$Z$89)</f>
        <v>-1</v>
      </c>
      <c r="CU36" s="16">
        <f ca="1">(L36-'Airfoil 1'!$Z$90)/ABS(L36-'Airfoil 1'!$Z$90)</f>
        <v>-1</v>
      </c>
      <c r="CV36" s="16">
        <f ca="1">(L36-'Airfoil 1'!$Z$91)/ABS(L36-'Airfoil 1'!$Z$91)</f>
        <v>-1</v>
      </c>
      <c r="CW36" s="5">
        <f t="shared" ca="1" si="10"/>
        <v>4</v>
      </c>
      <c r="CX36" s="42">
        <f ca="1">INDEX('Airfoil 1'!$AA$72:$AA$91,CW36,1)+INDEX('Airfoil 1'!$AB$72:$AB$91,CW36,1)*(L36-INDEX('Airfoil 1'!$Z$72:$Z$91,CW36,1))</f>
        <v>1.1110331491712706E-2</v>
      </c>
    </row>
    <row r="37" spans="2:102">
      <c r="B37" s="31">
        <f>Main!B37</f>
        <v>0.33333333333333326</v>
      </c>
      <c r="D37" s="1">
        <f>Cruise!F37</f>
        <v>0.65969672852566186</v>
      </c>
      <c r="E37" s="4">
        <f>ISA!$R$10</f>
        <v>1.5987591530356481E-5</v>
      </c>
      <c r="G37" s="13">
        <f ca="1">Cruise!X37</f>
        <v>22.215604931298369</v>
      </c>
      <c r="H37" s="5">
        <f t="shared" ca="1" si="0"/>
        <v>305561.1778165336</v>
      </c>
      <c r="I37" s="16">
        <f ca="1">'Airfoil 2'!$K$14*H37^'Airfoil 2'!$L$13</f>
        <v>1.5799059374671165</v>
      </c>
      <c r="J37" s="1">
        <f ca="1">'Airfoil 2'!$K$33*H37^'Airfoil 2'!$L$32</f>
        <v>5.2687042043443979</v>
      </c>
      <c r="K37" s="13">
        <f ca="1">'Airfoil 2'!$K$52*H37^'Airfoil 2'!$L$51</f>
        <v>-8.3713247603876937</v>
      </c>
      <c r="L37" s="16">
        <f ca="1">'Aerodynamics-Cruise'!W37</f>
        <v>0.9</v>
      </c>
      <c r="M37" s="10">
        <f ca="1">('Airfoil 1'!$B$21+'Airfoil 1'!$B$22*L37+'Airfoil 1'!$B$23*L37^2+'Airfoil 1'!$B$24*L37^3+'Airfoil 1'!$B$25*L37^4+'Airfoil 1'!$B$26*L37^5+'Airfoil 1'!$B$27*L37^6)*0+BD37</f>
        <v>2.4489313868613138E-2</v>
      </c>
      <c r="N37" s="42">
        <f ca="1">('Airfoil 1'!$B$29+'Airfoil 1'!$B$30*L37+'Airfoil 1'!$B$31*L37^2+'Airfoil 1'!$B$32*L37^3+'Airfoil 1'!$B$33*L37^4+'Airfoil 1'!$B$34*L37^5+'Airfoil 1'!$B$35*L37^6)*0+CA37</f>
        <v>1.7370857855361597E-2</v>
      </c>
      <c r="O37" s="42">
        <f ca="1">('Airfoil 1'!$B$37+'Airfoil 1'!$B$38*L37+'Airfoil 1'!$B$39*L37^2+'Airfoil 1'!$B$40*L37^3+'Airfoil 1'!$B$41*L37^4+'Airfoil 1'!$B$42*L37^5+'Airfoil 1'!$B$43*L37^6)*0+CX37</f>
        <v>1.1110331491712706E-2</v>
      </c>
      <c r="P37" s="16">
        <f>LOG('Airfoil 1'!$F$10)+LOG('Airfoil 1'!$G$10)+LOG('Airfoil 1'!$H$10)</f>
        <v>15.176091259055681</v>
      </c>
      <c r="Q37" s="16">
        <f t="shared" ca="1" si="1"/>
        <v>-5.3254750991929125</v>
      </c>
      <c r="R37" s="16">
        <f>LOG('Airfoil 1'!$F$10)^2+LOG('Airfoil 1'!$G$10)^2+LOG('Airfoil 1'!$H$10)^2</f>
        <v>76.867141336751558</v>
      </c>
      <c r="S37" s="16">
        <f ca="1">LOG('Airfoil 1'!$F$10)*LOG(M37)+LOG('Airfoil 1'!$G$10)*LOG(N37)+LOG('Airfoil 1'!$H$10)*LOG(O37)</f>
        <v>-27.014391057528009</v>
      </c>
      <c r="T37" s="16">
        <f t="shared" ca="1" si="2"/>
        <v>141.60346469083578</v>
      </c>
      <c r="U37" s="16">
        <f t="shared" ca="1" si="3"/>
        <v>-0.77613507568957385</v>
      </c>
      <c r="V37" s="42">
        <f ca="1">IF(Energy!$F$11=1,Energy!$T$13,1)*T37*H37^U37</f>
        <v>8.6352594413906195E-3</v>
      </c>
      <c r="W37" s="10">
        <f ca="1">'Airfoil 1'!$B$48+'Airfoil 1'!$B$49*L37+'Airfoil 1'!$B$50*L37^2+'Airfoil 1'!$B$51*L37^3+'Airfoil 1'!$B$52*L37^4+'Airfoil 1'!$B$53*L37^5+'Airfoil 1'!$B$54*L37^6</f>
        <v>-0.155</v>
      </c>
      <c r="X37" s="42">
        <f ca="1">'Airfoil 1'!$B$56+'Airfoil 1'!$B$57*L37+'Airfoil 1'!$B$58*L37^2+'Airfoil 1'!$B$59*L37^3+'Airfoil 1'!$B$60*L37^4+'Airfoil 1'!$B$61*L37^5+'Airfoil 1'!$B$62*L37^6</f>
        <v>-0.155</v>
      </c>
      <c r="Y37" s="42">
        <f ca="1">'Airfoil 1'!$B$64+'Airfoil 1'!$B$65*L37+'Airfoil 1'!$B$66*L37^2+'Airfoil 1'!$B$67*L37^3+'Airfoil 1'!$B$681*L37^4+'Airfoil 1'!$B$69*L37^5+'Airfoil 1'!$B$70*L37^6</f>
        <v>-0.155</v>
      </c>
      <c r="Z37" s="16">
        <f>LOG('Airfoil 1'!$F$10)+LOG('Airfoil 1'!$G$10)+LOG('Airfoil 1'!$H$10)</f>
        <v>15.176091259055681</v>
      </c>
      <c r="AA37" s="16">
        <f t="shared" ca="1" si="4"/>
        <v>-2.4290049054891254</v>
      </c>
      <c r="AB37" s="16">
        <f>LOG('Airfoil 1'!$F$10)^2+LOG('Airfoil 1'!$G$10)^2+LOG('Airfoil 1'!$H$10)^2</f>
        <v>76.867141336751558</v>
      </c>
      <c r="AC37" s="16">
        <f ca="1">LOG('Airfoil 1'!$F$10)*LOG(ABS(W37))+LOG('Airfoil 1'!$G$10)*LOG(ABS(X37))+LOG('Airfoil 1'!$H$10)*LOG(ABS(Y37))</f>
        <v>-12.287600038132297</v>
      </c>
      <c r="AD37" s="16">
        <f t="shared" ca="1" si="5"/>
        <v>0.1550000000000121</v>
      </c>
      <c r="AE37" s="16">
        <f t="shared" ca="1" si="6"/>
        <v>-6.6718325633022456E-15</v>
      </c>
      <c r="AF37" s="42">
        <f t="shared" ca="1" si="7"/>
        <v>-0.15499999999999906</v>
      </c>
      <c r="AG37" s="16"/>
      <c r="AH37" s="42"/>
      <c r="AI37" s="16">
        <f ca="1">(L37-'Airfoil 1'!$Z$22)/ABS(L37-'Airfoil 1'!$Z$22)</f>
        <v>1</v>
      </c>
      <c r="AJ37" s="16">
        <f ca="1">(L37-'Airfoil 1'!$Z$23)/ABS(L37-'Airfoil 1'!$Z$23)</f>
        <v>1</v>
      </c>
      <c r="AK37" s="16">
        <f ca="1">(L37-'Airfoil 1'!$Z$24)/ABS(L37-'Airfoil 1'!$Z$24)</f>
        <v>1</v>
      </c>
      <c r="AL37" s="16">
        <f ca="1">(L37-'Airfoil 1'!$Z$25)/ABS(L37-'Airfoil 1'!$Z$25)</f>
        <v>1</v>
      </c>
      <c r="AM37" s="16">
        <f ca="1">(L37-'Airfoil 1'!$Z$26)/ABS(L37-'Airfoil 1'!$Z$26)</f>
        <v>1</v>
      </c>
      <c r="AN37" s="16">
        <f ca="1">(L37-'Airfoil 1'!$Z$27)/ABS(L37-'Airfoil 1'!$Z$27)</f>
        <v>1</v>
      </c>
      <c r="AO37" s="16">
        <f ca="1">(L37-'Airfoil 1'!$Z$28)/ABS(L37-'Airfoil 1'!$Z$28)</f>
        <v>1</v>
      </c>
      <c r="AP37" s="16">
        <f ca="1">(L37-'Airfoil 1'!$Z$29)/ABS(L37-'Airfoil 1'!$Z$29)</f>
        <v>-1</v>
      </c>
      <c r="AQ37" s="16">
        <f ca="1">(L37-'Airfoil 1'!$Z$30)/ABS(L37-'Airfoil 1'!$Z$30)</f>
        <v>-1</v>
      </c>
      <c r="AR37" s="16">
        <f ca="1">(L37-'Airfoil 1'!$Z$31)/ABS(L37-'Airfoil 1'!$Z$31)</f>
        <v>-1</v>
      </c>
      <c r="AS37" s="16">
        <f ca="1">(L37-'Airfoil 1'!$Z$32)/ABS(L37-'Airfoil 1'!$Z$32)</f>
        <v>-1</v>
      </c>
      <c r="AT37" s="16">
        <f ca="1">(L37-'Airfoil 1'!$Z$33)/ABS(L37-'Airfoil 1'!$Z$33)</f>
        <v>-1</v>
      </c>
      <c r="AU37" s="16">
        <f ca="1">(L37-'Airfoil 1'!$Z$34)/ABS(L37-'Airfoil 1'!$Z$34)</f>
        <v>-1</v>
      </c>
      <c r="AV37" s="16">
        <f ca="1">(L37-'Airfoil 1'!$Z$35)/ABS(L37-'Airfoil 1'!$Z$35)</f>
        <v>-1</v>
      </c>
      <c r="AW37" s="16">
        <f ca="1">(L37-'Airfoil 1'!$Z$36)/ABS(L37-'Airfoil 1'!$Z$36)</f>
        <v>-1</v>
      </c>
      <c r="AX37" s="16">
        <f ca="1">(L37-'Airfoil 1'!$Z$37)/ABS(L37-'Airfoil 1'!$Z$37)</f>
        <v>-1</v>
      </c>
      <c r="AY37" s="16">
        <f ca="1">(L37-'Airfoil 1'!$Z$38)/ABS(L37-'Airfoil 1'!$Z$38)</f>
        <v>-1</v>
      </c>
      <c r="AZ37" s="16">
        <f ca="1">(L37-'Airfoil 1'!$Z$39)/ABS(L37-'Airfoil 1'!$Z$39)</f>
        <v>-1</v>
      </c>
      <c r="BA37" s="16">
        <f ca="1">(L37-'Airfoil 1'!$Z$40)/ABS(L37-'Airfoil 1'!$Z$40)</f>
        <v>-1</v>
      </c>
      <c r="BB37" s="16">
        <f ca="1">(L37-'Airfoil 1'!$Z$41)/ABS(L37-'Airfoil 1'!$Z$41)</f>
        <v>-1</v>
      </c>
      <c r="BC37" s="5">
        <f t="shared" ca="1" si="8"/>
        <v>7</v>
      </c>
      <c r="BD37" s="42">
        <f ca="1">INDEX('Airfoil 1'!$AA$22:$AA$41,BC37,1)+INDEX('Airfoil 1'!$AB$22:$AB$41,BC37,1)*(L37-INDEX('Airfoil 1'!$Z$22:$Z$41,BC37,1))</f>
        <v>2.4489313868613138E-2</v>
      </c>
      <c r="BE37" s="6"/>
      <c r="BF37" s="16">
        <f ca="1">(L37-'Airfoil 1'!$Z$47)/ABS(L37-'Airfoil 1'!$Z$47)</f>
        <v>1</v>
      </c>
      <c r="BG37" s="16">
        <f ca="1">(L37-'Airfoil 1'!$Z$48)/ABS(L37-'Airfoil 1'!$Z$48)</f>
        <v>1</v>
      </c>
      <c r="BH37" s="16">
        <f ca="1">(L37-'Airfoil 1'!$Z$49)/ABS(L37-'Airfoil 1'!$Z$49)</f>
        <v>1</v>
      </c>
      <c r="BI37" s="16">
        <f ca="1">(L37-'Airfoil 1'!$Z$50)/ABS(L37-'Airfoil 1'!$Z$50)</f>
        <v>1</v>
      </c>
      <c r="BJ37" s="16">
        <f ca="1">(L37-'Airfoil 1'!$Z$51)/ABS(L37-'Airfoil 1'!$Z$51)</f>
        <v>1</v>
      </c>
      <c r="BK37" s="16">
        <f ca="1">(L37-'Airfoil 1'!$Z$52)/ABS(L37-'Airfoil 1'!$Z$52)</f>
        <v>1</v>
      </c>
      <c r="BL37" s="16">
        <f ca="1">(L37-'Airfoil 1'!$Z$53)/ABS(L37-'Airfoil 1'!$Z$53)</f>
        <v>-1</v>
      </c>
      <c r="BM37" s="16">
        <f ca="1">(L37-'Airfoil 1'!$Z$54)/ABS(L37-'Airfoil 1'!$Z$54)</f>
        <v>-1</v>
      </c>
      <c r="BN37" s="16">
        <f ca="1">(L37-'Airfoil 1'!$Z$55)/ABS(L37-'Airfoil 1'!$Z$55)</f>
        <v>-1</v>
      </c>
      <c r="BO37" s="16">
        <f ca="1">(L37-'Airfoil 1'!$Z$56)/ABS(L37-'Airfoil 1'!$Z$56)</f>
        <v>-1</v>
      </c>
      <c r="BP37" s="16">
        <f ca="1">(L37-'Airfoil 1'!$Z$57)/ABS(L37-'Airfoil 1'!$Z$57)</f>
        <v>-1</v>
      </c>
      <c r="BQ37" s="16">
        <f ca="1">(L37-'Airfoil 1'!$Z$58)/ABS(L37-'Airfoil 1'!$Z$58)</f>
        <v>-1</v>
      </c>
      <c r="BR37" s="16">
        <f ca="1">(L37-'Airfoil 1'!$Z$59)/ABS(L37-'Airfoil 1'!$Z$59)</f>
        <v>-1</v>
      </c>
      <c r="BS37" s="16">
        <f ca="1">(L37-'Airfoil 1'!$Z$60)/ABS(L37-'Airfoil 1'!$Z$60)</f>
        <v>-1</v>
      </c>
      <c r="BT37" s="16">
        <f ca="1">(L37-'Airfoil 1'!$Z$61)/ABS(L37-'Airfoil 1'!$Z$61)</f>
        <v>-1</v>
      </c>
      <c r="BU37" s="16">
        <f ca="1">(L37-'Airfoil 1'!$Z$62)/ABS(L37-'Airfoil 1'!$Z$62)</f>
        <v>-1</v>
      </c>
      <c r="BV37" s="16">
        <f ca="1">(L37-'Airfoil 1'!$Z$63)/ABS(L37-'Airfoil 1'!$Z$63)</f>
        <v>-1</v>
      </c>
      <c r="BW37" s="16">
        <f ca="1">(L37-'Airfoil 1'!$Z$64)/ABS(L37-'Airfoil 1'!$Z$64)</f>
        <v>-1</v>
      </c>
      <c r="BX37" s="16">
        <f ca="1">(L37-'Airfoil 1'!$Z$65)/ABS(L37-'Airfoil 1'!$Z$65)</f>
        <v>-1</v>
      </c>
      <c r="BY37" s="16">
        <f ca="1">(L37-'Airfoil 1'!$Z$66)/ABS(L37-'Airfoil 1'!$Z$66)</f>
        <v>-1</v>
      </c>
      <c r="BZ37" s="5">
        <f t="shared" ca="1" si="9"/>
        <v>6</v>
      </c>
      <c r="CA37" s="42">
        <f ca="1">INDEX('Airfoil 1'!$AA$47:$AA$66,BZ37,1)+INDEX('Airfoil 1'!$AB$47:$AB$66,BZ37,1)*(L37-INDEX('Airfoil 1'!$Z$47:$Z$66,BZ37,1))</f>
        <v>1.7370857855361597E-2</v>
      </c>
      <c r="CC37" s="16">
        <f ca="1">(L37-'Airfoil 1'!$Z$72)/ABS(L37-'Airfoil 1'!$Z$72)</f>
        <v>1</v>
      </c>
      <c r="CD37" s="16">
        <f ca="1">(L37-'Airfoil 1'!$Z$73)/ABS(L37-'Airfoil 1'!$Z$73)</f>
        <v>1</v>
      </c>
      <c r="CE37" s="16">
        <f ca="1">(L37-'Airfoil 1'!$Z$74)/ABS(L37-'Airfoil 1'!$Z$74)</f>
        <v>1</v>
      </c>
      <c r="CF37" s="16">
        <f ca="1">(L37-'Airfoil 1'!$Z$75)/ABS(L37-'Airfoil 1'!$Z$75)</f>
        <v>1</v>
      </c>
      <c r="CG37" s="16">
        <f ca="1">(L37-'Airfoil 1'!$Z$76)/ABS(L37-'Airfoil 1'!$Z$76)</f>
        <v>-1</v>
      </c>
      <c r="CH37" s="16">
        <f ca="1">(L37-'Airfoil 1'!$Z$77)/ABS(L37-'Airfoil 1'!$Z$77)</f>
        <v>-1</v>
      </c>
      <c r="CI37" s="16">
        <f ca="1">(L37-'Airfoil 1'!$Z$78)/ABS(L37-'Airfoil 1'!$Z$78)</f>
        <v>-1</v>
      </c>
      <c r="CJ37" s="16">
        <f ca="1">(L37-'Airfoil 1'!$Z$79)/ABS(L37-'Airfoil 1'!$Z$79)</f>
        <v>-1</v>
      </c>
      <c r="CK37" s="16">
        <f ca="1">(L37-'Airfoil 1'!$Z$80)/ABS(L37-'Airfoil 1'!$Z$80)</f>
        <v>-1</v>
      </c>
      <c r="CL37" s="16">
        <f ca="1">(L37-'Airfoil 1'!$Z$81)/ABS(L37-'Airfoil 1'!$Z$81)</f>
        <v>-1</v>
      </c>
      <c r="CM37" s="16">
        <f ca="1">(L37-'Airfoil 1'!$Z$82)/ABS(L37-'Airfoil 1'!$Z$82)</f>
        <v>-1</v>
      </c>
      <c r="CN37" s="16">
        <f ca="1">(L37-'Airfoil 1'!$Z$83)/ABS(L37-'Airfoil 1'!$Z$83)</f>
        <v>-1</v>
      </c>
      <c r="CO37" s="16">
        <f ca="1">(L37-'Airfoil 1'!$Z$84)/ABS(L37-'Airfoil 1'!$Z$84)</f>
        <v>-1</v>
      </c>
      <c r="CP37" s="16">
        <f ca="1">(L37-'Airfoil 1'!$Z$85)/ABS(L37-'Airfoil 1'!$Z$85)</f>
        <v>-1</v>
      </c>
      <c r="CQ37" s="16">
        <f ca="1">(L37-'Airfoil 1'!$Z$86)/ABS(L37-'Airfoil 1'!$Z$86)</f>
        <v>-1</v>
      </c>
      <c r="CR37" s="16">
        <f ca="1">(L37-'Airfoil 1'!$Z$87)/ABS(L37-'Airfoil 1'!$Z$87)</f>
        <v>-1</v>
      </c>
      <c r="CS37" s="16">
        <f ca="1">(L37-'Airfoil 1'!$Z$88)/ABS(L37-'Airfoil 1'!$Z$88)</f>
        <v>-1</v>
      </c>
      <c r="CT37" s="16">
        <f ca="1">(L37-'Airfoil 1'!$Z$89)/ABS(L37-'Airfoil 1'!$Z$89)</f>
        <v>-1</v>
      </c>
      <c r="CU37" s="16">
        <f ca="1">(L37-'Airfoil 1'!$Z$90)/ABS(L37-'Airfoil 1'!$Z$90)</f>
        <v>-1</v>
      </c>
      <c r="CV37" s="16">
        <f ca="1">(L37-'Airfoil 1'!$Z$91)/ABS(L37-'Airfoil 1'!$Z$91)</f>
        <v>-1</v>
      </c>
      <c r="CW37" s="5">
        <f t="shared" ca="1" si="10"/>
        <v>4</v>
      </c>
      <c r="CX37" s="42">
        <f ca="1">INDEX('Airfoil 1'!$AA$72:$AA$91,CW37,1)+INDEX('Airfoil 1'!$AB$72:$AB$91,CW37,1)*(L37-INDEX('Airfoil 1'!$Z$72:$Z$91,CW37,1))</f>
        <v>1.1110331491712706E-2</v>
      </c>
    </row>
    <row r="38" spans="2:102">
      <c r="B38" s="31">
        <f>Main!B38</f>
        <v>0.33333333333333326</v>
      </c>
      <c r="D38" s="1">
        <f>Cruise!F38</f>
        <v>0.65969672852566186</v>
      </c>
      <c r="E38" s="4">
        <f>ISA!$R$10</f>
        <v>1.5987591530356481E-5</v>
      </c>
      <c r="G38" s="13">
        <f ca="1">Cruise!X38</f>
        <v>21.913913889477552</v>
      </c>
      <c r="H38" s="5">
        <f t="shared" ca="1" si="0"/>
        <v>301411.61401394766</v>
      </c>
      <c r="I38" s="16">
        <f ca="1">'Airfoil 2'!$K$14*H38^'Airfoil 2'!$L$13</f>
        <v>1.579605663832558</v>
      </c>
      <c r="J38" s="1">
        <f ca="1">'Airfoil 2'!$K$33*H38^'Airfoil 2'!$L$32</f>
        <v>5.2929903038098889</v>
      </c>
      <c r="K38" s="13">
        <f ca="1">'Airfoil 2'!$K$52*H38^'Airfoil 2'!$L$51</f>
        <v>-8.2951266592083392</v>
      </c>
      <c r="L38" s="16">
        <f ca="1">'Aerodynamics-Cruise'!W38</f>
        <v>0.9</v>
      </c>
      <c r="M38" s="10">
        <f ca="1">('Airfoil 1'!$B$21+'Airfoil 1'!$B$22*L38+'Airfoil 1'!$B$23*L38^2+'Airfoil 1'!$B$24*L38^3+'Airfoil 1'!$B$25*L38^4+'Airfoil 1'!$B$26*L38^5+'Airfoil 1'!$B$27*L38^6)*0+BD38</f>
        <v>2.4489313868613138E-2</v>
      </c>
      <c r="N38" s="42">
        <f ca="1">('Airfoil 1'!$B$29+'Airfoil 1'!$B$30*L38+'Airfoil 1'!$B$31*L38^2+'Airfoil 1'!$B$32*L38^3+'Airfoil 1'!$B$33*L38^4+'Airfoil 1'!$B$34*L38^5+'Airfoil 1'!$B$35*L38^6)*0+CA38</f>
        <v>1.7370857855361597E-2</v>
      </c>
      <c r="O38" s="42">
        <f ca="1">('Airfoil 1'!$B$37+'Airfoil 1'!$B$38*L38+'Airfoil 1'!$B$39*L38^2+'Airfoil 1'!$B$40*L38^3+'Airfoil 1'!$B$41*L38^4+'Airfoil 1'!$B$42*L38^5+'Airfoil 1'!$B$43*L38^6)*0+CX38</f>
        <v>1.1110331491712706E-2</v>
      </c>
      <c r="P38" s="16">
        <f>LOG('Airfoil 1'!$F$10)+LOG('Airfoil 1'!$G$10)+LOG('Airfoil 1'!$H$10)</f>
        <v>15.176091259055681</v>
      </c>
      <c r="Q38" s="16">
        <f t="shared" ca="1" si="1"/>
        <v>-5.3254750991929125</v>
      </c>
      <c r="R38" s="16">
        <f>LOG('Airfoil 1'!$F$10)^2+LOG('Airfoil 1'!$G$10)^2+LOG('Airfoil 1'!$H$10)^2</f>
        <v>76.867141336751558</v>
      </c>
      <c r="S38" s="16">
        <f ca="1">LOG('Airfoil 1'!$F$10)*LOG(M38)+LOG('Airfoil 1'!$G$10)*LOG(N38)+LOG('Airfoil 1'!$H$10)*LOG(O38)</f>
        <v>-27.014391057528009</v>
      </c>
      <c r="T38" s="16">
        <f t="shared" ca="1" si="2"/>
        <v>141.60346469083578</v>
      </c>
      <c r="U38" s="16">
        <f t="shared" ca="1" si="3"/>
        <v>-0.77613507568957385</v>
      </c>
      <c r="V38" s="42">
        <f ca="1">IF(Energy!$F$11=1,Energy!$T$13,1)*T38*H38^U38</f>
        <v>8.7273869110982161E-3</v>
      </c>
      <c r="W38" s="10">
        <f ca="1">'Airfoil 1'!$B$48+'Airfoil 1'!$B$49*L38+'Airfoil 1'!$B$50*L38^2+'Airfoil 1'!$B$51*L38^3+'Airfoil 1'!$B$52*L38^4+'Airfoil 1'!$B$53*L38^5+'Airfoil 1'!$B$54*L38^6</f>
        <v>-0.155</v>
      </c>
      <c r="X38" s="42">
        <f ca="1">'Airfoil 1'!$B$56+'Airfoil 1'!$B$57*L38+'Airfoil 1'!$B$58*L38^2+'Airfoil 1'!$B$59*L38^3+'Airfoil 1'!$B$60*L38^4+'Airfoil 1'!$B$61*L38^5+'Airfoil 1'!$B$62*L38^6</f>
        <v>-0.155</v>
      </c>
      <c r="Y38" s="42">
        <f ca="1">'Airfoil 1'!$B$64+'Airfoil 1'!$B$65*L38+'Airfoil 1'!$B$66*L38^2+'Airfoil 1'!$B$67*L38^3+'Airfoil 1'!$B$681*L38^4+'Airfoil 1'!$B$69*L38^5+'Airfoil 1'!$B$70*L38^6</f>
        <v>-0.155</v>
      </c>
      <c r="Z38" s="16">
        <f>LOG('Airfoil 1'!$F$10)+LOG('Airfoil 1'!$G$10)+LOG('Airfoil 1'!$H$10)</f>
        <v>15.176091259055681</v>
      </c>
      <c r="AA38" s="16">
        <f t="shared" ca="1" si="4"/>
        <v>-2.4290049054891254</v>
      </c>
      <c r="AB38" s="16">
        <f>LOG('Airfoil 1'!$F$10)^2+LOG('Airfoil 1'!$G$10)^2+LOG('Airfoil 1'!$H$10)^2</f>
        <v>76.867141336751558</v>
      </c>
      <c r="AC38" s="16">
        <f ca="1">LOG('Airfoil 1'!$F$10)*LOG(ABS(W38))+LOG('Airfoil 1'!$G$10)*LOG(ABS(X38))+LOG('Airfoil 1'!$H$10)*LOG(ABS(Y38))</f>
        <v>-12.287600038132297</v>
      </c>
      <c r="AD38" s="16">
        <f t="shared" ca="1" si="5"/>
        <v>0.1550000000000121</v>
      </c>
      <c r="AE38" s="16">
        <f t="shared" ca="1" si="6"/>
        <v>-6.6718325633022456E-15</v>
      </c>
      <c r="AF38" s="42">
        <f t="shared" ca="1" si="7"/>
        <v>-0.15499999999999906</v>
      </c>
      <c r="AG38" s="16"/>
      <c r="AH38" s="42"/>
      <c r="AI38" s="16">
        <f ca="1">(L38-'Airfoil 1'!$Z$22)/ABS(L38-'Airfoil 1'!$Z$22)</f>
        <v>1</v>
      </c>
      <c r="AJ38" s="16">
        <f ca="1">(L38-'Airfoil 1'!$Z$23)/ABS(L38-'Airfoil 1'!$Z$23)</f>
        <v>1</v>
      </c>
      <c r="AK38" s="16">
        <f ca="1">(L38-'Airfoil 1'!$Z$24)/ABS(L38-'Airfoil 1'!$Z$24)</f>
        <v>1</v>
      </c>
      <c r="AL38" s="16">
        <f ca="1">(L38-'Airfoil 1'!$Z$25)/ABS(L38-'Airfoil 1'!$Z$25)</f>
        <v>1</v>
      </c>
      <c r="AM38" s="16">
        <f ca="1">(L38-'Airfoil 1'!$Z$26)/ABS(L38-'Airfoil 1'!$Z$26)</f>
        <v>1</v>
      </c>
      <c r="AN38" s="16">
        <f ca="1">(L38-'Airfoil 1'!$Z$27)/ABS(L38-'Airfoil 1'!$Z$27)</f>
        <v>1</v>
      </c>
      <c r="AO38" s="16">
        <f ca="1">(L38-'Airfoil 1'!$Z$28)/ABS(L38-'Airfoil 1'!$Z$28)</f>
        <v>1</v>
      </c>
      <c r="AP38" s="16">
        <f ca="1">(L38-'Airfoil 1'!$Z$29)/ABS(L38-'Airfoil 1'!$Z$29)</f>
        <v>-1</v>
      </c>
      <c r="AQ38" s="16">
        <f ca="1">(L38-'Airfoil 1'!$Z$30)/ABS(L38-'Airfoil 1'!$Z$30)</f>
        <v>-1</v>
      </c>
      <c r="AR38" s="16">
        <f ca="1">(L38-'Airfoil 1'!$Z$31)/ABS(L38-'Airfoil 1'!$Z$31)</f>
        <v>-1</v>
      </c>
      <c r="AS38" s="16">
        <f ca="1">(L38-'Airfoil 1'!$Z$32)/ABS(L38-'Airfoil 1'!$Z$32)</f>
        <v>-1</v>
      </c>
      <c r="AT38" s="16">
        <f ca="1">(L38-'Airfoil 1'!$Z$33)/ABS(L38-'Airfoil 1'!$Z$33)</f>
        <v>-1</v>
      </c>
      <c r="AU38" s="16">
        <f ca="1">(L38-'Airfoil 1'!$Z$34)/ABS(L38-'Airfoil 1'!$Z$34)</f>
        <v>-1</v>
      </c>
      <c r="AV38" s="16">
        <f ca="1">(L38-'Airfoil 1'!$Z$35)/ABS(L38-'Airfoil 1'!$Z$35)</f>
        <v>-1</v>
      </c>
      <c r="AW38" s="16">
        <f ca="1">(L38-'Airfoil 1'!$Z$36)/ABS(L38-'Airfoil 1'!$Z$36)</f>
        <v>-1</v>
      </c>
      <c r="AX38" s="16">
        <f ca="1">(L38-'Airfoil 1'!$Z$37)/ABS(L38-'Airfoil 1'!$Z$37)</f>
        <v>-1</v>
      </c>
      <c r="AY38" s="16">
        <f ca="1">(L38-'Airfoil 1'!$Z$38)/ABS(L38-'Airfoil 1'!$Z$38)</f>
        <v>-1</v>
      </c>
      <c r="AZ38" s="16">
        <f ca="1">(L38-'Airfoil 1'!$Z$39)/ABS(L38-'Airfoil 1'!$Z$39)</f>
        <v>-1</v>
      </c>
      <c r="BA38" s="16">
        <f ca="1">(L38-'Airfoil 1'!$Z$40)/ABS(L38-'Airfoil 1'!$Z$40)</f>
        <v>-1</v>
      </c>
      <c r="BB38" s="16">
        <f ca="1">(L38-'Airfoil 1'!$Z$41)/ABS(L38-'Airfoil 1'!$Z$41)</f>
        <v>-1</v>
      </c>
      <c r="BC38" s="5">
        <f t="shared" ca="1" si="8"/>
        <v>7</v>
      </c>
      <c r="BD38" s="42">
        <f ca="1">INDEX('Airfoil 1'!$AA$22:$AA$41,BC38,1)+INDEX('Airfoil 1'!$AB$22:$AB$41,BC38,1)*(L38-INDEX('Airfoil 1'!$Z$22:$Z$41,BC38,1))</f>
        <v>2.4489313868613138E-2</v>
      </c>
      <c r="BE38" s="6"/>
      <c r="BF38" s="16">
        <f ca="1">(L38-'Airfoil 1'!$Z$47)/ABS(L38-'Airfoil 1'!$Z$47)</f>
        <v>1</v>
      </c>
      <c r="BG38" s="16">
        <f ca="1">(L38-'Airfoil 1'!$Z$48)/ABS(L38-'Airfoil 1'!$Z$48)</f>
        <v>1</v>
      </c>
      <c r="BH38" s="16">
        <f ca="1">(L38-'Airfoil 1'!$Z$49)/ABS(L38-'Airfoil 1'!$Z$49)</f>
        <v>1</v>
      </c>
      <c r="BI38" s="16">
        <f ca="1">(L38-'Airfoil 1'!$Z$50)/ABS(L38-'Airfoil 1'!$Z$50)</f>
        <v>1</v>
      </c>
      <c r="BJ38" s="16">
        <f ca="1">(L38-'Airfoil 1'!$Z$51)/ABS(L38-'Airfoil 1'!$Z$51)</f>
        <v>1</v>
      </c>
      <c r="BK38" s="16">
        <f ca="1">(L38-'Airfoil 1'!$Z$52)/ABS(L38-'Airfoil 1'!$Z$52)</f>
        <v>1</v>
      </c>
      <c r="BL38" s="16">
        <f ca="1">(L38-'Airfoil 1'!$Z$53)/ABS(L38-'Airfoil 1'!$Z$53)</f>
        <v>-1</v>
      </c>
      <c r="BM38" s="16">
        <f ca="1">(L38-'Airfoil 1'!$Z$54)/ABS(L38-'Airfoil 1'!$Z$54)</f>
        <v>-1</v>
      </c>
      <c r="BN38" s="16">
        <f ca="1">(L38-'Airfoil 1'!$Z$55)/ABS(L38-'Airfoil 1'!$Z$55)</f>
        <v>-1</v>
      </c>
      <c r="BO38" s="16">
        <f ca="1">(L38-'Airfoil 1'!$Z$56)/ABS(L38-'Airfoil 1'!$Z$56)</f>
        <v>-1</v>
      </c>
      <c r="BP38" s="16">
        <f ca="1">(L38-'Airfoil 1'!$Z$57)/ABS(L38-'Airfoil 1'!$Z$57)</f>
        <v>-1</v>
      </c>
      <c r="BQ38" s="16">
        <f ca="1">(L38-'Airfoil 1'!$Z$58)/ABS(L38-'Airfoil 1'!$Z$58)</f>
        <v>-1</v>
      </c>
      <c r="BR38" s="16">
        <f ca="1">(L38-'Airfoil 1'!$Z$59)/ABS(L38-'Airfoil 1'!$Z$59)</f>
        <v>-1</v>
      </c>
      <c r="BS38" s="16">
        <f ca="1">(L38-'Airfoil 1'!$Z$60)/ABS(L38-'Airfoil 1'!$Z$60)</f>
        <v>-1</v>
      </c>
      <c r="BT38" s="16">
        <f ca="1">(L38-'Airfoil 1'!$Z$61)/ABS(L38-'Airfoil 1'!$Z$61)</f>
        <v>-1</v>
      </c>
      <c r="BU38" s="16">
        <f ca="1">(L38-'Airfoil 1'!$Z$62)/ABS(L38-'Airfoil 1'!$Z$62)</f>
        <v>-1</v>
      </c>
      <c r="BV38" s="16">
        <f ca="1">(L38-'Airfoil 1'!$Z$63)/ABS(L38-'Airfoil 1'!$Z$63)</f>
        <v>-1</v>
      </c>
      <c r="BW38" s="16">
        <f ca="1">(L38-'Airfoil 1'!$Z$64)/ABS(L38-'Airfoil 1'!$Z$64)</f>
        <v>-1</v>
      </c>
      <c r="BX38" s="16">
        <f ca="1">(L38-'Airfoil 1'!$Z$65)/ABS(L38-'Airfoil 1'!$Z$65)</f>
        <v>-1</v>
      </c>
      <c r="BY38" s="16">
        <f ca="1">(L38-'Airfoil 1'!$Z$66)/ABS(L38-'Airfoil 1'!$Z$66)</f>
        <v>-1</v>
      </c>
      <c r="BZ38" s="5">
        <f t="shared" ca="1" si="9"/>
        <v>6</v>
      </c>
      <c r="CA38" s="42">
        <f ca="1">INDEX('Airfoil 1'!$AA$47:$AA$66,BZ38,1)+INDEX('Airfoil 1'!$AB$47:$AB$66,BZ38,1)*(L38-INDEX('Airfoil 1'!$Z$47:$Z$66,BZ38,1))</f>
        <v>1.7370857855361597E-2</v>
      </c>
      <c r="CC38" s="16">
        <f ca="1">(L38-'Airfoil 1'!$Z$72)/ABS(L38-'Airfoil 1'!$Z$72)</f>
        <v>1</v>
      </c>
      <c r="CD38" s="16">
        <f ca="1">(L38-'Airfoil 1'!$Z$73)/ABS(L38-'Airfoil 1'!$Z$73)</f>
        <v>1</v>
      </c>
      <c r="CE38" s="16">
        <f ca="1">(L38-'Airfoil 1'!$Z$74)/ABS(L38-'Airfoil 1'!$Z$74)</f>
        <v>1</v>
      </c>
      <c r="CF38" s="16">
        <f ca="1">(L38-'Airfoil 1'!$Z$75)/ABS(L38-'Airfoil 1'!$Z$75)</f>
        <v>1</v>
      </c>
      <c r="CG38" s="16">
        <f ca="1">(L38-'Airfoil 1'!$Z$76)/ABS(L38-'Airfoil 1'!$Z$76)</f>
        <v>-1</v>
      </c>
      <c r="CH38" s="16">
        <f ca="1">(L38-'Airfoil 1'!$Z$77)/ABS(L38-'Airfoil 1'!$Z$77)</f>
        <v>-1</v>
      </c>
      <c r="CI38" s="16">
        <f ca="1">(L38-'Airfoil 1'!$Z$78)/ABS(L38-'Airfoil 1'!$Z$78)</f>
        <v>-1</v>
      </c>
      <c r="CJ38" s="16">
        <f ca="1">(L38-'Airfoil 1'!$Z$79)/ABS(L38-'Airfoil 1'!$Z$79)</f>
        <v>-1</v>
      </c>
      <c r="CK38" s="16">
        <f ca="1">(L38-'Airfoil 1'!$Z$80)/ABS(L38-'Airfoil 1'!$Z$80)</f>
        <v>-1</v>
      </c>
      <c r="CL38" s="16">
        <f ca="1">(L38-'Airfoil 1'!$Z$81)/ABS(L38-'Airfoil 1'!$Z$81)</f>
        <v>-1</v>
      </c>
      <c r="CM38" s="16">
        <f ca="1">(L38-'Airfoil 1'!$Z$82)/ABS(L38-'Airfoil 1'!$Z$82)</f>
        <v>-1</v>
      </c>
      <c r="CN38" s="16">
        <f ca="1">(L38-'Airfoil 1'!$Z$83)/ABS(L38-'Airfoil 1'!$Z$83)</f>
        <v>-1</v>
      </c>
      <c r="CO38" s="16">
        <f ca="1">(L38-'Airfoil 1'!$Z$84)/ABS(L38-'Airfoil 1'!$Z$84)</f>
        <v>-1</v>
      </c>
      <c r="CP38" s="16">
        <f ca="1">(L38-'Airfoil 1'!$Z$85)/ABS(L38-'Airfoil 1'!$Z$85)</f>
        <v>-1</v>
      </c>
      <c r="CQ38" s="16">
        <f ca="1">(L38-'Airfoil 1'!$Z$86)/ABS(L38-'Airfoil 1'!$Z$86)</f>
        <v>-1</v>
      </c>
      <c r="CR38" s="16">
        <f ca="1">(L38-'Airfoil 1'!$Z$87)/ABS(L38-'Airfoil 1'!$Z$87)</f>
        <v>-1</v>
      </c>
      <c r="CS38" s="16">
        <f ca="1">(L38-'Airfoil 1'!$Z$88)/ABS(L38-'Airfoil 1'!$Z$88)</f>
        <v>-1</v>
      </c>
      <c r="CT38" s="16">
        <f ca="1">(L38-'Airfoil 1'!$Z$89)/ABS(L38-'Airfoil 1'!$Z$89)</f>
        <v>-1</v>
      </c>
      <c r="CU38" s="16">
        <f ca="1">(L38-'Airfoil 1'!$Z$90)/ABS(L38-'Airfoil 1'!$Z$90)</f>
        <v>-1</v>
      </c>
      <c r="CV38" s="16">
        <f ca="1">(L38-'Airfoil 1'!$Z$91)/ABS(L38-'Airfoil 1'!$Z$91)</f>
        <v>-1</v>
      </c>
      <c r="CW38" s="5">
        <f t="shared" ca="1" si="10"/>
        <v>4</v>
      </c>
      <c r="CX38" s="42">
        <f ca="1">INDEX('Airfoil 1'!$AA$72:$AA$91,CW38,1)+INDEX('Airfoil 1'!$AB$72:$AB$91,CW38,1)*(L38-INDEX('Airfoil 1'!$Z$72:$Z$91,CW38,1))</f>
        <v>1.1110331491712706E-2</v>
      </c>
    </row>
    <row r="39" spans="2:102">
      <c r="B39" s="31">
        <f>Main!B39</f>
        <v>0.33333333333333326</v>
      </c>
      <c r="D39" s="1">
        <f>Cruise!F39</f>
        <v>0.65969672852566186</v>
      </c>
      <c r="E39" s="4">
        <f>ISA!$R$10</f>
        <v>1.5987591530356481E-5</v>
      </c>
      <c r="G39" s="13">
        <f ca="1">Cruise!X39</f>
        <v>21.626815672381081</v>
      </c>
      <c r="H39" s="5">
        <f t="shared" ca="1" si="0"/>
        <v>297462.76501180185</v>
      </c>
      <c r="I39" s="16">
        <f ca="1">'Airfoil 2'!$K$14*H39^'Airfoil 2'!$L$13</f>
        <v>1.5793161047337951</v>
      </c>
      <c r="J39" s="1">
        <f ca="1">'Airfoil 2'!$K$33*H39^'Airfoil 2'!$L$32</f>
        <v>5.3165202356346235</v>
      </c>
      <c r="K39" s="13">
        <f ca="1">'Airfoil 2'!$K$52*H39^'Airfoil 2'!$L$51</f>
        <v>-8.2222909309134753</v>
      </c>
      <c r="L39" s="16">
        <f ca="1">'Aerodynamics-Cruise'!W39</f>
        <v>0.9</v>
      </c>
      <c r="M39" s="10">
        <f ca="1">('Airfoil 1'!$B$21+'Airfoil 1'!$B$22*L39+'Airfoil 1'!$B$23*L39^2+'Airfoil 1'!$B$24*L39^3+'Airfoil 1'!$B$25*L39^4+'Airfoil 1'!$B$26*L39^5+'Airfoil 1'!$B$27*L39^6)*0+BD39</f>
        <v>2.4489313868613138E-2</v>
      </c>
      <c r="N39" s="42">
        <f ca="1">('Airfoil 1'!$B$29+'Airfoil 1'!$B$30*L39+'Airfoil 1'!$B$31*L39^2+'Airfoil 1'!$B$32*L39^3+'Airfoil 1'!$B$33*L39^4+'Airfoil 1'!$B$34*L39^5+'Airfoil 1'!$B$35*L39^6)*0+CA39</f>
        <v>1.7370857855361597E-2</v>
      </c>
      <c r="O39" s="42">
        <f ca="1">('Airfoil 1'!$B$37+'Airfoil 1'!$B$38*L39+'Airfoil 1'!$B$39*L39^2+'Airfoil 1'!$B$40*L39^3+'Airfoil 1'!$B$41*L39^4+'Airfoil 1'!$B$42*L39^5+'Airfoil 1'!$B$43*L39^6)*0+CX39</f>
        <v>1.1110331491712706E-2</v>
      </c>
      <c r="P39" s="16">
        <f>LOG('Airfoil 1'!$F$10)+LOG('Airfoil 1'!$G$10)+LOG('Airfoil 1'!$H$10)</f>
        <v>15.176091259055681</v>
      </c>
      <c r="Q39" s="16">
        <f t="shared" ca="1" si="1"/>
        <v>-5.3254750991929125</v>
      </c>
      <c r="R39" s="16">
        <f>LOG('Airfoil 1'!$F$10)^2+LOG('Airfoil 1'!$G$10)^2+LOG('Airfoil 1'!$H$10)^2</f>
        <v>76.867141336751558</v>
      </c>
      <c r="S39" s="16">
        <f ca="1">LOG('Airfoil 1'!$F$10)*LOG(M39)+LOG('Airfoil 1'!$G$10)*LOG(N39)+LOG('Airfoil 1'!$H$10)*LOG(O39)</f>
        <v>-27.014391057528009</v>
      </c>
      <c r="T39" s="16">
        <f t="shared" ca="1" si="2"/>
        <v>141.60346469083578</v>
      </c>
      <c r="U39" s="16">
        <f t="shared" ca="1" si="3"/>
        <v>-0.77613507568957385</v>
      </c>
      <c r="V39" s="42">
        <f ca="1">IF(Energy!$F$11=1,Energy!$T$13,1)*T39*H39^U39</f>
        <v>8.8171746691044113E-3</v>
      </c>
      <c r="W39" s="10">
        <f ca="1">'Airfoil 1'!$B$48+'Airfoil 1'!$B$49*L39+'Airfoil 1'!$B$50*L39^2+'Airfoil 1'!$B$51*L39^3+'Airfoil 1'!$B$52*L39^4+'Airfoil 1'!$B$53*L39^5+'Airfoil 1'!$B$54*L39^6</f>
        <v>-0.155</v>
      </c>
      <c r="X39" s="42">
        <f ca="1">'Airfoil 1'!$B$56+'Airfoil 1'!$B$57*L39+'Airfoil 1'!$B$58*L39^2+'Airfoil 1'!$B$59*L39^3+'Airfoil 1'!$B$60*L39^4+'Airfoil 1'!$B$61*L39^5+'Airfoil 1'!$B$62*L39^6</f>
        <v>-0.155</v>
      </c>
      <c r="Y39" s="42">
        <f ca="1">'Airfoil 1'!$B$64+'Airfoil 1'!$B$65*L39+'Airfoil 1'!$B$66*L39^2+'Airfoil 1'!$B$67*L39^3+'Airfoil 1'!$B$681*L39^4+'Airfoil 1'!$B$69*L39^5+'Airfoil 1'!$B$70*L39^6</f>
        <v>-0.155</v>
      </c>
      <c r="Z39" s="16">
        <f>LOG('Airfoil 1'!$F$10)+LOG('Airfoil 1'!$G$10)+LOG('Airfoil 1'!$H$10)</f>
        <v>15.176091259055681</v>
      </c>
      <c r="AA39" s="16">
        <f t="shared" ca="1" si="4"/>
        <v>-2.4290049054891254</v>
      </c>
      <c r="AB39" s="16">
        <f>LOG('Airfoil 1'!$F$10)^2+LOG('Airfoil 1'!$G$10)^2+LOG('Airfoil 1'!$H$10)^2</f>
        <v>76.867141336751558</v>
      </c>
      <c r="AC39" s="16">
        <f ca="1">LOG('Airfoil 1'!$F$10)*LOG(ABS(W39))+LOG('Airfoil 1'!$G$10)*LOG(ABS(X39))+LOG('Airfoil 1'!$H$10)*LOG(ABS(Y39))</f>
        <v>-12.287600038132297</v>
      </c>
      <c r="AD39" s="16">
        <f t="shared" ca="1" si="5"/>
        <v>0.1550000000000121</v>
      </c>
      <c r="AE39" s="16">
        <f t="shared" ca="1" si="6"/>
        <v>-6.6718325633022456E-15</v>
      </c>
      <c r="AF39" s="42">
        <f t="shared" ca="1" si="7"/>
        <v>-0.15499999999999906</v>
      </c>
      <c r="AG39" s="16"/>
      <c r="AH39" s="42"/>
      <c r="AI39" s="16">
        <f ca="1">(L39-'Airfoil 1'!$Z$22)/ABS(L39-'Airfoil 1'!$Z$22)</f>
        <v>1</v>
      </c>
      <c r="AJ39" s="16">
        <f ca="1">(L39-'Airfoil 1'!$Z$23)/ABS(L39-'Airfoil 1'!$Z$23)</f>
        <v>1</v>
      </c>
      <c r="AK39" s="16">
        <f ca="1">(L39-'Airfoil 1'!$Z$24)/ABS(L39-'Airfoil 1'!$Z$24)</f>
        <v>1</v>
      </c>
      <c r="AL39" s="16">
        <f ca="1">(L39-'Airfoil 1'!$Z$25)/ABS(L39-'Airfoil 1'!$Z$25)</f>
        <v>1</v>
      </c>
      <c r="AM39" s="16">
        <f ca="1">(L39-'Airfoil 1'!$Z$26)/ABS(L39-'Airfoil 1'!$Z$26)</f>
        <v>1</v>
      </c>
      <c r="AN39" s="16">
        <f ca="1">(L39-'Airfoil 1'!$Z$27)/ABS(L39-'Airfoil 1'!$Z$27)</f>
        <v>1</v>
      </c>
      <c r="AO39" s="16">
        <f ca="1">(L39-'Airfoil 1'!$Z$28)/ABS(L39-'Airfoil 1'!$Z$28)</f>
        <v>1</v>
      </c>
      <c r="AP39" s="16">
        <f ca="1">(L39-'Airfoil 1'!$Z$29)/ABS(L39-'Airfoil 1'!$Z$29)</f>
        <v>-1</v>
      </c>
      <c r="AQ39" s="16">
        <f ca="1">(L39-'Airfoil 1'!$Z$30)/ABS(L39-'Airfoil 1'!$Z$30)</f>
        <v>-1</v>
      </c>
      <c r="AR39" s="16">
        <f ca="1">(L39-'Airfoil 1'!$Z$31)/ABS(L39-'Airfoil 1'!$Z$31)</f>
        <v>-1</v>
      </c>
      <c r="AS39" s="16">
        <f ca="1">(L39-'Airfoil 1'!$Z$32)/ABS(L39-'Airfoil 1'!$Z$32)</f>
        <v>-1</v>
      </c>
      <c r="AT39" s="16">
        <f ca="1">(L39-'Airfoil 1'!$Z$33)/ABS(L39-'Airfoil 1'!$Z$33)</f>
        <v>-1</v>
      </c>
      <c r="AU39" s="16">
        <f ca="1">(L39-'Airfoil 1'!$Z$34)/ABS(L39-'Airfoil 1'!$Z$34)</f>
        <v>-1</v>
      </c>
      <c r="AV39" s="16">
        <f ca="1">(L39-'Airfoil 1'!$Z$35)/ABS(L39-'Airfoil 1'!$Z$35)</f>
        <v>-1</v>
      </c>
      <c r="AW39" s="16">
        <f ca="1">(L39-'Airfoil 1'!$Z$36)/ABS(L39-'Airfoil 1'!$Z$36)</f>
        <v>-1</v>
      </c>
      <c r="AX39" s="16">
        <f ca="1">(L39-'Airfoil 1'!$Z$37)/ABS(L39-'Airfoil 1'!$Z$37)</f>
        <v>-1</v>
      </c>
      <c r="AY39" s="16">
        <f ca="1">(L39-'Airfoil 1'!$Z$38)/ABS(L39-'Airfoil 1'!$Z$38)</f>
        <v>-1</v>
      </c>
      <c r="AZ39" s="16">
        <f ca="1">(L39-'Airfoil 1'!$Z$39)/ABS(L39-'Airfoil 1'!$Z$39)</f>
        <v>-1</v>
      </c>
      <c r="BA39" s="16">
        <f ca="1">(L39-'Airfoil 1'!$Z$40)/ABS(L39-'Airfoil 1'!$Z$40)</f>
        <v>-1</v>
      </c>
      <c r="BB39" s="16">
        <f ca="1">(L39-'Airfoil 1'!$Z$41)/ABS(L39-'Airfoil 1'!$Z$41)</f>
        <v>-1</v>
      </c>
      <c r="BC39" s="5">
        <f t="shared" ca="1" si="8"/>
        <v>7</v>
      </c>
      <c r="BD39" s="42">
        <f ca="1">INDEX('Airfoil 1'!$AA$22:$AA$41,BC39,1)+INDEX('Airfoil 1'!$AB$22:$AB$41,BC39,1)*(L39-INDEX('Airfoil 1'!$Z$22:$Z$41,BC39,1))</f>
        <v>2.4489313868613138E-2</v>
      </c>
      <c r="BE39" s="6"/>
      <c r="BF39" s="16">
        <f ca="1">(L39-'Airfoil 1'!$Z$47)/ABS(L39-'Airfoil 1'!$Z$47)</f>
        <v>1</v>
      </c>
      <c r="BG39" s="16">
        <f ca="1">(L39-'Airfoil 1'!$Z$48)/ABS(L39-'Airfoil 1'!$Z$48)</f>
        <v>1</v>
      </c>
      <c r="BH39" s="16">
        <f ca="1">(L39-'Airfoil 1'!$Z$49)/ABS(L39-'Airfoil 1'!$Z$49)</f>
        <v>1</v>
      </c>
      <c r="BI39" s="16">
        <f ca="1">(L39-'Airfoil 1'!$Z$50)/ABS(L39-'Airfoil 1'!$Z$50)</f>
        <v>1</v>
      </c>
      <c r="BJ39" s="16">
        <f ca="1">(L39-'Airfoil 1'!$Z$51)/ABS(L39-'Airfoil 1'!$Z$51)</f>
        <v>1</v>
      </c>
      <c r="BK39" s="16">
        <f ca="1">(L39-'Airfoil 1'!$Z$52)/ABS(L39-'Airfoil 1'!$Z$52)</f>
        <v>1</v>
      </c>
      <c r="BL39" s="16">
        <f ca="1">(L39-'Airfoil 1'!$Z$53)/ABS(L39-'Airfoil 1'!$Z$53)</f>
        <v>-1</v>
      </c>
      <c r="BM39" s="16">
        <f ca="1">(L39-'Airfoil 1'!$Z$54)/ABS(L39-'Airfoil 1'!$Z$54)</f>
        <v>-1</v>
      </c>
      <c r="BN39" s="16">
        <f ca="1">(L39-'Airfoil 1'!$Z$55)/ABS(L39-'Airfoil 1'!$Z$55)</f>
        <v>-1</v>
      </c>
      <c r="BO39" s="16">
        <f ca="1">(L39-'Airfoil 1'!$Z$56)/ABS(L39-'Airfoil 1'!$Z$56)</f>
        <v>-1</v>
      </c>
      <c r="BP39" s="16">
        <f ca="1">(L39-'Airfoil 1'!$Z$57)/ABS(L39-'Airfoil 1'!$Z$57)</f>
        <v>-1</v>
      </c>
      <c r="BQ39" s="16">
        <f ca="1">(L39-'Airfoil 1'!$Z$58)/ABS(L39-'Airfoil 1'!$Z$58)</f>
        <v>-1</v>
      </c>
      <c r="BR39" s="16">
        <f ca="1">(L39-'Airfoil 1'!$Z$59)/ABS(L39-'Airfoil 1'!$Z$59)</f>
        <v>-1</v>
      </c>
      <c r="BS39" s="16">
        <f ca="1">(L39-'Airfoil 1'!$Z$60)/ABS(L39-'Airfoil 1'!$Z$60)</f>
        <v>-1</v>
      </c>
      <c r="BT39" s="16">
        <f ca="1">(L39-'Airfoil 1'!$Z$61)/ABS(L39-'Airfoil 1'!$Z$61)</f>
        <v>-1</v>
      </c>
      <c r="BU39" s="16">
        <f ca="1">(L39-'Airfoil 1'!$Z$62)/ABS(L39-'Airfoil 1'!$Z$62)</f>
        <v>-1</v>
      </c>
      <c r="BV39" s="16">
        <f ca="1">(L39-'Airfoil 1'!$Z$63)/ABS(L39-'Airfoil 1'!$Z$63)</f>
        <v>-1</v>
      </c>
      <c r="BW39" s="16">
        <f ca="1">(L39-'Airfoil 1'!$Z$64)/ABS(L39-'Airfoil 1'!$Z$64)</f>
        <v>-1</v>
      </c>
      <c r="BX39" s="16">
        <f ca="1">(L39-'Airfoil 1'!$Z$65)/ABS(L39-'Airfoil 1'!$Z$65)</f>
        <v>-1</v>
      </c>
      <c r="BY39" s="16">
        <f ca="1">(L39-'Airfoil 1'!$Z$66)/ABS(L39-'Airfoil 1'!$Z$66)</f>
        <v>-1</v>
      </c>
      <c r="BZ39" s="5">
        <f t="shared" ca="1" si="9"/>
        <v>6</v>
      </c>
      <c r="CA39" s="42">
        <f ca="1">INDEX('Airfoil 1'!$AA$47:$AA$66,BZ39,1)+INDEX('Airfoil 1'!$AB$47:$AB$66,BZ39,1)*(L39-INDEX('Airfoil 1'!$Z$47:$Z$66,BZ39,1))</f>
        <v>1.7370857855361597E-2</v>
      </c>
      <c r="CC39" s="16">
        <f ca="1">(L39-'Airfoil 1'!$Z$72)/ABS(L39-'Airfoil 1'!$Z$72)</f>
        <v>1</v>
      </c>
      <c r="CD39" s="16">
        <f ca="1">(L39-'Airfoil 1'!$Z$73)/ABS(L39-'Airfoil 1'!$Z$73)</f>
        <v>1</v>
      </c>
      <c r="CE39" s="16">
        <f ca="1">(L39-'Airfoil 1'!$Z$74)/ABS(L39-'Airfoil 1'!$Z$74)</f>
        <v>1</v>
      </c>
      <c r="CF39" s="16">
        <f ca="1">(L39-'Airfoil 1'!$Z$75)/ABS(L39-'Airfoil 1'!$Z$75)</f>
        <v>1</v>
      </c>
      <c r="CG39" s="16">
        <f ca="1">(L39-'Airfoil 1'!$Z$76)/ABS(L39-'Airfoil 1'!$Z$76)</f>
        <v>-1</v>
      </c>
      <c r="CH39" s="16">
        <f ca="1">(L39-'Airfoil 1'!$Z$77)/ABS(L39-'Airfoil 1'!$Z$77)</f>
        <v>-1</v>
      </c>
      <c r="CI39" s="16">
        <f ca="1">(L39-'Airfoil 1'!$Z$78)/ABS(L39-'Airfoil 1'!$Z$78)</f>
        <v>-1</v>
      </c>
      <c r="CJ39" s="16">
        <f ca="1">(L39-'Airfoil 1'!$Z$79)/ABS(L39-'Airfoil 1'!$Z$79)</f>
        <v>-1</v>
      </c>
      <c r="CK39" s="16">
        <f ca="1">(L39-'Airfoil 1'!$Z$80)/ABS(L39-'Airfoil 1'!$Z$80)</f>
        <v>-1</v>
      </c>
      <c r="CL39" s="16">
        <f ca="1">(L39-'Airfoil 1'!$Z$81)/ABS(L39-'Airfoil 1'!$Z$81)</f>
        <v>-1</v>
      </c>
      <c r="CM39" s="16">
        <f ca="1">(L39-'Airfoil 1'!$Z$82)/ABS(L39-'Airfoil 1'!$Z$82)</f>
        <v>-1</v>
      </c>
      <c r="CN39" s="16">
        <f ca="1">(L39-'Airfoil 1'!$Z$83)/ABS(L39-'Airfoil 1'!$Z$83)</f>
        <v>-1</v>
      </c>
      <c r="CO39" s="16">
        <f ca="1">(L39-'Airfoil 1'!$Z$84)/ABS(L39-'Airfoil 1'!$Z$84)</f>
        <v>-1</v>
      </c>
      <c r="CP39" s="16">
        <f ca="1">(L39-'Airfoil 1'!$Z$85)/ABS(L39-'Airfoil 1'!$Z$85)</f>
        <v>-1</v>
      </c>
      <c r="CQ39" s="16">
        <f ca="1">(L39-'Airfoil 1'!$Z$86)/ABS(L39-'Airfoil 1'!$Z$86)</f>
        <v>-1</v>
      </c>
      <c r="CR39" s="16">
        <f ca="1">(L39-'Airfoil 1'!$Z$87)/ABS(L39-'Airfoil 1'!$Z$87)</f>
        <v>-1</v>
      </c>
      <c r="CS39" s="16">
        <f ca="1">(L39-'Airfoil 1'!$Z$88)/ABS(L39-'Airfoil 1'!$Z$88)</f>
        <v>-1</v>
      </c>
      <c r="CT39" s="16">
        <f ca="1">(L39-'Airfoil 1'!$Z$89)/ABS(L39-'Airfoil 1'!$Z$89)</f>
        <v>-1</v>
      </c>
      <c r="CU39" s="16">
        <f ca="1">(L39-'Airfoil 1'!$Z$90)/ABS(L39-'Airfoil 1'!$Z$90)</f>
        <v>-1</v>
      </c>
      <c r="CV39" s="16">
        <f ca="1">(L39-'Airfoil 1'!$Z$91)/ABS(L39-'Airfoil 1'!$Z$91)</f>
        <v>-1</v>
      </c>
      <c r="CW39" s="5">
        <f t="shared" ca="1" si="10"/>
        <v>4</v>
      </c>
      <c r="CX39" s="42">
        <f ca="1">INDEX('Airfoil 1'!$AA$72:$AA$91,CW39,1)+INDEX('Airfoil 1'!$AB$72:$AB$91,CW39,1)*(L39-INDEX('Airfoil 1'!$Z$72:$Z$91,CW39,1))</f>
        <v>1.1110331491712706E-2</v>
      </c>
    </row>
    <row r="40" spans="2:102">
      <c r="B40" s="31">
        <f>Main!B40</f>
        <v>0.33333333333333326</v>
      </c>
      <c r="D40" s="1">
        <f>Cruise!F40</f>
        <v>0.65969672852566186</v>
      </c>
      <c r="E40" s="4">
        <f>ISA!$R$10</f>
        <v>1.5987591530356481E-5</v>
      </c>
      <c r="G40" s="13">
        <f ca="1">Cruise!X40</f>
        <v>19.431650494678902</v>
      </c>
      <c r="H40" s="5">
        <f t="shared" ca="1" si="0"/>
        <v>267269.69760378695</v>
      </c>
      <c r="I40" s="16">
        <f ca="1">'Airfoil 2'!$K$14*H40^'Airfoil 2'!$L$13</f>
        <v>1.5769680291674149</v>
      </c>
      <c r="J40" s="1">
        <f ca="1">'Airfoil 2'!$K$33*H40^'Airfoil 2'!$L$32</f>
        <v>5.5113977821917333</v>
      </c>
      <c r="K40" s="13">
        <f ca="1">'Airfoil 2'!$K$52*H40^'Airfoil 2'!$L$51</f>
        <v>-7.6543336665765676</v>
      </c>
      <c r="L40" s="16">
        <f ca="1">'Aerodynamics-Cruise'!W40</f>
        <v>0.9</v>
      </c>
      <c r="M40" s="10">
        <f ca="1">('Airfoil 1'!$B$21+'Airfoil 1'!$B$22*L40+'Airfoil 1'!$B$23*L40^2+'Airfoil 1'!$B$24*L40^3+'Airfoil 1'!$B$25*L40^4+'Airfoil 1'!$B$26*L40^5+'Airfoil 1'!$B$27*L40^6)*0+BD40</f>
        <v>2.4489313868613138E-2</v>
      </c>
      <c r="N40" s="42">
        <f ca="1">('Airfoil 1'!$B$29+'Airfoil 1'!$B$30*L40+'Airfoil 1'!$B$31*L40^2+'Airfoil 1'!$B$32*L40^3+'Airfoil 1'!$B$33*L40^4+'Airfoil 1'!$B$34*L40^5+'Airfoil 1'!$B$35*L40^6)*0+CA40</f>
        <v>1.7370857855361597E-2</v>
      </c>
      <c r="O40" s="42">
        <f ca="1">('Airfoil 1'!$B$37+'Airfoil 1'!$B$38*L40+'Airfoil 1'!$B$39*L40^2+'Airfoil 1'!$B$40*L40^3+'Airfoil 1'!$B$41*L40^4+'Airfoil 1'!$B$42*L40^5+'Airfoil 1'!$B$43*L40^6)*0+CX40</f>
        <v>1.1110331491712706E-2</v>
      </c>
      <c r="P40" s="16">
        <f>LOG('Airfoil 1'!$F$10)+LOG('Airfoil 1'!$G$10)+LOG('Airfoil 1'!$H$10)</f>
        <v>15.176091259055681</v>
      </c>
      <c r="Q40" s="16">
        <f t="shared" ca="1" si="1"/>
        <v>-5.3254750991929125</v>
      </c>
      <c r="R40" s="16">
        <f>LOG('Airfoil 1'!$F$10)^2+LOG('Airfoil 1'!$G$10)^2+LOG('Airfoil 1'!$H$10)^2</f>
        <v>76.867141336751558</v>
      </c>
      <c r="S40" s="16">
        <f ca="1">LOG('Airfoil 1'!$F$10)*LOG(M40)+LOG('Airfoil 1'!$G$10)*LOG(N40)+LOG('Airfoil 1'!$H$10)*LOG(O40)</f>
        <v>-27.014391057528009</v>
      </c>
      <c r="T40" s="16">
        <f t="shared" ca="1" si="2"/>
        <v>141.60346469083578</v>
      </c>
      <c r="U40" s="16">
        <f t="shared" ca="1" si="3"/>
        <v>-0.77613507568957385</v>
      </c>
      <c r="V40" s="42">
        <f ca="1">IF(Energy!$F$11=1,Energy!$T$13,1)*T40*H40^U40</f>
        <v>9.5809030225815148E-3</v>
      </c>
      <c r="W40" s="10">
        <f ca="1">'Airfoil 1'!$B$48+'Airfoil 1'!$B$49*L40+'Airfoil 1'!$B$50*L40^2+'Airfoil 1'!$B$51*L40^3+'Airfoil 1'!$B$52*L40^4+'Airfoil 1'!$B$53*L40^5+'Airfoil 1'!$B$54*L40^6</f>
        <v>-0.155</v>
      </c>
      <c r="X40" s="42">
        <f ca="1">'Airfoil 1'!$B$56+'Airfoil 1'!$B$57*L40+'Airfoil 1'!$B$58*L40^2+'Airfoil 1'!$B$59*L40^3+'Airfoil 1'!$B$60*L40^4+'Airfoil 1'!$B$61*L40^5+'Airfoil 1'!$B$62*L40^6</f>
        <v>-0.155</v>
      </c>
      <c r="Y40" s="42">
        <f ca="1">'Airfoil 1'!$B$64+'Airfoil 1'!$B$65*L40+'Airfoil 1'!$B$66*L40^2+'Airfoil 1'!$B$67*L40^3+'Airfoil 1'!$B$681*L40^4+'Airfoil 1'!$B$69*L40^5+'Airfoil 1'!$B$70*L40^6</f>
        <v>-0.155</v>
      </c>
      <c r="Z40" s="16">
        <f>LOG('Airfoil 1'!$F$10)+LOG('Airfoil 1'!$G$10)+LOG('Airfoil 1'!$H$10)</f>
        <v>15.176091259055681</v>
      </c>
      <c r="AA40" s="16">
        <f t="shared" ca="1" si="4"/>
        <v>-2.4290049054891254</v>
      </c>
      <c r="AB40" s="16">
        <f>LOG('Airfoil 1'!$F$10)^2+LOG('Airfoil 1'!$G$10)^2+LOG('Airfoil 1'!$H$10)^2</f>
        <v>76.867141336751558</v>
      </c>
      <c r="AC40" s="16">
        <f ca="1">LOG('Airfoil 1'!$F$10)*LOG(ABS(W40))+LOG('Airfoil 1'!$G$10)*LOG(ABS(X40))+LOG('Airfoil 1'!$H$10)*LOG(ABS(Y40))</f>
        <v>-12.287600038132297</v>
      </c>
      <c r="AD40" s="16">
        <f t="shared" ca="1" si="5"/>
        <v>0.1550000000000121</v>
      </c>
      <c r="AE40" s="16">
        <f t="shared" ca="1" si="6"/>
        <v>-6.6718325633022456E-15</v>
      </c>
      <c r="AF40" s="42">
        <f t="shared" ca="1" si="7"/>
        <v>-0.15499999999999919</v>
      </c>
      <c r="AG40" s="16"/>
      <c r="AH40" s="42"/>
      <c r="AI40" s="16">
        <f ca="1">(L40-'Airfoil 1'!$Z$22)/ABS(L40-'Airfoil 1'!$Z$22)</f>
        <v>1</v>
      </c>
      <c r="AJ40" s="16">
        <f ca="1">(L40-'Airfoil 1'!$Z$23)/ABS(L40-'Airfoil 1'!$Z$23)</f>
        <v>1</v>
      </c>
      <c r="AK40" s="16">
        <f ca="1">(L40-'Airfoil 1'!$Z$24)/ABS(L40-'Airfoil 1'!$Z$24)</f>
        <v>1</v>
      </c>
      <c r="AL40" s="16">
        <f ca="1">(L40-'Airfoil 1'!$Z$25)/ABS(L40-'Airfoil 1'!$Z$25)</f>
        <v>1</v>
      </c>
      <c r="AM40" s="16">
        <f ca="1">(L40-'Airfoil 1'!$Z$26)/ABS(L40-'Airfoil 1'!$Z$26)</f>
        <v>1</v>
      </c>
      <c r="AN40" s="16">
        <f ca="1">(L40-'Airfoil 1'!$Z$27)/ABS(L40-'Airfoil 1'!$Z$27)</f>
        <v>1</v>
      </c>
      <c r="AO40" s="16">
        <f ca="1">(L40-'Airfoil 1'!$Z$28)/ABS(L40-'Airfoil 1'!$Z$28)</f>
        <v>1</v>
      </c>
      <c r="AP40" s="16">
        <f ca="1">(L40-'Airfoil 1'!$Z$29)/ABS(L40-'Airfoil 1'!$Z$29)</f>
        <v>-1</v>
      </c>
      <c r="AQ40" s="16">
        <f ca="1">(L40-'Airfoil 1'!$Z$30)/ABS(L40-'Airfoil 1'!$Z$30)</f>
        <v>-1</v>
      </c>
      <c r="AR40" s="16">
        <f ca="1">(L40-'Airfoil 1'!$Z$31)/ABS(L40-'Airfoil 1'!$Z$31)</f>
        <v>-1</v>
      </c>
      <c r="AS40" s="16">
        <f ca="1">(L40-'Airfoil 1'!$Z$32)/ABS(L40-'Airfoil 1'!$Z$32)</f>
        <v>-1</v>
      </c>
      <c r="AT40" s="16">
        <f ca="1">(L40-'Airfoil 1'!$Z$33)/ABS(L40-'Airfoil 1'!$Z$33)</f>
        <v>-1</v>
      </c>
      <c r="AU40" s="16">
        <f ca="1">(L40-'Airfoil 1'!$Z$34)/ABS(L40-'Airfoil 1'!$Z$34)</f>
        <v>-1</v>
      </c>
      <c r="AV40" s="16">
        <f ca="1">(L40-'Airfoil 1'!$Z$35)/ABS(L40-'Airfoil 1'!$Z$35)</f>
        <v>-1</v>
      </c>
      <c r="AW40" s="16">
        <f ca="1">(L40-'Airfoil 1'!$Z$36)/ABS(L40-'Airfoil 1'!$Z$36)</f>
        <v>-1</v>
      </c>
      <c r="AX40" s="16">
        <f ca="1">(L40-'Airfoil 1'!$Z$37)/ABS(L40-'Airfoil 1'!$Z$37)</f>
        <v>-1</v>
      </c>
      <c r="AY40" s="16">
        <f ca="1">(L40-'Airfoil 1'!$Z$38)/ABS(L40-'Airfoil 1'!$Z$38)</f>
        <v>-1</v>
      </c>
      <c r="AZ40" s="16">
        <f ca="1">(L40-'Airfoil 1'!$Z$39)/ABS(L40-'Airfoil 1'!$Z$39)</f>
        <v>-1</v>
      </c>
      <c r="BA40" s="16">
        <f ca="1">(L40-'Airfoil 1'!$Z$40)/ABS(L40-'Airfoil 1'!$Z$40)</f>
        <v>-1</v>
      </c>
      <c r="BB40" s="16">
        <f ca="1">(L40-'Airfoil 1'!$Z$41)/ABS(L40-'Airfoil 1'!$Z$41)</f>
        <v>-1</v>
      </c>
      <c r="BC40" s="5">
        <f t="shared" ca="1" si="8"/>
        <v>7</v>
      </c>
      <c r="BD40" s="42">
        <f ca="1">INDEX('Airfoil 1'!$AA$22:$AA$41,BC40,1)+INDEX('Airfoil 1'!$AB$22:$AB$41,BC40,1)*(L40-INDEX('Airfoil 1'!$Z$22:$Z$41,BC40,1))</f>
        <v>2.4489313868613138E-2</v>
      </c>
      <c r="BE40" s="6"/>
      <c r="BF40" s="16">
        <f ca="1">(L40-'Airfoil 1'!$Z$47)/ABS(L40-'Airfoil 1'!$Z$47)</f>
        <v>1</v>
      </c>
      <c r="BG40" s="16">
        <f ca="1">(L40-'Airfoil 1'!$Z$48)/ABS(L40-'Airfoil 1'!$Z$48)</f>
        <v>1</v>
      </c>
      <c r="BH40" s="16">
        <f ca="1">(L40-'Airfoil 1'!$Z$49)/ABS(L40-'Airfoil 1'!$Z$49)</f>
        <v>1</v>
      </c>
      <c r="BI40" s="16">
        <f ca="1">(L40-'Airfoil 1'!$Z$50)/ABS(L40-'Airfoil 1'!$Z$50)</f>
        <v>1</v>
      </c>
      <c r="BJ40" s="16">
        <f ca="1">(L40-'Airfoil 1'!$Z$51)/ABS(L40-'Airfoil 1'!$Z$51)</f>
        <v>1</v>
      </c>
      <c r="BK40" s="16">
        <f ca="1">(L40-'Airfoil 1'!$Z$52)/ABS(L40-'Airfoil 1'!$Z$52)</f>
        <v>1</v>
      </c>
      <c r="BL40" s="16">
        <f ca="1">(L40-'Airfoil 1'!$Z$53)/ABS(L40-'Airfoil 1'!$Z$53)</f>
        <v>-1</v>
      </c>
      <c r="BM40" s="16">
        <f ca="1">(L40-'Airfoil 1'!$Z$54)/ABS(L40-'Airfoil 1'!$Z$54)</f>
        <v>-1</v>
      </c>
      <c r="BN40" s="16">
        <f ca="1">(L40-'Airfoil 1'!$Z$55)/ABS(L40-'Airfoil 1'!$Z$55)</f>
        <v>-1</v>
      </c>
      <c r="BO40" s="16">
        <f ca="1">(L40-'Airfoil 1'!$Z$56)/ABS(L40-'Airfoil 1'!$Z$56)</f>
        <v>-1</v>
      </c>
      <c r="BP40" s="16">
        <f ca="1">(L40-'Airfoil 1'!$Z$57)/ABS(L40-'Airfoil 1'!$Z$57)</f>
        <v>-1</v>
      </c>
      <c r="BQ40" s="16">
        <f ca="1">(L40-'Airfoil 1'!$Z$58)/ABS(L40-'Airfoil 1'!$Z$58)</f>
        <v>-1</v>
      </c>
      <c r="BR40" s="16">
        <f ca="1">(L40-'Airfoil 1'!$Z$59)/ABS(L40-'Airfoil 1'!$Z$59)</f>
        <v>-1</v>
      </c>
      <c r="BS40" s="16">
        <f ca="1">(L40-'Airfoil 1'!$Z$60)/ABS(L40-'Airfoil 1'!$Z$60)</f>
        <v>-1</v>
      </c>
      <c r="BT40" s="16">
        <f ca="1">(L40-'Airfoil 1'!$Z$61)/ABS(L40-'Airfoil 1'!$Z$61)</f>
        <v>-1</v>
      </c>
      <c r="BU40" s="16">
        <f ca="1">(L40-'Airfoil 1'!$Z$62)/ABS(L40-'Airfoil 1'!$Z$62)</f>
        <v>-1</v>
      </c>
      <c r="BV40" s="16">
        <f ca="1">(L40-'Airfoil 1'!$Z$63)/ABS(L40-'Airfoil 1'!$Z$63)</f>
        <v>-1</v>
      </c>
      <c r="BW40" s="16">
        <f ca="1">(L40-'Airfoil 1'!$Z$64)/ABS(L40-'Airfoil 1'!$Z$64)</f>
        <v>-1</v>
      </c>
      <c r="BX40" s="16">
        <f ca="1">(L40-'Airfoil 1'!$Z$65)/ABS(L40-'Airfoil 1'!$Z$65)</f>
        <v>-1</v>
      </c>
      <c r="BY40" s="16">
        <f ca="1">(L40-'Airfoil 1'!$Z$66)/ABS(L40-'Airfoil 1'!$Z$66)</f>
        <v>-1</v>
      </c>
      <c r="BZ40" s="5">
        <f t="shared" ca="1" si="9"/>
        <v>6</v>
      </c>
      <c r="CA40" s="42">
        <f ca="1">INDEX('Airfoil 1'!$AA$47:$AA$66,BZ40,1)+INDEX('Airfoil 1'!$AB$47:$AB$66,BZ40,1)*(L40-INDEX('Airfoil 1'!$Z$47:$Z$66,BZ40,1))</f>
        <v>1.7370857855361597E-2</v>
      </c>
      <c r="CC40" s="16">
        <f ca="1">(L40-'Airfoil 1'!$Z$72)/ABS(L40-'Airfoil 1'!$Z$72)</f>
        <v>1</v>
      </c>
      <c r="CD40" s="16">
        <f ca="1">(L40-'Airfoil 1'!$Z$73)/ABS(L40-'Airfoil 1'!$Z$73)</f>
        <v>1</v>
      </c>
      <c r="CE40" s="16">
        <f ca="1">(L40-'Airfoil 1'!$Z$74)/ABS(L40-'Airfoil 1'!$Z$74)</f>
        <v>1</v>
      </c>
      <c r="CF40" s="16">
        <f ca="1">(L40-'Airfoil 1'!$Z$75)/ABS(L40-'Airfoil 1'!$Z$75)</f>
        <v>1</v>
      </c>
      <c r="CG40" s="16">
        <f ca="1">(L40-'Airfoil 1'!$Z$76)/ABS(L40-'Airfoil 1'!$Z$76)</f>
        <v>-1</v>
      </c>
      <c r="CH40" s="16">
        <f ca="1">(L40-'Airfoil 1'!$Z$77)/ABS(L40-'Airfoil 1'!$Z$77)</f>
        <v>-1</v>
      </c>
      <c r="CI40" s="16">
        <f ca="1">(L40-'Airfoil 1'!$Z$78)/ABS(L40-'Airfoil 1'!$Z$78)</f>
        <v>-1</v>
      </c>
      <c r="CJ40" s="16">
        <f ca="1">(L40-'Airfoil 1'!$Z$79)/ABS(L40-'Airfoil 1'!$Z$79)</f>
        <v>-1</v>
      </c>
      <c r="CK40" s="16">
        <f ca="1">(L40-'Airfoil 1'!$Z$80)/ABS(L40-'Airfoil 1'!$Z$80)</f>
        <v>-1</v>
      </c>
      <c r="CL40" s="16">
        <f ca="1">(L40-'Airfoil 1'!$Z$81)/ABS(L40-'Airfoil 1'!$Z$81)</f>
        <v>-1</v>
      </c>
      <c r="CM40" s="16">
        <f ca="1">(L40-'Airfoil 1'!$Z$82)/ABS(L40-'Airfoil 1'!$Z$82)</f>
        <v>-1</v>
      </c>
      <c r="CN40" s="16">
        <f ca="1">(L40-'Airfoil 1'!$Z$83)/ABS(L40-'Airfoil 1'!$Z$83)</f>
        <v>-1</v>
      </c>
      <c r="CO40" s="16">
        <f ca="1">(L40-'Airfoil 1'!$Z$84)/ABS(L40-'Airfoil 1'!$Z$84)</f>
        <v>-1</v>
      </c>
      <c r="CP40" s="16">
        <f ca="1">(L40-'Airfoil 1'!$Z$85)/ABS(L40-'Airfoil 1'!$Z$85)</f>
        <v>-1</v>
      </c>
      <c r="CQ40" s="16">
        <f ca="1">(L40-'Airfoil 1'!$Z$86)/ABS(L40-'Airfoil 1'!$Z$86)</f>
        <v>-1</v>
      </c>
      <c r="CR40" s="16">
        <f ca="1">(L40-'Airfoil 1'!$Z$87)/ABS(L40-'Airfoil 1'!$Z$87)</f>
        <v>-1</v>
      </c>
      <c r="CS40" s="16">
        <f ca="1">(L40-'Airfoil 1'!$Z$88)/ABS(L40-'Airfoil 1'!$Z$88)</f>
        <v>-1</v>
      </c>
      <c r="CT40" s="16">
        <f ca="1">(L40-'Airfoil 1'!$Z$89)/ABS(L40-'Airfoil 1'!$Z$89)</f>
        <v>-1</v>
      </c>
      <c r="CU40" s="16">
        <f ca="1">(L40-'Airfoil 1'!$Z$90)/ABS(L40-'Airfoil 1'!$Z$90)</f>
        <v>-1</v>
      </c>
      <c r="CV40" s="16">
        <f ca="1">(L40-'Airfoil 1'!$Z$91)/ABS(L40-'Airfoil 1'!$Z$91)</f>
        <v>-1</v>
      </c>
      <c r="CW40" s="5">
        <f t="shared" ca="1" si="10"/>
        <v>4</v>
      </c>
      <c r="CX40" s="42">
        <f ca="1">INDEX('Airfoil 1'!$AA$72:$AA$91,CW40,1)+INDEX('Airfoil 1'!$AB$72:$AB$91,CW40,1)*(L40-INDEX('Airfoil 1'!$Z$72:$Z$91,CW40,1))</f>
        <v>1.1110331491712706E-2</v>
      </c>
    </row>
    <row r="41" spans="2:102"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</row>
    <row r="42" spans="2:102">
      <c r="D42" s="4"/>
    </row>
    <row r="44" spans="2:102">
      <c r="I44" s="14"/>
      <c r="M44" s="1"/>
      <c r="N44" s="1"/>
      <c r="O44" s="1"/>
      <c r="P44" s="1"/>
    </row>
    <row r="45" spans="2:102">
      <c r="I45" s="14"/>
    </row>
    <row r="46" spans="2:102">
      <c r="I46" s="14"/>
    </row>
    <row r="47" spans="2:102">
      <c r="I47" s="14"/>
    </row>
    <row r="48" spans="2:102">
      <c r="I48" s="14"/>
    </row>
    <row r="49" spans="9:9">
      <c r="I49" s="14"/>
    </row>
    <row r="50" spans="9:9">
      <c r="I50" s="14"/>
    </row>
    <row r="51" spans="9:9">
      <c r="I51" s="14"/>
    </row>
    <row r="52" spans="9:9">
      <c r="I52" s="14"/>
    </row>
    <row r="53" spans="9:9">
      <c r="I53" s="14"/>
    </row>
    <row r="54" spans="9:9">
      <c r="I54" s="14"/>
    </row>
    <row r="55" spans="9:9">
      <c r="I55" s="14"/>
    </row>
    <row r="56" spans="9:9">
      <c r="I56" s="14"/>
    </row>
    <row r="57" spans="9:9">
      <c r="I57" s="14"/>
    </row>
    <row r="58" spans="9:9">
      <c r="I58" s="14"/>
    </row>
    <row r="59" spans="9:9">
      <c r="I59" s="14"/>
    </row>
    <row r="60" spans="9:9">
      <c r="I60" s="14"/>
    </row>
    <row r="61" spans="9:9">
      <c r="I61" s="14"/>
    </row>
    <row r="62" spans="9:9">
      <c r="I62" s="14"/>
    </row>
    <row r="63" spans="9:9">
      <c r="I63" s="14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C242"/>
  <sheetViews>
    <sheetView zoomScale="90" workbookViewId="0">
      <selection activeCell="W4" sqref="W4:W209"/>
    </sheetView>
  </sheetViews>
  <sheetFormatPr defaultRowHeight="12.75"/>
  <cols>
    <col min="10" max="11" width="9.28515625" bestFit="1" customWidth="1"/>
    <col min="12" max="12" width="9.28515625" customWidth="1"/>
  </cols>
  <sheetData>
    <row r="1" spans="1:55">
      <c r="B1" s="100" t="s">
        <v>598</v>
      </c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1"/>
      <c r="R1" s="101"/>
      <c r="S1" s="102"/>
    </row>
    <row r="2" spans="1:55">
      <c r="B2" s="100" t="s">
        <v>599</v>
      </c>
      <c r="C2" s="100"/>
      <c r="D2" s="6" t="s">
        <v>613</v>
      </c>
      <c r="E2" s="6" t="s">
        <v>614</v>
      </c>
      <c r="F2" s="100" t="s">
        <v>600</v>
      </c>
      <c r="G2" s="6" t="s">
        <v>644</v>
      </c>
      <c r="H2" s="6" t="s">
        <v>645</v>
      </c>
      <c r="I2" s="6" t="s">
        <v>646</v>
      </c>
      <c r="J2" s="6" t="s">
        <v>647</v>
      </c>
      <c r="K2" s="6" t="s">
        <v>601</v>
      </c>
      <c r="L2" s="6" t="s">
        <v>648</v>
      </c>
      <c r="M2" s="6" t="s">
        <v>649</v>
      </c>
      <c r="N2" s="6" t="s">
        <v>602</v>
      </c>
      <c r="O2" s="6" t="s">
        <v>642</v>
      </c>
      <c r="P2" s="6" t="s">
        <v>650</v>
      </c>
      <c r="Q2" s="19" t="s">
        <v>651</v>
      </c>
      <c r="R2" s="6" t="s">
        <v>786</v>
      </c>
      <c r="S2" s="5" t="s">
        <v>652</v>
      </c>
      <c r="T2" s="6" t="s">
        <v>653</v>
      </c>
      <c r="U2" s="6" t="s">
        <v>654</v>
      </c>
      <c r="V2" s="6" t="s">
        <v>631</v>
      </c>
      <c r="W2" s="6" t="s">
        <v>802</v>
      </c>
      <c r="X2" s="6" t="s">
        <v>656</v>
      </c>
      <c r="Y2" s="6" t="s">
        <v>655</v>
      </c>
      <c r="Z2" s="6" t="s">
        <v>657</v>
      </c>
      <c r="AA2" s="6" t="s">
        <v>787</v>
      </c>
      <c r="AB2" s="109" t="s">
        <v>668</v>
      </c>
      <c r="AC2" s="3" t="s">
        <v>658</v>
      </c>
      <c r="AD2" s="110" t="s">
        <v>659</v>
      </c>
      <c r="AE2" s="110" t="s">
        <v>660</v>
      </c>
      <c r="AF2" s="110" t="s">
        <v>661</v>
      </c>
      <c r="AG2" s="110" t="s">
        <v>662</v>
      </c>
      <c r="AH2" s="110" t="s">
        <v>663</v>
      </c>
      <c r="AI2" s="110" t="s">
        <v>664</v>
      </c>
      <c r="AJ2" s="110" t="s">
        <v>665</v>
      </c>
      <c r="AK2" s="110" t="s">
        <v>666</v>
      </c>
      <c r="AL2" s="110" t="s">
        <v>667</v>
      </c>
      <c r="AM2" s="110" t="s">
        <v>670</v>
      </c>
      <c r="AN2" s="6"/>
      <c r="AO2" s="19"/>
      <c r="AP2" s="5"/>
      <c r="AQ2" s="6"/>
      <c r="AR2" s="6"/>
      <c r="AS2" s="6"/>
    </row>
    <row r="3" spans="1:55">
      <c r="A3" s="7">
        <v>0</v>
      </c>
      <c r="B3" s="100" t="s">
        <v>603</v>
      </c>
      <c r="C3" s="100" t="s">
        <v>604</v>
      </c>
      <c r="D3" s="58" t="s">
        <v>269</v>
      </c>
      <c r="E3" s="103"/>
      <c r="F3" s="100" t="str">
        <f>IF([1]Variáveis!$J$7=1," ",IF([1]Variáveis!$J$7=2," m"," m"))</f>
        <v xml:space="preserve"> </v>
      </c>
      <c r="G3" s="100" t="s">
        <v>604</v>
      </c>
      <c r="H3" s="100" t="s">
        <v>605</v>
      </c>
      <c r="I3" s="100">
        <f>COUNT(Main!C21:C40)</f>
        <v>20</v>
      </c>
      <c r="J3" s="100" t="s">
        <v>606</v>
      </c>
      <c r="K3" s="100">
        <f>COUNT(Main!B45:B54)</f>
        <v>10</v>
      </c>
      <c r="M3" s="100"/>
      <c r="N3" s="100"/>
      <c r="O3" s="100"/>
      <c r="P3" s="100"/>
      <c r="Q3" s="17"/>
      <c r="R3" s="17"/>
      <c r="AF3" s="28"/>
      <c r="AG3" s="6"/>
      <c r="AH3" s="6"/>
      <c r="AI3" s="6"/>
      <c r="AJ3" s="6"/>
      <c r="AK3" s="6"/>
      <c r="AL3" s="6"/>
      <c r="AM3" s="6"/>
      <c r="AN3" s="6"/>
      <c r="AO3" s="6"/>
    </row>
    <row r="4" spans="1:55">
      <c r="A4" s="7">
        <v>1</v>
      </c>
      <c r="C4" s="100"/>
      <c r="D4" s="1">
        <f ca="1">IF(AND(Energy!$F$11=$A$3,Main!$B$43=A4),Main!C21,D4)</f>
        <v>4</v>
      </c>
      <c r="E4" s="103">
        <f ca="1">IF(AND(Energy!$F$11=$A$3,Main!$B$43=A4),Main!B21,E4)</f>
        <v>0.2</v>
      </c>
      <c r="F4" s="103">
        <f ca="1">IF(Main!$D$6=1,U4,IF(Main!$D$6=2,N4,IF(Main!$D$6=3,K4,IF(Main!$D$6=4,V4,J4))))</f>
        <v>551.24417903611266</v>
      </c>
      <c r="G4" s="103">
        <f ca="1">IF(AND(Energy!$F$11=$A$3,Main!$B$43=A4),Weight!H21,G4)</f>
        <v>15</v>
      </c>
      <c r="H4" s="103">
        <f ca="1">IF(AND(Energy!$F$11=$A$3,Main!$B$43=A4),Weight!U21,H4)</f>
        <v>10.403052371780085</v>
      </c>
      <c r="I4" s="103">
        <f ca="1">IF(AND(Energy!$F$11=$A$3,Main!$B$43=A4),Weight!V21,I4)</f>
        <v>38.435351978320114</v>
      </c>
      <c r="J4" s="103">
        <f ca="1">IF(AND(Energy!$F$11=$A$3,Main!$B$43=A4),Weight!I21,J4)</f>
        <v>23.094651331540028</v>
      </c>
      <c r="K4" s="103">
        <f ca="1">IF(AND(Energy!$F$11=$A$3,Main!$B$43=A4),Weight!W21,K4)</f>
        <v>53.435351002994715</v>
      </c>
      <c r="L4" s="103">
        <f ca="1">IF(AND(Energy!$F$11=$A$3,Main!$B$43=A4),'Aerodynamics-Cruise'!BI21,L4)</f>
        <v>53.435352963462044</v>
      </c>
      <c r="M4" s="103">
        <f ca="1">IF(AND(Energy!$F$11=$A$3,Main!$B$43=A4),'Aerodynamics-Cruise'!BJ21,M4)</f>
        <v>2.645206729702783</v>
      </c>
      <c r="N4" s="103">
        <f ca="1">IF(AND(Energy!$F$11=$A$3,Main!$B$43=A4),'Aerodynamics-Cruise'!BK21,N4)</f>
        <v>20.200823006928488</v>
      </c>
      <c r="O4" s="103">
        <f ca="1">L4^(3/2)/M4</f>
        <v>147.66698397780019</v>
      </c>
      <c r="P4" s="103">
        <f ca="1">IF(AND(Energy!$F$11=$A$3,Main!$B$43=A4),'Aerodynamics-Cruise'!H21,P4)</f>
        <v>11.039942674156693</v>
      </c>
      <c r="Q4" s="103">
        <f ca="1">IF(AND(Energy!$F$11=$A$3,Main!$B$43=A4),'Aerodynamics-Cruise'!I21,Q4)</f>
        <v>9.4235441315167989</v>
      </c>
      <c r="R4" s="103">
        <f ca="1">IF(AND(Energy!$F$11=$A$3,Main!$B$43=$A4),Summary!R21,R4)</f>
        <v>6.7679570971431637</v>
      </c>
      <c r="S4" s="103">
        <f ca="1">IF(AND(Energy!$F$11=$A$3,Main!$B$43=A4),'Aerodynamics-Cruise'!W21,S4)</f>
        <v>1</v>
      </c>
      <c r="T4" s="103">
        <f ca="1">IF(AND(Energy!$F$11=$A$3,Main!$B$43=A4),'Aerodynamics-Cruise'!BL21,T4)</f>
        <v>29.202930657212224</v>
      </c>
      <c r="U4" s="103">
        <f ca="1">IF(AND(Energy!$F$11=$A$3,Main!$B$43=A4),'Propulsion-Cruise'!M21,U4)</f>
        <v>59.843951290831555</v>
      </c>
      <c r="V4" s="103">
        <f ca="1">IF(AND(Energy!$F$11=$A$3,Main!$B$43=A4),Endurance!AP21,V4)</f>
        <v>551.24417903611266</v>
      </c>
      <c r="W4" s="103">
        <f ca="1">IF(AND(Energy!$F$11=$A$3,Main!$B$43=$A4),Summary!W21,W4)</f>
        <v>0.8</v>
      </c>
      <c r="X4" s="13">
        <f ca="1">IF(AND(Energy!$F$11=$A$3,Main!$B$43=A4),Energy!D21,X4)</f>
        <v>995.30202636931767</v>
      </c>
      <c r="Y4" s="102">
        <f ca="1">IF(AND(Energy!$F$11=$A$3,Main!$B$43=A4),'Aerodynamics-Cruise'!V21,Y4)</f>
        <v>140036.77201835377</v>
      </c>
      <c r="Z4" s="102">
        <f ca="1">IF(AND(Energy!$F$11=$A$3,Main!$B$43=$A4),Summary!Z21,Z4)</f>
        <v>105862.54813179764</v>
      </c>
      <c r="AA4" s="102">
        <f ca="1">IF(AND(Energy!$F$11=$A$3,Main!$B$43=$A4),Summary!AA21,AA4)</f>
        <v>105862.54813179764</v>
      </c>
      <c r="AB4" s="103">
        <f ca="1">IF(AND(Energy!$F$11=$A$3,Main!$B$43=$A4),Summary!AB21,AB4)</f>
        <v>6.7679570971431637</v>
      </c>
      <c r="AC4" s="103">
        <f ca="1">IF(AND(Energy!$F$11=$A$3,Main!$B$43=$A4),Summary!AC21,AC4)</f>
        <v>3.1622015982609688</v>
      </c>
      <c r="AD4" s="103">
        <f ca="1">IF(AND(Energy!$F$11=$A$3,Main!$B$43=$A4),Summary!AD21,AD4)</f>
        <v>0.44513359098276201</v>
      </c>
      <c r="AE4" s="103">
        <f ca="1">IF(AND(Energy!$F$11=$A$3,Main!$B$43=$A4),Summary!AE21,AE4)</f>
        <v>0.8</v>
      </c>
      <c r="AF4" s="103">
        <f ca="1">IF(AND(Energy!$F$11=$A$3,Main!$B$43=$A4),Summary!AF21,AF4)</f>
        <v>20</v>
      </c>
      <c r="AG4" s="103">
        <f ca="1">IF(AND(Energy!$F$11=$A$3,Main!$B$43=$A4),Summary!AG21,AG4)</f>
        <v>11.563934781963333</v>
      </c>
      <c r="AH4" s="103">
        <f ca="1">IF(AND(Energy!$F$11=$A$3,Main!$B$43=$A4),Summary!AH21,AH4)</f>
        <v>47</v>
      </c>
      <c r="AI4" s="103">
        <f ca="1">IF(AND(Energy!$F$11=$A$3,Main!$B$43=$A4),Summary!AI21,AI4)</f>
        <v>2.6900552197992607</v>
      </c>
      <c r="AJ4" s="103">
        <f ca="1">IF(AND(Energy!$F$11=$A$3,Main!$B$43=$A4),Summary!AJ21,AJ4)</f>
        <v>0.27163479086139569</v>
      </c>
      <c r="AK4" s="103">
        <f ca="1">IF(AND(Energy!$F$11=$A$3,Main!$B$43=$A4),Summary!AK21,AK4)</f>
        <v>0.01</v>
      </c>
      <c r="AL4" s="103">
        <f ca="1">IF(AND(Energy!$F$11=$A$3,Main!$B$43=$A4),Summary!AL21,AL4)</f>
        <v>-0.46019464518073622</v>
      </c>
      <c r="AM4" s="103">
        <f ca="1">IF(AND(Energy!$F$11=$A$3,Main!$B$43=$A4),Summary!AM21,AM4)</f>
        <v>0</v>
      </c>
      <c r="AN4" s="6"/>
      <c r="AO4" s="6"/>
    </row>
    <row r="5" spans="1:55">
      <c r="A5">
        <f>A4</f>
        <v>1</v>
      </c>
      <c r="D5" s="1">
        <f ca="1">IF(AND(Energy!$F$11=$A$3,Main!$B$43=A5),Main!C22,D5)</f>
        <v>4.1578947368421053</v>
      </c>
      <c r="E5" s="103">
        <f ca="1">IF(AND(Energy!$F$11=$A$3,Main!$B$43=A5),Main!B22,E5)</f>
        <v>0.2</v>
      </c>
      <c r="F5" s="103">
        <f ca="1">IF(Main!$D$6=1,U5,IF(Main!$D$6=2,N5,IF(Main!$D$6=3,K5,IF(Main!$D$6=4,V5,J5))))</f>
        <v>541.8236603547283</v>
      </c>
      <c r="G5" s="103">
        <f ca="1">IF(AND(Energy!$F$11=$A$3,Main!$B$43=A5),Weight!H22,G5)</f>
        <v>15</v>
      </c>
      <c r="H5" s="103">
        <f ca="1">IF(AND(Energy!$F$11=$A$3,Main!$B$43=A5),Weight!U22,H5)</f>
        <v>10.687581354246674</v>
      </c>
      <c r="I5" s="103">
        <f ca="1">IF(AND(Energy!$F$11=$A$3,Main!$B$43=A5),Weight!V22,I5)</f>
        <v>38.325203261702754</v>
      </c>
      <c r="J5" s="103">
        <f ca="1">IF(AND(Energy!$F$11=$A$3,Main!$B$43=A5),Weight!I22,J5)</f>
        <v>22.699973632456075</v>
      </c>
      <c r="K5" s="103">
        <f ca="1">IF(AND(Energy!$F$11=$A$3,Main!$B$43=A5),Weight!W22,K5)</f>
        <v>53.325202498436667</v>
      </c>
      <c r="L5" s="103">
        <f ca="1">IF(AND(Energy!$F$11=$A$3,Main!$B$43=A5),'Aerodynamics-Cruise'!BI22,L5)</f>
        <v>53.325204032315654</v>
      </c>
      <c r="M5" s="103">
        <f ca="1">IF(AND(Energy!$F$11=$A$3,Main!$B$43=A5),'Aerodynamics-Cruise'!BJ22,M5)</f>
        <v>2.6371285973297702</v>
      </c>
      <c r="N5" s="103">
        <f ca="1">IF(AND(Energy!$F$11=$A$3,Main!$B$43=A5),'Aerodynamics-Cruise'!BK22,N5)</f>
        <v>20.220934271582429</v>
      </c>
      <c r="O5" s="103">
        <f t="shared" ref="O5:O68" ca="1" si="0">L5^(3/2)/M5</f>
        <v>147.66156955904134</v>
      </c>
      <c r="P5" s="103">
        <f ca="1">IF(AND(Energy!$F$11=$A$3,Main!$B$43=A5),'Aerodynamics-Cruise'!H22,P5)</f>
        <v>10.817076804800486</v>
      </c>
      <c r="Q5" s="103">
        <f ca="1">IF(AND(Energy!$F$11=$A$3,Main!$B$43=A5),'Aerodynamics-Cruise'!I22,Q5)</f>
        <v>9.2410010685623742</v>
      </c>
      <c r="R5" s="103">
        <f ca="1">IF(AND(Energy!$F$11=$A$3,Main!$B$43=$A5),Summary!R22,R5)</f>
        <v>6.4859587129729652</v>
      </c>
      <c r="S5" s="103">
        <f ca="1">IF(AND(Energy!$F$11=$A$3,Main!$B$43=A5),'Aerodynamics-Cruise'!W22,S5)</f>
        <v>1</v>
      </c>
      <c r="T5" s="103">
        <f ca="1">IF(AND(Energy!$F$11=$A$3,Main!$B$43=A5),'Aerodynamics-Cruise'!BL22,T5)</f>
        <v>28.526022581451898</v>
      </c>
      <c r="U5" s="103">
        <f ca="1">IF(AND(Energy!$F$11=$A$3,Main!$B$43=A5),'Propulsion-Cruise'!M22,U5)</f>
        <v>58.69621103106477</v>
      </c>
      <c r="V5" s="103">
        <f ca="1">IF(AND(Energy!$F$11=$A$3,Main!$B$43=A5),Endurance!AP22,V5)</f>
        <v>541.8236603547283</v>
      </c>
      <c r="W5" s="103">
        <f ca="1">IF(AND(Energy!$F$11=$A$3,Main!$B$43=$A5),Summary!W22,W5)</f>
        <v>0.83157894736842108</v>
      </c>
      <c r="X5" s="13">
        <f ca="1">IF(AND(Energy!$F$11=$A$3,Main!$B$43=A5),Energy!D22,X5)</f>
        <v>978.29274852155083</v>
      </c>
      <c r="Y5" s="102">
        <f ca="1">IF(AND(Energy!$F$11=$A$3,Main!$B$43=A5),'Aerodynamics-Cruise'!V22,Y5)</f>
        <v>137209.81739921746</v>
      </c>
      <c r="Z5" s="102">
        <f ca="1">IF(AND(Energy!$F$11=$A$3,Main!$B$43=$A5),Summary!Z22,Z5)</f>
        <v>103808.51659031452</v>
      </c>
      <c r="AA5" s="102">
        <f ca="1">IF(AND(Energy!$F$11=$A$3,Main!$B$43=$A5),Summary!AA22,AA5)</f>
        <v>103808.51659031452</v>
      </c>
      <c r="AB5" s="103">
        <f ca="1">IF(AND(Energy!$F$11=$A$3,Main!$B$43=$A5),Summary!AB22,AB5)</f>
        <v>6.4859587129729652</v>
      </c>
      <c r="AC5" s="103">
        <f ca="1">IF(AND(Energy!$F$11=$A$3,Main!$B$43=$A5),Summary!AC22,AC5)</f>
        <v>3.1263844781107819</v>
      </c>
      <c r="AD5" s="103">
        <f ca="1">IF(AND(Energy!$F$11=$A$3,Main!$B$43=$A5),Summary!AD22,AD5)</f>
        <v>0.43950864455476341</v>
      </c>
      <c r="AE5" s="103">
        <f ca="1">IF(AND(Energy!$F$11=$A$3,Main!$B$43=$A5),Summary!AE22,AE5)</f>
        <v>0.83157894736842108</v>
      </c>
      <c r="AF5" s="103">
        <f ca="1">IF(AND(Energy!$F$11=$A$3,Main!$B$43=$A5),Summary!AF22,AF5)</f>
        <v>20.789473684210524</v>
      </c>
      <c r="AG5" s="103">
        <f ca="1">IF(AND(Energy!$F$11=$A$3,Main!$B$43=$A5),Summary!AG22,AG5)</f>
        <v>11.460251984045879</v>
      </c>
      <c r="AH5" s="103">
        <f ca="1">IF(AND(Energy!$F$11=$A$3,Main!$B$43=$A5),Summary!AH22,AH5)</f>
        <v>47</v>
      </c>
      <c r="AI5" s="103">
        <f ca="1">IF(AND(Energy!$F$11=$A$3,Main!$B$43=$A5),Summary!AI22,AI5)</f>
        <v>2.6855786544703766</v>
      </c>
      <c r="AJ5" s="103">
        <f ca="1">IF(AND(Energy!$F$11=$A$3,Main!$B$43=$A5),Summary!AJ22,AJ5)</f>
        <v>0.27305431459594798</v>
      </c>
      <c r="AK5" s="103">
        <f ca="1">IF(AND(Energy!$F$11=$A$3,Main!$B$43=$A5),Summary!AK22,AK5)</f>
        <v>0.01</v>
      </c>
      <c r="AL5" s="103">
        <f ca="1">IF(AND(Energy!$F$11=$A$3,Main!$B$43=$A5),Summary!AL22,AL5)</f>
        <v>-0.45780343970350151</v>
      </c>
      <c r="AM5" s="103">
        <f ca="1">IF(AND(Energy!$F$11=$A$3,Main!$B$43=$A5),Summary!AM22,AM5)</f>
        <v>0</v>
      </c>
      <c r="AN5" s="6"/>
      <c r="AO5" s="6"/>
    </row>
    <row r="6" spans="1:55">
      <c r="A6">
        <f t="shared" ref="A6:A23" si="1">A5</f>
        <v>1</v>
      </c>
      <c r="C6" s="100"/>
      <c r="D6" s="1">
        <f ca="1">IF(AND(Energy!$F$11=$A$3,Main!$B$43=A6),Main!C23,D6)</f>
        <v>4.3157894736842106</v>
      </c>
      <c r="E6" s="103">
        <f ca="1">IF(AND(Energy!$F$11=$A$3,Main!$B$43=A6),Main!B23,E6)</f>
        <v>0.2</v>
      </c>
      <c r="F6" s="103">
        <f ca="1">IF(Main!$D$6=1,U6,IF(Main!$D$6=2,N6,IF(Main!$D$6=3,K6,IF(Main!$D$6=4,V6,J6))))</f>
        <v>534.33323039378172</v>
      </c>
      <c r="G6" s="103">
        <f ca="1">IF(AND(Energy!$F$11=$A$3,Main!$B$43=A6),Weight!H23,G6)</f>
        <v>15</v>
      </c>
      <c r="H6" s="103">
        <f ca="1">IF(AND(Energy!$F$11=$A$3,Main!$B$43=A6),Weight!U23,H6)</f>
        <v>10.985543582845608</v>
      </c>
      <c r="I6" s="103">
        <f ca="1">IF(AND(Energy!$F$11=$A$3,Main!$B$43=A6),Weight!V23,I6)</f>
        <v>38.30934983843602</v>
      </c>
      <c r="J6" s="103">
        <f ca="1">IF(AND(Energy!$F$11=$A$3,Main!$B$43=A6),Weight!I23,J6)</f>
        <v>22.386157980590408</v>
      </c>
      <c r="K6" s="103">
        <f ca="1">IF(AND(Energy!$F$11=$A$3,Main!$B$43=A6),Weight!W23,K6)</f>
        <v>53.309349278348144</v>
      </c>
      <c r="L6" s="103">
        <f ca="1">IF(AND(Energy!$F$11=$A$3,Main!$B$43=A6),'Aerodynamics-Cruise'!BI23,L6)</f>
        <v>53.309350403443503</v>
      </c>
      <c r="M6" s="103">
        <f ca="1">IF(AND(Energy!$F$11=$A$3,Main!$B$43=A6),'Aerodynamics-Cruise'!BJ23,M6)</f>
        <v>2.6344703676887269</v>
      </c>
      <c r="N6" s="103">
        <f ca="1">IF(AND(Energy!$F$11=$A$3,Main!$B$43=A6),'Aerodynamics-Cruise'!BK23,N6)</f>
        <v>20.235319803658619</v>
      </c>
      <c r="O6" s="103">
        <f t="shared" ca="1" si="0"/>
        <v>147.74465142033668</v>
      </c>
      <c r="P6" s="103">
        <f ca="1">IF(AND(Energy!$F$11=$A$3,Main!$B$43=A6),'Aerodynamics-Cruise'!H23,P6)</f>
        <v>10.61573605173686</v>
      </c>
      <c r="Q6" s="103">
        <f ca="1">IF(AND(Energy!$F$11=$A$3,Main!$B$43=A6),'Aerodynamics-Cruise'!I23,Q6)</f>
        <v>9.075955341266198</v>
      </c>
      <c r="R6" s="103">
        <f ca="1">IF(AND(Energy!$F$11=$A$3,Main!$B$43=$A6),Summary!R23,R6)</f>
        <v>6.2471286848590681</v>
      </c>
      <c r="S6" s="103">
        <f ca="1">IF(AND(Energy!$F$11=$A$3,Main!$B$43=A6),'Aerodynamics-Cruise'!W23,S6)</f>
        <v>1</v>
      </c>
      <c r="T6" s="103">
        <f ca="1">IF(AND(Energy!$F$11=$A$3,Main!$B$43=A6),'Aerodynamics-Cruise'!BL23,T6)</f>
        <v>27.96684205950568</v>
      </c>
      <c r="U6" s="103">
        <f ca="1">IF(AND(Energy!$F$11=$A$3,Main!$B$43=A6),'Propulsion-Cruise'!M23,U6)</f>
        <v>57.765769775699482</v>
      </c>
      <c r="V6" s="103">
        <f ca="1">IF(AND(Energy!$F$11=$A$3,Main!$B$43=A6),Endurance!AP23,V6)</f>
        <v>534.33323039378172</v>
      </c>
      <c r="W6" s="103">
        <f ca="1">IF(AND(Energy!$F$11=$A$3,Main!$B$43=$A6),Summary!W23,W6)</f>
        <v>0.86315789473684212</v>
      </c>
      <c r="X6" s="13">
        <f ca="1">IF(AND(Energy!$F$11=$A$3,Main!$B$43=A6),Energy!D23,X6)</f>
        <v>964.76835347908661</v>
      </c>
      <c r="Y6" s="102">
        <f ca="1">IF(AND(Energy!$F$11=$A$3,Main!$B$43=A6),'Aerodynamics-Cruise'!V23,Y6)</f>
        <v>134655.89932491654</v>
      </c>
      <c r="Z6" s="102">
        <f ca="1">IF(AND(Energy!$F$11=$A$3,Main!$B$43=$A6),Summary!Z23,Z6)</f>
        <v>101951.42908540156</v>
      </c>
      <c r="AA6" s="102">
        <f ca="1">IF(AND(Energy!$F$11=$A$3,Main!$B$43=$A6),Summary!AA23,AA6)</f>
        <v>101951.42908540156</v>
      </c>
      <c r="AB6" s="103">
        <f ca="1">IF(AND(Energy!$F$11=$A$3,Main!$B$43=$A6),Summary!AB23,AB6)</f>
        <v>6.2471286848590681</v>
      </c>
      <c r="AC6" s="103">
        <f ca="1">IF(AND(Energy!$F$11=$A$3,Main!$B$43=$A6),Summary!AC23,AC6)</f>
        <v>3.0873431012972481</v>
      </c>
      <c r="AD6" s="103">
        <f ca="1">IF(AND(Energy!$F$11=$A$3,Main!$B$43=$A6),Summary!AD23,AD6)</f>
        <v>0.43462387732585628</v>
      </c>
      <c r="AE6" s="103">
        <f ca="1">IF(AND(Energy!$F$11=$A$3,Main!$B$43=$A6),Summary!AE23,AE6)</f>
        <v>0.86315789473684212</v>
      </c>
      <c r="AF6" s="103">
        <f ca="1">IF(AND(Energy!$F$11=$A$3,Main!$B$43=$A6),Summary!AF23,AF6)</f>
        <v>21.578947368421055</v>
      </c>
      <c r="AG6" s="103">
        <f ca="1">IF(AND(Energy!$F$11=$A$3,Main!$B$43=$A6),Summary!AG23,AG6)</f>
        <v>11.379172347691032</v>
      </c>
      <c r="AH6" s="103">
        <f ca="1">IF(AND(Energy!$F$11=$A$3,Main!$B$43=$A6),Summary!AH23,AH6)</f>
        <v>47</v>
      </c>
      <c r="AI6" s="103">
        <f ca="1">IF(AND(Energy!$F$11=$A$3,Main!$B$43=$A6),Summary!AI23,AI6)</f>
        <v>2.6814617633467535</v>
      </c>
      <c r="AJ6" s="103">
        <f ca="1">IF(AND(Energy!$F$11=$A$3,Main!$B$43=$A6),Summary!AJ23,AJ6)</f>
        <v>0.27436649773170813</v>
      </c>
      <c r="AK6" s="103">
        <f ca="1">IF(AND(Energy!$F$11=$A$3,Main!$B$43=$A6),Summary!AK23,AK6)</f>
        <v>0.01</v>
      </c>
      <c r="AL6" s="103">
        <f ca="1">IF(AND(Energy!$F$11=$A$3,Main!$B$43=$A6),Summary!AL23,AL6)</f>
        <v>-0.4556151334781342</v>
      </c>
      <c r="AM6" s="103">
        <f ca="1">IF(AND(Energy!$F$11=$A$3,Main!$B$43=$A6),Summary!AM23,AM6)</f>
        <v>0</v>
      </c>
      <c r="AN6" s="6"/>
      <c r="AO6" s="6"/>
    </row>
    <row r="7" spans="1:55">
      <c r="A7">
        <f t="shared" si="1"/>
        <v>1</v>
      </c>
      <c r="C7" s="100"/>
      <c r="D7" s="1">
        <f ca="1">IF(AND(Energy!$F$11=$A$3,Main!$B$43=A7),Main!C24,D7)</f>
        <v>4.4736842105263159</v>
      </c>
      <c r="E7" s="103">
        <f ca="1">IF(AND(Energy!$F$11=$A$3,Main!$B$43=A7),Main!B24,E7)</f>
        <v>0.2</v>
      </c>
      <c r="F7" s="103">
        <f ca="1">IF(Main!$D$6=1,U7,IF(Main!$D$6=2,N7,IF(Main!$D$6=3,K7,IF(Main!$D$6=4,V7,J7))))</f>
        <v>528.45276681956102</v>
      </c>
      <c r="G7" s="103">
        <f ca="1">IF(AND(Energy!$F$11=$A$3,Main!$B$43=A7),Weight!H24,G7)</f>
        <v>15</v>
      </c>
      <c r="H7" s="103">
        <f ca="1">IF(AND(Energy!$F$11=$A$3,Main!$B$43=A7),Weight!U24,H7)</f>
        <v>11.296102073777085</v>
      </c>
      <c r="I7" s="103">
        <f ca="1">IF(AND(Energy!$F$11=$A$3,Main!$B$43=A7),Weight!V24,I7)</f>
        <v>38.373543034702436</v>
      </c>
      <c r="J7" s="103">
        <f ca="1">IF(AND(Energy!$F$11=$A$3,Main!$B$43=A7),Weight!I24,J7)</f>
        <v>22.139792685925354</v>
      </c>
      <c r="K7" s="103">
        <f ca="1">IF(AND(Energy!$F$11=$A$3,Main!$B$43=A7),Weight!W24,K7)</f>
        <v>53.373542671773919</v>
      </c>
      <c r="L7" s="103">
        <f ca="1">IF(AND(Energy!$F$11=$A$3,Main!$B$43=A7),'Aerodynamics-Cruise'!BI24,L7)</f>
        <v>53.373543400162056</v>
      </c>
      <c r="M7" s="103">
        <f ca="1">IF(AND(Energy!$F$11=$A$3,Main!$B$43=A7),'Aerodynamics-Cruise'!BJ24,M7)</f>
        <v>2.636393103758055</v>
      </c>
      <c r="N7" s="103">
        <f ca="1">IF(AND(Energy!$F$11=$A$3,Main!$B$43=A7),'Aerodynamics-Cruise'!BK24,N7)</f>
        <v>20.244910868595646</v>
      </c>
      <c r="O7" s="103">
        <f t="shared" ca="1" si="0"/>
        <v>147.90364840442919</v>
      </c>
      <c r="P7" s="103">
        <f ca="1">IF(AND(Energy!$F$11=$A$3,Main!$B$43=A7),'Aerodynamics-Cruise'!H24,P7)</f>
        <v>10.432952669612856</v>
      </c>
      <c r="Q7" s="103">
        <f ca="1">IF(AND(Energy!$F$11=$A$3,Main!$B$43=A7),'Aerodynamics-Cruise'!I24,Q7)</f>
        <v>8.9260099752489861</v>
      </c>
      <c r="R7" s="103">
        <f ca="1">IF(AND(Energy!$F$11=$A$3,Main!$B$43=$A7),Summary!R24,R7)</f>
        <v>6.0435951426443149</v>
      </c>
      <c r="S7" s="103">
        <f ca="1">IF(AND(Energy!$F$11=$A$3,Main!$B$43=A7),'Aerodynamics-Cruise'!W24,S7)</f>
        <v>1</v>
      </c>
      <c r="T7" s="103">
        <f ca="1">IF(AND(Energy!$F$11=$A$3,Main!$B$43=A7),'Aerodynamics-Cruise'!BL24,T7)</f>
        <v>27.505364470001524</v>
      </c>
      <c r="U7" s="103">
        <f ca="1">IF(AND(Energy!$F$11=$A$3,Main!$B$43=A7),'Propulsion-Cruise'!M24,U7)</f>
        <v>57.016293460004235</v>
      </c>
      <c r="V7" s="103">
        <f ca="1">IF(AND(Energy!$F$11=$A$3,Main!$B$43=A7),Endurance!AP24,V7)</f>
        <v>528.45276681956102</v>
      </c>
      <c r="W7" s="103">
        <f ca="1">IF(AND(Energy!$F$11=$A$3,Main!$B$43=$A7),Summary!W24,W7)</f>
        <v>0.89473684210526327</v>
      </c>
      <c r="X7" s="13">
        <f ca="1">IF(AND(Energy!$F$11=$A$3,Main!$B$43=A7),Energy!D24,X7)</f>
        <v>954.15084246997026</v>
      </c>
      <c r="Y7" s="102">
        <f ca="1">IF(AND(Energy!$F$11=$A$3,Main!$B$43=A7),'Aerodynamics-Cruise'!V24,Y7)</f>
        <v>132337.37326307734</v>
      </c>
      <c r="Z7" s="102">
        <f ca="1">IF(AND(Energy!$F$11=$A$3,Main!$B$43=$A7),Summary!Z24,Z7)</f>
        <v>100264.29929088577</v>
      </c>
      <c r="AA7" s="102">
        <f ca="1">IF(AND(Energy!$F$11=$A$3,Main!$B$43=$A7),Summary!AA24,AA7)</f>
        <v>100264.29929088577</v>
      </c>
      <c r="AB7" s="103">
        <f ca="1">IF(AND(Energy!$F$11=$A$3,Main!$B$43=$A7),Summary!AB24,AB7)</f>
        <v>6.0435951426443149</v>
      </c>
      <c r="AC7" s="103">
        <f ca="1">IF(AND(Energy!$F$11=$A$3,Main!$B$43=$A7),Summary!AC24,AC7)</f>
        <v>3.0459296361626254</v>
      </c>
      <c r="AD7" s="103">
        <f ca="1">IF(AND(Energy!$F$11=$A$3,Main!$B$43=$A7),Summary!AD24,AD7)</f>
        <v>0.43037354380095333</v>
      </c>
      <c r="AE7" s="103">
        <f ca="1">IF(AND(Energy!$F$11=$A$3,Main!$B$43=$A7),Summary!AE24,AE7)</f>
        <v>0.89473684210526327</v>
      </c>
      <c r="AF7" s="103">
        <f ca="1">IF(AND(Energy!$F$11=$A$3,Main!$B$43=$A7),Summary!AF24,AF7)</f>
        <v>22.368421052631575</v>
      </c>
      <c r="AG7" s="103">
        <f ca="1">IF(AND(Energy!$F$11=$A$3,Main!$B$43=$A7),Summary!AG24,AG7)</f>
        <v>11.317108702003081</v>
      </c>
      <c r="AH7" s="103">
        <f ca="1">IF(AND(Energy!$F$11=$A$3,Main!$B$43=$A7),Summary!AH24,AH7)</f>
        <v>47</v>
      </c>
      <c r="AI7" s="103">
        <f ca="1">IF(AND(Energy!$F$11=$A$3,Main!$B$43=$A7),Summary!AI24,AI7)</f>
        <v>2.6776623927832772</v>
      </c>
      <c r="AJ7" s="103">
        <f ca="1">IF(AND(Energy!$F$11=$A$3,Main!$B$43=$A7),Summary!AJ24,AJ7)</f>
        <v>0.27558314769256681</v>
      </c>
      <c r="AK7" s="103">
        <f ca="1">IF(AND(Energy!$F$11=$A$3,Main!$B$43=$A7),Summary!AK24,AK7)</f>
        <v>0.01</v>
      </c>
      <c r="AL7" s="103">
        <f ca="1">IF(AND(Energy!$F$11=$A$3,Main!$B$43=$A7),Summary!AL24,AL7)</f>
        <v>-0.45360482582145445</v>
      </c>
      <c r="AM7" s="103">
        <f ca="1">IF(AND(Energy!$F$11=$A$3,Main!$B$43=$A7),Summary!AM24,AM7)</f>
        <v>0</v>
      </c>
      <c r="AN7" s="6"/>
      <c r="AO7" s="6"/>
    </row>
    <row r="8" spans="1:55">
      <c r="A8">
        <f t="shared" si="1"/>
        <v>1</v>
      </c>
      <c r="C8" s="100"/>
      <c r="D8" s="1">
        <f ca="1">IF(AND(Energy!$F$11=$A$3,Main!$B$43=A8),Main!C25,D8)</f>
        <v>4.6315789473684212</v>
      </c>
      <c r="E8" s="103">
        <f ca="1">IF(AND(Energy!$F$11=$A$3,Main!$B$43=A8),Main!B25,E8)</f>
        <v>0.2</v>
      </c>
      <c r="F8" s="103">
        <f ca="1">IF(Main!$D$6=1,U8,IF(Main!$D$6=2,N8,IF(Main!$D$6=3,K8,IF(Main!$D$6=4,V8,J8))))</f>
        <v>523.93373186448616</v>
      </c>
      <c r="G8" s="103">
        <f ca="1">IF(AND(Energy!$F$11=$A$3,Main!$B$43=A8),Weight!H25,G8)</f>
        <v>15</v>
      </c>
      <c r="H8" s="103">
        <f ca="1">IF(AND(Energy!$F$11=$A$3,Main!$B$43=A8),Weight!U25,H8)</f>
        <v>11.61861828446478</v>
      </c>
      <c r="I8" s="103">
        <f ca="1">IF(AND(Energy!$F$11=$A$3,Main!$B$43=A8),Weight!V25,I8)</f>
        <v>38.506731691020505</v>
      </c>
      <c r="J8" s="103">
        <f ca="1">IF(AND(Energy!$F$11=$A$3,Main!$B$43=A8),Weight!I25,J8)</f>
        <v>21.950465131555728</v>
      </c>
      <c r="K8" s="103">
        <f ca="1">IF(AND(Energy!$F$11=$A$3,Main!$B$43=A8),Weight!W25,K8)</f>
        <v>53.506731520965488</v>
      </c>
      <c r="L8" s="103">
        <f ca="1">IF(AND(Energy!$F$11=$A$3,Main!$B$43=A8),'Aerodynamics-Cruise'!BI25,L8)</f>
        <v>53.50673186126145</v>
      </c>
      <c r="M8" s="103">
        <f ca="1">IF(AND(Energy!$F$11=$A$3,Main!$B$43=A8),'Aerodynamics-Cruise'!BJ25,M8)</f>
        <v>2.6422361149205789</v>
      </c>
      <c r="N8" s="103">
        <f ca="1">IF(AND(Energy!$F$11=$A$3,Main!$B$43=A8),'Aerodynamics-Cruise'!BK25,N8)</f>
        <v>20.250548979749212</v>
      </c>
      <c r="O8" s="103">
        <f t="shared" ca="1" si="0"/>
        <v>148.12931479464143</v>
      </c>
      <c r="P8" s="103">
        <f ca="1">IF(AND(Energy!$F$11=$A$3,Main!$B$43=A8),'Aerodynamics-Cruise'!H25,P8)</f>
        <v>10.26632633180753</v>
      </c>
      <c r="Q8" s="103">
        <f ca="1">IF(AND(Energy!$F$11=$A$3,Main!$B$43=A8),'Aerodynamics-Cruise'!I25,Q8)</f>
        <v>8.7892246095446751</v>
      </c>
      <c r="R8" s="103">
        <f ca="1">IF(AND(Energy!$F$11=$A$3,Main!$B$43=$A8),Summary!R25,R8)</f>
        <v>5.8693527285860565</v>
      </c>
      <c r="S8" s="103">
        <f ca="1">IF(AND(Energy!$F$11=$A$3,Main!$B$43=A8),'Aerodynamics-Cruise'!W25,S8)</f>
        <v>1</v>
      </c>
      <c r="T8" s="103">
        <f ca="1">IF(AND(Energy!$F$11=$A$3,Main!$B$43=A8),'Aerodynamics-Cruise'!BL25,T8)</f>
        <v>27.126058201461966</v>
      </c>
      <c r="U8" s="103">
        <f ca="1">IF(AND(Energy!$F$11=$A$3,Main!$B$43=A8),'Propulsion-Cruise'!M25,U8)</f>
        <v>56.419568721964964</v>
      </c>
      <c r="V8" s="103">
        <f ca="1">IF(AND(Energy!$F$11=$A$3,Main!$B$43=A8),Endurance!AP25,V8)</f>
        <v>523.93373186448616</v>
      </c>
      <c r="W8" s="103">
        <f ca="1">IF(AND(Energy!$F$11=$A$3,Main!$B$43=$A8),Summary!W25,W8)</f>
        <v>0.92631578947368431</v>
      </c>
      <c r="X8" s="13">
        <f ca="1">IF(AND(Energy!$F$11=$A$3,Main!$B$43=A8),Energy!D25,X8)</f>
        <v>945.99146667698653</v>
      </c>
      <c r="Y8" s="102">
        <f ca="1">IF(AND(Energy!$F$11=$A$3,Main!$B$43=A8),'Aerodynamics-Cruise'!V25,Y8)</f>
        <v>130223.7921360558</v>
      </c>
      <c r="Z8" s="102">
        <f ca="1">IF(AND(Energy!$F$11=$A$3,Main!$B$43=$A8),Summary!Z25,Z8)</f>
        <v>98725.282397552801</v>
      </c>
      <c r="AA8" s="102">
        <f ca="1">IF(AND(Energy!$F$11=$A$3,Main!$B$43=$A8),Summary!AA25,AA8)</f>
        <v>98725.282397552801</v>
      </c>
      <c r="AB8" s="103">
        <f ca="1">IF(AND(Energy!$F$11=$A$3,Main!$B$43=$A8),Summary!AB25,AB8)</f>
        <v>5.8693527285860565</v>
      </c>
      <c r="AC8" s="103">
        <f ca="1">IF(AND(Energy!$F$11=$A$3,Main!$B$43=$A8),Summary!AC25,AC8)</f>
        <v>3.0028020684651806</v>
      </c>
      <c r="AD8" s="103">
        <f ca="1">IF(AND(Energy!$F$11=$A$3,Main!$B$43=$A8),Summary!AD25,AD8)</f>
        <v>0.42667258418377352</v>
      </c>
      <c r="AE8" s="103">
        <f ca="1">IF(AND(Energy!$F$11=$A$3,Main!$B$43=$A8),Summary!AE25,AE8)</f>
        <v>0.92631578947368431</v>
      </c>
      <c r="AF8" s="103">
        <f ca="1">IF(AND(Energy!$F$11=$A$3,Main!$B$43=$A8),Summary!AF25,AF8)</f>
        <v>23.157894736842103</v>
      </c>
      <c r="AG8" s="103">
        <f ca="1">IF(AND(Energy!$F$11=$A$3,Main!$B$43=$A8),Summary!AG25,AG8)</f>
        <v>11.271235814492693</v>
      </c>
      <c r="AH8" s="103">
        <f ca="1">IF(AND(Energy!$F$11=$A$3,Main!$B$43=$A8),Summary!AH25,AH8)</f>
        <v>47</v>
      </c>
      <c r="AI8" s="103">
        <f ca="1">IF(AND(Energy!$F$11=$A$3,Main!$B$43=$A8),Summary!AI25,AI8)</f>
        <v>2.6741457816358292</v>
      </c>
      <c r="AJ8" s="103">
        <f ca="1">IF(AND(Energy!$F$11=$A$3,Main!$B$43=$A8),Summary!AJ25,AJ8)</f>
        <v>0.27671409696618093</v>
      </c>
      <c r="AK8" s="103">
        <f ca="1">IF(AND(Energy!$F$11=$A$3,Main!$B$43=$A8),Summary!AK25,AK8)</f>
        <v>0.01</v>
      </c>
      <c r="AL8" s="103">
        <f ca="1">IF(AND(Energy!$F$11=$A$3,Main!$B$43=$A8),Summary!AL25,AL8)</f>
        <v>-0.45175202865317871</v>
      </c>
      <c r="AM8" s="103">
        <f ca="1">IF(AND(Energy!$F$11=$A$3,Main!$B$43=$A8),Summary!AM25,AM8)</f>
        <v>0</v>
      </c>
      <c r="AN8" s="6"/>
      <c r="AO8" s="6"/>
    </row>
    <row r="9" spans="1:55">
      <c r="A9">
        <f t="shared" si="1"/>
        <v>1</v>
      </c>
      <c r="C9" s="6"/>
      <c r="D9" s="1">
        <f ca="1">IF(AND(Energy!$F$11=$A$3,Main!$B$43=A9),Main!C26,D9)</f>
        <v>4.7894736842105265</v>
      </c>
      <c r="E9" s="103">
        <f ca="1">IF(AND(Energy!$F$11=$A$3,Main!$B$43=A9),Main!B26,E9)</f>
        <v>0.2</v>
      </c>
      <c r="F9" s="103">
        <f ca="1">IF(Main!$D$6=1,U9,IF(Main!$D$6=2,N9,IF(Main!$D$6=3,K9,IF(Main!$D$6=4,V9,J9))))</f>
        <v>520.58013887369555</v>
      </c>
      <c r="G9" s="103">
        <f ca="1">IF(AND(Energy!$F$11=$A$3,Main!$B$43=A9),Weight!H26,G9)</f>
        <v>15</v>
      </c>
      <c r="H9" s="103">
        <f ca="1">IF(AND(Energy!$F$11=$A$3,Main!$B$43=A9),Weight!U26,H9)</f>
        <v>11.952601609551536</v>
      </c>
      <c r="I9" s="103">
        <f ca="1">IF(AND(Energy!$F$11=$A$3,Main!$B$43=A9),Weight!V26,I9)</f>
        <v>38.700214241348334</v>
      </c>
      <c r="J9" s="103">
        <f ca="1">IF(AND(Energy!$F$11=$A$3,Main!$B$43=A9),Weight!I26,J9)</f>
        <v>21.809964356796801</v>
      </c>
      <c r="K9" s="103">
        <f ca="1">IF(AND(Energy!$F$11=$A$3,Main!$B$43=A9),Weight!W26,K9)</f>
        <v>53.70021426097243</v>
      </c>
      <c r="L9" s="103">
        <f ca="1">IF(AND(Energy!$F$11=$A$3,Main!$B$43=A9),'Aerodynamics-Cruise'!BI26,L9)</f>
        <v>53.700214219616782</v>
      </c>
      <c r="M9" s="103">
        <f ca="1">IF(AND(Energy!$F$11=$A$3,Main!$B$43=A9),'Aerodynamics-Cruise'!BJ26,M9)</f>
        <v>2.6514714298095274</v>
      </c>
      <c r="N9" s="103">
        <f ca="1">IF(AND(Energy!$F$11=$A$3,Main!$B$43=A9),'Aerodynamics-Cruise'!BK26,N9)</f>
        <v>20.252986178121642</v>
      </c>
      <c r="O9" s="103">
        <f t="shared" ca="1" si="0"/>
        <v>148.41475360517902</v>
      </c>
      <c r="P9" s="103">
        <f ca="1">IF(AND(Energy!$F$11=$A$3,Main!$B$43=A9),'Aerodynamics-Cruise'!H26,P9)</f>
        <v>10.113888293991749</v>
      </c>
      <c r="Q9" s="103">
        <f ca="1">IF(AND(Energy!$F$11=$A$3,Main!$B$43=A9),'Aerodynamics-Cruise'!I26,Q9)</f>
        <v>8.6640064321057935</v>
      </c>
      <c r="R9" s="103">
        <f ca="1">IF(AND(Energy!$F$11=$A$3,Main!$B$43=$A9),Summary!R26,R9)</f>
        <v>5.7197396860444298</v>
      </c>
      <c r="S9" s="103">
        <f ca="1">IF(AND(Energy!$F$11=$A$3,Main!$B$43=A9),'Aerodynamics-Cruise'!W26,S9)</f>
        <v>1</v>
      </c>
      <c r="T9" s="103">
        <f ca="1">IF(AND(Energy!$F$11=$A$3,Main!$B$43=A9),'Aerodynamics-Cruise'!BL26,T9)</f>
        <v>26.816685855804145</v>
      </c>
      <c r="U9" s="103">
        <f ca="1">IF(AND(Energy!$F$11=$A$3,Main!$B$43=A9),'Propulsion-Cruise'!M26,U9)</f>
        <v>55.953343435254105</v>
      </c>
      <c r="V9" s="103">
        <f ca="1">IF(AND(Energy!$F$11=$A$3,Main!$B$43=A9),Endurance!AP26,V9)</f>
        <v>520.58013887369555</v>
      </c>
      <c r="W9" s="103">
        <f ca="1">IF(AND(Energy!$F$11=$A$3,Main!$B$43=$A9),Summary!W26,W9)</f>
        <v>0.95789473684210535</v>
      </c>
      <c r="X9" s="13">
        <f ca="1">IF(AND(Energy!$F$11=$A$3,Main!$B$43=A9),Energy!D26,X9)</f>
        <v>939.9363612613547</v>
      </c>
      <c r="Y9" s="102">
        <f ca="1">IF(AND(Energy!$F$11=$A$3,Main!$B$43=A9),'Aerodynamics-Cruise'!V26,Y9)</f>
        <v>128290.18329599319</v>
      </c>
      <c r="Z9" s="102">
        <f ca="1">IF(AND(Energy!$F$11=$A$3,Main!$B$43=$A9),Summary!Z26,Z9)</f>
        <v>97316.446927319237</v>
      </c>
      <c r="AA9" s="102">
        <f ca="1">IF(AND(Energy!$F$11=$A$3,Main!$B$43=$A9),Summary!AA26,AA9)</f>
        <v>97316.446927319237</v>
      </c>
      <c r="AB9" s="103">
        <f ca="1">IF(AND(Energy!$F$11=$A$3,Main!$B$43=$A9),Summary!AB26,AB9)</f>
        <v>5.7197396860444298</v>
      </c>
      <c r="AC9" s="103">
        <f ca="1">IF(AND(Energy!$F$11=$A$3,Main!$B$43=$A9),Summary!AC26,AC9)</f>
        <v>2.9584725577613673</v>
      </c>
      <c r="AD9" s="103">
        <f ca="1">IF(AND(Energy!$F$11=$A$3,Main!$B$43=$A9),Summary!AD26,AD9)</f>
        <v>0.42345161194632486</v>
      </c>
      <c r="AE9" s="103">
        <f ca="1">IF(AND(Energy!$F$11=$A$3,Main!$B$43=$A9),Summary!AE26,AE9)</f>
        <v>0.95789473684210535</v>
      </c>
      <c r="AF9" s="103">
        <f ca="1">IF(AND(Energy!$F$11=$A$3,Main!$B$43=$A9),Summary!AF26,AF9)</f>
        <v>23.947368421052634</v>
      </c>
      <c r="AG9" s="103">
        <f ca="1">IF(AND(Energy!$F$11=$A$3,Main!$B$43=$A9),Summary!AG26,AG9)</f>
        <v>11.239296026137175</v>
      </c>
      <c r="AH9" s="103">
        <f ca="1">IF(AND(Energy!$F$11=$A$3,Main!$B$43=$A9),Summary!AH26,AH9)</f>
        <v>47</v>
      </c>
      <c r="AI9" s="103">
        <f ca="1">IF(AND(Energy!$F$11=$A$3,Main!$B$43=$A9),Summary!AI26,AI9)</f>
        <v>2.670882877449051</v>
      </c>
      <c r="AJ9" s="103">
        <f ca="1">IF(AND(Energy!$F$11=$A$3,Main!$B$43=$A9),Summary!AJ26,AJ9)</f>
        <v>0.27776765107213475</v>
      </c>
      <c r="AK9" s="103">
        <f ca="1">IF(AND(Energy!$F$11=$A$3,Main!$B$43=$A9),Summary!AK26,AK9)</f>
        <v>0.01</v>
      </c>
      <c r="AL9" s="103">
        <f ca="1">IF(AND(Energy!$F$11=$A$3,Main!$B$43=$A9),Summary!AL26,AL9)</f>
        <v>-0.45003964322985562</v>
      </c>
      <c r="AM9" s="103">
        <f ca="1">IF(AND(Energy!$F$11=$A$3,Main!$B$43=$A9),Summary!AM26,AM9)</f>
        <v>0</v>
      </c>
      <c r="AN9" s="6"/>
      <c r="AO9" s="6"/>
    </row>
    <row r="10" spans="1:55">
      <c r="A10">
        <f t="shared" si="1"/>
        <v>1</v>
      </c>
      <c r="C10" s="104"/>
      <c r="D10" s="1">
        <f ca="1">IF(AND(Energy!$F$11=$A$3,Main!$B$43=A10),Main!C27,D10)</f>
        <v>4.9473684210526319</v>
      </c>
      <c r="E10" s="103">
        <f ca="1">IF(AND(Energy!$F$11=$A$3,Main!$B$43=A10),Main!B27,E10)</f>
        <v>0.2</v>
      </c>
      <c r="F10" s="103">
        <f ca="1">IF(Main!$D$6=1,U10,IF(Main!$D$6=2,N10,IF(Main!$D$6=3,K10,IF(Main!$D$6=4,V10,J10))))</f>
        <v>518.23534145653446</v>
      </c>
      <c r="G10" s="103">
        <f ca="1">IF(AND(Energy!$F$11=$A$3,Main!$B$43=A10),Weight!H27,G10)</f>
        <v>15</v>
      </c>
      <c r="H10" s="103">
        <f ca="1">IF(AND(Energy!$F$11=$A$3,Main!$B$43=A10),Weight!U27,H10)</f>
        <v>12.297673935484006</v>
      </c>
      <c r="I10" s="103">
        <f ca="1">IF(AND(Energy!$F$11=$A$3,Main!$B$43=A10),Weight!V27,I10)</f>
        <v>38.947049792124702</v>
      </c>
      <c r="J10" s="103">
        <f ca="1">IF(AND(Energy!$F$11=$A$3,Main!$B$43=A10),Weight!I27,J10)</f>
        <v>21.711727581640694</v>
      </c>
      <c r="K10" s="103">
        <f ca="1">IF(AND(Energy!$F$11=$A$3,Main!$B$43=A10),Weight!W27,K10)</f>
        <v>53.947049998939846</v>
      </c>
      <c r="L10" s="103">
        <f ca="1">IF(AND(Energy!$F$11=$A$3,Main!$B$43=A10),'Aerodynamics-Cruise'!BI27,L10)</f>
        <v>53.947049580970614</v>
      </c>
      <c r="M10" s="103">
        <f ca="1">IF(AND(Energy!$F$11=$A$3,Main!$B$43=A10),'Aerodynamics-Cruise'!BJ27,M10)</f>
        <v>2.6636717584792118</v>
      </c>
      <c r="N10" s="103">
        <f ca="1">IF(AND(Energy!$F$11=$A$3,Main!$B$43=A10),'Aerodynamics-Cruise'!BK27,N10)</f>
        <v>20.252889421995061</v>
      </c>
      <c r="O10" s="103">
        <f t="shared" ca="1" si="0"/>
        <v>148.75474929812705</v>
      </c>
      <c r="P10" s="103">
        <f ca="1">IF(AND(Energy!$F$11=$A$3,Main!$B$43=A10),'Aerodynamics-Cruise'!H27,P10)</f>
        <v>9.9740040495991131</v>
      </c>
      <c r="Q10" s="103">
        <f ca="1">IF(AND(Energy!$F$11=$A$3,Main!$B$43=A10),'Aerodynamics-Cruise'!I27,Q10)</f>
        <v>8.5490319752257324</v>
      </c>
      <c r="R10" s="103">
        <f ca="1">IF(AND(Energy!$F$11=$A$3,Main!$B$43=$A10),Summary!R27,R10)</f>
        <v>5.5910821655852416</v>
      </c>
      <c r="S10" s="103">
        <f ca="1">IF(AND(Energy!$F$11=$A$3,Main!$B$43=A10),'Aerodynamics-Cruise'!W27,S10)</f>
        <v>1</v>
      </c>
      <c r="T10" s="103">
        <f ca="1">IF(AND(Energy!$F$11=$A$3,Main!$B$43=A10),'Aerodynamics-Cruise'!BL27,T10)</f>
        <v>26.56747290587445</v>
      </c>
      <c r="U10" s="103">
        <f ca="1">IF(AND(Energy!$F$11=$A$3,Main!$B$43=A10),'Propulsion-Cruise'!M27,U10)</f>
        <v>55.599827812671222</v>
      </c>
      <c r="V10" s="103">
        <f ca="1">IF(AND(Energy!$F$11=$A$3,Main!$B$43=A10),Endurance!AP27,V10)</f>
        <v>518.23534145653446</v>
      </c>
      <c r="W10" s="103">
        <f ca="1">IF(AND(Energy!$F$11=$A$3,Main!$B$43=$A10),Summary!W27,W10)</f>
        <v>0.98947368421052639</v>
      </c>
      <c r="X10" s="13">
        <f ca="1">IF(AND(Energy!$F$11=$A$3,Main!$B$43=A10),Energy!D27,X10)</f>
        <v>935.70269243192661</v>
      </c>
      <c r="Y10" s="102">
        <f ca="1">IF(AND(Energy!$F$11=$A$3,Main!$B$43=A10),'Aerodynamics-Cruise'!V27,Y10)</f>
        <v>126515.81375267783</v>
      </c>
      <c r="Z10" s="102">
        <f ca="1">IF(AND(Energy!$F$11=$A$3,Main!$B$43=$A10),Summary!Z27,Z10)</f>
        <v>96022.894083854699</v>
      </c>
      <c r="AA10" s="102">
        <f ca="1">IF(AND(Energy!$F$11=$A$3,Main!$B$43=$A10),Summary!AA27,AA10)</f>
        <v>96022.894083854699</v>
      </c>
      <c r="AB10" s="103">
        <f ca="1">IF(AND(Energy!$F$11=$A$3,Main!$B$43=$A10),Summary!AB27,AB10)</f>
        <v>5.5910821655852416</v>
      </c>
      <c r="AC10" s="103">
        <f ca="1">IF(AND(Energy!$F$11=$A$3,Main!$B$43=$A10),Summary!AC27,AC10)</f>
        <v>2.9133423691658678</v>
      </c>
      <c r="AD10" s="103">
        <f ca="1">IF(AND(Energy!$F$11=$A$3,Main!$B$43=$A10),Summary!AD27,AD10)</f>
        <v>0.42065333297655594</v>
      </c>
      <c r="AE10" s="103">
        <f ca="1">IF(AND(Energy!$F$11=$A$3,Main!$B$43=$A10),Summary!AE27,AE10)</f>
        <v>0.98947368421052639</v>
      </c>
      <c r="AF10" s="103">
        <f ca="1">IF(AND(Energy!$F$11=$A$3,Main!$B$43=$A10),Summary!AF27,AF10)</f>
        <v>24.736842105263161</v>
      </c>
      <c r="AG10" s="103">
        <f ca="1">IF(AND(Energy!$F$11=$A$3,Main!$B$43=$A10),Summary!AG27,AG10)</f>
        <v>11.21946235068298</v>
      </c>
      <c r="AH10" s="103">
        <f ca="1">IF(AND(Energy!$F$11=$A$3,Main!$B$43=$A10),Summary!AH27,AH10)</f>
        <v>47</v>
      </c>
      <c r="AI10" s="103">
        <f ca="1">IF(AND(Energy!$F$11=$A$3,Main!$B$43=$A10),Summary!AI27,AI10)</f>
        <v>2.667849114806855</v>
      </c>
      <c r="AJ10" s="103">
        <f ca="1">IF(AND(Energy!$F$11=$A$3,Main!$B$43=$A10),Summary!AJ27,AJ10)</f>
        <v>0.27875091124154922</v>
      </c>
      <c r="AK10" s="103">
        <f ca="1">IF(AND(Energy!$F$11=$A$3,Main!$B$43=$A10),Summary!AK27,AK10)</f>
        <v>0.01</v>
      </c>
      <c r="AL10" s="103">
        <f ca="1">IF(AND(Energy!$F$11=$A$3,Main!$B$43=$A10),Summary!AL27,AL10)</f>
        <v>-0.4484532251382039</v>
      </c>
      <c r="AM10" s="103">
        <f ca="1">IF(AND(Energy!$F$11=$A$3,Main!$B$43=$A10),Summary!AM27,AM10)</f>
        <v>0</v>
      </c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</row>
    <row r="11" spans="1:55">
      <c r="A11">
        <f t="shared" si="1"/>
        <v>1</v>
      </c>
      <c r="C11" s="100"/>
      <c r="D11" s="1">
        <f ca="1">IF(AND(Energy!$F$11=$A$3,Main!$B$43=A11),Main!C28,D11)</f>
        <v>5.1052631578947372</v>
      </c>
      <c r="E11" s="103">
        <f ca="1">IF(AND(Energy!$F$11=$A$3,Main!$B$43=A11),Main!B28,E11)</f>
        <v>0.2</v>
      </c>
      <c r="F11" s="103">
        <f ca="1">IF(Main!$D$6=1,U11,IF(Main!$D$6=2,N11,IF(Main!$D$6=3,K11,IF(Main!$D$6=4,V11,J11))))</f>
        <v>516.77265106411414</v>
      </c>
      <c r="G11" s="103">
        <f ca="1">IF(AND(Energy!$F$11=$A$3,Main!$B$43=A11),Weight!H28,G11)</f>
        <v>15</v>
      </c>
      <c r="H11" s="103">
        <f ca="1">IF(AND(Energy!$F$11=$A$3,Main!$B$43=A11),Weight!U28,H11)</f>
        <v>12.653544191842997</v>
      </c>
      <c r="I11" s="103">
        <f ca="1">IF(AND(Energy!$F$11=$A$3,Main!$B$43=A11),Weight!V28,I11)</f>
        <v>39.241639592085342</v>
      </c>
      <c r="J11" s="103">
        <f ca="1">IF(AND(Energy!$F$11=$A$3,Main!$B$43=A11),Weight!I28,J11)</f>
        <v>21.650447125242344</v>
      </c>
      <c r="K11" s="103">
        <f ca="1">IF(AND(Energy!$F$11=$A$3,Main!$B$43=A11),Weight!W28,K11)</f>
        <v>54.241639984064129</v>
      </c>
      <c r="L11" s="103">
        <f ca="1">IF(AND(Energy!$F$11=$A$3,Main!$B$43=A11),'Aerodynamics-Cruise'!BI28,L11)</f>
        <v>54.241639193607824</v>
      </c>
      <c r="M11" s="103">
        <f ca="1">IF(AND(Energy!$F$11=$A$3,Main!$B$43=A11),'Aerodynamics-Cruise'!BJ28,M11)</f>
        <v>2.6784874400283387</v>
      </c>
      <c r="N11" s="103">
        <f ca="1">IF(AND(Energy!$F$11=$A$3,Main!$B$43=A11),'Aerodynamics-Cruise'!BK28,N11)</f>
        <v>20.250846945555939</v>
      </c>
      <c r="O11" s="103">
        <f t="shared" ca="1" si="0"/>
        <v>149.14530756683345</v>
      </c>
      <c r="P11" s="103">
        <f ca="1">IF(AND(Energy!$F$11=$A$3,Main!$B$43=A11),'Aerodynamics-Cruise'!H28,P11)</f>
        <v>9.8453020317207773</v>
      </c>
      <c r="Q11" s="103">
        <f ca="1">IF(AND(Energy!$F$11=$A$3,Main!$B$43=A11),'Aerodynamics-Cruise'!I28,Q11)</f>
        <v>8.4431898030691475</v>
      </c>
      <c r="R11" s="103">
        <f ca="1">IF(AND(Energy!$F$11=$A$3,Main!$B$43=$A11),Summary!R28,R11)</f>
        <v>5.4804463104169798</v>
      </c>
      <c r="S11" s="103">
        <f ca="1">IF(AND(Energy!$F$11=$A$3,Main!$B$43=A11),'Aerodynamics-Cruise'!W28,S11)</f>
        <v>1</v>
      </c>
      <c r="T11" s="103">
        <f ca="1">IF(AND(Energy!$F$11=$A$3,Main!$B$43=A11),'Aerodynamics-Cruise'!BL28,T11)</f>
        <v>26.370517835249586</v>
      </c>
      <c r="U11" s="103">
        <f ca="1">IF(AND(Energy!$F$11=$A$3,Main!$B$43=A11),'Propulsion-Cruise'!M28,U11)</f>
        <v>55.344629864441508</v>
      </c>
      <c r="V11" s="103">
        <f ca="1">IF(AND(Energy!$F$11=$A$3,Main!$B$43=A11),Endurance!AP28,V11)</f>
        <v>516.77265106411414</v>
      </c>
      <c r="W11" s="103">
        <f ca="1">IF(AND(Energy!$F$11=$A$3,Main!$B$43=$A11),Summary!W28,W11)</f>
        <v>1.0210526315789474</v>
      </c>
      <c r="X11" s="13">
        <f ca="1">IF(AND(Energy!$F$11=$A$3,Main!$B$43=A11),Energy!D28,X11)</f>
        <v>933.06171695488081</v>
      </c>
      <c r="Y11" s="102">
        <f ca="1">IF(AND(Energy!$F$11=$A$3,Main!$B$43=A11),'Aerodynamics-Cruise'!V28,Y11)</f>
        <v>124883.28578873099</v>
      </c>
      <c r="Z11" s="102">
        <f ca="1">IF(AND(Energy!$F$11=$A$3,Main!$B$43=$A11),Summary!Z28,Z11)</f>
        <v>94832.112380376144</v>
      </c>
      <c r="AA11" s="102">
        <f ca="1">IF(AND(Energy!$F$11=$A$3,Main!$B$43=$A11),Summary!AA28,AA11)</f>
        <v>94832.112380376144</v>
      </c>
      <c r="AB11" s="103">
        <f ca="1">IF(AND(Energy!$F$11=$A$3,Main!$B$43=$A11),Summary!AB28,AB11)</f>
        <v>5.4804463104169798</v>
      </c>
      <c r="AC11" s="103">
        <f ca="1">IF(AND(Energy!$F$11=$A$3,Main!$B$43=$A11),Summary!AC28,AC11)</f>
        <v>2.8677275112907186</v>
      </c>
      <c r="AD11" s="103">
        <f ca="1">IF(AND(Energy!$F$11=$A$3,Main!$B$43=$A11),Summary!AD28,AD11)</f>
        <v>0.41822993077090975</v>
      </c>
      <c r="AE11" s="103">
        <f ca="1">IF(AND(Energy!$F$11=$A$3,Main!$B$43=$A11),Summary!AE28,AE11)</f>
        <v>1.0210526315789474</v>
      </c>
      <c r="AF11" s="103">
        <f ca="1">IF(AND(Energy!$F$11=$A$3,Main!$B$43=$A11),Summary!AF28,AF11)</f>
        <v>25.526315789473685</v>
      </c>
      <c r="AG11" s="103">
        <f ca="1">IF(AND(Energy!$F$11=$A$3,Main!$B$43=$A11),Summary!AG28,AG11)</f>
        <v>11.210239886184132</v>
      </c>
      <c r="AH11" s="103">
        <f ca="1">IF(AND(Energy!$F$11=$A$3,Main!$B$43=$A11),Summary!AH28,AH11)</f>
        <v>47</v>
      </c>
      <c r="AI11" s="103">
        <f ca="1">IF(AND(Energy!$F$11=$A$3,Main!$B$43=$A11),Summary!AI28,AI11)</f>
        <v>2.6650235095792936</v>
      </c>
      <c r="AJ11" s="103">
        <f ca="1">IF(AND(Energy!$F$11=$A$3,Main!$B$43=$A11),Summary!AJ28,AJ11)</f>
        <v>0.27967004281957175</v>
      </c>
      <c r="AK11" s="103">
        <f ca="1">IF(AND(Energy!$F$11=$A$3,Main!$B$43=$A11),Summary!AK28,AK11)</f>
        <v>0.01</v>
      </c>
      <c r="AL11" s="103">
        <f ca="1">IF(AND(Energy!$F$11=$A$3,Main!$B$43=$A11),Summary!AL28,AL11)</f>
        <v>-0.44698039480192536</v>
      </c>
      <c r="AM11" s="103">
        <f ca="1">IF(AND(Energy!$F$11=$A$3,Main!$B$43=$A11),Summary!AM28,AM11)</f>
        <v>0</v>
      </c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0"/>
      <c r="BA11" s="100"/>
      <c r="BB11" s="100"/>
    </row>
    <row r="12" spans="1:55">
      <c r="A12">
        <f t="shared" si="1"/>
        <v>1</v>
      </c>
      <c r="C12" s="103"/>
      <c r="D12" s="1">
        <f ca="1">IF(AND(Energy!$F$11=$A$3,Main!$B$43=A12),Main!C29,D12)</f>
        <v>5.2631578947368425</v>
      </c>
      <c r="E12" s="103">
        <f ca="1">IF(AND(Energy!$F$11=$A$3,Main!$B$43=A12),Main!B29,E12)</f>
        <v>0.2</v>
      </c>
      <c r="F12" s="103">
        <f ca="1">IF(Main!$D$6=1,U12,IF(Main!$D$6=2,N12,IF(Main!$D$6=3,K12,IF(Main!$D$6=4,V12,J12))))</f>
        <v>516.08853827010228</v>
      </c>
      <c r="G12" s="103">
        <f ca="1">IF(AND(Energy!$F$11=$A$3,Main!$B$43=A12),Weight!H29,G12)</f>
        <v>15</v>
      </c>
      <c r="H12" s="103">
        <f ca="1">IF(AND(Energy!$F$11=$A$3,Main!$B$43=A12),Weight!U29,H12)</f>
        <v>13.019989711746163</v>
      </c>
      <c r="I12" s="103">
        <f ca="1">IF(AND(Energy!$F$11=$A$3,Main!$B$43=A12),Weight!V29,I12)</f>
        <v>39.579423556777662</v>
      </c>
      <c r="J12" s="103">
        <f ca="1">IF(AND(Energy!$F$11=$A$3,Main!$B$43=A12),Weight!I29,J12)</f>
        <v>21.621785570031498</v>
      </c>
      <c r="K12" s="103">
        <f ca="1">IF(AND(Energy!$F$11=$A$3,Main!$B$43=A12),Weight!W29,K12)</f>
        <v>54.579424132195399</v>
      </c>
      <c r="L12" s="103">
        <f ca="1">IF(AND(Energy!$F$11=$A$3,Main!$B$43=A12),'Aerodynamics-Cruise'!BI29,L12)</f>
        <v>54.57942297278241</v>
      </c>
      <c r="M12" s="103">
        <f ca="1">IF(AND(Energy!$F$11=$A$3,Main!$B$43=A12),'Aerodynamics-Cruise'!BJ29,M12)</f>
        <v>2.6956295298510571</v>
      </c>
      <c r="N12" s="103">
        <f ca="1">IF(AND(Energy!$F$11=$A$3,Main!$B$43=A12),'Aerodynamics-Cruise'!BK29,N12)</f>
        <v>20.247375378692379</v>
      </c>
      <c r="O12" s="103">
        <f t="shared" ca="1" si="0"/>
        <v>149.58333253052118</v>
      </c>
      <c r="P12" s="103">
        <f ca="1">IF(AND(Energy!$F$11=$A$3,Main!$B$43=A12),'Aerodynamics-Cruise'!H29,P12)</f>
        <v>9.7266203900676018</v>
      </c>
      <c r="Q12" s="103">
        <f ca="1">IF(AND(Energy!$F$11=$A$3,Main!$B$43=A12),'Aerodynamics-Cruise'!I29,Q12)</f>
        <v>8.3455377043534877</v>
      </c>
      <c r="R12" s="103">
        <f ca="1">IF(AND(Energy!$F$11=$A$3,Main!$B$43=$A12),Summary!R29,R12)</f>
        <v>5.3854617321837601</v>
      </c>
      <c r="S12" s="103">
        <f ca="1">IF(AND(Energy!$F$11=$A$3,Main!$B$43=A12),'Aerodynamics-Cruise'!W29,S12)</f>
        <v>1</v>
      </c>
      <c r="T12" s="103">
        <f ca="1">IF(AND(Energy!$F$11=$A$3,Main!$B$43=A12),'Aerodynamics-Cruise'!BL29,T12)</f>
        <v>26.219365149117635</v>
      </c>
      <c r="U12" s="103">
        <f ca="1">IF(AND(Energy!$F$11=$A$3,Main!$B$43=A12),'Propulsion-Cruise'!M29,U12)</f>
        <v>55.175984004571063</v>
      </c>
      <c r="V12" s="103">
        <f ca="1">IF(AND(Energy!$F$11=$A$3,Main!$B$43=A12),Endurance!AP29,V12)</f>
        <v>516.08853827010228</v>
      </c>
      <c r="W12" s="103">
        <f ca="1">IF(AND(Energy!$F$11=$A$3,Main!$B$43=$A12),Summary!W29,W12)</f>
        <v>1.0526315789473686</v>
      </c>
      <c r="X12" s="13">
        <f ca="1">IF(AND(Energy!$F$11=$A$3,Main!$B$43=A12),Energy!D29,X12)</f>
        <v>931.82650668508938</v>
      </c>
      <c r="Y12" s="102">
        <f ca="1">IF(AND(Energy!$F$11=$A$3,Main!$B$43=A12),'Aerodynamics-Cruise'!V29,Y12)</f>
        <v>123377.86184899854</v>
      </c>
      <c r="Z12" s="102">
        <f ca="1">IF(AND(Energy!$F$11=$A$3,Main!$B$43=$A12),Summary!Z29,Z12)</f>
        <v>93733.495614653963</v>
      </c>
      <c r="AA12" s="102">
        <f ca="1">IF(AND(Energy!$F$11=$A$3,Main!$B$43=$A12),Summary!AA29,AA12)</f>
        <v>93733.495614653963</v>
      </c>
      <c r="AB12" s="103">
        <f ca="1">IF(AND(Energy!$F$11=$A$3,Main!$B$43=$A12),Summary!AB29,AB12)</f>
        <v>5.3854617321837601</v>
      </c>
      <c r="AC12" s="103">
        <f ca="1">IF(AND(Energy!$F$11=$A$3,Main!$B$43=$A12),Summary!AC29,AC12)</f>
        <v>2.8218778180878128</v>
      </c>
      <c r="AD12" s="103">
        <f ca="1">IF(AND(Energy!$F$11=$A$3,Main!$B$43=$A12),Summary!AD29,AD12)</f>
        <v>0.41614112022117239</v>
      </c>
      <c r="AE12" s="103">
        <f ca="1">IF(AND(Energy!$F$11=$A$3,Main!$B$43=$A12),Summary!AE29,AE12)</f>
        <v>1.0526315789473686</v>
      </c>
      <c r="AF12" s="103">
        <f ca="1">IF(AND(Energy!$F$11=$A$3,Main!$B$43=$A12),Summary!AF29,AF12)</f>
        <v>26.315789473684212</v>
      </c>
      <c r="AG12" s="103">
        <f ca="1">IF(AND(Energy!$F$11=$A$3,Main!$B$43=$A12),Summary!AG29,AG12)</f>
        <v>11.210393429477669</v>
      </c>
      <c r="AH12" s="103">
        <f ca="1">IF(AND(Energy!$F$11=$A$3,Main!$B$43=$A12),Summary!AH29,AH12)</f>
        <v>47</v>
      </c>
      <c r="AI12" s="103">
        <f ca="1">IF(AND(Energy!$F$11=$A$3,Main!$B$43=$A12),Summary!AI29,AI12)</f>
        <v>2.6623879746002763</v>
      </c>
      <c r="AJ12" s="103">
        <f ca="1">IF(AND(Energy!$F$11=$A$3,Main!$B$43=$A12),Summary!AJ29,AJ12)</f>
        <v>0.2805303819532482</v>
      </c>
      <c r="AK12" s="103">
        <f ca="1">IF(AND(Energy!$F$11=$A$3,Main!$B$43=$A12),Summary!AK29,AK12)</f>
        <v>0.01</v>
      </c>
      <c r="AL12" s="103">
        <f ca="1">IF(AND(Energy!$F$11=$A$3,Main!$B$43=$A12),Summary!AL29,AL12)</f>
        <v>-0.44561054960387664</v>
      </c>
      <c r="AM12" s="103">
        <f ca="1">IF(AND(Energy!$F$11=$A$3,Main!$B$43=$A12),Summary!AM29,AM12)</f>
        <v>0</v>
      </c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</row>
    <row r="13" spans="1:55">
      <c r="A13">
        <f t="shared" si="1"/>
        <v>1</v>
      </c>
      <c r="C13" s="103"/>
      <c r="D13" s="1">
        <f ca="1">IF(AND(Energy!$F$11=$A$3,Main!$B$43=A13),Main!C30,D13)</f>
        <v>5.4210526315789478</v>
      </c>
      <c r="E13" s="103">
        <f ca="1">IF(AND(Energy!$F$11=$A$3,Main!$B$43=A13),Main!B30,E13)</f>
        <v>0.2</v>
      </c>
      <c r="F13" s="103">
        <f ca="1">IF(Main!$D$6=1,U13,IF(Main!$D$6=2,N13,IF(Main!$D$6=3,K13,IF(Main!$D$6=4,V13,J13))))</f>
        <v>516.09768387683368</v>
      </c>
      <c r="G13" s="103">
        <f ca="1">IF(AND(Energy!$F$11=$A$3,Main!$B$43=A13),Weight!H30,G13)</f>
        <v>15</v>
      </c>
      <c r="H13" s="103">
        <f ca="1">IF(AND(Energy!$F$11=$A$3,Main!$B$43=A13),Weight!U30,H13)</f>
        <v>13.396842770084085</v>
      </c>
      <c r="I13" s="103">
        <f ca="1">IF(AND(Energy!$F$11=$A$3,Main!$B$43=A13),Weight!V30,I13)</f>
        <v>39.956659497937778</v>
      </c>
      <c r="J13" s="103">
        <f ca="1">IF(AND(Energy!$F$11=$A$3,Main!$B$43=A13),Weight!I30,J13)</f>
        <v>21.622168452853696</v>
      </c>
      <c r="K13" s="103">
        <f ca="1">IF(AND(Energy!$F$11=$A$3,Main!$B$43=A13),Weight!W30,K13)</f>
        <v>54.956660239808208</v>
      </c>
      <c r="L13" s="103">
        <f ca="1">IF(AND(Energy!$F$11=$A$3,Main!$B$43=A13),'Aerodynamics-Cruise'!BI30,L13)</f>
        <v>54.9566587454024</v>
      </c>
      <c r="M13" s="103">
        <f ca="1">IF(AND(Energy!$F$11=$A$3,Main!$B$43=A13),'Aerodynamics-Cruise'!BJ30,M13)</f>
        <v>2.7148574805747501</v>
      </c>
      <c r="N13" s="103">
        <f ca="1">IF(AND(Energy!$F$11=$A$3,Main!$B$43=A13),'Aerodynamics-Cruise'!BK30,N13)</f>
        <v>20.242925876819058</v>
      </c>
      <c r="O13" s="103">
        <f t="shared" ca="1" si="0"/>
        <v>150.06639342292723</v>
      </c>
      <c r="P13" s="103">
        <f ca="1">IF(AND(Energy!$F$11=$A$3,Main!$B$43=A13),'Aerodynamics-Cruise'!H30,P13)</f>
        <v>9.616966873949778</v>
      </c>
      <c r="Q13" s="103">
        <f ca="1">IF(AND(Energy!$F$11=$A$3,Main!$B$43=A13),'Aerodynamics-Cruise'!I30,Q13)</f>
        <v>8.2552704132803267</v>
      </c>
      <c r="R13" s="103">
        <f ca="1">IF(AND(Energy!$F$11=$A$3,Main!$B$43=$A13),Summary!R30,R13)</f>
        <v>5.3041940694372194</v>
      </c>
      <c r="S13" s="103">
        <f ca="1">IF(AND(Energy!$F$11=$A$3,Main!$B$43=A13),'Aerodynamics-Cruise'!W30,S13)</f>
        <v>1</v>
      </c>
      <c r="T13" s="103">
        <f ca="1">IF(AND(Energy!$F$11=$A$3,Main!$B$43=A13),'Aerodynamics-Cruise'!BL30,T13)</f>
        <v>26.108694458182125</v>
      </c>
      <c r="U13" s="103">
        <f ca="1">IF(AND(Energy!$F$11=$A$3,Main!$B$43=A13),'Propulsion-Cruise'!M30,U13)</f>
        <v>55.084189383454685</v>
      </c>
      <c r="V13" s="103">
        <f ca="1">IF(AND(Energy!$F$11=$A$3,Main!$B$43=A13),Endurance!AP30,V13)</f>
        <v>516.09768387683368</v>
      </c>
      <c r="W13" s="103">
        <f ca="1">IF(AND(Energy!$F$11=$A$3,Main!$B$43=$A13),Summary!W30,W13)</f>
        <v>1.0842105263157895</v>
      </c>
      <c r="X13" s="13">
        <f ca="1">IF(AND(Energy!$F$11=$A$3,Main!$B$43=A13),Energy!D30,X13)</f>
        <v>931.8430136577274</v>
      </c>
      <c r="Y13" s="102">
        <f ca="1">IF(AND(Energy!$F$11=$A$3,Main!$B$43=A13),'Aerodynamics-Cruise'!V30,Y13)</f>
        <v>121986.95567395579</v>
      </c>
      <c r="Z13" s="102">
        <f ca="1">IF(AND(Energy!$F$11=$A$3,Main!$B$43=$A13),Summary!Z30,Z13)</f>
        <v>92717.979401370787</v>
      </c>
      <c r="AA13" s="102">
        <f ca="1">IF(AND(Energy!$F$11=$A$3,Main!$B$43=$A13),Summary!AA30,AA13)</f>
        <v>92717.979401370787</v>
      </c>
      <c r="AB13" s="103">
        <f ca="1">IF(AND(Energy!$F$11=$A$3,Main!$B$43=$A13),Summary!AB30,AB13)</f>
        <v>5.3041940694372194</v>
      </c>
      <c r="AC13" s="103">
        <f ca="1">IF(AND(Energy!$F$11=$A$3,Main!$B$43=$A13),Summary!AC30,AC13)</f>
        <v>2.7759911661635392</v>
      </c>
      <c r="AD13" s="103">
        <f ca="1">IF(AND(Energy!$F$11=$A$3,Main!$B$43=$A13),Summary!AD30,AD13)</f>
        <v>0.41435269558418308</v>
      </c>
      <c r="AE13" s="103">
        <f ca="1">IF(AND(Energy!$F$11=$A$3,Main!$B$43=$A13),Summary!AE30,AE13)</f>
        <v>1.0842105263157895</v>
      </c>
      <c r="AF13" s="103">
        <f ca="1">IF(AND(Energy!$F$11=$A$3,Main!$B$43=$A13),Summary!AF30,AF13)</f>
        <v>27.10526315789474</v>
      </c>
      <c r="AG13" s="103">
        <f ca="1">IF(AND(Energy!$F$11=$A$3,Main!$B$43=$A13),Summary!AG30,AG13)</f>
        <v>11.218894372102817</v>
      </c>
      <c r="AH13" s="103">
        <f ca="1">IF(AND(Energy!$F$11=$A$3,Main!$B$43=$A13),Summary!AH30,AH13)</f>
        <v>47</v>
      </c>
      <c r="AI13" s="103">
        <f ca="1">IF(AND(Energy!$F$11=$A$3,Main!$B$43=$A13),Summary!AI30,AI13)</f>
        <v>2.6599268027084584</v>
      </c>
      <c r="AJ13" s="103">
        <f ca="1">IF(AND(Energy!$F$11=$A$3,Main!$B$43=$A13),Summary!AJ30,AJ13)</f>
        <v>0.28139136687408961</v>
      </c>
      <c r="AK13" s="103">
        <f ca="1">IF(AND(Energy!$F$11=$A$3,Main!$B$43=$A13),Summary!AK30,AK13)</f>
        <v>0.01</v>
      </c>
      <c r="AL13" s="103">
        <f ca="1">IF(AND(Energy!$F$11=$A$3,Main!$B$43=$A13),Summary!AL30,AL13)</f>
        <v>-0.44424725537166992</v>
      </c>
      <c r="AM13" s="103">
        <f ca="1">IF(AND(Energy!$F$11=$A$3,Main!$B$43=$A13),Summary!AM30,AM13)</f>
        <v>0</v>
      </c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6"/>
    </row>
    <row r="14" spans="1:55">
      <c r="A14">
        <f t="shared" si="1"/>
        <v>1</v>
      </c>
      <c r="C14" s="103"/>
      <c r="D14" s="1">
        <f ca="1">IF(AND(Energy!$F$11=$A$3,Main!$B$43=A14),Main!C31,D14)</f>
        <v>5.5789473684210531</v>
      </c>
      <c r="E14" s="103">
        <f ca="1">IF(AND(Energy!$F$11=$A$3,Main!$B$43=A14),Main!B31,E14)</f>
        <v>0.2</v>
      </c>
      <c r="F14" s="103">
        <f ca="1">IF(Main!$D$6=1,U14,IF(Main!$D$6=2,N14,IF(Main!$D$6=3,K14,IF(Main!$D$6=4,V14,J14))))</f>
        <v>516.72906111822977</v>
      </c>
      <c r="G14" s="103">
        <f ca="1">IF(AND(Energy!$F$11=$A$3,Main!$B$43=A14),Weight!H31,G14)</f>
        <v>15</v>
      </c>
      <c r="H14" s="103">
        <f ca="1">IF(AND(Energy!$F$11=$A$3,Main!$B$43=A14),Weight!U31,H14)</f>
        <v>13.783979038853921</v>
      </c>
      <c r="I14" s="103">
        <f ca="1">IF(AND(Energy!$F$11=$A$3,Main!$B$43=A14),Weight!V31,I14)</f>
        <v>40.370247379477732</v>
      </c>
      <c r="J14" s="103">
        <f ca="1">IF(AND(Energy!$F$11=$A$3,Main!$B$43=A14),Weight!I31,J14)</f>
        <v>21.64862006562381</v>
      </c>
      <c r="K14" s="103">
        <f ca="1">IF(AND(Energy!$F$11=$A$3,Main!$B$43=A14),Weight!W31,K14)</f>
        <v>55.370248273791148</v>
      </c>
      <c r="L14" s="103">
        <f ca="1">IF(AND(Energy!$F$11=$A$3,Main!$B$43=A14),'Aerodynamics-Cruise'!BI31,L14)</f>
        <v>55.370246472554975</v>
      </c>
      <c r="M14" s="103">
        <f ca="1">IF(AND(Energy!$F$11=$A$3,Main!$B$43=A14),'Aerodynamics-Cruise'!BJ31,M14)</f>
        <v>2.7359688386497956</v>
      </c>
      <c r="N14" s="103">
        <f ca="1">IF(AND(Energy!$F$11=$A$3,Main!$B$43=A14),'Aerodynamics-Cruise'!BK31,N14)</f>
        <v>20.237893681523168</v>
      </c>
      <c r="O14" s="103">
        <f t="shared" ca="1" si="0"/>
        <v>150.5925677148181</v>
      </c>
      <c r="P14" s="103">
        <f ca="1">IF(AND(Energy!$F$11=$A$3,Main!$B$43=A14),'Aerodynamics-Cruise'!H31,P14)</f>
        <v>9.5154870104108831</v>
      </c>
      <c r="Q14" s="103">
        <f ca="1">IF(AND(Energy!$F$11=$A$3,Main!$B$43=A14),'Aerodynamics-Cruise'!I31,Q14)</f>
        <v>8.1716939744285781</v>
      </c>
      <c r="R14" s="103">
        <f ca="1">IF(AND(Energy!$F$11=$A$3,Main!$B$43=$A14),Summary!R31,R14)</f>
        <v>5.2350488616472974</v>
      </c>
      <c r="S14" s="103">
        <f ca="1">IF(AND(Energy!$F$11=$A$3,Main!$B$43=A14),'Aerodynamics-Cruise'!W31,S14)</f>
        <v>1</v>
      </c>
      <c r="T14" s="103">
        <f ca="1">IF(AND(Energy!$F$11=$A$3,Main!$B$43=A14),'Aerodynamics-Cruise'!BL31,T14)</f>
        <v>26.03407594506108</v>
      </c>
      <c r="U14" s="103">
        <f ca="1">IF(AND(Energy!$F$11=$A$3,Main!$B$43=A14),'Propulsion-Cruise'!M31,U14)</f>
        <v>55.061165759279021</v>
      </c>
      <c r="V14" s="103">
        <f ca="1">IF(AND(Energy!$F$11=$A$3,Main!$B$43=A14),Endurance!AP31,V14)</f>
        <v>516.72906111822977</v>
      </c>
      <c r="W14" s="103">
        <f ca="1">IF(AND(Energy!$F$11=$A$3,Main!$B$43=$A14),Summary!W31,W14)</f>
        <v>1.1157894736842107</v>
      </c>
      <c r="X14" s="13">
        <f ca="1">IF(AND(Energy!$F$11=$A$3,Main!$B$43=A14),Energy!D31,X14)</f>
        <v>932.98299496193636</v>
      </c>
      <c r="Y14" s="102">
        <f ca="1">IF(AND(Energy!$F$11=$A$3,Main!$B$43=A14),'Aerodynamics-Cruise'!V31,Y14)</f>
        <v>120699.72865346442</v>
      </c>
      <c r="Z14" s="102">
        <f ca="1">IF(AND(Energy!$F$11=$A$3,Main!$B$43=$A14),Summary!Z31,Z14)</f>
        <v>91777.752529905381</v>
      </c>
      <c r="AA14" s="102">
        <f ca="1">IF(AND(Energy!$F$11=$A$3,Main!$B$43=$A14),Summary!AA31,AA14)</f>
        <v>91777.752529905381</v>
      </c>
      <c r="AB14" s="103">
        <f ca="1">IF(AND(Energy!$F$11=$A$3,Main!$B$43=$A14),Summary!AB31,AB14)</f>
        <v>5.2350488616472974</v>
      </c>
      <c r="AC14" s="103">
        <f ca="1">IF(AND(Energy!$F$11=$A$3,Main!$B$43=$A14),Summary!AC31,AC14)</f>
        <v>2.7302248309836683</v>
      </c>
      <c r="AD14" s="103">
        <f ca="1">IF(AND(Energy!$F$11=$A$3,Main!$B$43=$A14),Summary!AD31,AD14)</f>
        <v>0.41283534721289067</v>
      </c>
      <c r="AE14" s="103">
        <f ca="1">IF(AND(Energy!$F$11=$A$3,Main!$B$43=$A14),Summary!AE31,AE14)</f>
        <v>1.1157894736842107</v>
      </c>
      <c r="AF14" s="103">
        <f ca="1">IF(AND(Energy!$F$11=$A$3,Main!$B$43=$A14),Summary!AF31,AF14)</f>
        <v>27.894736842105264</v>
      </c>
      <c r="AG14" s="103">
        <f ca="1">IF(AND(Energy!$F$11=$A$3,Main!$B$43=$A14),Summary!AG31,AG14)</f>
        <v>11.234877392475278</v>
      </c>
      <c r="AH14" s="103">
        <f ca="1">IF(AND(Energy!$F$11=$A$3,Main!$B$43=$A14),Summary!AH31,AH14)</f>
        <v>47</v>
      </c>
      <c r="AI14" s="103">
        <f ca="1">IF(AND(Energy!$F$11=$A$3,Main!$B$43=$A14),Summary!AI31,AI14)</f>
        <v>2.6576262364086691</v>
      </c>
      <c r="AJ14" s="103">
        <f ca="1">IF(AND(Energy!$F$11=$A$3,Main!$B$43=$A14),Summary!AJ31,AJ14)</f>
        <v>0.28221619636526984</v>
      </c>
      <c r="AK14" s="103">
        <f ca="1">IF(AND(Energy!$F$11=$A$3,Main!$B$43=$A14),Summary!AK31,AK14)</f>
        <v>0.01</v>
      </c>
      <c r="AL14" s="103">
        <f ca="1">IF(AND(Energy!$F$11=$A$3,Main!$B$43=$A14),Summary!AL31,AL14)</f>
        <v>-0.44294879685582911</v>
      </c>
      <c r="AM14" s="103">
        <f ca="1">IF(AND(Energy!$F$11=$A$3,Main!$B$43=$A14),Summary!AM31,AM14)</f>
        <v>0</v>
      </c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6"/>
    </row>
    <row r="15" spans="1:55">
      <c r="A15">
        <f t="shared" si="1"/>
        <v>1</v>
      </c>
      <c r="C15" s="103"/>
      <c r="D15" s="1">
        <f ca="1">IF(AND(Energy!$F$11=$A$3,Main!$B$43=A15),Main!C32,D15)</f>
        <v>5.7368421052631584</v>
      </c>
      <c r="E15" s="103">
        <f ca="1">IF(AND(Energy!$F$11=$A$3,Main!$B$43=A15),Main!B32,E15)</f>
        <v>0.2</v>
      </c>
      <c r="F15" s="103">
        <f ca="1">IF(Main!$D$6=1,U15,IF(Main!$D$6=2,N15,IF(Main!$D$6=3,K15,IF(Main!$D$6=4,V15,J15))))</f>
        <v>517.92318306195136</v>
      </c>
      <c r="G15" s="103">
        <f ca="1">IF(AND(Energy!$F$11=$A$3,Main!$B$43=A15),Weight!H32,G15)</f>
        <v>15</v>
      </c>
      <c r="H15" s="103">
        <f ca="1">IF(AND(Energy!$F$11=$A$3,Main!$B$43=A15),Weight!U32,H15)</f>
        <v>14.181310120034084</v>
      </c>
      <c r="I15" s="103">
        <f ca="1">IF(AND(Energy!$F$11=$A$3,Main!$B$43=A15),Weight!V32,I15)</f>
        <v>40.817606559023723</v>
      </c>
      <c r="J15" s="103">
        <f ca="1">IF(AND(Energy!$F$11=$A$3,Main!$B$43=A15),Weight!I32,J15)</f>
        <v>21.698648163989638</v>
      </c>
      <c r="K15" s="103">
        <f ca="1">IF(AND(Energy!$F$11=$A$3,Main!$B$43=A15),Weight!W32,K15)</f>
        <v>55.817607597091317</v>
      </c>
      <c r="L15" s="103">
        <f ca="1">IF(AND(Energy!$F$11=$A$3,Main!$B$43=A15),'Aerodynamics-Cruise'!BI32,L15)</f>
        <v>55.817605506573862</v>
      </c>
      <c r="M15" s="103">
        <f ca="1">IF(AND(Energy!$F$11=$A$3,Main!$B$43=A15),'Aerodynamics-Cruise'!BJ32,M15)</f>
        <v>2.7587923697970544</v>
      </c>
      <c r="N15" s="103">
        <f ca="1">IF(AND(Energy!$F$11=$A$3,Main!$B$43=A15),'Aerodynamics-Cruise'!BK32,N15)</f>
        <v>20.232622838042712</v>
      </c>
      <c r="O15" s="103">
        <f t="shared" ca="1" si="0"/>
        <v>151.16031448241077</v>
      </c>
      <c r="P15" s="103">
        <f ca="1">IF(AND(Energy!$F$11=$A$3,Main!$B$43=A15),'Aerodynamics-Cruise'!H32,P15)</f>
        <v>9.4214402641361499</v>
      </c>
      <c r="Q15" s="103">
        <f ca="1">IF(AND(Energy!$F$11=$A$3,Main!$B$43=A15),'Aerodynamics-Cruise'!I32,Q15)</f>
        <v>8.0942065439738702</v>
      </c>
      <c r="R15" s="103">
        <f ca="1">IF(AND(Energy!$F$11=$A$3,Main!$B$43=$A15),Summary!R32,R15)</f>
        <v>5.176701800184599</v>
      </c>
      <c r="S15" s="103">
        <f ca="1">IF(AND(Energy!$F$11=$A$3,Main!$B$43=A15),'Aerodynamics-Cruise'!W32,S15)</f>
        <v>1</v>
      </c>
      <c r="T15" s="103">
        <f ca="1">IF(AND(Energy!$F$11=$A$3,Main!$B$43=A15),'Aerodynamics-Cruise'!BL32,T15)</f>
        <v>25.991797513197554</v>
      </c>
      <c r="U15" s="103">
        <f ca="1">IF(AND(Energy!$F$11=$A$3,Main!$B$43=A15),'Propulsion-Cruise'!M32,U15)</f>
        <v>55.100140990090829</v>
      </c>
      <c r="V15" s="103">
        <f ca="1">IF(AND(Energy!$F$11=$A$3,Main!$B$43=A15),Endurance!AP32,V15)</f>
        <v>517.92318306195136</v>
      </c>
      <c r="W15" s="103">
        <f ca="1">IF(AND(Energy!$F$11=$A$3,Main!$B$43=$A15),Summary!W32,W15)</f>
        <v>1.1473684210526318</v>
      </c>
      <c r="X15" s="13">
        <f ca="1">IF(AND(Energy!$F$11=$A$3,Main!$B$43=A15),Energy!D32,X15)</f>
        <v>935.13904342766944</v>
      </c>
      <c r="Y15" s="102">
        <f ca="1">IF(AND(Energy!$F$11=$A$3,Main!$B$43=A15),'Aerodynamics-Cruise'!V32,Y15)</f>
        <v>119506.78742579193</v>
      </c>
      <c r="Z15" s="102">
        <f ca="1">IF(AND(Energy!$F$11=$A$3,Main!$B$43=$A15),Summary!Z32,Z15)</f>
        <v>90906.040790108163</v>
      </c>
      <c r="AA15" s="102">
        <f ca="1">IF(AND(Energy!$F$11=$A$3,Main!$B$43=$A15),Summary!AA32,AA15)</f>
        <v>90906.040790108163</v>
      </c>
      <c r="AB15" s="103">
        <f ca="1">IF(AND(Energy!$F$11=$A$3,Main!$B$43=$A15),Summary!AB32,AB15)</f>
        <v>5.176701800184599</v>
      </c>
      <c r="AC15" s="103">
        <f ca="1">IF(AND(Energy!$F$11=$A$3,Main!$B$43=$A15),Summary!AC32,AC15)</f>
        <v>2.6847036489627492</v>
      </c>
      <c r="AD15" s="103">
        <f ca="1">IF(AND(Energy!$F$11=$A$3,Main!$B$43=$A15),Summary!AD32,AD15)</f>
        <v>0.41156381380152951</v>
      </c>
      <c r="AE15" s="103">
        <f ca="1">IF(AND(Energy!$F$11=$A$3,Main!$B$43=$A15),Summary!AE32,AE15)</f>
        <v>1.1473684210526318</v>
      </c>
      <c r="AF15" s="103">
        <f ca="1">IF(AND(Energy!$F$11=$A$3,Main!$B$43=$A15),Summary!AF32,AF15)</f>
        <v>28.684210526315791</v>
      </c>
      <c r="AG15" s="103">
        <f ca="1">IF(AND(Energy!$F$11=$A$3,Main!$B$43=$A15),Summary!AG32,AG15)</f>
        <v>11.25761044514417</v>
      </c>
      <c r="AH15" s="103">
        <f ca="1">IF(AND(Energy!$F$11=$A$3,Main!$B$43=$A15),Summary!AH32,AH15)</f>
        <v>47</v>
      </c>
      <c r="AI15" s="103">
        <f ca="1">IF(AND(Energy!$F$11=$A$3,Main!$B$43=$A15),Summary!AI32,AI15)</f>
        <v>2.6554741567199258</v>
      </c>
      <c r="AJ15" s="103">
        <f ca="1">IF(AND(Energy!$F$11=$A$3,Main!$B$43=$A15),Summary!AJ32,AJ15)</f>
        <v>0.28299166508755597</v>
      </c>
      <c r="AK15" s="103">
        <f ca="1">IF(AND(Energy!$F$11=$A$3,Main!$B$43=$A15),Summary!AK32,AK15)</f>
        <v>0.01</v>
      </c>
      <c r="AL15" s="103">
        <f ca="1">IF(AND(Energy!$F$11=$A$3,Main!$B$43=$A15),Summary!AL32,AL15)</f>
        <v>-0.44173495908846855</v>
      </c>
      <c r="AM15" s="103">
        <f ca="1">IF(AND(Energy!$F$11=$A$3,Main!$B$43=$A15),Summary!AM32,AM15)</f>
        <v>0</v>
      </c>
      <c r="AN15" s="103"/>
      <c r="AO15" s="103"/>
      <c r="AP15" s="103"/>
      <c r="AQ15" s="103"/>
      <c r="AR15" s="100"/>
      <c r="AS15" s="103"/>
      <c r="AT15" s="100"/>
      <c r="AU15" s="103"/>
      <c r="AV15" s="103"/>
      <c r="AW15" s="103"/>
      <c r="AX15" s="103"/>
      <c r="AY15" s="103"/>
      <c r="AZ15" s="100"/>
      <c r="BA15" s="100"/>
      <c r="BB15" s="100"/>
      <c r="BC15" s="6"/>
    </row>
    <row r="16" spans="1:55">
      <c r="A16">
        <f t="shared" si="1"/>
        <v>1</v>
      </c>
      <c r="C16" s="103"/>
      <c r="D16" s="1">
        <f ca="1">IF(AND(Energy!$F$11=$A$3,Main!$B$43=A16),Main!C33,D16)</f>
        <v>5.8947368421052637</v>
      </c>
      <c r="E16" s="103">
        <f ca="1">IF(AND(Energy!$F$11=$A$3,Main!$B$43=A16),Main!B33,E16)</f>
        <v>0.2</v>
      </c>
      <c r="F16" s="103">
        <f ca="1">IF(Main!$D$6=1,U16,IF(Main!$D$6=2,N16,IF(Main!$D$6=3,K16,IF(Main!$D$6=4,V16,J16))))</f>
        <v>519.62991521481808</v>
      </c>
      <c r="G16" s="103">
        <f ca="1">IF(AND(Energy!$F$11=$A$3,Main!$B$43=A16),Weight!H33,G16)</f>
        <v>15</v>
      </c>
      <c r="H16" s="103">
        <f ca="1">IF(AND(Energy!$F$11=$A$3,Main!$B$43=A16),Weight!U33,H16)</f>
        <v>14.588777347687213</v>
      </c>
      <c r="I16" s="103">
        <f ca="1">IF(AND(Energy!$F$11=$A$3,Main!$B$43=A16),Weight!V33,I16)</f>
        <v>41.296577958481414</v>
      </c>
      <c r="J16" s="103">
        <f ca="1">IF(AND(Energy!$F$11=$A$3,Main!$B$43=A16),Weight!I33,J16)</f>
        <v>21.770152335794201</v>
      </c>
      <c r="K16" s="103">
        <f ca="1">IF(AND(Energy!$F$11=$A$3,Main!$B$43=A16),Weight!W33,K16)</f>
        <v>56.296579133037568</v>
      </c>
      <c r="L16" s="103">
        <f ca="1">IF(AND(Energy!$F$11=$A$3,Main!$B$43=A16),'Aerodynamics-Cruise'!BI33,L16)</f>
        <v>56.29657676793024</v>
      </c>
      <c r="M16" s="103">
        <f ca="1">IF(AND(Energy!$F$11=$A$3,Main!$B$43=A16),'Aerodynamics-Cruise'!BJ33,M16)</f>
        <v>2.7831823938607929</v>
      </c>
      <c r="N16" s="103">
        <f ca="1">IF(AND(Energy!$F$11=$A$3,Main!$B$43=A16),'Aerodynamics-Cruise'!BK33,N16)</f>
        <v>20.227411933946733</v>
      </c>
      <c r="O16" s="103">
        <f t="shared" ca="1" si="0"/>
        <v>151.76838500622651</v>
      </c>
      <c r="P16" s="103">
        <f ca="1">IF(AND(Energy!$F$11=$A$3,Main!$B$43=A16),'Aerodynamics-Cruise'!H33,P16)</f>
        <v>9.3341808859175561</v>
      </c>
      <c r="Q16" s="103">
        <f ca="1">IF(AND(Energy!$F$11=$A$3,Main!$B$43=A16),'Aerodynamics-Cruise'!I33,Q16)</f>
        <v>8.0222829531621116</v>
      </c>
      <c r="R16" s="103">
        <f ca="1">IF(AND(Energy!$F$11=$A$3,Main!$B$43=$A16),Summary!R33,R16)</f>
        <v>5.1280450396884563</v>
      </c>
      <c r="S16" s="103">
        <f ca="1">IF(AND(Energy!$F$11=$A$3,Main!$B$43=A16),'Aerodynamics-Cruise'!W33,S16)</f>
        <v>1</v>
      </c>
      <c r="T16" s="103">
        <f ca="1">IF(AND(Energy!$F$11=$A$3,Main!$B$43=A16),'Aerodynamics-Cruise'!BL33,T16)</f>
        <v>25.978727902797679</v>
      </c>
      <c r="U16" s="103">
        <f ca="1">IF(AND(Energy!$F$11=$A$3,Main!$B$43=A16),'Propulsion-Cruise'!M33,U16)</f>
        <v>55.195402836691102</v>
      </c>
      <c r="V16" s="103">
        <f ca="1">IF(AND(Energy!$F$11=$A$3,Main!$B$43=A16),Endurance!AP33,V16)</f>
        <v>519.62991521481808</v>
      </c>
      <c r="W16" s="103">
        <f ca="1">IF(AND(Energy!$F$11=$A$3,Main!$B$43=$A16),Summary!W33,W16)</f>
        <v>1.1789473684210527</v>
      </c>
      <c r="X16" s="13">
        <f ca="1">IF(AND(Energy!$F$11=$A$3,Main!$B$43=A16),Energy!D33,X16)</f>
        <v>938.22063838688427</v>
      </c>
      <c r="Y16" s="102">
        <f ca="1">IF(AND(Energy!$F$11=$A$3,Main!$B$43=A16),'Aerodynamics-Cruise'!V33,Y16)</f>
        <v>118399.94094889262</v>
      </c>
      <c r="Z16" s="102">
        <f ca="1">IF(AND(Energy!$F$11=$A$3,Main!$B$43=$A16),Summary!Z33,Z16)</f>
        <v>90096.933166207295</v>
      </c>
      <c r="AA16" s="102">
        <f ca="1">IF(AND(Energy!$F$11=$A$3,Main!$B$43=$A16),Summary!AA33,AA16)</f>
        <v>90096.933166207295</v>
      </c>
      <c r="AB16" s="103">
        <f ca="1">IF(AND(Energy!$F$11=$A$3,Main!$B$43=$A16),Summary!AB33,AB16)</f>
        <v>5.1280450396884563</v>
      </c>
      <c r="AC16" s="103">
        <f ca="1">IF(AND(Energy!$F$11=$A$3,Main!$B$43=$A16),Summary!AC33,AC16)</f>
        <v>2.639526536033066</v>
      </c>
      <c r="AD16" s="103">
        <f ca="1">IF(AND(Energy!$F$11=$A$3,Main!$B$43=$A16),Summary!AD33,AD16)</f>
        <v>0.41051619148339541</v>
      </c>
      <c r="AE16" s="103">
        <f ca="1">IF(AND(Energy!$F$11=$A$3,Main!$B$43=$A16),Summary!AE33,AE16)</f>
        <v>1.1789473684210527</v>
      </c>
      <c r="AF16" s="103">
        <f ca="1">IF(AND(Energy!$F$11=$A$3,Main!$B$43=$A16),Summary!AF33,AF16)</f>
        <v>29.473684210526322</v>
      </c>
      <c r="AG16" s="103">
        <f ca="1">IF(AND(Energy!$F$11=$A$3,Main!$B$43=$A16),Summary!AG33,AG16)</f>
        <v>11.286470423882287</v>
      </c>
      <c r="AH16" s="103">
        <f ca="1">IF(AND(Energy!$F$11=$A$3,Main!$B$43=$A16),Summary!AH33,AH16)</f>
        <v>47</v>
      </c>
      <c r="AI16" s="103">
        <f ca="1">IF(AND(Energy!$F$11=$A$3,Main!$B$43=$A16),Summary!AI33,AI16)</f>
        <v>2.6534598267223601</v>
      </c>
      <c r="AJ16" s="103">
        <f ca="1">IF(AND(Energy!$F$11=$A$3,Main!$B$43=$A16),Summary!AJ33,AJ16)</f>
        <v>0.28372122457638371</v>
      </c>
      <c r="AK16" s="103">
        <f ca="1">IF(AND(Energy!$F$11=$A$3,Main!$B$43=$A16),Summary!AK33,AK16)</f>
        <v>0.01</v>
      </c>
      <c r="AL16" s="103">
        <f ca="1">IF(AND(Energy!$F$11=$A$3,Main!$B$43=$A16),Summary!AL33,AL16)</f>
        <v>-0.44059905243109126</v>
      </c>
      <c r="AM16" s="103">
        <f ca="1">IF(AND(Energy!$F$11=$A$3,Main!$B$43=$A16),Summary!AM33,AM16)</f>
        <v>0</v>
      </c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6"/>
    </row>
    <row r="17" spans="1:55">
      <c r="A17">
        <f t="shared" si="1"/>
        <v>1</v>
      </c>
      <c r="C17" s="103"/>
      <c r="D17" s="1">
        <f ca="1">IF(AND(Energy!$F$11=$A$3,Main!$B$43=A17),Main!C34,D17)</f>
        <v>6.052631578947369</v>
      </c>
      <c r="E17" s="103">
        <f ca="1">IF(AND(Energy!$F$11=$A$3,Main!$B$43=A17),Main!B34,E17)</f>
        <v>0.2</v>
      </c>
      <c r="F17" s="103">
        <f ca="1">IF(Main!$D$6=1,U17,IF(Main!$D$6=2,N17,IF(Main!$D$6=3,K17,IF(Main!$D$6=4,V17,J17))))</f>
        <v>521.80674675907346</v>
      </c>
      <c r="G17" s="103">
        <f ca="1">IF(AND(Energy!$F$11=$A$3,Main!$B$43=A17),Weight!H34,G17)</f>
        <v>15</v>
      </c>
      <c r="H17" s="103">
        <f ca="1">IF(AND(Energy!$F$11=$A$3,Main!$B$43=A17),Weight!U34,H17)</f>
        <v>15.006346727540247</v>
      </c>
      <c r="I17" s="103">
        <f ca="1">IF(AND(Energy!$F$11=$A$3,Main!$B$43=A17),Weight!V34,I17)</f>
        <v>41.805346569639681</v>
      </c>
      <c r="J17" s="103">
        <f ca="1">IF(AND(Energy!$F$11=$A$3,Main!$B$43=A17),Weight!I34,J17)</f>
        <v>21.861351567099433</v>
      </c>
      <c r="K17" s="103">
        <f ca="1">IF(AND(Energy!$F$11=$A$3,Main!$B$43=A17),Weight!W34,K17)</f>
        <v>56.8053478745463</v>
      </c>
      <c r="L17" s="103">
        <f ca="1">IF(AND(Energy!$F$11=$A$3,Main!$B$43=A17),'Aerodynamics-Cruise'!BI34,L17)</f>
        <v>56.805345247275383</v>
      </c>
      <c r="M17" s="103">
        <f ca="1">IF(AND(Energy!$F$11=$A$3,Main!$B$43=A17),'Aerodynamics-Cruise'!BJ34,M17)</f>
        <v>2.8090142121618062</v>
      </c>
      <c r="N17" s="103">
        <f ca="1">IF(AND(Energy!$F$11=$A$3,Main!$B$43=A17),'Aerodynamics-Cruise'!BK34,N17)</f>
        <v>20.222519701514152</v>
      </c>
      <c r="O17" s="103">
        <f t="shared" ca="1" si="0"/>
        <v>152.41575756899604</v>
      </c>
      <c r="P17" s="103">
        <f ca="1">IF(AND(Energy!$F$11=$A$3,Main!$B$43=A17),'Aerodynamics-Cruise'!H34,P17)</f>
        <v>9.253142510035179</v>
      </c>
      <c r="Q17" s="103">
        <f ca="1">IF(AND(Energy!$F$11=$A$3,Main!$B$43=A17),'Aerodynamics-Cruise'!I34,Q17)</f>
        <v>7.9554622851012837</v>
      </c>
      <c r="R17" s="103">
        <f ca="1">IF(AND(Energy!$F$11=$A$3,Main!$B$43=$A17),Summary!R34,R17)</f>
        <v>5.0881456735497581</v>
      </c>
      <c r="S17" s="103">
        <f ca="1">IF(AND(Energy!$F$11=$A$3,Main!$B$43=A17),'Aerodynamics-Cruise'!W34,S17)</f>
        <v>1</v>
      </c>
      <c r="T17" s="103">
        <f ca="1">IF(AND(Energy!$F$11=$A$3,Main!$B$43=A17),'Aerodynamics-Cruise'!BL34,T17)</f>
        <v>25.992208817847388</v>
      </c>
      <c r="U17" s="103">
        <f ca="1">IF(AND(Energy!$F$11=$A$3,Main!$B$43=A17),'Propulsion-Cruise'!M34,U17)</f>
        <v>55.342102889528874</v>
      </c>
      <c r="V17" s="103">
        <f ca="1">IF(AND(Energy!$F$11=$A$3,Main!$B$43=A17),Endurance!AP34,V17)</f>
        <v>521.80674675907346</v>
      </c>
      <c r="W17" s="103">
        <f ca="1">IF(AND(Energy!$F$11=$A$3,Main!$B$43=$A17),Summary!W34,W17)</f>
        <v>1.2105263157894739</v>
      </c>
      <c r="X17" s="13">
        <f ca="1">IF(AND(Energy!$F$11=$A$3,Main!$B$43=A17),Energy!D34,X17)</f>
        <v>942.15102415260458</v>
      </c>
      <c r="Y17" s="102">
        <f ca="1">IF(AND(Energy!$F$11=$A$3,Main!$B$43=A17),'Aerodynamics-Cruise'!V34,Y17)</f>
        <v>117372.00512502792</v>
      </c>
      <c r="Z17" s="102">
        <f ca="1">IF(AND(Energy!$F$11=$A$3,Main!$B$43=$A17),Summary!Z34,Z17)</f>
        <v>89345.241962538013</v>
      </c>
      <c r="AA17" s="102">
        <f ca="1">IF(AND(Energy!$F$11=$A$3,Main!$B$43=$A17),Summary!AA34,AA17)</f>
        <v>89345.241962538013</v>
      </c>
      <c r="AB17" s="103">
        <f ca="1">IF(AND(Energy!$F$11=$A$3,Main!$B$43=$A17),Summary!AB34,AB17)</f>
        <v>5.0881456735497581</v>
      </c>
      <c r="AC17" s="103">
        <f ca="1">IF(AND(Energy!$F$11=$A$3,Main!$B$43=$A17),Summary!AC34,AC17)</f>
        <v>2.5947716489200867</v>
      </c>
      <c r="AD17" s="103">
        <f ca="1">IF(AND(Energy!$F$11=$A$3,Main!$B$43=$A17),Summary!AD34,AD17)</f>
        <v>0.40967337541208143</v>
      </c>
      <c r="AE17" s="103">
        <f ca="1">IF(AND(Energy!$F$11=$A$3,Main!$B$43=$A17),Summary!AE34,AE17)</f>
        <v>1.2105263157894739</v>
      </c>
      <c r="AF17" s="103">
        <f ca="1">IF(AND(Energy!$F$11=$A$3,Main!$B$43=$A17),Summary!AF34,AF17)</f>
        <v>30.263157894736842</v>
      </c>
      <c r="AG17" s="103">
        <f ca="1">IF(AND(Energy!$F$11=$A$3,Main!$B$43=$A17),Summary!AG34,AG17)</f>
        <v>11.320923649058789</v>
      </c>
      <c r="AH17" s="103">
        <f ca="1">IF(AND(Energy!$F$11=$A$3,Main!$B$43=$A17),Summary!AH34,AH17)</f>
        <v>47</v>
      </c>
      <c r="AI17" s="103">
        <f ca="1">IF(AND(Energy!$F$11=$A$3,Main!$B$43=$A17),Summary!AI34,AI17)</f>
        <v>2.6515736806537613</v>
      </c>
      <c r="AJ17" s="103">
        <f ca="1">IF(AND(Energy!$F$11=$A$3,Main!$B$43=$A17),Summary!AJ34,AJ17)</f>
        <v>0.28440797208175089</v>
      </c>
      <c r="AK17" s="103">
        <f ca="1">IF(AND(Energy!$F$11=$A$3,Main!$B$43=$A17),Summary!AK34,AK17)</f>
        <v>0.01</v>
      </c>
      <c r="AL17" s="103">
        <f ca="1">IF(AND(Energy!$F$11=$A$3,Main!$B$43=$A17),Summary!AL34,AL17)</f>
        <v>-0.43953513859603227</v>
      </c>
      <c r="AM17" s="103">
        <f ca="1">IF(AND(Energy!$F$11=$A$3,Main!$B$43=$A17),Summary!AM34,AM17)</f>
        <v>0</v>
      </c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6"/>
    </row>
    <row r="18" spans="1:55">
      <c r="A18">
        <f t="shared" si="1"/>
        <v>1</v>
      </c>
      <c r="D18" s="1">
        <f ca="1">IF(AND(Energy!$F$11=$A$3,Main!$B$43=A18),Main!C35,D18)</f>
        <v>6.2105263157894743</v>
      </c>
      <c r="E18" s="103">
        <f ca="1">IF(AND(Energy!$F$11=$A$3,Main!$B$43=A18),Main!B35,E18)</f>
        <v>0.2</v>
      </c>
      <c r="F18" s="103">
        <f ca="1">IF(Main!$D$6=1,U18,IF(Main!$D$6=2,N18,IF(Main!$D$6=3,K18,IF(Main!$D$6=4,V18,J18))))</f>
        <v>524.41744412251455</v>
      </c>
      <c r="G18" s="103">
        <f ca="1">IF(AND(Energy!$F$11=$A$3,Main!$B$43=A18),Weight!H35,G18)</f>
        <v>15</v>
      </c>
      <c r="H18" s="103">
        <f ca="1">IF(AND(Energy!$F$11=$A$3,Main!$B$43=A18),Weight!U35,H18)</f>
        <v>15.434004999655485</v>
      </c>
      <c r="I18" s="103">
        <f ca="1">IF(AND(Energy!$F$11=$A$3,Main!$B$43=A18),Weight!V35,I18)</f>
        <v>42.342381107363934</v>
      </c>
      <c r="J18" s="103">
        <f ca="1">IF(AND(Energy!$F$11=$A$3,Main!$B$43=A18),Weight!I35,J18)</f>
        <v>21.970727832708445</v>
      </c>
      <c r="K18" s="103">
        <f ca="1">IF(AND(Energy!$F$11=$A$3,Main!$B$43=A18),Weight!W35,K18)</f>
        <v>57.342382537385411</v>
      </c>
      <c r="L18" s="103">
        <f ca="1">IF(AND(Energy!$F$11=$A$3,Main!$B$43=A18),'Aerodynamics-Cruise'!BI35,L18)</f>
        <v>57.342379658562827</v>
      </c>
      <c r="M18" s="103">
        <f ca="1">IF(AND(Energy!$F$11=$A$3,Main!$B$43=A18),'Aerodynamics-Cruise'!BJ35,M18)</f>
        <v>2.8361805398982858</v>
      </c>
      <c r="N18" s="103">
        <f ca="1">IF(AND(Energy!$F$11=$A$3,Main!$B$43=A18),'Aerodynamics-Cruise'!BK35,N18)</f>
        <v>20.218169771596877</v>
      </c>
      <c r="O18" s="103">
        <f t="shared" ca="1" si="0"/>
        <v>153.10158785509969</v>
      </c>
      <c r="P18" s="103">
        <f ca="1">IF(AND(Energy!$F$11=$A$3,Main!$B$43=A18),'Aerodynamics-Cruise'!H35,P18)</f>
        <v>9.1778257960632725</v>
      </c>
      <c r="Q18" s="103">
        <f ca="1">IF(AND(Energy!$F$11=$A$3,Main!$B$43=A18),'Aerodynamics-Cruise'!I35,Q18)</f>
        <v>7.8933379029561426</v>
      </c>
      <c r="R18" s="103">
        <f ca="1">IF(AND(Energy!$F$11=$A$3,Main!$B$43=$A18),Summary!R35,R18)</f>
        <v>5.0562135812153643</v>
      </c>
      <c r="S18" s="103">
        <f ca="1">IF(AND(Energy!$F$11=$A$3,Main!$B$43=A18),'Aerodynamics-Cruise'!W35,S18)</f>
        <v>1</v>
      </c>
      <c r="T18" s="103">
        <f ca="1">IF(AND(Energy!$F$11=$A$3,Main!$B$43=A18),'Aerodynamics-Cruise'!BL35,T18)</f>
        <v>26.029970921371145</v>
      </c>
      <c r="U18" s="103">
        <f ca="1">IF(AND(Energy!$F$11=$A$3,Main!$B$43=A18),'Propulsion-Cruise'!M35,U18)</f>
        <v>55.536103838860619</v>
      </c>
      <c r="V18" s="103">
        <f ca="1">IF(AND(Energy!$F$11=$A$3,Main!$B$43=A18),Endurance!AP35,V18)</f>
        <v>524.41744412251455</v>
      </c>
      <c r="W18" s="103">
        <f ca="1">IF(AND(Energy!$F$11=$A$3,Main!$B$43=$A18),Summary!W35,W18)</f>
        <v>1.242105263157895</v>
      </c>
      <c r="X18" s="13">
        <f ca="1">IF(AND(Energy!$F$11=$A$3,Main!$B$43=A18),Energy!D35,X18)</f>
        <v>946.86477896225415</v>
      </c>
      <c r="Y18" s="102">
        <f ca="1">IF(AND(Energy!$F$11=$A$3,Main!$B$43=A18),'Aerodynamics-Cruise'!V35,Y18)</f>
        <v>116416.64604256231</v>
      </c>
      <c r="Z18" s="102">
        <f ca="1">IF(AND(Energy!$F$11=$A$3,Main!$B$43=$A18),Summary!Z35,Z18)</f>
        <v>88646.390531697776</v>
      </c>
      <c r="AA18" s="102">
        <f ca="1">IF(AND(Energy!$F$11=$A$3,Main!$B$43=$A18),Summary!AA35,AA18)</f>
        <v>88646.390531697776</v>
      </c>
      <c r="AB18" s="103">
        <f ca="1">IF(AND(Energy!$F$11=$A$3,Main!$B$43=$A18),Summary!AB35,AB18)</f>
        <v>5.0562135812153643</v>
      </c>
      <c r="AC18" s="103">
        <f ca="1">IF(AND(Energy!$F$11=$A$3,Main!$B$43=$A18),Summary!AC35,AC18)</f>
        <v>2.5505004173882844</v>
      </c>
      <c r="AD18" s="103">
        <f ca="1">IF(AND(Energy!$F$11=$A$3,Main!$B$43=$A18),Summary!AD35,AD18)</f>
        <v>0.40901861521504268</v>
      </c>
      <c r="AE18" s="103">
        <f ca="1">IF(AND(Energy!$F$11=$A$3,Main!$B$43=$A18),Summary!AE35,AE18)</f>
        <v>1.242105263157895</v>
      </c>
      <c r="AF18" s="103">
        <f ca="1">IF(AND(Energy!$F$11=$A$3,Main!$B$43=$A18),Summary!AF35,AF18)</f>
        <v>31.05263157894737</v>
      </c>
      <c r="AG18" s="103">
        <f ca="1">IF(AND(Energy!$F$11=$A$3,Main!$B$43=$A18),Summary!AG35,AG18)</f>
        <v>11.360510573961591</v>
      </c>
      <c r="AH18" s="103">
        <f ca="1">IF(AND(Energy!$F$11=$A$3,Main!$B$43=$A18),Summary!AH35,AH18)</f>
        <v>47</v>
      </c>
      <c r="AI18" s="103">
        <f ca="1">IF(AND(Energy!$F$11=$A$3,Main!$B$43=$A18),Summary!AI35,AI18)</f>
        <v>2.649807153813954</v>
      </c>
      <c r="AJ18" s="103">
        <f ca="1">IF(AND(Energy!$F$11=$A$3,Main!$B$43=$A18),Summary!AJ35,AJ18)</f>
        <v>0.28505469870875866</v>
      </c>
      <c r="AK18" s="103">
        <f ca="1">IF(AND(Energy!$F$11=$A$3,Main!$B$43=$A18),Summary!AK35,AK18)</f>
        <v>0.01</v>
      </c>
      <c r="AL18" s="103">
        <f ca="1">IF(AND(Energy!$F$11=$A$3,Main!$B$43=$A18),Summary!AL35,AL18)</f>
        <v>-0.43853792237933092</v>
      </c>
      <c r="AM18" s="103">
        <f ca="1">IF(AND(Energy!$F$11=$A$3,Main!$B$43=$A18),Summary!AM35,AM18)</f>
        <v>0</v>
      </c>
      <c r="AN18" s="104"/>
      <c r="AO18" s="104"/>
      <c r="AP18" s="104"/>
      <c r="AQ18" s="104"/>
      <c r="AR18" s="104"/>
      <c r="AS18" s="104"/>
      <c r="AT18" s="104"/>
      <c r="AU18" s="104"/>
      <c r="AV18" s="104"/>
      <c r="AW18" s="104"/>
      <c r="AX18" s="104"/>
      <c r="AY18" s="104"/>
      <c r="AZ18" s="104"/>
      <c r="BA18" s="100"/>
      <c r="BB18" s="100"/>
      <c r="BC18" s="6"/>
    </row>
    <row r="19" spans="1:55">
      <c r="A19">
        <f t="shared" si="1"/>
        <v>1</v>
      </c>
      <c r="C19" s="103"/>
      <c r="D19" s="1">
        <f ca="1">IF(AND(Energy!$F$11=$A$3,Main!$B$43=A19),Main!C36,D19)</f>
        <v>6.3684210526315796</v>
      </c>
      <c r="E19" s="103">
        <f ca="1">IF(AND(Energy!$F$11=$A$3,Main!$B$43=A19),Main!B36,E19)</f>
        <v>0.2</v>
      </c>
      <c r="F19" s="103">
        <f ca="1">IF(Main!$D$6=1,U19,IF(Main!$D$6=2,N19,IF(Main!$D$6=3,K19,IF(Main!$D$6=4,V19,J19))))</f>
        <v>527.43098141535381</v>
      </c>
      <c r="G19" s="103">
        <f ca="1">IF(AND(Energy!$F$11=$A$3,Main!$B$43=A19),Weight!H36,G19)</f>
        <v>15</v>
      </c>
      <c r="H19" s="103">
        <f ca="1">IF(AND(Energy!$F$11=$A$3,Main!$B$43=A19),Weight!U36,H19)</f>
        <v>15.871756475408446</v>
      </c>
      <c r="I19" s="103">
        <f ca="1">IF(AND(Energy!$F$11=$A$3,Main!$B$43=A19),Weight!V36,I19)</f>
        <v>42.906386036598931</v>
      </c>
      <c r="J19" s="103">
        <f ca="1">IF(AND(Energy!$F$11=$A$3,Main!$B$43=A19),Weight!I36,J19)</f>
        <v>22.096981286190484</v>
      </c>
      <c r="K19" s="103">
        <f ca="1">IF(AND(Energy!$F$11=$A$3,Main!$B$43=A19),Weight!W36,K19)</f>
        <v>57.906387587229162</v>
      </c>
      <c r="L19" s="103">
        <f ca="1">IF(AND(Energy!$F$11=$A$3,Main!$B$43=A19),'Aerodynamics-Cruise'!BI36,L19)</f>
        <v>57.906384465998812</v>
      </c>
      <c r="M19" s="103">
        <f ca="1">IF(AND(Energy!$F$11=$A$3,Main!$B$43=A19),'Aerodynamics-Cruise'!BJ36,M19)</f>
        <v>2.8645886465728441</v>
      </c>
      <c r="N19" s="103">
        <f ca="1">IF(AND(Energy!$F$11=$A$3,Main!$B$43=A19),'Aerodynamics-Cruise'!BK36,N19)</f>
        <v>20.214554901373795</v>
      </c>
      <c r="O19" s="103">
        <f t="shared" ca="1" si="0"/>
        <v>153.8251714836413</v>
      </c>
      <c r="P19" s="103">
        <f ca="1">IF(AND(Energy!$F$11=$A$3,Main!$B$43=A19),'Aerodynamics-Cruise'!H36,P19)</f>
        <v>9.1077883750724329</v>
      </c>
      <c r="Q19" s="103">
        <f ca="1">IF(AND(Energy!$F$11=$A$3,Main!$B$43=A19),'Aerodynamics-Cruise'!I36,Q19)</f>
        <v>7.8355493334736144</v>
      </c>
      <c r="R19" s="103">
        <f ca="1">IF(AND(Energy!$F$11=$A$3,Main!$B$43=$A19),Summary!R36,R19)</f>
        <v>5.0315761676065565</v>
      </c>
      <c r="S19" s="103">
        <f ca="1">IF(AND(Energy!$F$11=$A$3,Main!$B$43=A19),'Aerodynamics-Cruise'!W36,S19)</f>
        <v>1</v>
      </c>
      <c r="T19" s="103">
        <f ca="1">IF(AND(Energy!$F$11=$A$3,Main!$B$43=A19),'Aerodynamics-Cruise'!BL36,T19)</f>
        <v>26.090067174620625</v>
      </c>
      <c r="U19" s="103">
        <f ca="1">IF(AND(Energy!$F$11=$A$3,Main!$B$43=A19),'Propulsion-Cruise'!M36,U19)</f>
        <v>55.773858161007503</v>
      </c>
      <c r="V19" s="103">
        <f ca="1">IF(AND(Energy!$F$11=$A$3,Main!$B$43=A19),Endurance!AP36,V19)</f>
        <v>527.43098141535381</v>
      </c>
      <c r="W19" s="103">
        <f ca="1">IF(AND(Energy!$F$11=$A$3,Main!$B$43=$A19),Summary!W36,W19)</f>
        <v>1.273684210526316</v>
      </c>
      <c r="X19" s="13">
        <f ca="1">IF(AND(Energy!$F$11=$A$3,Main!$B$43=A19),Energy!D36,X19)</f>
        <v>952.30588381996915</v>
      </c>
      <c r="Y19" s="102">
        <f ca="1">IF(AND(Energy!$F$11=$A$3,Main!$B$43=A19),'Aerodynamics-Cruise'!V36,Y19)</f>
        <v>115528.25244800076</v>
      </c>
      <c r="Z19" s="102">
        <f ca="1">IF(AND(Energy!$F$11=$A$3,Main!$B$43=$A19),Summary!Z36,Z19)</f>
        <v>87996.32189352838</v>
      </c>
      <c r="AA19" s="102">
        <f ca="1">IF(AND(Energy!$F$11=$A$3,Main!$B$43=$A19),Summary!AA36,AA19)</f>
        <v>87996.32189352838</v>
      </c>
      <c r="AB19" s="103">
        <f ca="1">IF(AND(Energy!$F$11=$A$3,Main!$B$43=$A19),Summary!AB36,AB19)</f>
        <v>5.0315761676065565</v>
      </c>
      <c r="AC19" s="103">
        <f ca="1">IF(AND(Energy!$F$11=$A$3,Main!$B$43=$A19),Summary!AC36,AC19)</f>
        <v>2.5067607420564042</v>
      </c>
      <c r="AD19" s="103">
        <f ca="1">IF(AND(Energy!$F$11=$A$3,Main!$B$43=$A19),Summary!AD36,AD19)</f>
        <v>0.40853715430064236</v>
      </c>
      <c r="AE19" s="103">
        <f ca="1">IF(AND(Energy!$F$11=$A$3,Main!$B$43=$A19),Summary!AE36,AE19)</f>
        <v>1.273684210526316</v>
      </c>
      <c r="AF19" s="103">
        <f ca="1">IF(AND(Energy!$F$11=$A$3,Main!$B$43=$A19),Summary!AF36,AF19)</f>
        <v>31.842105263157897</v>
      </c>
      <c r="AG19" s="103">
        <f ca="1">IF(AND(Energy!$F$11=$A$3,Main!$B$43=$A19),Summary!AG36,AG19)</f>
        <v>11.404833530475827</v>
      </c>
      <c r="AH19" s="103">
        <f ca="1">IF(AND(Energy!$F$11=$A$3,Main!$B$43=$A19),Summary!AH36,AH19)</f>
        <v>47</v>
      </c>
      <c r="AI19" s="103">
        <f ca="1">IF(AND(Energy!$F$11=$A$3,Main!$B$43=$A19),Summary!AI36,AI19)</f>
        <v>2.6481525427151205</v>
      </c>
      <c r="AJ19" s="103">
        <f ca="1">IF(AND(Energy!$F$11=$A$3,Main!$B$43=$A19),Summary!AJ36,AJ19)</f>
        <v>0.28566392949955055</v>
      </c>
      <c r="AK19" s="103">
        <f ca="1">IF(AND(Energy!$F$11=$A$3,Main!$B$43=$A19),Summary!AK36,AK19)</f>
        <v>0.01</v>
      </c>
      <c r="AL19" s="103">
        <f ca="1">IF(AND(Energy!$F$11=$A$3,Main!$B$43=$A19),Summary!AL36,AL19)</f>
        <v>-0.43760266226404326</v>
      </c>
      <c r="AM19" s="103">
        <f ca="1">IF(AND(Energy!$F$11=$A$3,Main!$B$43=$A19),Summary!AM36,AM19)</f>
        <v>0</v>
      </c>
      <c r="AN19" s="104"/>
      <c r="AO19" s="104"/>
      <c r="AP19" s="104"/>
      <c r="AQ19" s="104"/>
      <c r="AR19" s="100"/>
      <c r="AS19" s="104"/>
      <c r="AT19" s="104"/>
      <c r="AU19" s="104"/>
      <c r="AV19" s="104"/>
      <c r="AW19" s="104"/>
      <c r="AX19" s="104"/>
      <c r="AY19" s="104"/>
      <c r="AZ19" s="104"/>
      <c r="BA19" s="100"/>
      <c r="BB19" s="100"/>
      <c r="BC19" s="6"/>
    </row>
    <row r="20" spans="1:55">
      <c r="A20">
        <f t="shared" si="1"/>
        <v>1</v>
      </c>
      <c r="C20" s="103"/>
      <c r="D20" s="1">
        <f ca="1">IF(AND(Energy!$F$11=$A$3,Main!$B$43=A20),Main!C37,D20)</f>
        <v>6.526315789473685</v>
      </c>
      <c r="E20" s="103">
        <f ca="1">IF(AND(Energy!$F$11=$A$3,Main!$B$43=A20),Main!B37,E20)</f>
        <v>0.2</v>
      </c>
      <c r="F20" s="103">
        <f ca="1">IF(Main!$D$6=1,U20,IF(Main!$D$6=2,N20,IF(Main!$D$6=3,K20,IF(Main!$D$6=4,V20,J20))))</f>
        <v>530.82068203867868</v>
      </c>
      <c r="G20" s="103">
        <f ca="1">IF(AND(Energy!$F$11=$A$3,Main!$B$43=A20),Weight!H37,G20)</f>
        <v>15</v>
      </c>
      <c r="H20" s="103">
        <f ca="1">IF(AND(Energy!$F$11=$A$3,Main!$B$43=A20),Weight!U37,H20)</f>
        <v>16.319620463483943</v>
      </c>
      <c r="I20" s="103">
        <f ca="1">IF(AND(Energy!$F$11=$A$3,Main!$B$43=A20),Weight!V37,I20)</f>
        <v>43.496263034268608</v>
      </c>
      <c r="J20" s="103">
        <f ca="1">IF(AND(Energy!$F$11=$A$3,Main!$B$43=A20),Weight!I37,J20)</f>
        <v>22.238994295784664</v>
      </c>
      <c r="K20" s="103">
        <f ca="1">IF(AND(Energy!$F$11=$A$3,Main!$B$43=A20),Weight!W37,K20)</f>
        <v>58.496264701978603</v>
      </c>
      <c r="L20" s="103">
        <f ca="1">IF(AND(Energy!$F$11=$A$3,Main!$B$43=A20),'Aerodynamics-Cruise'!BI37,L20)</f>
        <v>58.49626134564587</v>
      </c>
      <c r="M20" s="103">
        <f ca="1">IF(AND(Energy!$F$11=$A$3,Main!$B$43=A20),'Aerodynamics-Cruise'!BJ37,M20)</f>
        <v>2.8941580395092443</v>
      </c>
      <c r="N20" s="103">
        <f ca="1">IF(AND(Energy!$F$11=$A$3,Main!$B$43=A20),'Aerodynamics-Cruise'!BK37,N20)</f>
        <v>20.211840731256316</v>
      </c>
      <c r="O20" s="103">
        <f t="shared" ca="1" si="0"/>
        <v>154.58591551830176</v>
      </c>
      <c r="P20" s="103">
        <f ca="1">IF(AND(Energy!$F$11=$A$3,Main!$B$43=A20),'Aerodynamics-Cruise'!H37,P20)</f>
        <v>9.0426365985613195</v>
      </c>
      <c r="Q20" s="103">
        <f ca="1">IF(AND(Energy!$F$11=$A$3,Main!$B$43=A20),'Aerodynamics-Cruise'!I37,Q20)</f>
        <v>7.7817756024846672</v>
      </c>
      <c r="R20" s="103">
        <f ca="1">IF(AND(Energy!$F$11=$A$3,Main!$B$43=$A20),Summary!R37,R20)</f>
        <v>5.0136582559850549</v>
      </c>
      <c r="S20" s="103">
        <f ca="1">IF(AND(Energy!$F$11=$A$3,Main!$B$43=A20),'Aerodynamics-Cruise'!W37,S20)</f>
        <v>1</v>
      </c>
      <c r="T20" s="103">
        <f ca="1">IF(AND(Energy!$F$11=$A$3,Main!$B$43=A20),'Aerodynamics-Cruise'!BL37,T20)</f>
        <v>26.170819410086771</v>
      </c>
      <c r="U20" s="103">
        <f ca="1">IF(AND(Energy!$F$11=$A$3,Main!$B$43=A20),'Propulsion-Cruise'!M37,U20)</f>
        <v>56.052310765732294</v>
      </c>
      <c r="V20" s="103">
        <f ca="1">IF(AND(Energy!$F$11=$A$3,Main!$B$43=A20),Endurance!AP37,V20)</f>
        <v>530.82068203867868</v>
      </c>
      <c r="W20" s="103">
        <f ca="1">IF(AND(Energy!$F$11=$A$3,Main!$B$43=$A20),Summary!W37,W20)</f>
        <v>1.3052631578947371</v>
      </c>
      <c r="X20" s="13">
        <f ca="1">IF(AND(Energy!$F$11=$A$3,Main!$B$43=A20),Energy!D37,X20)</f>
        <v>958.42617259219469</v>
      </c>
      <c r="Y20" s="102">
        <f ca="1">IF(AND(Energy!$F$11=$A$3,Main!$B$43=A20),'Aerodynamics-Cruise'!V37,Y20)</f>
        <v>114701.83108485048</v>
      </c>
      <c r="Z20" s="102">
        <f ca="1">IF(AND(Energy!$F$11=$A$3,Main!$B$43=$A20),Summary!Z37,Z20)</f>
        <v>87391.423702959364</v>
      </c>
      <c r="AA20" s="102">
        <f ca="1">IF(AND(Energy!$F$11=$A$3,Main!$B$43=$A20),Summary!AA37,AA20)</f>
        <v>87391.423702959364</v>
      </c>
      <c r="AB20" s="103">
        <f ca="1">IF(AND(Energy!$F$11=$A$3,Main!$B$43=$A20),Summary!AB37,AB20)</f>
        <v>5.0136582559850549</v>
      </c>
      <c r="AC20" s="103">
        <f ca="1">IF(AND(Energy!$F$11=$A$3,Main!$B$43=$A20),Summary!AC37,AC20)</f>
        <v>2.4635898696682639</v>
      </c>
      <c r="AD20" s="103">
        <f ca="1">IF(AND(Energy!$F$11=$A$3,Main!$B$43=$A20),Summary!AD37,AD20)</f>
        <v>0.40821593429657083</v>
      </c>
      <c r="AE20" s="103">
        <f ca="1">IF(AND(Energy!$F$11=$A$3,Main!$B$43=$A20),Summary!AE37,AE20)</f>
        <v>1.3052631578947371</v>
      </c>
      <c r="AF20" s="103">
        <f ca="1">IF(AND(Energy!$F$11=$A$3,Main!$B$43=$A20),Summary!AF37,AF20)</f>
        <v>32.631578947368418</v>
      </c>
      <c r="AG20" s="103">
        <f ca="1">IF(AND(Energy!$F$11=$A$3,Main!$B$43=$A20),Summary!AG37,AG20)</f>
        <v>11.45354681219303</v>
      </c>
      <c r="AH20" s="103">
        <f ca="1">IF(AND(Energy!$F$11=$A$3,Main!$B$43=$A20),Summary!AH37,AH20)</f>
        <v>47</v>
      </c>
      <c r="AI20" s="103">
        <f ca="1">IF(AND(Energy!$F$11=$A$3,Main!$B$43=$A20),Summary!AI37,AI20)</f>
        <v>2.6466028890497157</v>
      </c>
      <c r="AJ20" s="103">
        <f ca="1">IF(AND(Energy!$F$11=$A$3,Main!$B$43=$A20),Summary!AJ37,AJ20)</f>
        <v>0.28623751353312543</v>
      </c>
      <c r="AK20" s="103">
        <f ca="1">IF(AND(Energy!$F$11=$A$3,Main!$B$43=$A20),Summary!AK37,AK20)</f>
        <v>0.01</v>
      </c>
      <c r="AL20" s="103">
        <f ca="1">IF(AND(Energy!$F$11=$A$3,Main!$B$43=$A20),Summary!AL37,AL20)</f>
        <v>-0.43672577880218133</v>
      </c>
      <c r="AM20" s="103">
        <f ca="1">IF(AND(Energy!$F$11=$A$3,Main!$B$43=$A20),Summary!AM37,AM20)</f>
        <v>0</v>
      </c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6"/>
    </row>
    <row r="21" spans="1:55">
      <c r="A21">
        <f t="shared" si="1"/>
        <v>1</v>
      </c>
      <c r="C21" s="103"/>
      <c r="D21" s="1">
        <f ca="1">IF(AND(Energy!$F$11=$A$3,Main!$B$43=A21),Main!C38,D21)</f>
        <v>6.6842105263157903</v>
      </c>
      <c r="E21" s="103">
        <f ca="1">IF(AND(Energy!$F$11=$A$3,Main!$B$43=A21),Main!B38,E21)</f>
        <v>0.2</v>
      </c>
      <c r="F21" s="103">
        <f ca="1">IF(Main!$D$6=1,U21,IF(Main!$D$6=2,N21,IF(Main!$D$6=3,K21,IF(Main!$D$6=4,V21,J21))))</f>
        <v>534.56352797570048</v>
      </c>
      <c r="G21" s="103">
        <f ca="1">IF(AND(Energy!$F$11=$A$3,Main!$B$43=A21),Weight!H38,G21)</f>
        <v>15</v>
      </c>
      <c r="H21" s="103">
        <f ca="1">IF(AND(Energy!$F$11=$A$3,Main!$B$43=A21),Weight!U38,H21)</f>
        <v>16.77762919568525</v>
      </c>
      <c r="I21" s="103">
        <f ca="1">IF(AND(Energy!$F$11=$A$3,Main!$B$43=A21),Weight!V38,I21)</f>
        <v>44.111079983062226</v>
      </c>
      <c r="J21" s="103">
        <f ca="1">IF(AND(Energy!$F$11=$A$3,Main!$B$43=A21),Weight!I38,J21)</f>
        <v>22.395802512376978</v>
      </c>
      <c r="K21" s="103">
        <f ca="1">IF(AND(Energy!$F$11=$A$3,Main!$B$43=A21),Weight!W38,K21)</f>
        <v>59.111081762269265</v>
      </c>
      <c r="L21" s="103">
        <f ca="1">IF(AND(Energy!$F$11=$A$3,Main!$B$43=A21),'Aerodynamics-Cruise'!BI38,L21)</f>
        <v>59.111078182464105</v>
      </c>
      <c r="M21" s="103">
        <f ca="1">IF(AND(Energy!$F$11=$A$3,Main!$B$43=A21),'Aerodynamics-Cruise'!BJ38,M21)</f>
        <v>2.9248185884983098</v>
      </c>
      <c r="N21" s="103">
        <f ca="1">IF(AND(Energy!$F$11=$A$3,Main!$B$43=A21),'Aerodynamics-Cruise'!BK38,N21)</f>
        <v>20.210169073362433</v>
      </c>
      <c r="O21" s="103">
        <f t="shared" ca="1" si="0"/>
        <v>155.38331664574352</v>
      </c>
      <c r="P21" s="103">
        <f ca="1">IF(AND(Energy!$F$11=$A$3,Main!$B$43=A21),'Aerodynamics-Cruise'!H38,P21)</f>
        <v>8.9820187324411158</v>
      </c>
      <c r="Q21" s="103">
        <f ca="1">IF(AND(Energy!$F$11=$A$3,Main!$B$43=A21),'Aerodynamics-Cruise'!I38,Q21)</f>
        <v>7.7317297351291385</v>
      </c>
      <c r="R21" s="103">
        <f ca="1">IF(AND(Energy!$F$11=$A$3,Main!$B$43=$A21),Summary!R38,R21)</f>
        <v>5.0019661903736372</v>
      </c>
      <c r="S21" s="103">
        <f ca="1">IF(AND(Energy!$F$11=$A$3,Main!$B$43=A21),'Aerodynamics-Cruise'!W38,S21)</f>
        <v>1</v>
      </c>
      <c r="T21" s="103">
        <f ca="1">IF(AND(Energy!$F$11=$A$3,Main!$B$43=A21),'Aerodynamics-Cruise'!BL38,T21)</f>
        <v>26.270775350883802</v>
      </c>
      <c r="U21" s="103">
        <f ca="1">IF(AND(Energy!$F$11=$A$3,Main!$B$43=A21),'Propulsion-Cruise'!M38,U21)</f>
        <v>56.368820737534001</v>
      </c>
      <c r="V21" s="103">
        <f ca="1">IF(AND(Energy!$F$11=$A$3,Main!$B$43=A21),Endurance!AP38,V21)</f>
        <v>534.56352797570048</v>
      </c>
      <c r="W21" s="103">
        <f ca="1">IF(AND(Energy!$F$11=$A$3,Main!$B$43=$A21),Summary!W38,W21)</f>
        <v>1.3368421052631581</v>
      </c>
      <c r="X21" s="13">
        <f ca="1">IF(AND(Energy!$F$11=$A$3,Main!$B$43=A21),Energy!D38,X21)</f>
        <v>965.18408501348495</v>
      </c>
      <c r="Y21" s="102">
        <f ca="1">IF(AND(Energy!$F$11=$A$3,Main!$B$43=A21),'Aerodynamics-Cruise'!V38,Y21)</f>
        <v>113932.92036233511</v>
      </c>
      <c r="Z21" s="102">
        <f ca="1">IF(AND(Energy!$F$11=$A$3,Main!$B$43=$A21),Summary!Z38,Z21)</f>
        <v>86828.466331957097</v>
      </c>
      <c r="AA21" s="102">
        <f ca="1">IF(AND(Energy!$F$11=$A$3,Main!$B$43=$A21),Summary!AA38,AA21)</f>
        <v>86828.466331957097</v>
      </c>
      <c r="AB21" s="103">
        <f ca="1">IF(AND(Energy!$F$11=$A$3,Main!$B$43=$A21),Summary!AB38,AB21)</f>
        <v>5.0019661903736372</v>
      </c>
      <c r="AC21" s="103">
        <f ca="1">IF(AND(Energy!$F$11=$A$3,Main!$B$43=$A21),Summary!AC38,AC21)</f>
        <v>2.4210158218531372</v>
      </c>
      <c r="AD21" s="103">
        <f ca="1">IF(AND(Energy!$F$11=$A$3,Main!$B$43=$A21),Summary!AD38,AD21)</f>
        <v>0.40804335263813729</v>
      </c>
      <c r="AE21" s="103">
        <f ca="1">IF(AND(Energy!$F$11=$A$3,Main!$B$43=$A21),Summary!AE38,AE21)</f>
        <v>1.3368421052631581</v>
      </c>
      <c r="AF21" s="103">
        <f ca="1">IF(AND(Energy!$F$11=$A$3,Main!$B$43=$A21),Summary!AF38,AF21)</f>
        <v>33.421052631578952</v>
      </c>
      <c r="AG21" s="103">
        <f ca="1">IF(AND(Energy!$F$11=$A$3,Main!$B$43=$A21),Summary!AG38,AG21)</f>
        <v>11.506348652988851</v>
      </c>
      <c r="AH21" s="103">
        <f ca="1">IF(AND(Energy!$F$11=$A$3,Main!$B$43=$A21),Summary!AH38,AH21)</f>
        <v>47</v>
      </c>
      <c r="AI21" s="103">
        <f ca="1">IF(AND(Energy!$F$11=$A$3,Main!$B$43=$A21),Summary!AI38,AI21)</f>
        <v>2.6451518835918253</v>
      </c>
      <c r="AJ21" s="103">
        <f ca="1">IF(AND(Energy!$F$11=$A$3,Main!$B$43=$A21),Summary!AJ38,AJ21)</f>
        <v>0.28677740607124752</v>
      </c>
      <c r="AK21" s="103">
        <f ca="1">IF(AND(Energy!$F$11=$A$3,Main!$B$43=$A21),Summary!AK38,AK21)</f>
        <v>0.01</v>
      </c>
      <c r="AL21" s="103">
        <f ca="1">IF(AND(Energy!$F$11=$A$3,Main!$B$43=$A21),Summary!AL38,AL21)</f>
        <v>-0.43590362351980461</v>
      </c>
      <c r="AM21" s="103">
        <f ca="1">IF(AND(Energy!$F$11=$A$3,Main!$B$43=$A21),Summary!AM38,AM21)</f>
        <v>0</v>
      </c>
      <c r="AN21" s="101"/>
      <c r="AO21" s="101"/>
      <c r="AP21" s="101"/>
      <c r="AQ21" s="101"/>
      <c r="AR21" s="103"/>
      <c r="AS21" s="103"/>
      <c r="AT21" s="103"/>
      <c r="AU21" s="101"/>
      <c r="AV21" s="101"/>
      <c r="AW21" s="101"/>
      <c r="AX21" s="101"/>
      <c r="AY21" s="101"/>
      <c r="AZ21" s="105"/>
      <c r="BA21" s="100"/>
      <c r="BB21" s="100"/>
      <c r="BC21" s="6"/>
    </row>
    <row r="22" spans="1:55">
      <c r="A22">
        <f t="shared" si="1"/>
        <v>1</v>
      </c>
      <c r="C22" s="103"/>
      <c r="D22" s="1">
        <f ca="1">IF(AND(Energy!$F$11=$A$3,Main!$B$43=A22),Main!C39,D22)</f>
        <v>6.8421052631578956</v>
      </c>
      <c r="E22" s="103">
        <f ca="1">IF(AND(Energy!$F$11=$A$3,Main!$B$43=A22),Main!B39,E22)</f>
        <v>0.2</v>
      </c>
      <c r="F22" s="103">
        <f ca="1">IF(Main!$D$6=1,U22,IF(Main!$D$6=2,N22,IF(Main!$D$6=3,K22,IF(Main!$D$6=4,V22,J22))))</f>
        <v>538.63959772348232</v>
      </c>
      <c r="G22" s="103">
        <f ca="1">IF(AND(Energy!$F$11=$A$3,Main!$B$43=A22),Weight!H39,G22)</f>
        <v>15</v>
      </c>
      <c r="H22" s="103">
        <f ca="1">IF(AND(Energy!$F$11=$A$3,Main!$B$43=A22),Weight!U39,H22)</f>
        <v>17.245826095258572</v>
      </c>
      <c r="I22" s="103">
        <f ca="1">IF(AND(Energy!$F$11=$A$3,Main!$B$43=A22),Weight!V39,I22)</f>
        <v>44.750045685514038</v>
      </c>
      <c r="J22" s="103">
        <f ca="1">IF(AND(Energy!$F$11=$A$3,Main!$B$43=A22),Weight!I39,J22)</f>
        <v>22.566571315255462</v>
      </c>
      <c r="K22" s="103">
        <f ca="1">IF(AND(Energy!$F$11=$A$3,Main!$B$43=A22),Weight!W39,K22)</f>
        <v>59.750047571127517</v>
      </c>
      <c r="L22" s="103">
        <f ca="1">IF(AND(Energy!$F$11=$A$3,Main!$B$43=A22),'Aerodynamics-Cruise'!BI39,L22)</f>
        <v>59.75004377819895</v>
      </c>
      <c r="M22" s="103">
        <f ca="1">IF(AND(Energy!$F$11=$A$3,Main!$B$43=A22),'Aerodynamics-Cruise'!BJ39,M22)</f>
        <v>2.956508984986518</v>
      </c>
      <c r="N22" s="103">
        <f ca="1">IF(AND(Energy!$F$11=$A$3,Main!$B$43=A22),'Aerodynamics-Cruise'!BK39,N22)</f>
        <v>20.20966081334991</v>
      </c>
      <c r="O22" s="103">
        <f t="shared" ca="1" si="0"/>
        <v>156.2169443249939</v>
      </c>
      <c r="P22" s="103">
        <f ca="1">IF(AND(Energy!$F$11=$A$3,Main!$B$43=A22),'Aerodynamics-Cruise'!H39,P22)</f>
        <v>8.9256192899841533</v>
      </c>
      <c r="Q22" s="103">
        <f ca="1">IF(AND(Energy!$F$11=$A$3,Main!$B$43=A22),'Aerodynamics-Cruise'!I39,Q22)</f>
        <v>7.6851541743064358</v>
      </c>
      <c r="R22" s="103">
        <f ca="1">IF(AND(Energy!$F$11=$A$3,Main!$B$43=$A22),Summary!R39,R22)</f>
        <v>4.9960749361326995</v>
      </c>
      <c r="S22" s="103">
        <f ca="1">IF(AND(Energy!$F$11=$A$3,Main!$B$43=A22),'Aerodynamics-Cruise'!W39,S22)</f>
        <v>1</v>
      </c>
      <c r="T22" s="103">
        <f ca="1">IF(AND(Energy!$F$11=$A$3,Main!$B$43=A22),'Aerodynamics-Cruise'!BL39,T22)</f>
        <v>26.388673627407137</v>
      </c>
      <c r="U22" s="103">
        <f ca="1">IF(AND(Energy!$F$11=$A$3,Main!$B$43=A22),'Propulsion-Cruise'!M39,U22)</f>
        <v>56.721097457154983</v>
      </c>
      <c r="V22" s="103">
        <f ca="1">IF(AND(Energy!$F$11=$A$3,Main!$B$43=A22),Endurance!AP39,V22)</f>
        <v>538.63959772348232</v>
      </c>
      <c r="W22" s="103">
        <f ca="1">IF(AND(Energy!$F$11=$A$3,Main!$B$43=$A22),Summary!W39,W22)</f>
        <v>1.3684210526315792</v>
      </c>
      <c r="X22" s="13">
        <f ca="1">IF(AND(Energy!$F$11=$A$3,Main!$B$43=A22),Energy!D39,X22)</f>
        <v>972.54365172019629</v>
      </c>
      <c r="Y22" s="102">
        <f ca="1">IF(AND(Energy!$F$11=$A$3,Main!$B$43=A22),'Aerodynamics-Cruise'!V39,Y22)</f>
        <v>113217.51847136367</v>
      </c>
      <c r="Z22" s="102">
        <f ca="1">IF(AND(Energy!$F$11=$A$3,Main!$B$43=$A22),Summary!Z39,Z22)</f>
        <v>86304.551290025222</v>
      </c>
      <c r="AA22" s="102">
        <f ca="1">IF(AND(Energy!$F$11=$A$3,Main!$B$43=$A22),Summary!AA39,AA22)</f>
        <v>86304.551290025222</v>
      </c>
      <c r="AB22" s="103">
        <f ca="1">IF(AND(Energy!$F$11=$A$3,Main!$B$43=$A22),Summary!AB39,AB22)</f>
        <v>4.9960749361326995</v>
      </c>
      <c r="AC22" s="103">
        <f ca="1">IF(AND(Energy!$F$11=$A$3,Main!$B$43=$A22),Summary!AC39,AC22)</f>
        <v>2.3790589740425867</v>
      </c>
      <c r="AD22" s="103">
        <f ca="1">IF(AND(Energy!$F$11=$A$3,Main!$B$43=$A22),Summary!AD39,AD22)</f>
        <v>0.40800906144196963</v>
      </c>
      <c r="AE22" s="103">
        <f ca="1">IF(AND(Energy!$F$11=$A$3,Main!$B$43=$A22),Summary!AE39,AE22)</f>
        <v>1.3684210526315792</v>
      </c>
      <c r="AF22" s="103">
        <f ca="1">IF(AND(Energy!$F$11=$A$3,Main!$B$43=$A22),Summary!AF39,AF22)</f>
        <v>34.210526315789473</v>
      </c>
      <c r="AG22" s="103">
        <f ca="1">IF(AND(Energy!$F$11=$A$3,Main!$B$43=$A22),Summary!AG39,AG22)</f>
        <v>11.562974607534255</v>
      </c>
      <c r="AH22" s="103">
        <f ca="1">IF(AND(Energy!$F$11=$A$3,Main!$B$43=$A22),Summary!AH39,AH22)</f>
        <v>47</v>
      </c>
      <c r="AI22" s="103">
        <f ca="1">IF(AND(Energy!$F$11=$A$3,Main!$B$43=$A22),Summary!AI39,AI22)</f>
        <v>2.6437937839883685</v>
      </c>
      <c r="AJ22" s="103">
        <f ca="1">IF(AND(Energy!$F$11=$A$3,Main!$B$43=$A22),Summary!AJ39,AJ22)</f>
        <v>0.28728594310515104</v>
      </c>
      <c r="AK22" s="103">
        <f ca="1">IF(AND(Energy!$F$11=$A$3,Main!$B$43=$A22),Summary!AK39,AK22)</f>
        <v>0.01</v>
      </c>
      <c r="AL22" s="103">
        <f ca="1">IF(AND(Energy!$F$11=$A$3,Main!$B$43=$A22),Summary!AL39,AL22)</f>
        <v>-0.43513205377359659</v>
      </c>
      <c r="AM22" s="103">
        <f ca="1">IF(AND(Energy!$F$11=$A$3,Main!$B$43=$A22),Summary!AM39,AM22)</f>
        <v>0</v>
      </c>
      <c r="AN22" s="101"/>
      <c r="AO22" s="101"/>
      <c r="AP22" s="101"/>
      <c r="AQ22" s="101"/>
      <c r="AR22" s="103"/>
      <c r="AS22" s="103"/>
      <c r="AT22" s="103"/>
      <c r="AU22" s="101"/>
      <c r="AV22" s="101"/>
      <c r="AW22" s="101"/>
      <c r="AX22" s="101"/>
      <c r="AY22" s="101"/>
      <c r="AZ22" s="105"/>
      <c r="BA22" s="100"/>
      <c r="BB22" s="100"/>
      <c r="BC22" s="6"/>
    </row>
    <row r="23" spans="1:55">
      <c r="A23">
        <f t="shared" si="1"/>
        <v>1</v>
      </c>
      <c r="C23" s="103"/>
      <c r="D23" s="1">
        <f ca="1">IF(AND(Energy!$F$11=$A$3,Main!$B$43=A23),Main!C40,D23)</f>
        <v>7</v>
      </c>
      <c r="E23" s="103">
        <f ca="1">IF(AND(Energy!$F$11=$A$3,Main!$B$43=A23),Main!B40,E23)</f>
        <v>0.2</v>
      </c>
      <c r="F23" s="103">
        <f ca="1">IF(Main!$D$6=1,U23,IF(Main!$D$6=2,N23,IF(Main!$D$6=3,K23,IF(Main!$D$6=4,V23,J23))))</f>
        <v>543.03160620681035</v>
      </c>
      <c r="G23" s="103">
        <f ca="1">IF(AND(Energy!$F$11=$A$3,Main!$B$43=A23),Weight!H40,G23)</f>
        <v>15</v>
      </c>
      <c r="H23" s="103">
        <f ca="1">IF(AND(Energy!$F$11=$A$3,Main!$B$43=A23),Weight!U40,H23)</f>
        <v>17.724264355917988</v>
      </c>
      <c r="I23" s="103">
        <f ca="1">IF(AND(Energy!$F$11=$A$3,Main!$B$43=A23),Weight!V40,I23)</f>
        <v>45.412489165091358</v>
      </c>
      <c r="J23" s="103">
        <f ca="1">IF(AND(Energy!$F$11=$A$3,Main!$B$43=A23),Weight!I40,J23)</f>
        <v>22.750576534173369</v>
      </c>
      <c r="K23" s="103">
        <f ca="1">IF(AND(Energy!$F$11=$A$3,Main!$B$43=A23),Weight!W40,K23)</f>
        <v>60.41249115598643</v>
      </c>
      <c r="L23" s="103">
        <f ca="1">IF(AND(Energy!$F$11=$A$3,Main!$B$43=A23),'Aerodynamics-Cruise'!BI40,L23)</f>
        <v>60.412487151739796</v>
      </c>
      <c r="M23" s="103">
        <f ca="1">IF(AND(Energy!$F$11=$A$3,Main!$B$43=A23),'Aerodynamics-Cruise'!BJ40,M23)</f>
        <v>2.9891754771591148</v>
      </c>
      <c r="N23" s="103">
        <f ca="1">IF(AND(Energy!$F$11=$A$3,Main!$B$43=A23),'Aerodynamics-Cruise'!BK40,N23)</f>
        <v>20.210418429216901</v>
      </c>
      <c r="O23" s="103">
        <f t="shared" ca="1" si="0"/>
        <v>157.08642750067727</v>
      </c>
      <c r="P23" s="103">
        <f ca="1">IF(AND(Energy!$F$11=$A$3,Main!$B$43=A23),'Aerodynamics-Cruise'!H40,P23)</f>
        <v>8.8731542888123869</v>
      </c>
      <c r="Q23" s="103">
        <f ca="1">IF(AND(Energy!$F$11=$A$3,Main!$B$43=A23),'Aerodynamics-Cruise'!I40,Q23)</f>
        <v>7.6418169443956083</v>
      </c>
      <c r="R23" s="103">
        <f ca="1">IF(AND(Energy!$F$11=$A$3,Main!$B$43=$A23),Summary!R40,R23)</f>
        <v>4.9956176789353002</v>
      </c>
      <c r="S23" s="103">
        <f ca="1">IF(AND(Energy!$F$11=$A$3,Main!$B$43=A23),'Aerodynamics-Cruise'!W40,S23)</f>
        <v>1</v>
      </c>
      <c r="T23" s="103">
        <f ca="1">IF(AND(Energy!$F$11=$A$3,Main!$B$43=A23),'Aerodynamics-Cruise'!BL40,T23)</f>
        <v>26.523415205167211</v>
      </c>
      <c r="U23" s="103">
        <f ca="1">IF(AND(Energy!$F$11=$A$3,Main!$B$43=A23),'Propulsion-Cruise'!M40,U23)</f>
        <v>57.10714838989874</v>
      </c>
      <c r="V23" s="103">
        <f ca="1">IF(AND(Energy!$F$11=$A$3,Main!$B$43=A23),Endurance!AP40,V23)</f>
        <v>543.03160620681035</v>
      </c>
      <c r="W23" s="103">
        <f ca="1">IF(AND(Energy!$F$11=$A$3,Main!$B$43=$A23),Summary!W40,W23)</f>
        <v>1.4000000000000001</v>
      </c>
      <c r="X23" s="13">
        <f ca="1">IF(AND(Energy!$F$11=$A$3,Main!$B$43=A23),Energy!D40,X23)</f>
        <v>980.47366348591891</v>
      </c>
      <c r="Y23" s="102">
        <f ca="1">IF(AND(Energy!$F$11=$A$3,Main!$B$43=A23),'Aerodynamics-Cruise'!V40,Y23)</f>
        <v>112552.0232215349</v>
      </c>
      <c r="Z23" s="102">
        <f ca="1">IF(AND(Energy!$F$11=$A$3,Main!$B$43=$A23),Summary!Z40,Z23)</f>
        <v>85817.06803582437</v>
      </c>
      <c r="AA23" s="102">
        <f ca="1">IF(AND(Energy!$F$11=$A$3,Main!$B$43=$A23),Summary!AA40,AA23)</f>
        <v>85817.06803582437</v>
      </c>
      <c r="AB23" s="103">
        <f ca="1">IF(AND(Energy!$F$11=$A$3,Main!$B$43=$A23),Summary!AB40,AB23)</f>
        <v>4.9956176789353002</v>
      </c>
      <c r="AC23" s="103">
        <f ca="1">IF(AND(Energy!$F$11=$A$3,Main!$B$43=$A23),Summary!AC40,AC23)</f>
        <v>2.3377329302539112</v>
      </c>
      <c r="AD23" s="103">
        <f ca="1">IF(AND(Energy!$F$11=$A$3,Main!$B$43=$A23),Summary!AD40,AD23)</f>
        <v>0.40810379926671758</v>
      </c>
      <c r="AE23" s="103">
        <f ca="1">IF(AND(Energy!$F$11=$A$3,Main!$B$43=$A23),Summary!AE40,AE23)</f>
        <v>1.4000000000000001</v>
      </c>
      <c r="AF23" s="103">
        <f ca="1">IF(AND(Energy!$F$11=$A$3,Main!$B$43=$A23),Summary!AF40,AF23)</f>
        <v>35</v>
      </c>
      <c r="AG23" s="103">
        <f ca="1">IF(AND(Energy!$F$11=$A$3,Main!$B$43=$A23),Summary!AG40,AG23)</f>
        <v>11.623192123658825</v>
      </c>
      <c r="AH23" s="103">
        <f ca="1">IF(AND(Energy!$F$11=$A$3,Main!$B$43=$A23),Summary!AH40,AH23)</f>
        <v>47</v>
      </c>
      <c r="AI23" s="103">
        <f ca="1">IF(AND(Energy!$F$11=$A$3,Main!$B$43=$A23),Summary!AI40,AI23)</f>
        <v>2.6425233461091073</v>
      </c>
      <c r="AJ23" s="103">
        <f ca="1">IF(AND(Energy!$F$11=$A$3,Main!$B$43=$A23),Summary!AJ40,AJ23)</f>
        <v>0.2877668160509399</v>
      </c>
      <c r="AK23" s="103">
        <f ca="1">IF(AND(Energy!$F$11=$A$3,Main!$B$43=$A23),Summary!AK40,AK23)</f>
        <v>0.01</v>
      </c>
      <c r="AL23" s="103">
        <f ca="1">IF(AND(Energy!$F$11=$A$3,Main!$B$43=$A23),Summary!AL40,AL23)</f>
        <v>-0.43440494970318133</v>
      </c>
      <c r="AM23" s="103">
        <f ca="1">IF(AND(Energy!$F$11=$A$3,Main!$B$43=$A23),Summary!AM40,AM23)</f>
        <v>0</v>
      </c>
      <c r="AN23" s="101"/>
      <c r="AO23" s="101"/>
      <c r="AP23" s="101"/>
      <c r="AQ23" s="101"/>
      <c r="AR23" s="103"/>
      <c r="AS23" s="103"/>
      <c r="AT23" s="103"/>
      <c r="AU23" s="101"/>
      <c r="AV23" s="101"/>
      <c r="AW23" s="101"/>
      <c r="AX23" s="101"/>
      <c r="AY23" s="101"/>
      <c r="AZ23" s="105"/>
      <c r="BA23" s="100"/>
      <c r="BB23" s="100"/>
      <c r="BC23" s="6"/>
    </row>
    <row r="24" spans="1:55">
      <c r="A24" s="7">
        <f>A4+1</f>
        <v>2</v>
      </c>
      <c r="D24" s="1">
        <f ca="1">IF(AND(Energy!$F$11=$A$3,Main!$B$43=A24),Main!C21,D24)</f>
        <v>4</v>
      </c>
      <c r="E24" s="103">
        <f ca="1">IF(AND(Energy!$F$11=$A$3,Main!$B$43=A24),Main!B21,E24)</f>
        <v>0.22222222222222224</v>
      </c>
      <c r="F24" s="103">
        <f ca="1">IF(Main!$D$6=1,U24,IF(Main!$D$6=2,N24,IF(Main!$D$6=3,K24,IF(Main!$D$6=4,V24,J24))))</f>
        <v>531.39505376414365</v>
      </c>
      <c r="G24" s="103">
        <f ca="1">IF(AND(Energy!$F$11=$A$3,Main!$B$43=A24),Weight!H21,G24)</f>
        <v>15</v>
      </c>
      <c r="H24" s="103">
        <f ca="1">IF(AND(Energy!$F$11=$A$3,Main!$B$43=A24),Weight!U21,H24)</f>
        <v>11.051087387196603</v>
      </c>
      <c r="I24" s="103">
        <f ca="1">IF(AND(Energy!$F$11=$A$3,Main!$B$43=A24),Weight!V21,I24)</f>
        <v>38.25178382147493</v>
      </c>
      <c r="J24" s="103">
        <f ca="1">IF(AND(Energy!$F$11=$A$3,Main!$B$43=A24),Weight!I21,J24)</f>
        <v>22.263048159278323</v>
      </c>
      <c r="K24" s="103">
        <f ca="1">IF(AND(Energy!$F$11=$A$3,Main!$B$43=A24),Weight!W21,K24)</f>
        <v>53.251790952461882</v>
      </c>
      <c r="L24" s="103">
        <f ca="1">IF(AND(Energy!$F$11=$A$3,Main!$B$43=A24),'Aerodynamics-Cruise'!BI21,L24)</f>
        <v>53.251776638189931</v>
      </c>
      <c r="M24" s="103">
        <f ca="1">IF(AND(Energy!$F$11=$A$3,Main!$B$43=A24),'Aerodynamics-Cruise'!BJ21,M24)</f>
        <v>2.6476730069984553</v>
      </c>
      <c r="N24" s="103">
        <f ca="1">IF(AND(Energy!$F$11=$A$3,Main!$B$43=A24),'Aerodynamics-Cruise'!BK21,N24)</f>
        <v>20.112671201251931</v>
      </c>
      <c r="O24" s="103">
        <f t="shared" ca="1" si="0"/>
        <v>146.76983457650027</v>
      </c>
      <c r="P24" s="103">
        <f ca="1">IF(AND(Energy!$F$11=$A$3,Main!$B$43=A24),'Aerodynamics-Cruise'!H21,P24)</f>
        <v>10.463752656689648</v>
      </c>
      <c r="Q24" s="103">
        <f ca="1">IF(AND(Energy!$F$11=$A$3,Main!$B$43=A24),'Aerodynamics-Cruise'!I21,Q24)</f>
        <v>8.9058556690543327</v>
      </c>
      <c r="R24" s="103">
        <f ca="1">IF(AND(Energy!$F$11=$A$3,Main!$B$43=$A24),Summary!R21,R24)</f>
        <v>5.9952309187002077</v>
      </c>
      <c r="S24" s="103">
        <f ca="1">IF(AND(Energy!$F$11=$A$3,Main!$B$43=A24),'Aerodynamics-Cruise'!W21,S24)</f>
        <v>1</v>
      </c>
      <c r="T24" s="103">
        <f ca="1">IF(AND(Energy!$F$11=$A$3,Main!$B$43=A24),'Aerodynamics-Cruise'!BL21,T24)</f>
        <v>27.704595461025555</v>
      </c>
      <c r="U24" s="103">
        <f ca="1">IF(AND(Energy!$F$11=$A$3,Main!$B$43=A24),'Propulsion-Cruise'!M21,U24)</f>
        <v>57.377062857064637</v>
      </c>
      <c r="V24" s="103">
        <f ca="1">IF(AND(Energy!$F$11=$A$3,Main!$B$43=A24),Endurance!AP21,V24)</f>
        <v>531.39505376414365</v>
      </c>
      <c r="W24" s="103">
        <f ca="1">IF(AND(Energy!$F$11=$A$3,Main!$B$43=$A24),Summary!W21,W24)</f>
        <v>0.88888888888888895</v>
      </c>
      <c r="X24" s="13">
        <f ca="1">IF(AND(Energy!$F$11=$A$3,Main!$B$43=A24),Energy!D21,X24)</f>
        <v>959.46302366138605</v>
      </c>
      <c r="Y24" s="102">
        <f ca="1">IF(AND(Energy!$F$11=$A$3,Main!$B$43=A24),'Aerodynamics-Cruise'!V21,Y24)</f>
        <v>147475.61936283356</v>
      </c>
      <c r="Z24" s="102">
        <f ca="1">IF(AND(Energy!$F$11=$A$3,Main!$B$43=$A24),Summary!Z21,Z24)</f>
        <v>111175.82155924547</v>
      </c>
      <c r="AA24" s="102">
        <f ca="1">IF(AND(Energy!$F$11=$A$3,Main!$B$43=$A24),Summary!AA21,AA24)</f>
        <v>111175.82155924547</v>
      </c>
      <c r="AB24" s="103">
        <f ca="1">IF(AND(Energy!$F$11=$A$3,Main!$B$43=$A24),Summary!AB21,AB24)</f>
        <v>5.9952309187002077</v>
      </c>
      <c r="AC24" s="103">
        <f ca="1">IF(AND(Energy!$F$11=$A$3,Main!$B$43=$A24),Summary!AC21,AC24)</f>
        <v>3.054000466874403</v>
      </c>
      <c r="AD24" s="103">
        <f ca="1">IF(AND(Energy!$F$11=$A$3,Main!$B$43=$A24),Summary!AD21,AD24)</f>
        <v>0.43775355413943773</v>
      </c>
      <c r="AE24" s="103">
        <f ca="1">IF(AND(Energy!$F$11=$A$3,Main!$B$43=$A24),Summary!AE21,AE24)</f>
        <v>0.88888888888888895</v>
      </c>
      <c r="AF24" s="103">
        <f ca="1">IF(AND(Energy!$F$11=$A$3,Main!$B$43=$A24),Summary!AF21,AF24)</f>
        <v>18</v>
      </c>
      <c r="AG24" s="103">
        <f ca="1">IF(AND(Energy!$F$11=$A$3,Main!$B$43=$A24),Summary!AG21,AG24)</f>
        <v>11.358963981510177</v>
      </c>
      <c r="AH24" s="103">
        <f ca="1">IF(AND(Energy!$F$11=$A$3,Main!$B$43=$A24),Summary!AH21,AH24)</f>
        <v>47</v>
      </c>
      <c r="AI24" s="103">
        <f ca="1">IF(AND(Energy!$F$11=$A$3,Main!$B$43=$A24),Summary!AI21,AI24)</f>
        <v>2.7056992244470224</v>
      </c>
      <c r="AJ24" s="103">
        <f ca="1">IF(AND(Energy!$F$11=$A$3,Main!$B$43=$A24),Summary!AJ21,AJ24)</f>
        <v>0.24605863075406004</v>
      </c>
      <c r="AK24" s="103">
        <f ca="1">IF(AND(Energy!$F$11=$A$3,Main!$B$43=$A24),Summary!AK21,AK24)</f>
        <v>0.01</v>
      </c>
      <c r="AL24" s="103">
        <f ca="1">IF(AND(Energy!$F$11=$A$3,Main!$B$43=$A24),Summary!AL21,AL24)</f>
        <v>-0.50796977544960698</v>
      </c>
      <c r="AM24" s="103">
        <f ca="1">IF(AND(Energy!$F$11=$A$3,Main!$B$43=$A24),Summary!AJ41,AM24)</f>
        <v>0</v>
      </c>
      <c r="AN24" s="101"/>
      <c r="AO24" s="101"/>
      <c r="AP24" s="101"/>
      <c r="AQ24" s="101"/>
      <c r="AR24" s="103"/>
      <c r="AS24" s="103"/>
      <c r="AT24" s="103"/>
      <c r="AU24" s="101"/>
      <c r="AV24" s="101"/>
      <c r="AW24" s="101"/>
      <c r="AX24" s="101"/>
      <c r="AY24" s="101"/>
      <c r="AZ24" s="105"/>
      <c r="BA24" s="100"/>
      <c r="BB24" s="100"/>
      <c r="BC24" s="6"/>
    </row>
    <row r="25" spans="1:55">
      <c r="A25">
        <f>A24</f>
        <v>2</v>
      </c>
      <c r="D25" s="1">
        <f ca="1">IF(AND(Energy!$F$11=$A$3,Main!$B$43=A25),Main!C22,D25)</f>
        <v>4.1578947368421053</v>
      </c>
      <c r="E25" s="103">
        <f ca="1">IF(AND(Energy!$F$11=$A$3,Main!$B$43=A25),Main!B22,E25)</f>
        <v>0.22222222222222224</v>
      </c>
      <c r="F25" s="103">
        <f ca="1">IF(Main!$D$6=1,U25,IF(Main!$D$6=2,N25,IF(Main!$D$6=3,K25,IF(Main!$D$6=4,V25,J25))))</f>
        <v>522.1796102583437</v>
      </c>
      <c r="G25" s="103">
        <f ca="1">IF(AND(Energy!$F$11=$A$3,Main!$B$43=A25),Weight!H22,G25)</f>
        <v>15</v>
      </c>
      <c r="H25" s="103">
        <f ca="1">IF(AND(Energy!$F$11=$A$3,Main!$B$43=A25),Weight!U22,H25)</f>
        <v>11.367840637945974</v>
      </c>
      <c r="I25" s="103">
        <f ca="1">IF(AND(Energy!$F$11=$A$3,Main!$B$43=A25),Weight!V22,I25)</f>
        <v>38.18245275443477</v>
      </c>
      <c r="J25" s="103">
        <f ca="1">IF(AND(Energy!$F$11=$A$3,Main!$B$43=A25),Weight!I22,J25)</f>
        <v>21.876963841488795</v>
      </c>
      <c r="K25" s="103">
        <f ca="1">IF(AND(Energy!$F$11=$A$3,Main!$B$43=A25),Weight!W22,K25)</f>
        <v>53.182459177789212</v>
      </c>
      <c r="L25" s="103">
        <f ca="1">IF(AND(Energy!$F$11=$A$3,Main!$B$43=A25),'Aerodynamics-Cruise'!BI22,L25)</f>
        <v>53.18244628334579</v>
      </c>
      <c r="M25" s="103">
        <f ca="1">IF(AND(Energy!$F$11=$A$3,Main!$B$43=A25),'Aerodynamics-Cruise'!BJ22,M25)</f>
        <v>2.6354807470078443</v>
      </c>
      <c r="N25" s="103">
        <f ca="1">IF(AND(Energy!$F$11=$A$3,Main!$B$43=A25),'Aerodynamics-Cruise'!BK22,N25)</f>
        <v>20.179409902244867</v>
      </c>
      <c r="O25" s="103">
        <f t="shared" ca="1" si="0"/>
        <v>147.16096168769477</v>
      </c>
      <c r="P25" s="103">
        <f ca="1">IF(AND(Energy!$F$11=$A$3,Main!$B$43=A25),'Aerodynamics-Cruise'!H22,P25)</f>
        <v>10.256407126572761</v>
      </c>
      <c r="Q25" s="103">
        <f ca="1">IF(AND(Energy!$F$11=$A$3,Main!$B$43=A25),'Aerodynamics-Cruise'!I22,Q25)</f>
        <v>8.7365285411872442</v>
      </c>
      <c r="R25" s="103">
        <f ca="1">IF(AND(Energy!$F$11=$A$3,Main!$B$43=$A25),Summary!R22,R25)</f>
        <v>5.7542638292694779</v>
      </c>
      <c r="S25" s="103">
        <f ca="1">IF(AND(Energy!$F$11=$A$3,Main!$B$43=A25),'Aerodynamics-Cruise'!W22,S25)</f>
        <v>1</v>
      </c>
      <c r="T25" s="103">
        <f ca="1">IF(AND(Energy!$F$11=$A$3,Main!$B$43=A25),'Aerodynamics-Cruise'!BL22,T25)</f>
        <v>27.030563515556558</v>
      </c>
      <c r="U25" s="103">
        <f ca="1">IF(AND(Energy!$F$11=$A$3,Main!$B$43=A25),'Propulsion-Cruise'!M22,U25)</f>
        <v>56.245140100709698</v>
      </c>
      <c r="V25" s="103">
        <f ca="1">IF(AND(Energy!$F$11=$A$3,Main!$B$43=A25),Endurance!AP22,V25)</f>
        <v>522.1796102583437</v>
      </c>
      <c r="W25" s="103">
        <f ca="1">IF(AND(Energy!$F$11=$A$3,Main!$B$43=$A25),Summary!W22,W25)</f>
        <v>0.92397660818713456</v>
      </c>
      <c r="X25" s="13">
        <f ca="1">IF(AND(Energy!$F$11=$A$3,Main!$B$43=A25),Energy!D22,X25)</f>
        <v>942.82405595268915</v>
      </c>
      <c r="Y25" s="102">
        <f ca="1">IF(AND(Energy!$F$11=$A$3,Main!$B$43=A25),'Aerodynamics-Cruise'!V22,Y25)</f>
        <v>144553.30157882575</v>
      </c>
      <c r="Z25" s="102">
        <f ca="1">IF(AND(Energy!$F$11=$A$3,Main!$B$43=$A25),Summary!Z22,Z25)</f>
        <v>109058.55189224517</v>
      </c>
      <c r="AA25" s="102">
        <f ca="1">IF(AND(Energy!$F$11=$A$3,Main!$B$43=$A25),Summary!AA22,AA25)</f>
        <v>109058.55189224517</v>
      </c>
      <c r="AB25" s="103">
        <f ca="1">IF(AND(Energy!$F$11=$A$3,Main!$B$43=$A25),Summary!AB22,AB25)</f>
        <v>5.7542638292694779</v>
      </c>
      <c r="AC25" s="103">
        <f ca="1">IF(AND(Energy!$F$11=$A$3,Main!$B$43=$A25),Summary!AC22,AC25)</f>
        <v>3.0173895184829913</v>
      </c>
      <c r="AD25" s="103">
        <f ca="1">IF(AND(Energy!$F$11=$A$3,Main!$B$43=$A25),Summary!AD22,AD25)</f>
        <v>0.43230420663013003</v>
      </c>
      <c r="AE25" s="103">
        <f ca="1">IF(AND(Energy!$F$11=$A$3,Main!$B$43=$A25),Summary!AE22,AE25)</f>
        <v>0.92397660818713456</v>
      </c>
      <c r="AF25" s="103">
        <f ca="1">IF(AND(Energy!$F$11=$A$3,Main!$B$43=$A25),Summary!AF22,AF25)</f>
        <v>18.710526315789473</v>
      </c>
      <c r="AG25" s="103">
        <f ca="1">IF(AND(Energy!$F$11=$A$3,Main!$B$43=$A25),Summary!AG22,AG25)</f>
        <v>11.249807947481692</v>
      </c>
      <c r="AH25" s="103">
        <f ca="1">IF(AND(Energy!$F$11=$A$3,Main!$B$43=$A25),Summary!AH22,AH25)</f>
        <v>47</v>
      </c>
      <c r="AI25" s="103">
        <f ca="1">IF(AND(Energy!$F$11=$A$3,Main!$B$43=$A25),Summary!AI22,AI25)</f>
        <v>2.7012738407911829</v>
      </c>
      <c r="AJ25" s="103">
        <f ca="1">IF(AND(Energy!$F$11=$A$3,Main!$B$43=$A25),Summary!AJ22,AJ25)</f>
        <v>0.24740263959262201</v>
      </c>
      <c r="AK25" s="103">
        <f ca="1">IF(AND(Energy!$F$11=$A$3,Main!$B$43=$A25),Summary!AK22,AK25)</f>
        <v>0.01</v>
      </c>
      <c r="AL25" s="103">
        <f ca="1">IF(AND(Energy!$F$11=$A$3,Main!$B$43=$A25),Summary!AL22,AL25)</f>
        <v>-0.50521031997148191</v>
      </c>
      <c r="AM25" s="103">
        <f ca="1">IF(AND(Energy!$F$11=$A$3,Main!$B$43=$A25),Summary!AJ42,AM25)</f>
        <v>0</v>
      </c>
      <c r="AN25" s="101"/>
      <c r="AO25" s="101"/>
      <c r="AP25" s="101"/>
      <c r="AQ25" s="101"/>
      <c r="AR25" s="103"/>
      <c r="AS25" s="103"/>
      <c r="AT25" s="103"/>
      <c r="AU25" s="101"/>
      <c r="AV25" s="101"/>
      <c r="AW25" s="101"/>
      <c r="AX25" s="101"/>
      <c r="AY25" s="101"/>
      <c r="AZ25" s="105"/>
      <c r="BA25" s="100"/>
      <c r="BB25" s="100"/>
      <c r="BC25" s="6"/>
    </row>
    <row r="26" spans="1:55">
      <c r="A26">
        <f t="shared" ref="A26:A43" si="2">A25</f>
        <v>2</v>
      </c>
      <c r="D26" s="1">
        <f ca="1">IF(AND(Energy!$F$11=$A$3,Main!$B$43=A26),Main!C23,D26)</f>
        <v>4.3157894736842106</v>
      </c>
      <c r="E26" s="103">
        <f ca="1">IF(AND(Energy!$F$11=$A$3,Main!$B$43=A26),Main!B23,E26)</f>
        <v>0.22222222222222224</v>
      </c>
      <c r="F26" s="103">
        <f ca="1">IF(Main!$D$6=1,U26,IF(Main!$D$6=2,N26,IF(Main!$D$6=3,K26,IF(Main!$D$6=4,V26,J26))))</f>
        <v>514.84988698246855</v>
      </c>
      <c r="G26" s="103">
        <f ca="1">IF(AND(Energy!$F$11=$A$3,Main!$B$43=A26),Weight!H23,G26)</f>
        <v>15</v>
      </c>
      <c r="H26" s="103">
        <f ca="1">IF(AND(Energy!$F$11=$A$3,Main!$B$43=A26),Weight!U23,H26)</f>
        <v>11.69916117686676</v>
      </c>
      <c r="I26" s="103">
        <f ca="1">IF(AND(Energy!$F$11=$A$3,Main!$B$43=A26),Weight!V23,I26)</f>
        <v>38.206691949881375</v>
      </c>
      <c r="J26" s="103">
        <f ca="1">IF(AND(Energy!$F$11=$A$3,Main!$B$43=A26),Weight!I23,J26)</f>
        <v>21.569882498014618</v>
      </c>
      <c r="K26" s="103">
        <f ca="1">IF(AND(Energy!$F$11=$A$3,Main!$B$43=A26),Weight!W23,K26)</f>
        <v>53.206697784049119</v>
      </c>
      <c r="L26" s="103">
        <f ca="1">IF(AND(Energy!$F$11=$A$3,Main!$B$43=A26),'Aerodynamics-Cruise'!BI23,L26)</f>
        <v>53.206686071570111</v>
      </c>
      <c r="M26" s="103">
        <f ca="1">IF(AND(Energy!$F$11=$A$3,Main!$B$43=A26),'Aerodynamics-Cruise'!BJ23,M26)</f>
        <v>2.6290260074301397</v>
      </c>
      <c r="N26" s="103">
        <f ca="1">IF(AND(Energy!$F$11=$A$3,Main!$B$43=A26),'Aerodynamics-Cruise'!BK23,N26)</f>
        <v>20.238174107520294</v>
      </c>
      <c r="O26" s="103">
        <f t="shared" ca="1" si="0"/>
        <v>147.62313801721177</v>
      </c>
      <c r="P26" s="103">
        <f ca="1">IF(AND(Energy!$F$11=$A$3,Main!$B$43=A26),'Aerodynamics-Cruise'!H23,P26)</f>
        <v>10.069282599315983</v>
      </c>
      <c r="Q26" s="103">
        <f ca="1">IF(AND(Energy!$F$11=$A$3,Main!$B$43=A26),'Aerodynamics-Cruise'!I23,Q26)</f>
        <v>8.5835931847178113</v>
      </c>
      <c r="R26" s="103">
        <f ca="1">IF(AND(Energy!$F$11=$A$3,Main!$B$43=$A26),Summary!R23,R26)</f>
        <v>5.5507778609826381</v>
      </c>
      <c r="S26" s="103">
        <f ca="1">IF(AND(Energy!$F$11=$A$3,Main!$B$43=A26),'Aerodynamics-Cruise'!W23,S26)</f>
        <v>1</v>
      </c>
      <c r="T26" s="103">
        <f ca="1">IF(AND(Energy!$F$11=$A$3,Main!$B$43=A26),'Aerodynamics-Cruise'!BL23,T26)</f>
        <v>26.472405829765478</v>
      </c>
      <c r="U26" s="103">
        <f ca="1">IF(AND(Energy!$F$11=$A$3,Main!$B$43=A26),'Propulsion-Cruise'!M23,U26)</f>
        <v>55.325130007977911</v>
      </c>
      <c r="V26" s="103">
        <f ca="1">IF(AND(Energy!$F$11=$A$3,Main!$B$43=A26),Endurance!AP23,V26)</f>
        <v>514.84988698246855</v>
      </c>
      <c r="W26" s="103">
        <f ca="1">IF(AND(Energy!$F$11=$A$3,Main!$B$43=$A26),Summary!W23,W26)</f>
        <v>0.95906432748538017</v>
      </c>
      <c r="X26" s="13">
        <f ca="1">IF(AND(Energy!$F$11=$A$3,Main!$B$43=A26),Energy!D23,X26)</f>
        <v>929.58985627604716</v>
      </c>
      <c r="Y26" s="102">
        <f ca="1">IF(AND(Energy!$F$11=$A$3,Main!$B$43=A26),'Aerodynamics-Cruise'!V23,Y26)</f>
        <v>141915.97762244116</v>
      </c>
      <c r="Z26" s="102">
        <f ca="1">IF(AND(Energy!$F$11=$A$3,Main!$B$43=$A26),Summary!Z23,Z26)</f>
        <v>107146.30460017521</v>
      </c>
      <c r="AA26" s="102">
        <f ca="1">IF(AND(Energy!$F$11=$A$3,Main!$B$43=$A26),Summary!AA23,AA26)</f>
        <v>107146.30460017521</v>
      </c>
      <c r="AB26" s="103">
        <f ca="1">IF(AND(Energy!$F$11=$A$3,Main!$B$43=$A26),Summary!AB23,AB26)</f>
        <v>5.5507778609826381</v>
      </c>
      <c r="AC26" s="103">
        <f ca="1">IF(AND(Energy!$F$11=$A$3,Main!$B$43=$A26),Summary!AC23,AC26)</f>
        <v>2.9778299718537515</v>
      </c>
      <c r="AD26" s="103">
        <f ca="1">IF(AND(Energy!$F$11=$A$3,Main!$B$43=$A26),Summary!AD23,AD26)</f>
        <v>0.42758117344675717</v>
      </c>
      <c r="AE26" s="103">
        <f ca="1">IF(AND(Energy!$F$11=$A$3,Main!$B$43=$A26),Summary!AE23,AE26)</f>
        <v>0.95906432748538017</v>
      </c>
      <c r="AF26" s="103">
        <f ca="1">IF(AND(Energy!$F$11=$A$3,Main!$B$43=$A26),Summary!AF23,AF26)</f>
        <v>19.421052631578949</v>
      </c>
      <c r="AG26" s="103">
        <f ca="1">IF(AND(Energy!$F$11=$A$3,Main!$B$43=$A26),Summary!AG23,AG26)</f>
        <v>11.163474292788989</v>
      </c>
      <c r="AH26" s="103">
        <f ca="1">IF(AND(Energy!$F$11=$A$3,Main!$B$43=$A26),Summary!AH23,AH26)</f>
        <v>47</v>
      </c>
      <c r="AI26" s="103">
        <f ca="1">IF(AND(Energy!$F$11=$A$3,Main!$B$43=$A26),Summary!AI23,AI26)</f>
        <v>2.6972098137935343</v>
      </c>
      <c r="AJ26" s="103">
        <f ca="1">IF(AND(Energy!$F$11=$A$3,Main!$B$43=$A26),Summary!AJ23,AJ26)</f>
        <v>0.24864811608834189</v>
      </c>
      <c r="AK26" s="103">
        <f ca="1">IF(AND(Energy!$F$11=$A$3,Main!$B$43=$A26),Summary!AK23,AK26)</f>
        <v>0.01</v>
      </c>
      <c r="AL26" s="103">
        <f ca="1">IF(AND(Energy!$F$11=$A$3,Main!$B$43=$A26),Summary!AL23,AL26)</f>
        <v>-0.50267980141665158</v>
      </c>
      <c r="AM26" s="103">
        <f ca="1">IF(AND(Energy!$F$11=$A$3,Main!$B$43=$A26),Summary!AJ43,AM26)</f>
        <v>0</v>
      </c>
      <c r="AN26" s="101"/>
      <c r="AO26" s="101"/>
      <c r="AP26" s="101"/>
      <c r="AQ26" s="101"/>
      <c r="AR26" s="103"/>
      <c r="AS26" s="103"/>
      <c r="AT26" s="103"/>
      <c r="AU26" s="101"/>
      <c r="AV26" s="101"/>
      <c r="AW26" s="101"/>
      <c r="AX26" s="101"/>
      <c r="AY26" s="101"/>
      <c r="AZ26" s="105"/>
      <c r="BA26" s="100"/>
      <c r="BB26" s="100"/>
      <c r="BC26" s="6"/>
    </row>
    <row r="27" spans="1:55">
      <c r="A27">
        <f t="shared" si="2"/>
        <v>2</v>
      </c>
      <c r="D27" s="1">
        <f ca="1">IF(AND(Energy!$F$11=$A$3,Main!$B$43=A27),Main!C24,D27)</f>
        <v>4.4736842105263159</v>
      </c>
      <c r="E27" s="103">
        <f ca="1">IF(AND(Energy!$F$11=$A$3,Main!$B$43=A27),Main!B24,E27)</f>
        <v>0.22222222222222224</v>
      </c>
      <c r="F27" s="103">
        <f ca="1">IF(Main!$D$6=1,U27,IF(Main!$D$6=2,N27,IF(Main!$D$6=3,K27,IF(Main!$D$6=4,V27,J27))))</f>
        <v>509.0952659192817</v>
      </c>
      <c r="G27" s="103">
        <f ca="1">IF(AND(Energy!$F$11=$A$3,Main!$B$43=A27),Weight!H24,G27)</f>
        <v>15</v>
      </c>
      <c r="H27" s="103">
        <f ca="1">IF(AND(Energy!$F$11=$A$3,Main!$B$43=A27),Weight!U24,H27)</f>
        <v>12.044213475178161</v>
      </c>
      <c r="I27" s="103">
        <f ca="1">IF(AND(Energy!$F$11=$A$3,Main!$B$43=A27),Weight!V24,I27)</f>
        <v>38.310652429822177</v>
      </c>
      <c r="J27" s="103">
        <f ca="1">IF(AND(Energy!$F$11=$A$3,Main!$B$43=A27),Weight!I24,J27)</f>
        <v>21.328790679644015</v>
      </c>
      <c r="K27" s="103">
        <f ca="1">IF(AND(Energy!$F$11=$A$3,Main!$B$43=A27),Weight!W24,K27)</f>
        <v>53.31065776721551</v>
      </c>
      <c r="L27" s="103">
        <f ca="1">IF(AND(Energy!$F$11=$A$3,Main!$B$43=A27),'Aerodynamics-Cruise'!BI24,L27)</f>
        <v>53.310647051107644</v>
      </c>
      <c r="M27" s="103">
        <f ca="1">IF(AND(Energy!$F$11=$A$3,Main!$B$43=A27),'Aerodynamics-Cruise'!BJ24,M27)</f>
        <v>2.6274270737849892</v>
      </c>
      <c r="N27" s="103">
        <f ca="1">IF(AND(Energy!$F$11=$A$3,Main!$B$43=A27),'Aerodynamics-Cruise'!BK24,N27)</f>
        <v>20.290057746230801</v>
      </c>
      <c r="O27" s="103">
        <f t="shared" ca="1" si="0"/>
        <v>148.14611259466588</v>
      </c>
      <c r="P27" s="103">
        <f ca="1">IF(AND(Energy!$F$11=$A$3,Main!$B$43=A27),'Aerodynamics-Cruise'!H24,P27)</f>
        <v>9.8996037517451807</v>
      </c>
      <c r="Q27" s="103">
        <f ca="1">IF(AND(Energy!$F$11=$A$3,Main!$B$43=A27),'Aerodynamics-Cruise'!I24,Q27)</f>
        <v>8.4448144021941474</v>
      </c>
      <c r="R27" s="103">
        <f ca="1">IF(AND(Energy!$F$11=$A$3,Main!$B$43=$A27),Summary!R24,R27)</f>
        <v>5.3779945466021477</v>
      </c>
      <c r="S27" s="103">
        <f ca="1">IF(AND(Energy!$F$11=$A$3,Main!$B$43=A27),'Aerodynamics-Cruise'!W24,S27)</f>
        <v>1</v>
      </c>
      <c r="T27" s="103">
        <f ca="1">IF(AND(Energy!$F$11=$A$3,Main!$B$43=A27),'Aerodynamics-Cruise'!BL24,T27)</f>
        <v>26.01048691707874</v>
      </c>
      <c r="U27" s="103">
        <f ca="1">IF(AND(Energy!$F$11=$A$3,Main!$B$43=A27),'Propulsion-Cruise'!M24,U27)</f>
        <v>54.581802671289957</v>
      </c>
      <c r="V27" s="103">
        <f ca="1">IF(AND(Energy!$F$11=$A$3,Main!$B$43=A27),Endurance!AP24,V27)</f>
        <v>509.0952659192817</v>
      </c>
      <c r="W27" s="103">
        <f ca="1">IF(AND(Energy!$F$11=$A$3,Main!$B$43=$A27),Summary!W24,W27)</f>
        <v>0.99415204678362579</v>
      </c>
      <c r="X27" s="13">
        <f ca="1">IF(AND(Energy!$F$11=$A$3,Main!$B$43=A27),Energy!D24,X27)</f>
        <v>919.19958756306073</v>
      </c>
      <c r="Y27" s="102">
        <f ca="1">IF(AND(Energy!$F$11=$A$3,Main!$B$43=A27),'Aerodynamics-Cruise'!V24,Y27)</f>
        <v>139524.53222428582</v>
      </c>
      <c r="Z27" s="102">
        <f ca="1">IF(AND(Energy!$F$11=$A$3,Main!$B$43=$A27),Summary!Z24,Z27)</f>
        <v>105411.11551059374</v>
      </c>
      <c r="AA27" s="102">
        <f ca="1">IF(AND(Energy!$F$11=$A$3,Main!$B$43=$A27),Summary!AA24,AA27)</f>
        <v>105411.11551059374</v>
      </c>
      <c r="AB27" s="103">
        <f ca="1">IF(AND(Energy!$F$11=$A$3,Main!$B$43=$A27),Summary!AB24,AB27)</f>
        <v>5.3779945466021477</v>
      </c>
      <c r="AC27" s="103">
        <f ca="1">IF(AND(Energy!$F$11=$A$3,Main!$B$43=$A27),Summary!AC24,AC27)</f>
        <v>2.9361255526061028</v>
      </c>
      <c r="AD27" s="103">
        <f ca="1">IF(AND(Energy!$F$11=$A$3,Main!$B$43=$A27),Summary!AD24,AD27)</f>
        <v>0.42348134125727044</v>
      </c>
      <c r="AE27" s="103">
        <f ca="1">IF(AND(Energy!$F$11=$A$3,Main!$B$43=$A27),Summary!AE24,AE27)</f>
        <v>0.99415204678362579</v>
      </c>
      <c r="AF27" s="103">
        <f ca="1">IF(AND(Energy!$F$11=$A$3,Main!$B$43=$A27),Summary!AF24,AF27)</f>
        <v>20.131578947368421</v>
      </c>
      <c r="AG27" s="103">
        <f ca="1">IF(AND(Energy!$F$11=$A$3,Main!$B$43=$A27),Summary!AG24,AG27)</f>
        <v>11.096377581877091</v>
      </c>
      <c r="AH27" s="103">
        <f ca="1">IF(AND(Energy!$F$11=$A$3,Main!$B$43=$A27),Summary!AH24,AH27)</f>
        <v>47</v>
      </c>
      <c r="AI27" s="103">
        <f ca="1">IF(AND(Energy!$F$11=$A$3,Main!$B$43=$A27),Summary!AI24,AI27)</f>
        <v>2.6934650325944416</v>
      </c>
      <c r="AJ27" s="103">
        <f ca="1">IF(AND(Energy!$F$11=$A$3,Main!$B$43=$A27),Summary!AJ24,AJ27)</f>
        <v>0.24980523385775658</v>
      </c>
      <c r="AK27" s="103">
        <f ca="1">IF(AND(Energy!$F$11=$A$3,Main!$B$43=$A27),Summary!AK24,AK27)</f>
        <v>0.01</v>
      </c>
      <c r="AL27" s="103">
        <f ca="1">IF(AND(Energy!$F$11=$A$3,Main!$B$43=$A27),Summary!AL24,AL27)</f>
        <v>-0.50035142167254065</v>
      </c>
      <c r="AM27" s="103">
        <f ca="1">IF(AND(Energy!$F$11=$A$3,Main!$B$43=$A27),Summary!AJ44,AM27)</f>
        <v>0</v>
      </c>
      <c r="AN27" s="101"/>
      <c r="AO27" s="101"/>
      <c r="AP27" s="101"/>
      <c r="AQ27" s="101"/>
      <c r="AR27" s="103"/>
      <c r="AS27" s="103"/>
      <c r="AT27" s="103"/>
      <c r="AU27" s="101"/>
      <c r="AV27" s="101"/>
      <c r="AW27" s="101"/>
      <c r="AX27" s="101"/>
      <c r="AY27" s="101"/>
      <c r="AZ27" s="105"/>
      <c r="BA27" s="100"/>
      <c r="BB27" s="100"/>
      <c r="BC27" s="6"/>
    </row>
    <row r="28" spans="1:55">
      <c r="A28">
        <f t="shared" si="2"/>
        <v>2</v>
      </c>
      <c r="D28" s="1">
        <f ca="1">IF(AND(Energy!$F$11=$A$3,Main!$B$43=A28),Main!C25,D28)</f>
        <v>4.6315789473684212</v>
      </c>
      <c r="E28" s="103">
        <f ca="1">IF(AND(Energy!$F$11=$A$3,Main!$B$43=A28),Main!B25,E28)</f>
        <v>0.22222222222222224</v>
      </c>
      <c r="F28" s="103">
        <f ca="1">IF(Main!$D$6=1,U28,IF(Main!$D$6=2,N28,IF(Main!$D$6=3,K28,IF(Main!$D$6=4,V28,J28))))</f>
        <v>504.67443574350875</v>
      </c>
      <c r="G28" s="103">
        <f ca="1">IF(AND(Energy!$F$11=$A$3,Main!$B$43=A28),Weight!H25,G28)</f>
        <v>15</v>
      </c>
      <c r="H28" s="103">
        <f ca="1">IF(AND(Energy!$F$11=$A$3,Main!$B$43=A28),Weight!U25,H28)</f>
        <v>12.402364243531551</v>
      </c>
      <c r="I28" s="103">
        <f ca="1">IF(AND(Energy!$F$11=$A$3,Main!$B$43=A28),Weight!V25,I28)</f>
        <v>38.483591081041126</v>
      </c>
      <c r="J28" s="103">
        <f ca="1">IF(AND(Energy!$F$11=$A$3,Main!$B$43=A28),Weight!I25,J28)</f>
        <v>21.143578562509571</v>
      </c>
      <c r="K28" s="103">
        <f ca="1">IF(AND(Energy!$F$11=$A$3,Main!$B$43=A28),Weight!W25,K28)</f>
        <v>53.483595995189717</v>
      </c>
      <c r="L28" s="103">
        <f ca="1">IF(AND(Energy!$F$11=$A$3,Main!$B$43=A28),'Aerodynamics-Cruise'!BI25,L28)</f>
        <v>53.483586127775318</v>
      </c>
      <c r="M28" s="103">
        <f ca="1">IF(AND(Energy!$F$11=$A$3,Main!$B$43=A28),'Aerodynamics-Cruise'!BJ25,M28)</f>
        <v>2.6299887350687756</v>
      </c>
      <c r="N28" s="103">
        <f ca="1">IF(AND(Energy!$F$11=$A$3,Main!$B$43=A28),'Aerodynamics-Cruise'!BK25,N28)</f>
        <v>20.336051411405265</v>
      </c>
      <c r="O28" s="103">
        <f t="shared" ca="1" si="0"/>
        <v>148.72257315611805</v>
      </c>
      <c r="P28" s="103">
        <f ca="1">IF(AND(Energy!$F$11=$A$3,Main!$B$43=A28),'Aerodynamics-Cruise'!H25,P28)</f>
        <v>9.7451241052013238</v>
      </c>
      <c r="Q28" s="103">
        <f ca="1">IF(AND(Energy!$F$11=$A$3,Main!$B$43=A28),'Aerodynamics-Cruise'!I25,Q28)</f>
        <v>8.3183813415328451</v>
      </c>
      <c r="R28" s="103">
        <f ca="1">IF(AND(Energy!$F$11=$A$3,Main!$B$43=$A28),Summary!R25,R28)</f>
        <v>5.2307384630462099</v>
      </c>
      <c r="S28" s="103">
        <f ca="1">IF(AND(Energy!$F$11=$A$3,Main!$B$43=A28),'Aerodynamics-Cruise'!W25,S28)</f>
        <v>1</v>
      </c>
      <c r="T28" s="103">
        <f ca="1">IF(AND(Energy!$F$11=$A$3,Main!$B$43=A28),'Aerodynamics-Cruise'!BL25,T28)</f>
        <v>25.629566618526663</v>
      </c>
      <c r="U28" s="103">
        <f ca="1">IF(AND(Energy!$F$11=$A$3,Main!$B$43=A28),'Propulsion-Cruise'!M25,U28)</f>
        <v>53.987782938348012</v>
      </c>
      <c r="V28" s="103">
        <f ca="1">IF(AND(Energy!$F$11=$A$3,Main!$B$43=A28),Endurance!AP25,V28)</f>
        <v>504.67443574350875</v>
      </c>
      <c r="W28" s="103">
        <f ca="1">IF(AND(Energy!$F$11=$A$3,Main!$B$43=$A28),Summary!W25,W28)</f>
        <v>1.0292397660818715</v>
      </c>
      <c r="X28" s="13">
        <f ca="1">IF(AND(Energy!$F$11=$A$3,Main!$B$43=A28),Energy!D25,X28)</f>
        <v>911.21754954767937</v>
      </c>
      <c r="Y28" s="102">
        <f ca="1">IF(AND(Energy!$F$11=$A$3,Main!$B$43=A28),'Aerodynamics-Cruise'!V25,Y28)</f>
        <v>137347.30362375677</v>
      </c>
      <c r="Z28" s="102">
        <f ca="1">IF(AND(Energy!$F$11=$A$3,Main!$B$43=$A28),Summary!Z25,Z28)</f>
        <v>103830.33013336702</v>
      </c>
      <c r="AA28" s="102">
        <f ca="1">IF(AND(Energy!$F$11=$A$3,Main!$B$43=$A28),Summary!AA25,AA28)</f>
        <v>103830.33013336702</v>
      </c>
      <c r="AB28" s="103">
        <f ca="1">IF(AND(Energy!$F$11=$A$3,Main!$B$43=$A28),Summary!AB25,AB28)</f>
        <v>5.2307384630462099</v>
      </c>
      <c r="AC28" s="103">
        <f ca="1">IF(AND(Energy!$F$11=$A$3,Main!$B$43=$A28),Summary!AC25,AC28)</f>
        <v>2.8928948281385014</v>
      </c>
      <c r="AD28" s="103">
        <f ca="1">IF(AND(Energy!$F$11=$A$3,Main!$B$43=$A28),Summary!AD25,AD28)</f>
        <v>0.4199217070707254</v>
      </c>
      <c r="AE28" s="103">
        <f ca="1">IF(AND(Energy!$F$11=$A$3,Main!$B$43=$A28),Summary!AE25,AE28)</f>
        <v>1.0292397660818715</v>
      </c>
      <c r="AF28" s="103">
        <f ca="1">IF(AND(Energy!$F$11=$A$3,Main!$B$43=$A28),Summary!AF25,AF28)</f>
        <v>20.842105263157894</v>
      </c>
      <c r="AG28" s="103">
        <f ca="1">IF(AND(Energy!$F$11=$A$3,Main!$B$43=$A28),Summary!AG25,AG28)</f>
        <v>11.045690480102429</v>
      </c>
      <c r="AH28" s="103">
        <f ca="1">IF(AND(Energy!$F$11=$A$3,Main!$B$43=$A28),Summary!AH25,AH28)</f>
        <v>47</v>
      </c>
      <c r="AI28" s="103">
        <f ca="1">IF(AND(Energy!$F$11=$A$3,Main!$B$43=$A28),Summary!AI25,AI28)</f>
        <v>2.690004736325736</v>
      </c>
      <c r="AJ28" s="103">
        <f ca="1">IF(AND(Energy!$F$11=$A$3,Main!$B$43=$A28),Summary!AJ25,AJ28)</f>
        <v>0.25088261046428889</v>
      </c>
      <c r="AK28" s="103">
        <f ca="1">IF(AND(Energy!$F$11=$A$3,Main!$B$43=$A28),Summary!AK25,AK28)</f>
        <v>0.01</v>
      </c>
      <c r="AL28" s="103">
        <f ca="1">IF(AND(Energy!$F$11=$A$3,Main!$B$43=$A28),Summary!AL25,AL28)</f>
        <v>-0.4982028096825068</v>
      </c>
      <c r="AM28" s="103">
        <f ca="1">IF(AND(Energy!$F$11=$A$3,Main!$B$43=$A28),Summary!AJ45,AM28)</f>
        <v>0</v>
      </c>
      <c r="AN28" s="101"/>
      <c r="AO28" s="101"/>
      <c r="AP28" s="101"/>
      <c r="AQ28" s="101"/>
      <c r="AR28" s="103"/>
      <c r="AS28" s="103"/>
      <c r="AT28" s="103"/>
      <c r="AU28" s="101"/>
      <c r="AV28" s="101"/>
      <c r="AW28" s="101"/>
      <c r="AX28" s="101"/>
      <c r="AY28" s="101"/>
      <c r="AZ28" s="105"/>
      <c r="BA28" s="100"/>
      <c r="BB28" s="100"/>
      <c r="BC28" s="6"/>
    </row>
    <row r="29" spans="1:55">
      <c r="A29">
        <f t="shared" si="2"/>
        <v>2</v>
      </c>
      <c r="D29" s="1">
        <f ca="1">IF(AND(Energy!$F$11=$A$3,Main!$B$43=A29),Main!C26,D29)</f>
        <v>4.7894736842105265</v>
      </c>
      <c r="E29" s="103">
        <f ca="1">IF(AND(Energy!$F$11=$A$3,Main!$B$43=A29),Main!B26,E29)</f>
        <v>0.22222222222222224</v>
      </c>
      <c r="F29" s="103">
        <f ca="1">IF(Main!$D$6=1,U29,IF(Main!$D$6=2,N29,IF(Main!$D$6=3,K29,IF(Main!$D$6=4,V29,J29))))</f>
        <v>501.39700585525384</v>
      </c>
      <c r="G29" s="103">
        <f ca="1">IF(AND(Energy!$F$11=$A$3,Main!$B$43=A29),Weight!H26,G29)</f>
        <v>15</v>
      </c>
      <c r="H29" s="103">
        <f ca="1">IF(AND(Energy!$F$11=$A$3,Main!$B$43=A29),Weight!U26,H29)</f>
        <v>12.773131111883998</v>
      </c>
      <c r="I29" s="103">
        <f ca="1">IF(AND(Energy!$F$11=$A$3,Main!$B$43=A29),Weight!V26,I29)</f>
        <v>38.717049049908923</v>
      </c>
      <c r="J29" s="103">
        <f ca="1">IF(AND(Energy!$F$11=$A$3,Main!$B$43=A29),Weight!I26,J29)</f>
        <v>21.00626966302492</v>
      </c>
      <c r="K29" s="103">
        <f ca="1">IF(AND(Energy!$F$11=$A$3,Main!$B$43=A29),Weight!W26,K29)</f>
        <v>53.717053600329294</v>
      </c>
      <c r="L29" s="103">
        <f ca="1">IF(AND(Energy!$F$11=$A$3,Main!$B$43=A29),'Aerodynamics-Cruise'!BI26,L29)</f>
        <v>53.717044462071364</v>
      </c>
      <c r="M29" s="103">
        <f ca="1">IF(AND(Energy!$F$11=$A$3,Main!$B$43=A29),'Aerodynamics-Cruise'!BJ26,M29)</f>
        <v>2.6361548089274107</v>
      </c>
      <c r="N29" s="103">
        <f ca="1">IF(AND(Energy!$F$11=$A$3,Main!$B$43=A29),'Aerodynamics-Cruise'!BK26,N29)</f>
        <v>20.377044732030576</v>
      </c>
      <c r="O29" s="103">
        <f t="shared" ca="1" si="0"/>
        <v>149.34725806623052</v>
      </c>
      <c r="P29" s="103">
        <f ca="1">IF(AND(Energy!$F$11=$A$3,Main!$B$43=A29),'Aerodynamics-Cruise'!H26,P29)</f>
        <v>9.6039997903869505</v>
      </c>
      <c r="Q29" s="103">
        <f ca="1">IF(AND(Energy!$F$11=$A$3,Main!$B$43=A29),'Aerodynamics-Cruise'!I26,Q29)</f>
        <v>8.2028064332946045</v>
      </c>
      <c r="R29" s="103">
        <f ca="1">IF(AND(Energy!$F$11=$A$3,Main!$B$43=$A29),Summary!R26,R29)</f>
        <v>5.1049895260486498</v>
      </c>
      <c r="S29" s="103">
        <f ca="1">IF(AND(Energy!$F$11=$A$3,Main!$B$43=A29),'Aerodynamics-Cruise'!W26,S29)</f>
        <v>1</v>
      </c>
      <c r="T29" s="103">
        <f ca="1">IF(AND(Energy!$F$11=$A$3,Main!$B$43=A29),'Aerodynamics-Cruise'!BL26,T29)</f>
        <v>25.317630232366405</v>
      </c>
      <c r="U29" s="103">
        <f ca="1">IF(AND(Energy!$F$11=$A$3,Main!$B$43=A29),'Propulsion-Cruise'!M26,U29)</f>
        <v>53.521466318870964</v>
      </c>
      <c r="V29" s="103">
        <f ca="1">IF(AND(Energy!$F$11=$A$3,Main!$B$43=A29),Endurance!AP26,V29)</f>
        <v>501.39700585525384</v>
      </c>
      <c r="W29" s="103">
        <f ca="1">IF(AND(Energy!$F$11=$A$3,Main!$B$43=$A29),Summary!W26,W29)</f>
        <v>1.064327485380117</v>
      </c>
      <c r="X29" s="13">
        <f ca="1">IF(AND(Energy!$F$11=$A$3,Main!$B$43=A29),Energy!D26,X29)</f>
        <v>905.29998197162331</v>
      </c>
      <c r="Y29" s="102">
        <f ca="1">IF(AND(Energy!$F$11=$A$3,Main!$B$43=A29),'Aerodynamics-Cruise'!V26,Y29)</f>
        <v>135358.30441694736</v>
      </c>
      <c r="Z29" s="102">
        <f ca="1">IF(AND(Energy!$F$11=$A$3,Main!$B$43=$A29),Summary!Z26,Z29)</f>
        <v>102385.33898763351</v>
      </c>
      <c r="AA29" s="102">
        <f ca="1">IF(AND(Energy!$F$11=$A$3,Main!$B$43=$A29),Summary!AA26,AA29)</f>
        <v>102385.33898763351</v>
      </c>
      <c r="AB29" s="103">
        <f ca="1">IF(AND(Energy!$F$11=$A$3,Main!$B$43=$A29),Summary!AB26,AB29)</f>
        <v>5.1049895260486498</v>
      </c>
      <c r="AC29" s="103">
        <f ca="1">IF(AND(Energy!$F$11=$A$3,Main!$B$43=$A29),Summary!AC26,AC29)</f>
        <v>2.8486178339233237</v>
      </c>
      <c r="AD29" s="103">
        <f ca="1">IF(AND(Energy!$F$11=$A$3,Main!$B$43=$A29),Summary!AD26,AD29)</f>
        <v>0.41683451695784635</v>
      </c>
      <c r="AE29" s="103">
        <f ca="1">IF(AND(Energy!$F$11=$A$3,Main!$B$43=$A29),Summary!AE26,AE29)</f>
        <v>1.064327485380117</v>
      </c>
      <c r="AF29" s="103">
        <f ca="1">IF(AND(Energy!$F$11=$A$3,Main!$B$43=$A29),Summary!AF26,AF29)</f>
        <v>21.55263157894737</v>
      </c>
      <c r="AG29" s="103">
        <f ca="1">IF(AND(Energy!$F$11=$A$3,Main!$B$43=$A29),Summary!AG26,AG29)</f>
        <v>11.009150920221007</v>
      </c>
      <c r="AH29" s="103">
        <f ca="1">IF(AND(Energy!$F$11=$A$3,Main!$B$43=$A29),Summary!AH26,AH29)</f>
        <v>47</v>
      </c>
      <c r="AI29" s="103">
        <f ca="1">IF(AND(Energy!$F$11=$A$3,Main!$B$43=$A29),Summary!AI26,AI29)</f>
        <v>2.6867998456795288</v>
      </c>
      <c r="AJ29" s="103">
        <f ca="1">IF(AND(Energy!$F$11=$A$3,Main!$B$43=$A29),Summary!AJ26,AJ29)</f>
        <v>0.25188762308993068</v>
      </c>
      <c r="AK29" s="103">
        <f ca="1">IF(AND(Energy!$F$11=$A$3,Main!$B$43=$A29),Summary!AK26,AK29)</f>
        <v>0.01</v>
      </c>
      <c r="AL29" s="103">
        <f ca="1">IF(AND(Energy!$F$11=$A$3,Main!$B$43=$A29),Summary!AL26,AL29)</f>
        <v>-0.49621508438699358</v>
      </c>
      <c r="AM29" s="103">
        <f ca="1">IF(AND(Energy!$F$11=$A$3,Main!$B$43=$A29),Summary!AJ46,AM29)</f>
        <v>0</v>
      </c>
      <c r="AN29" s="101"/>
      <c r="AO29" s="101"/>
      <c r="AP29" s="101"/>
      <c r="AQ29" s="101"/>
      <c r="AR29" s="103"/>
      <c r="AS29" s="103"/>
      <c r="AT29" s="103"/>
      <c r="AU29" s="101"/>
      <c r="AV29" s="101"/>
      <c r="AW29" s="101"/>
      <c r="AX29" s="101"/>
      <c r="AY29" s="101"/>
      <c r="AZ29" s="105"/>
      <c r="BA29" s="100"/>
      <c r="BB29" s="100"/>
      <c r="BC29" s="6"/>
    </row>
    <row r="30" spans="1:55">
      <c r="A30">
        <f t="shared" si="2"/>
        <v>2</v>
      </c>
      <c r="D30" s="1">
        <f ca="1">IF(AND(Energy!$F$11=$A$3,Main!$B$43=A30),Main!C27,D30)</f>
        <v>4.9473684210526319</v>
      </c>
      <c r="E30" s="103">
        <f ca="1">IF(AND(Energy!$F$11=$A$3,Main!$B$43=A30),Main!B27,E30)</f>
        <v>0.22222222222222224</v>
      </c>
      <c r="F30" s="103">
        <f ca="1">IF(Main!$D$6=1,U30,IF(Main!$D$6=2,N30,IF(Main!$D$6=3,K30,IF(Main!$D$6=4,V30,J30))))</f>
        <v>499.11073285968627</v>
      </c>
      <c r="G30" s="103">
        <f ca="1">IF(AND(Energy!$F$11=$A$3,Main!$B$43=A30),Weight!H27,G30)</f>
        <v>15</v>
      </c>
      <c r="H30" s="103">
        <f ca="1">IF(AND(Energy!$F$11=$A$3,Main!$B$43=A30),Weight!U27,H30)</f>
        <v>13.156146580413171</v>
      </c>
      <c r="I30" s="103">
        <f ca="1">IF(AND(Energy!$F$11=$A$3,Main!$B$43=A30),Weight!V27,I30)</f>
        <v>39.004280542974179</v>
      </c>
      <c r="J30" s="103">
        <f ca="1">IF(AND(Energy!$F$11=$A$3,Main!$B$43=A30),Weight!I27,J30)</f>
        <v>20.910485687561007</v>
      </c>
      <c r="K30" s="103">
        <f ca="1">IF(AND(Energy!$F$11=$A$3,Main!$B$43=A30),Weight!W27,K30)</f>
        <v>54.004284778574679</v>
      </c>
      <c r="L30" s="103">
        <f ca="1">IF(AND(Energy!$F$11=$A$3,Main!$B$43=A30),'Aerodynamics-Cruise'!BI27,L30)</f>
        <v>54.004276271241856</v>
      </c>
      <c r="M30" s="103">
        <f ca="1">IF(AND(Energy!$F$11=$A$3,Main!$B$43=A30),'Aerodynamics-Cruise'!BJ27,M30)</f>
        <v>2.6454746919756071</v>
      </c>
      <c r="N30" s="103">
        <f ca="1">IF(AND(Energy!$F$11=$A$3,Main!$B$43=A30),'Aerodynamics-Cruise'!BK27,N30)</f>
        <v>20.413832131923417</v>
      </c>
      <c r="O30" s="103">
        <f t="shared" ca="1" si="0"/>
        <v>150.01635681463176</v>
      </c>
      <c r="P30" s="103">
        <f ca="1">IF(AND(Energy!$F$11=$A$3,Main!$B$43=A30),'Aerodynamics-Cruise'!H27,P30)</f>
        <v>9.4746989894346019</v>
      </c>
      <c r="Q30" s="103">
        <f ca="1">IF(AND(Energy!$F$11=$A$3,Main!$B$43=A30),'Aerodynamics-Cruise'!I27,Q30)</f>
        <v>8.0968528487771039</v>
      </c>
      <c r="R30" s="103">
        <f ca="1">IF(AND(Energy!$F$11=$A$3,Main!$B$43=$A30),Summary!R27,R30)</f>
        <v>4.9975780710438471</v>
      </c>
      <c r="S30" s="103">
        <f ca="1">IF(AND(Energy!$F$11=$A$3,Main!$B$43=A30),'Aerodynamics-Cruise'!W27,S30)</f>
        <v>1</v>
      </c>
      <c r="T30" s="103">
        <f ca="1">IF(AND(Energy!$F$11=$A$3,Main!$B$43=A30),'Aerodynamics-Cruise'!BL27,T30)</f>
        <v>25.065076390636101</v>
      </c>
      <c r="U30" s="103">
        <f ca="1">IF(AND(Energy!$F$11=$A$3,Main!$B$43=A30),'Propulsion-Cruise'!M27,U30)</f>
        <v>53.165571057741886</v>
      </c>
      <c r="V30" s="103">
        <f ca="1">IF(AND(Energy!$F$11=$A$3,Main!$B$43=A30),Endurance!AP27,V30)</f>
        <v>499.11073285968627</v>
      </c>
      <c r="W30" s="103">
        <f ca="1">IF(AND(Energy!$F$11=$A$3,Main!$B$43=$A30),Summary!W27,W30)</f>
        <v>1.0994152046783627</v>
      </c>
      <c r="X30" s="13">
        <f ca="1">IF(AND(Energy!$F$11=$A$3,Main!$B$43=A30),Energy!D27,X30)</f>
        <v>901.1720013412737</v>
      </c>
      <c r="Y30" s="102">
        <f ca="1">IF(AND(Energy!$F$11=$A$3,Main!$B$43=A30),'Aerodynamics-Cruise'!V27,Y30)</f>
        <v>133535.94523757906</v>
      </c>
      <c r="Z30" s="102">
        <f ca="1">IF(AND(Energy!$F$11=$A$3,Main!$B$43=$A30),Summary!Z27,Z30)</f>
        <v>101060.66985136693</v>
      </c>
      <c r="AA30" s="102">
        <f ca="1">IF(AND(Energy!$F$11=$A$3,Main!$B$43=$A30),Summary!AA27,AA30)</f>
        <v>101060.66985136693</v>
      </c>
      <c r="AB30" s="103">
        <f ca="1">IF(AND(Energy!$F$11=$A$3,Main!$B$43=$A30),Summary!AB27,AB30)</f>
        <v>4.9975780710438471</v>
      </c>
      <c r="AC30" s="103">
        <f ca="1">IF(AND(Energy!$F$11=$A$3,Main!$B$43=$A30),Summary!AC27,AC30)</f>
        <v>2.8036695816408659</v>
      </c>
      <c r="AD30" s="103">
        <f ca="1">IF(AND(Energy!$F$11=$A$3,Main!$B$43=$A30),Summary!AD27,AD30)</f>
        <v>0.41416379001306663</v>
      </c>
      <c r="AE30" s="103">
        <f ca="1">IF(AND(Energy!$F$11=$A$3,Main!$B$43=$A30),Summary!AE27,AE30)</f>
        <v>1.0994152046783627</v>
      </c>
      <c r="AF30" s="103">
        <f ca="1">IF(AND(Energy!$F$11=$A$3,Main!$B$43=$A30),Summary!AF27,AF30)</f>
        <v>22.263157894736842</v>
      </c>
      <c r="AG30" s="103">
        <f ca="1">IF(AND(Energy!$F$11=$A$3,Main!$B$43=$A30),Summary!AG27,AG30)</f>
        <v>10.984926145594313</v>
      </c>
      <c r="AH30" s="103">
        <f ca="1">IF(AND(Energy!$F$11=$A$3,Main!$B$43=$A30),Summary!AH27,AH30)</f>
        <v>47</v>
      </c>
      <c r="AI30" s="103">
        <f ca="1">IF(AND(Energy!$F$11=$A$3,Main!$B$43=$A30),Summary!AI27,AI30)</f>
        <v>2.6838257510274643</v>
      </c>
      <c r="AJ30" s="103">
        <f ca="1">IF(AND(Energy!$F$11=$A$3,Main!$B$43=$A30),Summary!AJ27,AJ30)</f>
        <v>0.25282664482122791</v>
      </c>
      <c r="AK30" s="103">
        <f ca="1">IF(AND(Energy!$F$11=$A$3,Main!$B$43=$A30),Summary!AK27,AK30)</f>
        <v>0.01</v>
      </c>
      <c r="AL30" s="103">
        <f ca="1">IF(AND(Energy!$F$11=$A$3,Main!$B$43=$A30),Summary!AL27,AL30)</f>
        <v>-0.49437215806179791</v>
      </c>
      <c r="AM30" s="103">
        <f ca="1">IF(AND(Energy!$F$11=$A$3,Main!$B$43=$A30),Summary!AJ47,AM30)</f>
        <v>0</v>
      </c>
      <c r="AN30" s="101"/>
      <c r="AO30" s="101"/>
      <c r="AP30" s="101"/>
      <c r="AQ30" s="101"/>
      <c r="AR30" s="103"/>
      <c r="AS30" s="103"/>
      <c r="AT30" s="103"/>
      <c r="AU30" s="101"/>
      <c r="AV30" s="101"/>
      <c r="AW30" s="101"/>
      <c r="AX30" s="101"/>
      <c r="AY30" s="101"/>
      <c r="AZ30" s="105"/>
      <c r="BA30" s="100"/>
      <c r="BB30" s="100"/>
      <c r="BC30" s="6"/>
    </row>
    <row r="31" spans="1:55">
      <c r="A31">
        <f t="shared" si="2"/>
        <v>2</v>
      </c>
      <c r="D31" s="1">
        <f ca="1">IF(AND(Energy!$F$11=$A$3,Main!$B$43=A31),Main!C28,D31)</f>
        <v>5.1052631578947372</v>
      </c>
      <c r="E31" s="103">
        <f ca="1">IF(AND(Energy!$F$11=$A$3,Main!$B$43=A31),Main!B28,E31)</f>
        <v>0.22222222222222224</v>
      </c>
      <c r="F31" s="103">
        <f ca="1">IF(Main!$D$6=1,U31,IF(Main!$D$6=2,N31,IF(Main!$D$6=3,K31,IF(Main!$D$6=4,V31,J31))))</f>
        <v>497.69244145847824</v>
      </c>
      <c r="G31" s="103">
        <f ca="1">IF(AND(Energy!$F$11=$A$3,Main!$B$43=A31),Weight!H28,G31)</f>
        <v>15</v>
      </c>
      <c r="H31" s="103">
        <f ca="1">IF(AND(Energy!$F$11=$A$3,Main!$B$43=A31),Weight!U28,H31)</f>
        <v>13.551132118387521</v>
      </c>
      <c r="I31" s="103">
        <f ca="1">IF(AND(Energy!$F$11=$A$3,Main!$B$43=A31),Weight!V28,I31)</f>
        <v>39.33984655381866</v>
      </c>
      <c r="J31" s="103">
        <f ca="1">IF(AND(Energy!$F$11=$A$3,Main!$B$43=A31),Weight!I28,J31)</f>
        <v>20.851066160431138</v>
      </c>
      <c r="K31" s="103">
        <f ca="1">IF(AND(Energy!$F$11=$A$3,Main!$B$43=A31),Weight!W28,K31)</f>
        <v>54.339850515339435</v>
      </c>
      <c r="L31" s="103">
        <f ca="1">IF(AND(Energy!$F$11=$A$3,Main!$B$43=A31),'Aerodynamics-Cruise'!BI28,L31)</f>
        <v>54.339842557107943</v>
      </c>
      <c r="M31" s="103">
        <f ca="1">IF(AND(Energy!$F$11=$A$3,Main!$B$43=A31),'Aerodynamics-Cruise'!BJ28,M31)</f>
        <v>2.6575792650201349</v>
      </c>
      <c r="N31" s="103">
        <f ca="1">IF(AND(Energy!$F$11=$A$3,Main!$B$43=A31),'Aerodynamics-Cruise'!BK28,N31)</f>
        <v>20.447120156431627</v>
      </c>
      <c r="O31" s="103">
        <f t="shared" ca="1" si="0"/>
        <v>150.72709778467544</v>
      </c>
      <c r="P31" s="103">
        <f ca="1">IF(AND(Energy!$F$11=$A$3,Main!$B$43=A31),'Aerodynamics-Cruise'!H28,P31)</f>
        <v>9.3559355484042772</v>
      </c>
      <c r="Q31" s="103">
        <f ca="1">IF(AND(Energy!$F$11=$A$3,Main!$B$43=A31),'Aerodynamics-Cruise'!I28,Q31)</f>
        <v>7.9994812894476448</v>
      </c>
      <c r="R31" s="103">
        <f ca="1">IF(AND(Energy!$F$11=$A$3,Main!$B$43=$A31),Summary!R28,R31)</f>
        <v>4.9059720892799437</v>
      </c>
      <c r="S31" s="103">
        <f ca="1">IF(AND(Energy!$F$11=$A$3,Main!$B$43=A31),'Aerodynamics-Cruise'!W28,S31)</f>
        <v>1</v>
      </c>
      <c r="T31" s="103">
        <f ca="1">IF(AND(Energy!$F$11=$A$3,Main!$B$43=A31),'Aerodynamics-Cruise'!BL28,T31)</f>
        <v>24.864140318303992</v>
      </c>
      <c r="U31" s="103">
        <f ca="1">IF(AND(Energy!$F$11=$A$3,Main!$B$43=A31),'Propulsion-Cruise'!M28,U31)</f>
        <v>52.906108983570235</v>
      </c>
      <c r="V31" s="103">
        <f ca="1">IF(AND(Energy!$F$11=$A$3,Main!$B$43=A31),Endurance!AP28,V31)</f>
        <v>497.69244145847824</v>
      </c>
      <c r="W31" s="103">
        <f ca="1">IF(AND(Energy!$F$11=$A$3,Main!$B$43=$A31),Summary!W28,W31)</f>
        <v>1.1345029239766082</v>
      </c>
      <c r="X31" s="13">
        <f ca="1">IF(AND(Energy!$F$11=$A$3,Main!$B$43=A31),Energy!D28,X31)</f>
        <v>898.61120813063121</v>
      </c>
      <c r="Y31" s="102">
        <f ca="1">IF(AND(Energy!$F$11=$A$3,Main!$B$43=A31),'Aerodynamics-Cruise'!V28,Y31)</f>
        <v>131862.09909477949</v>
      </c>
      <c r="Z31" s="102">
        <f ca="1">IF(AND(Energy!$F$11=$A$3,Main!$B$43=$A31),Summary!Z28,Z31)</f>
        <v>99843.321927750701</v>
      </c>
      <c r="AA31" s="102">
        <f ca="1">IF(AND(Energy!$F$11=$A$3,Main!$B$43=$A31),Summary!AA28,AA31)</f>
        <v>99843.321927750701</v>
      </c>
      <c r="AB31" s="103">
        <f ca="1">IF(AND(Energy!$F$11=$A$3,Main!$B$43=$A31),Summary!AB28,AB31)</f>
        <v>4.9059720892799437</v>
      </c>
      <c r="AC31" s="103">
        <f ca="1">IF(AND(Energy!$F$11=$A$3,Main!$B$43=$A31),Summary!AC28,AC31)</f>
        <v>2.758344552192936</v>
      </c>
      <c r="AD31" s="103">
        <f ca="1">IF(AND(Energy!$F$11=$A$3,Main!$B$43=$A31),Summary!AD28,AD31)</f>
        <v>0.41186277811398941</v>
      </c>
      <c r="AE31" s="103">
        <f ca="1">IF(AND(Energy!$F$11=$A$3,Main!$B$43=$A31),Summary!AE28,AE31)</f>
        <v>1.1345029239766082</v>
      </c>
      <c r="AF31" s="103">
        <f ca="1">IF(AND(Energy!$F$11=$A$3,Main!$B$43=$A31),Summary!AF28,AF31)</f>
        <v>22.973684210526319</v>
      </c>
      <c r="AG31" s="103">
        <f ca="1">IF(AND(Energy!$F$11=$A$3,Main!$B$43=$A31),Summary!AG28,AG31)</f>
        <v>10.97151471826861</v>
      </c>
      <c r="AH31" s="103">
        <f ca="1">IF(AND(Energy!$F$11=$A$3,Main!$B$43=$A31),Summary!AH28,AH31)</f>
        <v>47</v>
      </c>
      <c r="AI31" s="103">
        <f ca="1">IF(AND(Energy!$F$11=$A$3,Main!$B$43=$A31),Summary!AI28,AI31)</f>
        <v>2.6810614130236621</v>
      </c>
      <c r="AJ31" s="103">
        <f ca="1">IF(AND(Energy!$F$11=$A$3,Main!$B$43=$A31),Summary!AJ28,AJ31)</f>
        <v>0.25370522751416869</v>
      </c>
      <c r="AK31" s="103">
        <f ca="1">IF(AND(Energy!$F$11=$A$3,Main!$B$43=$A31),Summary!AK28,AK31)</f>
        <v>0.01</v>
      </c>
      <c r="AL31" s="103">
        <f ca="1">IF(AND(Energy!$F$11=$A$3,Main!$B$43=$A31),Summary!AL28,AL31)</f>
        <v>-0.49266020353159268</v>
      </c>
      <c r="AM31" s="103">
        <f ca="1">IF(AND(Energy!$F$11=$A$3,Main!$B$43=$A31),Summary!AJ48,AM31)</f>
        <v>0</v>
      </c>
      <c r="AN31" s="101"/>
      <c r="AO31" s="101"/>
      <c r="AP31" s="101"/>
      <c r="AQ31" s="101"/>
      <c r="AR31" s="103"/>
      <c r="AS31" s="103"/>
      <c r="AT31" s="103"/>
      <c r="AU31" s="101"/>
      <c r="AV31" s="101"/>
      <c r="AW31" s="101"/>
      <c r="AX31" s="101"/>
      <c r="AY31" s="101"/>
      <c r="AZ31" s="105"/>
      <c r="BA31" s="100"/>
      <c r="BB31" s="100"/>
      <c r="BC31" s="6"/>
    </row>
    <row r="32" spans="1:55">
      <c r="A32">
        <f t="shared" si="2"/>
        <v>2</v>
      </c>
      <c r="D32" s="1">
        <f ca="1">IF(AND(Energy!$F$11=$A$3,Main!$B$43=A32),Main!C29,D32)</f>
        <v>5.2631578947368425</v>
      </c>
      <c r="E32" s="103">
        <f ca="1">IF(AND(Energy!$F$11=$A$3,Main!$B$43=A32),Main!B29,E32)</f>
        <v>0.22222222222222224</v>
      </c>
      <c r="F32" s="103">
        <f ca="1">IF(Main!$D$6=1,U32,IF(Main!$D$6=2,N32,IF(Main!$D$6=3,K32,IF(Main!$D$6=4,V32,J32))))</f>
        <v>497.04144113204148</v>
      </c>
      <c r="G32" s="103">
        <f ca="1">IF(AND(Energy!$F$11=$A$3,Main!$B$43=A32),Weight!H29,G32)</f>
        <v>15</v>
      </c>
      <c r="H32" s="103">
        <f ca="1">IF(AND(Energy!$F$11=$A$3,Main!$B$43=A32),Weight!U29,H32)</f>
        <v>13.957879181862509</v>
      </c>
      <c r="I32" s="103">
        <f ca="1">IF(AND(Energy!$F$11=$A$3,Main!$B$43=A32),Weight!V29,I32)</f>
        <v>39.719320070588807</v>
      </c>
      <c r="J32" s="103">
        <f ca="1">IF(AND(Energy!$F$11=$A$3,Main!$B$43=A32),Weight!I29,J32)</f>
        <v>20.823792613726301</v>
      </c>
      <c r="K32" s="103">
        <f ca="1">IF(AND(Energy!$F$11=$A$3,Main!$B$43=A32),Weight!W29,K32)</f>
        <v>54.719323792376869</v>
      </c>
      <c r="L32" s="103">
        <f ca="1">IF(AND(Energy!$F$11=$A$3,Main!$B$43=A32),'Aerodynamics-Cruise'!BI29,L32)</f>
        <v>54.719316314266983</v>
      </c>
      <c r="M32" s="103">
        <f ca="1">IF(AND(Energy!$F$11=$A$3,Main!$B$43=A32),'Aerodynamics-Cruise'!BJ29,M32)</f>
        <v>2.6721631986101944</v>
      </c>
      <c r="N32" s="103">
        <f ca="1">IF(AND(Energy!$F$11=$A$3,Main!$B$43=A32),'Aerodynamics-Cruise'!BK29,N32)</f>
        <v>20.477535332694792</v>
      </c>
      <c r="O32" s="103">
        <f t="shared" ca="1" si="0"/>
        <v>151.47746035337369</v>
      </c>
      <c r="P32" s="103">
        <f ca="1">IF(AND(Energy!$F$11=$A$3,Main!$B$43=A32),'Aerodynamics-Cruise'!H29,P32)</f>
        <v>9.2466193807595456</v>
      </c>
      <c r="Q32" s="103">
        <f ca="1">IF(AND(Energy!$F$11=$A$3,Main!$B$43=A32),'Aerodynamics-Cruise'!I29,Q32)</f>
        <v>7.9098102120697842</v>
      </c>
      <c r="R32" s="103">
        <f ca="1">IF(AND(Energy!$F$11=$A$3,Main!$B$43=$A32),Summary!R29,R32)</f>
        <v>4.8281255798745875</v>
      </c>
      <c r="S32" s="103">
        <f ca="1">IF(AND(Energy!$F$11=$A$3,Main!$B$43=A32),'Aerodynamics-Cruise'!W29,S32)</f>
        <v>1</v>
      </c>
      <c r="T32" s="103">
        <f ca="1">IF(AND(Energy!$F$11=$A$3,Main!$B$43=A32),'Aerodynamics-Cruise'!BL29,T32)</f>
        <v>24.708476020821443</v>
      </c>
      <c r="U32" s="103">
        <f ca="1">IF(AND(Energy!$F$11=$A$3,Main!$B$43=A32),'Propulsion-Cruise'!M29,U32)</f>
        <v>52.731639273476915</v>
      </c>
      <c r="V32" s="103">
        <f ca="1">IF(AND(Energy!$F$11=$A$3,Main!$B$43=A32),Endurance!AP29,V32)</f>
        <v>497.04144113204148</v>
      </c>
      <c r="W32" s="103">
        <f ca="1">IF(AND(Energy!$F$11=$A$3,Main!$B$43=$A32),Summary!W29,W32)</f>
        <v>1.169590643274854</v>
      </c>
      <c r="X32" s="13">
        <f ca="1">IF(AND(Energy!$F$11=$A$3,Main!$B$43=A32),Energy!D29,X32)</f>
        <v>897.43580026142672</v>
      </c>
      <c r="Y32" s="102">
        <f ca="1">IF(AND(Energy!$F$11=$A$3,Main!$B$43=A32),'Aerodynamics-Cruise'!V29,Y32)</f>
        <v>130321.40236209522</v>
      </c>
      <c r="Z32" s="102">
        <f ca="1">IF(AND(Energy!$F$11=$A$3,Main!$B$43=$A32),Summary!Z29,Z32)</f>
        <v>98722.26814580748</v>
      </c>
      <c r="AA32" s="102">
        <f ca="1">IF(AND(Energy!$F$11=$A$3,Main!$B$43=$A32),Summary!AA29,AA32)</f>
        <v>98722.26814580748</v>
      </c>
      <c r="AB32" s="103">
        <f ca="1">IF(AND(Energy!$F$11=$A$3,Main!$B$43=$A32),Summary!AB29,AB32)</f>
        <v>4.8281255798745875</v>
      </c>
      <c r="AC32" s="103">
        <f ca="1">IF(AND(Energy!$F$11=$A$3,Main!$B$43=$A32),Summary!AC29,AC32)</f>
        <v>2.7128748642074703</v>
      </c>
      <c r="AD32" s="103">
        <f ca="1">IF(AND(Energy!$F$11=$A$3,Main!$B$43=$A32),Summary!AD29,AD32)</f>
        <v>0.40989207398732197</v>
      </c>
      <c r="AE32" s="103">
        <f ca="1">IF(AND(Energy!$F$11=$A$3,Main!$B$43=$A32),Summary!AE29,AE32)</f>
        <v>1.169590643274854</v>
      </c>
      <c r="AF32" s="103">
        <f ca="1">IF(AND(Energy!$F$11=$A$3,Main!$B$43=$A32),Summary!AF29,AF32)</f>
        <v>23.684210526315791</v>
      </c>
      <c r="AG32" s="103">
        <f ca="1">IF(AND(Energy!$F$11=$A$3,Main!$B$43=$A32),Summary!AG29,AG32)</f>
        <v>10.967674520043563</v>
      </c>
      <c r="AH32" s="103">
        <f ca="1">IF(AND(Energy!$F$11=$A$3,Main!$B$43=$A32),Summary!AH29,AH32)</f>
        <v>47</v>
      </c>
      <c r="AI32" s="103">
        <f ca="1">IF(AND(Energy!$F$11=$A$3,Main!$B$43=$A32),Summary!AI29,AI32)</f>
        <v>2.6784886825179148</v>
      </c>
      <c r="AJ32" s="103">
        <f ca="1">IF(AND(Energy!$F$11=$A$3,Main!$B$43=$A32),Summary!AJ29,AJ32)</f>
        <v>0.25452823666206725</v>
      </c>
      <c r="AK32" s="103">
        <f ca="1">IF(AND(Energy!$F$11=$A$3,Main!$B$43=$A32),Summary!AK29,AK32)</f>
        <v>0.01</v>
      </c>
      <c r="AL32" s="103">
        <f ca="1">IF(AND(Energy!$F$11=$A$3,Main!$B$43=$A32),Summary!AL29,AL32)</f>
        <v>-0.491067257698862</v>
      </c>
      <c r="AM32" s="103">
        <f ca="1">IF(AND(Energy!$F$11=$A$3,Main!$B$43=$A32),Summary!AJ49,AM32)</f>
        <v>0</v>
      </c>
      <c r="AN32" s="101"/>
      <c r="AO32" s="101"/>
      <c r="AP32" s="101"/>
      <c r="AQ32" s="101"/>
      <c r="AR32" s="103"/>
      <c r="AS32" s="103"/>
      <c r="AT32" s="103"/>
      <c r="AU32" s="101"/>
      <c r="AV32" s="101"/>
      <c r="AW32" s="101"/>
      <c r="AX32" s="101"/>
      <c r="AY32" s="101"/>
      <c r="AZ32" s="105"/>
      <c r="BA32" s="100"/>
      <c r="BB32" s="100"/>
      <c r="BC32" s="6"/>
    </row>
    <row r="33" spans="1:55">
      <c r="A33">
        <f t="shared" si="2"/>
        <v>2</v>
      </c>
      <c r="B33" s="10"/>
      <c r="C33" s="103"/>
      <c r="D33" s="1">
        <f ca="1">IF(AND(Energy!$F$11=$A$3,Main!$B$43=A33),Main!C30,D33)</f>
        <v>5.4210526315789478</v>
      </c>
      <c r="E33" s="103">
        <f ca="1">IF(AND(Energy!$F$11=$A$3,Main!$B$43=A33),Main!B30,E33)</f>
        <v>0.22222222222222224</v>
      </c>
      <c r="F33" s="103">
        <f ca="1">IF(Main!$D$6=1,U33,IF(Main!$D$6=2,N33,IF(Main!$D$6=3,K33,IF(Main!$D$6=4,V33,J33))))</f>
        <v>497.07465197761388</v>
      </c>
      <c r="G33" s="103">
        <f ca="1">IF(AND(Energy!$F$11=$A$3,Main!$B$43=A33),Weight!H30,G33)</f>
        <v>15</v>
      </c>
      <c r="H33" s="103">
        <f ca="1">IF(AND(Energy!$F$11=$A$3,Main!$B$43=A33),Weight!U30,H33)</f>
        <v>14.376234941276628</v>
      </c>
      <c r="I33" s="103">
        <f ca="1">IF(AND(Energy!$F$11=$A$3,Main!$B$43=A33),Weight!V30,I33)</f>
        <v>40.139067590658186</v>
      </c>
      <c r="J33" s="103">
        <f ca="1">IF(AND(Energy!$F$11=$A$3,Main!$B$43=A33),Weight!I30,J33)</f>
        <v>20.825184374381553</v>
      </c>
      <c r="K33" s="103">
        <f ca="1">IF(AND(Energy!$F$11=$A$3,Main!$B$43=A33),Weight!W30,K33)</f>
        <v>55.139071106835978</v>
      </c>
      <c r="L33" s="103">
        <f ca="1">IF(AND(Energy!$F$11=$A$3,Main!$B$43=A33),'Aerodynamics-Cruise'!BI30,L33)</f>
        <v>55.139064040348252</v>
      </c>
      <c r="M33" s="103">
        <f ca="1">IF(AND(Energy!$F$11=$A$3,Main!$B$43=A33),'Aerodynamics-Cruise'!BJ30,M33)</f>
        <v>2.6889716612016308</v>
      </c>
      <c r="N33" s="103">
        <f ca="1">IF(AND(Energy!$F$11=$A$3,Main!$B$43=A33),'Aerodynamics-Cruise'!BK30,N33)</f>
        <v>20.505632259325505</v>
      </c>
      <c r="O33" s="103">
        <f t="shared" ca="1" si="0"/>
        <v>152.26597213399327</v>
      </c>
      <c r="P33" s="103">
        <f ca="1">IF(AND(Energy!$F$11=$A$3,Main!$B$43=A33),'Aerodynamics-Cruise'!H30,P33)</f>
        <v>9.1458187288727242</v>
      </c>
      <c r="Q33" s="103">
        <f ca="1">IF(AND(Energy!$F$11=$A$3,Main!$B$43=A33),'Aerodynamics-Cruise'!I30,Q33)</f>
        <v>7.8270855455161321</v>
      </c>
      <c r="R33" s="103">
        <f ca="1">IF(AND(Energy!$F$11=$A$3,Main!$B$43=$A33),Summary!R30,R33)</f>
        <v>4.7623682751862555</v>
      </c>
      <c r="S33" s="103">
        <f ca="1">IF(AND(Energy!$F$11=$A$3,Main!$B$43=A33),'Aerodynamics-Cruise'!W30,S33)</f>
        <v>1</v>
      </c>
      <c r="T33" s="103">
        <f ca="1">IF(AND(Energy!$F$11=$A$3,Main!$B$43=A33),'Aerodynamics-Cruise'!BL30,T33)</f>
        <v>24.592847380425876</v>
      </c>
      <c r="U33" s="103">
        <f ca="1">IF(AND(Energy!$F$11=$A$3,Main!$B$43=A33),'Propulsion-Cruise'!M30,U33)</f>
        <v>52.632716012371787</v>
      </c>
      <c r="V33" s="103">
        <f ca="1">IF(AND(Energy!$F$11=$A$3,Main!$B$43=A33),Endurance!AP30,V33)</f>
        <v>497.07465197761388</v>
      </c>
      <c r="W33" s="103">
        <f ca="1">IF(AND(Energy!$F$11=$A$3,Main!$B$43=$A33),Summary!W30,W33)</f>
        <v>1.2046783625730997</v>
      </c>
      <c r="X33" s="13">
        <f ca="1">IF(AND(Energy!$F$11=$A$3,Main!$B$43=A33),Energy!D30,X33)</f>
        <v>897.4957723718461</v>
      </c>
      <c r="Y33" s="102">
        <f ca="1">IF(AND(Energy!$F$11=$A$3,Main!$B$43=A33),'Aerodynamics-Cruise'!V30,Y33)</f>
        <v>128900.72289298693</v>
      </c>
      <c r="Z33" s="102">
        <f ca="1">IF(AND(Energy!$F$11=$A$3,Main!$B$43=$A33),Summary!Z30,Z33)</f>
        <v>97688.07623841743</v>
      </c>
      <c r="AA33" s="102">
        <f ca="1">IF(AND(Energy!$F$11=$A$3,Main!$B$43=$A33),Summary!AA30,AA33)</f>
        <v>97688.07623841743</v>
      </c>
      <c r="AB33" s="103">
        <f ca="1">IF(AND(Energy!$F$11=$A$3,Main!$B$43=$A33),Summary!AB30,AB33)</f>
        <v>4.7623682751862555</v>
      </c>
      <c r="AC33" s="103">
        <f ca="1">IF(AND(Energy!$F$11=$A$3,Main!$B$43=$A33),Summary!AC30,AC33)</f>
        <v>2.6674439605317728</v>
      </c>
      <c r="AD33" s="103">
        <f ca="1">IF(AND(Energy!$F$11=$A$3,Main!$B$43=$A33),Summary!AD30,AD33)</f>
        <v>0.408218173331925</v>
      </c>
      <c r="AE33" s="103">
        <f ca="1">IF(AND(Energy!$F$11=$A$3,Main!$B$43=$A33),Summary!AE30,AE33)</f>
        <v>1.2046783625730997</v>
      </c>
      <c r="AF33" s="103">
        <f ca="1">IF(AND(Energy!$F$11=$A$3,Main!$B$43=$A33),Summary!AF30,AF33)</f>
        <v>24.39473684210526</v>
      </c>
      <c r="AG33" s="103">
        <f ca="1">IF(AND(Energy!$F$11=$A$3,Main!$B$43=$A33),Summary!AG30,AG33)</f>
        <v>10.972368716303068</v>
      </c>
      <c r="AH33" s="103">
        <f ca="1">IF(AND(Energy!$F$11=$A$3,Main!$B$43=$A33),Summary!AH30,AH33)</f>
        <v>47</v>
      </c>
      <c r="AI33" s="103">
        <f ca="1">IF(AND(Energy!$F$11=$A$3,Main!$B$43=$A33),Summary!AI30,AI33)</f>
        <v>2.6760917754908706</v>
      </c>
      <c r="AJ33" s="103">
        <f ca="1">IF(AND(Energy!$F$11=$A$3,Main!$B$43=$A33),Summary!AJ30,AJ33)</f>
        <v>0.25530414267137996</v>
      </c>
      <c r="AK33" s="103">
        <f ca="1">IF(AND(Energy!$F$11=$A$3,Main!$B$43=$A33),Summary!AK30,AK33)</f>
        <v>0.01</v>
      </c>
      <c r="AL33" s="103">
        <f ca="1">IF(AND(Energy!$F$11=$A$3,Main!$B$43=$A33),Summary!AL30,AL33)</f>
        <v>-0.48957482087166249</v>
      </c>
      <c r="AM33" s="103">
        <f ca="1">IF(AND(Energy!$F$11=$A$3,Main!$B$43=$A33),Summary!AJ50,AM33)</f>
        <v>0</v>
      </c>
      <c r="AN33" s="101"/>
      <c r="AO33" s="101"/>
      <c r="AP33" s="101"/>
      <c r="AQ33" s="101"/>
      <c r="AR33" s="103"/>
      <c r="AS33" s="103"/>
      <c r="AT33" s="103"/>
      <c r="AU33" s="101"/>
      <c r="AV33" s="101"/>
      <c r="AW33" s="101"/>
      <c r="AX33" s="101"/>
      <c r="AY33" s="101"/>
      <c r="AZ33" s="105"/>
      <c r="BA33" s="100"/>
      <c r="BB33" s="100"/>
      <c r="BC33" s="6"/>
    </row>
    <row r="34" spans="1:55">
      <c r="A34">
        <f t="shared" si="2"/>
        <v>2</v>
      </c>
      <c r="B34" s="10"/>
      <c r="C34" s="103"/>
      <c r="D34" s="1">
        <f ca="1">IF(AND(Energy!$F$11=$A$3,Main!$B$43=A34),Main!C31,D34)</f>
        <v>5.5789473684210531</v>
      </c>
      <c r="E34" s="103">
        <f ca="1">IF(AND(Energy!$F$11=$A$3,Main!$B$43=A34),Main!B31,E34)</f>
        <v>0.22222222222222224</v>
      </c>
      <c r="F34" s="103">
        <f ca="1">IF(Main!$D$6=1,U34,IF(Main!$D$6=2,N34,IF(Main!$D$6=3,K34,IF(Main!$D$6=4,V34,J34))))</f>
        <v>497.72300719916404</v>
      </c>
      <c r="G34" s="103">
        <f ca="1">IF(AND(Energy!$F$11=$A$3,Main!$B$43=A34),Weight!H31,G34)</f>
        <v>15</v>
      </c>
      <c r="H34" s="103">
        <f ca="1">IF(AND(Energy!$F$11=$A$3,Main!$B$43=A34),Weight!U31,H34)</f>
        <v>14.806091876910315</v>
      </c>
      <c r="I34" s="103">
        <f ca="1">IF(AND(Energy!$F$11=$A$3,Main!$B$43=A34),Weight!V31,I34)</f>
        <v>40.59608802139303</v>
      </c>
      <c r="J34" s="103">
        <f ca="1">IF(AND(Energy!$F$11=$A$3,Main!$B$43=A34),Weight!I31,J34)</f>
        <v>20.85234786948271</v>
      </c>
      <c r="K34" s="103">
        <f ca="1">IF(AND(Energy!$F$11=$A$3,Main!$B$43=A34),Weight!W31,K34)</f>
        <v>55.596091357629589</v>
      </c>
      <c r="L34" s="103">
        <f ca="1">IF(AND(Energy!$F$11=$A$3,Main!$B$43=A34),'Aerodynamics-Cruise'!BI31,L34)</f>
        <v>55.596084651229653</v>
      </c>
      <c r="M34" s="103">
        <f ca="1">IF(AND(Energy!$F$11=$A$3,Main!$B$43=A34),'Aerodynamics-Cruise'!BJ31,M34)</f>
        <v>2.7077905077356088</v>
      </c>
      <c r="N34" s="103">
        <f ca="1">IF(AND(Energy!$F$11=$A$3,Main!$B$43=A34),'Aerodynamics-Cruise'!BK31,N34)</f>
        <v>20.531900267913233</v>
      </c>
      <c r="O34" s="103">
        <f t="shared" ca="1" si="0"/>
        <v>153.09156044853879</v>
      </c>
      <c r="P34" s="103">
        <f ca="1">IF(AND(Energy!$F$11=$A$3,Main!$B$43=A34),'Aerodynamics-Cruise'!H31,P34)</f>
        <v>9.0527313101676867</v>
      </c>
      <c r="Q34" s="103">
        <f ca="1">IF(AND(Energy!$F$11=$A$3,Main!$B$43=A34),'Aerodynamics-Cruise'!I31,Q34)</f>
        <v>7.7506575284380164</v>
      </c>
      <c r="R34" s="103">
        <f ca="1">IF(AND(Energy!$F$11=$A$3,Main!$B$43=$A34),Summary!R31,R34)</f>
        <v>4.7073246954433321</v>
      </c>
      <c r="S34" s="103">
        <f ca="1">IF(AND(Energy!$F$11=$A$3,Main!$B$43=A34),'Aerodynamics-Cruise'!W31,S34)</f>
        <v>1</v>
      </c>
      <c r="T34" s="103">
        <f ca="1">IF(AND(Energy!$F$11=$A$3,Main!$B$43=A34),'Aerodynamics-Cruise'!BL31,T34)</f>
        <v>24.512899910753003</v>
      </c>
      <c r="U34" s="103">
        <f ca="1">IF(AND(Energy!$F$11=$A$3,Main!$B$43=A34),'Propulsion-Cruise'!M31,U34)</f>
        <v>52.601480306157214</v>
      </c>
      <c r="V34" s="103">
        <f ca="1">IF(AND(Energy!$F$11=$A$3,Main!$B$43=A34),Endurance!AP31,V34)</f>
        <v>497.72300719916404</v>
      </c>
      <c r="W34" s="103">
        <f ca="1">IF(AND(Energy!$F$11=$A$3,Main!$B$43=$A34),Summary!W31,W34)</f>
        <v>1.2397660818713452</v>
      </c>
      <c r="X34" s="13">
        <f ca="1">IF(AND(Energy!$F$11=$A$3,Main!$B$43=A34),Energy!D31,X34)</f>
        <v>898.66642084522141</v>
      </c>
      <c r="Y34" s="102">
        <f ca="1">IF(AND(Energy!$F$11=$A$3,Main!$B$43=A34),'Aerodynamics-Cruise'!V31,Y34)</f>
        <v>127588.7533559742</v>
      </c>
      <c r="Z34" s="102">
        <f ca="1">IF(AND(Energy!$F$11=$A$3,Main!$B$43=$A34),Summary!Z31,Z34)</f>
        <v>96732.618925128147</v>
      </c>
      <c r="AA34" s="102">
        <f ca="1">IF(AND(Energy!$F$11=$A$3,Main!$B$43=$A34),Summary!AA31,AA34)</f>
        <v>96732.618925128147</v>
      </c>
      <c r="AB34" s="103">
        <f ca="1">IF(AND(Energy!$F$11=$A$3,Main!$B$43=$A34),Summary!AB31,AB34)</f>
        <v>4.7073246954433321</v>
      </c>
      <c r="AC34" s="103">
        <f ca="1">IF(AND(Energy!$F$11=$A$3,Main!$B$43=$A34),Summary!AC31,AC34)</f>
        <v>2.6221968813919849</v>
      </c>
      <c r="AD34" s="103">
        <f ca="1">IF(AND(Energy!$F$11=$A$3,Main!$B$43=$A34),Summary!AD31,AD34)</f>
        <v>0.4068123880219664</v>
      </c>
      <c r="AE34" s="103">
        <f ca="1">IF(AND(Energy!$F$11=$A$3,Main!$B$43=$A34),Summary!AE31,AE34)</f>
        <v>1.2397660818713452</v>
      </c>
      <c r="AF34" s="103">
        <f ca="1">IF(AND(Energy!$F$11=$A$3,Main!$B$43=$A34),Summary!AF31,AF34)</f>
        <v>25.105263157894736</v>
      </c>
      <c r="AG34" s="103">
        <f ca="1">IF(AND(Energy!$F$11=$A$3,Main!$B$43=$A34),Summary!AG31,AG34)</f>
        <v>10.984725606700499</v>
      </c>
      <c r="AH34" s="103">
        <f ca="1">IF(AND(Energy!$F$11=$A$3,Main!$B$43=$A34),Summary!AH31,AH34)</f>
        <v>47</v>
      </c>
      <c r="AI34" s="103">
        <f ca="1">IF(AND(Energy!$F$11=$A$3,Main!$B$43=$A34),Summary!AI31,AI34)</f>
        <v>2.6738568719527298</v>
      </c>
      <c r="AJ34" s="103">
        <f ca="1">IF(AND(Energy!$F$11=$A$3,Main!$B$43=$A34),Summary!AJ31,AJ34)</f>
        <v>0.25603363167744458</v>
      </c>
      <c r="AK34" s="103">
        <f ca="1">IF(AND(Energy!$F$11=$A$3,Main!$B$43=$A34),Summary!AK31,AK34)</f>
        <v>0.01</v>
      </c>
      <c r="AL34" s="103">
        <f ca="1">IF(AND(Energy!$F$11=$A$3,Main!$B$43=$A34),Summary!AL31,AL34)</f>
        <v>-0.48817989629150693</v>
      </c>
      <c r="AM34" s="103">
        <f ca="1">IF(AND(Energy!$F$11=$A$3,Main!$B$43=$A34),Summary!AJ51,AM34)</f>
        <v>0</v>
      </c>
      <c r="AN34" s="101"/>
      <c r="AO34" s="101"/>
      <c r="AP34" s="101"/>
      <c r="AQ34" s="101"/>
      <c r="AR34" s="103"/>
      <c r="AS34" s="103"/>
      <c r="AT34" s="103"/>
      <c r="AU34" s="101"/>
      <c r="AV34" s="101"/>
      <c r="AW34" s="101"/>
      <c r="AX34" s="101"/>
      <c r="AY34" s="101"/>
      <c r="AZ34" s="105"/>
      <c r="BA34" s="100"/>
      <c r="BB34" s="100"/>
      <c r="BC34" s="6"/>
    </row>
    <row r="35" spans="1:55">
      <c r="A35">
        <f t="shared" si="2"/>
        <v>2</v>
      </c>
      <c r="B35" s="10"/>
      <c r="C35" s="103"/>
      <c r="D35" s="1">
        <f ca="1">IF(AND(Energy!$F$11=$A$3,Main!$B$43=A35),Main!C32,D35)</f>
        <v>5.7368421052631584</v>
      </c>
      <c r="E35" s="103">
        <f ca="1">IF(AND(Energy!$F$11=$A$3,Main!$B$43=A35),Main!B32,E35)</f>
        <v>0.22222222222222224</v>
      </c>
      <c r="F35" s="103">
        <f ca="1">IF(Main!$D$6=1,U35,IF(Main!$D$6=2,N35,IF(Main!$D$6=3,K35,IF(Main!$D$6=4,V35,J35))))</f>
        <v>498.92864544536599</v>
      </c>
      <c r="G35" s="103">
        <f ca="1">IF(AND(Energy!$F$11=$A$3,Main!$B$43=A35),Weight!H32,G35)</f>
        <v>15</v>
      </c>
      <c r="H35" s="103">
        <f ca="1">IF(AND(Energy!$F$11=$A$3,Main!$B$43=A35),Weight!U32,H35)</f>
        <v>15.247379265788332</v>
      </c>
      <c r="I35" s="103">
        <f ca="1">IF(AND(Energy!$F$11=$A$3,Main!$B$43=A35),Weight!V32,I35)</f>
        <v>41.087886518065474</v>
      </c>
      <c r="J35" s="103">
        <f ca="1">IF(AND(Energy!$F$11=$A$3,Main!$B$43=A35),Weight!I32,J35)</f>
        <v>20.902858977277145</v>
      </c>
      <c r="K35" s="103">
        <f ca="1">IF(AND(Energy!$F$11=$A$3,Main!$B$43=A35),Weight!W32,K35)</f>
        <v>56.087889695308718</v>
      </c>
      <c r="L35" s="103">
        <f ca="1">IF(AND(Energy!$F$11=$A$3,Main!$B$43=A35),'Aerodynamics-Cruise'!BI32,L35)</f>
        <v>56.087883306942551</v>
      </c>
      <c r="M35" s="103">
        <f ca="1">IF(AND(Energy!$F$11=$A$3,Main!$B$43=A35),'Aerodynamics-Cruise'!BJ32,M35)</f>
        <v>2.7284383938657979</v>
      </c>
      <c r="N35" s="103">
        <f ca="1">IF(AND(Energy!$F$11=$A$3,Main!$B$43=A35),'Aerodynamics-Cruise'!BK32,N35)</f>
        <v>20.556771020757491</v>
      </c>
      <c r="O35" s="103">
        <f t="shared" ca="1" si="0"/>
        <v>153.95344929557319</v>
      </c>
      <c r="P35" s="103">
        <f ca="1">IF(AND(Energy!$F$11=$A$3,Main!$B$43=A35),'Aerodynamics-Cruise'!H32,P35)</f>
        <v>8.9666614681503152</v>
      </c>
      <c r="Q35" s="103">
        <f ca="1">IF(AND(Energy!$F$11=$A$3,Main!$B$43=A35),'Aerodynamics-Cruise'!I32,Q35)</f>
        <v>7.6799623521122387</v>
      </c>
      <c r="R35" s="103">
        <f ca="1">IF(AND(Energy!$F$11=$A$3,Main!$B$43=$A35),Summary!R32,R35)</f>
        <v>4.6618528178589012</v>
      </c>
      <c r="S35" s="103">
        <f ca="1">IF(AND(Energy!$F$11=$A$3,Main!$B$43=A35),'Aerodynamics-Cruise'!W32,S35)</f>
        <v>1</v>
      </c>
      <c r="T35" s="103">
        <f ca="1">IF(AND(Energy!$F$11=$A$3,Main!$B$43=A35),'Aerodynamics-Cruise'!BL32,T35)</f>
        <v>24.464983414498384</v>
      </c>
      <c r="U35" s="103">
        <f ca="1">IF(AND(Energy!$F$11=$A$3,Main!$B$43=A35),'Propulsion-Cruise'!M32,U35)</f>
        <v>52.6313421641023</v>
      </c>
      <c r="V35" s="103">
        <f ca="1">IF(AND(Energy!$F$11=$A$3,Main!$B$43=A35),Endurance!AP32,V35)</f>
        <v>498.92864544536599</v>
      </c>
      <c r="W35" s="103">
        <f ca="1">IF(AND(Energy!$F$11=$A$3,Main!$B$43=$A35),Summary!W32,W35)</f>
        <v>1.2748538011695909</v>
      </c>
      <c r="X35" s="13">
        <f ca="1">IF(AND(Energy!$F$11=$A$3,Main!$B$43=A35),Energy!D32,X35)</f>
        <v>900.84327397750724</v>
      </c>
      <c r="Y35" s="102">
        <f ca="1">IF(AND(Energy!$F$11=$A$3,Main!$B$43=A35),'Aerodynamics-Cruise'!V32,Y35)</f>
        <v>126375.6892023736</v>
      </c>
      <c r="Z35" s="102">
        <f ca="1">IF(AND(Energy!$F$11=$A$3,Main!$B$43=$A35),Summary!Z32,Z35)</f>
        <v>95848.844226792571</v>
      </c>
      <c r="AA35" s="102">
        <f ca="1">IF(AND(Energy!$F$11=$A$3,Main!$B$43=$A35),Summary!AA32,AA35)</f>
        <v>95848.844226792571</v>
      </c>
      <c r="AB35" s="103">
        <f ca="1">IF(AND(Energy!$F$11=$A$3,Main!$B$43=$A35),Summary!AB32,AB35)</f>
        <v>4.6618528178589012</v>
      </c>
      <c r="AC35" s="103">
        <f ca="1">IF(AND(Energy!$F$11=$A$3,Main!$B$43=$A35),Summary!AC32,AC35)</f>
        <v>2.5772483183291102</v>
      </c>
      <c r="AD35" s="103">
        <f ca="1">IF(AND(Energy!$F$11=$A$3,Main!$B$43=$A35),Summary!AD32,AD35)</f>
        <v>0.40564997593563296</v>
      </c>
      <c r="AE35" s="103">
        <f ca="1">IF(AND(Energy!$F$11=$A$3,Main!$B$43=$A35),Summary!AE32,AE35)</f>
        <v>1.2748538011695909</v>
      </c>
      <c r="AF35" s="103">
        <f ca="1">IF(AND(Energy!$F$11=$A$3,Main!$B$43=$A35),Summary!AF32,AF35)</f>
        <v>25.815789473684212</v>
      </c>
      <c r="AG35" s="103">
        <f ca="1">IF(AND(Energy!$F$11=$A$3,Main!$B$43=$A35),Summary!AG32,AG35)</f>
        <v>11.004006674410507</v>
      </c>
      <c r="AH35" s="103">
        <f ca="1">IF(AND(Energy!$F$11=$A$3,Main!$B$43=$A35),Summary!AH32,AH35)</f>
        <v>47</v>
      </c>
      <c r="AI35" s="103">
        <f ca="1">IF(AND(Energy!$F$11=$A$3,Main!$B$43=$A35),Summary!AI32,AI35)</f>
        <v>2.6717717880420997</v>
      </c>
      <c r="AJ35" s="103">
        <f ca="1">IF(AND(Energy!$F$11=$A$3,Main!$B$43=$A35),Summary!AJ32,AJ35)</f>
        <v>0.2567188125382775</v>
      </c>
      <c r="AK35" s="103">
        <f ca="1">IF(AND(Energy!$F$11=$A$3,Main!$B$43=$A35),Summary!AK32,AK35)</f>
        <v>0.01</v>
      </c>
      <c r="AL35" s="103">
        <f ca="1">IF(AND(Energy!$F$11=$A$3,Main!$B$43=$A35),Summary!AL32,AL35)</f>
        <v>-0.4868769164976019</v>
      </c>
      <c r="AM35" s="103">
        <f ca="1">IF(AND(Energy!$F$11=$A$3,Main!$B$43=$A35),Summary!AJ52,AM35)</f>
        <v>0</v>
      </c>
      <c r="AN35" s="101"/>
      <c r="AO35" s="101"/>
      <c r="AP35" s="101"/>
      <c r="AQ35" s="101"/>
      <c r="AR35" s="103"/>
      <c r="AS35" s="103"/>
      <c r="AT35" s="103"/>
      <c r="AU35" s="101"/>
      <c r="AV35" s="101"/>
      <c r="AW35" s="101"/>
      <c r="AX35" s="101"/>
      <c r="AY35" s="101"/>
      <c r="AZ35" s="105"/>
      <c r="BA35" s="100"/>
      <c r="BB35" s="100"/>
      <c r="BC35" s="6"/>
    </row>
    <row r="36" spans="1:55">
      <c r="A36">
        <f t="shared" si="2"/>
        <v>2</v>
      </c>
      <c r="B36" s="10"/>
      <c r="C36" s="103"/>
      <c r="D36" s="1">
        <f ca="1">IF(AND(Energy!$F$11=$A$3,Main!$B$43=A36),Main!C33,D36)</f>
        <v>5.8947368421052637</v>
      </c>
      <c r="E36" s="103">
        <f ca="1">IF(AND(Energy!$F$11=$A$3,Main!$B$43=A36),Main!B33,E36)</f>
        <v>0.22222222222222224</v>
      </c>
      <c r="F36" s="103">
        <f ca="1">IF(Main!$D$6=1,U36,IF(Main!$D$6=2,N36,IF(Main!$D$6=3,K36,IF(Main!$D$6=4,V36,J36))))</f>
        <v>500.6427825229128</v>
      </c>
      <c r="G36" s="103">
        <f ca="1">IF(AND(Energy!$F$11=$A$3,Main!$B$43=A36),Weight!H33,G36)</f>
        <v>15</v>
      </c>
      <c r="H36" s="103">
        <f ca="1">IF(AND(Energy!$F$11=$A$3,Main!$B$43=A36),Weight!U33,H36)</f>
        <v>15.70005679027237</v>
      </c>
      <c r="I36" s="103">
        <f ca="1">IF(AND(Energy!$F$11=$A$3,Main!$B$43=A36),Weight!V33,I36)</f>
        <v>41.612378929532809</v>
      </c>
      <c r="J36" s="103">
        <f ca="1">IF(AND(Energy!$F$11=$A$3,Main!$B$43=A36),Weight!I33,J36)</f>
        <v>20.974673864260435</v>
      </c>
      <c r="K36" s="103">
        <f ca="1">IF(AND(Energy!$F$11=$A$3,Main!$B$43=A36),Weight!W33,K36)</f>
        <v>56.612381966194519</v>
      </c>
      <c r="L36" s="103">
        <f ca="1">IF(AND(Energy!$F$11=$A$3,Main!$B$43=A36),'Aerodynamics-Cruise'!BI33,L36)</f>
        <v>56.612375858907875</v>
      </c>
      <c r="M36" s="103">
        <f ca="1">IF(AND(Energy!$F$11=$A$3,Main!$B$43=A36),'Aerodynamics-Cruise'!BJ33,M36)</f>
        <v>2.7507607979849227</v>
      </c>
      <c r="N36" s="103">
        <f ca="1">IF(AND(Energy!$F$11=$A$3,Main!$B$43=A36),'Aerodynamics-Cruise'!BK33,N36)</f>
        <v>20.580624785833585</v>
      </c>
      <c r="O36" s="103">
        <f t="shared" ca="1" si="0"/>
        <v>154.85108247330282</v>
      </c>
      <c r="P36" s="103">
        <f ca="1">IF(AND(Energy!$F$11=$A$3,Main!$B$43=A36),'Aerodynamics-Cruise'!H33,P36)</f>
        <v>8.8870022608761037</v>
      </c>
      <c r="Q36" s="103">
        <f ca="1">IF(AND(Energy!$F$11=$A$3,Main!$B$43=A36),'Aerodynamics-Cruise'!I33,Q36)</f>
        <v>7.6145077647902371</v>
      </c>
      <c r="R36" s="103">
        <f ca="1">IF(AND(Energy!$F$11=$A$3,Main!$B$43=$A36),Summary!R33,R36)</f>
        <v>4.6249977714291504</v>
      </c>
      <c r="S36" s="103">
        <f ca="1">IF(AND(Energy!$F$11=$A$3,Main!$B$43=A36),'Aerodynamics-Cruise'!W33,S36)</f>
        <v>1</v>
      </c>
      <c r="T36" s="103">
        <f ca="1">IF(AND(Energy!$F$11=$A$3,Main!$B$43=A36),'Aerodynamics-Cruise'!BL33,T36)</f>
        <v>24.446017430821364</v>
      </c>
      <c r="U36" s="103">
        <f ca="1">IF(AND(Energy!$F$11=$A$3,Main!$B$43=A36),'Propulsion-Cruise'!M33,U36)</f>
        <v>52.716739283142985</v>
      </c>
      <c r="V36" s="103">
        <f ca="1">IF(AND(Energy!$F$11=$A$3,Main!$B$43=A36),Endurance!AP33,V36)</f>
        <v>500.6427825229128</v>
      </c>
      <c r="W36" s="103">
        <f ca="1">IF(AND(Energy!$F$11=$A$3,Main!$B$43=$A36),Summary!W33,W36)</f>
        <v>1.3099415204678364</v>
      </c>
      <c r="X36" s="13">
        <f ca="1">IF(AND(Energy!$F$11=$A$3,Main!$B$43=A36),Energy!D33,X36)</f>
        <v>903.93824929583286</v>
      </c>
      <c r="Y36" s="102">
        <f ca="1">IF(AND(Energy!$F$11=$A$3,Main!$B$43=A36),'Aerodynamics-Cruise'!V33,Y36)</f>
        <v>125252.97622203514</v>
      </c>
      <c r="Z36" s="102">
        <f ca="1">IF(AND(Energy!$F$11=$A$3,Main!$B$43=$A36),Summary!Z33,Z36)</f>
        <v>95030.595349275725</v>
      </c>
      <c r="AA36" s="102">
        <f ca="1">IF(AND(Energy!$F$11=$A$3,Main!$B$43=$A36),Summary!AA33,AA36)</f>
        <v>95030.595349275725</v>
      </c>
      <c r="AB36" s="103">
        <f ca="1">IF(AND(Energy!$F$11=$A$3,Main!$B$43=$A36),Summary!AB33,AB36)</f>
        <v>4.6249977714291504</v>
      </c>
      <c r="AC36" s="103">
        <f ca="1">IF(AND(Energy!$F$11=$A$3,Main!$B$43=$A36),Summary!AC33,AC36)</f>
        <v>2.5326887730166026</v>
      </c>
      <c r="AD36" s="103">
        <f ca="1">IF(AND(Energy!$F$11=$A$3,Main!$B$43=$A36),Summary!AD33,AD36)</f>
        <v>0.4047094661793425</v>
      </c>
      <c r="AE36" s="103">
        <f ca="1">IF(AND(Energy!$F$11=$A$3,Main!$B$43=$A36),Summary!AE33,AE36)</f>
        <v>1.3099415204678364</v>
      </c>
      <c r="AF36" s="103">
        <f ca="1">IF(AND(Energy!$F$11=$A$3,Main!$B$43=$A36),Summary!AF33,AF36)</f>
        <v>26.526315789473689</v>
      </c>
      <c r="AG36" s="103">
        <f ca="1">IF(AND(Energy!$F$11=$A$3,Main!$B$43=$A36),Summary!AG33,AG36)</f>
        <v>11.029582225959505</v>
      </c>
      <c r="AH36" s="103">
        <f ca="1">IF(AND(Energy!$F$11=$A$3,Main!$B$43=$A36),Summary!AH33,AH36)</f>
        <v>47</v>
      </c>
      <c r="AI36" s="103">
        <f ca="1">IF(AND(Energy!$F$11=$A$3,Main!$B$43=$A36),Summary!AI33,AI36)</f>
        <v>2.6698257191517052</v>
      </c>
      <c r="AJ36" s="103">
        <f ca="1">IF(AND(Energy!$F$11=$A$3,Main!$B$43=$A36),Summary!AJ33,AJ36)</f>
        <v>0.25736274135201531</v>
      </c>
      <c r="AK36" s="103">
        <f ca="1">IF(AND(Energy!$F$11=$A$3,Main!$B$43=$A36),Summary!AK33,AK36)</f>
        <v>0.01</v>
      </c>
      <c r="AL36" s="103">
        <f ca="1">IF(AND(Energy!$F$11=$A$3,Main!$B$43=$A36),Summary!AL33,AL36)</f>
        <v>-0.48565870688218304</v>
      </c>
      <c r="AM36" s="103">
        <f ca="1">IF(AND(Energy!$F$11=$A$3,Main!$B$43=$A36),Summary!AJ53,AM36)</f>
        <v>0</v>
      </c>
      <c r="AN36" s="101"/>
      <c r="AO36" s="101"/>
      <c r="AP36" s="101"/>
      <c r="AQ36" s="101"/>
      <c r="AR36" s="103"/>
      <c r="AS36" s="103"/>
      <c r="AT36" s="103"/>
      <c r="AU36" s="101"/>
      <c r="AV36" s="101"/>
      <c r="AW36" s="101"/>
      <c r="AX36" s="101"/>
      <c r="AY36" s="101"/>
      <c r="AZ36" s="105"/>
      <c r="BA36" s="100"/>
      <c r="BB36" s="100"/>
      <c r="BC36" s="6"/>
    </row>
    <row r="37" spans="1:55">
      <c r="A37">
        <f t="shared" si="2"/>
        <v>2</v>
      </c>
      <c r="B37" s="100"/>
      <c r="C37" s="103"/>
      <c r="D37" s="1">
        <f ca="1">IF(AND(Energy!$F$11=$A$3,Main!$B$43=A37),Main!C34,D37)</f>
        <v>6.052631578947369</v>
      </c>
      <c r="E37" s="103">
        <f ca="1">IF(AND(Energy!$F$11=$A$3,Main!$B$43=A37),Main!B34,E37)</f>
        <v>0.22222222222222224</v>
      </c>
      <c r="F37" s="103">
        <f ca="1">IF(Main!$D$6=1,U37,IF(Main!$D$6=2,N37,IF(Main!$D$6=3,K37,IF(Main!$D$6=4,V37,J37))))</f>
        <v>502.8240556858176</v>
      </c>
      <c r="G37" s="103">
        <f ca="1">IF(AND(Energy!$F$11=$A$3,Main!$B$43=A37),Weight!H34,G37)</f>
        <v>15</v>
      </c>
      <c r="H37" s="103">
        <f ca="1">IF(AND(Energy!$F$11=$A$3,Main!$B$43=A37),Weight!U34,H37)</f>
        <v>16.164109522828035</v>
      </c>
      <c r="I37" s="103">
        <f ca="1">IF(AND(Energy!$F$11=$A$3,Main!$B$43=A37),Weight!V34,I37)</f>
        <v>42.167817419195927</v>
      </c>
      <c r="J37" s="103">
        <f ca="1">IF(AND(Energy!$F$11=$A$3,Main!$B$43=A37),Weight!I34,J37)</f>
        <v>21.066059621367888</v>
      </c>
      <c r="K37" s="103">
        <f ca="1">IF(AND(Energy!$F$11=$A$3,Main!$B$43=A37),Weight!W34,K37)</f>
        <v>57.167820331590434</v>
      </c>
      <c r="L37" s="103">
        <f ca="1">IF(AND(Energy!$F$11=$A$3,Main!$B$43=A37),'Aerodynamics-Cruise'!BI34,L37)</f>
        <v>57.167814472647294</v>
      </c>
      <c r="M37" s="103">
        <f ca="1">IF(AND(Energy!$F$11=$A$3,Main!$B$43=A37),'Aerodynamics-Cruise'!BJ34,M37)</f>
        <v>2.7746253280972608</v>
      </c>
      <c r="N37" s="103">
        <f ca="1">IF(AND(Energy!$F$11=$A$3,Main!$B$43=A37),'Aerodynamics-Cruise'!BK34,N37)</f>
        <v>20.603796085091943</v>
      </c>
      <c r="O37" s="103">
        <f t="shared" ca="1" si="0"/>
        <v>155.78406704670417</v>
      </c>
      <c r="P37" s="103">
        <f ca="1">IF(AND(Energy!$F$11=$A$3,Main!$B$43=A37),'Aerodynamics-Cruise'!H34,P37)</f>
        <v>8.8132211575692274</v>
      </c>
      <c r="Q37" s="103">
        <f ca="1">IF(AND(Energy!$F$11=$A$3,Main!$B$43=A37),'Aerodynamics-Cruise'!I34,Q37)</f>
        <v>7.553861570060846</v>
      </c>
      <c r="R37" s="103">
        <f ca="1">IF(AND(Energy!$F$11=$A$3,Main!$B$43=$A37),Summary!R34,R37)</f>
        <v>4.5959562245612613</v>
      </c>
      <c r="S37" s="103">
        <f ca="1">IF(AND(Energy!$F$11=$A$3,Main!$B$43=A37),'Aerodynamics-Cruise'!W34,S37)</f>
        <v>1</v>
      </c>
      <c r="T37" s="103">
        <f ca="1">IF(AND(Energy!$F$11=$A$3,Main!$B$43=A37),'Aerodynamics-Cruise'!BL34,T37)</f>
        <v>24.453386645914239</v>
      </c>
      <c r="U37" s="103">
        <f ca="1">IF(AND(Energy!$F$11=$A$3,Main!$B$43=A37),'Propulsion-Cruise'!M34,U37)</f>
        <v>52.852949398814566</v>
      </c>
      <c r="V37" s="103">
        <f ca="1">IF(AND(Energy!$F$11=$A$3,Main!$B$43=A37),Endurance!AP34,V37)</f>
        <v>502.8240556858176</v>
      </c>
      <c r="W37" s="103">
        <f ca="1">IF(AND(Energy!$F$11=$A$3,Main!$B$43=$A37),Summary!W34,W37)</f>
        <v>1.3450292397660821</v>
      </c>
      <c r="X37" s="13">
        <f ca="1">IF(AND(Energy!$F$11=$A$3,Main!$B$43=A37),Energy!D34,X37)</f>
        <v>907.87666414571447</v>
      </c>
      <c r="Y37" s="102">
        <f ca="1">IF(AND(Energy!$F$11=$A$3,Main!$B$43=A37),'Aerodynamics-Cruise'!V34,Y37)</f>
        <v>124213.10895218923</v>
      </c>
      <c r="Z37" s="102">
        <f ca="1">IF(AND(Energy!$F$11=$A$3,Main!$B$43=$A37),Summary!Z34,Z37)</f>
        <v>94272.466779506751</v>
      </c>
      <c r="AA37" s="102">
        <f ca="1">IF(AND(Energy!$F$11=$A$3,Main!$B$43=$A37),Summary!AA34,AA37)</f>
        <v>94272.466779506751</v>
      </c>
      <c r="AB37" s="103">
        <f ca="1">IF(AND(Energy!$F$11=$A$3,Main!$B$43=$A37),Summary!AB34,AB37)</f>
        <v>4.5959562245612613</v>
      </c>
      <c r="AC37" s="103">
        <f ca="1">IF(AND(Energy!$F$11=$A$3,Main!$B$43=$A37),Summary!AC34,AC37)</f>
        <v>2.4885893636386167</v>
      </c>
      <c r="AD37" s="103">
        <f ca="1">IF(AND(Energy!$F$11=$A$3,Main!$B$43=$A37),Summary!AD34,AD37)</f>
        <v>0.4039721221486901</v>
      </c>
      <c r="AE37" s="103">
        <f ca="1">IF(AND(Energy!$F$11=$A$3,Main!$B$43=$A37),Summary!AE34,AE37)</f>
        <v>1.3450292397660821</v>
      </c>
      <c r="AF37" s="103">
        <f ca="1">IF(AND(Energy!$F$11=$A$3,Main!$B$43=$A37),Summary!AF34,AF37)</f>
        <v>27.236842105263158</v>
      </c>
      <c r="AG37" s="103">
        <f ca="1">IF(AND(Energy!$F$11=$A$3,Main!$B$43=$A37),Summary!AG34,AG37)</f>
        <v>11.060912256714069</v>
      </c>
      <c r="AH37" s="103">
        <f ca="1">IF(AND(Energy!$F$11=$A$3,Main!$B$43=$A37),Summary!AH34,AH37)</f>
        <v>47</v>
      </c>
      <c r="AI37" s="103">
        <f ca="1">IF(AND(Energy!$F$11=$A$3,Main!$B$43=$A37),Summary!AI34,AI37)</f>
        <v>2.6680090326738939</v>
      </c>
      <c r="AJ37" s="103">
        <f ca="1">IF(AND(Energy!$F$11=$A$3,Main!$B$43=$A37),Summary!AJ34,AJ37)</f>
        <v>0.25796816786515103</v>
      </c>
      <c r="AK37" s="103">
        <f ca="1">IF(AND(Energy!$F$11=$A$3,Main!$B$43=$A37),Summary!AK34,AK37)</f>
        <v>0.01</v>
      </c>
      <c r="AL37" s="103">
        <f ca="1">IF(AND(Energy!$F$11=$A$3,Main!$B$43=$A37),Summary!AL34,AL37)</f>
        <v>-0.48451888342993649</v>
      </c>
      <c r="AM37" s="103">
        <f ca="1">IF(AND(Energy!$F$11=$A$3,Main!$B$43=$A37),Summary!AJ54,AM37)</f>
        <v>0</v>
      </c>
      <c r="AN37" s="101"/>
      <c r="AO37" s="101"/>
      <c r="AP37" s="101"/>
      <c r="AQ37" s="101"/>
      <c r="AR37" s="100"/>
      <c r="AS37" s="103"/>
      <c r="AT37" s="103"/>
      <c r="AU37" s="101"/>
      <c r="AV37" s="101"/>
      <c r="AW37" s="101"/>
      <c r="AX37" s="101"/>
      <c r="AY37" s="101"/>
      <c r="AZ37" s="100"/>
      <c r="BA37" s="100"/>
      <c r="BB37" s="100"/>
      <c r="BC37" s="6"/>
    </row>
    <row r="38" spans="1:55">
      <c r="A38">
        <f t="shared" si="2"/>
        <v>2</v>
      </c>
      <c r="B38" s="100"/>
      <c r="C38" s="103"/>
      <c r="D38" s="1">
        <f ca="1">IF(AND(Energy!$F$11=$A$3,Main!$B$43=A38),Main!C35,D38)</f>
        <v>6.2105263157894743</v>
      </c>
      <c r="E38" s="103">
        <f ca="1">IF(AND(Energy!$F$11=$A$3,Main!$B$43=A38),Main!B35,E38)</f>
        <v>0.22222222222222224</v>
      </c>
      <c r="F38" s="103">
        <f ca="1">IF(Main!$D$6=1,U38,IF(Main!$D$6=2,N38,IF(Main!$D$6=3,K38,IF(Main!$D$6=4,V38,J38))))</f>
        <v>505.43721636931798</v>
      </c>
      <c r="G38" s="103">
        <f ca="1">IF(AND(Energy!$F$11=$A$3,Main!$B$43=A38),Weight!H35,G38)</f>
        <v>15</v>
      </c>
      <c r="H38" s="103">
        <f ca="1">IF(AND(Energy!$F$11=$A$3,Main!$B$43=A38),Weight!U35,H38)</f>
        <v>16.639543904894502</v>
      </c>
      <c r="I38" s="103">
        <f ca="1">IF(AND(Energy!$F$11=$A$3,Main!$B$43=A38),Weight!V35,I38)</f>
        <v>42.75273167546635</v>
      </c>
      <c r="J38" s="103">
        <f ca="1">IF(AND(Energy!$F$11=$A$3,Main!$B$43=A38),Weight!I35,J38)</f>
        <v>21.175539495571847</v>
      </c>
      <c r="K38" s="103">
        <f ca="1">IF(AND(Energy!$F$11=$A$3,Main!$B$43=A38),Weight!W35,K38)</f>
        <v>57.75273447816037</v>
      </c>
      <c r="L38" s="103">
        <f ca="1">IF(AND(Energy!$F$11=$A$3,Main!$B$43=A38),'Aerodynamics-Cruise'!BI35,L38)</f>
        <v>57.752728838340097</v>
      </c>
      <c r="M38" s="103">
        <f ca="1">IF(AND(Energy!$F$11=$A$3,Main!$B$43=A38),'Aerodynamics-Cruise'!BJ35,M38)</f>
        <v>2.7999179726428505</v>
      </c>
      <c r="N38" s="103">
        <f ca="1">IF(AND(Energy!$F$11=$A$3,Main!$B$43=A38),'Aerodynamics-Cruise'!BK35,N38)</f>
        <v>20.626578850746522</v>
      </c>
      <c r="O38" s="103">
        <f t="shared" ca="1" si="0"/>
        <v>156.75213190319496</v>
      </c>
      <c r="P38" s="103">
        <f ca="1">IF(AND(Energy!$F$11=$A$3,Main!$B$43=A38),'Aerodynamics-Cruise'!H35,P38)</f>
        <v>8.7448484820782237</v>
      </c>
      <c r="Q38" s="103">
        <f ca="1">IF(AND(Energy!$F$11=$A$3,Main!$B$43=A38),'Aerodynamics-Cruise'!I35,Q38)</f>
        <v>7.497642328933944</v>
      </c>
      <c r="R38" s="103">
        <f ca="1">IF(AND(Energy!$F$11=$A$3,Main!$B$43=$A38),Summary!R35,R38)</f>
        <v>4.574048640727753</v>
      </c>
      <c r="S38" s="103">
        <f ca="1">IF(AND(Energy!$F$11=$A$3,Main!$B$43=A38),'Aerodynamics-Cruise'!W35,S38)</f>
        <v>1</v>
      </c>
      <c r="T38" s="103">
        <f ca="1">IF(AND(Energy!$F$11=$A$3,Main!$B$43=A38),'Aerodynamics-Cruise'!BL35,T38)</f>
        <v>24.484858433009368</v>
      </c>
      <c r="U38" s="103">
        <f ca="1">IF(AND(Energy!$F$11=$A$3,Main!$B$43=A38),'Propulsion-Cruise'!M35,U38)</f>
        <v>53.035942149791289</v>
      </c>
      <c r="V38" s="103">
        <f ca="1">IF(AND(Energy!$F$11=$A$3,Main!$B$43=A38),Endurance!AP35,V38)</f>
        <v>505.43721636931798</v>
      </c>
      <c r="W38" s="103">
        <f ca="1">IF(AND(Energy!$F$11=$A$3,Main!$B$43=$A38),Summary!W35,W38)</f>
        <v>1.3801169590643276</v>
      </c>
      <c r="X38" s="13">
        <f ca="1">IF(AND(Energy!$F$11=$A$3,Main!$B$43=A38),Energy!D35,X38)</f>
        <v>912.59487535297092</v>
      </c>
      <c r="Y38" s="102">
        <f ca="1">IF(AND(Energy!$F$11=$A$3,Main!$B$43=A38),'Aerodynamics-Cruise'!V35,Y38)</f>
        <v>123249.46780007509</v>
      </c>
      <c r="Z38" s="102">
        <f ca="1">IF(AND(Energy!$F$11=$A$3,Main!$B$43=$A38),Summary!Z35,Z38)</f>
        <v>93569.687956082547</v>
      </c>
      <c r="AA38" s="102">
        <f ca="1">IF(AND(Energy!$F$11=$A$3,Main!$B$43=$A38),Summary!AA35,AA38)</f>
        <v>93569.687956082547</v>
      </c>
      <c r="AB38" s="103">
        <f ca="1">IF(AND(Energy!$F$11=$A$3,Main!$B$43=$A38),Summary!AB35,AB38)</f>
        <v>4.574048640727753</v>
      </c>
      <c r="AC38" s="103">
        <f ca="1">IF(AND(Energy!$F$11=$A$3,Main!$B$43=$A38),Summary!AC35,AC38)</f>
        <v>2.4450056152069042</v>
      </c>
      <c r="AD38" s="103">
        <f ca="1">IF(AND(Energy!$F$11=$A$3,Main!$B$43=$A38),Summary!AD35,AD38)</f>
        <v>0.40342150822510009</v>
      </c>
      <c r="AE38" s="103">
        <f ca="1">IF(AND(Energy!$F$11=$A$3,Main!$B$43=$A38),Summary!AE35,AE38)</f>
        <v>1.3801169590643276</v>
      </c>
      <c r="AF38" s="103">
        <f ca="1">IF(AND(Energy!$F$11=$A$3,Main!$B$43=$A38),Summary!AF35,AF38)</f>
        <v>27.947368421052637</v>
      </c>
      <c r="AG38" s="103">
        <f ca="1">IF(AND(Energy!$F$11=$A$3,Main!$B$43=$A38),Summary!AG35,AG38)</f>
        <v>11.097531186792548</v>
      </c>
      <c r="AH38" s="103">
        <f ca="1">IF(AND(Energy!$F$11=$A$3,Main!$B$43=$A38),Summary!AH35,AH38)</f>
        <v>47</v>
      </c>
      <c r="AI38" s="103">
        <f ca="1">IF(AND(Energy!$F$11=$A$3,Main!$B$43=$A38),Summary!AI35,AI38)</f>
        <v>2.666313098359256</v>
      </c>
      <c r="AJ38" s="103">
        <f ca="1">IF(AND(Energy!$F$11=$A$3,Main!$B$43=$A38),Summary!AJ35,AJ38)</f>
        <v>0.25853757594689158</v>
      </c>
      <c r="AK38" s="103">
        <f ca="1">IF(AND(Energy!$F$11=$A$3,Main!$B$43=$A38),Summary!AK35,AK38)</f>
        <v>0.01</v>
      </c>
      <c r="AL38" s="103">
        <f ca="1">IF(AND(Energy!$F$11=$A$3,Main!$B$43=$A38),Summary!AL35,AL38)</f>
        <v>-0.48345174136075969</v>
      </c>
      <c r="AM38" s="103">
        <f ca="1">IF(AND(Energy!$F$11=$A$3,Main!$B$43=$A38),Summary!AJ55,AM38)</f>
        <v>0</v>
      </c>
      <c r="AN38" s="101"/>
      <c r="AO38" s="101"/>
      <c r="AP38" s="101"/>
      <c r="AQ38" s="101"/>
      <c r="AR38" s="100"/>
      <c r="AS38" s="103"/>
      <c r="AT38" s="103"/>
      <c r="AU38" s="101"/>
      <c r="AV38" s="101"/>
      <c r="AW38" s="101"/>
      <c r="AX38" s="101"/>
      <c r="AY38" s="101"/>
      <c r="AZ38" s="100"/>
      <c r="BA38" s="100"/>
      <c r="BB38" s="100"/>
      <c r="BC38" s="6"/>
    </row>
    <row r="39" spans="1:55">
      <c r="A39">
        <f t="shared" si="2"/>
        <v>2</v>
      </c>
      <c r="B39" s="100"/>
      <c r="C39" s="103"/>
      <c r="D39" s="1">
        <f ca="1">IF(AND(Energy!$F$11=$A$3,Main!$B$43=A39),Main!C36,D39)</f>
        <v>6.3684210526315796</v>
      </c>
      <c r="E39" s="103">
        <f ca="1">IF(AND(Energy!$F$11=$A$3,Main!$B$43=A39),Main!B36,E39)</f>
        <v>0.22222222222222224</v>
      </c>
      <c r="F39" s="103">
        <f ca="1">IF(Main!$D$6=1,U39,IF(Main!$D$6=2,N39,IF(Main!$D$6=3,K39,IF(Main!$D$6=4,V39,J39))))</f>
        <v>508.45209135364456</v>
      </c>
      <c r="G39" s="103">
        <f ca="1">IF(AND(Energy!$F$11=$A$3,Main!$B$43=A39),Weight!H36,G39)</f>
        <v>15</v>
      </c>
      <c r="H39" s="103">
        <f ca="1">IF(AND(Energy!$F$11=$A$3,Main!$B$43=A39),Weight!U36,H39)</f>
        <v>17.12638451477099</v>
      </c>
      <c r="I39" s="103">
        <f ca="1">IF(AND(Energy!$F$11=$A$3,Main!$B$43=A39),Weight!V36,I39)</f>
        <v>43.365882157214671</v>
      </c>
      <c r="J39" s="103">
        <f ca="1">IF(AND(Energy!$F$11=$A$3,Main!$B$43=A39),Weight!I36,J39)</f>
        <v>21.301849367443676</v>
      </c>
      <c r="K39" s="103">
        <f ca="1">IF(AND(Energy!$F$11=$A$3,Main!$B$43=A39),Weight!W36,K39)</f>
        <v>58.365884863309446</v>
      </c>
      <c r="L39" s="103">
        <f ca="1">IF(AND(Energy!$F$11=$A$3,Main!$B$43=A39),'Aerodynamics-Cruise'!BI36,L39)</f>
        <v>58.365879416339631</v>
      </c>
      <c r="M39" s="103">
        <f ca="1">IF(AND(Energy!$F$11=$A$3,Main!$B$43=A39),'Aerodynamics-Cruise'!BJ36,M39)</f>
        <v>2.8265400934458778</v>
      </c>
      <c r="N39" s="103">
        <f ca="1">IF(AND(Energy!$F$11=$A$3,Main!$B$43=A39),'Aerodynamics-Cruise'!BK36,N39)</f>
        <v>20.649231033968778</v>
      </c>
      <c r="O39" s="103">
        <f t="shared" ca="1" si="0"/>
        <v>157.75509706183169</v>
      </c>
      <c r="P39" s="103">
        <f ca="1">IF(AND(Energy!$F$11=$A$3,Main!$B$43=A39),'Aerodynamics-Cruise'!H36,P39)</f>
        <v>8.6814680067230174</v>
      </c>
      <c r="Q39" s="103">
        <f ca="1">IF(AND(Energy!$F$11=$A$3,Main!$B$43=A39),'Aerodynamics-Cruise'!I36,Q39)</f>
        <v>7.4455117882130288</v>
      </c>
      <c r="R39" s="103">
        <f ca="1">IF(AND(Energy!$F$11=$A$3,Main!$B$43=$A39),Summary!R36,R39)</f>
        <v>4.5586974690134188</v>
      </c>
      <c r="S39" s="103">
        <f ca="1">IF(AND(Energy!$F$11=$A$3,Main!$B$43=A39),'Aerodynamics-Cruise'!W36,S39)</f>
        <v>1</v>
      </c>
      <c r="T39" s="103">
        <f ca="1">IF(AND(Energy!$F$11=$A$3,Main!$B$43=A39),'Aerodynamics-Cruise'!BL36,T39)</f>
        <v>24.538517390970277</v>
      </c>
      <c r="U39" s="103">
        <f ca="1">IF(AND(Energy!$F$11=$A$3,Main!$B$43=A39),'Propulsion-Cruise'!M36,U39)</f>
        <v>53.262261370398598</v>
      </c>
      <c r="V39" s="103">
        <f ca="1">IF(AND(Energy!$F$11=$A$3,Main!$B$43=A39),Endurance!AP36,V39)</f>
        <v>508.45209135364456</v>
      </c>
      <c r="W39" s="103">
        <f ca="1">IF(AND(Energy!$F$11=$A$3,Main!$B$43=$A39),Summary!W36,W39)</f>
        <v>1.4152046783625734</v>
      </c>
      <c r="X39" s="13">
        <f ca="1">IF(AND(Energy!$F$11=$A$3,Main!$B$43=A39),Energy!D36,X39)</f>
        <v>918.03840354985084</v>
      </c>
      <c r="Y39" s="102">
        <f ca="1">IF(AND(Energy!$F$11=$A$3,Main!$B$43=A39),'Aerodynamics-Cruise'!V36,Y39)</f>
        <v>122356.18647307964</v>
      </c>
      <c r="Z39" s="102">
        <f ca="1">IF(AND(Energy!$F$11=$A$3,Main!$B$43=$A39),Summary!Z36,Z39)</f>
        <v>92918.0285399243</v>
      </c>
      <c r="AA39" s="102">
        <f ca="1">IF(AND(Energy!$F$11=$A$3,Main!$B$43=$A39),Summary!AA36,AA39)</f>
        <v>92918.0285399243</v>
      </c>
      <c r="AB39" s="103">
        <f ca="1">IF(AND(Energy!$F$11=$A$3,Main!$B$43=$A39),Summary!AB36,AB39)</f>
        <v>4.5586974690134188</v>
      </c>
      <c r="AC39" s="103">
        <f ca="1">IF(AND(Energy!$F$11=$A$3,Main!$B$43=$A39),Summary!AC36,AC39)</f>
        <v>2.4019804610756812</v>
      </c>
      <c r="AD39" s="103">
        <f ca="1">IF(AND(Energy!$F$11=$A$3,Main!$B$43=$A39),Summary!AD36,AD39)</f>
        <v>0.40304313807747216</v>
      </c>
      <c r="AE39" s="103">
        <f ca="1">IF(AND(Energy!$F$11=$A$3,Main!$B$43=$A39),Summary!AE36,AE39)</f>
        <v>1.4152046783625734</v>
      </c>
      <c r="AF39" s="103">
        <f ca="1">IF(AND(Energy!$F$11=$A$3,Main!$B$43=$A39),Summary!AF36,AF39)</f>
        <v>28.65789473684211</v>
      </c>
      <c r="AG39" s="103">
        <f ca="1">IF(AND(Energy!$F$11=$A$3,Main!$B$43=$A39),Summary!AG36,AG39)</f>
        <v>11.139035623043661</v>
      </c>
      <c r="AH39" s="103">
        <f ca="1">IF(AND(Energy!$F$11=$A$3,Main!$B$43=$A39),Summary!AH36,AH39)</f>
        <v>47</v>
      </c>
      <c r="AI39" s="103">
        <f ca="1">IF(AND(Energy!$F$11=$A$3,Main!$B$43=$A39),Summary!AI36,AI39)</f>
        <v>2.6647301487702966</v>
      </c>
      <c r="AJ39" s="103">
        <f ca="1">IF(AND(Energy!$F$11=$A$3,Main!$B$43=$A39),Summary!AJ36,AJ39)</f>
        <v>0.25907321751942158</v>
      </c>
      <c r="AK39" s="103">
        <f ca="1">IF(AND(Energy!$F$11=$A$3,Main!$B$43=$A39),Summary!AK36,AK39)</f>
        <v>0.01</v>
      </c>
      <c r="AL39" s="103">
        <f ca="1">IF(AND(Energy!$F$11=$A$3,Main!$B$43=$A39),Summary!AL36,AL39)</f>
        <v>-0.48245216264568486</v>
      </c>
      <c r="AM39" s="103">
        <f ca="1">IF(AND(Energy!$F$11=$A$3,Main!$B$43=$A39),Summary!AJ56,AM39)</f>
        <v>0</v>
      </c>
      <c r="AN39" s="101"/>
      <c r="AO39" s="101"/>
      <c r="AP39" s="101"/>
      <c r="AQ39" s="101"/>
      <c r="AR39" s="100"/>
      <c r="AS39" s="103"/>
      <c r="AT39" s="103"/>
      <c r="AU39" s="101"/>
      <c r="AV39" s="101"/>
      <c r="AW39" s="101"/>
      <c r="AX39" s="101"/>
      <c r="AY39" s="101"/>
      <c r="AZ39" s="100"/>
      <c r="BA39" s="100"/>
      <c r="BB39" s="100"/>
      <c r="BC39" s="6"/>
    </row>
    <row r="40" spans="1:55">
      <c r="A40">
        <f t="shared" si="2"/>
        <v>2</v>
      </c>
      <c r="B40" s="100"/>
      <c r="C40" s="103"/>
      <c r="D40" s="1">
        <f ca="1">IF(AND(Energy!$F$11=$A$3,Main!$B$43=A40),Main!C37,D40)</f>
        <v>6.526315789473685</v>
      </c>
      <c r="E40" s="103">
        <f ca="1">IF(AND(Energy!$F$11=$A$3,Main!$B$43=A40),Main!B37,E40)</f>
        <v>0.22222222222222224</v>
      </c>
      <c r="F40" s="103">
        <f ca="1">IF(Main!$D$6=1,U40,IF(Main!$D$6=2,N40,IF(Main!$D$6=3,K40,IF(Main!$D$6=4,V40,J40))))</f>
        <v>511.84275003668444</v>
      </c>
      <c r="G40" s="103">
        <f ca="1">IF(AND(Energy!$F$11=$A$3,Main!$B$43=A40),Weight!H37,G40)</f>
        <v>15</v>
      </c>
      <c r="H40" s="103">
        <f ca="1">IF(AND(Energy!$F$11=$A$3,Main!$B$43=A40),Weight!U37,H40)</f>
        <v>17.624671446676885</v>
      </c>
      <c r="I40" s="103">
        <f ca="1">IF(AND(Energy!$F$11=$A$3,Main!$B$43=A40),Weight!V37,I40)</f>
        <v>44.006222585443382</v>
      </c>
      <c r="J40" s="103">
        <f ca="1">IF(AND(Energy!$F$11=$A$3,Main!$B$43=A40),Weight!I37,J40)</f>
        <v>21.4439028637665</v>
      </c>
      <c r="K40" s="103">
        <f ca="1">IF(AND(Energy!$F$11=$A$3,Main!$B$43=A40),Weight!W37,K40)</f>
        <v>59.006225206778325</v>
      </c>
      <c r="L40" s="103">
        <f ca="1">IF(AND(Energy!$F$11=$A$3,Main!$B$43=A40),'Aerodynamics-Cruise'!BI37,L40)</f>
        <v>59.006219928925077</v>
      </c>
      <c r="M40" s="103">
        <f ca="1">IF(AND(Energy!$F$11=$A$3,Main!$B$43=A40),'Aerodynamics-Cruise'!BJ37,M40)</f>
        <v>2.8544059939115147</v>
      </c>
      <c r="N40" s="103">
        <f ca="1">IF(AND(Energy!$F$11=$A$3,Main!$B$43=A40),'Aerodynamics-Cruise'!BK37,N40)</f>
        <v>20.671978707579129</v>
      </c>
      <c r="O40" s="103">
        <f t="shared" ca="1" si="0"/>
        <v>158.79285085958412</v>
      </c>
      <c r="P40" s="103">
        <f ca="1">IF(AND(Energy!$F$11=$A$3,Main!$B$43=A40),'Aerodynamics-Cruise'!H37,P40)</f>
        <v>8.6227092341519693</v>
      </c>
      <c r="Q40" s="103">
        <f ca="1">IF(AND(Energy!$F$11=$A$3,Main!$B$43=A40),'Aerodynamics-Cruise'!I37,Q40)</f>
        <v>7.39716866457933</v>
      </c>
      <c r="R40" s="103">
        <f ca="1">IF(AND(Energy!$F$11=$A$3,Main!$B$43=$A40),Summary!R37,R40)</f>
        <v>4.5494098300397381</v>
      </c>
      <c r="S40" s="103">
        <f ca="1">IF(AND(Energy!$F$11=$A$3,Main!$B$43=A40),'Aerodynamics-Cruise'!W37,S40)</f>
        <v>1</v>
      </c>
      <c r="T40" s="103">
        <f ca="1">IF(AND(Energy!$F$11=$A$3,Main!$B$43=A40),'Aerodynamics-Cruise'!BL37,T40)</f>
        <v>24.612712921719549</v>
      </c>
      <c r="U40" s="103">
        <f ca="1">IF(AND(Energy!$F$11=$A$3,Main!$B$43=A40),'Propulsion-Cruise'!M37,U40)</f>
        <v>53.528930745155655</v>
      </c>
      <c r="V40" s="103">
        <f ca="1">IF(AND(Energy!$F$11=$A$3,Main!$B$43=A40),Endurance!AP37,V40)</f>
        <v>511.84275003668444</v>
      </c>
      <c r="W40" s="103">
        <f ca="1">IF(AND(Energy!$F$11=$A$3,Main!$B$43=$A40),Summary!W37,W40)</f>
        <v>1.4502923976608191</v>
      </c>
      <c r="X40" s="13">
        <f ca="1">IF(AND(Energy!$F$11=$A$3,Main!$B$43=A40),Energy!D37,X40)</f>
        <v>924.16042964256235</v>
      </c>
      <c r="Y40" s="102">
        <f ca="1">IF(AND(Energy!$F$11=$A$3,Main!$B$43=A40),'Aerodynamics-Cruise'!V37,Y40)</f>
        <v>121528.04319960736</v>
      </c>
      <c r="Z40" s="102">
        <f ca="1">IF(AND(Energy!$F$11=$A$3,Main!$B$43=$A40),Summary!Z37,Z40)</f>
        <v>92313.72064786905</v>
      </c>
      <c r="AA40" s="102">
        <f ca="1">IF(AND(Energy!$F$11=$A$3,Main!$B$43=$A40),Summary!AA37,AA40)</f>
        <v>92313.72064786905</v>
      </c>
      <c r="AB40" s="103">
        <f ca="1">IF(AND(Energy!$F$11=$A$3,Main!$B$43=$A40),Summary!AB37,AB40)</f>
        <v>4.5494098300397381</v>
      </c>
      <c r="AC40" s="103">
        <f ca="1">IF(AND(Energy!$F$11=$A$3,Main!$B$43=$A40),Summary!AC37,AC40)</f>
        <v>2.3595466781865904</v>
      </c>
      <c r="AD40" s="103">
        <f ca="1">IF(AND(Energy!$F$11=$A$3,Main!$B$43=$A40),Summary!AD37,AD40)</f>
        <v>0.40282418689340649</v>
      </c>
      <c r="AE40" s="103">
        <f ca="1">IF(AND(Energy!$F$11=$A$3,Main!$B$43=$A40),Summary!AE37,AE40)</f>
        <v>1.4502923976608191</v>
      </c>
      <c r="AF40" s="103">
        <f ca="1">IF(AND(Energy!$F$11=$A$3,Main!$B$43=$A40),Summary!AF37,AF40)</f>
        <v>29.368421052631579</v>
      </c>
      <c r="AG40" s="103">
        <f ca="1">IF(AND(Energy!$F$11=$A$3,Main!$B$43=$A40),Summary!AG37,AG40)</f>
        <v>11.185074466802707</v>
      </c>
      <c r="AH40" s="103">
        <f ca="1">IF(AND(Energy!$F$11=$A$3,Main!$B$43=$A40),Summary!AH37,AH40)</f>
        <v>47</v>
      </c>
      <c r="AI40" s="103">
        <f ca="1">IF(AND(Energy!$F$11=$A$3,Main!$B$43=$A40),Summary!AI37,AI40)</f>
        <v>2.6632531635895531</v>
      </c>
      <c r="AJ40" s="103">
        <f ca="1">IF(AND(Energy!$F$11=$A$3,Main!$B$43=$A40),Summary!AJ37,AJ40)</f>
        <v>0.25957710738615852</v>
      </c>
      <c r="AK40" s="103">
        <f ca="1">IF(AND(Energy!$F$11=$A$3,Main!$B$43=$A40),Summary!AK37,AK40)</f>
        <v>0.01</v>
      </c>
      <c r="AL40" s="103">
        <f ca="1">IF(AND(Energy!$F$11=$A$3,Main!$B$43=$A40),Summary!AL37,AL40)</f>
        <v>-0.48151560189130055</v>
      </c>
      <c r="AM40" s="103">
        <f ca="1">IF(AND(Energy!$F$11=$A$3,Main!$B$43=$A40),Summary!AJ57,AM40)</f>
        <v>0</v>
      </c>
      <c r="AN40" s="101"/>
      <c r="AO40" s="101"/>
      <c r="AP40" s="101"/>
      <c r="AQ40" s="101"/>
      <c r="AR40" s="100"/>
      <c r="AS40" s="103"/>
      <c r="AT40" s="103"/>
      <c r="AU40" s="101"/>
      <c r="AV40" s="101"/>
      <c r="AW40" s="101"/>
      <c r="AX40" s="101"/>
      <c r="AY40" s="101"/>
      <c r="AZ40" s="100"/>
      <c r="BA40" s="100"/>
      <c r="BB40" s="100"/>
      <c r="BC40" s="6"/>
    </row>
    <row r="41" spans="1:55">
      <c r="A41">
        <f t="shared" si="2"/>
        <v>2</v>
      </c>
      <c r="B41" s="100"/>
      <c r="C41" s="100"/>
      <c r="D41" s="1">
        <f ca="1">IF(AND(Energy!$F$11=$A$3,Main!$B$43=A41),Main!C38,D41)</f>
        <v>6.6842105263157903</v>
      </c>
      <c r="E41" s="103">
        <f ca="1">IF(AND(Energy!$F$11=$A$3,Main!$B$43=A41),Main!B38,E41)</f>
        <v>0.22222222222222224</v>
      </c>
      <c r="F41" s="103">
        <f ca="1">IF(Main!$D$6=1,U41,IF(Main!$D$6=2,N41,IF(Main!$D$6=3,K41,IF(Main!$D$6=4,V41,J41))))</f>
        <v>515.58683116357736</v>
      </c>
      <c r="G41" s="103">
        <f ca="1">IF(AND(Energy!$F$11=$A$3,Main!$B$43=A41),Weight!H38,G41)</f>
        <v>15</v>
      </c>
      <c r="H41" s="103">
        <f ca="1">IF(AND(Energy!$F$11=$A$3,Main!$B$43=A41),Weight!U38,H41)</f>
        <v>18.134458164657879</v>
      </c>
      <c r="I41" s="103">
        <f ca="1">IF(AND(Energy!$F$11=$A$3,Main!$B$43=A41),Weight!V38,I41)</f>
        <v>44.672869590184689</v>
      </c>
      <c r="J41" s="103">
        <f ca="1">IF(AND(Energy!$F$11=$A$3,Main!$B$43=A41),Weight!I38,J41)</f>
        <v>21.600763150526806</v>
      </c>
      <c r="K41" s="103">
        <f ca="1">IF(AND(Energy!$F$11=$A$3,Main!$B$43=A41),Weight!W38,K41)</f>
        <v>59.672872137549589</v>
      </c>
      <c r="L41" s="103">
        <f ca="1">IF(AND(Energy!$F$11=$A$3,Main!$B$43=A41),'Aerodynamics-Cruise'!BI38,L41)</f>
        <v>59.67286700719108</v>
      </c>
      <c r="M41" s="103">
        <f ca="1">IF(AND(Energy!$F$11=$A$3,Main!$B$43=A41),'Aerodynamics-Cruise'!BJ38,M41)</f>
        <v>2.8834409355643666</v>
      </c>
      <c r="N41" s="103">
        <f ca="1">IF(AND(Energy!$F$11=$A$3,Main!$B$43=A41),'Aerodynamics-Cruise'!BK38,N41)</f>
        <v>20.695019714531277</v>
      </c>
      <c r="O41" s="103">
        <f t="shared" ca="1" si="0"/>
        <v>159.86533296627266</v>
      </c>
      <c r="P41" s="103">
        <f ca="1">IF(AND(Energy!$F$11=$A$3,Main!$B$43=A41),'Aerodynamics-Cruise'!H38,P41)</f>
        <v>8.5682410154162998</v>
      </c>
      <c r="Q41" s="103">
        <f ca="1">IF(AND(Energy!$F$11=$A$3,Main!$B$43=A41),'Aerodynamics-Cruise'!I38,Q41)</f>
        <v>7.3523435022980275</v>
      </c>
      <c r="R41" s="103">
        <f ca="1">IF(AND(Energy!$F$11=$A$3,Main!$B$43=$A41),Summary!R38,R41)</f>
        <v>4.5457636766928742</v>
      </c>
      <c r="S41" s="103">
        <f ca="1">IF(AND(Energy!$F$11=$A$3,Main!$B$43=A41),'Aerodynamics-Cruise'!W38,S41)</f>
        <v>1</v>
      </c>
      <c r="T41" s="103">
        <f ca="1">IF(AND(Energy!$F$11=$A$3,Main!$B$43=A41),'Aerodynamics-Cruise'!BL38,T41)</f>
        <v>24.706016889632956</v>
      </c>
      <c r="U41" s="103">
        <f ca="1">IF(AND(Energy!$F$11=$A$3,Main!$B$43=A41),'Propulsion-Cruise'!M38,U41)</f>
        <v>53.833377538770016</v>
      </c>
      <c r="V41" s="103">
        <f ca="1">IF(AND(Energy!$F$11=$A$3,Main!$B$43=A41),Endurance!AP38,V41)</f>
        <v>515.58683116357736</v>
      </c>
      <c r="W41" s="103">
        <f ca="1">IF(AND(Energy!$F$11=$A$3,Main!$B$43=$A41),Summary!W38,W41)</f>
        <v>1.4853801169590646</v>
      </c>
      <c r="X41" s="13">
        <f ca="1">IF(AND(Energy!$F$11=$A$3,Main!$B$43=A41),Energy!D38,X41)</f>
        <v>930.92057918395176</v>
      </c>
      <c r="Y41" s="102">
        <f ca="1">IF(AND(Energy!$F$11=$A$3,Main!$B$43=A41),'Aerodynamics-Cruise'!V38,Y41)</f>
        <v>120760.37078253263</v>
      </c>
      <c r="Z41" s="102">
        <f ca="1">IF(AND(Energy!$F$11=$A$3,Main!$B$43=$A41),Summary!Z38,Z41)</f>
        <v>91753.394519417983</v>
      </c>
      <c r="AA41" s="102">
        <f ca="1">IF(AND(Energy!$F$11=$A$3,Main!$B$43=$A41),Summary!AA38,AA41)</f>
        <v>91753.394519417983</v>
      </c>
      <c r="AB41" s="103">
        <f ca="1">IF(AND(Energy!$F$11=$A$3,Main!$B$43=$A41),Summary!AB38,AB41)</f>
        <v>4.5457636766928742</v>
      </c>
      <c r="AC41" s="103">
        <f ca="1">IF(AND(Energy!$F$11=$A$3,Main!$B$43=$A41),Summary!AC38,AC41)</f>
        <v>2.3177287186277606</v>
      </c>
      <c r="AD41" s="103">
        <f ca="1">IF(AND(Energy!$F$11=$A$3,Main!$B$43=$A41),Summary!AD38,AD41)</f>
        <v>0.40275325404638268</v>
      </c>
      <c r="AE41" s="103">
        <f ca="1">IF(AND(Energy!$F$11=$A$3,Main!$B$43=$A41),Summary!AE38,AE41)</f>
        <v>1.4853801169590646</v>
      </c>
      <c r="AF41" s="103">
        <f ca="1">IF(AND(Energy!$F$11=$A$3,Main!$B$43=$A41),Summary!AF38,AF41)</f>
        <v>30.078947368421055</v>
      </c>
      <c r="AG41" s="103">
        <f ca="1">IF(AND(Energy!$F$11=$A$3,Main!$B$43=$A41),Summary!AG38,AG41)</f>
        <v>11.23534085189419</v>
      </c>
      <c r="AH41" s="103">
        <f ca="1">IF(AND(Energy!$F$11=$A$3,Main!$B$43=$A41),Summary!AH38,AH41)</f>
        <v>47</v>
      </c>
      <c r="AI41" s="103">
        <f ca="1">IF(AND(Energy!$F$11=$A$3,Main!$B$43=$A41),Summary!AI38,AI41)</f>
        <v>2.6618757729586209</v>
      </c>
      <c r="AJ41" s="103">
        <f ca="1">IF(AND(Energy!$F$11=$A$3,Main!$B$43=$A41),Summary!AJ38,AJ41)</f>
        <v>0.26005110500269957</v>
      </c>
      <c r="AK41" s="103">
        <f ca="1">IF(AND(Energy!$F$11=$A$3,Main!$B$43=$A41),Summary!AK38,AK41)</f>
        <v>0.01</v>
      </c>
      <c r="AL41" s="103">
        <f ca="1">IF(AND(Energy!$F$11=$A$3,Main!$B$43=$A41),Summary!AL38,AL41)</f>
        <v>-0.48063791305555342</v>
      </c>
      <c r="AM41" s="103">
        <f ca="1">IF(AND(Energy!$F$11=$A$3,Main!$B$43=$A41),Summary!AJ58,AM41)</f>
        <v>0</v>
      </c>
      <c r="AN41" s="100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</row>
    <row r="42" spans="1:55">
      <c r="A42">
        <f t="shared" si="2"/>
        <v>2</v>
      </c>
      <c r="B42" s="100"/>
      <c r="C42" s="100"/>
      <c r="D42" s="1">
        <f ca="1">IF(AND(Energy!$F$11=$A$3,Main!$B$43=A42),Main!C39,D42)</f>
        <v>6.8421052631578956</v>
      </c>
      <c r="E42" s="103">
        <f ca="1">IF(AND(Energy!$F$11=$A$3,Main!$B$43=A42),Main!B39,E42)</f>
        <v>0.22222222222222224</v>
      </c>
      <c r="F42" s="103">
        <f ca="1">IF(Main!$D$6=1,U42,IF(Main!$D$6=2,N42,IF(Main!$D$6=3,K42,IF(Main!$D$6=4,V42,J42))))</f>
        <v>519.66499468119616</v>
      </c>
      <c r="G42" s="103">
        <f ca="1">IF(AND(Energy!$F$11=$A$3,Main!$B$43=A42),Weight!H39,G42)</f>
        <v>15</v>
      </c>
      <c r="H42" s="103">
        <f ca="1">IF(AND(Energy!$F$11=$A$3,Main!$B$43=A42),Weight!U39,H42)</f>
        <v>18.65580973376585</v>
      </c>
      <c r="I42" s="103">
        <f ca="1">IF(AND(Energy!$F$11=$A$3,Main!$B$43=A42),Weight!V39,I42)</f>
        <v>45.365077976896565</v>
      </c>
      <c r="J42" s="103">
        <f ca="1">IF(AND(Energy!$F$11=$A$3,Main!$B$43=A42),Weight!I39,J42)</f>
        <v>21.771619968130715</v>
      </c>
      <c r="K42" s="103">
        <f ca="1">IF(AND(Energy!$F$11=$A$3,Main!$B$43=A42),Weight!W39,K42)</f>
        <v>60.365080460219211</v>
      </c>
      <c r="L42" s="103">
        <f ca="1">IF(AND(Energy!$F$11=$A$3,Main!$B$43=A42),'Aerodynamics-Cruise'!BI39,L42)</f>
        <v>60.365075457468578</v>
      </c>
      <c r="M42" s="103">
        <f ca="1">IF(AND(Energy!$F$11=$A$3,Main!$B$43=A42),'Aerodynamics-Cruise'!BJ39,M42)</f>
        <v>2.9135795100578901</v>
      </c>
      <c r="N42" s="103">
        <f ca="1">IF(AND(Energy!$F$11=$A$3,Main!$B$43=A42),'Aerodynamics-Cruise'!BK39,N42)</f>
        <v>20.71852690104523</v>
      </c>
      <c r="O42" s="103">
        <f t="shared" ca="1" si="0"/>
        <v>160.97252170143855</v>
      </c>
      <c r="P42" s="103">
        <f ca="1">IF(AND(Energy!$F$11=$A$3,Main!$B$43=A42),'Aerodynamics-Cruise'!H39,P42)</f>
        <v>8.5177662374924719</v>
      </c>
      <c r="Q42" s="103">
        <f ca="1">IF(AND(Energy!$F$11=$A$3,Main!$B$43=A42),'Aerodynamics-Cruise'!I39,Q42)</f>
        <v>7.3107943906021484</v>
      </c>
      <c r="R42" s="103">
        <f ca="1">IF(AND(Energy!$F$11=$A$3,Main!$B$43=$A42),Summary!R39,R42)</f>
        <v>4.5473966183592438</v>
      </c>
      <c r="S42" s="103">
        <f ca="1">IF(AND(Energy!$F$11=$A$3,Main!$B$43=A42),'Aerodynamics-Cruise'!W39,S42)</f>
        <v>1</v>
      </c>
      <c r="T42" s="103">
        <f ca="1">IF(AND(Energy!$F$11=$A$3,Main!$B$43=A42),'Aerodynamics-Cruise'!BL39,T42)</f>
        <v>24.817189181020954</v>
      </c>
      <c r="U42" s="103">
        <f ca="1">IF(AND(Energy!$F$11=$A$3,Main!$B$43=A42),'Propulsion-Cruise'!M39,U42)</f>
        <v>54.173370506841344</v>
      </c>
      <c r="V42" s="103">
        <f ca="1">IF(AND(Energy!$F$11=$A$3,Main!$B$43=A42),Endurance!AP39,V42)</f>
        <v>519.66499468119616</v>
      </c>
      <c r="W42" s="103">
        <f ca="1">IF(AND(Energy!$F$11=$A$3,Main!$B$43=$A42),Summary!W39,W42)</f>
        <v>1.5204678362573103</v>
      </c>
      <c r="X42" s="13">
        <f ca="1">IF(AND(Energy!$F$11=$A$3,Main!$B$43=A42),Energy!D39,X42)</f>
        <v>938.28393266729961</v>
      </c>
      <c r="Y42" s="102">
        <f ca="1">IF(AND(Energy!$F$11=$A$3,Main!$B$43=A42),'Aerodynamics-Cruise'!V39,Y42)</f>
        <v>120048.98172539937</v>
      </c>
      <c r="Z42" s="102">
        <f ca="1">IF(AND(Energy!$F$11=$A$3,Main!$B$43=$A42),Summary!Z39,Z42)</f>
        <v>91234.024939574476</v>
      </c>
      <c r="AA42" s="102">
        <f ca="1">IF(AND(Energy!$F$11=$A$3,Main!$B$43=$A42),Summary!AA39,AA42)</f>
        <v>91234.024939574476</v>
      </c>
      <c r="AB42" s="103">
        <f ca="1">IF(AND(Energy!$F$11=$A$3,Main!$B$43=$A42),Summary!AB39,AB42)</f>
        <v>4.5473966183592438</v>
      </c>
      <c r="AC42" s="103">
        <f ca="1">IF(AND(Energy!$F$11=$A$3,Main!$B$43=$A42),Summary!AC39,AC42)</f>
        <v>2.2765442418964388</v>
      </c>
      <c r="AD42" s="103">
        <f ca="1">IF(AND(Energy!$F$11=$A$3,Main!$B$43=$A42),Summary!AD39,AD42)</f>
        <v>0.40282016609918092</v>
      </c>
      <c r="AE42" s="103">
        <f ca="1">IF(AND(Energy!$F$11=$A$3,Main!$B$43=$A42),Summary!AE39,AE42)</f>
        <v>1.5204678362573103</v>
      </c>
      <c r="AF42" s="103">
        <f ca="1">IF(AND(Energy!$F$11=$A$3,Main!$B$43=$A42),Summary!AF39,AF42)</f>
        <v>30.789473684210527</v>
      </c>
      <c r="AG42" s="103">
        <f ca="1">IF(AND(Energy!$F$11=$A$3,Main!$B$43=$A42),Summary!AG39,AG42)</f>
        <v>11.289565532157093</v>
      </c>
      <c r="AH42" s="103">
        <f ca="1">IF(AND(Energy!$F$11=$A$3,Main!$B$43=$A42),Summary!AH39,AH42)</f>
        <v>47</v>
      </c>
      <c r="AI42" s="103">
        <f ca="1">IF(AND(Energy!$F$11=$A$3,Main!$B$43=$A42),Summary!AI39,AI42)</f>
        <v>2.6605921762172611</v>
      </c>
      <c r="AJ42" s="103">
        <f ca="1">IF(AND(Energy!$F$11=$A$3,Main!$B$43=$A42),Summary!AJ39,AJ42)</f>
        <v>0.2604969542989336</v>
      </c>
      <c r="AK42" s="103">
        <f ca="1">IF(AND(Energy!$F$11=$A$3,Main!$B$43=$A42),Summary!AK39,AK42)</f>
        <v>0.01</v>
      </c>
      <c r="AL42" s="103">
        <f ca="1">IF(AND(Energy!$F$11=$A$3,Main!$B$43=$A42),Summary!AL39,AL42)</f>
        <v>-0.47981525987724849</v>
      </c>
      <c r="AM42" s="103">
        <f ca="1">IF(AND(Energy!$F$11=$A$3,Main!$B$43=$A42),Summary!AJ59,AM42)</f>
        <v>0</v>
      </c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</row>
    <row r="43" spans="1:55">
      <c r="A43">
        <f t="shared" si="2"/>
        <v>2</v>
      </c>
      <c r="D43" s="1">
        <f ca="1">IF(AND(Energy!$F$11=$A$3,Main!$B$43=A43),Main!C40,D43)</f>
        <v>7</v>
      </c>
      <c r="E43" s="103">
        <f ca="1">IF(AND(Energy!$F$11=$A$3,Main!$B$43=A43),Main!B40,E43)</f>
        <v>0.22222222222222224</v>
      </c>
      <c r="F43" s="103">
        <f ca="1">IF(Main!$D$6=1,U43,IF(Main!$D$6=2,N43,IF(Main!$D$6=3,K43,IF(Main!$D$6=4,V43,J43))))</f>
        <v>524.06047212341662</v>
      </c>
      <c r="G43" s="103">
        <f ca="1">IF(AND(Energy!$F$11=$A$3,Main!$B$43=A43),Weight!H40,G43)</f>
        <v>15</v>
      </c>
      <c r="H43" s="103">
        <f ca="1">IF(AND(Energy!$F$11=$A$3,Main!$B$43=A43),Weight!U40,H43)</f>
        <v>19.188801349454543</v>
      </c>
      <c r="I43" s="103">
        <f ca="1">IF(AND(Energy!$F$11=$A$3,Main!$B$43=A43),Weight!V40,I43)</f>
        <v>46.082220419004365</v>
      </c>
      <c r="J43" s="103">
        <f ca="1">IF(AND(Energy!$F$11=$A$3,Main!$B$43=A43),Weight!I40,J43)</f>
        <v>21.955770794549821</v>
      </c>
      <c r="K43" s="103">
        <f ca="1">IF(AND(Energy!$F$11=$A$3,Main!$B$43=A43),Weight!W40,K43)</f>
        <v>61.082222847552828</v>
      </c>
      <c r="L43" s="103">
        <f ca="1">IF(AND(Energy!$F$11=$A$3,Main!$B$43=A43),'Aerodynamics-Cruise'!BI40,L43)</f>
        <v>61.082217953852037</v>
      </c>
      <c r="M43" s="103">
        <f ca="1">IF(AND(Energy!$F$11=$A$3,Main!$B$43=A43),'Aerodynamics-Cruise'!BJ40,M43)</f>
        <v>2.9447642929740119</v>
      </c>
      <c r="N43" s="103">
        <f ca="1">IF(AND(Energy!$F$11=$A$3,Main!$B$43=A43),'Aerodynamics-Cruise'!BK40,N43)</f>
        <v>20.742650982148099</v>
      </c>
      <c r="O43" s="103">
        <f t="shared" ca="1" si="0"/>
        <v>162.11442456738814</v>
      </c>
      <c r="P43" s="103">
        <f ca="1">IF(AND(Energy!$F$11=$A$3,Main!$B$43=A43),'Aerodynamics-Cruise'!H40,P43)</f>
        <v>8.4710173717550568</v>
      </c>
      <c r="Q43" s="103">
        <f ca="1">IF(AND(Energy!$F$11=$A$3,Main!$B$43=A43),'Aerodynamics-Cruise'!I40,Q43)</f>
        <v>7.2723033734345801</v>
      </c>
      <c r="R43" s="103">
        <f ca="1">IF(AND(Energy!$F$11=$A$3,Main!$B$43=$A43),Summary!R40,R43)</f>
        <v>4.5539968447917998</v>
      </c>
      <c r="S43" s="103">
        <f ca="1">IF(AND(Energy!$F$11=$A$3,Main!$B$43=A43),'Aerodynamics-Cruise'!W40,S43)</f>
        <v>1</v>
      </c>
      <c r="T43" s="103">
        <f ca="1">IF(AND(Energy!$F$11=$A$3,Main!$B$43=A43),'Aerodynamics-Cruise'!BL40,T43)</f>
        <v>24.945149481506853</v>
      </c>
      <c r="U43" s="103">
        <f ca="1">IF(AND(Energy!$F$11=$A$3,Main!$B$43=A43),'Propulsion-Cruise'!M40,U43)</f>
        <v>54.546968974057357</v>
      </c>
      <c r="V43" s="103">
        <f ca="1">IF(AND(Energy!$F$11=$A$3,Main!$B$43=A43),Endurance!AP40,V43)</f>
        <v>524.06047212341662</v>
      </c>
      <c r="W43" s="103">
        <f ca="1">IF(AND(Energy!$F$11=$A$3,Main!$B$43=$A43),Summary!W40,W43)</f>
        <v>1.5555555555555556</v>
      </c>
      <c r="X43" s="13">
        <f ca="1">IF(AND(Energy!$F$11=$A$3,Main!$B$43=A43),Energy!D40,X43)</f>
        <v>946.22021372149175</v>
      </c>
      <c r="Y43" s="102">
        <f ca="1">IF(AND(Energy!$F$11=$A$3,Main!$B$43=A43),'Aerodynamics-Cruise'!V40,Y43)</f>
        <v>119390.10549281492</v>
      </c>
      <c r="Z43" s="102">
        <f ca="1">IF(AND(Energy!$F$11=$A$3,Main!$B$43=$A43),Summary!Z40,Z43)</f>
        <v>90752.886324171559</v>
      </c>
      <c r="AA43" s="102">
        <f ca="1">IF(AND(Energy!$F$11=$A$3,Main!$B$43=$A43),Summary!AA40,AA43)</f>
        <v>90752.886324171559</v>
      </c>
      <c r="AB43" s="103">
        <f ca="1">IF(AND(Energy!$F$11=$A$3,Main!$B$43=$A43),Summary!AB40,AB43)</f>
        <v>4.5539968447917998</v>
      </c>
      <c r="AC43" s="103">
        <f ca="1">IF(AND(Energy!$F$11=$A$3,Main!$B$43=$A43),Summary!AC40,AC43)</f>
        <v>2.2360052986730086</v>
      </c>
      <c r="AD43" s="103">
        <f ca="1">IF(AND(Energy!$F$11=$A$3,Main!$B$43=$A43),Summary!AD40,AD43)</f>
        <v>0.40301581216827892</v>
      </c>
      <c r="AE43" s="103">
        <f ca="1">IF(AND(Energy!$F$11=$A$3,Main!$B$43=$A43),Summary!AE40,AE43)</f>
        <v>1.5555555555555556</v>
      </c>
      <c r="AF43" s="103">
        <f ca="1">IF(AND(Energy!$F$11=$A$3,Main!$B$43=$A43),Summary!AF40,AF43)</f>
        <v>31.5</v>
      </c>
      <c r="AG43" s="103">
        <f ca="1">IF(AND(Energy!$F$11=$A$3,Main!$B$43=$A43),Summary!AG40,AG43)</f>
        <v>11.347511419139018</v>
      </c>
      <c r="AH43" s="103">
        <f ca="1">IF(AND(Energy!$F$11=$A$3,Main!$B$43=$A43),Summary!AH40,AH43)</f>
        <v>47</v>
      </c>
      <c r="AI43" s="103">
        <f ca="1">IF(AND(Energy!$F$11=$A$3,Main!$B$43=$A43),Summary!AI40,AI43)</f>
        <v>2.659397073133039</v>
      </c>
      <c r="AJ43" s="103">
        <f ca="1">IF(AND(Energy!$F$11=$A$3,Main!$B$43=$A43),Summary!AJ40,AJ43)</f>
        <v>0.26091637416157687</v>
      </c>
      <c r="AK43" s="103">
        <f ca="1">IF(AND(Energy!$F$11=$A$3,Main!$B$43=$A43),Summary!AK40,AK43)</f>
        <v>0.01</v>
      </c>
      <c r="AL43" s="103">
        <f ca="1">IF(AND(Energy!$F$11=$A$3,Main!$B$43=$A43),Summary!AL40,AL43)</f>
        <v>-0.47904393582058125</v>
      </c>
      <c r="AM43" s="103">
        <f ca="1">IF(AND(Energy!$F$11=$A$3,Main!$B$43=$A43),Summary!AJ60,AM43)</f>
        <v>0</v>
      </c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</row>
    <row r="44" spans="1:55">
      <c r="A44" s="7">
        <f>A24+1</f>
        <v>3</v>
      </c>
      <c r="B44" s="100"/>
      <c r="C44" s="100"/>
      <c r="D44" s="1">
        <f ca="1">IF(AND(Energy!$F$11=$A$3,Main!$B$43=A44),Main!C21,D44)</f>
        <v>4</v>
      </c>
      <c r="E44" s="103">
        <f ca="1">IF(AND(Energy!$F$11=$A$3,Main!$B$43=A44),Main!B21,E44)</f>
        <v>0.24444444444444446</v>
      </c>
      <c r="F44" s="103">
        <f ca="1">IF(Main!$D$6=1,U44,IF(Main!$D$6=2,N44,IF(Main!$D$6=3,K44,IF(Main!$D$6=4,V44,J44))))</f>
        <v>522.746578417926</v>
      </c>
      <c r="G44" s="103">
        <f ca="1">IF(AND(Energy!$F$11=$A$3,Main!$B$43=A44),Weight!H21,G44)</f>
        <v>15</v>
      </c>
      <c r="H44" s="103">
        <f ca="1">IF(AND(Energy!$F$11=$A$3,Main!$B$43=A44),Weight!U21,H44)</f>
        <v>11.753051416157042</v>
      </c>
      <c r="I44" s="103">
        <f ca="1">IF(AND(Energy!$F$11=$A$3,Main!$B$43=A44),Weight!V21,I44)</f>
        <v>38.591406468034819</v>
      </c>
      <c r="J44" s="103">
        <f ca="1">IF(AND(Energy!$F$11=$A$3,Main!$B$43=A44),Weight!I21,J44)</f>
        <v>21.900706776877779</v>
      </c>
      <c r="K44" s="103">
        <f ca="1">IF(AND(Energy!$F$11=$A$3,Main!$B$43=A44),Weight!W21,K44)</f>
        <v>53.591418939668976</v>
      </c>
      <c r="L44" s="103">
        <f ca="1">IF(AND(Energy!$F$11=$A$3,Main!$B$43=A44),'Aerodynamics-Cruise'!BI21,L44)</f>
        <v>53.591393905936926</v>
      </c>
      <c r="M44" s="103">
        <f ca="1">IF(AND(Energy!$F$11=$A$3,Main!$B$43=A44),'Aerodynamics-Cruise'!BJ21,M44)</f>
        <v>2.6833806240473868</v>
      </c>
      <c r="N44" s="103">
        <f ca="1">IF(AND(Energy!$F$11=$A$3,Main!$B$43=A44),'Aerodynamics-Cruise'!BK21,N44)</f>
        <v>19.971596062695031</v>
      </c>
      <c r="O44" s="103">
        <f t="shared" ca="1" si="0"/>
        <v>146.2043519712453</v>
      </c>
      <c r="P44" s="103">
        <f ca="1">IF(AND(Energy!$F$11=$A$3,Main!$B$43=A44),'Aerodynamics-Cruise'!H21,P44)</f>
        <v>10.016581402369248</v>
      </c>
      <c r="Q44" s="103">
        <f ca="1">IF(AND(Energy!$F$11=$A$3,Main!$B$43=A44),'Aerodynamics-Cruise'!I21,Q44)</f>
        <v>8.5005959021618658</v>
      </c>
      <c r="R44" s="103">
        <f ca="1">IF(AND(Energy!$F$11=$A$3,Main!$B$43=$A44),Summary!R21,R44)</f>
        <v>5.4764490555322025</v>
      </c>
      <c r="S44" s="103">
        <f ca="1">IF(AND(Energy!$F$11=$A$3,Main!$B$43=A44),'Aerodynamics-Cruise'!W21,S44)</f>
        <v>1</v>
      </c>
      <c r="T44" s="103">
        <f ca="1">IF(AND(Energy!$F$11=$A$3,Main!$B$43=A44),'Aerodynamics-Cruise'!BL21,T44)</f>
        <v>26.878300454311042</v>
      </c>
      <c r="U44" s="103">
        <f ca="1">IF(AND(Energy!$F$11=$A$3,Main!$B$43=A44),'Propulsion-Cruise'!M21,U44)</f>
        <v>56.171017889688692</v>
      </c>
      <c r="V44" s="103">
        <f ca="1">IF(AND(Energy!$F$11=$A$3,Main!$B$43=A44),Endurance!AP21,V44)</f>
        <v>522.746578417926</v>
      </c>
      <c r="W44" s="103">
        <f ca="1">IF(AND(Energy!$F$11=$A$3,Main!$B$43=$A44),Summary!W21,W44)</f>
        <v>0.97777777777777786</v>
      </c>
      <c r="X44" s="13">
        <f ca="1">IF(AND(Energy!$F$11=$A$3,Main!$B$43=A44),Energy!D21,X44)</f>
        <v>943.8475234712829</v>
      </c>
      <c r="Y44" s="102">
        <f ca="1">IF(AND(Energy!$F$11=$A$3,Main!$B$43=A44),'Aerodynamics-Cruise'!V21,Y44)</f>
        <v>155290.53047666128</v>
      </c>
      <c r="Z44" s="102">
        <f ca="1">IF(AND(Energy!$F$11=$A$3,Main!$B$43=$A44),Summary!Z21,Z44)</f>
        <v>116741.654841319</v>
      </c>
      <c r="AA44" s="102">
        <f ca="1">IF(AND(Energy!$F$11=$A$3,Main!$B$43=$A44),Summary!AA21,AA44)</f>
        <v>116741.654841319</v>
      </c>
      <c r="AB44" s="103">
        <f ca="1">IF(AND(Energy!$F$11=$A$3,Main!$B$43=$A44),Summary!AB21,AB44)</f>
        <v>5.4764490555322025</v>
      </c>
      <c r="AC44" s="103">
        <f ca="1">IF(AND(Energy!$F$11=$A$3,Main!$B$43=$A44),Summary!AC21,AC44)</f>
        <v>2.9345930255484944</v>
      </c>
      <c r="AD44" s="103">
        <f ca="1">IF(AND(Energy!$F$11=$A$3,Main!$B$43=$A44),Summary!AD21,AD44)</f>
        <v>0.43439974493139316</v>
      </c>
      <c r="AE44" s="103">
        <f ca="1">IF(AND(Energy!$F$11=$A$3,Main!$B$43=$A44),Summary!AE21,AE44)</f>
        <v>0.97777777777777786</v>
      </c>
      <c r="AF44" s="103">
        <f ca="1">IF(AND(Energy!$F$11=$A$3,Main!$B$43=$A44),Summary!AF21,AF44)</f>
        <v>16.363636363636363</v>
      </c>
      <c r="AG44" s="103">
        <f ca="1">IF(AND(Energy!$F$11=$A$3,Main!$B$43=$A44),Summary!AG21,AG44)</f>
        <v>11.287905590763604</v>
      </c>
      <c r="AH44" s="103">
        <f ca="1">IF(AND(Energy!$F$11=$A$3,Main!$B$43=$A44),Summary!AH21,AH44)</f>
        <v>47</v>
      </c>
      <c r="AI44" s="103">
        <f ca="1">IF(AND(Energy!$F$11=$A$3,Main!$B$43=$A44),Summary!AI21,AI44)</f>
        <v>2.7214230966881066</v>
      </c>
      <c r="AJ44" s="103">
        <f ca="1">IF(AND(Energy!$F$11=$A$3,Main!$B$43=$A44),Summary!AJ21,AJ44)</f>
        <v>0.22651005022582546</v>
      </c>
      <c r="AK44" s="103">
        <f ca="1">IF(AND(Energy!$F$11=$A$3,Main!$B$43=$A44),Summary!AK21,AK44)</f>
        <v>0.01</v>
      </c>
      <c r="AL44" s="103">
        <f ca="1">IF(AND(Energy!$F$11=$A$3,Main!$B$43=$A44),Summary!AL21,AL44)</f>
        <v>-0.55181142869672495</v>
      </c>
      <c r="AM44" s="103">
        <f ca="1">IF(AND(Energy!$F$11=$A$3,Main!$B$43=$A44),Summary!AJ61,AM44)</f>
        <v>0</v>
      </c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</row>
    <row r="45" spans="1:55">
      <c r="A45">
        <f>A44</f>
        <v>3</v>
      </c>
      <c r="B45" s="100"/>
      <c r="C45" s="100"/>
      <c r="D45" s="1">
        <f ca="1">IF(AND(Energy!$F$11=$A$3,Main!$B$43=A45),Main!C22,D45)</f>
        <v>4.1578947368421053</v>
      </c>
      <c r="E45" s="103">
        <f ca="1">IF(AND(Energy!$F$11=$A$3,Main!$B$43=A45),Main!B22,E45)</f>
        <v>0.24444444444444446</v>
      </c>
      <c r="F45" s="103">
        <f ca="1">IF(Main!$D$6=1,U45,IF(Main!$D$6=2,N45,IF(Main!$D$6=3,K45,IF(Main!$D$6=4,V45,J45))))</f>
        <v>513.36211199931006</v>
      </c>
      <c r="G45" s="103">
        <f ca="1">IF(AND(Energy!$F$11=$A$3,Main!$B$43=A45),Weight!H22,G45)</f>
        <v>15</v>
      </c>
      <c r="H45" s="103">
        <f ca="1">IF(AND(Energy!$F$11=$A$3,Main!$B$43=A45),Weight!U22,H45)</f>
        <v>12.102240611309064</v>
      </c>
      <c r="I45" s="103">
        <f ca="1">IF(AND(Energy!$F$11=$A$3,Main!$B$43=A45),Weight!V22,I45)</f>
        <v>38.547430355781174</v>
      </c>
      <c r="J45" s="103">
        <f ca="1">IF(AND(Energy!$F$11=$A$3,Main!$B$43=A45),Weight!I22,J45)</f>
        <v>21.507541469472113</v>
      </c>
      <c r="K45" s="103">
        <f ca="1">IF(AND(Energy!$F$11=$A$3,Main!$B$43=A45),Weight!W22,K45)</f>
        <v>53.547441960248889</v>
      </c>
      <c r="L45" s="103">
        <f ca="1">IF(AND(Energy!$F$11=$A$3,Main!$B$43=A45),'Aerodynamics-Cruise'!BI22,L45)</f>
        <v>53.547418666126553</v>
      </c>
      <c r="M45" s="103">
        <f ca="1">IF(AND(Energy!$F$11=$A$3,Main!$B$43=A45),'Aerodynamics-Cruise'!BJ22,M45)</f>
        <v>2.6665749617517367</v>
      </c>
      <c r="N45" s="103">
        <f ca="1">IF(AND(Energy!$F$11=$A$3,Main!$B$43=A45),'Aerodynamics-Cruise'!BK22,N45)</f>
        <v>20.080972571252968</v>
      </c>
      <c r="O45" s="103">
        <f t="shared" ca="1" si="0"/>
        <v>146.94472920150395</v>
      </c>
      <c r="P45" s="103">
        <f ca="1">IF(AND(Energy!$F$11=$A$3,Main!$B$43=A45),'Aerodynamics-Cruise'!H22,P45)</f>
        <v>9.8204504035047027</v>
      </c>
      <c r="Q45" s="103">
        <f ca="1">IF(AND(Energy!$F$11=$A$3,Main!$B$43=A45),'Aerodynamics-Cruise'!I22,Q45)</f>
        <v>8.3409022541026623</v>
      </c>
      <c r="R45" s="103">
        <f ca="1">IF(AND(Energy!$F$11=$A$3,Main!$B$43=$A45),Summary!R22,R45)</f>
        <v>5.261382343810002</v>
      </c>
      <c r="S45" s="103">
        <f ca="1">IF(AND(Energy!$F$11=$A$3,Main!$B$43=A45),'Aerodynamics-Cruise'!W22,S45)</f>
        <v>1</v>
      </c>
      <c r="T45" s="103">
        <f ca="1">IF(AND(Energy!$F$11=$A$3,Main!$B$43=A45),'Aerodynamics-Cruise'!BL22,T45)</f>
        <v>26.186967159110381</v>
      </c>
      <c r="U45" s="103">
        <f ca="1">IF(AND(Energy!$F$11=$A$3,Main!$B$43=A45),'Propulsion-Cruise'!M22,U45)</f>
        <v>55.012142157686462</v>
      </c>
      <c r="V45" s="103">
        <f ca="1">IF(AND(Energy!$F$11=$A$3,Main!$B$43=A45),Endurance!AP22,V45)</f>
        <v>513.36211199931006</v>
      </c>
      <c r="W45" s="103">
        <f ca="1">IF(AND(Energy!$F$11=$A$3,Main!$B$43=$A45),Summary!W22,W45)</f>
        <v>1.0163742690058482</v>
      </c>
      <c r="X45" s="13">
        <f ca="1">IF(AND(Energy!$F$11=$A$3,Main!$B$43=A45),Energy!D22,X45)</f>
        <v>926.90338215899169</v>
      </c>
      <c r="Y45" s="102">
        <f ca="1">IF(AND(Energy!$F$11=$A$3,Main!$B$43=A45),'Aerodynamics-Cruise'!V22,Y45)</f>
        <v>152249.84367613387</v>
      </c>
      <c r="Z45" s="102">
        <f ca="1">IF(AND(Energy!$F$11=$A$3,Main!$B$43=$A45),Summary!Z22,Z45)</f>
        <v>114544.90625161887</v>
      </c>
      <c r="AA45" s="102">
        <f ca="1">IF(AND(Energy!$F$11=$A$3,Main!$B$43=$A45),Summary!AA22,AA45)</f>
        <v>114544.90625161887</v>
      </c>
      <c r="AB45" s="103">
        <f ca="1">IF(AND(Energy!$F$11=$A$3,Main!$B$43=$A45),Summary!AB22,AB45)</f>
        <v>5.261382343810002</v>
      </c>
      <c r="AC45" s="103">
        <f ca="1">IF(AND(Energy!$F$11=$A$3,Main!$B$43=$A45),Summary!AC22,AC45)</f>
        <v>2.8984316559014776</v>
      </c>
      <c r="AD45" s="103">
        <f ca="1">IF(AND(Energy!$F$11=$A$3,Main!$B$43=$A45),Summary!AD22,AD45)</f>
        <v>0.42899696953948058</v>
      </c>
      <c r="AE45" s="103">
        <f ca="1">IF(AND(Energy!$F$11=$A$3,Main!$B$43=$A45),Summary!AE22,AE45)</f>
        <v>1.0163742690058482</v>
      </c>
      <c r="AF45" s="103">
        <f ca="1">IF(AND(Energy!$F$11=$A$3,Main!$B$43=$A45),Summary!AF22,AF45)</f>
        <v>17.009569377990427</v>
      </c>
      <c r="AG45" s="103">
        <f ca="1">IF(AND(Energy!$F$11=$A$3,Main!$B$43=$A45),Summary!AG22,AG45)</f>
        <v>11.170126782412048</v>
      </c>
      <c r="AH45" s="103">
        <f ca="1">IF(AND(Energy!$F$11=$A$3,Main!$B$43=$A45),Summary!AH22,AH45)</f>
        <v>47</v>
      </c>
      <c r="AI45" s="103">
        <f ca="1">IF(AND(Energy!$F$11=$A$3,Main!$B$43=$A45),Summary!AI22,AI45)</f>
        <v>2.717018093852277</v>
      </c>
      <c r="AJ45" s="103">
        <f ca="1">IF(AND(Energy!$F$11=$A$3,Main!$B$43=$A45),Summary!AJ22,AJ45)</f>
        <v>0.22774366339882873</v>
      </c>
      <c r="AK45" s="103">
        <f ca="1">IF(AND(Energy!$F$11=$A$3,Main!$B$43=$A45),Summary!AK22,AK45)</f>
        <v>0.01</v>
      </c>
      <c r="AL45" s="103">
        <f ca="1">IF(AND(Energy!$F$11=$A$3,Main!$B$43=$A45),Summary!AL22,AL45)</f>
        <v>-0.54882243285731747</v>
      </c>
      <c r="AM45" s="103">
        <f ca="1">IF(AND(Energy!$F$11=$A$3,Main!$B$43=$A45),Summary!AJ62,AM45)</f>
        <v>0</v>
      </c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</row>
    <row r="46" spans="1:55">
      <c r="A46">
        <f t="shared" ref="A46:A63" si="3">A45</f>
        <v>3</v>
      </c>
      <c r="B46" s="100"/>
      <c r="C46" s="100"/>
      <c r="D46" s="1">
        <f ca="1">IF(AND(Energy!$F$11=$A$3,Main!$B$43=A46),Main!C23,D46)</f>
        <v>4.3157894736842106</v>
      </c>
      <c r="E46" s="103">
        <f ca="1">IF(AND(Energy!$F$11=$A$3,Main!$B$43=A46),Main!B23,E46)</f>
        <v>0.24444444444444446</v>
      </c>
      <c r="F46" s="103">
        <f ca="1">IF(Main!$D$6=1,U46,IF(Main!$D$6=2,N46,IF(Main!$D$6=3,K46,IF(Main!$D$6=4,V46,J46))))</f>
        <v>505.89371739986228</v>
      </c>
      <c r="G46" s="103">
        <f ca="1">IF(AND(Energy!$F$11=$A$3,Main!$B$43=A46),Weight!H23,G46)</f>
        <v>15</v>
      </c>
      <c r="H46" s="103">
        <f ca="1">IF(AND(Energy!$F$11=$A$3,Main!$B$43=A46),Weight!U23,H46)</f>
        <v>12.467430037707302</v>
      </c>
      <c r="I46" s="103">
        <f ca="1">IF(AND(Energy!$F$11=$A$3,Main!$B$43=A46),Weight!V23,I46)</f>
        <v>38.599728974895726</v>
      </c>
      <c r="J46" s="103">
        <f ca="1">IF(AND(Energy!$F$11=$A$3,Main!$B$43=A46),Weight!I23,J46)</f>
        <v>21.194650662188423</v>
      </c>
      <c r="K46" s="103">
        <f ca="1">IF(AND(Energy!$F$11=$A$3,Main!$B$43=A46),Weight!W23,K46)</f>
        <v>53.599739869373536</v>
      </c>
      <c r="L46" s="103">
        <f ca="1">IF(AND(Energy!$F$11=$A$3,Main!$B$43=A46),'Aerodynamics-Cruise'!BI23,L46)</f>
        <v>53.5997179993388</v>
      </c>
      <c r="M46" s="103">
        <f ca="1">IF(AND(Energy!$F$11=$A$3,Main!$B$43=A46),'Aerodynamics-Cruise'!BJ23,M46)</f>
        <v>2.6559813178578979</v>
      </c>
      <c r="N46" s="103">
        <f ca="1">IF(AND(Energy!$F$11=$A$3,Main!$B$43=A46),'Aerodynamics-Cruise'!BK23,N46)</f>
        <v>20.180758666844859</v>
      </c>
      <c r="O46" s="103">
        <f t="shared" ca="1" si="0"/>
        <v>147.74702380542433</v>
      </c>
      <c r="P46" s="103">
        <f ca="1">IF(AND(Energy!$F$11=$A$3,Main!$B$43=A46),'Aerodynamics-Cruise'!H23,P46)</f>
        <v>9.643778608035305</v>
      </c>
      <c r="Q46" s="103">
        <f ca="1">IF(AND(Energy!$F$11=$A$3,Main!$B$43=A46),'Aerodynamics-Cruise'!I23,Q46)</f>
        <v>8.196939338922455</v>
      </c>
      <c r="R46" s="103">
        <f ca="1">IF(AND(Energy!$F$11=$A$3,Main!$B$43=$A46),Summary!R23,R46)</f>
        <v>5.0805777298835935</v>
      </c>
      <c r="S46" s="103">
        <f ca="1">IF(AND(Energy!$F$11=$A$3,Main!$B$43=A46),'Aerodynamics-Cruise'!W23,S46)</f>
        <v>1</v>
      </c>
      <c r="T46" s="103">
        <f ca="1">IF(AND(Energy!$F$11=$A$3,Main!$B$43=A46),'Aerodynamics-Cruise'!BL23,T46)</f>
        <v>25.613695816499412</v>
      </c>
      <c r="U46" s="103">
        <f ca="1">IF(AND(Energy!$F$11=$A$3,Main!$B$43=A46),'Propulsion-Cruise'!M23,U46)</f>
        <v>54.068245433859815</v>
      </c>
      <c r="V46" s="103">
        <f ca="1">IF(AND(Energy!$F$11=$A$3,Main!$B$43=A46),Endurance!AP23,V46)</f>
        <v>505.89371739986228</v>
      </c>
      <c r="W46" s="103">
        <f ca="1">IF(AND(Energy!$F$11=$A$3,Main!$B$43=$A46),Summary!W23,W46)</f>
        <v>1.0549707602339182</v>
      </c>
      <c r="X46" s="13">
        <f ca="1">IF(AND(Energy!$F$11=$A$3,Main!$B$43=A46),Energy!D23,X46)</f>
        <v>913.41880887311174</v>
      </c>
      <c r="Y46" s="102">
        <f ca="1">IF(AND(Energy!$F$11=$A$3,Main!$B$43=A46),'Aerodynamics-Cruise'!V23,Y46)</f>
        <v>149510.83964505617</v>
      </c>
      <c r="Z46" s="102">
        <f ca="1">IF(AND(Energy!$F$11=$A$3,Main!$B$43=$A46),Summary!Z23,Z46)</f>
        <v>112564.61077275084</v>
      </c>
      <c r="AA46" s="102">
        <f ca="1">IF(AND(Energy!$F$11=$A$3,Main!$B$43=$A46),Summary!AA23,AA46)</f>
        <v>112564.61077275084</v>
      </c>
      <c r="AB46" s="103">
        <f ca="1">IF(AND(Energy!$F$11=$A$3,Main!$B$43=$A46),Summary!AB23,AB46)</f>
        <v>5.0805777298835935</v>
      </c>
      <c r="AC46" s="103">
        <f ca="1">IF(AND(Energy!$F$11=$A$3,Main!$B$43=$A46),Summary!AC23,AC46)</f>
        <v>2.8594192934134837</v>
      </c>
      <c r="AD46" s="103">
        <f ca="1">IF(AND(Energy!$F$11=$A$3,Main!$B$43=$A46),Summary!AD23,AD46)</f>
        <v>0.42432589818117383</v>
      </c>
      <c r="AE46" s="103">
        <f ca="1">IF(AND(Energy!$F$11=$A$3,Main!$B$43=$A46),Summary!AE23,AE46)</f>
        <v>1.0549707602339182</v>
      </c>
      <c r="AF46" s="103">
        <f ca="1">IF(AND(Energy!$F$11=$A$3,Main!$B$43=$A46),Summary!AF23,AF46)</f>
        <v>17.655502392344498</v>
      </c>
      <c r="AG46" s="103">
        <f ca="1">IF(AND(Energy!$F$11=$A$3,Main!$B$43=$A46),Summary!AG23,AG46)</f>
        <v>11.076083108119342</v>
      </c>
      <c r="AH46" s="103">
        <f ca="1">IF(AND(Energy!$F$11=$A$3,Main!$B$43=$A46),Summary!AH23,AH46)</f>
        <v>47</v>
      </c>
      <c r="AI46" s="103">
        <f ca="1">IF(AND(Energy!$F$11=$A$3,Main!$B$43=$A46),Summary!AI23,AI46)</f>
        <v>2.7129814236133876</v>
      </c>
      <c r="AJ46" s="103">
        <f ca="1">IF(AND(Energy!$F$11=$A$3,Main!$B$43=$A46),Summary!AJ23,AJ46)</f>
        <v>0.22888503678093863</v>
      </c>
      <c r="AK46" s="103">
        <f ca="1">IF(AND(Energy!$F$11=$A$3,Main!$B$43=$A46),Summary!AK23,AK46)</f>
        <v>0.01</v>
      </c>
      <c r="AL46" s="103">
        <f ca="1">IF(AND(Energy!$F$11=$A$3,Main!$B$43=$A46),Summary!AL23,AL46)</f>
        <v>-0.54608562241033065</v>
      </c>
      <c r="AM46" s="103">
        <f ca="1">IF(AND(Energy!$F$11=$A$3,Main!$B$43=$A46),Summary!AJ63,AM46)</f>
        <v>0</v>
      </c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</row>
    <row r="47" spans="1:55">
      <c r="A47">
        <f t="shared" si="3"/>
        <v>3</v>
      </c>
      <c r="B47" s="100"/>
      <c r="C47" s="100"/>
      <c r="D47" s="1">
        <f ca="1">IF(AND(Energy!$F$11=$A$3,Main!$B$43=A47),Main!C24,D47)</f>
        <v>4.4736842105263159</v>
      </c>
      <c r="E47" s="103">
        <f ca="1">IF(AND(Energy!$F$11=$A$3,Main!$B$43=A47),Main!B24,E47)</f>
        <v>0.24444444444444446</v>
      </c>
      <c r="F47" s="103">
        <f ca="1">IF(Main!$D$6=1,U47,IF(Main!$D$6=2,N47,IF(Main!$D$6=3,K47,IF(Main!$D$6=4,V47,J47))))</f>
        <v>500.02486912688471</v>
      </c>
      <c r="G47" s="103">
        <f ca="1">IF(AND(Energy!$F$11=$A$3,Main!$B$43=A47),Weight!H24,G47)</f>
        <v>15</v>
      </c>
      <c r="H47" s="103">
        <f ca="1">IF(AND(Energy!$F$11=$A$3,Main!$B$43=A47),Weight!U24,H47)</f>
        <v>12.847744565052643</v>
      </c>
      <c r="I47" s="103">
        <f ca="1">IF(AND(Energy!$F$11=$A$3,Main!$B$43=A47),Weight!V24,I47)</f>
        <v>38.734166264197583</v>
      </c>
      <c r="J47" s="103">
        <f ca="1">IF(AND(Energy!$F$11=$A$3,Main!$B$43=A47),Weight!I24,J47)</f>
        <v>20.948773424144942</v>
      </c>
      <c r="K47" s="103">
        <f ca="1">IF(AND(Energy!$F$11=$A$3,Main!$B$43=A47),Weight!W24,K47)</f>
        <v>53.734176571569286</v>
      </c>
      <c r="L47" s="103">
        <f ca="1">IF(AND(Energy!$F$11=$A$3,Main!$B$43=A47),'Aerodynamics-Cruise'!BI24,L47)</f>
        <v>53.734155878937869</v>
      </c>
      <c r="M47" s="103">
        <f ca="1">IF(AND(Energy!$F$11=$A$3,Main!$B$43=A47),'Aerodynamics-Cruise'!BJ24,M47)</f>
        <v>2.6506425798162137</v>
      </c>
      <c r="N47" s="103">
        <f ca="1">IF(AND(Energy!$F$11=$A$3,Main!$B$43=A47),'Aerodynamics-Cruise'!BK24,N47)</f>
        <v>20.272124309820605</v>
      </c>
      <c r="O47" s="103">
        <f t="shared" ca="1" si="0"/>
        <v>148.60193894170999</v>
      </c>
      <c r="P47" s="103">
        <f ca="1">IF(AND(Energy!$F$11=$A$3,Main!$B$43=A47),'Aerodynamics-Cruise'!H24,P47)</f>
        <v>9.4838826156050828</v>
      </c>
      <c r="Q47" s="103">
        <f ca="1">IF(AND(Energy!$F$11=$A$3,Main!$B$43=A47),'Aerodynamics-Cruise'!I24,Q47)</f>
        <v>8.0665519919614947</v>
      </c>
      <c r="R47" s="103">
        <f ca="1">IF(AND(Energy!$F$11=$A$3,Main!$B$43=$A47),Summary!R24,R47)</f>
        <v>4.9278315700164237</v>
      </c>
      <c r="S47" s="103">
        <f ca="1">IF(AND(Energy!$F$11=$A$3,Main!$B$43=A47),'Aerodynamics-Cruise'!W24,S47)</f>
        <v>1</v>
      </c>
      <c r="T47" s="103">
        <f ca="1">IF(AND(Energy!$F$11=$A$3,Main!$B$43=A47),'Aerodynamics-Cruise'!BL24,T47)</f>
        <v>25.138383082901598</v>
      </c>
      <c r="U47" s="103">
        <f ca="1">IF(AND(Energy!$F$11=$A$3,Main!$B$43=A47),'Propulsion-Cruise'!M24,U47)</f>
        <v>53.303451676916005</v>
      </c>
      <c r="V47" s="103">
        <f ca="1">IF(AND(Energy!$F$11=$A$3,Main!$B$43=A47),Endurance!AP24,V47)</f>
        <v>500.02486912688471</v>
      </c>
      <c r="W47" s="103">
        <f ca="1">IF(AND(Energy!$F$11=$A$3,Main!$B$43=$A47),Summary!W24,W47)</f>
        <v>1.0935672514619885</v>
      </c>
      <c r="X47" s="13">
        <f ca="1">IF(AND(Energy!$F$11=$A$3,Main!$B$43=A47),Energy!D24,X47)</f>
        <v>902.82230059148253</v>
      </c>
      <c r="Y47" s="102">
        <f ca="1">IF(AND(Energy!$F$11=$A$3,Main!$B$43=A47),'Aerodynamics-Cruise'!V24,Y47)</f>
        <v>147031.91669838017</v>
      </c>
      <c r="Z47" s="102">
        <f ca="1">IF(AND(Energy!$F$11=$A$3,Main!$B$43=$A47),Summary!Z24,Z47)</f>
        <v>110771.10599918044</v>
      </c>
      <c r="AA47" s="102">
        <f ca="1">IF(AND(Energy!$F$11=$A$3,Main!$B$43=$A47),Summary!AA24,AA47)</f>
        <v>110771.10599918044</v>
      </c>
      <c r="AB47" s="103">
        <f ca="1">IF(AND(Energy!$F$11=$A$3,Main!$B$43=$A47),Summary!AB24,AB47)</f>
        <v>4.9278315700164237</v>
      </c>
      <c r="AC47" s="103">
        <f ca="1">IF(AND(Energy!$F$11=$A$3,Main!$B$43=$A47),Summary!AC24,AC47)</f>
        <v>2.818342186961829</v>
      </c>
      <c r="AD47" s="103">
        <f ca="1">IF(AND(Energy!$F$11=$A$3,Main!$B$43=$A47),Summary!AD24,AD47)</f>
        <v>0.42028236265728008</v>
      </c>
      <c r="AE47" s="103">
        <f ca="1">IF(AND(Energy!$F$11=$A$3,Main!$B$43=$A47),Summary!AE24,AE47)</f>
        <v>1.0935672514619885</v>
      </c>
      <c r="AF47" s="103">
        <f ca="1">IF(AND(Energy!$F$11=$A$3,Main!$B$43=$A47),Summary!AF24,AF47)</f>
        <v>18.301435406698559</v>
      </c>
      <c r="AG47" s="103">
        <f ca="1">IF(AND(Energy!$F$11=$A$3,Main!$B$43=$A47),Summary!AG24,AG47)</f>
        <v>11.002046803460791</v>
      </c>
      <c r="AH47" s="103">
        <f ca="1">IF(AND(Energy!$F$11=$A$3,Main!$B$43=$A47),Summary!AH24,AH47)</f>
        <v>47</v>
      </c>
      <c r="AI47" s="103">
        <f ca="1">IF(AND(Energy!$F$11=$A$3,Main!$B$43=$A47),Summary!AI24,AI47)</f>
        <v>2.7092699458428013</v>
      </c>
      <c r="AJ47" s="103">
        <f ca="1">IF(AND(Energy!$F$11=$A$3,Main!$B$43=$A47),Summary!AJ24,AJ47)</f>
        <v>0.22994368677532273</v>
      </c>
      <c r="AK47" s="103">
        <f ca="1">IF(AND(Energy!$F$11=$A$3,Main!$B$43=$A47),Summary!AK24,AK47)</f>
        <v>0.01</v>
      </c>
      <c r="AL47" s="103">
        <f ca="1">IF(AND(Energy!$F$11=$A$3,Main!$B$43=$A47),Summary!AL24,AL47)</f>
        <v>-0.54357145140220575</v>
      </c>
      <c r="AM47" s="103">
        <f ca="1">IF(AND(Energy!$F$11=$A$3,Main!$B$43=$A47),Summary!AJ64,AM47)</f>
        <v>0</v>
      </c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</row>
    <row r="48" spans="1:55">
      <c r="A48">
        <f t="shared" si="3"/>
        <v>3</v>
      </c>
      <c r="D48" s="1">
        <f ca="1">IF(AND(Energy!$F$11=$A$3,Main!$B$43=A48),Main!C25,D48)</f>
        <v>4.6315789473684212</v>
      </c>
      <c r="E48" s="103">
        <f ca="1">IF(AND(Energy!$F$11=$A$3,Main!$B$43=A48),Main!B25,E48)</f>
        <v>0.24444444444444446</v>
      </c>
      <c r="F48" s="103">
        <f ca="1">IF(Main!$D$6=1,U48,IF(Main!$D$6=2,N48,IF(Main!$D$6=3,K48,IF(Main!$D$6=4,V48,J48))))</f>
        <v>495.51007571490419</v>
      </c>
      <c r="G48" s="103">
        <f ca="1">IF(AND(Energy!$F$11=$A$3,Main!$B$43=A48),Weight!H25,G48)</f>
        <v>15</v>
      </c>
      <c r="H48" s="103">
        <f ca="1">IF(AND(Energy!$F$11=$A$3,Main!$B$43=A48),Weight!U25,H48)</f>
        <v>13.242526190752564</v>
      </c>
      <c r="I48" s="103">
        <f ca="1">IF(AND(Energy!$F$11=$A$3,Main!$B$43=A48),Weight!V25,I48)</f>
        <v>38.939799278909632</v>
      </c>
      <c r="J48" s="103">
        <f ca="1">IF(AND(Energy!$F$11=$A$3,Main!$B$43=A48),Weight!I25,J48)</f>
        <v>20.759624813157071</v>
      </c>
      <c r="K48" s="103">
        <f ca="1">IF(AND(Energy!$F$11=$A$3,Main!$B$43=A48),Weight!W25,K48)</f>
        <v>53.939809097247867</v>
      </c>
      <c r="L48" s="103">
        <f ca="1">IF(AND(Energy!$F$11=$A$3,Main!$B$43=A48),'Aerodynamics-Cruise'!BI25,L48)</f>
        <v>53.939789385143101</v>
      </c>
      <c r="M48" s="103">
        <f ca="1">IF(AND(Energy!$F$11=$A$3,Main!$B$43=A48),'Aerodynamics-Cruise'!BJ25,M48)</f>
        <v>2.6498049021495165</v>
      </c>
      <c r="N48" s="103">
        <f ca="1">IF(AND(Energy!$F$11=$A$3,Main!$B$43=A48),'Aerodynamics-Cruise'!BK25,N48)</f>
        <v>20.356136159830957</v>
      </c>
      <c r="O48" s="103">
        <f t="shared" ca="1" si="0"/>
        <v>149.5030216269538</v>
      </c>
      <c r="P48" s="103">
        <f ca="1">IF(AND(Energy!$F$11=$A$3,Main!$B$43=A48),'Aerodynamics-Cruise'!H25,P48)</f>
        <v>9.3385933926226734</v>
      </c>
      <c r="Q48" s="103">
        <f ca="1">IF(AND(Energy!$F$11=$A$3,Main!$B$43=A48),'Aerodynamics-Cruise'!I25,Q48)</f>
        <v>7.9479966304729075</v>
      </c>
      <c r="R48" s="103">
        <f ca="1">IF(AND(Energy!$F$11=$A$3,Main!$B$43=$A48),Summary!R25,R48)</f>
        <v>4.7984161874017657</v>
      </c>
      <c r="S48" s="103">
        <f ca="1">IF(AND(Energy!$F$11=$A$3,Main!$B$43=A48),'Aerodynamics-Cruise'!W25,S48)</f>
        <v>1</v>
      </c>
      <c r="T48" s="103">
        <f ca="1">IF(AND(Energy!$F$11=$A$3,Main!$B$43=A48),'Aerodynamics-Cruise'!BL25,T48)</f>
        <v>24.745450550952643</v>
      </c>
      <c r="U48" s="103">
        <f ca="1">IF(AND(Energy!$F$11=$A$3,Main!$B$43=A48),'Propulsion-Cruise'!M25,U48)</f>
        <v>52.689927961033007</v>
      </c>
      <c r="V48" s="103">
        <f ca="1">IF(AND(Energy!$F$11=$A$3,Main!$B$43=A48),Endurance!AP25,V48)</f>
        <v>495.51007571490419</v>
      </c>
      <c r="W48" s="103">
        <f ca="1">IF(AND(Energy!$F$11=$A$3,Main!$B$43=$A48),Summary!W25,W48)</f>
        <v>1.1321637426900586</v>
      </c>
      <c r="X48" s="13">
        <f ca="1">IF(AND(Energy!$F$11=$A$3,Main!$B$43=A48),Energy!D25,X48)</f>
        <v>894.67060980342967</v>
      </c>
      <c r="Y48" s="102">
        <f ca="1">IF(AND(Energy!$F$11=$A$3,Main!$B$43=A48),'Aerodynamics-Cruise'!V25,Y48)</f>
        <v>144779.44755714762</v>
      </c>
      <c r="Z48" s="102">
        <f ca="1">IF(AND(Energy!$F$11=$A$3,Main!$B$43=$A48),Summary!Z25,Z48)</f>
        <v>109140.39511636274</v>
      </c>
      <c r="AA48" s="102">
        <f ca="1">IF(AND(Energy!$F$11=$A$3,Main!$B$43=$A48),Summary!AA25,AA48)</f>
        <v>109140.39511636274</v>
      </c>
      <c r="AB48" s="103">
        <f ca="1">IF(AND(Energy!$F$11=$A$3,Main!$B$43=$A48),Summary!AB25,AB48)</f>
        <v>4.7984161874017657</v>
      </c>
      <c r="AC48" s="103">
        <f ca="1">IF(AND(Energy!$F$11=$A$3,Main!$B$43=$A48),Summary!AC25,AC48)</f>
        <v>2.775804167083987</v>
      </c>
      <c r="AD48" s="103">
        <f ca="1">IF(AND(Energy!$F$11=$A$3,Main!$B$43=$A48),Summary!AD25,AD48)</f>
        <v>0.41678262953805212</v>
      </c>
      <c r="AE48" s="103">
        <f ca="1">IF(AND(Energy!$F$11=$A$3,Main!$B$43=$A48),Summary!AE25,AE48)</f>
        <v>1.1321637426900586</v>
      </c>
      <c r="AF48" s="103">
        <f ca="1">IF(AND(Energy!$F$11=$A$3,Main!$B$43=$A48),Summary!AF25,AF48)</f>
        <v>18.94736842105263</v>
      </c>
      <c r="AG48" s="103">
        <f ca="1">IF(AND(Energy!$F$11=$A$3,Main!$B$43=$A48),Summary!AG25,AG48)</f>
        <v>10.945081152188846</v>
      </c>
      <c r="AH48" s="103">
        <f ca="1">IF(AND(Energy!$F$11=$A$3,Main!$B$43=$A48),Summary!AH25,AH48)</f>
        <v>47</v>
      </c>
      <c r="AI48" s="103">
        <f ca="1">IF(AND(Energy!$F$11=$A$3,Main!$B$43=$A48),Summary!AI25,AI48)</f>
        <v>2.7058480917315468</v>
      </c>
      <c r="AJ48" s="103">
        <f ca="1">IF(AND(Energy!$F$11=$A$3,Main!$B$43=$A48),Summary!AJ25,AJ48)</f>
        <v>0.23092768384806686</v>
      </c>
      <c r="AK48" s="103">
        <f ca="1">IF(AND(Energy!$F$11=$A$3,Main!$B$43=$A48),Summary!AK25,AK48)</f>
        <v>0.01</v>
      </c>
      <c r="AL48" s="103">
        <f ca="1">IF(AND(Energy!$F$11=$A$3,Main!$B$43=$A48),Summary!AL25,AL48)</f>
        <v>-0.5412552395610245</v>
      </c>
      <c r="AM48" s="103">
        <f ca="1">IF(AND(Energy!$F$11=$A$3,Main!$B$43=$A48),Summary!AJ65,AM48)</f>
        <v>0</v>
      </c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</row>
    <row r="49" spans="1:54">
      <c r="A49">
        <f t="shared" si="3"/>
        <v>3</v>
      </c>
      <c r="B49" s="100"/>
      <c r="C49" s="100"/>
      <c r="D49" s="1">
        <f ca="1">IF(AND(Energy!$F$11=$A$3,Main!$B$43=A49),Main!C26,D49)</f>
        <v>4.7894736842105265</v>
      </c>
      <c r="E49" s="103">
        <f ca="1">IF(AND(Energy!$F$11=$A$3,Main!$B$43=A49),Main!B26,E49)</f>
        <v>0.24444444444444446</v>
      </c>
      <c r="F49" s="103">
        <f ca="1">IF(Main!$D$6=1,U49,IF(Main!$D$6=2,N49,IF(Main!$D$6=3,K49,IF(Main!$D$6=4,V49,J49))))</f>
        <v>492.1559273210658</v>
      </c>
      <c r="G49" s="103">
        <f ca="1">IF(AND(Energy!$F$11=$A$3,Main!$B$43=A49),Weight!H26,G49)</f>
        <v>15</v>
      </c>
      <c r="H49" s="103">
        <f ca="1">IF(AND(Energy!$F$11=$A$3,Main!$B$43=A49),Weight!U26,H49)</f>
        <v>13.651278607852973</v>
      </c>
      <c r="I49" s="103">
        <f ca="1">IF(AND(Energy!$F$11=$A$3,Main!$B$43=A49),Weight!V26,I49)</f>
        <v>39.208028743709313</v>
      </c>
      <c r="J49" s="103">
        <f ca="1">IF(AND(Energy!$F$11=$A$3,Main!$B$43=A49),Weight!I26,J49)</f>
        <v>20.61910186085634</v>
      </c>
      <c r="K49" s="103">
        <f ca="1">IF(AND(Energy!$F$11=$A$3,Main!$B$43=A49),Weight!W26,K49)</f>
        <v>54.208038152711808</v>
      </c>
      <c r="L49" s="103">
        <f ca="1">IF(AND(Energy!$F$11=$A$3,Main!$B$43=A49),'Aerodynamics-Cruise'!BI26,L49)</f>
        <v>54.208019261146653</v>
      </c>
      <c r="M49" s="103">
        <f ca="1">IF(AND(Energy!$F$11=$A$3,Main!$B$43=A49),'Aerodynamics-Cruise'!BJ26,M49)</f>
        <v>2.6528657017012116</v>
      </c>
      <c r="N49" s="103">
        <f ca="1">IF(AND(Energy!$F$11=$A$3,Main!$B$43=A49),'Aerodynamics-Cruise'!BK26,N49)</f>
        <v>20.433759321621334</v>
      </c>
      <c r="O49" s="103">
        <f t="shared" ca="1" si="0"/>
        <v>150.44579135086059</v>
      </c>
      <c r="P49" s="103">
        <f ca="1">IF(AND(Energy!$F$11=$A$3,Main!$B$43=A49),'Aerodynamics-Cruise'!H26,P49)</f>
        <v>9.2061327275082689</v>
      </c>
      <c r="Q49" s="103">
        <f ca="1">IF(AND(Energy!$F$11=$A$3,Main!$B$43=A49),'Aerodynamics-Cruise'!I26,Q49)</f>
        <v>7.8398426169975179</v>
      </c>
      <c r="R49" s="103">
        <f ca="1">IF(AND(Energy!$F$11=$A$3,Main!$B$43=$A49),Summary!R26,R49)</f>
        <v>4.6886655392302474</v>
      </c>
      <c r="S49" s="103">
        <f ca="1">IF(AND(Energy!$F$11=$A$3,Main!$B$43=A49),'Aerodynamics-Cruise'!W26,S49)</f>
        <v>1</v>
      </c>
      <c r="T49" s="103">
        <f ca="1">IF(AND(Energy!$F$11=$A$3,Main!$B$43=A49),'Aerodynamics-Cruise'!BL26,T49)</f>
        <v>24.422633758115712</v>
      </c>
      <c r="U49" s="103">
        <f ca="1">IF(AND(Energy!$F$11=$A$3,Main!$B$43=A49),'Propulsion-Cruise'!M26,U49)</f>
        <v>52.205738137886151</v>
      </c>
      <c r="V49" s="103">
        <f ca="1">IF(AND(Energy!$F$11=$A$3,Main!$B$43=A49),Endurance!AP26,V49)</f>
        <v>492.1559273210658</v>
      </c>
      <c r="W49" s="103">
        <f ca="1">IF(AND(Energy!$F$11=$A$3,Main!$B$43=$A49),Summary!W26,W49)</f>
        <v>1.1707602339181289</v>
      </c>
      <c r="X49" s="13">
        <f ca="1">IF(AND(Energy!$F$11=$A$3,Main!$B$43=A49),Energy!D26,X49)</f>
        <v>888.61452500963935</v>
      </c>
      <c r="Y49" s="102">
        <f ca="1">IF(AND(Energy!$F$11=$A$3,Main!$B$43=A49),'Aerodynamics-Cruise'!V26,Y49)</f>
        <v>142725.86399139717</v>
      </c>
      <c r="Z49" s="102">
        <f ca="1">IF(AND(Energy!$F$11=$A$3,Main!$B$43=$A49),Summary!Z26,Z49)</f>
        <v>107652.78900984176</v>
      </c>
      <c r="AA49" s="102">
        <f ca="1">IF(AND(Energy!$F$11=$A$3,Main!$B$43=$A49),Summary!AA26,AA49)</f>
        <v>107652.78900984176</v>
      </c>
      <c r="AB49" s="103">
        <f ca="1">IF(AND(Energy!$F$11=$A$3,Main!$B$43=$A49),Summary!AB26,AB49)</f>
        <v>4.6886655392302474</v>
      </c>
      <c r="AC49" s="103">
        <f ca="1">IF(AND(Energy!$F$11=$A$3,Main!$B$43=$A49),Summary!AC26,AC49)</f>
        <v>2.7322729746522323</v>
      </c>
      <c r="AD49" s="103">
        <f ca="1">IF(AND(Energy!$F$11=$A$3,Main!$B$43=$A49),Summary!AD26,AD49)</f>
        <v>0.41375842864135642</v>
      </c>
      <c r="AE49" s="103">
        <f ca="1">IF(AND(Energy!$F$11=$A$3,Main!$B$43=$A49),Summary!AE26,AE49)</f>
        <v>1.1707602339181289</v>
      </c>
      <c r="AF49" s="103">
        <f ca="1">IF(AND(Energy!$F$11=$A$3,Main!$B$43=$A49),Summary!AF26,AF49)</f>
        <v>19.593301435406698</v>
      </c>
      <c r="AG49" s="103">
        <f ca="1">IF(AND(Energy!$F$11=$A$3,Main!$B$43=$A49),Summary!AG26,AG49)</f>
        <v>10.90283821654964</v>
      </c>
      <c r="AH49" s="103">
        <f ca="1">IF(AND(Energy!$F$11=$A$3,Main!$B$43=$A49),Summary!AH26,AH49)</f>
        <v>47</v>
      </c>
      <c r="AI49" s="103">
        <f ca="1">IF(AND(Energy!$F$11=$A$3,Main!$B$43=$A49),Summary!AI26,AI49)</f>
        <v>2.7026861341287103</v>
      </c>
      <c r="AJ49" s="103">
        <f ca="1">IF(AND(Energy!$F$11=$A$3,Main!$B$43=$A49),Summary!AJ26,AJ49)</f>
        <v>0.2318439428401747</v>
      </c>
      <c r="AK49" s="103">
        <f ca="1">IF(AND(Energy!$F$11=$A$3,Main!$B$43=$A49),Summary!AK26,AK49)</f>
        <v>0.01</v>
      </c>
      <c r="AL49" s="103">
        <f ca="1">IF(AND(Energy!$F$11=$A$3,Main!$B$43=$A49),Summary!AL26,AL49)</f>
        <v>-0.53911614914296324</v>
      </c>
      <c r="AM49" s="103">
        <f ca="1">IF(AND(Energy!$F$11=$A$3,Main!$B$43=$A49),Summary!AJ66,AM49)</f>
        <v>0</v>
      </c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</row>
    <row r="50" spans="1:54">
      <c r="A50">
        <f t="shared" si="3"/>
        <v>3</v>
      </c>
      <c r="B50" s="100"/>
      <c r="C50" s="100"/>
      <c r="D50" s="1">
        <f ca="1">IF(AND(Energy!$F$11=$A$3,Main!$B$43=A50),Main!C27,D50)</f>
        <v>4.9473684210526319</v>
      </c>
      <c r="E50" s="103">
        <f ca="1">IF(AND(Energy!$F$11=$A$3,Main!$B$43=A50),Main!B27,E50)</f>
        <v>0.24444444444444446</v>
      </c>
      <c r="F50" s="103">
        <f ca="1">IF(Main!$D$6=1,U50,IF(Main!$D$6=2,N50,IF(Main!$D$6=3,K50,IF(Main!$D$6=4,V50,J50))))</f>
        <v>489.80796201779839</v>
      </c>
      <c r="G50" s="103">
        <f ca="1">IF(AND(Energy!$F$11=$A$3,Main!$B$43=A50),Weight!H27,G50)</f>
        <v>15</v>
      </c>
      <c r="H50" s="103">
        <f ca="1">IF(AND(Energy!$F$11=$A$3,Main!$B$43=A50),Weight!U27,H50)</f>
        <v>14.073628372384569</v>
      </c>
      <c r="I50" s="103">
        <f ca="1">IF(AND(Energy!$F$11=$A$3,Main!$B$43=A50),Weight!V27,I50)</f>
        <v>39.532009980406897</v>
      </c>
      <c r="J50" s="103">
        <f ca="1">IF(AND(Energy!$F$11=$A$3,Main!$B$43=A50),Weight!I27,J50)</f>
        <v>20.520733333022324</v>
      </c>
      <c r="K50" s="103">
        <f ca="1">IF(AND(Energy!$F$11=$A$3,Main!$B$43=A50),Weight!W27,K50)</f>
        <v>54.53201904588812</v>
      </c>
      <c r="L50" s="103">
        <f ca="1">IF(AND(Energy!$F$11=$A$3,Main!$B$43=A50),'Aerodynamics-Cruise'!BI27,L50)</f>
        <v>54.532000842749909</v>
      </c>
      <c r="M50" s="103">
        <f ca="1">IF(AND(Energy!$F$11=$A$3,Main!$B$43=A50),'Aerodynamics-Cruise'!BJ27,M50)</f>
        <v>2.659337099272876</v>
      </c>
      <c r="N50" s="103">
        <f ca="1">IF(AND(Energy!$F$11=$A$3,Main!$B$43=A50),'Aerodynamics-Cruise'!BK27,N50)</f>
        <v>20.505862478908828</v>
      </c>
      <c r="O50" s="103">
        <f t="shared" ca="1" si="0"/>
        <v>151.42715287970677</v>
      </c>
      <c r="P50" s="103">
        <f ca="1">IF(AND(Energy!$F$11=$A$3,Main!$B$43=A50),'Aerodynamics-Cruise'!H27,P50)</f>
        <v>9.0850248211082008</v>
      </c>
      <c r="Q50" s="103">
        <f ca="1">IF(AND(Energy!$F$11=$A$3,Main!$B$43=A50),'Aerodynamics-Cruise'!I27,Q50)</f>
        <v>7.7409016338007657</v>
      </c>
      <c r="R50" s="103">
        <f ca="1">IF(AND(Energy!$F$11=$A$3,Main!$B$43=$A50),Summary!R27,R50)</f>
        <v>4.5956937130670594</v>
      </c>
      <c r="S50" s="103">
        <f ca="1">IF(AND(Energy!$F$11=$A$3,Main!$B$43=A50),'Aerodynamics-Cruise'!W27,S50)</f>
        <v>1</v>
      </c>
      <c r="T50" s="103">
        <f ca="1">IF(AND(Energy!$F$11=$A$3,Main!$B$43=A50),'Aerodynamics-Cruise'!BL27,T50)</f>
        <v>24.160143554587961</v>
      </c>
      <c r="U50" s="103">
        <f ca="1">IF(AND(Energy!$F$11=$A$3,Main!$B$43=A50),'Propulsion-Cruise'!M27,U50)</f>
        <v>51.833355450665515</v>
      </c>
      <c r="V50" s="103">
        <f ca="1">IF(AND(Energy!$F$11=$A$3,Main!$B$43=A50),Endurance!AP27,V50)</f>
        <v>489.80796201779839</v>
      </c>
      <c r="W50" s="103">
        <f ca="1">IF(AND(Energy!$F$11=$A$3,Main!$B$43=$A50),Summary!W27,W50)</f>
        <v>1.209356725146199</v>
      </c>
      <c r="X50" s="13">
        <f ca="1">IF(AND(Energy!$F$11=$A$3,Main!$B$43=A50),Energy!D27,X50)</f>
        <v>884.37515716007374</v>
      </c>
      <c r="Y50" s="102">
        <f ca="1">IF(AND(Energy!$F$11=$A$3,Main!$B$43=A50),'Aerodynamics-Cruise'!V27,Y50)</f>
        <v>140848.28617574283</v>
      </c>
      <c r="Z50" s="102">
        <f ca="1">IF(AND(Energy!$F$11=$A$3,Main!$B$43=$A50),Summary!Z27,Z50)</f>
        <v>106291.93401298515</v>
      </c>
      <c r="AA50" s="102">
        <f ca="1">IF(AND(Energy!$F$11=$A$3,Main!$B$43=$A50),Summary!AA27,AA50)</f>
        <v>106291.93401298515</v>
      </c>
      <c r="AB50" s="103">
        <f ca="1">IF(AND(Energy!$F$11=$A$3,Main!$B$43=$A50),Summary!AB27,AB50)</f>
        <v>4.5956937130670594</v>
      </c>
      <c r="AC50" s="103">
        <f ca="1">IF(AND(Energy!$F$11=$A$3,Main!$B$43=$A50),Summary!AC27,AC50)</f>
        <v>2.688113428286163</v>
      </c>
      <c r="AD50" s="103">
        <f ca="1">IF(AND(Energy!$F$11=$A$3,Main!$B$43=$A50),Summary!AD27,AD50)</f>
        <v>0.41115340730508887</v>
      </c>
      <c r="AE50" s="103">
        <f ca="1">IF(AND(Energy!$F$11=$A$3,Main!$B$43=$A50),Summary!AE27,AE50)</f>
        <v>1.209356725146199</v>
      </c>
      <c r="AF50" s="103">
        <f ca="1">IF(AND(Energy!$F$11=$A$3,Main!$B$43=$A50),Summary!AF27,AF50)</f>
        <v>20.239234449760765</v>
      </c>
      <c r="AG50" s="103">
        <f ca="1">IF(AND(Energy!$F$11=$A$3,Main!$B$43=$A50),Summary!AG27,AG50)</f>
        <v>10.873416571482</v>
      </c>
      <c r="AH50" s="103">
        <f ca="1">IF(AND(Energy!$F$11=$A$3,Main!$B$43=$A50),Summary!AH27,AH50)</f>
        <v>47</v>
      </c>
      <c r="AI50" s="103">
        <f ca="1">IF(AND(Energy!$F$11=$A$3,Main!$B$43=$A50),Summary!AI27,AI50)</f>
        <v>2.6997589342212263</v>
      </c>
      <c r="AJ50" s="103">
        <f ca="1">IF(AND(Energy!$F$11=$A$3,Main!$B$43=$A50),Summary!AJ27,AJ50)</f>
        <v>0.23269844109171287</v>
      </c>
      <c r="AK50" s="103">
        <f ca="1">IF(AND(Energy!$F$11=$A$3,Main!$B$43=$A50),Summary!AK27,AK50)</f>
        <v>0.01</v>
      </c>
      <c r="AL50" s="103">
        <f ca="1">IF(AND(Energy!$F$11=$A$3,Main!$B$43=$A50),Summary!AL27,AL50)</f>
        <v>-0.53713642210828472</v>
      </c>
      <c r="AM50" s="103">
        <f ca="1">IF(AND(Energy!$F$11=$A$3,Main!$B$43=$A50),Summary!AJ67,AM50)</f>
        <v>0</v>
      </c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</row>
    <row r="51" spans="1:54">
      <c r="A51">
        <f t="shared" si="3"/>
        <v>3</v>
      </c>
      <c r="B51" s="100"/>
      <c r="C51" s="100"/>
      <c r="D51" s="1">
        <f ca="1">IF(AND(Energy!$F$11=$A$3,Main!$B$43=A51),Main!C28,D51)</f>
        <v>5.1052631578947372</v>
      </c>
      <c r="E51" s="103">
        <f ca="1">IF(AND(Energy!$F$11=$A$3,Main!$B$43=A51),Main!B28,E51)</f>
        <v>0.24444444444444446</v>
      </c>
      <c r="F51" s="103">
        <f ca="1">IF(Main!$D$6=1,U51,IF(Main!$D$6=2,N51,IF(Main!$D$6=3,K51,IF(Main!$D$6=4,V51,J51))))</f>
        <v>488.34135115277172</v>
      </c>
      <c r="G51" s="103">
        <f ca="1">IF(AND(Energy!$F$11=$A$3,Main!$B$43=A51),Weight!H28,G51)</f>
        <v>15</v>
      </c>
      <c r="H51" s="103">
        <f ca="1">IF(AND(Energy!$F$11=$A$3,Main!$B$43=A51),Weight!U28,H51)</f>
        <v>14.509297067459137</v>
      </c>
      <c r="I51" s="103">
        <f ca="1">IF(AND(Energy!$F$11=$A$3,Main!$B$43=A51),Weight!V28,I51)</f>
        <v>39.906234832888998</v>
      </c>
      <c r="J51" s="103">
        <f ca="1">IF(AND(Energy!$F$11=$A$3,Main!$B$43=A51),Weight!I28,J51)</f>
        <v>20.459289490429864</v>
      </c>
      <c r="K51" s="103">
        <f ca="1">IF(AND(Energy!$F$11=$A$3,Main!$B$43=A51),Weight!W28,K51)</f>
        <v>54.906243609991925</v>
      </c>
      <c r="L51" s="103">
        <f ca="1">IF(AND(Energy!$F$11=$A$3,Main!$B$43=A51),'Aerodynamics-Cruise'!BI28,L51)</f>
        <v>54.906225984595785</v>
      </c>
      <c r="M51" s="103">
        <f ca="1">IF(AND(Energy!$F$11=$A$3,Main!$B$43=A51),'Aerodynamics-Cruise'!BJ28,M51)</f>
        <v>2.6688196362254204</v>
      </c>
      <c r="N51" s="103">
        <f ca="1">IF(AND(Energy!$F$11=$A$3,Main!$B$43=A51),'Aerodynamics-Cruise'!BK28,N51)</f>
        <v>20.573224671806994</v>
      </c>
      <c r="O51" s="103">
        <f t="shared" ca="1" si="0"/>
        <v>152.4449932749778</v>
      </c>
      <c r="P51" s="103">
        <f ca="1">IF(AND(Energy!$F$11=$A$3,Main!$B$43=A51),'Aerodynamics-Cruise'!H28,P51)</f>
        <v>8.9740316111658345</v>
      </c>
      <c r="Q51" s="103">
        <f ca="1">IF(AND(Energy!$F$11=$A$3,Main!$B$43=A51),'Aerodynamics-Cruise'!I28,Q51)</f>
        <v>7.6501759878153459</v>
      </c>
      <c r="R51" s="103">
        <f ca="1">IF(AND(Energy!$F$11=$A$3,Main!$B$43=$A51),Summary!R28,R51)</f>
        <v>4.5171989126653829</v>
      </c>
      <c r="S51" s="103">
        <f ca="1">IF(AND(Energy!$F$11=$A$3,Main!$B$43=A51),'Aerodynamics-Cruise'!W28,S51)</f>
        <v>1</v>
      </c>
      <c r="T51" s="103">
        <f ca="1">IF(AND(Energy!$F$11=$A$3,Main!$B$43=A51),'Aerodynamics-Cruise'!BL28,T51)</f>
        <v>23.950071779987027</v>
      </c>
      <c r="U51" s="103">
        <f ca="1">IF(AND(Energy!$F$11=$A$3,Main!$B$43=A51),'Propulsion-Cruise'!M28,U51)</f>
        <v>51.558607661615994</v>
      </c>
      <c r="V51" s="103">
        <f ca="1">IF(AND(Energy!$F$11=$A$3,Main!$B$43=A51),Endurance!AP28,V51)</f>
        <v>488.34135115277172</v>
      </c>
      <c r="W51" s="103">
        <f ca="1">IF(AND(Energy!$F$11=$A$3,Main!$B$43=$A51),Summary!W28,W51)</f>
        <v>1.2479532163742693</v>
      </c>
      <c r="X51" s="13">
        <f ca="1">IF(AND(Energy!$F$11=$A$3,Main!$B$43=A51),Energy!D28,X51)</f>
        <v>881.72712160402727</v>
      </c>
      <c r="Y51" s="102">
        <f ca="1">IF(AND(Energy!$F$11=$A$3,Main!$B$43=A51),'Aerodynamics-Cruise'!V28,Y51)</f>
        <v>139127.52000224768</v>
      </c>
      <c r="Z51" s="102">
        <f ca="1">IF(AND(Energy!$F$11=$A$3,Main!$B$43=$A51),Summary!Z28,Z51)</f>
        <v>105044.10027328448</v>
      </c>
      <c r="AA51" s="102">
        <f ca="1">IF(AND(Energy!$F$11=$A$3,Main!$B$43=$A51),Summary!AA28,AA51)</f>
        <v>105044.10027328448</v>
      </c>
      <c r="AB51" s="103">
        <f ca="1">IF(AND(Energy!$F$11=$A$3,Main!$B$43=$A51),Summary!AB28,AB51)</f>
        <v>4.5171989126653829</v>
      </c>
      <c r="AC51" s="103">
        <f ca="1">IF(AND(Energy!$F$11=$A$3,Main!$B$43=$A51),Summary!AC28,AC51)</f>
        <v>2.6436115898854671</v>
      </c>
      <c r="AD51" s="103">
        <f ca="1">IF(AND(Energy!$F$11=$A$3,Main!$B$43=$A51),Summary!AD28,AD51)</f>
        <v>0.40892054497535985</v>
      </c>
      <c r="AE51" s="103">
        <f ca="1">IF(AND(Energy!$F$11=$A$3,Main!$B$43=$A51),Summary!AE28,AE51)</f>
        <v>1.2479532163742693</v>
      </c>
      <c r="AF51" s="103">
        <f ca="1">IF(AND(Energy!$F$11=$A$3,Main!$B$43=$A51),Summary!AF28,AF51)</f>
        <v>20.885167464114833</v>
      </c>
      <c r="AG51" s="103">
        <f ca="1">IF(AND(Energy!$F$11=$A$3,Main!$B$43=$A51),Summary!AG28,AG51)</f>
        <v>10.855258977108912</v>
      </c>
      <c r="AH51" s="103">
        <f ca="1">IF(AND(Energy!$F$11=$A$3,Main!$B$43=$A51),Summary!AH28,AH51)</f>
        <v>47</v>
      </c>
      <c r="AI51" s="103">
        <f ca="1">IF(AND(Energy!$F$11=$A$3,Main!$B$43=$A51),Summary!AI28,AI51)</f>
        <v>2.6970450133173696</v>
      </c>
      <c r="AJ51" s="103">
        <f ca="1">IF(AND(Energy!$F$11=$A$3,Main!$B$43=$A51),Summary!AJ28,AJ51)</f>
        <v>0.23349638589153052</v>
      </c>
      <c r="AK51" s="103">
        <f ca="1">IF(AND(Energy!$F$11=$A$3,Main!$B$43=$A51),Summary!AK28,AK51)</f>
        <v>0.01</v>
      </c>
      <c r="AL51" s="103">
        <f ca="1">IF(AND(Energy!$F$11=$A$3,Main!$B$43=$A51),Summary!AL28,AL51)</f>
        <v>-0.53530079980169576</v>
      </c>
      <c r="AM51" s="103">
        <f ca="1">IF(AND(Energy!$F$11=$A$3,Main!$B$43=$A51),Summary!AJ68,AM51)</f>
        <v>0</v>
      </c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</row>
    <row r="52" spans="1:54">
      <c r="A52">
        <f t="shared" si="3"/>
        <v>3</v>
      </c>
      <c r="B52" s="100"/>
      <c r="C52" s="100"/>
      <c r="D52" s="1">
        <f ca="1">IF(AND(Energy!$F$11=$A$3,Main!$B$43=A52),Main!C29,D52)</f>
        <v>5.2631578947368425</v>
      </c>
      <c r="E52" s="103">
        <f ca="1">IF(AND(Energy!$F$11=$A$3,Main!$B$43=A52),Main!B29,E52)</f>
        <v>0.24444444444444446</v>
      </c>
      <c r="F52" s="103">
        <f ca="1">IF(Main!$D$6=1,U52,IF(Main!$D$6=2,N52,IF(Main!$D$6=3,K52,IF(Main!$D$6=4,V52,J52))))</f>
        <v>487.65415816119202</v>
      </c>
      <c r="G52" s="103">
        <f ca="1">IF(AND(Energy!$F$11=$A$3,Main!$B$43=A52),Weight!H29,G52)</f>
        <v>15</v>
      </c>
      <c r="H52" s="103">
        <f ca="1">IF(AND(Energy!$F$11=$A$3,Main!$B$43=A52),Weight!U29,H52)</f>
        <v>14.958080944447516</v>
      </c>
      <c r="I52" s="103">
        <f ca="1">IF(AND(Energy!$F$11=$A$3,Main!$B$43=A52),Weight!V29,I52)</f>
        <v>40.326228884461116</v>
      </c>
      <c r="J52" s="103">
        <f ca="1">IF(AND(Energy!$F$11=$A$3,Main!$B$43=A52),Weight!I29,J52)</f>
        <v>20.430499665013599</v>
      </c>
      <c r="K52" s="103">
        <f ca="1">IF(AND(Energy!$F$11=$A$3,Main!$B$43=A52),Weight!W29,K52)</f>
        <v>55.326237420000311</v>
      </c>
      <c r="L52" s="103">
        <f ca="1">IF(AND(Energy!$F$11=$A$3,Main!$B$43=A52),'Aerodynamics-Cruise'!BI29,L52)</f>
        <v>55.326220278385904</v>
      </c>
      <c r="M52" s="103">
        <f ca="1">IF(AND(Energy!$F$11=$A$3,Main!$B$43=A52),'Aerodynamics-Cruise'!BJ29,M52)</f>
        <v>2.6809830043474565</v>
      </c>
      <c r="N52" s="103">
        <f ca="1">IF(AND(Energy!$F$11=$A$3,Main!$B$43=A52),'Aerodynamics-Cruise'!BK29,N52)</f>
        <v>20.63654271163578</v>
      </c>
      <c r="O52" s="103">
        <f t="shared" ca="1" si="0"/>
        <v>153.49790111586393</v>
      </c>
      <c r="P52" s="103">
        <f ca="1">IF(AND(Energy!$F$11=$A$3,Main!$B$43=A52),'Aerodynamics-Cruise'!H29,P52)</f>
        <v>8.8721045430151797</v>
      </c>
      <c r="Q52" s="103">
        <f ca="1">IF(AND(Energy!$F$11=$A$3,Main!$B$43=A52),'Aerodynamics-Cruise'!I29,Q52)</f>
        <v>7.5668200393710912</v>
      </c>
      <c r="R52" s="103">
        <f ca="1">IF(AND(Energy!$F$11=$A$3,Main!$B$43=$A52),Summary!R29,R52)</f>
        <v>4.4513240021507468</v>
      </c>
      <c r="S52" s="103">
        <f ca="1">IF(AND(Energy!$F$11=$A$3,Main!$B$43=A52),'Aerodynamics-Cruise'!W29,S52)</f>
        <v>1</v>
      </c>
      <c r="T52" s="103">
        <f ca="1">IF(AND(Energy!$F$11=$A$3,Main!$B$43=A52),'Aerodynamics-Cruise'!BL29,T52)</f>
        <v>23.785961492617552</v>
      </c>
      <c r="U52" s="103">
        <f ca="1">IF(AND(Energy!$F$11=$A$3,Main!$B$43=A52),'Propulsion-Cruise'!M29,U52)</f>
        <v>51.369913633064826</v>
      </c>
      <c r="V52" s="103">
        <f ca="1">IF(AND(Energy!$F$11=$A$3,Main!$B$43=A52),Endurance!AP29,V52)</f>
        <v>487.65415816119202</v>
      </c>
      <c r="W52" s="103">
        <f ca="1">IF(AND(Energy!$F$11=$A$3,Main!$B$43=$A52),Summary!W29,W52)</f>
        <v>1.2865497076023393</v>
      </c>
      <c r="X52" s="13">
        <f ca="1">IF(AND(Energy!$F$11=$A$3,Main!$B$43=A52),Energy!D29,X52)</f>
        <v>880.48636653521294</v>
      </c>
      <c r="Y52" s="102">
        <f ca="1">IF(AND(Energy!$F$11=$A$3,Main!$B$43=A52),'Aerodynamics-Cruise'!V29,Y52)</f>
        <v>137547.30936478387</v>
      </c>
      <c r="Z52" s="102">
        <f ca="1">IF(AND(Energy!$F$11=$A$3,Main!$B$43=$A52),Summary!Z29,Z52)</f>
        <v>103897.65079216317</v>
      </c>
      <c r="AA52" s="102">
        <f ca="1">IF(AND(Energy!$F$11=$A$3,Main!$B$43=$A52),Summary!AA29,AA52)</f>
        <v>103897.65079216317</v>
      </c>
      <c r="AB52" s="103">
        <f ca="1">IF(AND(Energy!$F$11=$A$3,Main!$B$43=$A52),Summary!AB29,AB52)</f>
        <v>4.4513240021507468</v>
      </c>
      <c r="AC52" s="103">
        <f ca="1">IF(AND(Energy!$F$11=$A$3,Main!$B$43=$A52),Summary!AC29,AC52)</f>
        <v>2.5989926404741794</v>
      </c>
      <c r="AD52" s="103">
        <f ca="1">IF(AND(Energy!$F$11=$A$3,Main!$B$43=$A52),Summary!AD29,AD52)</f>
        <v>0.40702023134516047</v>
      </c>
      <c r="AE52" s="103">
        <f ca="1">IF(AND(Energy!$F$11=$A$3,Main!$B$43=$A52),Summary!AE29,AE52)</f>
        <v>1.2865497076023393</v>
      </c>
      <c r="AF52" s="103">
        <f ca="1">IF(AND(Energy!$F$11=$A$3,Main!$B$43=$A52),Summary!AF29,AF52)</f>
        <v>21.5311004784689</v>
      </c>
      <c r="AG52" s="103">
        <f ca="1">IF(AND(Energy!$F$11=$A$3,Main!$B$43=$A52),Summary!AG29,AG52)</f>
        <v>10.847077327161573</v>
      </c>
      <c r="AH52" s="103">
        <f ca="1">IF(AND(Energy!$F$11=$A$3,Main!$B$43=$A52),Summary!AH29,AH52)</f>
        <v>47</v>
      </c>
      <c r="AI52" s="103">
        <f ca="1">IF(AND(Energy!$F$11=$A$3,Main!$B$43=$A52),Summary!AI29,AI52)</f>
        <v>2.6945258522297606</v>
      </c>
      <c r="AJ52" s="103">
        <f ca="1">IF(AND(Energy!$F$11=$A$3,Main!$B$43=$A52),Summary!AJ29,AJ52)</f>
        <v>0.23424234439361591</v>
      </c>
      <c r="AK52" s="103">
        <f ca="1">IF(AND(Energy!$F$11=$A$3,Main!$B$43=$A52),Summary!AK29,AK52)</f>
        <v>0.01</v>
      </c>
      <c r="AL52" s="103">
        <f ca="1">IF(AND(Energy!$F$11=$A$3,Main!$B$43=$A52),Summary!AL29,AL52)</f>
        <v>-0.53359607609445825</v>
      </c>
      <c r="AM52" s="103">
        <f ca="1">IF(AND(Energy!$F$11=$A$3,Main!$B$43=$A52),Summary!AJ69,AM52)</f>
        <v>0</v>
      </c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</row>
    <row r="53" spans="1:54">
      <c r="A53">
        <f t="shared" si="3"/>
        <v>3</v>
      </c>
      <c r="B53" s="100"/>
      <c r="C53" s="100"/>
      <c r="D53" s="1">
        <f ca="1">IF(AND(Energy!$F$11=$A$3,Main!$B$43=A53),Main!C30,D53)</f>
        <v>5.4210526315789478</v>
      </c>
      <c r="E53" s="103">
        <f ca="1">IF(AND(Energy!$F$11=$A$3,Main!$B$43=A53),Main!B30,E53)</f>
        <v>0.24444444444444446</v>
      </c>
      <c r="F53" s="103">
        <f ca="1">IF(Main!$D$6=1,U53,IF(Main!$D$6=2,N53,IF(Main!$D$6=3,K53,IF(Main!$D$6=4,V53,J53))))</f>
        <v>487.66236812826776</v>
      </c>
      <c r="G53" s="103">
        <f ca="1">IF(AND(Energy!$F$11=$A$3,Main!$B$43=A53),Weight!H30,G53)</f>
        <v>15</v>
      </c>
      <c r="H53" s="103">
        <f ca="1">IF(AND(Energy!$F$11=$A$3,Main!$B$43=A53),Weight!U30,H53)</f>
        <v>15.419835735572789</v>
      </c>
      <c r="I53" s="103">
        <f ca="1">IF(AND(Energy!$F$11=$A$3,Main!$B$43=A53),Weight!V30,I53)</f>
        <v>40.788328030437569</v>
      </c>
      <c r="J53" s="103">
        <f ca="1">IF(AND(Energy!$F$11=$A$3,Main!$B$43=A53),Weight!I30,J53)</f>
        <v>20.430844019864779</v>
      </c>
      <c r="K53" s="103">
        <f ca="1">IF(AND(Energy!$F$11=$A$3,Main!$B$43=A53),Weight!W30,K53)</f>
        <v>55.788336365909778</v>
      </c>
      <c r="L53" s="103">
        <f ca="1">IF(AND(Energy!$F$11=$A$3,Main!$B$43=A53),'Aerodynamics-Cruise'!BI30,L53)</f>
        <v>55.788319624799868</v>
      </c>
      <c r="M53" s="103">
        <f ca="1">IF(AND(Energy!$F$11=$A$3,Main!$B$43=A53),'Aerodynamics-Cruise'!BJ30,M53)</f>
        <v>2.6955516532362305</v>
      </c>
      <c r="N53" s="103">
        <f ca="1">IF(AND(Energy!$F$11=$A$3,Main!$B$43=A53),'Aerodynamics-Cruise'!BK30,N53)</f>
        <v>20.696438726307257</v>
      </c>
      <c r="O53" s="103">
        <f t="shared" ca="1" si="0"/>
        <v>154.58496866160252</v>
      </c>
      <c r="P53" s="103">
        <f ca="1">IF(AND(Energy!$F$11=$A$3,Main!$B$43=A53),'Aerodynamics-Cruise'!H30,P53)</f>
        <v>8.7783479777740006</v>
      </c>
      <c r="Q53" s="103">
        <f ca="1">IF(AND(Energy!$F$11=$A$3,Main!$B$43=A53),'Aerodynamics-Cruise'!I30,Q53)</f>
        <v>7.490110921474602</v>
      </c>
      <c r="R53" s="103">
        <f ca="1">IF(AND(Energy!$F$11=$A$3,Main!$B$43=$A53),Summary!R30,R53)</f>
        <v>4.3965553535653017</v>
      </c>
      <c r="S53" s="103">
        <f ca="1">IF(AND(Energy!$F$11=$A$3,Main!$B$43=A53),'Aerodynamics-Cruise'!W30,S53)</f>
        <v>1</v>
      </c>
      <c r="T53" s="103">
        <f ca="1">IF(AND(Energy!$F$11=$A$3,Main!$B$43=A53),'Aerodynamics-Cruise'!BL30,T53)</f>
        <v>23.662490404171628</v>
      </c>
      <c r="U53" s="103">
        <f ca="1">IF(AND(Energy!$F$11=$A$3,Main!$B$43=A53),'Propulsion-Cruise'!M30,U53)</f>
        <v>51.257720467653982</v>
      </c>
      <c r="V53" s="103">
        <f ca="1">IF(AND(Energy!$F$11=$A$3,Main!$B$43=A53),Endurance!AP30,V53)</f>
        <v>487.66236812826776</v>
      </c>
      <c r="W53" s="103">
        <f ca="1">IF(AND(Energy!$F$11=$A$3,Main!$B$43=$A53),Summary!W30,W53)</f>
        <v>1.3251461988304096</v>
      </c>
      <c r="X53" s="13">
        <f ca="1">IF(AND(Energy!$F$11=$A$3,Main!$B$43=A53),Energy!D30,X53)</f>
        <v>880.50119856819208</v>
      </c>
      <c r="Y53" s="102">
        <f ca="1">IF(AND(Energy!$F$11=$A$3,Main!$B$43=A53),'Aerodynamics-Cruise'!V30,Y53)</f>
        <v>136093.76886357772</v>
      </c>
      <c r="Z53" s="102">
        <f ca="1">IF(AND(Energy!$F$11=$A$3,Main!$B$43=$A53),Summary!Z30,Z53)</f>
        <v>102842.63836444728</v>
      </c>
      <c r="AA53" s="102">
        <f ca="1">IF(AND(Energy!$F$11=$A$3,Main!$B$43=$A53),Summary!AA30,AA53)</f>
        <v>102842.63836444728</v>
      </c>
      <c r="AB53" s="103">
        <f ca="1">IF(AND(Energy!$F$11=$A$3,Main!$B$43=$A53),Summary!AB30,AB53)</f>
        <v>4.3965553535653017</v>
      </c>
      <c r="AC53" s="103">
        <f ca="1">IF(AND(Energy!$F$11=$A$3,Main!$B$43=$A53),Summary!AC30,AC53)</f>
        <v>2.5544342877218424</v>
      </c>
      <c r="AD53" s="103">
        <f ca="1">IF(AND(Energy!$F$11=$A$3,Main!$B$43=$A53),Summary!AD30,AD53)</f>
        <v>0.40541881210786795</v>
      </c>
      <c r="AE53" s="103">
        <f ca="1">IF(AND(Energy!$F$11=$A$3,Main!$B$43=$A53),Summary!AE30,AE53)</f>
        <v>1.3251461988304096</v>
      </c>
      <c r="AF53" s="103">
        <f ca="1">IF(AND(Energy!$F$11=$A$3,Main!$B$43=$A53),Summary!AF30,AF53)</f>
        <v>22.177033492822964</v>
      </c>
      <c r="AG53" s="103">
        <f ca="1">IF(AND(Energy!$F$11=$A$3,Main!$B$43=$A53),Summary!AG30,AG53)</f>
        <v>10.847796592538597</v>
      </c>
      <c r="AH53" s="103">
        <f ca="1">IF(AND(Energy!$F$11=$A$3,Main!$B$43=$A53),Summary!AH30,AH53)</f>
        <v>47</v>
      </c>
      <c r="AI53" s="103">
        <f ca="1">IF(AND(Energy!$F$11=$A$3,Main!$B$43=$A53),Summary!AI30,AI53)</f>
        <v>2.6921853529979258</v>
      </c>
      <c r="AJ53" s="103">
        <f ca="1">IF(AND(Energy!$F$11=$A$3,Main!$B$43=$A53),Summary!AJ30,AJ53)</f>
        <v>0.23494073785576447</v>
      </c>
      <c r="AK53" s="103">
        <f ca="1">IF(AND(Energy!$F$11=$A$3,Main!$B$43=$A53),Summary!AK30,AK53)</f>
        <v>0.01</v>
      </c>
      <c r="AL53" s="103">
        <f ca="1">IF(AND(Energy!$F$11=$A$3,Main!$B$43=$A53),Summary!AL30,AL53)</f>
        <v>-0.53200985408472645</v>
      </c>
      <c r="AM53" s="103">
        <f ca="1">IF(AND(Energy!$F$11=$A$3,Main!$B$43=$A53),Summary!AJ70,AM53)</f>
        <v>0</v>
      </c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</row>
    <row r="54" spans="1:54">
      <c r="A54">
        <f t="shared" si="3"/>
        <v>3</v>
      </c>
      <c r="B54" s="100"/>
      <c r="C54" s="100"/>
      <c r="D54" s="1">
        <f ca="1">IF(AND(Energy!$F$11=$A$3,Main!$B$43=A54),Main!C31,D54)</f>
        <v>5.5789473684210531</v>
      </c>
      <c r="E54" s="103">
        <f ca="1">IF(AND(Energy!$F$11=$A$3,Main!$B$43=A54),Main!B31,E54)</f>
        <v>0.24444444444444446</v>
      </c>
      <c r="F54" s="103">
        <f ca="1">IF(Main!$D$6=1,U54,IF(Main!$D$6=2,N54,IF(Main!$D$6=3,K54,IF(Main!$D$6=4,V54,J54))))</f>
        <v>488.29618049744346</v>
      </c>
      <c r="G54" s="103">
        <f ca="1">IF(AND(Energy!$F$11=$A$3,Main!$B$43=A54),Weight!H31,G54)</f>
        <v>15</v>
      </c>
      <c r="H54" s="103">
        <f ca="1">IF(AND(Energy!$F$11=$A$3,Main!$B$43=A54),Weight!U31,H54)</f>
        <v>15.894465268899019</v>
      </c>
      <c r="I54" s="103">
        <f ca="1">IF(AND(Energy!$F$11=$A$3,Main!$B$43=A54),Weight!V31,I54)</f>
        <v>41.289511781089203</v>
      </c>
      <c r="J54" s="103">
        <f ca="1">IF(AND(Energy!$F$11=$A$3,Main!$B$43=A54),Weight!I31,J54)</f>
        <v>20.457398237190183</v>
      </c>
      <c r="K54" s="103">
        <f ca="1">IF(AND(Energy!$F$11=$A$3,Main!$B$43=A54),Weight!W31,K54)</f>
        <v>56.289519951700257</v>
      </c>
      <c r="L54" s="103">
        <f ca="1">IF(AND(Energy!$F$11=$A$3,Main!$B$43=A54),'Aerodynamics-Cruise'!BI31,L54)</f>
        <v>56.289503540450376</v>
      </c>
      <c r="M54" s="103">
        <f ca="1">IF(AND(Energy!$F$11=$A$3,Main!$B$43=A54),'Aerodynamics-Cruise'!BJ31,M54)</f>
        <v>2.7122939539960096</v>
      </c>
      <c r="N54" s="103">
        <f ca="1">IF(AND(Energy!$F$11=$A$3,Main!$B$43=A54),'Aerodynamics-Cruise'!BK31,N54)</f>
        <v>20.753467173983601</v>
      </c>
      <c r="O54" s="103">
        <f t="shared" ca="1" si="0"/>
        <v>155.7056499076069</v>
      </c>
      <c r="P54" s="103">
        <f ca="1">IF(AND(Energy!$F$11=$A$3,Main!$B$43=A54),'Aerodynamics-Cruise'!H31,P54)</f>
        <v>8.691991077724273</v>
      </c>
      <c r="Q54" s="103">
        <f ca="1">IF(AND(Energy!$F$11=$A$3,Main!$B$43=A54),'Aerodynamics-Cruise'!I31,Q54)</f>
        <v>7.419426031126668</v>
      </c>
      <c r="R54" s="103">
        <f ca="1">IF(AND(Energy!$F$11=$A$3,Main!$B$43=$A54),Summary!R31,R54)</f>
        <v>4.3516483554341781</v>
      </c>
      <c r="S54" s="103">
        <f ca="1">IF(AND(Energy!$F$11=$A$3,Main!$B$43=A54),'Aerodynamics-Cruise'!W31,S54)</f>
        <v>1</v>
      </c>
      <c r="T54" s="103">
        <f ca="1">IF(AND(Energy!$F$11=$A$3,Main!$B$43=A54),'Aerodynamics-Cruise'!BL31,T54)</f>
        <v>23.575234848298805</v>
      </c>
      <c r="U54" s="103">
        <f ca="1">IF(AND(Energy!$F$11=$A$3,Main!$B$43=A54),'Propulsion-Cruise'!M31,U54)</f>
        <v>51.214083664988507</v>
      </c>
      <c r="V54" s="103">
        <f ca="1">IF(AND(Energy!$F$11=$A$3,Main!$B$43=A54),Endurance!AP31,V54)</f>
        <v>488.29618049744346</v>
      </c>
      <c r="W54" s="103">
        <f ca="1">IF(AND(Energy!$F$11=$A$3,Main!$B$43=$A54),Summary!W31,W54)</f>
        <v>1.3637426900584797</v>
      </c>
      <c r="X54" s="13">
        <f ca="1">IF(AND(Energy!$F$11=$A$3,Main!$B$43=A54),Energy!D31,X54)</f>
        <v>881.64558916311228</v>
      </c>
      <c r="Y54" s="102">
        <f ca="1">IF(AND(Energy!$F$11=$A$3,Main!$B$43=A54),'Aerodynamics-Cruise'!V31,Y54)</f>
        <v>134754.94793452596</v>
      </c>
      <c r="Z54" s="102">
        <f ca="1">IF(AND(Energy!$F$11=$A$3,Main!$B$43=$A54),Summary!Z31,Z54)</f>
        <v>101870.49574368389</v>
      </c>
      <c r="AA54" s="102">
        <f ca="1">IF(AND(Energy!$F$11=$A$3,Main!$B$43=$A54),Summary!AA31,AA54)</f>
        <v>101870.49574368389</v>
      </c>
      <c r="AB54" s="103">
        <f ca="1">IF(AND(Energy!$F$11=$A$3,Main!$B$43=$A54),Summary!AB31,AB54)</f>
        <v>4.3516483554341781</v>
      </c>
      <c r="AC54" s="103">
        <f ca="1">IF(AND(Energy!$F$11=$A$3,Main!$B$43=$A54),Summary!AC31,AC54)</f>
        <v>2.510076904804615</v>
      </c>
      <c r="AD54" s="103">
        <f ca="1">IF(AND(Energy!$F$11=$A$3,Main!$B$43=$A54),Summary!AD31,AD54)</f>
        <v>0.40408747723381366</v>
      </c>
      <c r="AE54" s="103">
        <f ca="1">IF(AND(Energy!$F$11=$A$3,Main!$B$43=$A54),Summary!AE31,AE54)</f>
        <v>1.3637426900584797</v>
      </c>
      <c r="AF54" s="103">
        <f ca="1">IF(AND(Energy!$F$11=$A$3,Main!$B$43=$A54),Summary!AF31,AF54)</f>
        <v>22.822966507177032</v>
      </c>
      <c r="AG54" s="103">
        <f ca="1">IF(AND(Energy!$F$11=$A$3,Main!$B$43=$A54),Summary!AG31,AG54)</f>
        <v>10.856512554703665</v>
      </c>
      <c r="AH54" s="103">
        <f ca="1">IF(AND(Energy!$F$11=$A$3,Main!$B$43=$A54),Summary!AH31,AH54)</f>
        <v>47</v>
      </c>
      <c r="AI54" s="103">
        <f ca="1">IF(AND(Energy!$F$11=$A$3,Main!$B$43=$A54),Summary!AI31,AI54)</f>
        <v>2.6900094216945805</v>
      </c>
      <c r="AJ54" s="103">
        <f ca="1">IF(AND(Energy!$F$11=$A$3,Main!$B$43=$A54),Summary!AJ31,AJ54)</f>
        <v>0.2355948507806698</v>
      </c>
      <c r="AK54" s="103">
        <f ca="1">IF(AND(Energy!$F$11=$A$3,Main!$B$43=$A54),Summary!AK31,AK54)</f>
        <v>0.01</v>
      </c>
      <c r="AL54" s="103">
        <f ca="1">IF(AND(Energy!$F$11=$A$3,Main!$B$43=$A54),Summary!AL31,AL54)</f>
        <v>-0.53053272783538297</v>
      </c>
      <c r="AM54" s="103">
        <f ca="1">IF(AND(Energy!$F$11=$A$3,Main!$B$43=$A54),Summary!AJ71,AM54)</f>
        <v>0</v>
      </c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</row>
    <row r="55" spans="1:54">
      <c r="A55">
        <f t="shared" si="3"/>
        <v>3</v>
      </c>
      <c r="B55" s="100"/>
      <c r="C55" s="100"/>
      <c r="D55" s="1">
        <f ca="1">IF(AND(Energy!$F$11=$A$3,Main!$B$43=A55),Main!C32,D55)</f>
        <v>5.7368421052631584</v>
      </c>
      <c r="E55" s="103">
        <f ca="1">IF(AND(Energy!$F$11=$A$3,Main!$B$43=A55),Main!B32,E55)</f>
        <v>0.24444444444444446</v>
      </c>
      <c r="F55" s="103">
        <f ca="1">IF(Main!$D$6=1,U55,IF(Main!$D$6=2,N55,IF(Main!$D$6=3,K55,IF(Main!$D$6=4,V55,J55))))</f>
        <v>489.4971773863968</v>
      </c>
      <c r="G55" s="103">
        <f ca="1">IF(AND(Energy!$F$11=$A$3,Main!$B$43=A55),Weight!H32,G55)</f>
        <v>15</v>
      </c>
      <c r="H55" s="103">
        <f ca="1">IF(AND(Energy!$F$11=$A$3,Main!$B$43=A55),Weight!U32,H55)</f>
        <v>16.381912603647955</v>
      </c>
      <c r="I55" s="103">
        <f ca="1">IF(AND(Energy!$F$11=$A$3,Main!$B$43=A55),Weight!V32,I55)</f>
        <v>41.82727575771392</v>
      </c>
      <c r="J55" s="103">
        <f ca="1">IF(AND(Energy!$F$11=$A$3,Main!$B$43=A55),Weight!I32,J55)</f>
        <v>20.507714879065968</v>
      </c>
      <c r="K55" s="103">
        <f ca="1">IF(AND(Energy!$F$11=$A$3,Main!$B$43=A55),Weight!W32,K55)</f>
        <v>56.827283794037797</v>
      </c>
      <c r="L55" s="103">
        <f ca="1">IF(AND(Energy!$F$11=$A$3,Main!$B$43=A55),'Aerodynamics-Cruise'!BI32,L55)</f>
        <v>56.827267651306094</v>
      </c>
      <c r="M55" s="103">
        <f ca="1">IF(AND(Energy!$F$11=$A$3,Main!$B$43=A55),'Aerodynamics-Cruise'!BJ32,M55)</f>
        <v>2.7310137962969789</v>
      </c>
      <c r="N55" s="103">
        <f ca="1">IF(AND(Energy!$F$11=$A$3,Main!$B$43=A55),'Aerodynamics-Cruise'!BK32,N55)</f>
        <v>20.808121778205226</v>
      </c>
      <c r="O55" s="103">
        <f t="shared" ca="1" si="0"/>
        <v>156.85965964922659</v>
      </c>
      <c r="P55" s="103">
        <f ca="1">IF(AND(Energy!$F$11=$A$3,Main!$B$43=A55),'Aerodynamics-Cruise'!H32,P55)</f>
        <v>8.6123658035753117</v>
      </c>
      <c r="Q55" s="103">
        <f ca="1">IF(AND(Energy!$F$11=$A$3,Main!$B$43=A55),'Aerodynamics-Cruise'!I32,Q55)</f>
        <v>7.3542254031721432</v>
      </c>
      <c r="R55" s="103">
        <f ca="1">IF(AND(Energy!$F$11=$A$3,Main!$B$43=$A55),Summary!R32,R55)</f>
        <v>4.3155714966835381</v>
      </c>
      <c r="S55" s="103">
        <f ca="1">IF(AND(Energy!$F$11=$A$3,Main!$B$43=A55),'Aerodynamics-Cruise'!W32,S55)</f>
        <v>1</v>
      </c>
      <c r="T55" s="103">
        <f ca="1">IF(AND(Energy!$F$11=$A$3,Main!$B$43=A55),'Aerodynamics-Cruise'!BL32,T55)</f>
        <v>23.520489828320493</v>
      </c>
      <c r="U55" s="103">
        <f ca="1">IF(AND(Energy!$F$11=$A$3,Main!$B$43=A55),'Propulsion-Cruise'!M32,U55)</f>
        <v>51.232346503693279</v>
      </c>
      <c r="V55" s="103">
        <f ca="1">IF(AND(Energy!$F$11=$A$3,Main!$B$43=A55),Endurance!AP32,V55)</f>
        <v>489.4971773863968</v>
      </c>
      <c r="W55" s="103">
        <f ca="1">IF(AND(Energy!$F$11=$A$3,Main!$B$43=$A55),Summary!W32,W55)</f>
        <v>1.40233918128655</v>
      </c>
      <c r="X55" s="13">
        <f ca="1">IF(AND(Energy!$F$11=$A$3,Main!$B$43=A55),Energy!D32,X55)</f>
        <v>883.81406176767143</v>
      </c>
      <c r="Y55" s="102">
        <f ca="1">IF(AND(Energy!$F$11=$A$3,Main!$B$43=A55),'Aerodynamics-Cruise'!V32,Y55)</f>
        <v>133520.4897331463</v>
      </c>
      <c r="Z55" s="102">
        <f ca="1">IF(AND(Energy!$F$11=$A$3,Main!$B$43=$A55),Summary!Z32,Z55)</f>
        <v>100973.79302179076</v>
      </c>
      <c r="AA55" s="102">
        <f ca="1">IF(AND(Energy!$F$11=$A$3,Main!$B$43=$A55),Summary!AA32,AA55)</f>
        <v>100973.79302179076</v>
      </c>
      <c r="AB55" s="103">
        <f ca="1">IF(AND(Energy!$F$11=$A$3,Main!$B$43=$A55),Summary!AB32,AB55)</f>
        <v>4.3155714966835381</v>
      </c>
      <c r="AC55" s="103">
        <f ca="1">IF(AND(Energy!$F$11=$A$3,Main!$B$43=$A55),Summary!AC32,AC55)</f>
        <v>2.4660313366273399</v>
      </c>
      <c r="AD55" s="103">
        <f ca="1">IF(AND(Energy!$F$11=$A$3,Main!$B$43=$A55),Summary!AD32,AD55)</f>
        <v>0.40300139071407737</v>
      </c>
      <c r="AE55" s="103">
        <f ca="1">IF(AND(Energy!$F$11=$A$3,Main!$B$43=$A55),Summary!AE32,AE55)</f>
        <v>1.40233918128655</v>
      </c>
      <c r="AF55" s="103">
        <f ca="1">IF(AND(Energy!$F$11=$A$3,Main!$B$43=$A55),Summary!AF32,AF55)</f>
        <v>23.4688995215311</v>
      </c>
      <c r="AG55" s="103">
        <f ca="1">IF(AND(Energy!$F$11=$A$3,Main!$B$43=$A55),Summary!AG32,AG55)</f>
        <v>10.872459092322197</v>
      </c>
      <c r="AH55" s="103">
        <f ca="1">IF(AND(Energy!$F$11=$A$3,Main!$B$43=$A55),Summary!AH32,AH55)</f>
        <v>47</v>
      </c>
      <c r="AI55" s="103">
        <f ca="1">IF(AND(Energy!$F$11=$A$3,Main!$B$43=$A55),Summary!AI32,AI55)</f>
        <v>2.6879856365873009</v>
      </c>
      <c r="AJ55" s="103">
        <f ca="1">IF(AND(Energy!$F$11=$A$3,Main!$B$43=$A55),Summary!AJ32,AJ55)</f>
        <v>0.23620775263980381</v>
      </c>
      <c r="AK55" s="103">
        <f ca="1">IF(AND(Energy!$F$11=$A$3,Main!$B$43=$A55),Summary!AK32,AK55)</f>
        <v>0.01</v>
      </c>
      <c r="AL55" s="103">
        <f ca="1">IF(AND(Energy!$F$11=$A$3,Main!$B$43=$A55),Summary!AL32,AL55)</f>
        <v>-0.52915608604409481</v>
      </c>
      <c r="AM55" s="103">
        <f ca="1">IF(AND(Energy!$F$11=$A$3,Main!$B$43=$A55),Summary!AJ72,AM55)</f>
        <v>0</v>
      </c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</row>
    <row r="56" spans="1:54">
      <c r="A56">
        <f t="shared" si="3"/>
        <v>3</v>
      </c>
      <c r="B56" s="100"/>
      <c r="C56" s="100"/>
      <c r="D56" s="1">
        <f ca="1">IF(AND(Energy!$F$11=$A$3,Main!$B$43=A56),Main!C33,D56)</f>
        <v>5.8947368421052637</v>
      </c>
      <c r="E56" s="103">
        <f ca="1">IF(AND(Energy!$F$11=$A$3,Main!$B$43=A56),Main!B33,E56)</f>
        <v>0.24444444444444446</v>
      </c>
      <c r="F56" s="103">
        <f ca="1">IF(Main!$D$6=1,U56,IF(Main!$D$6=2,N56,IF(Main!$D$6=3,K56,IF(Main!$D$6=4,V56,J56))))</f>
        <v>491.21615322669425</v>
      </c>
      <c r="G56" s="103">
        <f ca="1">IF(AND(Energy!$F$11=$A$3,Main!$B$43=A56),Weight!H33,G56)</f>
        <v>15</v>
      </c>
      <c r="H56" s="103">
        <f ca="1">IF(AND(Energy!$F$11=$A$3,Main!$B$43=A56),Weight!U33,H56)</f>
        <v>16.882153194319933</v>
      </c>
      <c r="I56" s="103">
        <f ca="1">IF(AND(Energy!$F$11=$A$3,Main!$B$43=A56),Weight!V33,I56)</f>
        <v>42.399533929265758</v>
      </c>
      <c r="J56" s="103">
        <f ca="1">IF(AND(Energy!$F$11=$A$3,Main!$B$43=A56),Weight!I33,J56)</f>
        <v>20.579732459945824</v>
      </c>
      <c r="K56" s="103">
        <f ca="1">IF(AND(Energy!$F$11=$A$3,Main!$B$43=A56),Weight!W33,K56)</f>
        <v>57.399541858434311</v>
      </c>
      <c r="L56" s="103">
        <f ca="1">IF(AND(Energy!$F$11=$A$3,Main!$B$43=A56),'Aerodynamics-Cruise'!BI33,L56)</f>
        <v>57.399525929793541</v>
      </c>
      <c r="M56" s="103">
        <f ca="1">IF(AND(Energy!$F$11=$A$3,Main!$B$43=A56),'Aerodynamics-Cruise'!BJ33,M56)</f>
        <v>2.7515440918166369</v>
      </c>
      <c r="N56" s="103">
        <f ca="1">IF(AND(Energy!$F$11=$A$3,Main!$B$43=A56),'Aerodynamics-Cruise'!BK33,N56)</f>
        <v>20.860841772627008</v>
      </c>
      <c r="O56" s="103">
        <f t="shared" ca="1" si="0"/>
        <v>158.04689998156547</v>
      </c>
      <c r="P56" s="103">
        <f ca="1">IF(AND(Energy!$F$11=$A$3,Main!$B$43=A56),'Aerodynamics-Cruise'!H33,P56)</f>
        <v>8.5388895737887527</v>
      </c>
      <c r="Q56" s="103">
        <f ca="1">IF(AND(Energy!$F$11=$A$3,Main!$B$43=A56),'Aerodynamics-Cruise'!I33,Q56)</f>
        <v>7.2940378119844604</v>
      </c>
      <c r="R56" s="103">
        <f ca="1">IF(AND(Energy!$F$11=$A$3,Main!$B$43=$A56),Summary!R33,R56)</f>
        <v>4.287463982309605</v>
      </c>
      <c r="S56" s="103">
        <f ca="1">IF(AND(Energy!$F$11=$A$3,Main!$B$43=A56),'Aerodynamics-Cruise'!W33,S56)</f>
        <v>1</v>
      </c>
      <c r="T56" s="103">
        <f ca="1">IF(AND(Energy!$F$11=$A$3,Main!$B$43=A56),'Aerodynamics-Cruise'!BL33,T56)</f>
        <v>23.495131157433125</v>
      </c>
      <c r="U56" s="103">
        <f ca="1">IF(AND(Energy!$F$11=$A$3,Main!$B$43=A56),'Propulsion-Cruise'!M33,U56)</f>
        <v>51.306894295051237</v>
      </c>
      <c r="V56" s="103">
        <f ca="1">IF(AND(Energy!$F$11=$A$3,Main!$B$43=A56),Endurance!AP33,V56)</f>
        <v>491.21615322669425</v>
      </c>
      <c r="W56" s="103">
        <f ca="1">IF(AND(Energy!$F$11=$A$3,Main!$B$43=$A56),Summary!W33,W56)</f>
        <v>1.4409356725146201</v>
      </c>
      <c r="X56" s="13">
        <f ca="1">IF(AND(Energy!$F$11=$A$3,Main!$B$43=A56),Energy!D33,X56)</f>
        <v>886.91777312890474</v>
      </c>
      <c r="Y56" s="102">
        <f ca="1">IF(AND(Energy!$F$11=$A$3,Main!$B$43=A56),'Aerodynamics-Cruise'!V33,Y56)</f>
        <v>132381.36229608671</v>
      </c>
      <c r="Z56" s="102">
        <f ca="1">IF(AND(Energy!$F$11=$A$3,Main!$B$43=$A56),Summary!Z33,Z56)</f>
        <v>100146.04632528446</v>
      </c>
      <c r="AA56" s="102">
        <f ca="1">IF(AND(Energy!$F$11=$A$3,Main!$B$43=$A56),Summary!AA33,AA56)</f>
        <v>100146.04632528446</v>
      </c>
      <c r="AB56" s="103">
        <f ca="1">IF(AND(Energy!$F$11=$A$3,Main!$B$43=$A56),Summary!AB33,AB56)</f>
        <v>4.287463982309605</v>
      </c>
      <c r="AC56" s="103">
        <f ca="1">IF(AND(Energy!$F$11=$A$3,Main!$B$43=$A56),Summary!AC33,AC56)</f>
        <v>2.4223849200472176</v>
      </c>
      <c r="AD56" s="103">
        <f ca="1">IF(AND(Energy!$F$11=$A$3,Main!$B$43=$A56),Summary!AD33,AD56)</f>
        <v>0.40213900792807727</v>
      </c>
      <c r="AE56" s="103">
        <f ca="1">IF(AND(Energy!$F$11=$A$3,Main!$B$43=$A56),Summary!AE33,AE56)</f>
        <v>1.4409356725146201</v>
      </c>
      <c r="AF56" s="103">
        <f ca="1">IF(AND(Energy!$F$11=$A$3,Main!$B$43=$A56),Summary!AF33,AF56)</f>
        <v>24.114832535885171</v>
      </c>
      <c r="AG56" s="103">
        <f ca="1">IF(AND(Energy!$F$11=$A$3,Main!$B$43=$A56),Summary!AG33,AG56)</f>
        <v>10.894982861798614</v>
      </c>
      <c r="AH56" s="103">
        <f ca="1">IF(AND(Energy!$F$11=$A$3,Main!$B$43=$A56),Summary!AH33,AH56)</f>
        <v>47</v>
      </c>
      <c r="AI56" s="103">
        <f ca="1">IF(AND(Energy!$F$11=$A$3,Main!$B$43=$A56),Summary!AI33,AI56)</f>
        <v>2.6861029843553292</v>
      </c>
      <c r="AJ56" s="103">
        <f ca="1">IF(AND(Energy!$F$11=$A$3,Main!$B$43=$A56),Summary!AJ33,AJ56)</f>
        <v>0.23678230278094739</v>
      </c>
      <c r="AK56" s="103">
        <f ca="1">IF(AND(Energy!$F$11=$A$3,Main!$B$43=$A56),Summary!AK33,AK56)</f>
        <v>0.01</v>
      </c>
      <c r="AL56" s="103">
        <f ca="1">IF(AND(Energy!$F$11=$A$3,Main!$B$43=$A56),Summary!AL33,AL56)</f>
        <v>-0.52787205508248936</v>
      </c>
      <c r="AM56" s="103">
        <f ca="1">IF(AND(Energy!$F$11=$A$3,Main!$B$43=$A56),Summary!AJ73,AM56)</f>
        <v>0</v>
      </c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</row>
    <row r="57" spans="1:54">
      <c r="A57">
        <f t="shared" si="3"/>
        <v>3</v>
      </c>
      <c r="B57" s="100"/>
      <c r="C57" s="100"/>
      <c r="D57" s="1">
        <f ca="1">IF(AND(Energy!$F$11=$A$3,Main!$B$43=A57),Main!C34,D57)</f>
        <v>6.052631578947369</v>
      </c>
      <c r="E57" s="103">
        <f ca="1">IF(AND(Energy!$F$11=$A$3,Main!$B$43=A57),Main!B34,E57)</f>
        <v>0.24444444444444446</v>
      </c>
      <c r="F57" s="103">
        <f ca="1">IF(Main!$D$6=1,U57,IF(Main!$D$6=2,N57,IF(Main!$D$6=3,K57,IF(Main!$D$6=4,V57,J57))))</f>
        <v>493.411426689949</v>
      </c>
      <c r="G57" s="103">
        <f ca="1">IF(AND(Energy!$F$11=$A$3,Main!$B$43=A57),Weight!H34,G57)</f>
        <v>15</v>
      </c>
      <c r="H57" s="103">
        <f ca="1">IF(AND(Energy!$F$11=$A$3,Main!$B$43=A57),Weight!U34,H57)</f>
        <v>17.39518951913535</v>
      </c>
      <c r="I57" s="103">
        <f ca="1">IF(AND(Energy!$F$11=$A$3,Main!$B$43=A57),Weight!V34,I57)</f>
        <v>43.004542519092574</v>
      </c>
      <c r="J57" s="103">
        <f ca="1">IF(AND(Energy!$F$11=$A$3,Main!$B$43=A57),Weight!I34,J57)</f>
        <v>20.671704724957223</v>
      </c>
      <c r="K57" s="103">
        <f ca="1">IF(AND(Energy!$F$11=$A$3,Main!$B$43=A57),Weight!W34,K57)</f>
        <v>58.004550365412221</v>
      </c>
      <c r="L57" s="103">
        <f ca="1">IF(AND(Energy!$F$11=$A$3,Main!$B$43=A57),'Aerodynamics-Cruise'!BI34,L57)</f>
        <v>58.004534602111413</v>
      </c>
      <c r="M57" s="103">
        <f ca="1">IF(AND(Energy!$F$11=$A$3,Main!$B$43=A57),'Aerodynamics-Cruise'!BJ34,M57)</f>
        <v>2.7737416701735294</v>
      </c>
      <c r="N57" s="103">
        <f ca="1">IF(AND(Energy!$F$11=$A$3,Main!$B$43=A57),'Aerodynamics-Cruise'!BK34,N57)</f>
        <v>20.912017591920364</v>
      </c>
      <c r="O57" s="103">
        <f t="shared" ca="1" si="0"/>
        <v>159.26740678635957</v>
      </c>
      <c r="P57" s="103">
        <f ca="1">IF(AND(Energy!$F$11=$A$3,Main!$B$43=A57),'Aerodynamics-Cruise'!H34,P57)</f>
        <v>8.4710514262717034</v>
      </c>
      <c r="Q57" s="103">
        <f ca="1">IF(AND(Energy!$F$11=$A$3,Main!$B$43=A57),'Aerodynamics-Cruise'!I34,Q57)</f>
        <v>7.238449674480905</v>
      </c>
      <c r="R57" s="103">
        <f ca="1">IF(AND(Energy!$F$11=$A$3,Main!$B$43=$A57),Summary!R34,R57)</f>
        <v>4.2666031613277502</v>
      </c>
      <c r="S57" s="103">
        <f ca="1">IF(AND(Energy!$F$11=$A$3,Main!$B$43=A57),'Aerodynamics-Cruise'!W34,S57)</f>
        <v>1</v>
      </c>
      <c r="T57" s="103">
        <f ca="1">IF(AND(Energy!$F$11=$A$3,Main!$B$43=A57),'Aerodynamics-Cruise'!BL34,T57)</f>
        <v>23.496508331232732</v>
      </c>
      <c r="U57" s="103">
        <f ca="1">IF(AND(Energy!$F$11=$A$3,Main!$B$43=A57),'Propulsion-Cruise'!M34,U57)</f>
        <v>51.432963255282985</v>
      </c>
      <c r="V57" s="103">
        <f ca="1">IF(AND(Energy!$F$11=$A$3,Main!$B$43=A57),Endurance!AP34,V57)</f>
        <v>493.411426689949</v>
      </c>
      <c r="W57" s="103">
        <f ca="1">IF(AND(Energy!$F$11=$A$3,Main!$B$43=$A57),Summary!W34,W57)</f>
        <v>1.4795321637426904</v>
      </c>
      <c r="X57" s="13">
        <f ca="1">IF(AND(Energy!$F$11=$A$3,Main!$B$43=A57),Energy!D34,X57)</f>
        <v>890.88146540337436</v>
      </c>
      <c r="Y57" s="102">
        <f ca="1">IF(AND(Energy!$F$11=$A$3,Main!$B$43=A57),'Aerodynamics-Cruise'!V34,Y57)</f>
        <v>131329.64400106194</v>
      </c>
      <c r="Z57" s="102">
        <f ca="1">IF(AND(Energy!$F$11=$A$3,Main!$B$43=$A57),Summary!Z34,Z57)</f>
        <v>99381.565073599311</v>
      </c>
      <c r="AA57" s="102">
        <f ca="1">IF(AND(Energy!$F$11=$A$3,Main!$B$43=$A57),Summary!AA34,AA57)</f>
        <v>99381.565073599311</v>
      </c>
      <c r="AB57" s="103">
        <f ca="1">IF(AND(Energy!$F$11=$A$3,Main!$B$43=$A57),Summary!AB34,AB57)</f>
        <v>4.2666031613277502</v>
      </c>
      <c r="AC57" s="103">
        <f ca="1">IF(AND(Energy!$F$11=$A$3,Main!$B$43=$A57),Summary!AC34,AC57)</f>
        <v>2.3792061775035922</v>
      </c>
      <c r="AD57" s="103">
        <f ca="1">IF(AND(Energy!$F$11=$A$3,Main!$B$43=$A57),Summary!AD34,AD57)</f>
        <v>0.40148153257716251</v>
      </c>
      <c r="AE57" s="103">
        <f ca="1">IF(AND(Energy!$F$11=$A$3,Main!$B$43=$A57),Summary!AE34,AE57)</f>
        <v>1.4795321637426904</v>
      </c>
      <c r="AF57" s="103">
        <f ca="1">IF(AND(Energy!$F$11=$A$3,Main!$B$43=$A57),Summary!AF34,AF57)</f>
        <v>24.760765550239235</v>
      </c>
      <c r="AG57" s="103">
        <f ca="1">IF(AND(Energy!$F$11=$A$3,Main!$B$43=$A57),Summary!AG34,AG57)</f>
        <v>10.923523403813636</v>
      </c>
      <c r="AH57" s="103">
        <f ca="1">IF(AND(Energy!$F$11=$A$3,Main!$B$43=$A57),Summary!AH34,AH57)</f>
        <v>47</v>
      </c>
      <c r="AI57" s="103">
        <f ca="1">IF(AND(Energy!$F$11=$A$3,Main!$B$43=$A57),Summary!AI34,AI57)</f>
        <v>2.684351647302389</v>
      </c>
      <c r="AJ57" s="103">
        <f ca="1">IF(AND(Energy!$F$11=$A$3,Main!$B$43=$A57),Summary!AJ34,AJ57)</f>
        <v>0.23732107402871086</v>
      </c>
      <c r="AK57" s="103">
        <f ca="1">IF(AND(Energy!$F$11=$A$3,Main!$B$43=$A57),Summary!AK34,AK57)</f>
        <v>0.01</v>
      </c>
      <c r="AL57" s="103">
        <f ca="1">IF(AND(Energy!$F$11=$A$3,Main!$B$43=$A57),Summary!AL34,AL57)</f>
        <v>-0.52667363007225776</v>
      </c>
      <c r="AM57" s="103">
        <f ca="1">IF(AND(Energy!$F$11=$A$3,Main!$B$43=$A57),Summary!AJ74,AM57)</f>
        <v>0</v>
      </c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</row>
    <row r="58" spans="1:54">
      <c r="A58">
        <f t="shared" si="3"/>
        <v>3</v>
      </c>
      <c r="B58" s="100"/>
      <c r="C58" s="100"/>
      <c r="D58" s="1">
        <f ca="1">IF(AND(Energy!$F$11=$A$3,Main!$B$43=A58),Main!C35,D58)</f>
        <v>6.2105263157894743</v>
      </c>
      <c r="E58" s="103">
        <f ca="1">IF(AND(Energy!$F$11=$A$3,Main!$B$43=A58),Main!B35,E58)</f>
        <v>0.24444444444444446</v>
      </c>
      <c r="F58" s="103">
        <f ca="1">IF(Main!$D$6=1,U58,IF(Main!$D$6=2,N58,IF(Main!$D$6=3,K58,IF(Main!$D$6=4,V58,J58))))</f>
        <v>496.04751230979338</v>
      </c>
      <c r="G58" s="103">
        <f ca="1">IF(AND(Energy!$F$11=$A$3,Main!$B$43=A58),Weight!H35,G58)</f>
        <v>15</v>
      </c>
      <c r="H58" s="103">
        <f ca="1">IF(AND(Energy!$F$11=$A$3,Main!$B$43=A58),Weight!U35,H58)</f>
        <v>17.921046801116461</v>
      </c>
      <c r="I58" s="103">
        <f ca="1">IF(AND(Energy!$F$11=$A$3,Main!$B$43=A58),Weight!V35,I58)</f>
        <v>43.640840073185132</v>
      </c>
      <c r="J58" s="103">
        <f ca="1">IF(AND(Energy!$F$11=$A$3,Main!$B$43=A58),Weight!I35,J58)</f>
        <v>20.782144997068666</v>
      </c>
      <c r="K58" s="103">
        <f ca="1">IF(AND(Energy!$F$11=$A$3,Main!$B$43=A58),Weight!W35,K58)</f>
        <v>58.640847858628575</v>
      </c>
      <c r="L58" s="103">
        <f ca="1">IF(AND(Energy!$F$11=$A$3,Main!$B$43=A58),'Aerodynamics-Cruise'!BI35,L58)</f>
        <v>58.640832216605148</v>
      </c>
      <c r="M58" s="103">
        <f ca="1">IF(AND(Energy!$F$11=$A$3,Main!$B$43=A58),'Aerodynamics-Cruise'!BJ35,M58)</f>
        <v>2.797483220711003</v>
      </c>
      <c r="N58" s="103">
        <f ca="1">IF(AND(Energy!$F$11=$A$3,Main!$B$43=A58),'Aerodynamics-Cruise'!BK35,N58)</f>
        <v>20.961996047898047</v>
      </c>
      <c r="O58" s="103">
        <f t="shared" ca="1" si="0"/>
        <v>160.52131073658143</v>
      </c>
      <c r="P58" s="103">
        <f ca="1">IF(AND(Energy!$F$11=$A$3,Main!$B$43=A58),'Aerodynamics-Cruise'!H35,P58)</f>
        <v>8.4084008602174833</v>
      </c>
      <c r="Q58" s="103">
        <f ca="1">IF(AND(Energy!$F$11=$A$3,Main!$B$43=A58),'Aerodynamics-Cruise'!I35,Q58)</f>
        <v>7.1870960976835221</v>
      </c>
      <c r="R58" s="103">
        <f ca="1">IF(AND(Energy!$F$11=$A$3,Main!$B$43=$A58),Summary!R35,R58)</f>
        <v>4.2523791995134284</v>
      </c>
      <c r="S58" s="103">
        <f ca="1">IF(AND(Energy!$F$11=$A$3,Main!$B$43=A58),'Aerodynamics-Cruise'!W35,S58)</f>
        <v>1</v>
      </c>
      <c r="T58" s="103">
        <f ca="1">IF(AND(Energy!$F$11=$A$3,Main!$B$43=A58),'Aerodynamics-Cruise'!BL35,T58)</f>
        <v>23.522360319470373</v>
      </c>
      <c r="U58" s="103">
        <f ca="1">IF(AND(Energy!$F$11=$A$3,Main!$B$43=A58),'Propulsion-Cruise'!M35,U58)</f>
        <v>51.606490117169926</v>
      </c>
      <c r="V58" s="103">
        <f ca="1">IF(AND(Energy!$F$11=$A$3,Main!$B$43=A58),Endurance!AP35,V58)</f>
        <v>496.04751230979338</v>
      </c>
      <c r="W58" s="103">
        <f ca="1">IF(AND(Energy!$F$11=$A$3,Main!$B$43=$A58),Summary!W35,W58)</f>
        <v>1.5181286549707604</v>
      </c>
      <c r="X58" s="13">
        <f ca="1">IF(AND(Energy!$F$11=$A$3,Main!$B$43=A58),Energy!D35,X58)</f>
        <v>895.64106770171043</v>
      </c>
      <c r="Y58" s="102">
        <f ca="1">IF(AND(Energy!$F$11=$A$3,Main!$B$43=A58),'Aerodynamics-Cruise'!V35,Y58)</f>
        <v>130358.35057804621</v>
      </c>
      <c r="Z58" s="102">
        <f ca="1">IF(AND(Energy!$F$11=$A$3,Main!$B$43=$A58),Summary!Z35,Z58)</f>
        <v>98675.32875797381</v>
      </c>
      <c r="AA58" s="102">
        <f ca="1">IF(AND(Energy!$F$11=$A$3,Main!$B$43=$A58),Summary!AA35,AA58)</f>
        <v>98675.32875797381</v>
      </c>
      <c r="AB58" s="103">
        <f ca="1">IF(AND(Energy!$F$11=$A$3,Main!$B$43=$A58),Summary!AB35,AB58)</f>
        <v>4.2523791995134284</v>
      </c>
      <c r="AC58" s="103">
        <f ca="1">IF(AND(Energy!$F$11=$A$3,Main!$B$43=$A58),Summary!AC35,AC58)</f>
        <v>2.3365485068318383</v>
      </c>
      <c r="AD58" s="103">
        <f ca="1">IF(AND(Energy!$F$11=$A$3,Main!$B$43=$A58),Summary!AD35,AD58)</f>
        <v>0.40101247988476407</v>
      </c>
      <c r="AE58" s="103">
        <f ca="1">IF(AND(Energy!$F$11=$A$3,Main!$B$43=$A58),Summary!AE35,AE58)</f>
        <v>1.5181286549707604</v>
      </c>
      <c r="AF58" s="103">
        <f ca="1">IF(AND(Energy!$F$11=$A$3,Main!$B$43=$A58),Summary!AF35,AF58)</f>
        <v>25.406698564593306</v>
      </c>
      <c r="AG58" s="103">
        <f ca="1">IF(AND(Energy!$F$11=$A$3,Main!$B$43=$A58),Summary!AG35,AG58)</f>
        <v>10.957597333146087</v>
      </c>
      <c r="AH58" s="103">
        <f ca="1">IF(AND(Energy!$F$11=$A$3,Main!$B$43=$A58),Summary!AH35,AH58)</f>
        <v>47</v>
      </c>
      <c r="AI58" s="103">
        <f ca="1">IF(AND(Energy!$F$11=$A$3,Main!$B$43=$A58),Summary!AI35,AI58)</f>
        <v>2.68272282982536</v>
      </c>
      <c r="AJ58" s="103">
        <f ca="1">IF(AND(Energy!$F$11=$A$3,Main!$B$43=$A58),Summary!AJ35,AJ58)</f>
        <v>0.23782639049889867</v>
      </c>
      <c r="AK58" s="103">
        <f ca="1">IF(AND(Energy!$F$11=$A$3,Main!$B$43=$A58),Summary!AK35,AK58)</f>
        <v>0.01</v>
      </c>
      <c r="AL58" s="103">
        <f ca="1">IF(AND(Energy!$F$11=$A$3,Main!$B$43=$A58),Summary!AL35,AL58)</f>
        <v>-0.5255545524482611</v>
      </c>
      <c r="AM58" s="103">
        <f ca="1">IF(AND(Energy!$F$11=$A$3,Main!$B$43=$A58),Summary!AJ75,AM58)</f>
        <v>0</v>
      </c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</row>
    <row r="59" spans="1:54">
      <c r="A59">
        <f t="shared" si="3"/>
        <v>3</v>
      </c>
      <c r="B59" s="100"/>
      <c r="C59" s="100"/>
      <c r="D59" s="1">
        <f ca="1">IF(AND(Energy!$F$11=$A$3,Main!$B$43=A59),Main!C36,D59)</f>
        <v>6.3684210526315796</v>
      </c>
      <c r="E59" s="103">
        <f ca="1">IF(AND(Energy!$F$11=$A$3,Main!$B$43=A59),Main!B36,E59)</f>
        <v>0.24444444444444446</v>
      </c>
      <c r="F59" s="103">
        <f ca="1">IF(Main!$D$6=1,U59,IF(Main!$D$6=2,N59,IF(Main!$D$6=3,K59,IF(Main!$D$6=4,V59,J59))))</f>
        <v>499.09406574423826</v>
      </c>
      <c r="G59" s="103">
        <f ca="1">IF(AND(Energy!$F$11=$A$3,Main!$B$43=A59),Weight!H36,G59)</f>
        <v>15</v>
      </c>
      <c r="H59" s="103">
        <f ca="1">IF(AND(Energy!$F$11=$A$3,Main!$B$43=A59),Weight!U36,H59)</f>
        <v>18.459769571222459</v>
      </c>
      <c r="I59" s="103">
        <f ca="1">IF(AND(Energy!$F$11=$A$3,Main!$B$43=A59),Weight!V36,I59)</f>
        <v>44.307199834726106</v>
      </c>
      <c r="J59" s="103">
        <f ca="1">IF(AND(Energy!$F$11=$A$3,Main!$B$43=A59),Weight!I36,J59)</f>
        <v>20.909781988503649</v>
      </c>
      <c r="K59" s="103">
        <f ca="1">IF(AND(Energy!$F$11=$A$3,Main!$B$43=A59),Weight!W36,K59)</f>
        <v>59.307207579328995</v>
      </c>
      <c r="L59" s="103">
        <f ca="1">IF(AND(Energy!$F$11=$A$3,Main!$B$43=A59),'Aerodynamics-Cruise'!BI36,L59)</f>
        <v>59.307192018412088</v>
      </c>
      <c r="M59" s="103">
        <f ca="1">IF(AND(Energy!$F$11=$A$3,Main!$B$43=A59),'Aerodynamics-Cruise'!BJ36,M59)</f>
        <v>2.8226620395034074</v>
      </c>
      <c r="N59" s="103">
        <f ca="1">IF(AND(Energy!$F$11=$A$3,Main!$B$43=A59),'Aerodynamics-Cruise'!BK36,N59)</f>
        <v>21.011084992961479</v>
      </c>
      <c r="O59" s="103">
        <f t="shared" ca="1" si="0"/>
        <v>161.8088087820604</v>
      </c>
      <c r="P59" s="103">
        <f ca="1">IF(AND(Energy!$F$11=$A$3,Main!$B$43=A59),'Aerodynamics-Cruise'!H36,P59)</f>
        <v>8.3505387611358337</v>
      </c>
      <c r="Q59" s="103">
        <f ca="1">IF(AND(Energy!$F$11=$A$3,Main!$B$43=A59),'Aerodynamics-Cruise'!I36,Q59)</f>
        <v>7.1396535939792987</v>
      </c>
      <c r="R59" s="103">
        <f ca="1">IF(AND(Energy!$F$11=$A$3,Main!$B$43=$A59),Summary!R36,R59)</f>
        <v>4.244275186895317</v>
      </c>
      <c r="S59" s="103">
        <f ca="1">IF(AND(Energy!$F$11=$A$3,Main!$B$43=A59),'Aerodynamics-Cruise'!W36,S59)</f>
        <v>1</v>
      </c>
      <c r="T59" s="103">
        <f ca="1">IF(AND(Energy!$F$11=$A$3,Main!$B$43=A59),'Aerodynamics-Cruise'!BL36,T59)</f>
        <v>23.570748770459929</v>
      </c>
      <c r="U59" s="103">
        <f ca="1">IF(AND(Energy!$F$11=$A$3,Main!$B$43=A59),'Propulsion-Cruise'!M36,U59)</f>
        <v>51.823992730538826</v>
      </c>
      <c r="V59" s="103">
        <f ca="1">IF(AND(Energy!$F$11=$A$3,Main!$B$43=A59),Endurance!AP36,V59)</f>
        <v>499.09406574423826</v>
      </c>
      <c r="W59" s="103">
        <f ca="1">IF(AND(Energy!$F$11=$A$3,Main!$B$43=$A59),Summary!W36,W59)</f>
        <v>1.5567251461988307</v>
      </c>
      <c r="X59" s="13">
        <f ca="1">IF(AND(Energy!$F$11=$A$3,Main!$B$43=A59),Energy!D36,X59)</f>
        <v>901.14179170492287</v>
      </c>
      <c r="Y59" s="102">
        <f ca="1">IF(AND(Energy!$F$11=$A$3,Main!$B$43=A59),'Aerodynamics-Cruise'!V36,Y59)</f>
        <v>129461.29441687357</v>
      </c>
      <c r="Z59" s="102">
        <f ca="1">IF(AND(Energy!$F$11=$A$3,Main!$B$43=$A59),Summary!Z36,Z59)</f>
        <v>98022.886676479786</v>
      </c>
      <c r="AA59" s="102">
        <f ca="1">IF(AND(Energy!$F$11=$A$3,Main!$B$43=$A59),Summary!AA36,AA59)</f>
        <v>98022.886676479786</v>
      </c>
      <c r="AB59" s="103">
        <f ca="1">IF(AND(Energy!$F$11=$A$3,Main!$B$43=$A59),Summary!AB36,AB59)</f>
        <v>4.244275186895317</v>
      </c>
      <c r="AC59" s="103">
        <f ca="1">IF(AND(Energy!$F$11=$A$3,Main!$B$43=$A59),Summary!AC36,AC59)</f>
        <v>2.2944530999997923</v>
      </c>
      <c r="AD59" s="103">
        <f ca="1">IF(AND(Energy!$F$11=$A$3,Main!$B$43=$A59),Summary!AD36,AD59)</f>
        <v>0.40071732235098262</v>
      </c>
      <c r="AE59" s="103">
        <f ca="1">IF(AND(Energy!$F$11=$A$3,Main!$B$43=$A59),Summary!AE36,AE59)</f>
        <v>1.5567251461988307</v>
      </c>
      <c r="AF59" s="103">
        <f ca="1">IF(AND(Energy!$F$11=$A$3,Main!$B$43=$A59),Summary!AF36,AF59)</f>
        <v>26.05263157894737</v>
      </c>
      <c r="AG59" s="103">
        <f ca="1">IF(AND(Energy!$F$11=$A$3,Main!$B$43=$A59),Summary!AG36,AG59)</f>
        <v>10.996785669429777</v>
      </c>
      <c r="AH59" s="103">
        <f ca="1">IF(AND(Energy!$F$11=$A$3,Main!$B$43=$A59),Summary!AH36,AH59)</f>
        <v>47</v>
      </c>
      <c r="AI59" s="103">
        <f ca="1">IF(AND(Energy!$F$11=$A$3,Main!$B$43=$A59),Summary!AI36,AI59)</f>
        <v>2.6812086157751041</v>
      </c>
      <c r="AJ59" s="103">
        <f ca="1">IF(AND(Energy!$F$11=$A$3,Main!$B$43=$A59),Summary!AJ36,AJ59)</f>
        <v>0.23830035931281535</v>
      </c>
      <c r="AK59" s="103">
        <f ca="1">IF(AND(Energy!$F$11=$A$3,Main!$B$43=$A59),Summary!AK36,AK59)</f>
        <v>0.01</v>
      </c>
      <c r="AL59" s="103">
        <f ca="1">IF(AND(Energy!$F$11=$A$3,Main!$B$43=$A59),Summary!AL36,AL59)</f>
        <v>-0.52450920825978853</v>
      </c>
      <c r="AM59" s="103">
        <f ca="1">IF(AND(Energy!$F$11=$A$3,Main!$B$43=$A59),Summary!AJ76,AM59)</f>
        <v>0</v>
      </c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</row>
    <row r="60" spans="1:54">
      <c r="A60">
        <f t="shared" si="3"/>
        <v>3</v>
      </c>
      <c r="B60" s="100"/>
      <c r="C60" s="100"/>
      <c r="D60" s="1">
        <f ca="1">IF(AND(Energy!$F$11=$A$3,Main!$B$43=A60),Main!C37,D60)</f>
        <v>6.526315789473685</v>
      </c>
      <c r="E60" s="103">
        <f ca="1">IF(AND(Energy!$F$11=$A$3,Main!$B$43=A60),Main!B37,E60)</f>
        <v>0.24444444444444446</v>
      </c>
      <c r="F60" s="103">
        <f ca="1">IF(Main!$D$6=1,U60,IF(Main!$D$6=2,N60,IF(Main!$D$6=3,K60,IF(Main!$D$6=4,V60,J60))))</f>
        <v>502.52503885720319</v>
      </c>
      <c r="G60" s="103">
        <f ca="1">IF(AND(Energy!$F$11=$A$3,Main!$B$43=A60),Weight!H37,G60)</f>
        <v>15</v>
      </c>
      <c r="H60" s="103">
        <f ca="1">IF(AND(Energy!$F$11=$A$3,Main!$B$43=A60),Weight!U37,H60)</f>
        <v>19.011418882356637</v>
      </c>
      <c r="I60" s="103">
        <f ca="1">IF(AND(Energy!$F$11=$A$3,Main!$B$43=A60),Weight!V37,I60)</f>
        <v>45.002591559965509</v>
      </c>
      <c r="J60" s="103">
        <f ca="1">IF(AND(Energy!$F$11=$A$3,Main!$B$43=A60),Weight!I37,J60)</f>
        <v>21.053524402608875</v>
      </c>
      <c r="K60" s="103">
        <f ca="1">IF(AND(Energy!$F$11=$A$3,Main!$B$43=A60),Weight!W37,K60)</f>
        <v>60.002599282140288</v>
      </c>
      <c r="L60" s="103">
        <f ca="1">IF(AND(Energy!$F$11=$A$3,Main!$B$43=A60),'Aerodynamics-Cruise'!BI37,L60)</f>
        <v>60.002583765420127</v>
      </c>
      <c r="M60" s="103">
        <f ca="1">IF(AND(Energy!$F$11=$A$3,Main!$B$43=A60),'Aerodynamics-Cruise'!BJ37,M60)</f>
        <v>2.8491853996556524</v>
      </c>
      <c r="N60" s="103">
        <f ca="1">IF(AND(Energy!$F$11=$A$3,Main!$B$43=A60),'Aerodynamics-Cruise'!BK37,N60)</f>
        <v>21.059557504636917</v>
      </c>
      <c r="O60" s="103">
        <f t="shared" ca="1" si="0"/>
        <v>163.13014329133571</v>
      </c>
      <c r="P60" s="103">
        <f ca="1">IF(AND(Energy!$F$11=$A$3,Main!$B$43=A60),'Aerodynamics-Cruise'!H37,P60)</f>
        <v>8.2971099593123139</v>
      </c>
      <c r="Q60" s="103">
        <f ca="1">IF(AND(Energy!$F$11=$A$3,Main!$B$43=A60),'Aerodynamics-Cruise'!I37,Q60)</f>
        <v>7.0958341046073601</v>
      </c>
      <c r="R60" s="103">
        <f ca="1">IF(AND(Energy!$F$11=$A$3,Main!$B$43=$A60),Summary!R37,R60)</f>
        <v>4.2418513638403104</v>
      </c>
      <c r="S60" s="103">
        <f ca="1">IF(AND(Energy!$F$11=$A$3,Main!$B$43=A60),'Aerodynamics-Cruise'!W37,S60)</f>
        <v>1</v>
      </c>
      <c r="T60" s="103">
        <f ca="1">IF(AND(Energy!$F$11=$A$3,Main!$B$43=A60),'Aerodynamics-Cruise'!BL37,T60)</f>
        <v>23.640004555410147</v>
      </c>
      <c r="U60" s="103">
        <f ca="1">IF(AND(Energy!$F$11=$A$3,Main!$B$43=A60),'Propulsion-Cruise'!M37,U60)</f>
        <v>52.082474422923703</v>
      </c>
      <c r="V60" s="103">
        <f ca="1">IF(AND(Energy!$F$11=$A$3,Main!$B$43=A60),Endurance!AP37,V60)</f>
        <v>502.52503885720319</v>
      </c>
      <c r="W60" s="103">
        <f ca="1">IF(AND(Energy!$F$11=$A$3,Main!$B$43=$A60),Summary!W37,W60)</f>
        <v>1.5953216374269008</v>
      </c>
      <c r="X60" s="13">
        <f ca="1">IF(AND(Energy!$F$11=$A$3,Main!$B$43=A60),Energy!D37,X60)</f>
        <v>907.33660612035305</v>
      </c>
      <c r="Y60" s="102">
        <f ca="1">IF(AND(Energy!$F$11=$A$3,Main!$B$43=A60),'Aerodynamics-Cruise'!V37,Y60)</f>
        <v>128632.96919845681</v>
      </c>
      <c r="Z60" s="102">
        <f ca="1">IF(AND(Energy!$F$11=$A$3,Main!$B$43=$A60),Summary!Z37,Z60)</f>
        <v>97420.275676690057</v>
      </c>
      <c r="AA60" s="102">
        <f ca="1">IF(AND(Energy!$F$11=$A$3,Main!$B$43=$A60),Summary!AA37,AA60)</f>
        <v>97420.275676690057</v>
      </c>
      <c r="AB60" s="103">
        <f ca="1">IF(AND(Energy!$F$11=$A$3,Main!$B$43=$A60),Summary!AB37,AB60)</f>
        <v>4.2418513638403104</v>
      </c>
      <c r="AC60" s="103">
        <f ca="1">IF(AND(Energy!$F$11=$A$3,Main!$B$43=$A60),Summary!AC37,AC60)</f>
        <v>2.2529512722707166</v>
      </c>
      <c r="AD60" s="103">
        <f ca="1">IF(AND(Energy!$F$11=$A$3,Main!$B$43=$A60),Summary!AD37,AD60)</f>
        <v>0.4005832000906272</v>
      </c>
      <c r="AE60" s="103">
        <f ca="1">IF(AND(Energy!$F$11=$A$3,Main!$B$43=$A60),Summary!AE37,AE60)</f>
        <v>1.5953216374269008</v>
      </c>
      <c r="AF60" s="103">
        <f ca="1">IF(AND(Energy!$F$11=$A$3,Main!$B$43=$A60),Summary!AF37,AF60)</f>
        <v>26.698564593301437</v>
      </c>
      <c r="AG60" s="103">
        <f ca="1">IF(AND(Energy!$F$11=$A$3,Main!$B$43=$A60),Summary!AG37,AG60)</f>
        <v>11.040723599476285</v>
      </c>
      <c r="AH60" s="103">
        <f ca="1">IF(AND(Energy!$F$11=$A$3,Main!$B$43=$A60),Summary!AH37,AH60)</f>
        <v>47</v>
      </c>
      <c r="AI60" s="103">
        <f ca="1">IF(AND(Energy!$F$11=$A$3,Main!$B$43=$A60),Summary!AI37,AI60)</f>
        <v>2.6798018502704473</v>
      </c>
      <c r="AJ60" s="103">
        <f ca="1">IF(AND(Energy!$F$11=$A$3,Main!$B$43=$A60),Summary!AJ37,AJ60)</f>
        <v>0.23874489421081213</v>
      </c>
      <c r="AK60" s="103">
        <f ca="1">IF(AND(Energy!$F$11=$A$3,Main!$B$43=$A60),Summary!AK37,AK60)</f>
        <v>0.01</v>
      </c>
      <c r="AL60" s="103">
        <f ca="1">IF(AND(Energy!$F$11=$A$3,Main!$B$43=$A60),Summary!AL37,AL60)</f>
        <v>-0.52353255010648425</v>
      </c>
      <c r="AM60" s="103">
        <f ca="1">IF(AND(Energy!$F$11=$A$3,Main!$B$43=$A60),Summary!AJ77,AM60)</f>
        <v>0</v>
      </c>
      <c r="AN60" s="100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</row>
    <row r="61" spans="1:54">
      <c r="A61">
        <f t="shared" si="3"/>
        <v>3</v>
      </c>
      <c r="B61" s="100"/>
      <c r="C61" s="100"/>
      <c r="D61" s="1">
        <f ca="1">IF(AND(Energy!$F$11=$A$3,Main!$B$43=A61),Main!C38,D61)</f>
        <v>6.6842105263157903</v>
      </c>
      <c r="E61" s="103">
        <f ca="1">IF(AND(Energy!$F$11=$A$3,Main!$B$43=A61),Main!B38,E61)</f>
        <v>0.24444444444444446</v>
      </c>
      <c r="F61" s="103">
        <f ca="1">IF(Main!$D$6=1,U61,IF(Main!$D$6=2,N61,IF(Main!$D$6=3,K61,IF(Main!$D$6=4,V61,J61))))</f>
        <v>506.31799721656051</v>
      </c>
      <c r="G61" s="103">
        <f ca="1">IF(AND(Energy!$F$11=$A$3,Main!$B$43=A61),Weight!H38,G61)</f>
        <v>15</v>
      </c>
      <c r="H61" s="103">
        <f ca="1">IF(AND(Energy!$F$11=$A$3,Main!$B$43=A61),Weight!U38,H61)</f>
        <v>19.576070030568729</v>
      </c>
      <c r="I61" s="103">
        <f ca="1">IF(AND(Energy!$F$11=$A$3,Main!$B$43=A61),Weight!V38,I61)</f>
        <v>45.726150645740894</v>
      </c>
      <c r="J61" s="103">
        <f ca="1">IF(AND(Energy!$F$11=$A$3,Main!$B$43=A61),Weight!I38,J61)</f>
        <v>21.212432340172164</v>
      </c>
      <c r="K61" s="103">
        <f ca="1">IF(AND(Energy!$F$11=$A$3,Main!$B$43=A61),Weight!W38,K61)</f>
        <v>60.726158362549384</v>
      </c>
      <c r="L61" s="103">
        <f ca="1">IF(AND(Energy!$F$11=$A$3,Main!$B$43=A61),'Aerodynamics-Cruise'!BI38,L61)</f>
        <v>60.726142855829593</v>
      </c>
      <c r="M61" s="103">
        <f ca="1">IF(AND(Energy!$F$11=$A$3,Main!$B$43=A61),'Aerodynamics-Cruise'!BJ38,M61)</f>
        <v>2.8769724082839994</v>
      </c>
      <c r="N61" s="103">
        <f ca="1">IF(AND(Energy!$F$11=$A$3,Main!$B$43=A61),'Aerodynamics-Cruise'!BK38,N61)</f>
        <v>21.107655631654229</v>
      </c>
      <c r="O61" s="103">
        <f t="shared" ca="1" si="0"/>
        <v>164.48558682310932</v>
      </c>
      <c r="P61" s="103">
        <f ca="1">IF(AND(Energy!$F$11=$A$3,Main!$B$43=A61),'Aerodynamics-Cruise'!H38,P61)</f>
        <v>8.2477970810283914</v>
      </c>
      <c r="Q61" s="103">
        <f ca="1">IF(AND(Energy!$F$11=$A$3,Main!$B$43=A61),'Aerodynamics-Cruise'!I38,Q61)</f>
        <v>7.0553800589782814</v>
      </c>
      <c r="R61" s="103">
        <f ca="1">IF(AND(Energy!$F$11=$A$3,Main!$B$43=$A61),Summary!R38,R61)</f>
        <v>4.2447325065405384</v>
      </c>
      <c r="S61" s="103">
        <f ca="1">IF(AND(Energy!$F$11=$A$3,Main!$B$43=A61),'Aerodynamics-Cruise'!W38,S61)</f>
        <v>1</v>
      </c>
      <c r="T61" s="103">
        <f ca="1">IF(AND(Energy!$F$11=$A$3,Main!$B$43=A61),'Aerodynamics-Cruise'!BL38,T61)</f>
        <v>23.72868463124399</v>
      </c>
      <c r="U61" s="103">
        <f ca="1">IF(AND(Energy!$F$11=$A$3,Main!$B$43=A61),'Propulsion-Cruise'!M38,U61)</f>
        <v>52.379346752081403</v>
      </c>
      <c r="V61" s="103">
        <f ca="1">IF(AND(Energy!$F$11=$A$3,Main!$B$43=A61),Endurance!AP38,V61)</f>
        <v>506.31799721656051</v>
      </c>
      <c r="W61" s="103">
        <f ca="1">IF(AND(Energy!$F$11=$A$3,Main!$B$43=$A61),Summary!W38,W61)</f>
        <v>1.6339181286549711</v>
      </c>
      <c r="X61" s="13">
        <f ca="1">IF(AND(Energy!$F$11=$A$3,Main!$B$43=A61),Energy!D38,X61)</f>
        <v>914.18500438814044</v>
      </c>
      <c r="Y61" s="102">
        <f ca="1">IF(AND(Energy!$F$11=$A$3,Main!$B$43=A61),'Aerodynamics-Cruise'!V38,Y61)</f>
        <v>127868.45456812294</v>
      </c>
      <c r="Z61" s="102">
        <f ca="1">IF(AND(Energy!$F$11=$A$3,Main!$B$43=$A61),Summary!Z38,Z61)</f>
        <v>96863.952156249987</v>
      </c>
      <c r="AA61" s="102">
        <f ca="1">IF(AND(Energy!$F$11=$A$3,Main!$B$43=$A61),Summary!AA38,AA61)</f>
        <v>96863.952156249987</v>
      </c>
      <c r="AB61" s="103">
        <f ca="1">IF(AND(Energy!$F$11=$A$3,Main!$B$43=$A61),Summary!AB38,AB61)</f>
        <v>4.2447325065405384</v>
      </c>
      <c r="AC61" s="103">
        <f ca="1">IF(AND(Energy!$F$11=$A$3,Main!$B$43=$A61),Summary!AC38,AC61)</f>
        <v>2.212066309735742</v>
      </c>
      <c r="AD61" s="103">
        <f ca="1">IF(AND(Energy!$F$11=$A$3,Main!$B$43=$A61),Summary!AD38,AD61)</f>
        <v>0.40059868214985633</v>
      </c>
      <c r="AE61" s="103">
        <f ca="1">IF(AND(Energy!$F$11=$A$3,Main!$B$43=$A61),Summary!AE38,AE61)</f>
        <v>1.6339181286549711</v>
      </c>
      <c r="AF61" s="103">
        <f ca="1">IF(AND(Energy!$F$11=$A$3,Main!$B$43=$A61),Summary!AF38,AF61)</f>
        <v>27.344497607655505</v>
      </c>
      <c r="AG61" s="103">
        <f ca="1">IF(AND(Energy!$F$11=$A$3,Main!$B$43=$A61),Summary!AG38,AG61)</f>
        <v>11.089092138801144</v>
      </c>
      <c r="AH61" s="103">
        <f ca="1">IF(AND(Energy!$F$11=$A$3,Main!$B$43=$A61),Summary!AH38,AH61)</f>
        <v>47</v>
      </c>
      <c r="AI61" s="103">
        <f ca="1">IF(AND(Energy!$F$11=$A$3,Main!$B$43=$A61),Summary!AI38,AI61)</f>
        <v>2.6784960410364111</v>
      </c>
      <c r="AJ61" s="103">
        <f ca="1">IF(AND(Energy!$F$11=$A$3,Main!$B$43=$A61),Summary!AJ38,AJ61)</f>
        <v>0.23916174365863258</v>
      </c>
      <c r="AK61" s="103">
        <f ca="1">IF(AND(Energy!$F$11=$A$3,Main!$B$43=$A61),Summary!AK38,AK61)</f>
        <v>0.01</v>
      </c>
      <c r="AL61" s="103">
        <f ca="1">IF(AND(Energy!$F$11=$A$3,Main!$B$43=$A61),Summary!AL38,AL61)</f>
        <v>-0.52262001363676791</v>
      </c>
      <c r="AM61" s="103">
        <f ca="1">IF(AND(Energy!$F$11=$A$3,Main!$B$43=$A61),Summary!AJ78,AM61)</f>
        <v>0</v>
      </c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</row>
    <row r="62" spans="1:54">
      <c r="A62">
        <f t="shared" si="3"/>
        <v>3</v>
      </c>
      <c r="B62" s="100"/>
      <c r="C62" s="100"/>
      <c r="D62" s="1">
        <f ca="1">IF(AND(Energy!$F$11=$A$3,Main!$B$43=A62),Main!C39,D62)</f>
        <v>6.8421052631578956</v>
      </c>
      <c r="E62" s="103">
        <f ca="1">IF(AND(Energy!$F$11=$A$3,Main!$B$43=A62),Main!B39,E62)</f>
        <v>0.24444444444444446</v>
      </c>
      <c r="F62" s="103">
        <f ca="1">IF(Main!$D$6=1,U62,IF(Main!$D$6=2,N62,IF(Main!$D$6=3,K62,IF(Main!$D$6=4,V62,J62))))</f>
        <v>510.45356467136486</v>
      </c>
      <c r="G62" s="103">
        <f ca="1">IF(AND(Energy!$F$11=$A$3,Main!$B$43=A62),Weight!H39,G62)</f>
        <v>15</v>
      </c>
      <c r="H62" s="103">
        <f ca="1">IF(AND(Energy!$F$11=$A$3,Main!$B$43=A62),Weight!U39,H62)</f>
        <v>20.153810676691272</v>
      </c>
      <c r="I62" s="103">
        <f ca="1">IF(AND(Energy!$F$11=$A$3,Main!$B$43=A62),Weight!V39,I62)</f>
        <v>46.477152981474141</v>
      </c>
      <c r="J62" s="103">
        <f ca="1">IF(AND(Energy!$F$11=$A$3,Main!$B$43=A62),Weight!I39,J62)</f>
        <v>21.385694029782869</v>
      </c>
      <c r="K62" s="103">
        <f ca="1">IF(AND(Energy!$F$11=$A$3,Main!$B$43=A62),Weight!W39,K62)</f>
        <v>61.477160708859948</v>
      </c>
      <c r="L62" s="103">
        <f ca="1">IF(AND(Energy!$F$11=$A$3,Main!$B$43=A62),'Aerodynamics-Cruise'!BI39,L62)</f>
        <v>61.477145180190725</v>
      </c>
      <c r="M62" s="103">
        <f ca="1">IF(AND(Energy!$F$11=$A$3,Main!$B$43=A62),'Aerodynamics-Cruise'!BJ39,M62)</f>
        <v>2.9059522478065904</v>
      </c>
      <c r="N62" s="103">
        <f ca="1">IF(AND(Energy!$F$11=$A$3,Main!$B$43=A62),'Aerodynamics-Cruise'!BK39,N62)</f>
        <v>21.155593739227342</v>
      </c>
      <c r="O62" s="103">
        <f t="shared" ca="1" si="0"/>
        <v>165.87543104268531</v>
      </c>
      <c r="P62" s="103">
        <f ca="1">IF(AND(Energy!$F$11=$A$3,Main!$B$43=A62),'Aerodynamics-Cruise'!H39,P62)</f>
        <v>8.2023154326795353</v>
      </c>
      <c r="Q62" s="103">
        <f ca="1">IF(AND(Energy!$F$11=$A$3,Main!$B$43=A62),'Aerodynamics-Cruise'!I39,Q62)</f>
        <v>7.0180602619753598</v>
      </c>
      <c r="R62" s="103">
        <f ca="1">IF(AND(Energy!$F$11=$A$3,Main!$B$43=$A62),Summary!R39,R62)</f>
        <v>4.2525977541541344</v>
      </c>
      <c r="S62" s="103">
        <f ca="1">IF(AND(Energy!$F$11=$A$3,Main!$B$43=A62),'Aerodynamics-Cruise'!W39,S62)</f>
        <v>1</v>
      </c>
      <c r="T62" s="103">
        <f ca="1">IF(AND(Energy!$F$11=$A$3,Main!$B$43=A62),'Aerodynamics-Cruise'!BL39,T62)</f>
        <v>23.835536968813781</v>
      </c>
      <c r="U62" s="103">
        <f ca="1">IF(AND(Energy!$F$11=$A$3,Main!$B$43=A62),'Propulsion-Cruise'!M39,U62)</f>
        <v>52.712366647511182</v>
      </c>
      <c r="V62" s="103">
        <f ca="1">IF(AND(Energy!$F$11=$A$3,Main!$B$43=A62),Endurance!AP39,V62)</f>
        <v>510.45356467136486</v>
      </c>
      <c r="W62" s="103">
        <f ca="1">IF(AND(Energy!$F$11=$A$3,Main!$B$43=$A62),Summary!W39,W62)</f>
        <v>1.6725146198830412</v>
      </c>
      <c r="X62" s="13">
        <f ca="1">IF(AND(Energy!$F$11=$A$3,Main!$B$43=A62),Energy!D39,X62)</f>
        <v>921.65200183614695</v>
      </c>
      <c r="Y62" s="102">
        <f ca="1">IF(AND(Energy!$F$11=$A$3,Main!$B$43=A62),'Aerodynamics-Cruise'!V39,Y62)</f>
        <v>127163.33682232435</v>
      </c>
      <c r="Z62" s="102">
        <f ca="1">IF(AND(Energy!$F$11=$A$3,Main!$B$43=$A62),Summary!Z39,Z62)</f>
        <v>96350.735460165059</v>
      </c>
      <c r="AA62" s="102">
        <f ca="1">IF(AND(Energy!$F$11=$A$3,Main!$B$43=$A62),Summary!AA39,AA62)</f>
        <v>96350.735460165059</v>
      </c>
      <c r="AB62" s="103">
        <f ca="1">IF(AND(Energy!$F$11=$A$3,Main!$B$43=$A62),Summary!AB39,AB62)</f>
        <v>4.2525977541541344</v>
      </c>
      <c r="AC62" s="103">
        <f ca="1">IF(AND(Energy!$F$11=$A$3,Main!$B$43=$A62),Summary!AC39,AC62)</f>
        <v>2.1718149635285244</v>
      </c>
      <c r="AD62" s="103">
        <f ca="1">IF(AND(Energy!$F$11=$A$3,Main!$B$43=$A62),Summary!AD39,AD62)</f>
        <v>0.40075356847680621</v>
      </c>
      <c r="AE62" s="103">
        <f ca="1">IF(AND(Energy!$F$11=$A$3,Main!$B$43=$A62),Summary!AE39,AE62)</f>
        <v>1.6725146198830412</v>
      </c>
      <c r="AF62" s="103">
        <f ca="1">IF(AND(Energy!$F$11=$A$3,Main!$B$43=$A62),Summary!AF39,AF62)</f>
        <v>27.990430622009573</v>
      </c>
      <c r="AG62" s="103">
        <f ca="1">IF(AND(Energy!$F$11=$A$3,Main!$B$43=$A62),Summary!AG39,AG62)</f>
        <v>11.141611292458109</v>
      </c>
      <c r="AH62" s="103">
        <f ca="1">IF(AND(Energy!$F$11=$A$3,Main!$B$43=$A62),Summary!AH39,AH62)</f>
        <v>47</v>
      </c>
      <c r="AI62" s="103">
        <f ca="1">IF(AND(Energy!$F$11=$A$3,Main!$B$43=$A62),Summary!AI39,AI62)</f>
        <v>2.6772852754930443</v>
      </c>
      <c r="AJ62" s="103">
        <f ca="1">IF(AND(Energy!$F$11=$A$3,Main!$B$43=$A62),Summary!AJ39,AJ62)</f>
        <v>0.23955251204110803</v>
      </c>
      <c r="AK62" s="103">
        <f ca="1">IF(AND(Energy!$F$11=$A$3,Main!$B$43=$A62),Summary!AK39,AK62)</f>
        <v>0.01</v>
      </c>
      <c r="AL62" s="103">
        <f ca="1">IF(AND(Energy!$F$11=$A$3,Main!$B$43=$A62),Summary!AL39,AL62)</f>
        <v>-0.52176745318489959</v>
      </c>
      <c r="AM62" s="103">
        <f ca="1">IF(AND(Energy!$F$11=$A$3,Main!$B$43=$A62),Summary!AJ79,AM62)</f>
        <v>0</v>
      </c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</row>
    <row r="63" spans="1:54">
      <c r="A63">
        <f t="shared" si="3"/>
        <v>3</v>
      </c>
      <c r="D63" s="1">
        <f ca="1">IF(AND(Energy!$F$11=$A$3,Main!$B$43=A63),Main!C40,D63)</f>
        <v>7</v>
      </c>
      <c r="E63" s="103">
        <f ca="1">IF(AND(Energy!$F$11=$A$3,Main!$B$43=A63),Main!B40,E63)</f>
        <v>0.24444444444444446</v>
      </c>
      <c r="F63" s="103">
        <f ca="1">IF(Main!$D$6=1,U63,IF(Main!$D$6=2,N63,IF(Main!$D$6=3,K63,IF(Main!$D$6=4,V63,J63))))</f>
        <v>514.91496808806176</v>
      </c>
      <c r="G63" s="103">
        <f ca="1">IF(AND(Energy!$F$11=$A$3,Main!$B$43=A63),Weight!H40,G63)</f>
        <v>15</v>
      </c>
      <c r="H63" s="103">
        <f ca="1">IF(AND(Energy!$F$11=$A$3,Main!$B$43=A63),Weight!U40,H63)</f>
        <v>20.744739285634154</v>
      </c>
      <c r="I63" s="103">
        <f ca="1">IF(AND(Energy!$F$11=$A$3,Main!$B$43=A63),Weight!V40,I63)</f>
        <v>47.254994314996289</v>
      </c>
      <c r="J63" s="103">
        <f ca="1">IF(AND(Energy!$F$11=$A$3,Main!$B$43=A63),Weight!I40,J63)</f>
        <v>21.572606754362134</v>
      </c>
      <c r="K63" s="103">
        <f ca="1">IF(AND(Energy!$F$11=$A$3,Main!$B$43=A63),Weight!W40,K63)</f>
        <v>62.255002068000373</v>
      </c>
      <c r="L63" s="103">
        <f ca="1">IF(AND(Energy!$F$11=$A$3,Main!$B$43=A63),'Aerodynamics-Cruise'!BI40,L63)</f>
        <v>62.254986487245041</v>
      </c>
      <c r="M63" s="103">
        <f ca="1">IF(AND(Energy!$F$11=$A$3,Main!$B$43=A63),'Aerodynamics-Cruise'!BJ40,M63)</f>
        <v>2.9360627225729767</v>
      </c>
      <c r="N63" s="103">
        <f ca="1">IF(AND(Energy!$F$11=$A$3,Main!$B$43=A63),'Aerodynamics-Cruise'!BK40,N63)</f>
        <v>21.20356149363484</v>
      </c>
      <c r="O63" s="103">
        <f t="shared" ca="1" si="0"/>
        <v>167.29997870824823</v>
      </c>
      <c r="P63" s="103">
        <f ca="1">IF(AND(Energy!$F$11=$A$3,Main!$B$43=A63),'Aerodynamics-Cruise'!H40,P63)</f>
        <v>8.1604087164333219</v>
      </c>
      <c r="Q63" s="103">
        <f ca="1">IF(AND(Energy!$F$11=$A$3,Main!$B$43=A63),'Aerodynamics-Cruise'!I40,Q63)</f>
        <v>6.9836664481093171</v>
      </c>
      <c r="R63" s="103">
        <f ca="1">IF(AND(Energy!$F$11=$A$3,Main!$B$43=$A63),Summary!R40,R63)</f>
        <v>4.2651723455083825</v>
      </c>
      <c r="S63" s="103">
        <f ca="1">IF(AND(Energy!$F$11=$A$3,Main!$B$43=A63),'Aerodynamics-Cruise'!W40,S63)</f>
        <v>1</v>
      </c>
      <c r="T63" s="103">
        <f ca="1">IF(AND(Energy!$F$11=$A$3,Main!$B$43=A63),'Aerodynamics-Cruise'!BL40,T63)</f>
        <v>23.959471833279469</v>
      </c>
      <c r="U63" s="103">
        <f ca="1">IF(AND(Energy!$F$11=$A$3,Main!$B$43=A63),'Propulsion-Cruise'!M40,U63)</f>
        <v>53.07958489249657</v>
      </c>
      <c r="V63" s="103">
        <f ca="1">IF(AND(Energy!$F$11=$A$3,Main!$B$43=A63),Endurance!AP40,V63)</f>
        <v>514.91496808806176</v>
      </c>
      <c r="W63" s="103">
        <f ca="1">IF(AND(Energy!$F$11=$A$3,Main!$B$43=$A63),Summary!W40,W63)</f>
        <v>1.7111111111111112</v>
      </c>
      <c r="X63" s="13">
        <f ca="1">IF(AND(Energy!$F$11=$A$3,Main!$B$43=A63),Energy!D40,X63)</f>
        <v>929.70731367661085</v>
      </c>
      <c r="Y63" s="102">
        <f ca="1">IF(AND(Energy!$F$11=$A$3,Main!$B$43=A63),'Aerodynamics-Cruise'!V40,Y63)</f>
        <v>126513.64248700252</v>
      </c>
      <c r="Z63" s="102">
        <f ca="1">IF(AND(Energy!$F$11=$A$3,Main!$B$43=$A63),Summary!Z40,Z63)</f>
        <v>95877.760456807504</v>
      </c>
      <c r="AA63" s="102">
        <f ca="1">IF(AND(Energy!$F$11=$A$3,Main!$B$43=$A63),Summary!AA40,AA63)</f>
        <v>95877.760456807504</v>
      </c>
      <c r="AB63" s="103">
        <f ca="1">IF(AND(Energy!$F$11=$A$3,Main!$B$43=$A63),Summary!AB40,AB63)</f>
        <v>4.2651723455083825</v>
      </c>
      <c r="AC63" s="103">
        <f ca="1">IF(AND(Energy!$F$11=$A$3,Main!$B$43=$A63),Summary!AC40,AC63)</f>
        <v>2.1322086496166812</v>
      </c>
      <c r="AD63" s="103">
        <f ca="1">IF(AND(Energy!$F$11=$A$3,Main!$B$43=$A63),Summary!AD40,AD63)</f>
        <v>0.40103872453461864</v>
      </c>
      <c r="AE63" s="103">
        <f ca="1">IF(AND(Energy!$F$11=$A$3,Main!$B$43=$A63),Summary!AE40,AE63)</f>
        <v>1.7111111111111112</v>
      </c>
      <c r="AF63" s="103">
        <f ca="1">IF(AND(Energy!$F$11=$A$3,Main!$B$43=$A63),Summary!AF40,AF63)</f>
        <v>28.636363636363633</v>
      </c>
      <c r="AG63" s="103">
        <f ca="1">IF(AND(Energy!$F$11=$A$3,Main!$B$43=$A63),Summary!AG40,AG63)</f>
        <v>11.19803440728837</v>
      </c>
      <c r="AH63" s="103">
        <f ca="1">IF(AND(Energy!$F$11=$A$3,Main!$B$43=$A63),Summary!AH40,AH63)</f>
        <v>47</v>
      </c>
      <c r="AI63" s="103">
        <f ca="1">IF(AND(Energy!$F$11=$A$3,Main!$B$43=$A63),Summary!AI40,AI63)</f>
        <v>2.6761641506323692</v>
      </c>
      <c r="AJ63" s="103">
        <f ca="1">IF(AND(Energy!$F$11=$A$3,Main!$B$43=$A63),Summary!AJ40,AJ63)</f>
        <v>0.23991868310906367</v>
      </c>
      <c r="AK63" s="103">
        <f ca="1">IF(AND(Energy!$F$11=$A$3,Main!$B$43=$A63),Summary!AK40,AK63)</f>
        <v>0.01</v>
      </c>
      <c r="AL63" s="103">
        <f ca="1">IF(AND(Energy!$F$11=$A$3,Main!$B$43=$A63),Summary!AL40,AL63)</f>
        <v>-0.520971075549157</v>
      </c>
      <c r="AM63" s="103">
        <f ca="1">IF(AND(Energy!$F$11=$A$3,Main!$B$43=$A63),Summary!AJ80,AM63)</f>
        <v>0</v>
      </c>
    </row>
    <row r="64" spans="1:54">
      <c r="A64" s="7">
        <f>A44+1</f>
        <v>4</v>
      </c>
      <c r="D64" s="1">
        <f ca="1">IF(AND(Energy!$F$11=$A$3,Main!$B$43=A64),Main!C21,D64)</f>
        <v>4</v>
      </c>
      <c r="E64" s="103">
        <f ca="1">IF(AND(Energy!$F$11=$A$3,Main!$B$43=A64),Main!B21,E64)</f>
        <v>0.26666666666666666</v>
      </c>
      <c r="F64" s="103">
        <f ca="1">IF(Main!$D$6=1,U64,IF(Main!$D$6=2,N64,IF(Main!$D$6=3,K64,IF(Main!$D$6=4,V64,J64))))</f>
        <v>522.21881920104568</v>
      </c>
      <c r="G64" s="103">
        <f ca="1">IF(AND(Energy!$F$11=$A$3,Main!$B$43=A64),Weight!H21,G64)</f>
        <v>15</v>
      </c>
      <c r="H64" s="103">
        <f ca="1">IF(AND(Energy!$F$11=$A$3,Main!$B$43=A64),Weight!U21,H64)</f>
        <v>12.503260923633995</v>
      </c>
      <c r="I64" s="103">
        <f ca="1">IF(AND(Energy!$F$11=$A$3,Main!$B$43=A64),Weight!V21,I64)</f>
        <v>39.319523595494545</v>
      </c>
      <c r="J64" s="103">
        <f ca="1">IF(AND(Energy!$F$11=$A$3,Main!$B$43=A64),Weight!I21,J64)</f>
        <v>21.878614396860545</v>
      </c>
      <c r="K64" s="103">
        <f ca="1">IF(AND(Energy!$F$11=$A$3,Main!$B$43=A64),Weight!W21,K64)</f>
        <v>54.319525533734456</v>
      </c>
      <c r="L64" s="103">
        <f ca="1">IF(AND(Energy!$F$11=$A$3,Main!$B$43=A64),'Aerodynamics-Cruise'!BI21,L64)</f>
        <v>54.319521637154075</v>
      </c>
      <c r="M64" s="103">
        <f ca="1">IF(AND(Energy!$F$11=$A$3,Main!$B$43=A64),'Aerodynamics-Cruise'!BJ21,M64)</f>
        <v>2.745437907299062</v>
      </c>
      <c r="N64" s="103">
        <f ca="1">IF(AND(Energy!$F$11=$A$3,Main!$B$43=A64),'Aerodynamics-Cruise'!BK21,N64)</f>
        <v>19.785376129884195</v>
      </c>
      <c r="O64" s="103">
        <f t="shared" ca="1" si="0"/>
        <v>145.82174103595079</v>
      </c>
      <c r="P64" s="103">
        <f ca="1">IF(AND(Energy!$F$11=$A$3,Main!$B$43=A64),'Aerodynamics-Cruise'!H21,P64)</f>
        <v>9.6628416203290346</v>
      </c>
      <c r="Q64" s="103">
        <f ca="1">IF(AND(Energy!$F$11=$A$3,Main!$B$43=A64),'Aerodynamics-Cruise'!I21,Q64)</f>
        <v>8.1768361341514684</v>
      </c>
      <c r="R64" s="103">
        <f ca="1">IF(AND(Energy!$F$11=$A$3,Main!$B$43=$A64),Summary!R21,R64)</f>
        <v>5.1216116624147006</v>
      </c>
      <c r="S64" s="103">
        <f ca="1">IF(AND(Energy!$F$11=$A$3,Main!$B$43=A64),'Aerodynamics-Cruise'!W21,S64)</f>
        <v>1</v>
      </c>
      <c r="T64" s="103">
        <f ca="1">IF(AND(Energy!$F$11=$A$3,Main!$B$43=A64),'Aerodynamics-Cruise'!BL21,T64)</f>
        <v>26.528731676678422</v>
      </c>
      <c r="U64" s="103">
        <f ca="1">IF(AND(Energy!$F$11=$A$3,Main!$B$43=A64),'Propulsion-Cruise'!M21,U64)</f>
        <v>55.874945566610535</v>
      </c>
      <c r="V64" s="103">
        <f ca="1">IF(AND(Energy!$F$11=$A$3,Main!$B$43=A64),Endurance!AP21,V64)</f>
        <v>522.21881920104568</v>
      </c>
      <c r="W64" s="103">
        <f ca="1">IF(AND(Energy!$F$11=$A$3,Main!$B$43=$A64),Summary!W21,W64)</f>
        <v>1.0666666666666667</v>
      </c>
      <c r="X64" s="13">
        <f ca="1">IF(AND(Energy!$F$11=$A$3,Main!$B$43=A64),Energy!D21,X64)</f>
        <v>942.89501909570981</v>
      </c>
      <c r="Y64" s="102">
        <f ca="1">IF(AND(Energy!$F$11=$A$3,Main!$B$43=A64),'Aerodynamics-Cruise'!V21,Y64)</f>
        <v>163425.14195634509</v>
      </c>
      <c r="Z64" s="102">
        <f ca="1">IF(AND(Energy!$F$11=$A$3,Main!$B$43=$A64),Summary!Z21,Z64)</f>
        <v>122517.76764793423</v>
      </c>
      <c r="AA64" s="102">
        <f ca="1">IF(AND(Energy!$F$11=$A$3,Main!$B$43=$A64),Summary!AA21,AA64)</f>
        <v>122517.76764793423</v>
      </c>
      <c r="AB64" s="103">
        <f ca="1">IF(AND(Energy!$F$11=$A$3,Main!$B$43=$A64),Summary!AB21,AB64)</f>
        <v>5.1216116624147006</v>
      </c>
      <c r="AC64" s="103">
        <f ca="1">IF(AND(Energy!$F$11=$A$3,Main!$B$43=$A64),Summary!AC21,AC64)</f>
        <v>2.8094877488092624</v>
      </c>
      <c r="AD64" s="103">
        <f ca="1">IF(AND(Energy!$F$11=$A$3,Main!$B$43=$A64),Summary!AD21,AD64)</f>
        <v>0.43402632162411209</v>
      </c>
      <c r="AE64" s="103">
        <f ca="1">IF(AND(Energy!$F$11=$A$3,Main!$B$43=$A64),Summary!AE21,AE64)</f>
        <v>1.0666666666666667</v>
      </c>
      <c r="AF64" s="103">
        <f ca="1">IF(AND(Energy!$F$11=$A$3,Main!$B$43=$A64),Summary!AF21,AF64)</f>
        <v>15</v>
      </c>
      <c r="AG64" s="103">
        <f ca="1">IF(AND(Energy!$F$11=$A$3,Main!$B$43=$A64),Summary!AG21,AG64)</f>
        <v>11.316711849073107</v>
      </c>
      <c r="AH64" s="103">
        <f ca="1">IF(AND(Energy!$F$11=$A$3,Main!$B$43=$A64),Summary!AH21,AH64)</f>
        <v>47</v>
      </c>
      <c r="AI64" s="103">
        <f ca="1">IF(AND(Energy!$F$11=$A$3,Main!$B$43=$A64),Summary!AI21,AI64)</f>
        <v>2.7371283114046863</v>
      </c>
      <c r="AJ64" s="103">
        <f ca="1">IF(AND(Energy!$F$11=$A$3,Main!$B$43=$A64),Summary!AJ21,AJ64)</f>
        <v>0.22382700002881301</v>
      </c>
      <c r="AK64" s="103">
        <f ca="1">IF(AND(Energy!$F$11=$A$3,Main!$B$43=$A64),Summary!AK21,AK64)</f>
        <v>0.01</v>
      </c>
      <c r="AL64" s="103">
        <f ca="1">IF(AND(Energy!$F$11=$A$3,Main!$B$43=$A64),Summary!AL21,AL64)</f>
        <v>-0.55846104618641013</v>
      </c>
      <c r="AM64" s="103">
        <f ca="1">IF(AND(Energy!$F$11=$A$3,Main!$B$43=$A64),Summary!AJ81,AM64)</f>
        <v>0</v>
      </c>
    </row>
    <row r="65" spans="1:39">
      <c r="A65">
        <f>A64</f>
        <v>4</v>
      </c>
      <c r="D65" s="1">
        <f ca="1">IF(AND(Energy!$F$11=$A$3,Main!$B$43=A65),Main!C22,D65)</f>
        <v>4.1578947368421053</v>
      </c>
      <c r="E65" s="103">
        <f ca="1">IF(AND(Energy!$F$11=$A$3,Main!$B$43=A65),Main!B22,E65)</f>
        <v>0.26666666666666666</v>
      </c>
      <c r="F65" s="103">
        <f ca="1">IF(Main!$D$6=1,U65,IF(Main!$D$6=2,N65,IF(Main!$D$6=3,K65,IF(Main!$D$6=4,V65,J65))))</f>
        <v>512.40175312658289</v>
      </c>
      <c r="G65" s="103">
        <f ca="1">IF(AND(Energy!$F$11=$A$3,Main!$B$43=A65),Weight!H22,G65)</f>
        <v>15</v>
      </c>
      <c r="H65" s="103">
        <f ca="1">IF(AND(Energy!$F$11=$A$3,Main!$B$43=A65),Weight!U22,H65)</f>
        <v>12.885318765196303</v>
      </c>
      <c r="I65" s="103">
        <f ca="1">IF(AND(Energy!$F$11=$A$3,Main!$B$43=A65),Weight!V22,I65)</f>
        <v>39.290290799138489</v>
      </c>
      <c r="J65" s="103">
        <f ca="1">IF(AND(Energy!$F$11=$A$3,Main!$B$43=A65),Weight!I22,J65)</f>
        <v>21.467323758942182</v>
      </c>
      <c r="K65" s="103">
        <f ca="1">IF(AND(Energy!$F$11=$A$3,Main!$B$43=A65),Weight!W22,K65)</f>
        <v>54.290292609876914</v>
      </c>
      <c r="L65" s="103">
        <f ca="1">IF(AND(Energy!$F$11=$A$3,Main!$B$43=A65),'Aerodynamics-Cruise'!BI22,L65)</f>
        <v>54.290288968288451</v>
      </c>
      <c r="M65" s="103">
        <f ca="1">IF(AND(Energy!$F$11=$A$3,Main!$B$43=A65),'Aerodynamics-Cruise'!BJ22,M65)</f>
        <v>2.7235841141175809</v>
      </c>
      <c r="N65" s="103">
        <f ca="1">IF(AND(Energy!$F$11=$A$3,Main!$B$43=A65),'Aerodynamics-Cruise'!BK22,N65)</f>
        <v>19.93339904094648</v>
      </c>
      <c r="O65" s="103">
        <f t="shared" ca="1" si="0"/>
        <v>146.87315952747014</v>
      </c>
      <c r="P65" s="103">
        <f ca="1">IF(AND(Energy!$F$11=$A$3,Main!$B$43=A65),'Aerodynamics-Cruise'!H22,P65)</f>
        <v>9.4749627471213582</v>
      </c>
      <c r="Q65" s="103">
        <f ca="1">IF(AND(Energy!$F$11=$A$3,Main!$B$43=A65),'Aerodynamics-Cruise'!I22,Q65)</f>
        <v>8.0243128607013787</v>
      </c>
      <c r="R65" s="103">
        <f ca="1">IF(AND(Energy!$F$11=$A$3,Main!$B$43=$A65),Summary!R22,R65)</f>
        <v>4.9231779624523</v>
      </c>
      <c r="S65" s="103">
        <f ca="1">IF(AND(Energy!$F$11=$A$3,Main!$B$43=A65),'Aerodynamics-Cruise'!W22,S65)</f>
        <v>1</v>
      </c>
      <c r="T65" s="103">
        <f ca="1">IF(AND(Energy!$F$11=$A$3,Main!$B$43=A65),'Aerodynamics-Cruise'!BL22,T65)</f>
        <v>25.805858019915604</v>
      </c>
      <c r="U65" s="103">
        <f ca="1">IF(AND(Energy!$F$11=$A$3,Main!$B$43=A65),'Propulsion-Cruise'!M22,U65)</f>
        <v>54.658983047047414</v>
      </c>
      <c r="V65" s="103">
        <f ca="1">IF(AND(Energy!$F$11=$A$3,Main!$B$43=A65),Endurance!AP22,V65)</f>
        <v>512.40175312658289</v>
      </c>
      <c r="W65" s="103">
        <f ca="1">IF(AND(Energy!$F$11=$A$3,Main!$B$43=$A65),Summary!W22,W65)</f>
        <v>1.1087719298245613</v>
      </c>
      <c r="X65" s="13">
        <f ca="1">IF(AND(Energy!$F$11=$A$3,Main!$B$43=A65),Energy!D22,X65)</f>
        <v>925.16976603602745</v>
      </c>
      <c r="Y65" s="102">
        <f ca="1">IF(AND(Energy!$F$11=$A$3,Main!$B$43=A65),'Aerodynamics-Cruise'!V22,Y65)</f>
        <v>160247.59515065531</v>
      </c>
      <c r="Z65" s="102">
        <f ca="1">IF(AND(Energy!$F$11=$A$3,Main!$B$43=$A65),Summary!Z22,Z65)</f>
        <v>120228.65317507919</v>
      </c>
      <c r="AA65" s="102">
        <f ca="1">IF(AND(Energy!$F$11=$A$3,Main!$B$43=$A65),Summary!AA22,AA65)</f>
        <v>120228.65317507919</v>
      </c>
      <c r="AB65" s="103">
        <f ca="1">IF(AND(Energy!$F$11=$A$3,Main!$B$43=$A65),Summary!AB22,AB65)</f>
        <v>4.9231779624523</v>
      </c>
      <c r="AC65" s="103">
        <f ca="1">IF(AND(Energy!$F$11=$A$3,Main!$B$43=$A65),Summary!AC22,AC65)</f>
        <v>2.7745997813019581</v>
      </c>
      <c r="AD65" s="103">
        <f ca="1">IF(AND(Energy!$F$11=$A$3,Main!$B$43=$A65),Summary!AD22,AD65)</f>
        <v>0.42858019331441749</v>
      </c>
      <c r="AE65" s="103">
        <f ca="1">IF(AND(Energy!$F$11=$A$3,Main!$B$43=$A65),Summary!AE22,AE65)</f>
        <v>1.1087719298245613</v>
      </c>
      <c r="AF65" s="103">
        <f ca="1">IF(AND(Energy!$F$11=$A$3,Main!$B$43=$A65),Summary!AF22,AF65)</f>
        <v>15.592105263157896</v>
      </c>
      <c r="AG65" s="103">
        <f ca="1">IF(AND(Energy!$F$11=$A$3,Main!$B$43=$A65),Summary!AG22,AG65)</f>
        <v>11.188074378931601</v>
      </c>
      <c r="AH65" s="103">
        <f ca="1">IF(AND(Energy!$F$11=$A$3,Main!$B$43=$A65),Summary!AH22,AH65)</f>
        <v>47</v>
      </c>
      <c r="AI65" s="103">
        <f ca="1">IF(AND(Energy!$F$11=$A$3,Main!$B$43=$A65),Summary!AI22,AI65)</f>
        <v>2.7327213029307336</v>
      </c>
      <c r="AJ65" s="103">
        <f ca="1">IF(AND(Energy!$F$11=$A$3,Main!$B$43=$A65),Summary!AJ22,AJ65)</f>
        <v>0.2250368931652412</v>
      </c>
      <c r="AK65" s="103">
        <f ca="1">IF(AND(Energy!$F$11=$A$3,Main!$B$43=$A65),Summary!AK22,AK65)</f>
        <v>0.01</v>
      </c>
      <c r="AL65" s="103">
        <f ca="1">IF(AND(Energy!$F$11=$A$3,Main!$B$43=$A65),Summary!AL22,AL65)</f>
        <v>-0.55545850153074938</v>
      </c>
      <c r="AM65" s="103">
        <f ca="1">IF(AND(Energy!$F$11=$A$3,Main!$B$43=$A65),Summary!AJ82,AM65)</f>
        <v>0</v>
      </c>
    </row>
    <row r="66" spans="1:39">
      <c r="A66">
        <f t="shared" ref="A66:A83" si="4">A65</f>
        <v>4</v>
      </c>
      <c r="D66" s="1">
        <f ca="1">IF(AND(Energy!$F$11=$A$3,Main!$B$43=A66),Main!C23,D66)</f>
        <v>4.3157894736842106</v>
      </c>
      <c r="E66" s="103">
        <f ca="1">IF(AND(Energy!$F$11=$A$3,Main!$B$43=A66),Main!B23,E66)</f>
        <v>0.26666666666666666</v>
      </c>
      <c r="F66" s="103">
        <f ca="1">IF(Main!$D$6=1,U66,IF(Main!$D$6=2,N66,IF(Main!$D$6=3,K66,IF(Main!$D$6=4,V66,J66))))</f>
        <v>504.58565813856342</v>
      </c>
      <c r="G66" s="103">
        <f ca="1">IF(AND(Energy!$F$11=$A$3,Main!$B$43=A66),Weight!H23,G66)</f>
        <v>15</v>
      </c>
      <c r="H66" s="103">
        <f ca="1">IF(AND(Energy!$F$11=$A$3,Main!$B$43=A66),Weight!U23,H66)</f>
        <v>13.285077767255288</v>
      </c>
      <c r="I66" s="103">
        <f ca="1">IF(AND(Energy!$F$11=$A$3,Main!$B$43=A66),Weight!V23,I66)</f>
        <v>39.362590796691407</v>
      </c>
      <c r="J66" s="103">
        <f ca="1">IF(AND(Energy!$F$11=$A$3,Main!$B$43=A66),Weight!I23,J66)</f>
        <v>21.139864754436115</v>
      </c>
      <c r="K66" s="103">
        <f ca="1">IF(AND(Energy!$F$11=$A$3,Main!$B$43=A66),Weight!W23,K66)</f>
        <v>54.362592506645903</v>
      </c>
      <c r="L66" s="103">
        <f ca="1">IF(AND(Energy!$F$11=$A$3,Main!$B$43=A66),'Aerodynamics-Cruise'!BI23,L66)</f>
        <v>54.362589066390356</v>
      </c>
      <c r="M66" s="103">
        <f ca="1">IF(AND(Energy!$F$11=$A$3,Main!$B$43=A66),'Aerodynamics-Cruise'!BJ23,M66)</f>
        <v>2.7085512719834606</v>
      </c>
      <c r="N66" s="103">
        <f ca="1">IF(AND(Energy!$F$11=$A$3,Main!$B$43=A66),'Aerodynamics-Cruise'!BK23,N66)</f>
        <v>20.070725493994754</v>
      </c>
      <c r="O66" s="103">
        <f t="shared" ca="1" si="0"/>
        <v>147.98344634478707</v>
      </c>
      <c r="P66" s="103">
        <f ca="1">IF(AND(Energy!$F$11=$A$3,Main!$B$43=A66),'Aerodynamics-Cruise'!H23,P66)</f>
        <v>9.306144903691937</v>
      </c>
      <c r="Q66" s="103">
        <f ca="1">IF(AND(Energy!$F$11=$A$3,Main!$B$43=A66),'Aerodynamics-Cruise'!I23,Q66)</f>
        <v>7.887156257379961</v>
      </c>
      <c r="R66" s="103">
        <f ca="1">IF(AND(Energy!$F$11=$A$3,Main!$B$43=$A66),Summary!R23,R66)</f>
        <v>4.7572842040049332</v>
      </c>
      <c r="S66" s="103">
        <f ca="1">IF(AND(Energy!$F$11=$A$3,Main!$B$43=A66),'Aerodynamics-Cruise'!W23,S66)</f>
        <v>1</v>
      </c>
      <c r="T66" s="103">
        <f ca="1">IF(AND(Energy!$F$11=$A$3,Main!$B$43=A66),'Aerodynamics-Cruise'!BL23,T66)</f>
        <v>25.206170616157195</v>
      </c>
      <c r="U66" s="103">
        <f ca="1">IF(AND(Energy!$F$11=$A$3,Main!$B$43=A66),'Propulsion-Cruise'!M23,U66)</f>
        <v>53.667205959482395</v>
      </c>
      <c r="V66" s="103">
        <f ca="1">IF(AND(Energy!$F$11=$A$3,Main!$B$43=A66),Endurance!AP23,V66)</f>
        <v>504.58565813856342</v>
      </c>
      <c r="W66" s="103">
        <f ca="1">IF(AND(Energy!$F$11=$A$3,Main!$B$43=$A66),Summary!W23,W66)</f>
        <v>1.1508771929824562</v>
      </c>
      <c r="X66" s="13">
        <f ca="1">IF(AND(Energy!$F$11=$A$3,Main!$B$43=A66),Energy!D23,X66)</f>
        <v>911.0573764172691</v>
      </c>
      <c r="Y66" s="102">
        <f ca="1">IF(AND(Energy!$F$11=$A$3,Main!$B$43=A66),'Aerodynamics-Cruise'!V23,Y66)</f>
        <v>157392.42261329584</v>
      </c>
      <c r="Z66" s="102">
        <f ca="1">IF(AND(Energy!$F$11=$A$3,Main!$B$43=$A66),Summary!Z23,Z66)</f>
        <v>118170.22918816871</v>
      </c>
      <c r="AA66" s="102">
        <f ca="1">IF(AND(Energy!$F$11=$A$3,Main!$B$43=$A66),Summary!AA23,AA66)</f>
        <v>118170.22918816871</v>
      </c>
      <c r="AB66" s="103">
        <f ca="1">IF(AND(Energy!$F$11=$A$3,Main!$B$43=$A66),Summary!AB23,AB66)</f>
        <v>4.7572842040049332</v>
      </c>
      <c r="AC66" s="103">
        <f ca="1">IF(AND(Energy!$F$11=$A$3,Main!$B$43=$A66),Summary!AC23,AC66)</f>
        <v>2.7368366432805993</v>
      </c>
      <c r="AD66" s="103">
        <f ca="1">IF(AND(Energy!$F$11=$A$3,Main!$B$43=$A66),Summary!AD23,AD66)</f>
        <v>0.4238849889733125</v>
      </c>
      <c r="AE66" s="103">
        <f ca="1">IF(AND(Energy!$F$11=$A$3,Main!$B$43=$A66),Summary!AE23,AE66)</f>
        <v>1.1508771929824562</v>
      </c>
      <c r="AF66" s="103">
        <f ca="1">IF(AND(Energy!$F$11=$A$3,Main!$B$43=$A66),Summary!AF23,AF66)</f>
        <v>16.184210526315791</v>
      </c>
      <c r="AG66" s="103">
        <f ca="1">IF(AND(Energy!$F$11=$A$3,Main!$B$43=$A66),Summary!AG23,AG66)</f>
        <v>11.08460384179603</v>
      </c>
      <c r="AH66" s="103">
        <f ca="1">IF(AND(Energy!$F$11=$A$3,Main!$B$43=$A66),Summary!AH23,AH66)</f>
        <v>47</v>
      </c>
      <c r="AI66" s="103">
        <f ca="1">IF(AND(Energy!$F$11=$A$3,Main!$B$43=$A66),Summary!AI23,AI66)</f>
        <v>2.7286935221916804</v>
      </c>
      <c r="AJ66" s="103">
        <f ca="1">IF(AND(Energy!$F$11=$A$3,Main!$B$43=$A66),Summary!AJ23,AJ66)</f>
        <v>0.22615372999819602</v>
      </c>
      <c r="AK66" s="103">
        <f ca="1">IF(AND(Energy!$F$11=$A$3,Main!$B$43=$A66),Summary!AK23,AK66)</f>
        <v>0.01</v>
      </c>
      <c r="AL66" s="103">
        <f ca="1">IF(AND(Energy!$F$11=$A$3,Main!$B$43=$A66),Summary!AL23,AL66)</f>
        <v>-0.55271540008685471</v>
      </c>
      <c r="AM66" s="103">
        <f ca="1">IF(AND(Energy!$F$11=$A$3,Main!$B$43=$A66),Summary!AJ83,AM66)</f>
        <v>0</v>
      </c>
    </row>
    <row r="67" spans="1:39">
      <c r="A67">
        <f t="shared" si="4"/>
        <v>4</v>
      </c>
      <c r="D67" s="1">
        <f ca="1">IF(AND(Energy!$F$11=$A$3,Main!$B$43=A67),Main!C24,D67)</f>
        <v>4.4736842105263159</v>
      </c>
      <c r="E67" s="103">
        <f ca="1">IF(AND(Energy!$F$11=$A$3,Main!$B$43=A67),Main!B24,E67)</f>
        <v>0.26666666666666666</v>
      </c>
      <c r="F67" s="103">
        <f ca="1">IF(Main!$D$6=1,U67,IF(Main!$D$6=2,N67,IF(Main!$D$6=3,K67,IF(Main!$D$6=4,V67,J67))))</f>
        <v>498.43668232463244</v>
      </c>
      <c r="G67" s="103">
        <f ca="1">IF(AND(Energy!$F$11=$A$3,Main!$B$43=A67),Weight!H24,G67)</f>
        <v>15</v>
      </c>
      <c r="H67" s="103">
        <f ca="1">IF(AND(Energy!$F$11=$A$3,Main!$B$43=A67),Weight!U24,H67)</f>
        <v>13.701587883222295</v>
      </c>
      <c r="I67" s="103">
        <f ca="1">IF(AND(Energy!$F$11=$A$3,Main!$B$43=A67),Weight!V24,I67)</f>
        <v>39.521486659897654</v>
      </c>
      <c r="J67" s="103">
        <f ca="1">IF(AND(Energy!$F$11=$A$3,Main!$B$43=A67),Weight!I24,J67)</f>
        <v>20.882250501675358</v>
      </c>
      <c r="K67" s="103">
        <f ca="1">IF(AND(Energy!$F$11=$A$3,Main!$B$43=A67),Weight!W24,K67)</f>
        <v>54.521488289908874</v>
      </c>
      <c r="L67" s="103">
        <f ca="1">IF(AND(Energy!$F$11=$A$3,Main!$B$43=A67),'Aerodynamics-Cruise'!BI24,L67)</f>
        <v>54.52148500913394</v>
      </c>
      <c r="M67" s="103">
        <f ca="1">IF(AND(Energy!$F$11=$A$3,Main!$B$43=A67),'Aerodynamics-Cruise'!BJ24,M67)</f>
        <v>2.6992782663884207</v>
      </c>
      <c r="N67" s="103">
        <f ca="1">IF(AND(Energy!$F$11=$A$3,Main!$B$43=A67),'Aerodynamics-Cruise'!BK24,N67)</f>
        <v>20.198541842846968</v>
      </c>
      <c r="O67" s="103">
        <f t="shared" ca="1" si="0"/>
        <v>149.14333717253362</v>
      </c>
      <c r="P67" s="103">
        <f ca="1">IF(AND(Energy!$F$11=$A$3,Main!$B$43=A67),'Aerodynamics-Cruise'!H24,P67)</f>
        <v>9.1537296247533728</v>
      </c>
      <c r="Q67" s="103">
        <f ca="1">IF(AND(Energy!$F$11=$A$3,Main!$B$43=A67),'Aerodynamics-Cruise'!I24,Q67)</f>
        <v>7.76323698186226</v>
      </c>
      <c r="R67" s="103">
        <f ca="1">IF(AND(Energy!$F$11=$A$3,Main!$B$43=$A67),Summary!R24,R67)</f>
        <v>4.6179910747516484</v>
      </c>
      <c r="S67" s="103">
        <f ca="1">IF(AND(Energy!$F$11=$A$3,Main!$B$43=A67),'Aerodynamics-Cruise'!W24,S67)</f>
        <v>1</v>
      </c>
      <c r="T67" s="103">
        <f ca="1">IF(AND(Energy!$F$11=$A$3,Main!$B$43=A67),'Aerodynamics-Cruise'!BL24,T67)</f>
        <v>24.708463432492614</v>
      </c>
      <c r="U67" s="103">
        <f ca="1">IF(AND(Energy!$F$11=$A$3,Main!$B$43=A67),'Propulsion-Cruise'!M24,U67)</f>
        <v>52.861799220014881</v>
      </c>
      <c r="V67" s="103">
        <f ca="1">IF(AND(Energy!$F$11=$A$3,Main!$B$43=A67),Endurance!AP24,V67)</f>
        <v>498.43668232463244</v>
      </c>
      <c r="W67" s="103">
        <f ca="1">IF(AND(Energy!$F$11=$A$3,Main!$B$43=$A67),Summary!W24,W67)</f>
        <v>1.1929824561403508</v>
      </c>
      <c r="X67" s="13">
        <f ca="1">IF(AND(Energy!$F$11=$A$3,Main!$B$43=A67),Energy!D24,X67)</f>
        <v>899.95506229174498</v>
      </c>
      <c r="Y67" s="102">
        <f ca="1">IF(AND(Energy!$F$11=$A$3,Main!$B$43=A67),'Aerodynamics-Cruise'!V24,Y67)</f>
        <v>154814.66240821837</v>
      </c>
      <c r="Z67" s="102">
        <f ca="1">IF(AND(Energy!$F$11=$A$3,Main!$B$43=$A67),Summary!Z24,Z67)</f>
        <v>116310.52101854657</v>
      </c>
      <c r="AA67" s="102">
        <f ca="1">IF(AND(Energy!$F$11=$A$3,Main!$B$43=$A67),Summary!AA24,AA67)</f>
        <v>116310.52101854657</v>
      </c>
      <c r="AB67" s="103">
        <f ca="1">IF(AND(Energy!$F$11=$A$3,Main!$B$43=$A67),Summary!AB24,AB67)</f>
        <v>4.6179910747516484</v>
      </c>
      <c r="AC67" s="103">
        <f ca="1">IF(AND(Energy!$F$11=$A$3,Main!$B$43=$A67),Summary!AC24,AC67)</f>
        <v>2.6969896098501893</v>
      </c>
      <c r="AD67" s="103">
        <f ca="1">IF(AND(Energy!$F$11=$A$3,Main!$B$43=$A67),Summary!AD24,AD67)</f>
        <v>0.41983278626099313</v>
      </c>
      <c r="AE67" s="103">
        <f ca="1">IF(AND(Energy!$F$11=$A$3,Main!$B$43=$A67),Summary!AE24,AE67)</f>
        <v>1.1929824561403508</v>
      </c>
      <c r="AF67" s="103">
        <f ca="1">IF(AND(Energy!$F$11=$A$3,Main!$B$43=$A67),Summary!AF24,AF67)</f>
        <v>16.776315789473685</v>
      </c>
      <c r="AG67" s="103">
        <f ca="1">IF(AND(Energy!$F$11=$A$3,Main!$B$43=$A67),Summary!AG24,AG67)</f>
        <v>11.002319475102192</v>
      </c>
      <c r="AH67" s="103">
        <f ca="1">IF(AND(Energy!$F$11=$A$3,Main!$B$43=$A67),Summary!AH24,AH67)</f>
        <v>47</v>
      </c>
      <c r="AI67" s="103">
        <f ca="1">IF(AND(Energy!$F$11=$A$3,Main!$B$43=$A67),Summary!AI24,AI67)</f>
        <v>2.7249999855503741</v>
      </c>
      <c r="AJ67" s="103">
        <f ca="1">IF(AND(Energy!$F$11=$A$3,Main!$B$43=$A67),Summary!AJ24,AJ67)</f>
        <v>0.22718721025676378</v>
      </c>
      <c r="AK67" s="103">
        <f ca="1">IF(AND(Energy!$F$11=$A$3,Main!$B$43=$A67),Summary!AK24,AK67)</f>
        <v>0.01</v>
      </c>
      <c r="AL67" s="103">
        <f ca="1">IF(AND(Energy!$F$11=$A$3,Main!$B$43=$A67),Summary!AL24,AL67)</f>
        <v>-0.55020105358334259</v>
      </c>
      <c r="AM67" s="103">
        <f ca="1">IF(AND(Energy!$F$11=$A$3,Main!$B$43=$A67),Summary!AJ84,AM67)</f>
        <v>0</v>
      </c>
    </row>
    <row r="68" spans="1:39">
      <c r="A68">
        <f t="shared" si="4"/>
        <v>4</v>
      </c>
      <c r="D68" s="1">
        <f ca="1">IF(AND(Energy!$F$11=$A$3,Main!$B$43=A68),Main!C25,D68)</f>
        <v>4.6315789473684212</v>
      </c>
      <c r="E68" s="103">
        <f ca="1">IF(AND(Energy!$F$11=$A$3,Main!$B$43=A68),Main!B25,E68)</f>
        <v>0.26666666666666666</v>
      </c>
      <c r="F68" s="103">
        <f ca="1">IF(Main!$D$6=1,U68,IF(Main!$D$6=2,N68,IF(Main!$D$6=3,K68,IF(Main!$D$6=4,V68,J68))))</f>
        <v>493.69676330706767</v>
      </c>
      <c r="G68" s="103">
        <f ca="1">IF(AND(Energy!$F$11=$A$3,Main!$B$43=A68),Weight!H25,G68)</f>
        <v>15</v>
      </c>
      <c r="H68" s="103">
        <f ca="1">IF(AND(Energy!$F$11=$A$3,Main!$B$43=A68),Weight!U25,H68)</f>
        <v>14.134140934616944</v>
      </c>
      <c r="I68" s="103">
        <f ca="1">IF(AND(Energy!$F$11=$A$3,Main!$B$43=A68),Weight!V25,I68)</f>
        <v>39.755458565916221</v>
      </c>
      <c r="J68" s="103">
        <f ca="1">IF(AND(Energy!$F$11=$A$3,Main!$B$43=A68),Weight!I25,J68)</f>
        <v>20.683669356299276</v>
      </c>
      <c r="K68" s="103">
        <f ca="1">IF(AND(Energy!$F$11=$A$3,Main!$B$43=A68),Weight!W25,K68)</f>
        <v>54.755460132616925</v>
      </c>
      <c r="L68" s="103">
        <f ca="1">IF(AND(Energy!$F$11=$A$3,Main!$B$43=A68),'Aerodynamics-Cruise'!BI25,L68)</f>
        <v>54.755456977926052</v>
      </c>
      <c r="M68" s="103">
        <f ca="1">IF(AND(Energy!$F$11=$A$3,Main!$B$43=A68),'Aerodynamics-Cruise'!BJ25,M68)</f>
        <v>2.6949316393233227</v>
      </c>
      <c r="N68" s="103">
        <f ca="1">IF(AND(Energy!$F$11=$A$3,Main!$B$43=A68),'Aerodynamics-Cruise'!BK25,N68)</f>
        <v>20.317939119106835</v>
      </c>
      <c r="O68" s="103">
        <f t="shared" ca="1" si="0"/>
        <v>150.34651253811666</v>
      </c>
      <c r="P68" s="103">
        <f ca="1">IF(AND(Energy!$F$11=$A$3,Main!$B$43=A68),'Aerodynamics-Cruise'!H25,P68)</f>
        <v>9.0155744799394331</v>
      </c>
      <c r="Q68" s="103">
        <f ca="1">IF(AND(Energy!$F$11=$A$3,Main!$B$43=A68),'Aerodynamics-Cruise'!I25,Q68)</f>
        <v>7.6508375008860936</v>
      </c>
      <c r="R68" s="103">
        <f ca="1">IF(AND(Energy!$F$11=$A$3,Main!$B$43=$A68),Summary!R25,R68)</f>
        <v>4.5007896281952728</v>
      </c>
      <c r="S68" s="103">
        <f ca="1">IF(AND(Energy!$F$11=$A$3,Main!$B$43=A68),'Aerodynamics-Cruise'!W25,S68)</f>
        <v>1</v>
      </c>
      <c r="T68" s="103">
        <f ca="1">IF(AND(Energy!$F$11=$A$3,Main!$B$43=A68),'Aerodynamics-Cruise'!BL25,T68)</f>
        <v>24.296356912664688</v>
      </c>
      <c r="U68" s="103">
        <f ca="1">IF(AND(Energy!$F$11=$A$3,Main!$B$43=A68),'Propulsion-Cruise'!M25,U68)</f>
        <v>52.21352165607415</v>
      </c>
      <c r="V68" s="103">
        <f ca="1">IF(AND(Energy!$F$11=$A$3,Main!$B$43=A68),Endurance!AP25,V68)</f>
        <v>493.69676330706767</v>
      </c>
      <c r="W68" s="103">
        <f ca="1">IF(AND(Energy!$F$11=$A$3,Main!$B$43=$A68),Summary!W25,W68)</f>
        <v>1.2350877192982457</v>
      </c>
      <c r="X68" s="13">
        <f ca="1">IF(AND(Energy!$F$11=$A$3,Main!$B$43=A68),Energy!D25,X68)</f>
        <v>891.39687786220111</v>
      </c>
      <c r="Y68" s="102">
        <f ca="1">IF(AND(Energy!$F$11=$A$3,Main!$B$43=A68),'Aerodynamics-Cruise'!V25,Y68)</f>
        <v>152478.0801645731</v>
      </c>
      <c r="Z68" s="102">
        <f ca="1">IF(AND(Energy!$F$11=$A$3,Main!$B$43=$A68),Summary!Z25,Z68)</f>
        <v>114623.73870196041</v>
      </c>
      <c r="AA68" s="102">
        <f ca="1">IF(AND(Energy!$F$11=$A$3,Main!$B$43=$A68),Summary!AA25,AA68)</f>
        <v>114623.73870196041</v>
      </c>
      <c r="AB68" s="103">
        <f ca="1">IF(AND(Energy!$F$11=$A$3,Main!$B$43=$A68),Summary!AB25,AB68)</f>
        <v>4.5007896281952728</v>
      </c>
      <c r="AC68" s="103">
        <f ca="1">IF(AND(Energy!$F$11=$A$3,Main!$B$43=$A68),Summary!AC25,AC68)</f>
        <v>2.6556652400785494</v>
      </c>
      <c r="AD68" s="103">
        <f ca="1">IF(AND(Energy!$F$11=$A$3,Main!$B$43=$A68),Summary!AD25,AD68)</f>
        <v>0.41633709402100733</v>
      </c>
      <c r="AE68" s="103">
        <f ca="1">IF(AND(Energy!$F$11=$A$3,Main!$B$43=$A68),Summary!AE25,AE68)</f>
        <v>1.2350877192982457</v>
      </c>
      <c r="AF68" s="103">
        <f ca="1">IF(AND(Energy!$F$11=$A$3,Main!$B$43=$A68),Summary!AF25,AF68)</f>
        <v>17.368421052631579</v>
      </c>
      <c r="AG68" s="103">
        <f ca="1">IF(AND(Energy!$F$11=$A$3,Main!$B$43=$A68),Summary!AG25,AG68)</f>
        <v>10.938093523537813</v>
      </c>
      <c r="AH68" s="103">
        <f ca="1">IF(AND(Energy!$F$11=$A$3,Main!$B$43=$A68),Summary!AH25,AH68)</f>
        <v>47</v>
      </c>
      <c r="AI68" s="103">
        <f ca="1">IF(AND(Energy!$F$11=$A$3,Main!$B$43=$A68),Summary!AI25,AI68)</f>
        <v>2.72160370678534</v>
      </c>
      <c r="AJ68" s="103">
        <f ca="1">IF(AND(Energy!$F$11=$A$3,Main!$B$43=$A68),Summary!AJ25,AJ68)</f>
        <v>0.22814554848236429</v>
      </c>
      <c r="AK68" s="103">
        <f ca="1">IF(AND(Energy!$F$11=$A$3,Main!$B$43=$A68),Summary!AK25,AK68)</f>
        <v>0.01</v>
      </c>
      <c r="AL68" s="103">
        <f ca="1">IF(AND(Energy!$F$11=$A$3,Main!$B$43=$A68),Summary!AL25,AL68)</f>
        <v>-0.54788986983545274</v>
      </c>
      <c r="AM68" s="103">
        <f ca="1">IF(AND(Energy!$F$11=$A$3,Main!$B$43=$A68),Summary!AJ85,AM68)</f>
        <v>0</v>
      </c>
    </row>
    <row r="69" spans="1:39">
      <c r="A69">
        <f t="shared" si="4"/>
        <v>4</v>
      </c>
      <c r="D69" s="1">
        <f ca="1">IF(AND(Energy!$F$11=$A$3,Main!$B$43=A69),Main!C26,D69)</f>
        <v>4.7894736842105265</v>
      </c>
      <c r="E69" s="103">
        <f ca="1">IF(AND(Energy!$F$11=$A$3,Main!$B$43=A69),Main!B26,E69)</f>
        <v>0.26666666666666666</v>
      </c>
      <c r="F69" s="103">
        <f ca="1">IF(Main!$D$6=1,U69,IF(Main!$D$6=2,N69,IF(Main!$D$6=3,K69,IF(Main!$D$6=4,V69,J69))))</f>
        <v>490.1631744321399</v>
      </c>
      <c r="G69" s="103">
        <f ca="1">IF(AND(Energy!$F$11=$A$3,Main!$B$43=A69),Weight!H26,G69)</f>
        <v>15</v>
      </c>
      <c r="H69" s="103">
        <f ca="1">IF(AND(Energy!$F$11=$A$3,Main!$B$43=A69),Weight!U26,H69)</f>
        <v>14.582208085179388</v>
      </c>
      <c r="I69" s="103">
        <f ca="1">IF(AND(Energy!$F$11=$A$3,Main!$B$43=A69),Weight!V26,I69)</f>
        <v>40.055484349849316</v>
      </c>
      <c r="J69" s="103">
        <f ca="1">IF(AND(Energy!$F$11=$A$3,Main!$B$43=A69),Weight!I26,J69)</f>
        <v>20.535627989669926</v>
      </c>
      <c r="K69" s="103">
        <f ca="1">IF(AND(Energy!$F$11=$A$3,Main!$B$43=A69),Weight!W26,K69)</f>
        <v>55.055485866777005</v>
      </c>
      <c r="L69" s="103">
        <f ca="1">IF(AND(Energy!$F$11=$A$3,Main!$B$43=A69),'Aerodynamics-Cruise'!BI26,L69)</f>
        <v>55.055482810995478</v>
      </c>
      <c r="M69" s="103">
        <f ca="1">IF(AND(Energy!$F$11=$A$3,Main!$B$43=A69),'Aerodynamics-Cruise'!BJ26,M69)</f>
        <v>2.6948466926768866</v>
      </c>
      <c r="N69" s="103">
        <f ca="1">IF(AND(Energy!$F$11=$A$3,Main!$B$43=A69),'Aerodynamics-Cruise'!BK26,N69)</f>
        <v>20.429912751848203</v>
      </c>
      <c r="O69" s="103">
        <f t="shared" ref="O69:O132" ca="1" si="5">L69^(3/2)/M69</f>
        <v>151.58868993883632</v>
      </c>
      <c r="P69" s="103">
        <f ca="1">IF(AND(Energy!$F$11=$A$3,Main!$B$43=A69),'Aerodynamics-Cruise'!H26,P69)</f>
        <v>8.8899275409948952</v>
      </c>
      <c r="Q69" s="103">
        <f ca="1">IF(AND(Energy!$F$11=$A$3,Main!$B$43=A69),'Aerodynamics-Cruise'!I26,Q69)</f>
        <v>7.548552130145989</v>
      </c>
      <c r="R69" s="103">
        <f ca="1">IF(AND(Energy!$F$11=$A$3,Main!$B$43=$A69),Summary!R26,R69)</f>
        <v>4.4021952981659718</v>
      </c>
      <c r="S69" s="103">
        <f ca="1">IF(AND(Energy!$F$11=$A$3,Main!$B$43=A69),'Aerodynamics-Cruise'!W26,S69)</f>
        <v>1</v>
      </c>
      <c r="T69" s="103">
        <f ca="1">IF(AND(Energy!$F$11=$A$3,Main!$B$43=A69),'Aerodynamics-Cruise'!BL26,T69)</f>
        <v>23.95699183198726</v>
      </c>
      <c r="U69" s="103">
        <f ca="1">IF(AND(Energy!$F$11=$A$3,Main!$B$43=A69),'Propulsion-Cruise'!M26,U69)</f>
        <v>51.699391744314291</v>
      </c>
      <c r="V69" s="103">
        <f ca="1">IF(AND(Energy!$F$11=$A$3,Main!$B$43=A69),Endurance!AP26,V69)</f>
        <v>490.1631744321399</v>
      </c>
      <c r="W69" s="103">
        <f ca="1">IF(AND(Energy!$F$11=$A$3,Main!$B$43=$A69),Summary!W26,W69)</f>
        <v>1.2771929824561403</v>
      </c>
      <c r="X69" s="13">
        <f ca="1">IF(AND(Energy!$F$11=$A$3,Main!$B$43=A69),Energy!D26,X69)</f>
        <v>885.01678901201831</v>
      </c>
      <c r="Y69" s="102">
        <f ca="1">IF(AND(Energy!$F$11=$A$3,Main!$B$43=A69),'Aerodynamics-Cruise'!V26,Y69)</f>
        <v>150353.04597274782</v>
      </c>
      <c r="Z69" s="102">
        <f ca="1">IF(AND(Energy!$F$11=$A$3,Main!$B$43=$A69),Summary!Z26,Z69)</f>
        <v>113088.77561242691</v>
      </c>
      <c r="AA69" s="102">
        <f ca="1">IF(AND(Energy!$F$11=$A$3,Main!$B$43=$A69),Summary!AA26,AA69)</f>
        <v>113088.77561242691</v>
      </c>
      <c r="AB69" s="103">
        <f ca="1">IF(AND(Energy!$F$11=$A$3,Main!$B$43=$A69),Summary!AB26,AB69)</f>
        <v>4.4021952981659718</v>
      </c>
      <c r="AC69" s="103">
        <f ca="1">IF(AND(Energy!$F$11=$A$3,Main!$B$43=$A69),Summary!AC26,AC69)</f>
        <v>2.613332742881104</v>
      </c>
      <c r="AD69" s="103">
        <f ca="1">IF(AND(Energy!$F$11=$A$3,Main!$B$43=$A69),Summary!AD26,AD69)</f>
        <v>0.41332757158848737</v>
      </c>
      <c r="AE69" s="103">
        <f ca="1">IF(AND(Energy!$F$11=$A$3,Main!$B$43=$A69),Summary!AE26,AE69)</f>
        <v>1.2771929824561403</v>
      </c>
      <c r="AF69" s="103">
        <f ca="1">IF(AND(Energy!$F$11=$A$3,Main!$B$43=$A69),Summary!AF26,AF69)</f>
        <v>17.960526315789476</v>
      </c>
      <c r="AG69" s="103">
        <f ca="1">IF(AND(Energy!$F$11=$A$3,Main!$B$43=$A69),Summary!AG26,AG69)</f>
        <v>10.889430686359518</v>
      </c>
      <c r="AH69" s="103">
        <f ca="1">IF(AND(Energy!$F$11=$A$3,Main!$B$43=$A69),Summary!AH26,AH69)</f>
        <v>47</v>
      </c>
      <c r="AI69" s="103">
        <f ca="1">IF(AND(Energy!$F$11=$A$3,Main!$B$43=$A69),Summary!AI26,AI69)</f>
        <v>2.7184738455056046</v>
      </c>
      <c r="AJ69" s="103">
        <f ca="1">IF(AND(Energy!$F$11=$A$3,Main!$B$43=$A69),Summary!AJ26,AJ69)</f>
        <v>0.2290357745073438</v>
      </c>
      <c r="AK69" s="103">
        <f ca="1">IF(AND(Energy!$F$11=$A$3,Main!$B$43=$A69),Summary!AK26,AK69)</f>
        <v>0.01</v>
      </c>
      <c r="AL69" s="103">
        <f ca="1">IF(AND(Energy!$F$11=$A$3,Main!$B$43=$A69),Summary!AL26,AL69)</f>
        <v>-0.54576027254116555</v>
      </c>
      <c r="AM69" s="103">
        <f ca="1">IF(AND(Energy!$F$11=$A$3,Main!$B$43=$A69),Summary!AJ86,AM69)</f>
        <v>0</v>
      </c>
    </row>
    <row r="70" spans="1:39">
      <c r="A70">
        <f t="shared" si="4"/>
        <v>4</v>
      </c>
      <c r="D70" s="1">
        <f ca="1">IF(AND(Energy!$F$11=$A$3,Main!$B$43=A70),Main!C27,D70)</f>
        <v>4.9473684210526319</v>
      </c>
      <c r="E70" s="103">
        <f ca="1">IF(AND(Energy!$F$11=$A$3,Main!$B$43=A70),Main!B27,E70)</f>
        <v>0.26666666666666666</v>
      </c>
      <c r="F70" s="103">
        <f ca="1">IF(Main!$D$6=1,U70,IF(Main!$D$6=2,N70,IF(Main!$D$6=3,K70,IF(Main!$D$6=4,V70,J70))))</f>
        <v>487.67442218018061</v>
      </c>
      <c r="G70" s="103">
        <f ca="1">IF(AND(Energy!$F$11=$A$3,Main!$B$43=A70),Weight!H27,G70)</f>
        <v>15</v>
      </c>
      <c r="H70" s="103">
        <f ca="1">IF(AND(Energy!$F$11=$A$3,Main!$B$43=A70),Weight!U27,H70)</f>
        <v>15.045396269068831</v>
      </c>
      <c r="I70" s="103">
        <f ca="1">IF(AND(Energy!$F$11=$A$3,Main!$B$43=A70),Weight!V27,I70)</f>
        <v>40.414405098535312</v>
      </c>
      <c r="J70" s="103">
        <f ca="1">IF(AND(Energy!$F$11=$A$3,Main!$B$43=A70),Weight!I27,J70)</f>
        <v>20.431360554466483</v>
      </c>
      <c r="K70" s="103">
        <f ca="1">IF(AND(Energy!$F$11=$A$3,Main!$B$43=A70),Weight!W27,K70)</f>
        <v>55.414406576898251</v>
      </c>
      <c r="L70" s="103">
        <f ca="1">IF(AND(Energy!$F$11=$A$3,Main!$B$43=A70),'Aerodynamics-Cruise'!BI27,L70)</f>
        <v>55.414403597534893</v>
      </c>
      <c r="M70" s="103">
        <f ca="1">IF(AND(Energy!$F$11=$A$3,Main!$B$43=A70),'Aerodynamics-Cruise'!BJ27,M70)</f>
        <v>2.6984862839101798</v>
      </c>
      <c r="N70" s="103">
        <f ca="1">IF(AND(Energy!$F$11=$A$3,Main!$B$43=A70),'Aerodynamics-Cruise'!BK27,N70)</f>
        <v>20.535366041304432</v>
      </c>
      <c r="O70" s="103">
        <f t="shared" ca="1" si="5"/>
        <v>152.86701322835023</v>
      </c>
      <c r="P70" s="103">
        <f ca="1">IF(AND(Energy!$F$11=$A$3,Main!$B$43=A70),'Aerodynamics-Cruise'!H27,P70)</f>
        <v>8.7753379994123737</v>
      </c>
      <c r="Q70" s="103">
        <f ca="1">IF(AND(Energy!$F$11=$A$3,Main!$B$43=A70),'Aerodynamics-Cruise'!I27,Q70)</f>
        <v>7.4552158202369565</v>
      </c>
      <c r="R70" s="103">
        <f ca="1">IF(AND(Energy!$F$11=$A$3,Main!$B$43=$A70),Summary!R27,R70)</f>
        <v>4.3194734825204728</v>
      </c>
      <c r="S70" s="103">
        <f ca="1">IF(AND(Energy!$F$11=$A$3,Main!$B$43=A70),'Aerodynamics-Cruise'!W27,S70)</f>
        <v>1</v>
      </c>
      <c r="T70" s="103">
        <f ca="1">IF(AND(Energy!$F$11=$A$3,Main!$B$43=A70),'Aerodynamics-Cruise'!BL27,T70)</f>
        <v>23.680129228090088</v>
      </c>
      <c r="U70" s="103">
        <f ca="1">IF(AND(Energy!$F$11=$A$3,Main!$B$43=A70),'Propulsion-Cruise'!M27,U70)</f>
        <v>51.301091952076369</v>
      </c>
      <c r="V70" s="103">
        <f ca="1">IF(AND(Energy!$F$11=$A$3,Main!$B$43=A70),Endurance!AP27,V70)</f>
        <v>487.67442218018061</v>
      </c>
      <c r="W70" s="103">
        <f ca="1">IF(AND(Energy!$F$11=$A$3,Main!$B$43=$A70),Summary!W27,W70)</f>
        <v>1.3192982456140352</v>
      </c>
      <c r="X70" s="13">
        <f ca="1">IF(AND(Energy!$F$11=$A$3,Main!$B$43=A70),Energy!D27,X70)</f>
        <v>880.5232103091106</v>
      </c>
      <c r="Y70" s="102">
        <f ca="1">IF(AND(Energy!$F$11=$A$3,Main!$B$43=A70),'Aerodynamics-Cruise'!V27,Y70)</f>
        <v>148415.02268356981</v>
      </c>
      <c r="Z70" s="102">
        <f ca="1">IF(AND(Energy!$F$11=$A$3,Main!$B$43=$A70),Summary!Z27,Z70)</f>
        <v>111688.1388751039</v>
      </c>
      <c r="AA70" s="102">
        <f ca="1">IF(AND(Energy!$F$11=$A$3,Main!$B$43=$A70),Summary!AA27,AA70)</f>
        <v>111688.1388751039</v>
      </c>
      <c r="AB70" s="103">
        <f ca="1">IF(AND(Energy!$F$11=$A$3,Main!$B$43=$A70),Summary!AB27,AB70)</f>
        <v>4.3194734825204728</v>
      </c>
      <c r="AC70" s="103">
        <f ca="1">IF(AND(Energy!$F$11=$A$3,Main!$B$43=$A70),Summary!AC27,AC70)</f>
        <v>2.5703577294070059</v>
      </c>
      <c r="AD70" s="103">
        <f ca="1">IF(AND(Energy!$F$11=$A$3,Main!$B$43=$A70),Summary!AD27,AD70)</f>
        <v>0.4107462817353732</v>
      </c>
      <c r="AE70" s="103">
        <f ca="1">IF(AND(Energy!$F$11=$A$3,Main!$B$43=$A70),Summary!AE27,AE70)</f>
        <v>1.3192982456140352</v>
      </c>
      <c r="AF70" s="103">
        <f ca="1">IF(AND(Energy!$F$11=$A$3,Main!$B$43=$A70),Summary!AF27,AF70)</f>
        <v>18.55263157894737</v>
      </c>
      <c r="AG70" s="103">
        <f ca="1">IF(AND(Energy!$F$11=$A$3,Main!$B$43=$A70),Summary!AG27,AG70)</f>
        <v>10.854313750289347</v>
      </c>
      <c r="AH70" s="103">
        <f ca="1">IF(AND(Energy!$F$11=$A$3,Main!$B$43=$A70),Summary!AH27,AH70)</f>
        <v>47</v>
      </c>
      <c r="AI70" s="103">
        <f ca="1">IF(AND(Energy!$F$11=$A$3,Main!$B$43=$A70),Summary!AI27,AI70)</f>
        <v>2.7155843721958273</v>
      </c>
      <c r="AJ70" s="103">
        <f ca="1">IF(AND(Energy!$F$11=$A$3,Main!$B$43=$A70),Summary!AJ27,AJ70)</f>
        <v>0.22986395862179604</v>
      </c>
      <c r="AK70" s="103">
        <f ca="1">IF(AND(Energy!$F$11=$A$3,Main!$B$43=$A70),Summary!AK27,AK70)</f>
        <v>0.01</v>
      </c>
      <c r="AL70" s="103">
        <f ca="1">IF(AND(Energy!$F$11=$A$3,Main!$B$43=$A70),Summary!AL27,AL70)</f>
        <v>-0.54379389811944101</v>
      </c>
      <c r="AM70" s="103">
        <f ca="1">IF(AND(Energy!$F$11=$A$3,Main!$B$43=$A70),Summary!AJ87,AM70)</f>
        <v>0</v>
      </c>
    </row>
    <row r="71" spans="1:39">
      <c r="A71">
        <f t="shared" si="4"/>
        <v>4</v>
      </c>
      <c r="D71" s="1">
        <f ca="1">IF(AND(Energy!$F$11=$A$3,Main!$B$43=A71),Main!C28,D71)</f>
        <v>5.1052631578947372</v>
      </c>
      <c r="E71" s="103">
        <f ca="1">IF(AND(Energy!$F$11=$A$3,Main!$B$43=A71),Main!B28,E71)</f>
        <v>0.26666666666666666</v>
      </c>
      <c r="F71" s="103">
        <f ca="1">IF(Main!$D$6=1,U71,IF(Main!$D$6=2,N71,IF(Main!$D$6=3,K71,IF(Main!$D$6=4,V71,J71))))</f>
        <v>486.10028793570729</v>
      </c>
      <c r="G71" s="103">
        <f ca="1">IF(AND(Energy!$F$11=$A$3,Main!$B$43=A71),Weight!H28,G71)</f>
        <v>15</v>
      </c>
      <c r="H71" s="103">
        <f ca="1">IF(AND(Energy!$F$11=$A$3,Main!$B$43=A71),Weight!U28,H71)</f>
        <v>15.523417099907164</v>
      </c>
      <c r="I71" s="103">
        <f ca="1">IF(AND(Energy!$F$11=$A$3,Main!$B$43=A71),Weight!V28,I71)</f>
        <v>40.826476854994596</v>
      </c>
      <c r="J71" s="103">
        <f ca="1">IF(AND(Energy!$F$11=$A$3,Main!$B$43=A71),Weight!I28,J71)</f>
        <v>20.365411480087435</v>
      </c>
      <c r="K71" s="103">
        <f ca="1">IF(AND(Energy!$F$11=$A$3,Main!$B$43=A71),Weight!W28,K71)</f>
        <v>55.826478304214191</v>
      </c>
      <c r="L71" s="103">
        <f ca="1">IF(AND(Energy!$F$11=$A$3,Main!$B$43=A71),'Aerodynamics-Cruise'!BI28,L71)</f>
        <v>55.826475382372095</v>
      </c>
      <c r="M71" s="103">
        <f ca="1">IF(AND(Energy!$F$11=$A$3,Main!$B$43=A71),'Aerodynamics-Cruise'!BJ28,M71)</f>
        <v>2.7054113241554565</v>
      </c>
      <c r="N71" s="103">
        <f ca="1">IF(AND(Energy!$F$11=$A$3,Main!$B$43=A71),'Aerodynamics-Cruise'!BK28,N71)</f>
        <v>20.635115586277568</v>
      </c>
      <c r="O71" s="103">
        <f t="shared" ca="1" si="5"/>
        <v>154.17963407968571</v>
      </c>
      <c r="P71" s="103">
        <f ca="1">IF(AND(Energy!$F$11=$A$3,Main!$B$43=A71),'Aerodynamics-Cruise'!H28,P71)</f>
        <v>8.6705910607059895</v>
      </c>
      <c r="Q71" s="103">
        <f ca="1">IF(AND(Energy!$F$11=$A$3,Main!$B$43=A71),'Aerodynamics-Cruise'!I28,Q71)</f>
        <v>7.3698522556339219</v>
      </c>
      <c r="R71" s="103">
        <f ca="1">IF(AND(Energy!$F$11=$A$3,Main!$B$43=$A71),Summary!R28,R71)</f>
        <v>4.2504493113267712</v>
      </c>
      <c r="S71" s="103">
        <f ca="1">IF(AND(Energy!$F$11=$A$3,Main!$B$43=A71),'Aerodynamics-Cruise'!W28,S71)</f>
        <v>1</v>
      </c>
      <c r="T71" s="103">
        <f ca="1">IF(AND(Energy!$F$11=$A$3,Main!$B$43=A71),'Aerodynamics-Cruise'!BL28,T71)</f>
        <v>23.457515242755054</v>
      </c>
      <c r="U71" s="103">
        <f ca="1">IF(AND(Energy!$F$11=$A$3,Main!$B$43=A71),'Propulsion-Cruise'!M28,U71)</f>
        <v>51.003842003602479</v>
      </c>
      <c r="V71" s="103">
        <f ca="1">IF(AND(Energy!$F$11=$A$3,Main!$B$43=A71),Endurance!AP28,V71)</f>
        <v>486.10028793570729</v>
      </c>
      <c r="W71" s="103">
        <f ca="1">IF(AND(Energy!$F$11=$A$3,Main!$B$43=$A71),Summary!W28,W71)</f>
        <v>1.3614035087719298</v>
      </c>
      <c r="X71" s="13">
        <f ca="1">IF(AND(Energy!$F$11=$A$3,Main!$B$43=A71),Energy!D28,X71)</f>
        <v>877.68102487737383</v>
      </c>
      <c r="Y71" s="102">
        <f ca="1">IF(AND(Energy!$F$11=$A$3,Main!$B$43=A71),'Aerodynamics-Cruise'!V28,Y71)</f>
        <v>146643.46479198962</v>
      </c>
      <c r="Z71" s="102">
        <f ca="1">IF(AND(Energy!$F$11=$A$3,Main!$B$43=$A71),Summary!Z28,Z71)</f>
        <v>110407.16986482727</v>
      </c>
      <c r="AA71" s="102">
        <f ca="1">IF(AND(Energy!$F$11=$A$3,Main!$B$43=$A71),Summary!AA28,AA71)</f>
        <v>110407.16986482727</v>
      </c>
      <c r="AB71" s="103">
        <f ca="1">IF(AND(Energy!$F$11=$A$3,Main!$B$43=$A71),Summary!AB28,AB71)</f>
        <v>4.2504493113267712</v>
      </c>
      <c r="AC71" s="103">
        <f ca="1">IF(AND(Energy!$F$11=$A$3,Main!$B$43=$A71),Summary!AC28,AC71)</f>
        <v>2.5270267092482666</v>
      </c>
      <c r="AD71" s="103">
        <f ca="1">IF(AND(Energy!$F$11=$A$3,Main!$B$43=$A71),Summary!AD28,AD71)</f>
        <v>0.40854497043789428</v>
      </c>
      <c r="AE71" s="103">
        <f ca="1">IF(AND(Energy!$F$11=$A$3,Main!$B$43=$A71),Summary!AE28,AE71)</f>
        <v>1.3614035087719298</v>
      </c>
      <c r="AF71" s="103">
        <f ca="1">IF(AND(Energy!$F$11=$A$3,Main!$B$43=$A71),Summary!AF28,AF71)</f>
        <v>19.144736842105267</v>
      </c>
      <c r="AG71" s="103">
        <f ca="1">IF(AND(Energy!$F$11=$A$3,Main!$B$43=$A71),Summary!AG28,AG71)</f>
        <v>10.831093022092503</v>
      </c>
      <c r="AH71" s="103">
        <f ca="1">IF(AND(Energy!$F$11=$A$3,Main!$B$43=$A71),Summary!AH28,AH71)</f>
        <v>47</v>
      </c>
      <c r="AI71" s="103">
        <f ca="1">IF(AND(Energy!$F$11=$A$3,Main!$B$43=$A71),Summary!AI28,AI71)</f>
        <v>2.7129130837902107</v>
      </c>
      <c r="AJ71" s="103">
        <f ca="1">IF(AND(Energy!$F$11=$A$3,Main!$B$43=$A71),Summary!AJ28,AJ71)</f>
        <v>0.23063538385833998</v>
      </c>
      <c r="AK71" s="103">
        <f ca="1">IF(AND(Energy!$F$11=$A$3,Main!$B$43=$A71),Summary!AK28,AK71)</f>
        <v>0.01</v>
      </c>
      <c r="AL71" s="103">
        <f ca="1">IF(AND(Energy!$F$11=$A$3,Main!$B$43=$A71),Summary!AL28,AL71)</f>
        <v>-0.54197498657393095</v>
      </c>
      <c r="AM71" s="103">
        <f ca="1">IF(AND(Energy!$F$11=$A$3,Main!$B$43=$A71),Summary!AJ88,AM71)</f>
        <v>0</v>
      </c>
    </row>
    <row r="72" spans="1:39">
      <c r="A72">
        <f t="shared" si="4"/>
        <v>4</v>
      </c>
      <c r="D72" s="1">
        <f ca="1">IF(AND(Energy!$F$11=$A$3,Main!$B$43=A72),Main!C29,D72)</f>
        <v>5.2631578947368425</v>
      </c>
      <c r="E72" s="103">
        <f ca="1">IF(AND(Energy!$F$11=$A$3,Main!$B$43=A72),Main!B29,E72)</f>
        <v>0.26666666666666666</v>
      </c>
      <c r="F72" s="103">
        <f ca="1">IF(Main!$D$6=1,U72,IF(Main!$D$6=2,N72,IF(Main!$D$6=3,K72,IF(Main!$D$6=4,V72,J72))))</f>
        <v>485.33464834410677</v>
      </c>
      <c r="G72" s="103">
        <f ca="1">IF(AND(Energy!$F$11=$A$3,Main!$B$43=A72),Weight!H29,G72)</f>
        <v>15</v>
      </c>
      <c r="H72" s="103">
        <f ca="1">IF(AND(Energy!$F$11=$A$3,Main!$B$43=A72),Weight!U29,H72)</f>
        <v>16.01606422139605</v>
      </c>
      <c r="I72" s="103">
        <f ca="1">IF(AND(Energy!$F$11=$A$3,Main!$B$43=A72),Weight!V29,I72)</f>
        <v>41.287047174582717</v>
      </c>
      <c r="J72" s="103">
        <f ca="1">IF(AND(Energy!$F$11=$A$3,Main!$B$43=A72),Weight!I29,J72)</f>
        <v>20.333334678186667</v>
      </c>
      <c r="K72" s="103">
        <f ca="1">IF(AND(Energy!$F$11=$A$3,Main!$B$43=A72),Weight!W29,K72)</f>
        <v>56.287048602686461</v>
      </c>
      <c r="L72" s="103">
        <f ca="1">IF(AND(Energy!$F$11=$A$3,Main!$B$43=A72),'Aerodynamics-Cruise'!BI29,L72)</f>
        <v>56.28704572227344</v>
      </c>
      <c r="M72" s="103">
        <f ca="1">IF(AND(Energy!$F$11=$A$3,Main!$B$43=A72),'Aerodynamics-Cruise'!BJ29,M72)</f>
        <v>2.7152592250085852</v>
      </c>
      <c r="N72" s="103">
        <f ca="1">IF(AND(Energy!$F$11=$A$3,Main!$B$43=A72),'Aerodynamics-Cruise'!BK29,N72)</f>
        <v>20.729897611192342</v>
      </c>
      <c r="O72" s="103">
        <f t="shared" ca="1" si="5"/>
        <v>155.52542059257274</v>
      </c>
      <c r="P72" s="103">
        <f ca="1">IF(AND(Energy!$F$11=$A$3,Main!$B$43=A72),'Aerodynamics-Cruise'!H29,P72)</f>
        <v>8.5746595755542359</v>
      </c>
      <c r="Q72" s="103">
        <f ca="1">IF(AND(Energy!$F$11=$A$3,Main!$B$43=A72),'Aerodynamics-Cruise'!I29,Q72)</f>
        <v>7.2916352745911039</v>
      </c>
      <c r="R72" s="103">
        <f ca="1">IF(AND(Energy!$F$11=$A$3,Main!$B$43=$A72),Summary!R29,R72)</f>
        <v>4.1933728287774477</v>
      </c>
      <c r="S72" s="103">
        <f ca="1">IF(AND(Energy!$F$11=$A$3,Main!$B$43=A72),'Aerodynamics-Cruise'!W29,S72)</f>
        <v>1</v>
      </c>
      <c r="T72" s="103">
        <f ca="1">IF(AND(Energy!$F$11=$A$3,Main!$B$43=A72),'Aerodynamics-Cruise'!BL29,T72)</f>
        <v>23.282423513831837</v>
      </c>
      <c r="U72" s="103">
        <f ca="1">IF(AND(Energy!$F$11=$A$3,Main!$B$43=A72),'Propulsion-Cruise'!M29,U72)</f>
        <v>50.795586544038677</v>
      </c>
      <c r="V72" s="103">
        <f ca="1">IF(AND(Energy!$F$11=$A$3,Main!$B$43=A72),Endurance!AP29,V72)</f>
        <v>485.33464834410677</v>
      </c>
      <c r="W72" s="103">
        <f ca="1">IF(AND(Energy!$F$11=$A$3,Main!$B$43=$A72),Summary!W29,W72)</f>
        <v>1.4035087719298247</v>
      </c>
      <c r="X72" s="13">
        <f ca="1">IF(AND(Energy!$F$11=$A$3,Main!$B$43=A72),Energy!D29,X72)</f>
        <v>876.29862115763376</v>
      </c>
      <c r="Y72" s="102">
        <f ca="1">IF(AND(Energy!$F$11=$A$3,Main!$B$43=A72),'Aerodynamics-Cruise'!V29,Y72)</f>
        <v>145021.00038710638</v>
      </c>
      <c r="Z72" s="102">
        <f ca="1">IF(AND(Energy!$F$11=$A$3,Main!$B$43=$A72),Summary!Z29,Z72)</f>
        <v>109233.46478401318</v>
      </c>
      <c r="AA72" s="102">
        <f ca="1">IF(AND(Energy!$F$11=$A$3,Main!$B$43=$A72),Summary!AA29,AA72)</f>
        <v>109233.46478401318</v>
      </c>
      <c r="AB72" s="103">
        <f ca="1">IF(AND(Energy!$F$11=$A$3,Main!$B$43=$A72),Summary!AB29,AB72)</f>
        <v>4.1933728287774477</v>
      </c>
      <c r="AC72" s="103">
        <f ca="1">IF(AND(Energy!$F$11=$A$3,Main!$B$43=$A72),Summary!AC29,AC72)</f>
        <v>2.4835651516804438</v>
      </c>
      <c r="AD72" s="103">
        <f ca="1">IF(AND(Energy!$F$11=$A$3,Main!$B$43=$A72),Summary!AD29,AD72)</f>
        <v>0.40668305249900666</v>
      </c>
      <c r="AE72" s="103">
        <f ca="1">IF(AND(Energy!$F$11=$A$3,Main!$B$43=$A72),Summary!AE29,AE72)</f>
        <v>1.4035087719298247</v>
      </c>
      <c r="AF72" s="103">
        <f ca="1">IF(AND(Energy!$F$11=$A$3,Main!$B$43=$A72),Summary!AF29,AF72)</f>
        <v>19.736842105263161</v>
      </c>
      <c r="AG72" s="103">
        <f ca="1">IF(AND(Energy!$F$11=$A$3,Main!$B$43=$A72),Summary!AG29,AG72)</f>
        <v>10.818405525640779</v>
      </c>
      <c r="AH72" s="103">
        <f ca="1">IF(AND(Energy!$F$11=$A$3,Main!$B$43=$A72),Summary!AH29,AH72)</f>
        <v>47</v>
      </c>
      <c r="AI72" s="103">
        <f ca="1">IF(AND(Energy!$F$11=$A$3,Main!$B$43=$A72),Summary!AI29,AI72)</f>
        <v>2.7104408633977282</v>
      </c>
      <c r="AJ72" s="103">
        <f ca="1">IF(AND(Energy!$F$11=$A$3,Main!$B$43=$A72),Summary!AJ29,AJ72)</f>
        <v>0.23135468005366908</v>
      </c>
      <c r="AK72" s="103">
        <f ca="1">IF(AND(Energy!$F$11=$A$3,Main!$B$43=$A72),Summary!AK29,AK72)</f>
        <v>0.01</v>
      </c>
      <c r="AL72" s="103">
        <f ca="1">IF(AND(Energy!$F$11=$A$3,Main!$B$43=$A72),Summary!AL29,AL72)</f>
        <v>-0.54028991187191289</v>
      </c>
      <c r="AM72" s="103">
        <f ca="1">IF(AND(Energy!$F$11=$A$3,Main!$B$43=$A72),Summary!AJ89,AM72)</f>
        <v>0</v>
      </c>
    </row>
    <row r="73" spans="1:39">
      <c r="A73">
        <f t="shared" si="4"/>
        <v>4</v>
      </c>
      <c r="D73" s="1">
        <f ca="1">IF(AND(Energy!$F$11=$A$3,Main!$B$43=A73),Main!C30,D73)</f>
        <v>5.4210526315789478</v>
      </c>
      <c r="E73" s="103">
        <f ca="1">IF(AND(Energy!$F$11=$A$3,Main!$B$43=A73),Main!B30,E73)</f>
        <v>0.26666666666666666</v>
      </c>
      <c r="F73" s="103">
        <f ca="1">IF(Main!$D$6=1,U73,IF(Main!$D$6=2,N73,IF(Main!$D$6=3,K73,IF(Main!$D$6=4,V73,J73))))</f>
        <v>485.29020278843302</v>
      </c>
      <c r="G73" s="103">
        <f ca="1">IF(AND(Energy!$F$11=$A$3,Main!$B$43=A73),Weight!H30,G73)</f>
        <v>15</v>
      </c>
      <c r="H73" s="103">
        <f ca="1">IF(AND(Energy!$F$11=$A$3,Main!$B$43=A73),Weight!U30,H73)</f>
        <v>16.523196499230686</v>
      </c>
      <c r="I73" s="103">
        <f ca="1">IF(AND(Energy!$F$11=$A$3,Main!$B$43=A73),Weight!V30,I73)</f>
        <v>41.792317421839286</v>
      </c>
      <c r="J73" s="103">
        <f ca="1">IF(AND(Energy!$F$11=$A$3,Main!$B$43=A73),Weight!I30,J73)</f>
        <v>20.331472647608603</v>
      </c>
      <c r="K73" s="103">
        <f ca="1">IF(AND(Energy!$F$11=$A$3,Main!$B$43=A73),Weight!W30,K73)</f>
        <v>56.792318835909434</v>
      </c>
      <c r="L73" s="103">
        <f ca="1">IF(AND(Energy!$F$11=$A$3,Main!$B$43=A73),'Aerodynamics-Cruise'!BI30,L73)</f>
        <v>56.792315982736689</v>
      </c>
      <c r="M73" s="103">
        <f ca="1">IF(AND(Energy!$F$11=$A$3,Main!$B$43=A73),'Aerodynamics-Cruise'!BJ30,M73)</f>
        <v>2.7277278687452324</v>
      </c>
      <c r="N73" s="103">
        <f ca="1">IF(AND(Energy!$F$11=$A$3,Main!$B$43=A73),'Aerodynamics-Cruise'!BK30,N73)</f>
        <v>20.820374581156962</v>
      </c>
      <c r="O73" s="103">
        <f t="shared" ca="1" si="5"/>
        <v>156.90375183559013</v>
      </c>
      <c r="P73" s="103">
        <f ca="1">IF(AND(Energy!$F$11=$A$3,Main!$B$43=A73),'Aerodynamics-Cruise'!H30,P73)</f>
        <v>8.4866674753414095</v>
      </c>
      <c r="Q73" s="103">
        <f ca="1">IF(AND(Energy!$F$11=$A$3,Main!$B$43=A73),'Aerodynamics-Cruise'!I30,Q73)</f>
        <v>7.2198596884502892</v>
      </c>
      <c r="R73" s="103">
        <f ca="1">IF(AND(Energy!$F$11=$A$3,Main!$B$43=$A73),Summary!R30,R73)</f>
        <v>4.1468215641676078</v>
      </c>
      <c r="S73" s="103">
        <f ca="1">IF(AND(Energy!$F$11=$A$3,Main!$B$43=A73),'Aerodynamics-Cruise'!W30,S73)</f>
        <v>1</v>
      </c>
      <c r="T73" s="103">
        <f ca="1">IF(AND(Energy!$F$11=$A$3,Main!$B$43=A73),'Aerodynamics-Cruise'!BL30,T73)</f>
        <v>23.149319385262505</v>
      </c>
      <c r="U73" s="103">
        <f ca="1">IF(AND(Energy!$F$11=$A$3,Main!$B$43=A73),'Propulsion-Cruise'!M30,U73)</f>
        <v>50.66639859909332</v>
      </c>
      <c r="V73" s="103">
        <f ca="1">IF(AND(Energy!$F$11=$A$3,Main!$B$43=A73),Endurance!AP30,V73)</f>
        <v>485.29020278843302</v>
      </c>
      <c r="W73" s="103">
        <f ca="1">IF(AND(Energy!$F$11=$A$3,Main!$B$43=$A73),Summary!W30,W73)</f>
        <v>1.4456140350877194</v>
      </c>
      <c r="X73" s="13">
        <f ca="1">IF(AND(Energy!$F$11=$A$3,Main!$B$43=A73),Energy!D30,X73)</f>
        <v>876.21837307242902</v>
      </c>
      <c r="Y73" s="102">
        <f ca="1">IF(AND(Energy!$F$11=$A$3,Main!$B$43=A73),'Aerodynamics-Cruise'!V30,Y73)</f>
        <v>143532.81274693389</v>
      </c>
      <c r="Z73" s="102">
        <f ca="1">IF(AND(Energy!$F$11=$A$3,Main!$B$43=$A73),Summary!Z30,Z73)</f>
        <v>108156.43641660792</v>
      </c>
      <c r="AA73" s="102">
        <f ca="1">IF(AND(Energy!$F$11=$A$3,Main!$B$43=$A73),Summary!AA30,AA73)</f>
        <v>108156.43641660792</v>
      </c>
      <c r="AB73" s="103">
        <f ca="1">IF(AND(Energy!$F$11=$A$3,Main!$B$43=$A73),Summary!AB30,AB73)</f>
        <v>4.1468215641676078</v>
      </c>
      <c r="AC73" s="103">
        <f ca="1">IF(AND(Energy!$F$11=$A$3,Main!$B$43=$A73),Summary!AC30,AC73)</f>
        <v>2.4401509875510143</v>
      </c>
      <c r="AD73" s="103">
        <f ca="1">IF(AND(Energy!$F$11=$A$3,Main!$B$43=$A73),Summary!AD30,AD73)</f>
        <v>0.40512609352663947</v>
      </c>
      <c r="AE73" s="103">
        <f ca="1">IF(AND(Energy!$F$11=$A$3,Main!$B$43=$A73),Summary!AE30,AE73)</f>
        <v>1.4456140350877194</v>
      </c>
      <c r="AF73" s="103">
        <f ca="1">IF(AND(Energy!$F$11=$A$3,Main!$B$43=$A73),Summary!AF30,AF73)</f>
        <v>20.328947368421055</v>
      </c>
      <c r="AG73" s="103">
        <f ca="1">IF(AND(Energy!$F$11=$A$3,Main!$B$43=$A73),Summary!AG30,AG73)</f>
        <v>10.815114892743585</v>
      </c>
      <c r="AH73" s="103">
        <f ca="1">IF(AND(Energy!$F$11=$A$3,Main!$B$43=$A73),Summary!AH30,AH73)</f>
        <v>47</v>
      </c>
      <c r="AI73" s="103">
        <f ca="1">IF(AND(Energy!$F$11=$A$3,Main!$B$43=$A73),Summary!AI30,AI73)</f>
        <v>2.7081511139447896</v>
      </c>
      <c r="AJ73" s="103">
        <f ca="1">IF(AND(Energy!$F$11=$A$3,Main!$B$43=$A73),Summary!AJ30,AJ73)</f>
        <v>0.23202597125136948</v>
      </c>
      <c r="AK73" s="103">
        <f ca="1">IF(AND(Energy!$F$11=$A$3,Main!$B$43=$A73),Summary!AK30,AK73)</f>
        <v>0.01</v>
      </c>
      <c r="AL73" s="103">
        <f ca="1">IF(AND(Energy!$F$11=$A$3,Main!$B$43=$A73),Summary!AL30,AL73)</f>
        <v>-0.53872671747337053</v>
      </c>
      <c r="AM73" s="103">
        <f ca="1">IF(AND(Energy!$F$11=$A$3,Main!$B$43=$A73),Summary!AJ90,AM73)</f>
        <v>0</v>
      </c>
    </row>
    <row r="74" spans="1:39">
      <c r="A74">
        <f t="shared" si="4"/>
        <v>4</v>
      </c>
      <c r="D74" s="1">
        <f ca="1">IF(AND(Energy!$F$11=$A$3,Main!$B$43=A74),Main!C31,D74)</f>
        <v>5.5789473684210531</v>
      </c>
      <c r="E74" s="103">
        <f ca="1">IF(AND(Energy!$F$11=$A$3,Main!$B$43=A74),Main!B31,E74)</f>
        <v>0.26666666666666666</v>
      </c>
      <c r="F74" s="103">
        <f ca="1">IF(Main!$D$6=1,U74,IF(Main!$D$6=2,N74,IF(Main!$D$6=3,K74,IF(Main!$D$6=4,V74,J74))))</f>
        <v>485.89453969982213</v>
      </c>
      <c r="G74" s="103">
        <f ca="1">IF(AND(Energy!$F$11=$A$3,Main!$B$43=A74),Weight!H31,G74)</f>
        <v>15</v>
      </c>
      <c r="H74" s="103">
        <f ca="1">IF(AND(Energy!$F$11=$A$3,Main!$B$43=A74),Weight!U31,H74)</f>
        <v>17.044725357885099</v>
      </c>
      <c r="I74" s="103">
        <f ca="1">IF(AND(Energy!$F$11=$A$3,Main!$B$43=A74),Weight!V31,I74)</f>
        <v>42.339165304254891</v>
      </c>
      <c r="J74" s="103">
        <f ca="1">IF(AND(Energy!$F$11=$A$3,Main!$B$43=A74),Weight!I31,J74)</f>
        <v>20.356791671369791</v>
      </c>
      <c r="K74" s="103">
        <f ca="1">IF(AND(Energy!$F$11=$A$3,Main!$B$43=A74),Weight!W31,K74)</f>
        <v>57.339166710363926</v>
      </c>
      <c r="L74" s="103">
        <f ca="1">IF(AND(Energy!$F$11=$A$3,Main!$B$43=A74),'Aerodynamics-Cruise'!BI31,L74)</f>
        <v>57.339163872274597</v>
      </c>
      <c r="M74" s="103">
        <f ca="1">IF(AND(Energy!$F$11=$A$3,Main!$B$43=A74),'Aerodynamics-Cruise'!BJ31,M74)</f>
        <v>2.7425635068206389</v>
      </c>
      <c r="N74" s="103">
        <f ca="1">IF(AND(Energy!$F$11=$A$3,Main!$B$43=A74),'Aerodynamics-Cruise'!BK31,N74)</f>
        <v>20.907141705077944</v>
      </c>
      <c r="O74" s="103">
        <f t="shared" ca="1" si="5"/>
        <v>158.31437133248485</v>
      </c>
      <c r="P74" s="103">
        <f ca="1">IF(AND(Energy!$F$11=$A$3,Main!$B$43=A74),'Aerodynamics-Cruise'!H31,P74)</f>
        <v>8.4058617112543832</v>
      </c>
      <c r="Q74" s="103">
        <f ca="1">IF(AND(Energy!$F$11=$A$3,Main!$B$43=A74),'Aerodynamics-Cruise'!I31,Q74)</f>
        <v>7.1539188752445604</v>
      </c>
      <c r="R74" s="103">
        <f ca="1">IF(AND(Energy!$F$11=$A$3,Main!$B$43=$A74),Summary!R31,R74)</f>
        <v>4.1096289065766447</v>
      </c>
      <c r="S74" s="103">
        <f ca="1">IF(AND(Energy!$F$11=$A$3,Main!$B$43=A74),'Aerodynamics-Cruise'!W31,S74)</f>
        <v>1</v>
      </c>
      <c r="T74" s="103">
        <f ca="1">IF(AND(Energy!$F$11=$A$3,Main!$B$43=A74),'Aerodynamics-Cruise'!BL31,T74)</f>
        <v>23.053609572667156</v>
      </c>
      <c r="U74" s="103">
        <f ca="1">IF(AND(Energy!$F$11=$A$3,Main!$B$43=A74),'Propulsion-Cruise'!M31,U74)</f>
        <v>50.608034521910959</v>
      </c>
      <c r="V74" s="103">
        <f ca="1">IF(AND(Energy!$F$11=$A$3,Main!$B$43=A74),Endurance!AP31,V74)</f>
        <v>485.89453969982213</v>
      </c>
      <c r="W74" s="103">
        <f ca="1">IF(AND(Energy!$F$11=$A$3,Main!$B$43=$A74),Summary!W31,W74)</f>
        <v>1.4877192982456142</v>
      </c>
      <c r="X74" s="13">
        <f ca="1">IF(AND(Energy!$F$11=$A$3,Main!$B$43=A74),Energy!D31,X74)</f>
        <v>877.30953754954578</v>
      </c>
      <c r="Y74" s="102">
        <f ca="1">IF(AND(Energy!$F$11=$A$3,Main!$B$43=A74),'Aerodynamics-Cruise'!V31,Y74)</f>
        <v>142166.16575159965</v>
      </c>
      <c r="Z74" s="102">
        <f ca="1">IF(AND(Energy!$F$11=$A$3,Main!$B$43=$A74),Summary!Z31,Z74)</f>
        <v>107166.97762786687</v>
      </c>
      <c r="AA74" s="102">
        <f ca="1">IF(AND(Energy!$F$11=$A$3,Main!$B$43=$A74),Summary!AA31,AA74)</f>
        <v>107166.97762786687</v>
      </c>
      <c r="AB74" s="103">
        <f ca="1">IF(AND(Energy!$F$11=$A$3,Main!$B$43=$A74),Summary!AB31,AB74)</f>
        <v>4.1096289065766447</v>
      </c>
      <c r="AC74" s="103">
        <f ca="1">IF(AND(Energy!$F$11=$A$3,Main!$B$43=$A74),Summary!AC31,AC74)</f>
        <v>2.3969248217854351</v>
      </c>
      <c r="AD74" s="103">
        <f ca="1">IF(AND(Energy!$F$11=$A$3,Main!$B$43=$A74),Summary!AD31,AD74)</f>
        <v>0.40384464880078974</v>
      </c>
      <c r="AE74" s="103">
        <f ca="1">IF(AND(Energy!$F$11=$A$3,Main!$B$43=$A74),Summary!AE31,AE74)</f>
        <v>1.4877192982456142</v>
      </c>
      <c r="AF74" s="103">
        <f ca="1">IF(AND(Energy!$F$11=$A$3,Main!$B$43=$A74),Summary!AF31,AF74)</f>
        <v>20.921052631578949</v>
      </c>
      <c r="AG74" s="103">
        <f ca="1">IF(AND(Energy!$F$11=$A$3,Main!$B$43=$A74),Summary!AG31,AG74)</f>
        <v>10.820265971166364</v>
      </c>
      <c r="AH74" s="103">
        <f ca="1">IF(AND(Energy!$F$11=$A$3,Main!$B$43=$A74),Summary!AH31,AH74)</f>
        <v>47</v>
      </c>
      <c r="AI74" s="103">
        <f ca="1">IF(AND(Energy!$F$11=$A$3,Main!$B$43=$A74),Summary!AI31,AI74)</f>
        <v>2.7060293185652928</v>
      </c>
      <c r="AJ74" s="103">
        <f ca="1">IF(AND(Energy!$F$11=$A$3,Main!$B$43=$A74),Summary!AJ31,AJ74)</f>
        <v>0.23265284685426868</v>
      </c>
      <c r="AK74" s="103">
        <f ca="1">IF(AND(Energy!$F$11=$A$3,Main!$B$43=$A74),Summary!AK31,AK74)</f>
        <v>0.01</v>
      </c>
      <c r="AL74" s="103">
        <f ca="1">IF(AND(Energy!$F$11=$A$3,Main!$B$43=$A74),Summary!AL31,AL74)</f>
        <v>-0.53727509212635394</v>
      </c>
      <c r="AM74" s="103">
        <f ca="1">IF(AND(Energy!$F$11=$A$3,Main!$B$43=$A74),Summary!AJ91,AM74)</f>
        <v>0</v>
      </c>
    </row>
    <row r="75" spans="1:39">
      <c r="A75">
        <f t="shared" si="4"/>
        <v>4</v>
      </c>
      <c r="D75" s="1">
        <f ca="1">IF(AND(Energy!$F$11=$A$3,Main!$B$43=A75),Main!C32,D75)</f>
        <v>5.7368421052631584</v>
      </c>
      <c r="E75" s="103">
        <f ca="1">IF(AND(Energy!$F$11=$A$3,Main!$B$43=A75),Main!B32,E75)</f>
        <v>0.26666666666666666</v>
      </c>
      <c r="F75" s="103">
        <f ca="1">IF(Main!$D$6=1,U75,IF(Main!$D$6=2,N75,IF(Main!$D$6=3,K75,IF(Main!$D$6=4,V75,J75))))</f>
        <v>487.08715566324031</v>
      </c>
      <c r="G75" s="103">
        <f ca="1">IF(AND(Energy!$F$11=$A$3,Main!$B$43=A75),Weight!H32,G75)</f>
        <v>15</v>
      </c>
      <c r="H75" s="103">
        <f ca="1">IF(AND(Energy!$F$11=$A$3,Main!$B$43=A75),Weight!U32,H75)</f>
        <v>17.580605074176468</v>
      </c>
      <c r="I75" s="103">
        <f ca="1">IF(AND(Energy!$F$11=$A$3,Main!$B$43=A75),Weight!V32,I75)</f>
        <v>42.92501027926788</v>
      </c>
      <c r="J75" s="103">
        <f ca="1">IF(AND(Energy!$F$11=$A$3,Main!$B$43=A75),Weight!I32,J75)</f>
        <v>20.406756930091408</v>
      </c>
      <c r="K75" s="103">
        <f ca="1">IF(AND(Energy!$F$11=$A$3,Main!$B$43=A75),Weight!W32,K75)</f>
        <v>57.925011682726513</v>
      </c>
      <c r="L75" s="103">
        <f ca="1">IF(AND(Energy!$F$11=$A$3,Main!$B$43=A75),'Aerodynamics-Cruise'!BI32,L75)</f>
        <v>57.92500884909731</v>
      </c>
      <c r="M75" s="103">
        <f ca="1">IF(AND(Energy!$F$11=$A$3,Main!$B$43=A75),'Aerodynamics-Cruise'!BJ32,M75)</f>
        <v>2.7595514797934797</v>
      </c>
      <c r="N75" s="103">
        <f ca="1">IF(AND(Energy!$F$11=$A$3,Main!$B$43=A75),'Aerodynamics-Cruise'!BK32,N75)</f>
        <v>20.990733194595929</v>
      </c>
      <c r="O75" s="103">
        <f t="shared" ca="1" si="5"/>
        <v>159.75728191764617</v>
      </c>
      <c r="P75" s="103">
        <f ca="1">IF(AND(Energy!$F$11=$A$3,Main!$B$43=A75),'Aerodynamics-Cruise'!H32,P75)</f>
        <v>8.3315904108864505</v>
      </c>
      <c r="Q75" s="103">
        <f ca="1">IF(AND(Energy!$F$11=$A$3,Main!$B$43=A75),'Aerodynamics-Cruise'!I32,Q75)</f>
        <v>7.0932873284482447</v>
      </c>
      <c r="R75" s="103">
        <f ca="1">IF(AND(Energy!$F$11=$A$3,Main!$B$43=$A75),Summary!R32,R75)</f>
        <v>4.0808306032926946</v>
      </c>
      <c r="S75" s="103">
        <f ca="1">IF(AND(Energy!$F$11=$A$3,Main!$B$43=A75),'Aerodynamics-Cruise'!W32,S75)</f>
        <v>1</v>
      </c>
      <c r="T75" s="103">
        <f ca="1">IF(AND(Energy!$F$11=$A$3,Main!$B$43=A75),'Aerodynamics-Cruise'!BL32,T75)</f>
        <v>22.991452647394869</v>
      </c>
      <c r="U75" s="103">
        <f ca="1">IF(AND(Energy!$F$11=$A$3,Main!$B$43=A75),'Propulsion-Cruise'!M32,U75)</f>
        <v>50.613596757944642</v>
      </c>
      <c r="V75" s="103">
        <f ca="1">IF(AND(Energy!$F$11=$A$3,Main!$B$43=A75),Endurance!AP32,V75)</f>
        <v>487.08715566324031</v>
      </c>
      <c r="W75" s="103">
        <f ca="1">IF(AND(Energy!$F$11=$A$3,Main!$B$43=$A75),Summary!W32,W75)</f>
        <v>1.5298245614035089</v>
      </c>
      <c r="X75" s="13">
        <f ca="1">IF(AND(Energy!$F$11=$A$3,Main!$B$43=A75),Energy!D32,X75)</f>
        <v>879.46287234074282</v>
      </c>
      <c r="Y75" s="102">
        <f ca="1">IF(AND(Energy!$F$11=$A$3,Main!$B$43=A75),'Aerodynamics-Cruise'!V32,Y75)</f>
        <v>140910.0344516334</v>
      </c>
      <c r="Z75" s="102">
        <f ca="1">IF(AND(Energy!$F$11=$A$3,Main!$B$43=$A75),Summary!Z32,Z75)</f>
        <v>106257.19928626367</v>
      </c>
      <c r="AA75" s="102">
        <f ca="1">IF(AND(Energy!$F$11=$A$3,Main!$B$43=$A75),Summary!AA32,AA75)</f>
        <v>106257.19928626367</v>
      </c>
      <c r="AB75" s="103">
        <f ca="1">IF(AND(Energy!$F$11=$A$3,Main!$B$43=$A75),Summary!AB32,AB75)</f>
        <v>4.0808306032926946</v>
      </c>
      <c r="AC75" s="103">
        <f ca="1">IF(AND(Energy!$F$11=$A$3,Main!$B$43=$A75),Summary!AC32,AC75)</f>
        <v>2.3539977473454936</v>
      </c>
      <c r="AD75" s="103">
        <f ca="1">IF(AND(Energy!$F$11=$A$3,Main!$B$43=$A75),Summary!AD32,AD75)</f>
        <v>0.40281336184129252</v>
      </c>
      <c r="AE75" s="103">
        <f ca="1">IF(AND(Energy!$F$11=$A$3,Main!$B$43=$A75),Summary!AE32,AE75)</f>
        <v>1.5298245614035089</v>
      </c>
      <c r="AF75" s="103">
        <f ca="1">IF(AND(Energy!$F$11=$A$3,Main!$B$43=$A75),Summary!AF32,AF75)</f>
        <v>21.513157894736846</v>
      </c>
      <c r="AG75" s="103">
        <f ca="1">IF(AND(Energy!$F$11=$A$3,Main!$B$43=$A75),Summary!AG32,AG75)</f>
        <v>10.833050018459106</v>
      </c>
      <c r="AH75" s="103">
        <f ca="1">IF(AND(Energy!$F$11=$A$3,Main!$B$43=$A75),Summary!AH32,AH75)</f>
        <v>47</v>
      </c>
      <c r="AI75" s="103">
        <f ca="1">IF(AND(Energy!$F$11=$A$3,Main!$B$43=$A75),Summary!AI32,AI75)</f>
        <v>2.7040626942609678</v>
      </c>
      <c r="AJ75" s="103">
        <f ca="1">IF(AND(Energy!$F$11=$A$3,Main!$B$43=$A75),Summary!AJ32,AJ75)</f>
        <v>0.23323852087980859</v>
      </c>
      <c r="AK75" s="103">
        <f ca="1">IF(AND(Energy!$F$11=$A$3,Main!$B$43=$A75),Summary!AK32,AK75)</f>
        <v>0.01</v>
      </c>
      <c r="AL75" s="103">
        <f ca="1">IF(AND(Energy!$F$11=$A$3,Main!$B$43=$A75),Summary!AL32,AL75)</f>
        <v>-0.53592592214594148</v>
      </c>
      <c r="AM75" s="103">
        <f ca="1">IF(AND(Energy!$F$11=$A$3,Main!$B$43=$A75),Summary!AJ92,AM75)</f>
        <v>0</v>
      </c>
    </row>
    <row r="76" spans="1:39">
      <c r="A76">
        <f t="shared" si="4"/>
        <v>4</v>
      </c>
      <c r="D76" s="1">
        <f ca="1">IF(AND(Energy!$F$11=$A$3,Main!$B$43=A76),Main!C33,D76)</f>
        <v>5.8947368421052637</v>
      </c>
      <c r="E76" s="103">
        <f ca="1">IF(AND(Energy!$F$11=$A$3,Main!$B$43=A76),Main!B33,E76)</f>
        <v>0.26666666666666666</v>
      </c>
      <c r="F76" s="103">
        <f ca="1">IF(Main!$D$6=1,U76,IF(Main!$D$6=2,N76,IF(Main!$D$6=3,K76,IF(Main!$D$6=4,V76,J76))))</f>
        <v>488.81716904067093</v>
      </c>
      <c r="G76" s="103">
        <f ca="1">IF(AND(Energy!$F$11=$A$3,Main!$B$43=A76),Weight!H33,G76)</f>
        <v>15</v>
      </c>
      <c r="H76" s="103">
        <f ca="1">IF(AND(Energy!$F$11=$A$3,Main!$B$43=A76),Weight!U33,H76)</f>
        <v>18.130825256425844</v>
      </c>
      <c r="I76" s="103">
        <f ca="1">IF(AND(Energy!$F$11=$A$3,Main!$B$43=A76),Weight!V33,I76)</f>
        <v>43.547710244647398</v>
      </c>
      <c r="J76" s="103">
        <f ca="1">IF(AND(Energy!$F$11=$A$3,Main!$B$43=A76),Weight!I33,J76)</f>
        <v>20.479236713221553</v>
      </c>
      <c r="K76" s="103">
        <f ca="1">IF(AND(Energy!$F$11=$A$3,Main!$B$43=A76),Weight!W33,K76)</f>
        <v>58.547711650185803</v>
      </c>
      <c r="L76" s="103">
        <f ca="1">IF(AND(Energy!$F$11=$A$3,Main!$B$43=A76),'Aerodynamics-Cruise'!BI33,L76)</f>
        <v>58.547708811562394</v>
      </c>
      <c r="M76" s="103">
        <f ca="1">IF(AND(Energy!$F$11=$A$3,Main!$B$43=A76),'Aerodynamics-Cruise'!BJ33,M76)</f>
        <v>2.7785090220025457</v>
      </c>
      <c r="N76" s="103">
        <f ca="1">IF(AND(Energy!$F$11=$A$3,Main!$B$43=A76),'Aerodynamics-Cruise'!BK33,N76)</f>
        <v>21.071628109872215</v>
      </c>
      <c r="O76" s="103">
        <f t="shared" ca="1" si="5"/>
        <v>161.23266964911716</v>
      </c>
      <c r="P76" s="103">
        <f ca="1">IF(AND(Energy!$F$11=$A$3,Main!$B$43=A76),'Aerodynamics-Cruise'!H33,P76)</f>
        <v>8.2632856742964105</v>
      </c>
      <c r="Q76" s="103">
        <f ca="1">IF(AND(Energy!$F$11=$A$3,Main!$B$43=A76),'Aerodynamics-Cruise'!I33,Q76)</f>
        <v>7.0375069050825472</v>
      </c>
      <c r="R76" s="103">
        <f ca="1">IF(AND(Energy!$F$11=$A$3,Main!$B$43=$A76),Summary!R33,R76)</f>
        <v>4.0596242516117593</v>
      </c>
      <c r="S76" s="103">
        <f ca="1">IF(AND(Energy!$F$11=$A$3,Main!$B$43=A76),'Aerodynamics-Cruise'!W33,S76)</f>
        <v>1</v>
      </c>
      <c r="T76" s="103">
        <f ca="1">IF(AND(Energy!$F$11=$A$3,Main!$B$43=A76),'Aerodynamics-Cruise'!BL33,T76)</f>
        <v>22.959613797416967</v>
      </c>
      <c r="U76" s="103">
        <f ca="1">IF(AND(Energy!$F$11=$A$3,Main!$B$43=A76),'Propulsion-Cruise'!M33,U76)</f>
        <v>50.677275192073665</v>
      </c>
      <c r="V76" s="103">
        <f ca="1">IF(AND(Energy!$F$11=$A$3,Main!$B$43=A76),Endurance!AP33,V76)</f>
        <v>488.81716904067093</v>
      </c>
      <c r="W76" s="103">
        <f ca="1">IF(AND(Energy!$F$11=$A$3,Main!$B$43=$A76),Summary!W33,W76)</f>
        <v>1.5719298245614037</v>
      </c>
      <c r="X76" s="13">
        <f ca="1">IF(AND(Energy!$F$11=$A$3,Main!$B$43=A76),Energy!D33,X76)</f>
        <v>882.58650784393467</v>
      </c>
      <c r="Y76" s="102">
        <f ca="1">IF(AND(Energy!$F$11=$A$3,Main!$B$43=A76),'Aerodynamics-Cruise'!V33,Y76)</f>
        <v>139754.81410216255</v>
      </c>
      <c r="Z76" s="102">
        <f ca="1">IF(AND(Energy!$F$11=$A$3,Main!$B$43=$A76),Summary!Z33,Z76)</f>
        <v>105420.22374552961</v>
      </c>
      <c r="AA76" s="102">
        <f ca="1">IF(AND(Energy!$F$11=$A$3,Main!$B$43=$A76),Summary!AA33,AA76)</f>
        <v>105420.22374552961</v>
      </c>
      <c r="AB76" s="103">
        <f ca="1">IF(AND(Energy!$F$11=$A$3,Main!$B$43=$A76),Summary!AB33,AB76)</f>
        <v>4.0596242516117593</v>
      </c>
      <c r="AC76" s="103">
        <f ca="1">IF(AND(Energy!$F$11=$A$3,Main!$B$43=$A76),Summary!AC33,AC76)</f>
        <v>2.3114573765259152</v>
      </c>
      <c r="AD76" s="103">
        <f ca="1">IF(AND(Energy!$F$11=$A$3,Main!$B$43=$A76),Summary!AD33,AD76)</f>
        <v>0.40201025668462742</v>
      </c>
      <c r="AE76" s="103">
        <f ca="1">IF(AND(Energy!$F$11=$A$3,Main!$B$43=$A76),Summary!AE33,AE76)</f>
        <v>1.5719298245614037</v>
      </c>
      <c r="AF76" s="103">
        <f ca="1">IF(AND(Energy!$F$11=$A$3,Main!$B$43=$A76),Summary!AF33,AF76)</f>
        <v>22.10526315789474</v>
      </c>
      <c r="AG76" s="103">
        <f ca="1">IF(AND(Energy!$F$11=$A$3,Main!$B$43=$A76),Summary!AG33,AG76)</f>
        <v>10.852777711532601</v>
      </c>
      <c r="AH76" s="103">
        <f ca="1">IF(AND(Energy!$F$11=$A$3,Main!$B$43=$A76),Summary!AH33,AH76)</f>
        <v>47</v>
      </c>
      <c r="AI76" s="103">
        <f ca="1">IF(AND(Energy!$F$11=$A$3,Main!$B$43=$A76),Summary!AI33,AI76)</f>
        <v>2.7022399161170805</v>
      </c>
      <c r="AJ76" s="103">
        <f ca="1">IF(AND(Energy!$F$11=$A$3,Main!$B$43=$A76),Summary!AJ33,AJ76)</f>
        <v>0.23378588286165441</v>
      </c>
      <c r="AK76" s="103">
        <f ca="1">IF(AND(Energy!$F$11=$A$3,Main!$B$43=$A76),Summary!AK33,AK76)</f>
        <v>0.01</v>
      </c>
      <c r="AL76" s="103">
        <f ca="1">IF(AND(Energy!$F$11=$A$3,Main!$B$43=$A76),Summary!AL33,AL76)</f>
        <v>-0.53467111583627414</v>
      </c>
      <c r="AM76" s="103">
        <f ca="1">IF(AND(Energy!$F$11=$A$3,Main!$B$43=$A76),Summary!AJ93,AM76)</f>
        <v>0</v>
      </c>
    </row>
    <row r="77" spans="1:39">
      <c r="A77">
        <f t="shared" si="4"/>
        <v>4</v>
      </c>
      <c r="D77" s="1">
        <f ca="1">IF(AND(Energy!$F$11=$A$3,Main!$B$43=A77),Main!C34,D77)</f>
        <v>6.052631578947369</v>
      </c>
      <c r="E77" s="103">
        <f ca="1">IF(AND(Energy!$F$11=$A$3,Main!$B$43=A77),Main!B34,E77)</f>
        <v>0.26666666666666666</v>
      </c>
      <c r="F77" s="103">
        <f ca="1">IF(Main!$D$6=1,U77,IF(Main!$D$6=2,N77,IF(Main!$D$6=3,K77,IF(Main!$D$6=4,V77,J77))))</f>
        <v>491.04154479211553</v>
      </c>
      <c r="G77" s="103">
        <f ca="1">IF(AND(Energy!$F$11=$A$3,Main!$B$43=A77),Weight!H34,G77)</f>
        <v>15</v>
      </c>
      <c r="H77" s="103">
        <f ca="1">IF(AND(Energy!$F$11=$A$3,Main!$B$43=A77),Weight!U34,H77)</f>
        <v>18.695404941603293</v>
      </c>
      <c r="I77" s="103">
        <f ca="1">IF(AND(Energy!$F$11=$A$3,Main!$B$43=A77),Weight!V34,I77)</f>
        <v>44.205481263763346</v>
      </c>
      <c r="J77" s="103">
        <f ca="1">IF(AND(Energy!$F$11=$A$3,Main!$B$43=A77),Weight!I34,J77)</f>
        <v>20.572428047160052</v>
      </c>
      <c r="K77" s="103">
        <f ca="1">IF(AND(Energy!$F$11=$A$3,Main!$B$43=A77),Weight!W34,K77)</f>
        <v>59.205482675634514</v>
      </c>
      <c r="L77" s="103">
        <f ca="1">IF(AND(Energy!$F$11=$A$3,Main!$B$43=A77),'Aerodynamics-Cruise'!BI34,L77)</f>
        <v>59.20547982352322</v>
      </c>
      <c r="M77" s="103">
        <f ca="1">IF(AND(Energy!$F$11=$A$3,Main!$B$43=A77),'Aerodynamics-Cruise'!BJ34,M77)</f>
        <v>2.799279615836173</v>
      </c>
      <c r="N77" s="103">
        <f ca="1">IF(AND(Energy!$F$11=$A$3,Main!$B$43=A77),'Aerodynamics-Cruise'!BK34,N77)</f>
        <v>21.150255761726736</v>
      </c>
      <c r="O77" s="103">
        <f t="shared" ca="1" si="5"/>
        <v>162.74084852857658</v>
      </c>
      <c r="P77" s="103">
        <f ca="1">IF(AND(Energy!$F$11=$A$3,Main!$B$43=A77),'Aerodynamics-Cruise'!H34,P77)</f>
        <v>8.2004498708619895</v>
      </c>
      <c r="Q77" s="103">
        <f ca="1">IF(AND(Energy!$F$11=$A$3,Main!$B$43=A77),'Aerodynamics-Cruise'!I34,Q77)</f>
        <v>6.9861758664521156</v>
      </c>
      <c r="R77" s="103">
        <f ca="1">IF(AND(Energy!$F$11=$A$3,Main!$B$43=$A77),Summary!R34,R77)</f>
        <v>4.0453382336459791</v>
      </c>
      <c r="S77" s="103">
        <f ca="1">IF(AND(Energy!$F$11=$A$3,Main!$B$43=A77),'Aerodynamics-Cruise'!W34,S77)</f>
        <v>1</v>
      </c>
      <c r="T77" s="103">
        <f ca="1">IF(AND(Energy!$F$11=$A$3,Main!$B$43=A77),'Aerodynamics-Cruise'!BL34,T77)</f>
        <v>22.955352164190344</v>
      </c>
      <c r="U77" s="103">
        <f ca="1">IF(AND(Energy!$F$11=$A$3,Main!$B$43=A77),'Propulsion-Cruise'!M34,U77)</f>
        <v>50.794146337148227</v>
      </c>
      <c r="V77" s="103">
        <f ca="1">IF(AND(Energy!$F$11=$A$3,Main!$B$43=A77),Endurance!AP34,V77)</f>
        <v>491.04154479211553</v>
      </c>
      <c r="W77" s="103">
        <f ca="1">IF(AND(Energy!$F$11=$A$3,Main!$B$43=$A77),Summary!W34,W77)</f>
        <v>1.6140350877192984</v>
      </c>
      <c r="X77" s="13">
        <f ca="1">IF(AND(Energy!$F$11=$A$3,Main!$B$43=A77),Energy!D34,X77)</f>
        <v>886.60274192175984</v>
      </c>
      <c r="Y77" s="102">
        <f ca="1">IF(AND(Energy!$F$11=$A$3,Main!$B$43=A77),'Aerodynamics-Cruise'!V34,Y77)</f>
        <v>138692.08840513707</v>
      </c>
      <c r="Z77" s="102">
        <f ca="1">IF(AND(Energy!$F$11=$A$3,Main!$B$43=$A77),Summary!Z34,Z77)</f>
        <v>104650.02026814029</v>
      </c>
      <c r="AA77" s="102">
        <f ca="1">IF(AND(Energy!$F$11=$A$3,Main!$B$43=$A77),Summary!AA34,AA77)</f>
        <v>104650.02026814029</v>
      </c>
      <c r="AB77" s="103">
        <f ca="1">IF(AND(Energy!$F$11=$A$3,Main!$B$43=$A77),Summary!AB34,AB77)</f>
        <v>4.0453382336459791</v>
      </c>
      <c r="AC77" s="103">
        <f ca="1">IF(AND(Energy!$F$11=$A$3,Main!$B$43=$A77),Summary!AC34,AC77)</f>
        <v>2.2693725376189899</v>
      </c>
      <c r="AD77" s="103">
        <f ca="1">IF(AND(Energy!$F$11=$A$3,Main!$B$43=$A77),Summary!AD34,AD77)</f>
        <v>0.40141617583738881</v>
      </c>
      <c r="AE77" s="103">
        <f ca="1">IF(AND(Energy!$F$11=$A$3,Main!$B$43=$A77),Summary!AE34,AE77)</f>
        <v>1.6140350877192984</v>
      </c>
      <c r="AF77" s="103">
        <f ca="1">IF(AND(Energy!$F$11=$A$3,Main!$B$43=$A77),Summary!AF34,AF77)</f>
        <v>22.697368421052634</v>
      </c>
      <c r="AG77" s="103">
        <f ca="1">IF(AND(Energy!$F$11=$A$3,Main!$B$43=$A77),Summary!AG34,AG77)</f>
        <v>10.878857969740327</v>
      </c>
      <c r="AH77" s="103">
        <f ca="1">IF(AND(Energy!$F$11=$A$3,Main!$B$43=$A77),Summary!AH34,AH77)</f>
        <v>47</v>
      </c>
      <c r="AI77" s="103">
        <f ca="1">IF(AND(Energy!$F$11=$A$3,Main!$B$43=$A77),Summary!AI34,AI77)</f>
        <v>2.7005508952046</v>
      </c>
      <c r="AJ77" s="103">
        <f ca="1">IF(AND(Energy!$F$11=$A$3,Main!$B$43=$A77),Summary!AJ34,AJ77)</f>
        <v>0.23429753133994494</v>
      </c>
      <c r="AK77" s="103">
        <f ca="1">IF(AND(Energy!$F$11=$A$3,Main!$B$43=$A77),Summary!AK34,AK77)</f>
        <v>0.01</v>
      </c>
      <c r="AL77" s="103">
        <f ca="1">IF(AND(Energy!$F$11=$A$3,Main!$B$43=$A77),Summary!AL34,AL77)</f>
        <v>-0.53350347935561881</v>
      </c>
      <c r="AM77" s="103">
        <f ca="1">IF(AND(Energy!$F$11=$A$3,Main!$B$43=$A77),Summary!AJ94,AM77)</f>
        <v>0</v>
      </c>
    </row>
    <row r="78" spans="1:39">
      <c r="A78">
        <f t="shared" si="4"/>
        <v>4</v>
      </c>
      <c r="D78" s="1">
        <f ca="1">IF(AND(Energy!$F$11=$A$3,Main!$B$43=A78),Main!C35,D78)</f>
        <v>6.2105263157894743</v>
      </c>
      <c r="E78" s="103">
        <f ca="1">IF(AND(Energy!$F$11=$A$3,Main!$B$43=A78),Main!B35,E78)</f>
        <v>0.26666666666666666</v>
      </c>
      <c r="F78" s="103">
        <f ca="1">IF(Main!$D$6=1,U78,IF(Main!$D$6=2,N78,IF(Main!$D$6=3,K78,IF(Main!$D$6=4,V78,J78))))</f>
        <v>493.72370107982897</v>
      </c>
      <c r="G78" s="103">
        <f ca="1">IF(AND(Energy!$F$11=$A$3,Main!$B$43=A78),Weight!H35,G78)</f>
        <v>15</v>
      </c>
      <c r="H78" s="103">
        <f ca="1">IF(AND(Energy!$F$11=$A$3,Main!$B$43=A78),Weight!U35,H78)</f>
        <v>19.274387909209885</v>
      </c>
      <c r="I78" s="103">
        <f ca="1">IF(AND(Energy!$F$11=$A$3,Main!$B$43=A78),Weight!V35,I78)</f>
        <v>44.896834502495068</v>
      </c>
      <c r="J78" s="103">
        <f ca="1">IF(AND(Energy!$F$11=$A$3,Main!$B$43=A78),Weight!I35,J78)</f>
        <v>20.684798318285178</v>
      </c>
      <c r="K78" s="103">
        <f ca="1">IF(AND(Energy!$F$11=$A$3,Main!$B$43=A78),Weight!W35,K78)</f>
        <v>59.896835924557969</v>
      </c>
      <c r="L78" s="103">
        <f ca="1">IF(AND(Energy!$F$11=$A$3,Main!$B$43=A78),'Aerodynamics-Cruise'!BI35,L78)</f>
        <v>59.89683305125839</v>
      </c>
      <c r="M78" s="103">
        <f ca="1">IF(AND(Energy!$F$11=$A$3,Main!$B$43=A78),'Aerodynamics-Cruise'!BJ35,M78)</f>
        <v>2.8217285149248985</v>
      </c>
      <c r="N78" s="103">
        <f ca="1">IF(AND(Energy!$F$11=$A$3,Main!$B$43=A78),'Aerodynamics-Cruise'!BK35,N78)</f>
        <v>21.227000660923814</v>
      </c>
      <c r="O78" s="103">
        <f t="shared" ca="1" si="5"/>
        <v>164.28222023841414</v>
      </c>
      <c r="P78" s="103">
        <f ca="1">IF(AND(Energy!$F$11=$A$3,Main!$B$43=A78),'Aerodynamics-Cruise'!H35,P78)</f>
        <v>8.1426446138311999</v>
      </c>
      <c r="Q78" s="103">
        <f ca="1">IF(AND(Energy!$F$11=$A$3,Main!$B$43=A78),'Aerodynamics-Cruise'!I35,Q78)</f>
        <v>6.9389400558629353</v>
      </c>
      <c r="R78" s="103">
        <f ca="1">IF(AND(Energy!$F$11=$A$3,Main!$B$43=$A78),Summary!R35,R78)</f>
        <v>4.0374076160772558</v>
      </c>
      <c r="S78" s="103">
        <f ca="1">IF(AND(Energy!$F$11=$A$3,Main!$B$43=A78),'Aerodynamics-Cruise'!W35,S78)</f>
        <v>1</v>
      </c>
      <c r="T78" s="103">
        <f ca="1">IF(AND(Energy!$F$11=$A$3,Main!$B$43=A78),'Aerodynamics-Cruise'!BL35,T78)</f>
        <v>22.976332493747137</v>
      </c>
      <c r="U78" s="103">
        <f ca="1">IF(AND(Energy!$F$11=$A$3,Main!$B$43=A78),'Propulsion-Cruise'!M35,U78)</f>
        <v>50.96001572041704</v>
      </c>
      <c r="V78" s="103">
        <f ca="1">IF(AND(Energy!$F$11=$A$3,Main!$B$43=A78),Endurance!AP35,V78)</f>
        <v>493.72370107982897</v>
      </c>
      <c r="W78" s="103">
        <f ca="1">IF(AND(Energy!$F$11=$A$3,Main!$B$43=$A78),Summary!W35,W78)</f>
        <v>1.656140350877193</v>
      </c>
      <c r="X78" s="13">
        <f ca="1">IF(AND(Energy!$F$11=$A$3,Main!$B$43=A78),Energy!D35,X78)</f>
        <v>891.44552404890385</v>
      </c>
      <c r="Y78" s="102">
        <f ca="1">IF(AND(Energy!$F$11=$A$3,Main!$B$43=A78),'Aerodynamics-Cruise'!V35,Y78)</f>
        <v>137714.44303876726</v>
      </c>
      <c r="Z78" s="102">
        <f ca="1">IF(AND(Energy!$F$11=$A$3,Main!$B$43=$A78),Summary!Z35,Z78)</f>
        <v>103941.27254274991</v>
      </c>
      <c r="AA78" s="102">
        <f ca="1">IF(AND(Energy!$F$11=$A$3,Main!$B$43=$A78),Summary!AA35,AA78)</f>
        <v>103941.27254274991</v>
      </c>
      <c r="AB78" s="103">
        <f ca="1">IF(AND(Energy!$F$11=$A$3,Main!$B$43=$A78),Summary!AB35,AB78)</f>
        <v>4.0374076160772558</v>
      </c>
      <c r="AC78" s="103">
        <f ca="1">IF(AND(Energy!$F$11=$A$3,Main!$B$43=$A78),Summary!AC35,AC78)</f>
        <v>2.2277969609334325</v>
      </c>
      <c r="AD78" s="103">
        <f ca="1">IF(AND(Energy!$F$11=$A$3,Main!$B$43=$A78),Summary!AD35,AD78)</f>
        <v>0.40101432934528231</v>
      </c>
      <c r="AE78" s="103">
        <f ca="1">IF(AND(Energy!$F$11=$A$3,Main!$B$43=$A78),Summary!AE35,AE78)</f>
        <v>1.656140350877193</v>
      </c>
      <c r="AF78" s="103">
        <f ca="1">IF(AND(Energy!$F$11=$A$3,Main!$B$43=$A78),Summary!AF35,AF78)</f>
        <v>23.289473684210531</v>
      </c>
      <c r="AG78" s="103">
        <f ca="1">IF(AND(Energy!$F$11=$A$3,Main!$B$43=$A78),Summary!AG35,AG78)</f>
        <v>10.910781165105995</v>
      </c>
      <c r="AH78" s="103">
        <f ca="1">IF(AND(Energy!$F$11=$A$3,Main!$B$43=$A78),Summary!AH35,AH78)</f>
        <v>47</v>
      </c>
      <c r="AI78" s="103">
        <f ca="1">IF(AND(Energy!$F$11=$A$3,Main!$B$43=$A78),Summary!AI35,AI78)</f>
        <v>2.698986597926293</v>
      </c>
      <c r="AJ78" s="103">
        <f ca="1">IF(AND(Energy!$F$11=$A$3,Main!$B$43=$A78),Summary!AJ35,AJ78)</f>
        <v>0.23477581245521154</v>
      </c>
      <c r="AK78" s="103">
        <f ca="1">IF(AND(Energy!$F$11=$A$3,Main!$B$43=$A78),Summary!AK35,AK78)</f>
        <v>0.01</v>
      </c>
      <c r="AL78" s="103">
        <f ca="1">IF(AND(Energy!$F$11=$A$3,Main!$B$43=$A78),Summary!AL35,AL78)</f>
        <v>-0.53241658947289827</v>
      </c>
      <c r="AM78" s="103">
        <f ca="1">IF(AND(Energy!$F$11=$A$3,Main!$B$43=$A78),Summary!AJ95,AM78)</f>
        <v>0</v>
      </c>
    </row>
    <row r="79" spans="1:39">
      <c r="A79">
        <f t="shared" si="4"/>
        <v>4</v>
      </c>
      <c r="D79" s="1">
        <f ca="1">IF(AND(Energy!$F$11=$A$3,Main!$B$43=A79),Main!C36,D79)</f>
        <v>6.3684210526315796</v>
      </c>
      <c r="E79" s="103">
        <f ca="1">IF(AND(Energy!$F$11=$A$3,Main!$B$43=A79),Main!B36,E79)</f>
        <v>0.26666666666666666</v>
      </c>
      <c r="F79" s="103">
        <f ca="1">IF(Main!$D$6=1,U79,IF(Main!$D$6=2,N79,IF(Main!$D$6=3,K79,IF(Main!$D$6=4,V79,J79))))</f>
        <v>496.83240478975415</v>
      </c>
      <c r="G79" s="103">
        <f ca="1">IF(AND(Energy!$F$11=$A$3,Main!$B$43=A79),Weight!H36,G79)</f>
        <v>15</v>
      </c>
      <c r="H79" s="103">
        <f ca="1">IF(AND(Energy!$F$11=$A$3,Main!$B$43=A79),Weight!U36,H79)</f>
        <v>19.867838923520885</v>
      </c>
      <c r="I79" s="103">
        <f ca="1">IF(AND(Energy!$F$11=$A$3,Main!$B$43=A79),Weight!V36,I79)</f>
        <v>45.620526198822454</v>
      </c>
      <c r="J79" s="103">
        <f ca="1">IF(AND(Energy!$F$11=$A$3,Main!$B$43=A79),Weight!I36,J79)</f>
        <v>20.815039000301567</v>
      </c>
      <c r="K79" s="103">
        <f ca="1">IF(AND(Energy!$F$11=$A$3,Main!$B$43=A79),Weight!W36,K79)</f>
        <v>60.620527634609694</v>
      </c>
      <c r="L79" s="103">
        <f ca="1">IF(AND(Energy!$F$11=$A$3,Main!$B$43=A79),'Aerodynamics-Cruise'!BI36,L79)</f>
        <v>60.62052473307822</v>
      </c>
      <c r="M79" s="103">
        <f ca="1">IF(AND(Energy!$F$11=$A$3,Main!$B$43=A79),'Aerodynamics-Cruise'!BJ36,M79)</f>
        <v>2.8457391609448859</v>
      </c>
      <c r="N79" s="103">
        <f ca="1">IF(AND(Energy!$F$11=$A$3,Main!$B$43=A79),'Aerodynamics-Cruise'!BK36,N79)</f>
        <v>21.302207020600605</v>
      </c>
      <c r="O79" s="103">
        <f t="shared" ca="1" si="5"/>
        <v>165.85724478372165</v>
      </c>
      <c r="P79" s="103">
        <f ca="1">IF(AND(Energy!$F$11=$A$3,Main!$B$43=A79),'Aerodynamics-Cruise'!H36,P79)</f>
        <v>8.089481808147168</v>
      </c>
      <c r="Q79" s="103">
        <f ca="1">IF(AND(Energy!$F$11=$A$3,Main!$B$43=A79),'Aerodynamics-Cruise'!I36,Q79)</f>
        <v>6.8954857316938982</v>
      </c>
      <c r="R79" s="103">
        <f ca="1">IF(AND(Energy!$F$11=$A$3,Main!$B$43=$A79),Summary!R36,R79)</f>
        <v>4.0353552564709476</v>
      </c>
      <c r="S79" s="103">
        <f ca="1">IF(AND(Energy!$F$11=$A$3,Main!$B$43=A79),'Aerodynamics-Cruise'!W36,S79)</f>
        <v>1</v>
      </c>
      <c r="T79" s="103">
        <f ca="1">IF(AND(Energy!$F$11=$A$3,Main!$B$43=A79),'Aerodynamics-Cruise'!BL36,T79)</f>
        <v>23.020555173195639</v>
      </c>
      <c r="U79" s="103">
        <f ca="1">IF(AND(Energy!$F$11=$A$3,Main!$B$43=A79),'Propulsion-Cruise'!M36,U79)</f>
        <v>51.171292958907699</v>
      </c>
      <c r="V79" s="103">
        <f ca="1">IF(AND(Energy!$F$11=$A$3,Main!$B$43=A79),Endurance!AP36,V79)</f>
        <v>496.83240478975415</v>
      </c>
      <c r="W79" s="103">
        <f ca="1">IF(AND(Energy!$F$11=$A$3,Main!$B$43=$A79),Summary!W36,W79)</f>
        <v>1.6982456140350879</v>
      </c>
      <c r="X79" s="13">
        <f ca="1">IF(AND(Energy!$F$11=$A$3,Main!$B$43=A79),Energy!D36,X79)</f>
        <v>897.0584611152907</v>
      </c>
      <c r="Y79" s="102">
        <f ca="1">IF(AND(Energy!$F$11=$A$3,Main!$B$43=A79),'Aerodynamics-Cruise'!V36,Y79)</f>
        <v>136815.31425169989</v>
      </c>
      <c r="Z79" s="102">
        <f ca="1">IF(AND(Energy!$F$11=$A$3,Main!$B$43=$A79),Summary!Z36,Z79)</f>
        <v>103289.27106188428</v>
      </c>
      <c r="AA79" s="102">
        <f ca="1">IF(AND(Energy!$F$11=$A$3,Main!$B$43=$A79),Summary!AA36,AA79)</f>
        <v>103289.27106188428</v>
      </c>
      <c r="AB79" s="103">
        <f ca="1">IF(AND(Energy!$F$11=$A$3,Main!$B$43=$A79),Summary!AB36,AB79)</f>
        <v>4.0353552564709476</v>
      </c>
      <c r="AC79" s="103">
        <f ca="1">IF(AND(Energy!$F$11=$A$3,Main!$B$43=$A79),Summary!AC36,AC79)</f>
        <v>2.1867721917283345</v>
      </c>
      <c r="AD79" s="103">
        <f ca="1">IF(AND(Energy!$F$11=$A$3,Main!$B$43=$A79),Summary!AD36,AD79)</f>
        <v>0.40078992970177224</v>
      </c>
      <c r="AE79" s="103">
        <f ca="1">IF(AND(Energy!$F$11=$A$3,Main!$B$43=$A79),Summary!AE36,AE79)</f>
        <v>1.6982456140350879</v>
      </c>
      <c r="AF79" s="103">
        <f ca="1">IF(AND(Energy!$F$11=$A$3,Main!$B$43=$A79),Summary!AF36,AF79)</f>
        <v>23.881578947368425</v>
      </c>
      <c r="AG79" s="103">
        <f ca="1">IF(AND(Energy!$F$11=$A$3,Main!$B$43=$A79),Summary!AG36,AG79)</f>
        <v>10.948105686710624</v>
      </c>
      <c r="AH79" s="103">
        <f ca="1">IF(AND(Energy!$F$11=$A$3,Main!$B$43=$A79),Summary!AH36,AH79)</f>
        <v>47</v>
      </c>
      <c r="AI79" s="103">
        <f ca="1">IF(AND(Energy!$F$11=$A$3,Main!$B$43=$A79),Summary!AI36,AI79)</f>
        <v>2.6975388977683243</v>
      </c>
      <c r="AJ79" s="103">
        <f ca="1">IF(AND(Energy!$F$11=$A$3,Main!$B$43=$A79),Summary!AJ36,AJ79)</f>
        <v>0.23522285228781289</v>
      </c>
      <c r="AK79" s="103">
        <f ca="1">IF(AND(Energy!$F$11=$A$3,Main!$B$43=$A79),Summary!AK36,AK79)</f>
        <v>0.01</v>
      </c>
      <c r="AL79" s="103">
        <f ca="1">IF(AND(Energy!$F$11=$A$3,Main!$B$43=$A79),Summary!AL36,AL79)</f>
        <v>-0.5314046879858153</v>
      </c>
      <c r="AM79" s="103">
        <f ca="1">IF(AND(Energy!$F$11=$A$3,Main!$B$43=$A79),Summary!AJ96,AM79)</f>
        <v>0</v>
      </c>
    </row>
    <row r="80" spans="1:39">
      <c r="A80">
        <f t="shared" si="4"/>
        <v>4</v>
      </c>
      <c r="D80" s="1">
        <f ca="1">IF(AND(Energy!$F$11=$A$3,Main!$B$43=A80),Main!C37,D80)</f>
        <v>6.526315789473685</v>
      </c>
      <c r="E80" s="103">
        <f ca="1">IF(AND(Energy!$F$11=$A$3,Main!$B$43=A80),Main!B37,E80)</f>
        <v>0.26666666666666666</v>
      </c>
      <c r="F80" s="103">
        <f ca="1">IF(Main!$D$6=1,U80,IF(Main!$D$6=2,N80,IF(Main!$D$6=3,K80,IF(Main!$D$6=4,V80,J80))))</f>
        <v>500.34088810441983</v>
      </c>
      <c r="G80" s="103">
        <f ca="1">IF(AND(Energy!$F$11=$A$3,Main!$B$43=A80),Weight!H37,G80)</f>
        <v>15</v>
      </c>
      <c r="H80" s="103">
        <f ca="1">IF(AND(Energy!$F$11=$A$3,Main!$B$43=A80),Weight!U37,H80)</f>
        <v>20.475840691557323</v>
      </c>
      <c r="I80" s="103">
        <f ca="1">IF(AND(Energy!$F$11=$A$3,Main!$B$43=A80),Weight!V37,I80)</f>
        <v>46.375517609202035</v>
      </c>
      <c r="J80" s="103">
        <f ca="1">IF(AND(Energy!$F$11=$A$3,Main!$B$43=A80),Weight!I37,J80)</f>
        <v>20.962028642644707</v>
      </c>
      <c r="K80" s="103">
        <f ca="1">IF(AND(Energy!$F$11=$A$3,Main!$B$43=A80),Weight!W37,K80)</f>
        <v>61.375519061974387</v>
      </c>
      <c r="L80" s="103">
        <f ca="1">IF(AND(Energy!$F$11=$A$3,Main!$B$43=A80),'Aerodynamics-Cruise'!BI37,L80)</f>
        <v>61.375516125714249</v>
      </c>
      <c r="M80" s="103">
        <f ca="1">IF(AND(Energy!$F$11=$A$3,Main!$B$43=A80),'Aerodynamics-Cruise'!BJ37,M80)</f>
        <v>2.8712102907090786</v>
      </c>
      <c r="N80" s="103">
        <f ca="1">IF(AND(Energy!$F$11=$A$3,Main!$B$43=A80),'Aerodynamics-Cruise'!BK37,N80)</f>
        <v>21.376182832834878</v>
      </c>
      <c r="O80" s="103">
        <f t="shared" ca="1" si="5"/>
        <v>167.46641910830294</v>
      </c>
      <c r="P80" s="103">
        <f ca="1">IF(AND(Energy!$F$11=$A$3,Main!$B$43=A80),'Aerodynamics-Cruise'!H37,P80)</f>
        <v>8.040616320561071</v>
      </c>
      <c r="Q80" s="103">
        <f ca="1">IF(AND(Energy!$F$11=$A$3,Main!$B$43=A80),'Aerodynamics-Cruise'!I37,Q80)</f>
        <v>6.8555336963158924</v>
      </c>
      <c r="R80" s="103">
        <f ca="1">IF(AND(Energy!$F$11=$A$3,Main!$B$43=$A80),Summary!R37,R80)</f>
        <v>4.0387768478448418</v>
      </c>
      <c r="S80" s="103">
        <f ca="1">IF(AND(Energy!$F$11=$A$3,Main!$B$43=A80),'Aerodynamics-Cruise'!W37,S80)</f>
        <v>1</v>
      </c>
      <c r="T80" s="103">
        <f ca="1">IF(AND(Energy!$F$11=$A$3,Main!$B$43=A80),'Aerodynamics-Cruise'!BL37,T80)</f>
        <v>23.086300323238316</v>
      </c>
      <c r="U80" s="103">
        <f ca="1">IF(AND(Energy!$F$11=$A$3,Main!$B$43=A80),'Propulsion-Cruise'!M37,U80)</f>
        <v>51.424891844268132</v>
      </c>
      <c r="V80" s="103">
        <f ca="1">IF(AND(Energy!$F$11=$A$3,Main!$B$43=A80),Endurance!AP37,V80)</f>
        <v>500.34088810441983</v>
      </c>
      <c r="W80" s="103">
        <f ca="1">IF(AND(Energy!$F$11=$A$3,Main!$B$43=$A80),Summary!W37,W80)</f>
        <v>1.7403508771929825</v>
      </c>
      <c r="X80" s="13">
        <f ca="1">IF(AND(Energy!$F$11=$A$3,Main!$B$43=A80),Energy!D37,X80)</f>
        <v>903.39322234986537</v>
      </c>
      <c r="Y80" s="102">
        <f ca="1">IF(AND(Energy!$F$11=$A$3,Main!$B$43=A80),'Aerodynamics-Cruise'!V37,Y80)</f>
        <v>135988.86489453327</v>
      </c>
      <c r="Z80" s="102">
        <f ca="1">IF(AND(Energy!$F$11=$A$3,Main!$B$43=$A80),Summary!Z37,Z80)</f>
        <v>102689.8249604603</v>
      </c>
      <c r="AA80" s="102">
        <f ca="1">IF(AND(Energy!$F$11=$A$3,Main!$B$43=$A80),Summary!AA37,AA80)</f>
        <v>102689.8249604603</v>
      </c>
      <c r="AB80" s="103">
        <f ca="1">IF(AND(Energy!$F$11=$A$3,Main!$B$43=$A80),Summary!AB37,AB80)</f>
        <v>4.0387768478448418</v>
      </c>
      <c r="AC80" s="103">
        <f ca="1">IF(AND(Energy!$F$11=$A$3,Main!$B$43=$A80),Summary!AC37,AC80)</f>
        <v>2.1463299076956015</v>
      </c>
      <c r="AD80" s="103">
        <f ca="1">IF(AND(Energy!$F$11=$A$3,Main!$B$43=$A80),Summary!AD37,AD80)</f>
        <v>0.40072989376263263</v>
      </c>
      <c r="AE80" s="103">
        <f ca="1">IF(AND(Energy!$F$11=$A$3,Main!$B$43=$A80),Summary!AE37,AE80)</f>
        <v>1.7403508771929825</v>
      </c>
      <c r="AF80" s="103">
        <f ca="1">IF(AND(Energy!$F$11=$A$3,Main!$B$43=$A80),Summary!AF37,AF80)</f>
        <v>24.473684210526319</v>
      </c>
      <c r="AG80" s="103">
        <f ca="1">IF(AND(Energy!$F$11=$A$3,Main!$B$43=$A80),Summary!AG37,AG80)</f>
        <v>10.990447096407545</v>
      </c>
      <c r="AH80" s="103">
        <f ca="1">IF(AND(Energy!$F$11=$A$3,Main!$B$43=$A80),Summary!AH37,AH80)</f>
        <v>47</v>
      </c>
      <c r="AI80" s="103">
        <f ca="1">IF(AND(Energy!$F$11=$A$3,Main!$B$43=$A80),Summary!AI37,AI80)</f>
        <v>2.6962004526472261</v>
      </c>
      <c r="AJ80" s="103">
        <f ca="1">IF(AND(Energy!$F$11=$A$3,Main!$B$43=$A80),Summary!AJ37,AJ80)</f>
        <v>0.23564058380104289</v>
      </c>
      <c r="AK80" s="103">
        <f ca="1">IF(AND(Energy!$F$11=$A$3,Main!$B$43=$A80),Summary!AK37,AK80)</f>
        <v>0.01</v>
      </c>
      <c r="AL80" s="103">
        <f ca="1">IF(AND(Energy!$F$11=$A$3,Main!$B$43=$A80),Summary!AL37,AL80)</f>
        <v>-0.53046259427462983</v>
      </c>
      <c r="AM80" s="103">
        <f ca="1">IF(AND(Energy!$F$11=$A$3,Main!$B$43=$A80),Summary!AJ97,AM80)</f>
        <v>0</v>
      </c>
    </row>
    <row r="81" spans="1:39">
      <c r="A81">
        <f t="shared" si="4"/>
        <v>4</v>
      </c>
      <c r="D81" s="1">
        <f ca="1">IF(AND(Energy!$F$11=$A$3,Main!$B$43=A81),Main!C38,D81)</f>
        <v>6.6842105263157903</v>
      </c>
      <c r="E81" s="103">
        <f ca="1">IF(AND(Energy!$F$11=$A$3,Main!$B$43=A81),Main!B38,E81)</f>
        <v>0.26666666666666666</v>
      </c>
      <c r="F81" s="103">
        <f ca="1">IF(Main!$D$6=1,U81,IF(Main!$D$6=2,N81,IF(Main!$D$6=3,K81,IF(Main!$D$6=4,V81,J81))))</f>
        <v>504.22613595582226</v>
      </c>
      <c r="G81" s="103">
        <f ca="1">IF(AND(Energy!$F$11=$A$3,Main!$B$43=A81),Weight!H38,G81)</f>
        <v>15</v>
      </c>
      <c r="H81" s="103">
        <f ca="1">IF(AND(Energy!$F$11=$A$3,Main!$B$43=A81),Weight!U38,H81)</f>
        <v>21.098491378476929</v>
      </c>
      <c r="I81" s="103">
        <f ca="1">IF(AND(Energy!$F$11=$A$3,Main!$B$43=A81),Weight!V38,I81)</f>
        <v>47.160942671454421</v>
      </c>
      <c r="J81" s="103">
        <f ca="1">IF(AND(Energy!$F$11=$A$3,Main!$B$43=A81),Weight!I38,J81)</f>
        <v>21.124803017977488</v>
      </c>
      <c r="K81" s="103">
        <f ca="1">IF(AND(Energy!$F$11=$A$3,Main!$B$43=A81),Weight!W38,K81)</f>
        <v>62.160944144248276</v>
      </c>
      <c r="L81" s="103">
        <f ca="1">IF(AND(Energy!$F$11=$A$3,Main!$B$43=A81),'Aerodynamics-Cruise'!BI38,L81)</f>
        <v>62.160941167213672</v>
      </c>
      <c r="M81" s="103">
        <f ca="1">IF(AND(Energy!$F$11=$A$3,Main!$B$43=A81),'Aerodynamics-Cruise'!BJ38,M81)</f>
        <v>2.8980535818082322</v>
      </c>
      <c r="N81" s="103">
        <f ca="1">IF(AND(Energy!$F$11=$A$3,Main!$B$43=A81),'Aerodynamics-Cruise'!BK38,N81)</f>
        <v>21.449203547309338</v>
      </c>
      <c r="O81" s="103">
        <f t="shared" ca="1" si="5"/>
        <v>169.11026157197961</v>
      </c>
      <c r="P81" s="103">
        <f ca="1">IF(AND(Energy!$F$11=$A$3,Main!$B$43=A81),'Aerodynamics-Cruise'!H38,P81)</f>
        <v>7.9957399316418645</v>
      </c>
      <c r="Q81" s="103">
        <f ca="1">IF(AND(Energy!$F$11=$A$3,Main!$B$43=A81),'Aerodynamics-Cruise'!I38,Q81)</f>
        <v>6.818834449408528</v>
      </c>
      <c r="R81" s="103">
        <f ca="1">IF(AND(Energy!$F$11=$A$3,Main!$B$43=$A81),Summary!R38,R81)</f>
        <v>4.0473289757732118</v>
      </c>
      <c r="S81" s="103">
        <f ca="1">IF(AND(Energy!$F$11=$A$3,Main!$B$43=A81),'Aerodynamics-Cruise'!W38,S81)</f>
        <v>1</v>
      </c>
      <c r="T81" s="103">
        <f ca="1">IF(AND(Energy!$F$11=$A$3,Main!$B$43=A81),'Aerodynamics-Cruise'!BL38,T81)</f>
        <v>23.172082748101815</v>
      </c>
      <c r="U81" s="103">
        <f ca="1">IF(AND(Energy!$F$11=$A$3,Main!$B$43=A81),'Propulsion-Cruise'!M38,U81)</f>
        <v>51.718149759968213</v>
      </c>
      <c r="V81" s="103">
        <f ca="1">IF(AND(Energy!$F$11=$A$3,Main!$B$43=A81),Endurance!AP38,V81)</f>
        <v>504.22613595582226</v>
      </c>
      <c r="W81" s="103">
        <f ca="1">IF(AND(Energy!$F$11=$A$3,Main!$B$43=$A81),Summary!W38,W81)</f>
        <v>1.7824561403508774</v>
      </c>
      <c r="X81" s="13">
        <f ca="1">IF(AND(Energy!$F$11=$A$3,Main!$B$43=A81),Energy!D38,X81)</f>
        <v>910.4082527774724</v>
      </c>
      <c r="Y81" s="102">
        <f ca="1">IF(AND(Energy!$F$11=$A$3,Main!$B$43=A81),'Aerodynamics-Cruise'!V38,Y81)</f>
        <v>135229.88213172153</v>
      </c>
      <c r="Z81" s="102">
        <f ca="1">IF(AND(Energy!$F$11=$A$3,Main!$B$43=$A81),Summary!Z38,Z81)</f>
        <v>102139.1892382823</v>
      </c>
      <c r="AA81" s="102">
        <f ca="1">IF(AND(Energy!$F$11=$A$3,Main!$B$43=$A81),Summary!AA38,AA81)</f>
        <v>102139.1892382823</v>
      </c>
      <c r="AB81" s="103">
        <f ca="1">IF(AND(Energy!$F$11=$A$3,Main!$B$43=$A81),Summary!AB38,AB81)</f>
        <v>4.0473289757732118</v>
      </c>
      <c r="AC81" s="103">
        <f ca="1">IF(AND(Energy!$F$11=$A$3,Main!$B$43=$A81),Summary!AC38,AC81)</f>
        <v>2.1064937702803674</v>
      </c>
      <c r="AD81" s="103">
        <f ca="1">IF(AND(Energy!$F$11=$A$3,Main!$B$43=$A81),Summary!AD38,AD81)</f>
        <v>0.40082259747944526</v>
      </c>
      <c r="AE81" s="103">
        <f ca="1">IF(AND(Energy!$F$11=$A$3,Main!$B$43=$A81),Summary!AE38,AE81)</f>
        <v>1.7824561403508774</v>
      </c>
      <c r="AF81" s="103">
        <f ca="1">IF(AND(Energy!$F$11=$A$3,Main!$B$43=$A81),Summary!AF38,AF81)</f>
        <v>25.065789473684212</v>
      </c>
      <c r="AG81" s="103">
        <f ca="1">IF(AND(Energy!$F$11=$A$3,Main!$B$43=$A81),Summary!AG38,AG81)</f>
        <v>11.037469306431669</v>
      </c>
      <c r="AH81" s="103">
        <f ca="1">IF(AND(Energy!$F$11=$A$3,Main!$B$43=$A81),Summary!AH38,AH81)</f>
        <v>47</v>
      </c>
      <c r="AI81" s="103">
        <f ca="1">IF(AND(Energy!$F$11=$A$3,Main!$B$43=$A81),Summary!AI38,AI81)</f>
        <v>2.6949646026681306</v>
      </c>
      <c r="AJ81" s="103">
        <f ca="1">IF(AND(Energy!$F$11=$A$3,Main!$B$43=$A81),Summary!AJ38,AJ81)</f>
        <v>0.23603077055571417</v>
      </c>
      <c r="AK81" s="103">
        <f ca="1">IF(AND(Energy!$F$11=$A$3,Main!$B$43=$A81),Summary!AK38,AK81)</f>
        <v>0.01</v>
      </c>
      <c r="AL81" s="103">
        <f ca="1">IF(AND(Energy!$F$11=$A$3,Main!$B$43=$A81),Summary!AL38,AL81)</f>
        <v>-0.52958562985727142</v>
      </c>
      <c r="AM81" s="103">
        <f ca="1">IF(AND(Energy!$F$11=$A$3,Main!$B$43=$A81),Summary!AJ98,AM81)</f>
        <v>0</v>
      </c>
    </row>
    <row r="82" spans="1:39">
      <c r="A82">
        <f t="shared" si="4"/>
        <v>4</v>
      </c>
      <c r="D82" s="1">
        <f ca="1">IF(AND(Energy!$F$11=$A$3,Main!$B$43=A82),Main!C39,D82)</f>
        <v>6.8421052631578956</v>
      </c>
      <c r="E82" s="103">
        <f ca="1">IF(AND(Energy!$F$11=$A$3,Main!$B$43=A82),Main!B39,E82)</f>
        <v>0.26666666666666666</v>
      </c>
      <c r="F82" s="103">
        <f ca="1">IF(Main!$D$6=1,U82,IF(Main!$D$6=2,N82,IF(Main!$D$6=3,K82,IF(Main!$D$6=4,V82,J82))))</f>
        <v>508.46830686441041</v>
      </c>
      <c r="G82" s="103">
        <f ca="1">IF(AND(Energy!$F$11=$A$3,Main!$B$43=A82),Weight!H39,G82)</f>
        <v>15</v>
      </c>
      <c r="H82" s="103">
        <f ca="1">IF(AND(Energy!$F$11=$A$3,Main!$B$43=A82),Weight!U39,H82)</f>
        <v>21.735902561451361</v>
      </c>
      <c r="I82" s="103">
        <f ca="1">IF(AND(Energy!$F$11=$A$3,Main!$B$43=A82),Weight!V39,I82)</f>
        <v>47.97608169441412</v>
      </c>
      <c r="J82" s="103">
        <f ca="1">IF(AND(Energy!$F$11=$A$3,Main!$B$43=A82),Weight!I39,J82)</f>
        <v>21.302530857962758</v>
      </c>
      <c r="K82" s="103">
        <f ca="1">IF(AND(Energy!$F$11=$A$3,Main!$B$43=A82),Weight!W39,K82)</f>
        <v>62.976083190082441</v>
      </c>
      <c r="L82" s="103">
        <f ca="1">IF(AND(Energy!$F$11=$A$3,Main!$B$43=A82),'Aerodynamics-Cruise'!BI39,L82)</f>
        <v>62.97608016659612</v>
      </c>
      <c r="M82" s="103">
        <f ca="1">IF(AND(Energy!$F$11=$A$3,Main!$B$43=A82),'Aerodynamics-Cruise'!BJ39,M82)</f>
        <v>2.9261917224239236</v>
      </c>
      <c r="N82" s="103">
        <f ca="1">IF(AND(Energy!$F$11=$A$3,Main!$B$43=A82),'Aerodynamics-Cruise'!BK39,N82)</f>
        <v>21.521515382604395</v>
      </c>
      <c r="O82" s="103">
        <f t="shared" ca="1" si="5"/>
        <v>170.78930075136478</v>
      </c>
      <c r="P82" s="103">
        <f ca="1">IF(AND(Energy!$F$11=$A$3,Main!$B$43=A82),'Aerodynamics-Cruise'!H39,P82)</f>
        <v>7.9545763099836959</v>
      </c>
      <c r="Q82" s="103">
        <f ca="1">IF(AND(Energy!$F$11=$A$3,Main!$B$43=A82),'Aerodynamics-Cruise'!I39,Q82)</f>
        <v>6.7851641584964453</v>
      </c>
      <c r="R82" s="103">
        <f ca="1">IF(AND(Energy!$F$11=$A$3,Main!$B$43=$A82),Summary!R39,R82)</f>
        <v>4.0607195024825433</v>
      </c>
      <c r="S82" s="103">
        <f ca="1">IF(AND(Energy!$F$11=$A$3,Main!$B$43=A82),'Aerodynamics-Cruise'!W39,S82)</f>
        <v>1</v>
      </c>
      <c r="T82" s="103">
        <f ca="1">IF(AND(Energy!$F$11=$A$3,Main!$B$43=A82),'Aerodynamics-Cruise'!BL39,T82)</f>
        <v>23.276615353663729</v>
      </c>
      <c r="U82" s="103">
        <f ca="1">IF(AND(Energy!$F$11=$A$3,Main!$B$43=A82),'Propulsion-Cruise'!M39,U82)</f>
        <v>52.048762188224771</v>
      </c>
      <c r="V82" s="103">
        <f ca="1">IF(AND(Energy!$F$11=$A$3,Main!$B$43=A82),Endurance!AP39,V82)</f>
        <v>508.46830686441041</v>
      </c>
      <c r="W82" s="103">
        <f ca="1">IF(AND(Energy!$F$11=$A$3,Main!$B$43=$A82),Summary!W39,W82)</f>
        <v>1.8245614035087721</v>
      </c>
      <c r="X82" s="13">
        <f ca="1">IF(AND(Energy!$F$11=$A$3,Main!$B$43=A82),Energy!D39,X82)</f>
        <v>918.06772751172025</v>
      </c>
      <c r="Y82" s="102">
        <f ca="1">IF(AND(Energy!$F$11=$A$3,Main!$B$43=A82),'Aerodynamics-Cruise'!V39,Y82)</f>
        <v>134533.69244164418</v>
      </c>
      <c r="Z82" s="102">
        <f ca="1">IF(AND(Energy!$F$11=$A$3,Main!$B$43=$A82),Summary!Z39,Z82)</f>
        <v>101634.00425499305</v>
      </c>
      <c r="AA82" s="102">
        <f ca="1">IF(AND(Energy!$F$11=$A$3,Main!$B$43=$A82),Summary!AA39,AA82)</f>
        <v>101634.00425499305</v>
      </c>
      <c r="AB82" s="103">
        <f ca="1">IF(AND(Energy!$F$11=$A$3,Main!$B$43=$A82),Summary!AB39,AB82)</f>
        <v>4.0607195024825433</v>
      </c>
      <c r="AC82" s="103">
        <f ca="1">IF(AND(Energy!$F$11=$A$3,Main!$B$43=$A82),Summary!AC39,AC82)</f>
        <v>2.0672809143995776</v>
      </c>
      <c r="AD82" s="103">
        <f ca="1">IF(AND(Energy!$F$11=$A$3,Main!$B$43=$A82),Summary!AD39,AD82)</f>
        <v>0.40105767265467174</v>
      </c>
      <c r="AE82" s="103">
        <f ca="1">IF(AND(Energy!$F$11=$A$3,Main!$B$43=$A82),Summary!AE39,AE82)</f>
        <v>1.8245614035087721</v>
      </c>
      <c r="AF82" s="103">
        <f ca="1">IF(AND(Energy!$F$11=$A$3,Main!$B$43=$A82),Summary!AF39,AF82)</f>
        <v>25.65789473684211</v>
      </c>
      <c r="AG82" s="103">
        <f ca="1">IF(AND(Energy!$F$11=$A$3,Main!$B$43=$A82),Summary!AG39,AG82)</f>
        <v>11.088877349459606</v>
      </c>
      <c r="AH82" s="103">
        <f ca="1">IF(AND(Energy!$F$11=$A$3,Main!$B$43=$A82),Summary!AH39,AH82)</f>
        <v>47</v>
      </c>
      <c r="AI82" s="103">
        <f ca="1">IF(AND(Energy!$F$11=$A$3,Main!$B$43=$A82),Summary!AI39,AI82)</f>
        <v>2.6938252843086685</v>
      </c>
      <c r="AJ82" s="103">
        <f ca="1">IF(AND(Energy!$F$11=$A$3,Main!$B$43=$A82),Summary!AJ39,AJ82)</f>
        <v>0.23639502664792597</v>
      </c>
      <c r="AK82" s="103">
        <f ca="1">IF(AND(Energy!$F$11=$A$3,Main!$B$43=$A82),Summary!AK39,AK82)</f>
        <v>0.01</v>
      </c>
      <c r="AL82" s="103">
        <f ca="1">IF(AND(Energy!$F$11=$A$3,Main!$B$43=$A82),Summary!AL39,AL82)</f>
        <v>-0.52876955528375635</v>
      </c>
      <c r="AM82" s="103">
        <f ca="1">IF(AND(Energy!$F$11=$A$3,Main!$B$43=$A82),Summary!AJ99,AM82)</f>
        <v>0</v>
      </c>
    </row>
    <row r="83" spans="1:39">
      <c r="A83">
        <f t="shared" si="4"/>
        <v>4</v>
      </c>
      <c r="D83" s="1">
        <f ca="1">IF(AND(Energy!$F$11=$A$3,Main!$B$43=A83),Main!C40,D83)</f>
        <v>7</v>
      </c>
      <c r="E83" s="103">
        <f ca="1">IF(AND(Energy!$F$11=$A$3,Main!$B$43=A83),Main!B40,E83)</f>
        <v>0.26666666666666666</v>
      </c>
      <c r="F83" s="103">
        <f ca="1">IF(Main!$D$6=1,U83,IF(Main!$D$6=2,N83,IF(Main!$D$6=3,K83,IF(Main!$D$6=4,V83,J83))))</f>
        <v>513.05025880722144</v>
      </c>
      <c r="G83" s="103">
        <f ca="1">IF(AND(Energy!$F$11=$A$3,Main!$B$43=A83),Weight!H40,G83)</f>
        <v>15</v>
      </c>
      <c r="H83" s="103">
        <f ca="1">IF(AND(Energy!$F$11=$A$3,Main!$B$43=A83),Weight!U40,H83)</f>
        <v>22.388197531399179</v>
      </c>
      <c r="I83" s="103">
        <f ca="1">IF(AND(Energy!$F$11=$A$3,Main!$B$43=A83),Weight!V40,I83)</f>
        <v>48.820339795677981</v>
      </c>
      <c r="J83" s="103">
        <f ca="1">IF(AND(Energy!$F$11=$A$3,Main!$B$43=A83),Weight!I40,J83)</f>
        <v>21.494493989278805</v>
      </c>
      <c r="K83" s="103">
        <f ca="1">IF(AND(Energy!$F$11=$A$3,Main!$B$43=A83),Weight!W40,K83)</f>
        <v>63.820341316927959</v>
      </c>
      <c r="L83" s="103">
        <f ca="1">IF(AND(Energy!$F$11=$A$3,Main!$B$43=A83),'Aerodynamics-Cruise'!BI40,L83)</f>
        <v>63.82033824160505</v>
      </c>
      <c r="M83" s="103">
        <f ca="1">IF(AND(Energy!$F$11=$A$3,Main!$B$43=A83),'Aerodynamics-Cruise'!BJ40,M83)</f>
        <v>2.9555568180186511</v>
      </c>
      <c r="N83" s="103">
        <f ca="1">IF(AND(Energy!$F$11=$A$3,Main!$B$43=A83),'Aerodynamics-Cruise'!BK40,N83)</f>
        <v>21.593338301778608</v>
      </c>
      <c r="O83" s="103">
        <f t="shared" ca="1" si="5"/>
        <v>172.5040674390558</v>
      </c>
      <c r="P83" s="103">
        <f ca="1">IF(AND(Energy!$F$11=$A$3,Main!$B$43=A83),'Aerodynamics-Cruise'!H40,P83)</f>
        <v>7.9168768082976611</v>
      </c>
      <c r="Q83" s="103">
        <f ca="1">IF(AND(Energy!$F$11=$A$3,Main!$B$43=A83),'Aerodynamics-Cruise'!I40,Q83)</f>
        <v>6.7543212868410762</v>
      </c>
      <c r="R83" s="103">
        <f ca="1">IF(AND(Energy!$F$11=$A$3,Main!$B$43=$A83),Summary!R40,R83)</f>
        <v>4.0786997661557791</v>
      </c>
      <c r="S83" s="103">
        <f ca="1">IF(AND(Energy!$F$11=$A$3,Main!$B$43=A83),'Aerodynamics-Cruise'!W40,S83)</f>
        <v>1</v>
      </c>
      <c r="T83" s="103">
        <f ca="1">IF(AND(Energy!$F$11=$A$3,Main!$B$43=A83),'Aerodynamics-Cruise'!BL40,T83)</f>
        <v>23.39877922817789</v>
      </c>
      <c r="U83" s="103">
        <f ca="1">IF(AND(Energy!$F$11=$A$3,Main!$B$43=A83),'Propulsion-Cruise'!M40,U83)</f>
        <v>52.414729098096707</v>
      </c>
      <c r="V83" s="103">
        <f ca="1">IF(AND(Energy!$F$11=$A$3,Main!$B$43=A83),Endurance!AP40,V83)</f>
        <v>513.05025880722144</v>
      </c>
      <c r="W83" s="103">
        <f ca="1">IF(AND(Energy!$F$11=$A$3,Main!$B$43=$A83),Summary!W40,W83)</f>
        <v>1.8666666666666667</v>
      </c>
      <c r="X83" s="13">
        <f ca="1">IF(AND(Energy!$F$11=$A$3,Main!$B$43=A83),Energy!D40,X83)</f>
        <v>926.34069568369443</v>
      </c>
      <c r="Y83" s="102">
        <f ca="1">IF(AND(Energy!$F$11=$A$3,Main!$B$43=A83),'Aerodynamics-Cruise'!V40,Y83)</f>
        <v>133896.09051699276</v>
      </c>
      <c r="Z83" s="102">
        <f ca="1">IF(AND(Energy!$F$11=$A$3,Main!$B$43=$A83),Summary!Z40,Z83)</f>
        <v>101171.24509658467</v>
      </c>
      <c r="AA83" s="102">
        <f ca="1">IF(AND(Energy!$F$11=$A$3,Main!$B$43=$A83),Summary!AA40,AA83)</f>
        <v>101171.24509658467</v>
      </c>
      <c r="AB83" s="103">
        <f ca="1">IF(AND(Energy!$F$11=$A$3,Main!$B$43=$A83),Summary!AB40,AB83)</f>
        <v>4.0786997661557791</v>
      </c>
      <c r="AC83" s="103">
        <f ca="1">IF(AND(Energy!$F$11=$A$3,Main!$B$43=$A83),Summary!AC40,AC83)</f>
        <v>2.0287031508854882</v>
      </c>
      <c r="AD83" s="103">
        <f ca="1">IF(AND(Energy!$F$11=$A$3,Main!$B$43=$A83),Summary!AD40,AD83)</f>
        <v>0.40142583740415255</v>
      </c>
      <c r="AE83" s="103">
        <f ca="1">IF(AND(Energy!$F$11=$A$3,Main!$B$43=$A83),Summary!AE40,AE83)</f>
        <v>1.8666666666666667</v>
      </c>
      <c r="AF83" s="103">
        <f ca="1">IF(AND(Energy!$F$11=$A$3,Main!$B$43=$A83),Summary!AF40,AF83)</f>
        <v>26.25</v>
      </c>
      <c r="AG83" s="103">
        <f ca="1">IF(AND(Energy!$F$11=$A$3,Main!$B$43=$A83),Summary!AG40,AG83)</f>
        <v>11.144411413345575</v>
      </c>
      <c r="AH83" s="103">
        <f ca="1">IF(AND(Energy!$F$11=$A$3,Main!$B$43=$A83),Summary!AH40,AH83)</f>
        <v>47</v>
      </c>
      <c r="AI83" s="103">
        <f ca="1">IF(AND(Energy!$F$11=$A$3,Main!$B$43=$A83),Summary!AI40,AI83)</f>
        <v>2.6927769579276233</v>
      </c>
      <c r="AJ83" s="103">
        <f ca="1">IF(AND(Energy!$F$11=$A$3,Main!$B$43=$A83),Summary!AJ40,AJ83)</f>
        <v>0.23673483436409049</v>
      </c>
      <c r="AK83" s="103">
        <f ca="1">IF(AND(Energy!$F$11=$A$3,Main!$B$43=$A83),Summary!AK40,AK83)</f>
        <v>0.01</v>
      </c>
      <c r="AL83" s="103">
        <f ca="1">IF(AND(Energy!$F$11=$A$3,Main!$B$43=$A83),Summary!AL40,AL83)</f>
        <v>-0.52801051524870912</v>
      </c>
      <c r="AM83" s="103">
        <f ca="1">IF(AND(Energy!$F$11=$A$3,Main!$B$43=$A83),Summary!AJ100,AM83)</f>
        <v>0</v>
      </c>
    </row>
    <row r="84" spans="1:39">
      <c r="A84" s="7">
        <f>A64+1</f>
        <v>5</v>
      </c>
      <c r="D84" s="1">
        <f ca="1">IF(AND(Energy!$F$11=$A$3,Main!$B$43=A84),Main!C21,D84)</f>
        <v>4</v>
      </c>
      <c r="E84" s="103">
        <f ca="1">IF(AND(Energy!$F$11=$A$3,Main!$B$43=A84),Main!B21,E84)</f>
        <v>0.28888888888888886</v>
      </c>
      <c r="F84" s="103">
        <f ca="1">IF(Main!$D$6=1,U84,IF(Main!$D$6=2,N84,IF(Main!$D$6=3,K84,IF(Main!$D$6=4,V84,J84))))</f>
        <v>528.35793819890205</v>
      </c>
      <c r="G84" s="103">
        <f ca="1">IF(AND(Energy!$F$11=$A$3,Main!$B$43=A84),Weight!H21,G84)</f>
        <v>15</v>
      </c>
      <c r="H84" s="103">
        <f ca="1">IF(AND(Energy!$F$11=$A$3,Main!$B$43=A84),Weight!U21,H84)</f>
        <v>13.30101459293769</v>
      </c>
      <c r="I84" s="103">
        <f ca="1">IF(AND(Energy!$F$11=$A$3,Main!$B$43=A84),Weight!V21,I84)</f>
        <v>40.374480976470849</v>
      </c>
      <c r="J84" s="103">
        <f ca="1">IF(AND(Energy!$F$11=$A$3,Main!$B$43=A84),Weight!I21,J84)</f>
        <v>22.135818108533158</v>
      </c>
      <c r="K84" s="103">
        <f ca="1">IF(AND(Energy!$F$11=$A$3,Main!$B$43=A84),Weight!W21,K84)</f>
        <v>55.374481611394138</v>
      </c>
      <c r="L84" s="103">
        <f ca="1">IF(AND(Energy!$F$11=$A$3,Main!$B$43=A84),'Aerodynamics-Cruise'!BI21,L84)</f>
        <v>55.374480330189769</v>
      </c>
      <c r="M84" s="103">
        <f ca="1">IF(AND(Energy!$F$11=$A$3,Main!$B$43=A84),'Aerodynamics-Cruise'!BJ21,M84)</f>
        <v>2.8312750926689576</v>
      </c>
      <c r="N84" s="103">
        <f ca="1">IF(AND(Energy!$F$11=$A$3,Main!$B$43=A84),'Aerodynamics-Cruise'!BK21,N84)</f>
        <v>19.558142009432903</v>
      </c>
      <c r="O84" s="103">
        <f t="shared" ca="1" si="5"/>
        <v>145.54001888608687</v>
      </c>
      <c r="P84" s="103">
        <f ca="1">IF(AND(Energy!$F$11=$A$3,Main!$B$43=A84),'Aerodynamics-Cruise'!H21,P84)</f>
        <v>9.3810424287039282</v>
      </c>
      <c r="Q84" s="103">
        <f ca="1">IF(AND(Energy!$F$11=$A$3,Main!$B$43=A84),'Aerodynamics-Cruise'!I21,Q84)</f>
        <v>7.9157423940867684</v>
      </c>
      <c r="R84" s="103">
        <f ca="1">IF(AND(Energy!$F$11=$A$3,Main!$B$43=$A84),Summary!R21,R84)</f>
        <v>4.8827373962121534</v>
      </c>
      <c r="S84" s="103">
        <f ca="1">IF(AND(Energy!$F$11=$A$3,Main!$B$43=A84),'Aerodynamics-Cruise'!W21,S84)</f>
        <v>1</v>
      </c>
      <c r="T84" s="103">
        <f ca="1">IF(AND(Energy!$F$11=$A$3,Main!$B$43=A84),'Aerodynamics-Cruise'!BL21,T84)</f>
        <v>26.560311771660139</v>
      </c>
      <c r="U84" s="103">
        <f ca="1">IF(AND(Energy!$F$11=$A$3,Main!$B$43=A84),'Propulsion-Cruise'!M21,U84)</f>
        <v>56.32216243558112</v>
      </c>
      <c r="V84" s="103">
        <f ca="1">IF(AND(Energy!$F$11=$A$3,Main!$B$43=A84),Endurance!AP21,V84)</f>
        <v>528.35793819890205</v>
      </c>
      <c r="W84" s="103">
        <f ca="1">IF(AND(Energy!$F$11=$A$3,Main!$B$43=$A84),Summary!W21,W84)</f>
        <v>1.1555555555555554</v>
      </c>
      <c r="X84" s="13">
        <f ca="1">IF(AND(Energy!$F$11=$A$3,Main!$B$43=A84),Energy!D21,X84)</f>
        <v>953.97958808108501</v>
      </c>
      <c r="Y84" s="102">
        <f ca="1">IF(AND(Energy!$F$11=$A$3,Main!$B$43=A84),'Aerodynamics-Cruise'!V21,Y84)</f>
        <v>171880.74051281688</v>
      </c>
      <c r="Z84" s="102">
        <f ca="1">IF(AND(Energy!$F$11=$A$3,Main!$B$43=$A84),Summary!Z21,Z84)</f>
        <v>128503.78298840381</v>
      </c>
      <c r="AA84" s="102">
        <f ca="1">IF(AND(Energy!$F$11=$A$3,Main!$B$43=$A84),Summary!AA21,AA84)</f>
        <v>128503.78298840381</v>
      </c>
      <c r="AB84" s="103">
        <f ca="1">IF(AND(Energy!$F$11=$A$3,Main!$B$43=$A84),Summary!AB21,AB84)</f>
        <v>4.8827373962121534</v>
      </c>
      <c r="AC84" s="103">
        <f ca="1">IF(AND(Energy!$F$11=$A$3,Main!$B$43=$A84),Summary!AC21,AC84)</f>
        <v>2.6819288400899883</v>
      </c>
      <c r="AD84" s="103">
        <f ca="1">IF(AND(Energy!$F$11=$A$3,Main!$B$43=$A84),Summary!AD21,AD84)</f>
        <v>0.43607879992963838</v>
      </c>
      <c r="AE84" s="103">
        <f ca="1">IF(AND(Energy!$F$11=$A$3,Main!$B$43=$A84),Summary!AE21,AE84)</f>
        <v>1.1555555555555554</v>
      </c>
      <c r="AF84" s="103">
        <f ca="1">IF(AND(Energy!$F$11=$A$3,Main!$B$43=$A84),Summary!AF21,AF84)</f>
        <v>13.846153846153847</v>
      </c>
      <c r="AG84" s="103">
        <f ca="1">IF(AND(Energy!$F$11=$A$3,Main!$B$43=$A84),Summary!AG21,AG84)</f>
        <v>11.429165069804508</v>
      </c>
      <c r="AH84" s="103">
        <f ca="1">IF(AND(Energy!$F$11=$A$3,Main!$B$43=$A84),Summary!AH21,AH84)</f>
        <v>47</v>
      </c>
      <c r="AI84" s="103">
        <f ca="1">IF(AND(Energy!$F$11=$A$3,Main!$B$43=$A84),Summary!AI21,AI84)</f>
        <v>2.7528018497605728</v>
      </c>
      <c r="AJ84" s="103">
        <f ca="1">IF(AND(Energy!$F$11=$A$3,Main!$B$43=$A84),Summary!AJ21,AJ84)</f>
        <v>0.22303159292217128</v>
      </c>
      <c r="AK84" s="103">
        <f ca="1">IF(AND(Energy!$F$11=$A$3,Main!$B$43=$A84),Summary!AK21,AK84)</f>
        <v>0.01</v>
      </c>
      <c r="AL84" s="103">
        <f ca="1">IF(AND(Energy!$F$11=$A$3,Main!$B$43=$A84),Summary!AL21,AL84)</f>
        <v>-0.56045685042335536</v>
      </c>
      <c r="AM84" s="103">
        <f ca="1">IF(AND(Energy!$F$11=$A$3,Main!$B$43=$A84),Summary!AJ101,AM84)</f>
        <v>0</v>
      </c>
    </row>
    <row r="85" spans="1:39">
      <c r="A85">
        <f>A84</f>
        <v>5</v>
      </c>
      <c r="B85" s="100"/>
      <c r="C85" s="100"/>
      <c r="D85" s="1">
        <f ca="1">IF(AND(Energy!$F$11=$A$3,Main!$B$43=A85),Main!C22,D85)</f>
        <v>4.1578947368421053</v>
      </c>
      <c r="E85" s="103">
        <f ca="1">IF(AND(Energy!$F$11=$A$3,Main!$B$43=A85),Main!B22,E85)</f>
        <v>0.28888888888888886</v>
      </c>
      <c r="F85" s="103">
        <f ca="1">IF(Main!$D$6=1,U85,IF(Main!$D$6=2,N85,IF(Main!$D$6=3,K85,IF(Main!$D$6=4,V85,J85))))</f>
        <v>517.8715000645567</v>
      </c>
      <c r="G85" s="103">
        <f ca="1">IF(AND(Energy!$F$11=$A$3,Main!$B$43=A85),Weight!H22,G85)</f>
        <v>15</v>
      </c>
      <c r="H85" s="103">
        <f ca="1">IF(AND(Energy!$F$11=$A$3,Main!$B$43=A85),Weight!U22,H85)</f>
        <v>13.716395798856027</v>
      </c>
      <c r="I85" s="103">
        <f ca="1">IF(AND(Energy!$F$11=$A$3,Main!$B$43=A85),Weight!V22,I85)</f>
        <v>40.350527695648161</v>
      </c>
      <c r="J85" s="103">
        <f ca="1">IF(AND(Energy!$F$11=$A$3,Main!$B$43=A85),Weight!I22,J85)</f>
        <v>21.696483621792133</v>
      </c>
      <c r="K85" s="103">
        <f ca="1">IF(AND(Energy!$F$11=$A$3,Main!$B$43=A85),Weight!W22,K85)</f>
        <v>55.35052829799379</v>
      </c>
      <c r="L85" s="103">
        <f ca="1">IF(AND(Energy!$F$11=$A$3,Main!$B$43=A85),'Aerodynamics-Cruise'!BI22,L85)</f>
        <v>55.350527081288874</v>
      </c>
      <c r="M85" s="103">
        <f ca="1">IF(AND(Energy!$F$11=$A$3,Main!$B$43=A85),'Aerodynamics-Cruise'!BJ22,M85)</f>
        <v>2.803843802840349</v>
      </c>
      <c r="N85" s="103">
        <f ca="1">IF(AND(Energy!$F$11=$A$3,Main!$B$43=A85),'Aerodynamics-Cruise'!BK22,N85)</f>
        <v>19.740945278484379</v>
      </c>
      <c r="O85" s="103">
        <f t="shared" ca="1" si="5"/>
        <v>146.868556046517</v>
      </c>
      <c r="P85" s="103">
        <f ca="1">IF(AND(Energy!$F$11=$A$3,Main!$B$43=A85),'Aerodynamics-Cruise'!H22,P85)</f>
        <v>9.1991148329340806</v>
      </c>
      <c r="Q85" s="103">
        <f ca="1">IF(AND(Energy!$F$11=$A$3,Main!$B$43=A85),'Aerodynamics-Cruise'!I22,Q85)</f>
        <v>7.768483477451249</v>
      </c>
      <c r="R85" s="103">
        <f ca="1">IF(AND(Energy!$F$11=$A$3,Main!$B$43=$A85),Summary!R22,R85)</f>
        <v>4.6944221212344264</v>
      </c>
      <c r="S85" s="103">
        <f ca="1">IF(AND(Energy!$F$11=$A$3,Main!$B$43=A85),'Aerodynamics-Cruise'!W22,S85)</f>
        <v>1</v>
      </c>
      <c r="T85" s="103">
        <f ca="1">IF(AND(Energy!$F$11=$A$3,Main!$B$43=A85),'Aerodynamics-Cruise'!BL22,T85)</f>
        <v>25.792881115938954</v>
      </c>
      <c r="U85" s="103">
        <f ca="1">IF(AND(Energy!$F$11=$A$3,Main!$B$43=A85),'Propulsion-Cruise'!M22,U85)</f>
        <v>55.022086950457023</v>
      </c>
      <c r="V85" s="103">
        <f ca="1">IF(AND(Energy!$F$11=$A$3,Main!$B$43=A85),Endurance!AP22,V85)</f>
        <v>517.8715000645567</v>
      </c>
      <c r="W85" s="103">
        <f ca="1">IF(AND(Energy!$F$11=$A$3,Main!$B$43=$A85),Summary!W22,W85)</f>
        <v>1.2011695906432747</v>
      </c>
      <c r="X85" s="13">
        <f ca="1">IF(AND(Energy!$F$11=$A$3,Main!$B$43=A85),Energy!D22,X85)</f>
        <v>935.04574287130481</v>
      </c>
      <c r="Y85" s="102">
        <f ca="1">IF(AND(Energy!$F$11=$A$3,Main!$B$43=A85),'Aerodynamics-Cruise'!V22,Y85)</f>
        <v>168547.43825794602</v>
      </c>
      <c r="Z85" s="102">
        <f ca="1">IF(AND(Energy!$F$11=$A$3,Main!$B$43=$A85),Summary!Z22,Z85)</f>
        <v>126109.22748928078</v>
      </c>
      <c r="AA85" s="102">
        <f ca="1">IF(AND(Energy!$F$11=$A$3,Main!$B$43=$A85),Summary!AA22,AA85)</f>
        <v>126109.22748928078</v>
      </c>
      <c r="AB85" s="103">
        <f ca="1">IF(AND(Energy!$F$11=$A$3,Main!$B$43=$A85),Summary!AB22,AB85)</f>
        <v>4.6944221212344264</v>
      </c>
      <c r="AC85" s="103">
        <f ca="1">IF(AND(Energy!$F$11=$A$3,Main!$B$43=$A85),Summary!AC22,AC85)</f>
        <v>2.6489285246286447</v>
      </c>
      <c r="AD85" s="103">
        <f ca="1">IF(AND(Energy!$F$11=$A$3,Main!$B$43=$A85),Summary!AD22,AD85)</f>
        <v>0.4305143277806745</v>
      </c>
      <c r="AE85" s="103">
        <f ca="1">IF(AND(Energy!$F$11=$A$3,Main!$B$43=$A85),Summary!AE22,AE85)</f>
        <v>1.2011695906432747</v>
      </c>
      <c r="AF85" s="103">
        <f ca="1">IF(AND(Energy!$F$11=$A$3,Main!$B$43=$A85),Summary!AF22,AF85)</f>
        <v>14.392712550607289</v>
      </c>
      <c r="AG85" s="103">
        <f ca="1">IF(AND(Energy!$F$11=$A$3,Main!$B$43=$A85),Summary!AG22,AG85)</f>
        <v>11.287545119003225</v>
      </c>
      <c r="AH85" s="103">
        <f ca="1">IF(AND(Energy!$F$11=$A$3,Main!$B$43=$A85),Summary!AH22,AH85)</f>
        <v>47</v>
      </c>
      <c r="AI85" s="103">
        <f ca="1">IF(AND(Energy!$F$11=$A$3,Main!$B$43=$A85),Summary!AI22,AI85)</f>
        <v>2.7483728142328578</v>
      </c>
      <c r="AJ85" s="103">
        <f ca="1">IF(AND(Energy!$F$11=$A$3,Main!$B$43=$A85),Summary!AJ22,AJ85)</f>
        <v>0.2242263265528518</v>
      </c>
      <c r="AK85" s="103">
        <f ca="1">IF(AND(Energy!$F$11=$A$3,Main!$B$43=$A85),Summary!AK22,AK85)</f>
        <v>0.01</v>
      </c>
      <c r="AL85" s="103">
        <f ca="1">IF(AND(Energy!$F$11=$A$3,Main!$B$43=$A85),Summary!AL22,AL85)</f>
        <v>-0.55747057308075743</v>
      </c>
      <c r="AM85" s="103">
        <f ca="1">IF(AND(Energy!$F$11=$A$3,Main!$B$43=$A85),Summary!AJ102,AM85)</f>
        <v>0</v>
      </c>
    </row>
    <row r="86" spans="1:39">
      <c r="A86">
        <f t="shared" ref="A86:A103" si="6">A85</f>
        <v>5</v>
      </c>
      <c r="D86" s="1">
        <f ca="1">IF(AND(Energy!$F$11=$A$3,Main!$B$43=A86),Main!C23,D86)</f>
        <v>4.3157894736842106</v>
      </c>
      <c r="E86" s="103">
        <f ca="1">IF(AND(Energy!$F$11=$A$3,Main!$B$43=A86),Main!B23,E86)</f>
        <v>0.28888888888888886</v>
      </c>
      <c r="F86" s="103">
        <f ca="1">IF(Main!$D$6=1,U86,IF(Main!$D$6=2,N86,IF(Main!$D$6=3,K86,IF(Main!$D$6=4,V86,J86))))</f>
        <v>509.52102687504686</v>
      </c>
      <c r="G86" s="103">
        <f ca="1">IF(AND(Energy!$F$11=$A$3,Main!$B$43=A86),Weight!H23,G86)</f>
        <v>15</v>
      </c>
      <c r="H86" s="103">
        <f ca="1">IF(AND(Energy!$F$11=$A$3,Main!$B$43=A86),Weight!U23,H86)</f>
        <v>14.15145809350296</v>
      </c>
      <c r="I86" s="103">
        <f ca="1">IF(AND(Energy!$F$11=$A$3,Main!$B$43=A86),Weight!V23,I86)</f>
        <v>40.435742801675502</v>
      </c>
      <c r="J86" s="103">
        <f ca="1">IF(AND(Energy!$F$11=$A$3,Main!$B$43=A86),Weight!I23,J86)</f>
        <v>21.346636433172538</v>
      </c>
      <c r="K86" s="103">
        <f ca="1">IF(AND(Energy!$F$11=$A$3,Main!$B$43=A86),Weight!W23,K86)</f>
        <v>55.435743381643007</v>
      </c>
      <c r="L86" s="103">
        <f ca="1">IF(AND(Energy!$F$11=$A$3,Main!$B$43=A86),'Aerodynamics-Cruise'!BI23,L86)</f>
        <v>55.435742208960903</v>
      </c>
      <c r="M86" s="103">
        <f ca="1">IF(AND(Energy!$F$11=$A$3,Main!$B$43=A86),'Aerodynamics-Cruise'!BJ23,M86)</f>
        <v>2.7839865768589571</v>
      </c>
      <c r="N86" s="103">
        <f ca="1">IF(AND(Energy!$F$11=$A$3,Main!$B$43=A86),'Aerodynamics-Cruise'!BK23,N86)</f>
        <v>19.912359732533798</v>
      </c>
      <c r="O86" s="103">
        <f t="shared" ca="1" si="5"/>
        <v>148.25783805374869</v>
      </c>
      <c r="P86" s="103">
        <f ca="1">IF(AND(Energy!$F$11=$A$3,Main!$B$43=A86),'Aerodynamics-Cruise'!H23,P86)</f>
        <v>9.0361373321356755</v>
      </c>
      <c r="Q86" s="103">
        <f ca="1">IF(AND(Energy!$F$11=$A$3,Main!$B$43=A86),'Aerodynamics-Cruise'!I23,Q86)</f>
        <v>7.6364602544402818</v>
      </c>
      <c r="R86" s="103">
        <f ca="1">IF(AND(Energy!$F$11=$A$3,Main!$B$43=$A86),Summary!R23,R86)</f>
        <v>4.5380011220345118</v>
      </c>
      <c r="S86" s="103">
        <f ca="1">IF(AND(Energy!$F$11=$A$3,Main!$B$43=A86),'Aerodynamics-Cruise'!W23,S86)</f>
        <v>1</v>
      </c>
      <c r="T86" s="103">
        <f ca="1">IF(AND(Energy!$F$11=$A$3,Main!$B$43=A86),'Aerodynamics-Cruise'!BL23,T86)</f>
        <v>25.156485039319829</v>
      </c>
      <c r="U86" s="103">
        <f ca="1">IF(AND(Energy!$F$11=$A$3,Main!$B$43=A86),'Propulsion-Cruise'!M23,U86)</f>
        <v>53.961016571833404</v>
      </c>
      <c r="V86" s="103">
        <f ca="1">IF(AND(Energy!$F$11=$A$3,Main!$B$43=A86),Endurance!AP23,V86)</f>
        <v>509.52102687504686</v>
      </c>
      <c r="W86" s="103">
        <f ca="1">IF(AND(Energy!$F$11=$A$3,Main!$B$43=$A86),Summary!W23,W86)</f>
        <v>1.2467836257309941</v>
      </c>
      <c r="X86" s="13">
        <f ca="1">IF(AND(Energy!$F$11=$A$3,Main!$B$43=A86),Energy!D23,X86)</f>
        <v>919.96850065126114</v>
      </c>
      <c r="Y86" s="102">
        <f ca="1">IF(AND(Energy!$F$11=$A$3,Main!$B$43=A86),'Aerodynamics-Cruise'!V23,Y86)</f>
        <v>165561.34223108602</v>
      </c>
      <c r="Z86" s="102">
        <f ca="1">IF(AND(Energy!$F$11=$A$3,Main!$B$43=$A86),Summary!Z23,Z86)</f>
        <v>123962.48289991589</v>
      </c>
      <c r="AA86" s="102">
        <f ca="1">IF(AND(Energy!$F$11=$A$3,Main!$B$43=$A86),Summary!AA23,AA86)</f>
        <v>123962.48289991589</v>
      </c>
      <c r="AB86" s="103">
        <f ca="1">IF(AND(Energy!$F$11=$A$3,Main!$B$43=$A86),Summary!AB23,AB86)</f>
        <v>4.5380011220345118</v>
      </c>
      <c r="AC86" s="103">
        <f ca="1">IF(AND(Energy!$F$11=$A$3,Main!$B$43=$A86),Summary!AC23,AC86)</f>
        <v>2.6129333498155431</v>
      </c>
      <c r="AD86" s="103">
        <f ca="1">IF(AND(Energy!$F$11=$A$3,Main!$B$43=$A86),Summary!AD23,AD86)</f>
        <v>0.42573213400598681</v>
      </c>
      <c r="AE86" s="103">
        <f ca="1">IF(AND(Energy!$F$11=$A$3,Main!$B$43=$A86),Summary!AE23,AE86)</f>
        <v>1.2467836257309941</v>
      </c>
      <c r="AF86" s="103">
        <f ca="1">IF(AND(Energy!$F$11=$A$3,Main!$B$43=$A86),Summary!AF23,AF86)</f>
        <v>14.939271255060731</v>
      </c>
      <c r="AG86" s="103">
        <f ca="1">IF(AND(Energy!$F$11=$A$3,Main!$B$43=$A86),Summary!AG23,AG86)</f>
        <v>11.173014652687911</v>
      </c>
      <c r="AH86" s="103">
        <f ca="1">IF(AND(Energy!$F$11=$A$3,Main!$B$43=$A86),Summary!AH23,AH86)</f>
        <v>47</v>
      </c>
      <c r="AI86" s="103">
        <f ca="1">IF(AND(Energy!$F$11=$A$3,Main!$B$43=$A86),Summary!AI23,AI86)</f>
        <v>2.7443374424419966</v>
      </c>
      <c r="AJ86" s="103">
        <f ca="1">IF(AND(Energy!$F$11=$A$3,Main!$B$43=$A86),Summary!AJ23,AJ86)</f>
        <v>0.225326113322247</v>
      </c>
      <c r="AK86" s="103">
        <f ca="1">IF(AND(Energy!$F$11=$A$3,Main!$B$43=$A86),Summary!AK23,AK86)</f>
        <v>0.01</v>
      </c>
      <c r="AL86" s="103">
        <f ca="1">IF(AND(Energy!$F$11=$A$3,Main!$B$43=$A86),Summary!AL23,AL86)</f>
        <v>-0.55474960399120266</v>
      </c>
      <c r="AM86" s="103">
        <f ca="1">IF(AND(Energy!$F$11=$A$3,Main!$B$43=$A86),Summary!AJ103,AM86)</f>
        <v>0</v>
      </c>
    </row>
    <row r="87" spans="1:39">
      <c r="A87">
        <f t="shared" si="6"/>
        <v>5</v>
      </c>
      <c r="D87" s="1">
        <f ca="1">IF(AND(Energy!$F$11=$A$3,Main!$B$43=A87),Main!C24,D87)</f>
        <v>4.4736842105263159</v>
      </c>
      <c r="E87" s="103">
        <f ca="1">IF(AND(Energy!$F$11=$A$3,Main!$B$43=A87),Main!B24,E87)</f>
        <v>0.28888888888888886</v>
      </c>
      <c r="F87" s="103">
        <f ca="1">IF(Main!$D$6=1,U87,IF(Main!$D$6=2,N87,IF(Main!$D$6=3,K87,IF(Main!$D$6=4,V87,J87))))</f>
        <v>502.94445672209389</v>
      </c>
      <c r="G87" s="103">
        <f ca="1">IF(AND(Energy!$F$11=$A$3,Main!$B$43=A87),Weight!H24,G87)</f>
        <v>15</v>
      </c>
      <c r="H87" s="103">
        <f ca="1">IF(AND(Energy!$F$11=$A$3,Main!$B$43=A87),Weight!U24,H87)</f>
        <v>14.605138121187814</v>
      </c>
      <c r="I87" s="103">
        <f ca="1">IF(AND(Energy!$F$11=$A$3,Main!$B$43=A87),Weight!V24,I87)</f>
        <v>40.613894179005626</v>
      </c>
      <c r="J87" s="103">
        <f ca="1">IF(AND(Energy!$F$11=$A$3,Main!$B$43=A87),Weight!I24,J87)</f>
        <v>21.071107782817812</v>
      </c>
      <c r="K87" s="103">
        <f ca="1">IF(AND(Energy!$F$11=$A$3,Main!$B$43=A87),Weight!W24,K87)</f>
        <v>55.613894744403062</v>
      </c>
      <c r="L87" s="103">
        <f ca="1">IF(AND(Energy!$F$11=$A$3,Main!$B$43=A87),'Aerodynamics-Cruise'!BI24,L87)</f>
        <v>55.613893600076686</v>
      </c>
      <c r="M87" s="103">
        <f ca="1">IF(AND(Energy!$F$11=$A$3,Main!$B$43=A87),'Aerodynamics-Cruise'!BJ24,M87)</f>
        <v>2.7705067276889781</v>
      </c>
      <c r="N87" s="103">
        <f ca="1">IF(AND(Energy!$F$11=$A$3,Main!$B$43=A87),'Aerodynamics-Cruise'!BK24,N87)</f>
        <v>20.073545768454817</v>
      </c>
      <c r="O87" s="103">
        <f t="shared" ca="1" si="5"/>
        <v>149.69791219698226</v>
      </c>
      <c r="P87" s="103">
        <f ca="1">IF(AND(Energy!$F$11=$A$3,Main!$B$43=A87),'Aerodynamics-Cruise'!H24,P87)</f>
        <v>8.8894218910908709</v>
      </c>
      <c r="Q87" s="103">
        <f ca="1">IF(AND(Energy!$F$11=$A$3,Main!$B$43=A87),'Aerodynamics-Cruise'!I24,Q87)</f>
        <v>7.5175254253256432</v>
      </c>
      <c r="R87" s="103">
        <f ca="1">IF(AND(Energy!$F$11=$A$3,Main!$B$43=$A87),Summary!R24,R87)</f>
        <v>4.4075718528371359</v>
      </c>
      <c r="S87" s="103">
        <f ca="1">IF(AND(Energy!$F$11=$A$3,Main!$B$43=A87),'Aerodynamics-Cruise'!W24,S87)</f>
        <v>1</v>
      </c>
      <c r="T87" s="103">
        <f ca="1">IF(AND(Energy!$F$11=$A$3,Main!$B$43=A87),'Aerodynamics-Cruise'!BL24,T87)</f>
        <v>24.628203154532937</v>
      </c>
      <c r="U87" s="103">
        <f ca="1">IF(AND(Energy!$F$11=$A$3,Main!$B$43=A87),'Propulsion-Cruise'!M24,U87)</f>
        <v>53.097969167517903</v>
      </c>
      <c r="V87" s="103">
        <f ca="1">IF(AND(Energy!$F$11=$A$3,Main!$B$43=A87),Endurance!AP24,V87)</f>
        <v>502.94445672209389</v>
      </c>
      <c r="W87" s="103">
        <f ca="1">IF(AND(Energy!$F$11=$A$3,Main!$B$43=$A87),Summary!W24,W87)</f>
        <v>1.2923976608187133</v>
      </c>
      <c r="X87" s="13">
        <f ca="1">IF(AND(Energy!$F$11=$A$3,Main!$B$43=A87),Energy!D24,X87)</f>
        <v>908.094138622076</v>
      </c>
      <c r="Y87" s="102">
        <f ca="1">IF(AND(Energy!$F$11=$A$3,Main!$B$43=A87),'Aerodynamics-Cruise'!V24,Y87)</f>
        <v>162873.20188388051</v>
      </c>
      <c r="Z87" s="102">
        <f ca="1">IF(AND(Energy!$F$11=$A$3,Main!$B$43=$A87),Summary!Z24,Z87)</f>
        <v>122028.61424039776</v>
      </c>
      <c r="AA87" s="102">
        <f ca="1">IF(AND(Energy!$F$11=$A$3,Main!$B$43=$A87),Summary!AA24,AA87)</f>
        <v>122028.61424039776</v>
      </c>
      <c r="AB87" s="103">
        <f ca="1">IF(AND(Energy!$F$11=$A$3,Main!$B$43=$A87),Summary!AB24,AB87)</f>
        <v>4.4075718528371359</v>
      </c>
      <c r="AC87" s="103">
        <f ca="1">IF(AND(Energy!$F$11=$A$3,Main!$B$43=$A87),Summary!AC24,AC87)</f>
        <v>2.5747582581342803</v>
      </c>
      <c r="AD87" s="103">
        <f ca="1">IF(AND(Energy!$F$11=$A$3,Main!$B$43=$A87),Summary!AD24,AD87)</f>
        <v>0.42161806758428894</v>
      </c>
      <c r="AE87" s="103">
        <f ca="1">IF(AND(Energy!$F$11=$A$3,Main!$B$43=$A87),Summary!AE24,AE87)</f>
        <v>1.2923976608187133</v>
      </c>
      <c r="AF87" s="103">
        <f ca="1">IF(AND(Energy!$F$11=$A$3,Main!$B$43=$A87),Summary!AF24,AF87)</f>
        <v>15.485829959514172</v>
      </c>
      <c r="AG87" s="103">
        <f ca="1">IF(AND(Energy!$F$11=$A$3,Main!$B$43=$A87),Summary!AG24,AG87)</f>
        <v>11.081231518448405</v>
      </c>
      <c r="AH87" s="103">
        <f ca="1">IF(AND(Energy!$F$11=$A$3,Main!$B$43=$A87),Summary!AH24,AH87)</f>
        <v>47</v>
      </c>
      <c r="AI87" s="103">
        <f ca="1">IF(AND(Energy!$F$11=$A$3,Main!$B$43=$A87),Summary!AI24,AI87)</f>
        <v>2.7406481439388881</v>
      </c>
      <c r="AJ87" s="103">
        <f ca="1">IF(AND(Energy!$F$11=$A$3,Main!$B$43=$A87),Summary!AJ24,AJ87)</f>
        <v>0.2263410113450634</v>
      </c>
      <c r="AK87" s="103">
        <f ca="1">IF(AND(Energy!$F$11=$A$3,Main!$B$43=$A87),Summary!AK24,AK87)</f>
        <v>0.01</v>
      </c>
      <c r="AL87" s="103">
        <f ca="1">IF(AND(Energy!$F$11=$A$3,Main!$B$43=$A87),Summary!AL24,AL87)</f>
        <v>-0.5522621099122742</v>
      </c>
      <c r="AM87" s="103">
        <f ca="1">IF(AND(Energy!$F$11=$A$3,Main!$B$43=$A87),Summary!AJ104,AM87)</f>
        <v>0</v>
      </c>
    </row>
    <row r="88" spans="1:39">
      <c r="A88">
        <f t="shared" si="6"/>
        <v>5</v>
      </c>
      <c r="D88" s="1">
        <f ca="1">IF(AND(Energy!$F$11=$A$3,Main!$B$43=A88),Main!C25,D88)</f>
        <v>4.6315789473684212</v>
      </c>
      <c r="E88" s="103">
        <f ca="1">IF(AND(Energy!$F$11=$A$3,Main!$B$43=A88),Main!B25,E88)</f>
        <v>0.28888888888888886</v>
      </c>
      <c r="F88" s="103">
        <f ca="1">IF(Main!$D$6=1,U88,IF(Main!$D$6=2,N88,IF(Main!$D$6=3,K88,IF(Main!$D$6=4,V88,J88))))</f>
        <v>497.86327295906995</v>
      </c>
      <c r="G88" s="103">
        <f ca="1">IF(AND(Energy!$F$11=$A$3,Main!$B$43=A88),Weight!H25,G88)</f>
        <v>15</v>
      </c>
      <c r="H88" s="103">
        <f ca="1">IF(AND(Energy!$F$11=$A$3,Main!$B$43=A88),Weight!U25,H88)</f>
        <v>15.076650186273788</v>
      </c>
      <c r="I88" s="103">
        <f ca="1">IF(AND(Energy!$F$11=$A$3,Main!$B$43=A88),Weight!V25,I88)</f>
        <v>40.87252754121829</v>
      </c>
      <c r="J88" s="103">
        <f ca="1">IF(AND(Energy!$F$11=$A$3,Main!$B$43=A88),Weight!I25,J88)</f>
        <v>20.858229079944497</v>
      </c>
      <c r="K88" s="103">
        <f ca="1">IF(AND(Energy!$F$11=$A$3,Main!$B$43=A88),Weight!W25,K88)</f>
        <v>55.872528098191033</v>
      </c>
      <c r="L88" s="103">
        <f ca="1">IF(AND(Energy!$F$11=$A$3,Main!$B$43=A88),'Aerodynamics-Cruise'!BI25,L88)</f>
        <v>55.872526969898566</v>
      </c>
      <c r="M88" s="103">
        <f ca="1">IF(AND(Energy!$F$11=$A$3,Main!$B$43=A88),'Aerodynamics-Cruise'!BJ25,M88)</f>
        <v>2.7624682859829659</v>
      </c>
      <c r="N88" s="103">
        <f ca="1">IF(AND(Energy!$F$11=$A$3,Main!$B$43=A88),'Aerodynamics-Cruise'!BK25,N88)</f>
        <v>20.225581322834085</v>
      </c>
      <c r="O88" s="103">
        <f t="shared" ca="1" si="5"/>
        <v>151.18202906187577</v>
      </c>
      <c r="P88" s="103">
        <f ca="1">IF(AND(Energy!$F$11=$A$3,Main!$B$43=A88),'Aerodynamics-Cruise'!H25,P88)</f>
        <v>8.7568117981148923</v>
      </c>
      <c r="Q88" s="103">
        <f ca="1">IF(AND(Energy!$F$11=$A$3,Main!$B$43=A88),'Aerodynamics-Cruise'!I25,Q88)</f>
        <v>7.409954598595955</v>
      </c>
      <c r="R88" s="103">
        <f ca="1">IF(AND(Energy!$F$11=$A$3,Main!$B$43=$A88),Summary!R25,R88)</f>
        <v>4.2986779082089672</v>
      </c>
      <c r="S88" s="103">
        <f ca="1">IF(AND(Energy!$F$11=$A$3,Main!$B$43=A88),'Aerodynamics-Cruise'!W25,S88)</f>
        <v>1</v>
      </c>
      <c r="T88" s="103">
        <f ca="1">IF(AND(Energy!$F$11=$A$3,Main!$B$43=A88),'Aerodynamics-Cruise'!BL25,T88)</f>
        <v>24.190414878613861</v>
      </c>
      <c r="U88" s="103">
        <f ca="1">IF(AND(Energy!$F$11=$A$3,Main!$B$43=A88),'Propulsion-Cruise'!M25,U88)</f>
        <v>52.401405506510059</v>
      </c>
      <c r="V88" s="103">
        <f ca="1">IF(AND(Energy!$F$11=$A$3,Main!$B$43=A88),Endurance!AP25,V88)</f>
        <v>497.86327295906995</v>
      </c>
      <c r="W88" s="103">
        <f ca="1">IF(AND(Energy!$F$11=$A$3,Main!$B$43=$A88),Summary!W25,W88)</f>
        <v>1.3380116959064328</v>
      </c>
      <c r="X88" s="13">
        <f ca="1">IF(AND(Energy!$F$11=$A$3,Main!$B$43=A88),Energy!D25,X88)</f>
        <v>898.91977956820119</v>
      </c>
      <c r="Y88" s="102">
        <f ca="1">IF(AND(Energy!$F$11=$A$3,Main!$B$43=A88),'Aerodynamics-Cruise'!V25,Y88)</f>
        <v>160443.50165030704</v>
      </c>
      <c r="Z88" s="102">
        <f ca="1">IF(AND(Energy!$F$11=$A$3,Main!$B$43=$A88),Summary!Z25,Z88)</f>
        <v>120279.56790806375</v>
      </c>
      <c r="AA88" s="102">
        <f ca="1">IF(AND(Energy!$F$11=$A$3,Main!$B$43=$A88),Summary!AA25,AA88)</f>
        <v>120279.56790806375</v>
      </c>
      <c r="AB88" s="103">
        <f ca="1">IF(AND(Energy!$F$11=$A$3,Main!$B$43=$A88),Summary!AB25,AB88)</f>
        <v>4.2986779082089672</v>
      </c>
      <c r="AC88" s="103">
        <f ca="1">IF(AND(Energy!$F$11=$A$3,Main!$B$43=$A88),Summary!AC25,AC88)</f>
        <v>2.5350267298828251</v>
      </c>
      <c r="AD88" s="103">
        <f ca="1">IF(AND(Energy!$F$11=$A$3,Main!$B$43=$A88),Summary!AD25,AD88)</f>
        <v>0.41808104840874355</v>
      </c>
      <c r="AE88" s="103">
        <f ca="1">IF(AND(Energy!$F$11=$A$3,Main!$B$43=$A88),Summary!AE25,AE88)</f>
        <v>1.3380116959064328</v>
      </c>
      <c r="AF88" s="103">
        <f ca="1">IF(AND(Energy!$F$11=$A$3,Main!$B$43=$A88),Summary!AF25,AF88)</f>
        <v>16.032388663967613</v>
      </c>
      <c r="AG88" s="103">
        <f ca="1">IF(AND(Energy!$F$11=$A$3,Main!$B$43=$A88),Summary!AG25,AG88)</f>
        <v>11.008798091604913</v>
      </c>
      <c r="AH88" s="103">
        <f ca="1">IF(AND(Energy!$F$11=$A$3,Main!$B$43=$A88),Summary!AH25,AH88)</f>
        <v>47</v>
      </c>
      <c r="AI88" s="103">
        <f ca="1">IF(AND(Energy!$F$11=$A$3,Main!$B$43=$A88),Summary!AI25,AI88)</f>
        <v>2.7372659513082103</v>
      </c>
      <c r="AJ88" s="103">
        <f ca="1">IF(AND(Energy!$F$11=$A$3,Main!$B$43=$A88),Summary!AJ25,AJ88)</f>
        <v>0.22727951580935191</v>
      </c>
      <c r="AK88" s="103">
        <f ca="1">IF(AND(Energy!$F$11=$A$3,Main!$B$43=$A88),Summary!AK25,AK88)</f>
        <v>0.01</v>
      </c>
      <c r="AL88" s="103">
        <f ca="1">IF(AND(Energy!$F$11=$A$3,Main!$B$43=$A88),Summary!AL25,AL88)</f>
        <v>-0.54998161873642482</v>
      </c>
      <c r="AM88" s="103">
        <f ca="1">IF(AND(Energy!$F$11=$A$3,Main!$B$43=$A88),Summary!AJ105,AM88)</f>
        <v>0</v>
      </c>
    </row>
    <row r="89" spans="1:39">
      <c r="A89">
        <f t="shared" si="6"/>
        <v>5</v>
      </c>
      <c r="D89" s="1">
        <f ca="1">IF(AND(Energy!$F$11=$A$3,Main!$B$43=A89),Main!C26,D89)</f>
        <v>4.7894736842105265</v>
      </c>
      <c r="E89" s="103">
        <f ca="1">IF(AND(Energy!$F$11=$A$3,Main!$B$43=A89),Main!B26,E89)</f>
        <v>0.28888888888888886</v>
      </c>
      <c r="F89" s="103">
        <f ca="1">IF(Main!$D$6=1,U89,IF(Main!$D$6=2,N89,IF(Main!$D$6=3,K89,IF(Main!$D$6=4,V89,J89))))</f>
        <v>494.05958848171258</v>
      </c>
      <c r="G89" s="103">
        <f ca="1">IF(AND(Energy!$F$11=$A$3,Main!$B$43=A89),Weight!H26,G89)</f>
        <v>15</v>
      </c>
      <c r="H89" s="103">
        <f ca="1">IF(AND(Energy!$F$11=$A$3,Main!$B$43=A89),Weight!U26,H89)</f>
        <v>15.565413178506198</v>
      </c>
      <c r="I89" s="103">
        <f ca="1">IF(AND(Energy!$F$11=$A$3,Main!$B$43=A89),Weight!V26,I89)</f>
        <v>41.201933291336914</v>
      </c>
      <c r="J89" s="103">
        <f ca="1">IF(AND(Energy!$F$11=$A$3,Main!$B$43=A89),Weight!I26,J89)</f>
        <v>20.698871837830719</v>
      </c>
      <c r="K89" s="103">
        <f ca="1">IF(AND(Energy!$F$11=$A$3,Main!$B$43=A89),Weight!W26,K89)</f>
        <v>56.201933844834329</v>
      </c>
      <c r="L89" s="103">
        <f ca="1">IF(AND(Energy!$F$11=$A$3,Main!$B$43=A89),'Aerodynamics-Cruise'!BI26,L89)</f>
        <v>56.201932722661439</v>
      </c>
      <c r="M89" s="103">
        <f ca="1">IF(AND(Energy!$F$11=$A$3,Main!$B$43=A89),'Aerodynamics-Cruise'!BJ26,M89)</f>
        <v>2.7591274465454121</v>
      </c>
      <c r="N89" s="103">
        <f ca="1">IF(AND(Energy!$F$11=$A$3,Main!$B$43=A89),'Aerodynamics-Cruise'!BK26,N89)</f>
        <v>20.369458755168967</v>
      </c>
      <c r="O89" s="103">
        <f t="shared" ca="1" si="5"/>
        <v>152.70565308503305</v>
      </c>
      <c r="P89" s="103">
        <f ca="1">IF(AND(Energy!$F$11=$A$3,Main!$B$43=A89),'Aerodynamics-Cruise'!H26,P89)</f>
        <v>8.6365500449301909</v>
      </c>
      <c r="Q89" s="103">
        <f ca="1">IF(AND(Energy!$F$11=$A$3,Main!$B$43=A89),'Aerodynamics-Cruise'!I26,Q89)</f>
        <v>7.3123417483148865</v>
      </c>
      <c r="R89" s="103">
        <f ca="1">IF(AND(Energy!$F$11=$A$3,Main!$B$43=$A89),Summary!R26,R89)</f>
        <v>4.2078919739615683</v>
      </c>
      <c r="S89" s="103">
        <f ca="1">IF(AND(Energy!$F$11=$A$3,Main!$B$43=A89),'Aerodynamics-Cruise'!W26,S89)</f>
        <v>1</v>
      </c>
      <c r="T89" s="103">
        <f ca="1">IF(AND(Energy!$F$11=$A$3,Main!$B$43=A89),'Aerodynamics-Cruise'!BL26,T89)</f>
        <v>23.829342272429901</v>
      </c>
      <c r="U89" s="103">
        <f ca="1">IF(AND(Energy!$F$11=$A$3,Main!$B$43=A89),'Propulsion-Cruise'!M26,U89)</f>
        <v>51.846638821614825</v>
      </c>
      <c r="V89" s="103">
        <f ca="1">IF(AND(Energy!$F$11=$A$3,Main!$B$43=A89),Endurance!AP26,V89)</f>
        <v>494.05958848171258</v>
      </c>
      <c r="W89" s="103">
        <f ca="1">IF(AND(Energy!$F$11=$A$3,Main!$B$43=$A89),Summary!W26,W89)</f>
        <v>1.383625730994152</v>
      </c>
      <c r="X89" s="13">
        <f ca="1">IF(AND(Energy!$F$11=$A$3,Main!$B$43=A89),Energy!D26,X89)</f>
        <v>892.0520162632323</v>
      </c>
      <c r="Y89" s="102">
        <f ca="1">IF(AND(Energy!$F$11=$A$3,Main!$B$43=A89),'Aerodynamics-Cruise'!V26,Y89)</f>
        <v>158240.04938475622</v>
      </c>
      <c r="Z89" s="102">
        <f ca="1">IF(AND(Energy!$F$11=$A$3,Main!$B$43=$A89),Summary!Z26,Z89)</f>
        <v>118692.47046592139</v>
      </c>
      <c r="AA89" s="102">
        <f ca="1">IF(AND(Energy!$F$11=$A$3,Main!$B$43=$A89),Summary!AA26,AA89)</f>
        <v>118692.47046592139</v>
      </c>
      <c r="AB89" s="103">
        <f ca="1">IF(AND(Energy!$F$11=$A$3,Main!$B$43=$A89),Summary!AB26,AB89)</f>
        <v>4.2078919739615683</v>
      </c>
      <c r="AC89" s="103">
        <f ca="1">IF(AND(Energy!$F$11=$A$3,Main!$B$43=$A89),Summary!AC26,AC89)</f>
        <v>2.4942204498472482</v>
      </c>
      <c r="AD89" s="103">
        <f ca="1">IF(AND(Energy!$F$11=$A$3,Main!$B$43=$A89),Summary!AD26,AD89)</f>
        <v>0.41504727924809992</v>
      </c>
      <c r="AE89" s="103">
        <f ca="1">IF(AND(Energy!$F$11=$A$3,Main!$B$43=$A89),Summary!AE26,AE89)</f>
        <v>1.383625730994152</v>
      </c>
      <c r="AF89" s="103">
        <f ca="1">IF(AND(Energy!$F$11=$A$3,Main!$B$43=$A89),Summary!AF26,AF89)</f>
        <v>16.578947368421055</v>
      </c>
      <c r="AG89" s="103">
        <f ca="1">IF(AND(Energy!$F$11=$A$3,Main!$B$43=$A89),Summary!AG26,AG89)</f>
        <v>10.953013082997398</v>
      </c>
      <c r="AH89" s="103">
        <f ca="1">IF(AND(Energy!$F$11=$A$3,Main!$B$43=$A89),Summary!AH26,AH89)</f>
        <v>47</v>
      </c>
      <c r="AI89" s="103">
        <f ca="1">IF(AND(Energy!$F$11=$A$3,Main!$B$43=$A89),Summary!AI26,AI89)</f>
        <v>2.7341584852526037</v>
      </c>
      <c r="AJ89" s="103">
        <f ca="1">IF(AND(Energy!$F$11=$A$3,Main!$B$43=$A89),Summary!AJ26,AJ89)</f>
        <v>0.22814888019997095</v>
      </c>
      <c r="AK89" s="103">
        <f ca="1">IF(AND(Energy!$F$11=$A$3,Main!$B$43=$A89),Summary!AK26,AK89)</f>
        <v>0.01</v>
      </c>
      <c r="AL89" s="103">
        <f ca="1">IF(AND(Energy!$F$11=$A$3,Main!$B$43=$A89),Summary!AL26,AL89)</f>
        <v>-0.54788586624626334</v>
      </c>
      <c r="AM89" s="103">
        <f ca="1">IF(AND(Energy!$F$11=$A$3,Main!$B$43=$A89),Summary!AJ106,AM89)</f>
        <v>0</v>
      </c>
    </row>
    <row r="90" spans="1:39">
      <c r="A90">
        <f t="shared" si="6"/>
        <v>5</v>
      </c>
      <c r="D90" s="1">
        <f ca="1">IF(AND(Energy!$F$11=$A$3,Main!$B$43=A90),Main!C27,D90)</f>
        <v>4.9473684210526319</v>
      </c>
      <c r="E90" s="103">
        <f ca="1">IF(AND(Energy!$F$11=$A$3,Main!$B$43=A90),Main!B27,E90)</f>
        <v>0.28888888888888886</v>
      </c>
      <c r="F90" s="103">
        <f ca="1">IF(Main!$D$6=1,U90,IF(Main!$D$6=2,N90,IF(Main!$D$6=3,K90,IF(Main!$D$6=4,V90,J90))))</f>
        <v>491.36046029955838</v>
      </c>
      <c r="G90" s="103">
        <f ca="1">IF(AND(Energy!$F$11=$A$3,Main!$B$43=A90),Weight!H27,G90)</f>
        <v>15</v>
      </c>
      <c r="H90" s="103">
        <f ca="1">IF(AND(Energy!$F$11=$A$3,Main!$B$43=A90),Weight!U27,H90)</f>
        <v>16.071000031453977</v>
      </c>
      <c r="I90" s="103">
        <f ca="1">IF(AND(Energy!$F$11=$A$3,Main!$B$43=A90),Weight!V27,I90)</f>
        <v>41.594438831702007</v>
      </c>
      <c r="J90" s="103">
        <f ca="1">IF(AND(Energy!$F$11=$A$3,Main!$B$43=A90),Weight!I27,J90)</f>
        <v>20.585790525248026</v>
      </c>
      <c r="K90" s="103">
        <f ca="1">IF(AND(Energy!$F$11=$A$3,Main!$B$43=A90),Weight!W27,K90)</f>
        <v>56.594439385788171</v>
      </c>
      <c r="L90" s="103">
        <f ca="1">IF(AND(Energy!$F$11=$A$3,Main!$B$43=A90),'Aerodynamics-Cruise'!BI27,L90)</f>
        <v>56.594438261603578</v>
      </c>
      <c r="M90" s="103">
        <f ca="1">IF(AND(Energy!$F$11=$A$3,Main!$B$43=A90),'Aerodynamics-Cruise'!BJ27,M90)</f>
        <v>2.7598849451654464</v>
      </c>
      <c r="N90" s="103">
        <f ca="1">IF(AND(Energy!$F$11=$A$3,Main!$B$43=A90),'Aerodynamics-Cruise'!BK27,N90)</f>
        <v>20.506086081864154</v>
      </c>
      <c r="O90" s="103">
        <f t="shared" ca="1" si="5"/>
        <v>154.26579902712086</v>
      </c>
      <c r="P90" s="103">
        <f ca="1">IF(AND(Energy!$F$11=$A$3,Main!$B$43=A90),'Aerodynamics-Cruise'!H27,P90)</f>
        <v>8.5271862882653675</v>
      </c>
      <c r="Q90" s="103">
        <f ca="1">IF(AND(Energy!$F$11=$A$3,Main!$B$43=A90),'Aerodynamics-Cruise'!I27,Q90)</f>
        <v>7.2235252752986883</v>
      </c>
      <c r="R90" s="103">
        <f ca="1">IF(AND(Energy!$F$11=$A$3,Main!$B$43=$A90),Summary!R27,R90)</f>
        <v>4.1325360413603329</v>
      </c>
      <c r="S90" s="103">
        <f ca="1">IF(AND(Energy!$F$11=$A$3,Main!$B$43=A90),'Aerodynamics-Cruise'!W27,S90)</f>
        <v>1</v>
      </c>
      <c r="T90" s="103">
        <f ca="1">IF(AND(Energy!$F$11=$A$3,Main!$B$43=A90),'Aerodynamics-Cruise'!BL27,T90)</f>
        <v>23.534053061604808</v>
      </c>
      <c r="U90" s="103">
        <f ca="1">IF(AND(Energy!$F$11=$A$3,Main!$B$43=A90),'Propulsion-Cruise'!M27,U90)</f>
        <v>51.41406167828616</v>
      </c>
      <c r="V90" s="103">
        <f ca="1">IF(AND(Energy!$F$11=$A$3,Main!$B$43=A90),Endurance!AP27,V90)</f>
        <v>491.36046029955838</v>
      </c>
      <c r="W90" s="103">
        <f ca="1">IF(AND(Energy!$F$11=$A$3,Main!$B$43=$A90),Summary!W27,W90)</f>
        <v>1.4292397660818712</v>
      </c>
      <c r="X90" s="13">
        <f ca="1">IF(AND(Energy!$F$11=$A$3,Main!$B$43=A90),Energy!D27,X90)</f>
        <v>887.17859056321743</v>
      </c>
      <c r="Y90" s="102">
        <f ca="1">IF(AND(Energy!$F$11=$A$3,Main!$B$43=A90),'Aerodynamics-Cruise'!V27,Y90)</f>
        <v>156236.27169974148</v>
      </c>
      <c r="Z90" s="102">
        <f ca="1">IF(AND(Energy!$F$11=$A$3,Main!$B$43=$A90),Summary!Z27,Z90)</f>
        <v>117248.42546947223</v>
      </c>
      <c r="AA90" s="102">
        <f ca="1">IF(AND(Energy!$F$11=$A$3,Main!$B$43=$A90),Summary!AA27,AA90)</f>
        <v>117248.42546947223</v>
      </c>
      <c r="AB90" s="103">
        <f ca="1">IF(AND(Energy!$F$11=$A$3,Main!$B$43=$A90),Summary!AB27,AB90)</f>
        <v>4.1325360413603329</v>
      </c>
      <c r="AC90" s="103">
        <f ca="1">IF(AND(Energy!$F$11=$A$3,Main!$B$43=$A90),Summary!AC27,AC90)</f>
        <v>2.4527144923090454</v>
      </c>
      <c r="AD90" s="103">
        <f ca="1">IF(AND(Energy!$F$11=$A$3,Main!$B$43=$A90),Summary!AD27,AD90)</f>
        <v>0.41245616868607471</v>
      </c>
      <c r="AE90" s="103">
        <f ca="1">IF(AND(Energy!$F$11=$A$3,Main!$B$43=$A90),Summary!AE27,AE90)</f>
        <v>1.4292397660818712</v>
      </c>
      <c r="AF90" s="103">
        <f ca="1">IF(AND(Energy!$F$11=$A$3,Main!$B$43=$A90),Summary!AF27,AF90)</f>
        <v>17.125506072874497</v>
      </c>
      <c r="AG90" s="103">
        <f ca="1">IF(AND(Energy!$F$11=$A$3,Main!$B$43=$A90),Summary!AG27,AG90)</f>
        <v>10.911699054784636</v>
      </c>
      <c r="AH90" s="103">
        <f ca="1">IF(AND(Energy!$F$11=$A$3,Main!$B$43=$A90),Summary!AH27,AH90)</f>
        <v>47</v>
      </c>
      <c r="AI90" s="103">
        <f ca="1">IF(AND(Energy!$F$11=$A$3,Main!$B$43=$A90),Summary!AI27,AI90)</f>
        <v>2.7312984980668471</v>
      </c>
      <c r="AJ90" s="103">
        <f ca="1">IF(AND(Energy!$F$11=$A$3,Main!$B$43=$A90),Summary!AJ27,AJ90)</f>
        <v>0.2289553556637754</v>
      </c>
      <c r="AK90" s="103">
        <f ca="1">IF(AND(Energy!$F$11=$A$3,Main!$B$43=$A90),Summary!AK27,AK90)</f>
        <v>0.01</v>
      </c>
      <c r="AL90" s="103">
        <f ca="1">IF(AND(Energy!$F$11=$A$3,Main!$B$43=$A90),Summary!AL27,AL90)</f>
        <v>-0.54595594322187779</v>
      </c>
      <c r="AM90" s="103">
        <f ca="1">IF(AND(Energy!$F$11=$A$3,Main!$B$43=$A90),Summary!AJ107,AM90)</f>
        <v>0</v>
      </c>
    </row>
    <row r="91" spans="1:39">
      <c r="A91">
        <f t="shared" si="6"/>
        <v>5</v>
      </c>
      <c r="D91" s="1">
        <f ca="1">IF(AND(Energy!$F$11=$A$3,Main!$B$43=A91),Main!C28,D91)</f>
        <v>5.1052631578947372</v>
      </c>
      <c r="E91" s="103">
        <f ca="1">IF(AND(Energy!$F$11=$A$3,Main!$B$43=A91),Main!B28,E91)</f>
        <v>0.28888888888888886</v>
      </c>
      <c r="F91" s="103">
        <f ca="1">IF(Main!$D$6=1,U91,IF(Main!$D$6=2,N91,IF(Main!$D$6=3,K91,IF(Main!$D$6=4,V91,J91))))</f>
        <v>489.62688271537286</v>
      </c>
      <c r="G91" s="103">
        <f ca="1">IF(AND(Energy!$F$11=$A$3,Main!$B$43=A91),Weight!H28,G91)</f>
        <v>15</v>
      </c>
      <c r="H91" s="103">
        <f ca="1">IF(AND(Energy!$F$11=$A$3,Main!$B$43=A91),Weight!U28,H91)</f>
        <v>16.59310189112017</v>
      </c>
      <c r="I91" s="103">
        <f ca="1">IF(AND(Energy!$F$11=$A$3,Main!$B$43=A91),Weight!V28,I91)</f>
        <v>42.043911596520935</v>
      </c>
      <c r="J91" s="103">
        <f ca="1">IF(AND(Energy!$F$11=$A$3,Main!$B$43=A91),Weight!I28,J91)</f>
        <v>20.513161430400764</v>
      </c>
      <c r="K91" s="103">
        <f ca="1">IF(AND(Energy!$F$11=$A$3,Main!$B$43=A91),Weight!W28,K91)</f>
        <v>57.04391215458903</v>
      </c>
      <c r="L91" s="103">
        <f ca="1">IF(AND(Energy!$F$11=$A$3,Main!$B$43=A91),'Aerodynamics-Cruise'!BI28,L91)</f>
        <v>57.043911021613248</v>
      </c>
      <c r="M91" s="103">
        <f ca="1">IF(AND(Energy!$F$11=$A$3,Main!$B$43=A91),'Aerodynamics-Cruise'!BJ28,M91)</f>
        <v>2.7642521659466581</v>
      </c>
      <c r="N91" s="103">
        <f ca="1">IF(AND(Energy!$F$11=$A$3,Main!$B$43=A91),'Aerodynamics-Cruise'!BK28,N91)</f>
        <v>20.636290612104027</v>
      </c>
      <c r="O91" s="103">
        <f t="shared" ca="1" si="5"/>
        <v>155.86057787810751</v>
      </c>
      <c r="P91" s="103">
        <f ca="1">IF(AND(Energy!$F$11=$A$3,Main!$B$43=A91),'Aerodynamics-Cruise'!H28,P91)</f>
        <v>8.4275095020311301</v>
      </c>
      <c r="Q91" s="103">
        <f ca="1">IF(AND(Energy!$F$11=$A$3,Main!$B$43=A91),'Aerodynamics-Cruise'!I28,Q91)</f>
        <v>7.1425344555711927</v>
      </c>
      <c r="R91" s="103">
        <f ca="1">IF(AND(Energy!$F$11=$A$3,Main!$B$43=$A91),Summary!R28,R91)</f>
        <v>4.0704887049310017</v>
      </c>
      <c r="S91" s="103">
        <f ca="1">IF(AND(Energy!$F$11=$A$3,Main!$B$43=A91),'Aerodynamics-Cruise'!W28,S91)</f>
        <v>1</v>
      </c>
      <c r="T91" s="103">
        <f ca="1">IF(AND(Energy!$F$11=$A$3,Main!$B$43=A91),'Aerodynamics-Cruise'!BL28,T91)</f>
        <v>23.295761394525595</v>
      </c>
      <c r="U91" s="103">
        <f ca="1">IF(AND(Energy!$F$11=$A$3,Main!$B$43=A91),'Propulsion-Cruise'!M28,U91)</f>
        <v>51.087901726707791</v>
      </c>
      <c r="V91" s="103">
        <f ca="1">IF(AND(Energy!$F$11=$A$3,Main!$B$43=A91),Endurance!AP28,V91)</f>
        <v>489.62688271537286</v>
      </c>
      <c r="W91" s="103">
        <f ca="1">IF(AND(Energy!$F$11=$A$3,Main!$B$43=$A91),Summary!W28,W91)</f>
        <v>1.4748538011695906</v>
      </c>
      <c r="X91" s="13">
        <f ca="1">IF(AND(Energy!$F$11=$A$3,Main!$B$43=A91),Energy!D28,X91)</f>
        <v>884.04851998434549</v>
      </c>
      <c r="Y91" s="102">
        <f ca="1">IF(AND(Energy!$F$11=$A$3,Main!$B$43=A91),'Aerodynamics-Cruise'!V28,Y91)</f>
        <v>154409.9800098695</v>
      </c>
      <c r="Z91" s="102">
        <f ca="1">IF(AND(Energy!$F$11=$A$3,Main!$B$43=$A91),Summary!Z28,Z91)</f>
        <v>115931.64206502399</v>
      </c>
      <c r="AA91" s="102">
        <f ca="1">IF(AND(Energy!$F$11=$A$3,Main!$B$43=$A91),Summary!AA28,AA91)</f>
        <v>115931.64206502399</v>
      </c>
      <c r="AB91" s="103">
        <f ca="1">IF(AND(Energy!$F$11=$A$3,Main!$B$43=$A91),Summary!AB28,AB91)</f>
        <v>4.0704887049310017</v>
      </c>
      <c r="AC91" s="103">
        <f ca="1">IF(AND(Energy!$F$11=$A$3,Main!$B$43=$A91),Summary!AC28,AC91)</f>
        <v>2.4108027340960105</v>
      </c>
      <c r="AD91" s="103">
        <f ca="1">IF(AND(Energy!$F$11=$A$3,Main!$B$43=$A91),Summary!AD28,AD91)</f>
        <v>0.41025738988526711</v>
      </c>
      <c r="AE91" s="103">
        <f ca="1">IF(AND(Energy!$F$11=$A$3,Main!$B$43=$A91),Summary!AE28,AE91)</f>
        <v>1.4748538011695906</v>
      </c>
      <c r="AF91" s="103">
        <f ca="1">IF(AND(Energy!$F$11=$A$3,Main!$B$43=$A91),Summary!AF28,AF91)</f>
        <v>17.67206477732794</v>
      </c>
      <c r="AG91" s="103">
        <f ca="1">IF(AND(Energy!$F$11=$A$3,Main!$B$43=$A91),Summary!AG28,AG91)</f>
        <v>10.883079623080489</v>
      </c>
      <c r="AH91" s="103">
        <f ca="1">IF(AND(Energy!$F$11=$A$3,Main!$B$43=$A91),Summary!AH28,AH91)</f>
        <v>47</v>
      </c>
      <c r="AI91" s="103">
        <f ca="1">IF(AND(Energy!$F$11=$A$3,Main!$B$43=$A91),Summary!AI28,AI91)</f>
        <v>2.7286628062209024</v>
      </c>
      <c r="AJ91" s="103">
        <f ca="1">IF(AND(Energy!$F$11=$A$3,Main!$B$43=$A91),Summary!AJ28,AJ91)</f>
        <v>0.22970437328991009</v>
      </c>
      <c r="AK91" s="103">
        <f ca="1">IF(AND(Energy!$F$11=$A$3,Main!$B$43=$A91),Summary!AK28,AK91)</f>
        <v>0.01</v>
      </c>
      <c r="AL91" s="103">
        <f ca="1">IF(AND(Energy!$F$11=$A$3,Main!$B$43=$A91),Summary!AL28,AL91)</f>
        <v>-0.54417565152200631</v>
      </c>
      <c r="AM91" s="103">
        <f ca="1">IF(AND(Energy!$F$11=$A$3,Main!$B$43=$A91),Summary!AJ108,AM91)</f>
        <v>0</v>
      </c>
    </row>
    <row r="92" spans="1:39">
      <c r="A92">
        <f t="shared" si="6"/>
        <v>5</v>
      </c>
      <c r="D92" s="1">
        <f ca="1">IF(AND(Energy!$F$11=$A$3,Main!$B$43=A92),Main!C29,D92)</f>
        <v>5.2631578947368425</v>
      </c>
      <c r="E92" s="103">
        <f ca="1">IF(AND(Energy!$F$11=$A$3,Main!$B$43=A92),Main!B29,E92)</f>
        <v>0.28888888888888886</v>
      </c>
      <c r="F92" s="103">
        <f ca="1">IF(Main!$D$6=1,U92,IF(Main!$D$6=2,N92,IF(Main!$D$6=3,K92,IF(Main!$D$6=4,V92,J92))))</f>
        <v>488.74589468349734</v>
      </c>
      <c r="G92" s="103">
        <f ca="1">IF(AND(Energy!$F$11=$A$3,Main!$B$43=A92),Weight!H29,G92)</f>
        <v>15</v>
      </c>
      <c r="H92" s="103">
        <f ca="1">IF(AND(Energy!$F$11=$A$3,Main!$B$43=A92),Weight!U29,H92)</f>
        <v>17.131502160002995</v>
      </c>
      <c r="I92" s="103">
        <f ca="1">IF(AND(Energy!$F$11=$A$3,Main!$B$43=A92),Weight!V29,I92)</f>
        <v>42.545402429884433</v>
      </c>
      <c r="J92" s="103">
        <f ca="1">IF(AND(Energy!$F$11=$A$3,Main!$B$43=A92),Weight!I29,J92)</f>
        <v>20.476251994881441</v>
      </c>
      <c r="K92" s="103">
        <f ca="1">IF(AND(Energy!$F$11=$A$3,Main!$B$43=A92),Weight!W29,K92)</f>
        <v>57.545402994809336</v>
      </c>
      <c r="L92" s="103">
        <f ca="1">IF(AND(Energy!$F$11=$A$3,Main!$B$43=A92),'Aerodynamics-Cruise'!BI29,L92)</f>
        <v>57.545401847307765</v>
      </c>
      <c r="M92" s="103">
        <f ca="1">IF(AND(Energy!$F$11=$A$3,Main!$B$43=A92),'Aerodynamics-Cruise'!BJ29,M92)</f>
        <v>2.7718265089656717</v>
      </c>
      <c r="N92" s="103">
        <f ca="1">IF(AND(Energy!$F$11=$A$3,Main!$B$43=A92),'Aerodynamics-Cruise'!BK29,N92)</f>
        <v>20.760823832650793</v>
      </c>
      <c r="O92" s="103">
        <f t="shared" ca="1" si="5"/>
        <v>157.48888084340805</v>
      </c>
      <c r="P92" s="103">
        <f ca="1">IF(AND(Energy!$F$11=$A$3,Main!$B$43=A92),'Aerodynamics-Cruise'!H29,P92)</f>
        <v>8.336498212164571</v>
      </c>
      <c r="Q92" s="103">
        <f ca="1">IF(AND(Energy!$F$11=$A$3,Main!$B$43=A92),'Aerodynamics-Cruise'!I29,Q92)</f>
        <v>7.0685498480795932</v>
      </c>
      <c r="R92" s="103">
        <f ca="1">IF(AND(Energy!$F$11=$A$3,Main!$B$43=$A92),Summary!R29,R92)</f>
        <v>4.020049362324511</v>
      </c>
      <c r="S92" s="103">
        <f ca="1">IF(AND(Energy!$F$11=$A$3,Main!$B$43=A92),'Aerodynamics-Cruise'!W29,S92)</f>
        <v>1</v>
      </c>
      <c r="T92" s="103">
        <f ca="1">IF(AND(Energy!$F$11=$A$3,Main!$B$43=A92),'Aerodynamics-Cruise'!BL29,T92)</f>
        <v>23.107326736422685</v>
      </c>
      <c r="U92" s="103">
        <f ca="1">IF(AND(Energy!$F$11=$A$3,Main!$B$43=A92),'Propulsion-Cruise'!M29,U92)</f>
        <v>50.855329498109512</v>
      </c>
      <c r="V92" s="103">
        <f ca="1">IF(AND(Energy!$F$11=$A$3,Main!$B$43=A92),Endurance!AP29,V92)</f>
        <v>488.74589468349734</v>
      </c>
      <c r="W92" s="103">
        <f ca="1">IF(AND(Energy!$F$11=$A$3,Main!$B$43=$A92),Summary!W29,W92)</f>
        <v>1.5204678362573099</v>
      </c>
      <c r="X92" s="13">
        <f ca="1">IF(AND(Energy!$F$11=$A$3,Main!$B$43=A92),Energy!D29,X92)</f>
        <v>882.45784710235159</v>
      </c>
      <c r="Y92" s="102">
        <f ca="1">IF(AND(Energy!$F$11=$A$3,Main!$B$43=A92),'Aerodynamics-Cruise'!V29,Y92)</f>
        <v>152742.45872786074</v>
      </c>
      <c r="Z92" s="102">
        <f ca="1">IF(AND(Energy!$F$11=$A$3,Main!$B$43=$A92),Summary!Z29,Z92)</f>
        <v>114728.7907495564</v>
      </c>
      <c r="AA92" s="102">
        <f ca="1">IF(AND(Energy!$F$11=$A$3,Main!$B$43=$A92),Summary!AA29,AA92)</f>
        <v>114728.7907495564</v>
      </c>
      <c r="AB92" s="103">
        <f ca="1">IF(AND(Energy!$F$11=$A$3,Main!$B$43=$A92),Summary!AB29,AB92)</f>
        <v>4.020049362324511</v>
      </c>
      <c r="AC92" s="103">
        <f ca="1">IF(AND(Energy!$F$11=$A$3,Main!$B$43=$A92),Summary!AC29,AC92)</f>
        <v>2.3687165171228539</v>
      </c>
      <c r="AD92" s="103">
        <f ca="1">IF(AND(Energy!$F$11=$A$3,Main!$B$43=$A92),Summary!AD29,AD92)</f>
        <v>0.40840871440644338</v>
      </c>
      <c r="AE92" s="103">
        <f ca="1">IF(AND(Energy!$F$11=$A$3,Main!$B$43=$A92),Summary!AE29,AE92)</f>
        <v>1.5204678362573099</v>
      </c>
      <c r="AF92" s="103">
        <f ca="1">IF(AND(Energy!$F$11=$A$3,Main!$B$43=$A92),Summary!AF29,AF92)</f>
        <v>18.218623481781382</v>
      </c>
      <c r="AG92" s="103">
        <f ca="1">IF(AND(Energy!$F$11=$A$3,Main!$B$43=$A92),Summary!AG29,AG92)</f>
        <v>10.865690185182663</v>
      </c>
      <c r="AH92" s="103">
        <f ca="1">IF(AND(Energy!$F$11=$A$3,Main!$B$43=$A92),Summary!AH29,AH92)</f>
        <v>47</v>
      </c>
      <c r="AI92" s="103">
        <f ca="1">IF(AND(Energy!$F$11=$A$3,Main!$B$43=$A92),Summary!AI29,AI92)</f>
        <v>2.7262314919879049</v>
      </c>
      <c r="AJ92" s="103">
        <f ca="1">IF(AND(Energy!$F$11=$A$3,Main!$B$43=$A92),Summary!AJ29,AJ92)</f>
        <v>0.23040068546859954</v>
      </c>
      <c r="AK92" s="103">
        <f ca="1">IF(AND(Energy!$F$11=$A$3,Main!$B$43=$A92),Summary!AK29,AK92)</f>
        <v>0.01</v>
      </c>
      <c r="AL92" s="103">
        <f ca="1">IF(AND(Energy!$F$11=$A$3,Main!$B$43=$A92),Summary!AL29,AL92)</f>
        <v>-0.54253100936055532</v>
      </c>
      <c r="AM92" s="103">
        <f ca="1">IF(AND(Energy!$F$11=$A$3,Main!$B$43=$A92),Summary!AJ109,AM92)</f>
        <v>0</v>
      </c>
    </row>
    <row r="93" spans="1:39">
      <c r="A93">
        <f t="shared" si="6"/>
        <v>5</v>
      </c>
      <c r="D93" s="1">
        <f ca="1">IF(AND(Energy!$F$11=$A$3,Main!$B$43=A93),Main!C30,D93)</f>
        <v>5.4210526315789478</v>
      </c>
      <c r="E93" s="103">
        <f ca="1">IF(AND(Energy!$F$11=$A$3,Main!$B$43=A93),Main!B30,E93)</f>
        <v>0.28888888888888886</v>
      </c>
      <c r="F93" s="103">
        <f ca="1">IF(Main!$D$6=1,U93,IF(Main!$D$6=2,N93,IF(Main!$D$6=3,K93,IF(Main!$D$6=4,V93,J93))))</f>
        <v>488.62481163391442</v>
      </c>
      <c r="G93" s="103">
        <f ca="1">IF(AND(Energy!$F$11=$A$3,Main!$B$43=A93),Weight!H30,G93)</f>
        <v>15</v>
      </c>
      <c r="H93" s="103">
        <f ca="1">IF(AND(Energy!$F$11=$A$3,Main!$B$43=A93),Weight!U30,H93)</f>
        <v>17.686057333979356</v>
      </c>
      <c r="I93" s="103">
        <f ca="1">IF(AND(Energy!$F$11=$A$3,Main!$B$43=A93),Weight!V30,I93)</f>
        <v>43.094884762089308</v>
      </c>
      <c r="J93" s="103">
        <f ca="1">IF(AND(Energy!$F$11=$A$3,Main!$B$43=A93),Weight!I30,J93)</f>
        <v>20.471179153109947</v>
      </c>
      <c r="K93" s="103">
        <f ca="1">IF(AND(Energy!$F$11=$A$3,Main!$B$43=A93),Weight!W30,K93)</f>
        <v>58.094885336356676</v>
      </c>
      <c r="L93" s="103">
        <f ca="1">IF(AND(Energy!$F$11=$A$3,Main!$B$43=A93),'Aerodynamics-Cruise'!BI30,L93)</f>
        <v>58.094884169379519</v>
      </c>
      <c r="M93" s="103">
        <f ca="1">IF(AND(Energy!$F$11=$A$3,Main!$B$43=A93),'Aerodynamics-Cruise'!BJ30,M93)</f>
        <v>2.7822731555290807</v>
      </c>
      <c r="N93" s="103">
        <f ca="1">IF(AND(Energy!$F$11=$A$3,Main!$B$43=A93),'Aerodynamics-Cruise'!BK30,N93)</f>
        <v>20.880366851806151</v>
      </c>
      <c r="O93" s="103">
        <f t="shared" ca="1" si="5"/>
        <v>159.15015637647309</v>
      </c>
      <c r="P93" s="103">
        <f ca="1">IF(AND(Energy!$F$11=$A$3,Main!$B$43=A93),'Aerodynamics-Cruise'!H30,P93)</f>
        <v>8.2532830552824947</v>
      </c>
      <c r="Q93" s="103">
        <f ca="1">IF(AND(Energy!$F$11=$A$3,Main!$B$43=A93),'Aerodynamics-Cruise'!I30,Q93)</f>
        <v>7.0008734908916788</v>
      </c>
      <c r="R93" s="103">
        <f ca="1">IF(AND(Energy!$F$11=$A$3,Main!$B$43=$A93),Summary!R30,R93)</f>
        <v>3.9798405647501136</v>
      </c>
      <c r="S93" s="103">
        <f ca="1">IF(AND(Energy!$F$11=$A$3,Main!$B$43=A93),'Aerodynamics-Cruise'!W30,S93)</f>
        <v>1</v>
      </c>
      <c r="T93" s="103">
        <f ca="1">IF(AND(Energy!$F$11=$A$3,Main!$B$43=A93),'Aerodynamics-Cruise'!BL30,T93)</f>
        <v>22.962887889695519</v>
      </c>
      <c r="U93" s="103">
        <f ca="1">IF(AND(Energy!$F$11=$A$3,Main!$B$43=A93),'Propulsion-Cruise'!M30,U93)</f>
        <v>50.705806366660553</v>
      </c>
      <c r="V93" s="103">
        <f ca="1">IF(AND(Energy!$F$11=$A$3,Main!$B$43=A93),Endurance!AP30,V93)</f>
        <v>488.62481163391442</v>
      </c>
      <c r="W93" s="103">
        <f ca="1">IF(AND(Energy!$F$11=$A$3,Main!$B$43=$A93),Summary!W30,W93)</f>
        <v>1.5660818713450293</v>
      </c>
      <c r="X93" s="13">
        <f ca="1">IF(AND(Energy!$F$11=$A$3,Main!$B$43=A93),Energy!D30,X93)</f>
        <v>882.23922479137673</v>
      </c>
      <c r="Y93" s="102">
        <f ca="1">IF(AND(Energy!$F$11=$A$3,Main!$B$43=A93),'Aerodynamics-Cruise'!V30,Y93)</f>
        <v>151217.7792590826</v>
      </c>
      <c r="Z93" s="102">
        <f ca="1">IF(AND(Energy!$F$11=$A$3,Main!$B$43=$A93),Summary!Z30,Z93)</f>
        <v>113628.51841757138</v>
      </c>
      <c r="AA93" s="102">
        <f ca="1">IF(AND(Energy!$F$11=$A$3,Main!$B$43=$A93),Summary!AA30,AA93)</f>
        <v>113628.51841757138</v>
      </c>
      <c r="AB93" s="103">
        <f ca="1">IF(AND(Energy!$F$11=$A$3,Main!$B$43=$A93),Summary!AB30,AB93)</f>
        <v>3.9798405647501136</v>
      </c>
      <c r="AC93" s="103">
        <f ca="1">IF(AND(Energy!$F$11=$A$3,Main!$B$43=$A93),Summary!AC30,AC93)</f>
        <v>2.3266385527611417</v>
      </c>
      <c r="AD93" s="103">
        <f ca="1">IF(AND(Energy!$F$11=$A$3,Main!$B$43=$A93),Summary!AD30,AD93)</f>
        <v>0.4068743876941649</v>
      </c>
      <c r="AE93" s="103">
        <f ca="1">IF(AND(Energy!$F$11=$A$3,Main!$B$43=$A93),Summary!AE30,AE93)</f>
        <v>1.5660818713450293</v>
      </c>
      <c r="AF93" s="103">
        <f ca="1">IF(AND(Energy!$F$11=$A$3,Main!$B$43=$A93),Summary!AF30,AF93)</f>
        <v>18.765182186234821</v>
      </c>
      <c r="AG93" s="103">
        <f ca="1">IF(AND(Energy!$F$11=$A$3,Main!$B$43=$A93),Summary!AG30,AG93)</f>
        <v>10.8583118169716</v>
      </c>
      <c r="AH93" s="103">
        <f ca="1">IF(AND(Energy!$F$11=$A$3,Main!$B$43=$A93),Summary!AH30,AH93)</f>
        <v>47</v>
      </c>
      <c r="AI93" s="103">
        <f ca="1">IF(AND(Energy!$F$11=$A$3,Main!$B$43=$A93),Summary!AI30,AI93)</f>
        <v>2.7239872955700202</v>
      </c>
      <c r="AJ93" s="103">
        <f ca="1">IF(AND(Energy!$F$11=$A$3,Main!$B$43=$A93),Summary!AJ30,AJ93)</f>
        <v>0.23104848171268255</v>
      </c>
      <c r="AK93" s="103">
        <f ca="1">IF(AND(Energy!$F$11=$A$3,Main!$B$43=$A93),Summary!AK30,AK93)</f>
        <v>0.01</v>
      </c>
      <c r="AL93" s="103">
        <f ca="1">IF(AND(Energy!$F$11=$A$3,Main!$B$43=$A93),Summary!AL30,AL93)</f>
        <v>-0.54100985486754027</v>
      </c>
      <c r="AM93" s="103">
        <f ca="1">IF(AND(Energy!$F$11=$A$3,Main!$B$43=$A93),Summary!AJ110,AM93)</f>
        <v>0</v>
      </c>
    </row>
    <row r="94" spans="1:39">
      <c r="A94">
        <f t="shared" si="6"/>
        <v>5</v>
      </c>
      <c r="D94" s="1">
        <f ca="1">IF(AND(Energy!$F$11=$A$3,Main!$B$43=A94),Main!C31,D94)</f>
        <v>5.5789473684210531</v>
      </c>
      <c r="E94" s="103">
        <f ca="1">IF(AND(Energy!$F$11=$A$3,Main!$B$43=A94),Main!B31,E94)</f>
        <v>0.28888888888888886</v>
      </c>
      <c r="F94" s="103">
        <f ca="1">IF(Main!$D$6=1,U94,IF(Main!$D$6=2,N94,IF(Main!$D$6=3,K94,IF(Main!$D$6=4,V94,J94))))</f>
        <v>489.18693855573167</v>
      </c>
      <c r="G94" s="103">
        <f ca="1">IF(AND(Energy!$F$11=$A$3,Main!$B$43=A94),Weight!H31,G94)</f>
        <v>15</v>
      </c>
      <c r="H94" s="103">
        <f ca="1">IF(AND(Energy!$F$11=$A$3,Main!$B$43=A94),Weight!U31,H94)</f>
        <v>18.256682614985039</v>
      </c>
      <c r="I94" s="103">
        <f ca="1">IF(AND(Energy!$F$11=$A$3,Main!$B$43=A94),Weight!V31,I94)</f>
        <v>43.689060619945749</v>
      </c>
      <c r="J94" s="103">
        <f ca="1">IF(AND(Energy!$F$11=$A$3,Main!$B$43=A94),Weight!I31,J94)</f>
        <v>20.49472972996071</v>
      </c>
      <c r="K94" s="103">
        <f ca="1">IF(AND(Energy!$F$11=$A$3,Main!$B$43=A94),Weight!W31,K94)</f>
        <v>58.68906120570432</v>
      </c>
      <c r="L94" s="103">
        <f ca="1">IF(AND(Energy!$F$11=$A$3,Main!$B$43=A94),'Aerodynamics-Cruise'!BI31,L94)</f>
        <v>58.689060014981038</v>
      </c>
      <c r="M94" s="103">
        <f ca="1">IF(AND(Energy!$F$11=$A$3,Main!$B$43=A94),'Aerodynamics-Cruise'!BJ31,M94)</f>
        <v>2.7953113490605976</v>
      </c>
      <c r="N94" s="103">
        <f ca="1">IF(AND(Energy!$F$11=$A$3,Main!$B$43=A94),'Aerodynamics-Cruise'!BK31,N94)</f>
        <v>20.995535983748034</v>
      </c>
      <c r="O94" s="103">
        <f t="shared" ca="1" si="5"/>
        <v>160.8442510678737</v>
      </c>
      <c r="P94" s="103">
        <f ca="1">IF(AND(Energy!$F$11=$A$3,Main!$B$43=A94),'Aerodynamics-Cruise'!H31,P94)</f>
        <v>8.1771181586513748</v>
      </c>
      <c r="Q94" s="103">
        <f ca="1">IF(AND(Energy!$F$11=$A$3,Main!$B$43=A94),'Aerodynamics-Cruise'!I31,Q94)</f>
        <v>6.9389061070670941</v>
      </c>
      <c r="R94" s="103">
        <f ca="1">IF(AND(Energy!$F$11=$A$3,Main!$B$43=$A94),Summary!R31,R94)</f>
        <v>3.9487365349063004</v>
      </c>
      <c r="S94" s="103">
        <f ca="1">IF(AND(Energy!$F$11=$A$3,Main!$B$43=A94),'Aerodynamics-Cruise'!W31,S94)</f>
        <v>1</v>
      </c>
      <c r="T94" s="103">
        <f ca="1">IF(AND(Energy!$F$11=$A$3,Main!$B$43=A94),'Aerodynamics-Cruise'!BL31,T94)</f>
        <v>22.857591191487685</v>
      </c>
      <c r="U94" s="103">
        <f ca="1">IF(AND(Energy!$F$11=$A$3,Main!$B$43=A94),'Propulsion-Cruise'!M31,U94)</f>
        <v>50.630599964780437</v>
      </c>
      <c r="V94" s="103">
        <f ca="1">IF(AND(Energy!$F$11=$A$3,Main!$B$43=A94),Endurance!AP31,V94)</f>
        <v>489.18693855573167</v>
      </c>
      <c r="W94" s="103">
        <f ca="1">IF(AND(Energy!$F$11=$A$3,Main!$B$43=$A94),Summary!W31,W94)</f>
        <v>1.6116959064327485</v>
      </c>
      <c r="X94" s="13">
        <f ca="1">IF(AND(Energy!$F$11=$A$3,Main!$B$43=A94),Energy!D31,X94)</f>
        <v>883.2541759608556</v>
      </c>
      <c r="Y94" s="102">
        <f ca="1">IF(AND(Energy!$F$11=$A$3,Main!$B$43=A94),'Aerodynamics-Cruise'!V31,Y94)</f>
        <v>149822.27562145036</v>
      </c>
      <c r="Z94" s="102">
        <f ca="1">IF(AND(Energy!$F$11=$A$3,Main!$B$43=$A94),Summary!Z31,Z94)</f>
        <v>112621.07747370162</v>
      </c>
      <c r="AA94" s="102">
        <f ca="1">IF(AND(Energy!$F$11=$A$3,Main!$B$43=$A94),Summary!AA31,AA94)</f>
        <v>112621.07747370162</v>
      </c>
      <c r="AB94" s="103">
        <f ca="1">IF(AND(Energy!$F$11=$A$3,Main!$B$43=$A94),Summary!AB31,AB94)</f>
        <v>3.9487365349063004</v>
      </c>
      <c r="AC94" s="103">
        <f ca="1">IF(AND(Energy!$F$11=$A$3,Main!$B$43=$A94),Summary!AC31,AC94)</f>
        <v>2.2847134126254574</v>
      </c>
      <c r="AD94" s="103">
        <f ca="1">IF(AND(Energy!$F$11=$A$3,Main!$B$43=$A94),Summary!AD31,AD94)</f>
        <v>0.40562389122806458</v>
      </c>
      <c r="AE94" s="103">
        <f ca="1">IF(AND(Energy!$F$11=$A$3,Main!$B$43=$A94),Summary!AE31,AE94)</f>
        <v>1.6116959064327485</v>
      </c>
      <c r="AF94" s="103">
        <f ca="1">IF(AND(Energy!$F$11=$A$3,Main!$B$43=$A94),Summary!AF31,AF94)</f>
        <v>19.311740890688263</v>
      </c>
      <c r="AG94" s="103">
        <f ca="1">IF(AND(Energy!$F$11=$A$3,Main!$B$43=$A94),Summary!AG31,AG94)</f>
        <v>10.859921529996488</v>
      </c>
      <c r="AH94" s="103">
        <f ca="1">IF(AND(Energy!$F$11=$A$3,Main!$B$43=$A94),Summary!AH31,AH94)</f>
        <v>47</v>
      </c>
      <c r="AI94" s="103">
        <f ca="1">IF(AND(Energy!$F$11=$A$3,Main!$B$43=$A94),Summary!AI31,AI94)</f>
        <v>2.7219151449844028</v>
      </c>
      <c r="AJ94" s="103">
        <f ca="1">IF(AND(Energy!$F$11=$A$3,Main!$B$43=$A94),Summary!AJ31,AJ94)</f>
        <v>0.23165146529635633</v>
      </c>
      <c r="AK94" s="103">
        <f ca="1">IF(AND(Energy!$F$11=$A$3,Main!$B$43=$A94),Summary!AK31,AK94)</f>
        <v>0.01</v>
      </c>
      <c r="AL94" s="103">
        <f ca="1">IF(AND(Energy!$F$11=$A$3,Main!$B$43=$A94),Summary!AL31,AL94)</f>
        <v>-0.53960157014599164</v>
      </c>
      <c r="AM94" s="103">
        <f ca="1">IF(AND(Energy!$F$11=$A$3,Main!$B$43=$A94),Summary!AJ111,AM94)</f>
        <v>0</v>
      </c>
    </row>
    <row r="95" spans="1:39">
      <c r="A95">
        <f t="shared" si="6"/>
        <v>5</v>
      </c>
      <c r="D95" s="1">
        <f ca="1">IF(AND(Energy!$F$11=$A$3,Main!$B$43=A95),Main!C32,D95)</f>
        <v>5.7368421052631584</v>
      </c>
      <c r="E95" s="103">
        <f ca="1">IF(AND(Energy!$F$11=$A$3,Main!$B$43=A95),Main!B32,E95)</f>
        <v>0.28888888888888886</v>
      </c>
      <c r="F95" s="103">
        <f ca="1">IF(Main!$D$6=1,U95,IF(Main!$D$6=2,N95,IF(Main!$D$6=3,K95,IF(Main!$D$6=4,V95,J95))))</f>
        <v>490.36833539268758</v>
      </c>
      <c r="G95" s="103">
        <f ca="1">IF(AND(Energy!$F$11=$A$3,Main!$B$43=A95),Weight!H32,G95)</f>
        <v>15</v>
      </c>
      <c r="H95" s="103">
        <f ca="1">IF(AND(Energy!$F$11=$A$3,Main!$B$43=A95),Weight!U32,H95)</f>
        <v>18.843340941443252</v>
      </c>
      <c r="I95" s="103">
        <f ca="1">IF(AND(Energy!$F$11=$A$3,Main!$B$43=A95),Weight!V32,I95)</f>
        <v>44.32521414180664</v>
      </c>
      <c r="J95" s="103">
        <f ca="1">IF(AND(Energy!$F$11=$A$3,Main!$B$43=A95),Weight!I32,J95)</f>
        <v>20.544224925363388</v>
      </c>
      <c r="K95" s="103">
        <f ca="1">IF(AND(Energy!$F$11=$A$3,Main!$B$43=A95),Weight!W32,K95)</f>
        <v>59.325214740941242</v>
      </c>
      <c r="L95" s="103">
        <f ca="1">IF(AND(Energy!$F$11=$A$3,Main!$B$43=A95),'Aerodynamics-Cruise'!BI32,L95)</f>
        <v>59.325213522733286</v>
      </c>
      <c r="M95" s="103">
        <f ca="1">IF(AND(Energy!$F$11=$A$3,Main!$B$43=A95),'Aerodynamics-Cruise'!BJ32,M95)</f>
        <v>2.8107039210152154</v>
      </c>
      <c r="N95" s="103">
        <f ca="1">IF(AND(Energy!$F$11=$A$3,Main!$B$43=A95),'Aerodynamics-Cruise'!BK32,N95)</f>
        <v>21.106888235067196</v>
      </c>
      <c r="O95" s="103">
        <f t="shared" ca="1" si="5"/>
        <v>162.57129509599071</v>
      </c>
      <c r="P95" s="103">
        <f ca="1">IF(AND(Energy!$F$11=$A$3,Main!$B$43=A95),'Aerodynamics-Cruise'!H32,P95)</f>
        <v>8.1073589503908821</v>
      </c>
      <c r="Q95" s="103">
        <f ca="1">IF(AND(Energy!$F$11=$A$3,Main!$B$43=A95),'Aerodynamics-Cruise'!I32,Q95)</f>
        <v>6.8821294224276208</v>
      </c>
      <c r="R95" s="103">
        <f ca="1">IF(AND(Energy!$F$11=$A$3,Main!$B$43=$A95),Summary!R32,R95)</f>
        <v>3.9258099953351153</v>
      </c>
      <c r="S95" s="103">
        <f ca="1">IF(AND(Energy!$F$11=$A$3,Main!$B$43=A95),'Aerodynamics-Cruise'!W32,S95)</f>
        <v>1</v>
      </c>
      <c r="T95" s="103">
        <f ca="1">IF(AND(Energy!$F$11=$A$3,Main!$B$43=A95),'Aerodynamics-Cruise'!BL32,T95)</f>
        <v>22.787385590941454</v>
      </c>
      <c r="U95" s="103">
        <f ca="1">IF(AND(Energy!$F$11=$A$3,Main!$B$43=A95),'Propulsion-Cruise'!M32,U95)</f>
        <v>50.622418561578463</v>
      </c>
      <c r="V95" s="103">
        <f ca="1">IF(AND(Energy!$F$11=$A$3,Main!$B$43=A95),Endurance!AP32,V95)</f>
        <v>490.36833539268758</v>
      </c>
      <c r="W95" s="103">
        <f ca="1">IF(AND(Energy!$F$11=$A$3,Main!$B$43=$A95),Summary!W32,W95)</f>
        <v>1.6573099415204677</v>
      </c>
      <c r="X95" s="13">
        <f ca="1">IF(AND(Energy!$F$11=$A$3,Main!$B$43=A95),Energy!D32,X95)</f>
        <v>885.38725329671672</v>
      </c>
      <c r="Y95" s="102">
        <f ca="1">IF(AND(Energy!$F$11=$A$3,Main!$B$43=A95),'Aerodynamics-Cruise'!V32,Y95)</f>
        <v>148544.13788094575</v>
      </c>
      <c r="Z95" s="102">
        <f ca="1">IF(AND(Energy!$F$11=$A$3,Main!$B$43=$A95),Summary!Z32,Z95)</f>
        <v>111698.03812789028</v>
      </c>
      <c r="AA95" s="102">
        <f ca="1">IF(AND(Energy!$F$11=$A$3,Main!$B$43=$A95),Summary!AA32,AA95)</f>
        <v>111698.03812789028</v>
      </c>
      <c r="AB95" s="103">
        <f ca="1">IF(AND(Energy!$F$11=$A$3,Main!$B$43=$A95),Summary!AB32,AB95)</f>
        <v>3.9258099953351153</v>
      </c>
      <c r="AC95" s="103">
        <f ca="1">IF(AND(Energy!$F$11=$A$3,Main!$B$43=$A95),Summary!AC32,AC95)</f>
        <v>2.2430555334381777</v>
      </c>
      <c r="AD95" s="103">
        <f ca="1">IF(AND(Energy!$F$11=$A$3,Main!$B$43=$A95),Summary!AD32,AD95)</f>
        <v>0.40463098570060158</v>
      </c>
      <c r="AE95" s="103">
        <f ca="1">IF(AND(Energy!$F$11=$A$3,Main!$B$43=$A95),Summary!AE32,AE95)</f>
        <v>1.6573099415204677</v>
      </c>
      <c r="AF95" s="103">
        <f ca="1">IF(AND(Energy!$F$11=$A$3,Main!$B$43=$A95),Summary!AF32,AF95)</f>
        <v>19.858299595141705</v>
      </c>
      <c r="AG95" s="103">
        <f ca="1">IF(AND(Energy!$F$11=$A$3,Main!$B$43=$A95),Summary!AG32,AG95)</f>
        <v>10.869654290091599</v>
      </c>
      <c r="AH95" s="103">
        <f ca="1">IF(AND(Energy!$F$11=$A$3,Main!$B$43=$A95),Summary!AH32,AH95)</f>
        <v>47</v>
      </c>
      <c r="AI95" s="103">
        <f ca="1">IF(AND(Energy!$F$11=$A$3,Main!$B$43=$A95),Summary!AI32,AI95)</f>
        <v>2.7200017873401712</v>
      </c>
      <c r="AJ95" s="103">
        <f ca="1">IF(AND(Energy!$F$11=$A$3,Main!$B$43=$A95),Summary!AJ32,AJ95)</f>
        <v>0.23221293483631664</v>
      </c>
      <c r="AK95" s="103">
        <f ca="1">IF(AND(Energy!$F$11=$A$3,Main!$B$43=$A95),Summary!AK32,AK95)</f>
        <v>0.01</v>
      </c>
      <c r="AL95" s="103">
        <f ca="1">IF(AND(Energy!$F$11=$A$3,Main!$B$43=$A95),Summary!AL32,AL95)</f>
        <v>-0.53829681411687336</v>
      </c>
      <c r="AM95" s="103">
        <f ca="1">IF(AND(Energy!$F$11=$A$3,Main!$B$43=$A95),Summary!AJ112,AM95)</f>
        <v>0</v>
      </c>
    </row>
    <row r="96" spans="1:39">
      <c r="A96">
        <f t="shared" si="6"/>
        <v>5</v>
      </c>
      <c r="D96" s="1">
        <f ca="1">IF(AND(Energy!$F$11=$A$3,Main!$B$43=A96),Main!C33,D96)</f>
        <v>5.8947368421052637</v>
      </c>
      <c r="E96" s="103">
        <f ca="1">IF(AND(Energy!$F$11=$A$3,Main!$B$43=A96),Main!B33,E96)</f>
        <v>0.28888888888888886</v>
      </c>
      <c r="F96" s="103">
        <f ca="1">IF(Main!$D$6=1,U96,IF(Main!$D$6=2,N96,IF(Main!$D$6=3,K96,IF(Main!$D$6=4,V96,J96))))</f>
        <v>492.11534351713436</v>
      </c>
      <c r="G96" s="103">
        <f ca="1">IF(AND(Energy!$F$11=$A$3,Main!$B$43=A96),Weight!H33,G96)</f>
        <v>15</v>
      </c>
      <c r="H96" s="103">
        <f ca="1">IF(AND(Energy!$F$11=$A$3,Main!$B$43=A96),Weight!U33,H96)</f>
        <v>19.446034511266966</v>
      </c>
      <c r="I96" s="103">
        <f ca="1">IF(AND(Energy!$F$11=$A$3,Main!$B$43=A96),Weight!V33,I96)</f>
        <v>45.001099470995115</v>
      </c>
      <c r="J96" s="103">
        <f ca="1">IF(AND(Energy!$F$11=$A$3,Main!$B$43=A96),Weight!I33,J96)</f>
        <v>20.617416684728145</v>
      </c>
      <c r="K96" s="103">
        <f ca="1">IF(AND(Energy!$F$11=$A$3,Main!$B$43=A96),Weight!W33,K96)</f>
        <v>60.001100085182415</v>
      </c>
      <c r="L96" s="103">
        <f ca="1">IF(AND(Energy!$F$11=$A$3,Main!$B$43=A96),'Aerodynamics-Cruise'!BI33,L96)</f>
        <v>60.00109883617057</v>
      </c>
      <c r="M96" s="103">
        <f ca="1">IF(AND(Energy!$F$11=$A$3,Main!$B$43=A96),'Aerodynamics-Cruise'!BJ33,M96)</f>
        <v>2.8282491908722065</v>
      </c>
      <c r="N96" s="103">
        <f ca="1">IF(AND(Energy!$F$11=$A$3,Main!$B$43=A96),'Aerodynamics-Cruise'!BK33,N96)</f>
        <v>21.214926545304436</v>
      </c>
      <c r="O96" s="103">
        <f t="shared" ca="1" si="5"/>
        <v>164.33161916067945</v>
      </c>
      <c r="P96" s="103">
        <f ca="1">IF(AND(Energy!$F$11=$A$3,Main!$B$43=A96),'Aerodynamics-Cruise'!H33,P96)</f>
        <v>8.0434447369967437</v>
      </c>
      <c r="Q96" s="103">
        <f ca="1">IF(AND(Energy!$F$11=$A$3,Main!$B$43=A96),'Aerodynamics-Cruise'!I33,Q96)</f>
        <v>6.8300922749479653</v>
      </c>
      <c r="R96" s="103">
        <f ca="1">IF(AND(Energy!$F$11=$A$3,Main!$B$43=$A96),Summary!R33,R96)</f>
        <v>3.9102920467534319</v>
      </c>
      <c r="S96" s="103">
        <f ca="1">IF(AND(Energy!$F$11=$A$3,Main!$B$43=A96),'Aerodynamics-Cruise'!W33,S96)</f>
        <v>1</v>
      </c>
      <c r="T96" s="103">
        <f ca="1">IF(AND(Energy!$F$11=$A$3,Main!$B$43=A96),'Aerodynamics-Cruise'!BL33,T96)</f>
        <v>22.74886606923635</v>
      </c>
      <c r="U96" s="103">
        <f ca="1">IF(AND(Energy!$F$11=$A$3,Main!$B$43=A96),'Propulsion-Cruise'!M33,U96)</f>
        <v>50.675131479221712</v>
      </c>
      <c r="V96" s="103">
        <f ca="1">IF(AND(Energy!$F$11=$A$3,Main!$B$43=A96),Endurance!AP33,V96)</f>
        <v>492.11534351713436</v>
      </c>
      <c r="W96" s="103">
        <f ca="1">IF(AND(Energy!$F$11=$A$3,Main!$B$43=$A96),Summary!W33,W96)</f>
        <v>1.7029239766081872</v>
      </c>
      <c r="X96" s="13">
        <f ca="1">IF(AND(Energy!$F$11=$A$3,Main!$B$43=A96),Energy!D33,X96)</f>
        <v>888.54157317339639</v>
      </c>
      <c r="Y96" s="102">
        <f ca="1">IF(AND(Energy!$F$11=$A$3,Main!$B$43=A96),'Aerodynamics-Cruise'!V33,Y96)</f>
        <v>147373.09293461175</v>
      </c>
      <c r="Z96" s="102">
        <f ca="1">IF(AND(Energy!$F$11=$A$3,Main!$B$43=$A96),Summary!Z33,Z96)</f>
        <v>110852.06238804512</v>
      </c>
      <c r="AA96" s="102">
        <f ca="1">IF(AND(Energy!$F$11=$A$3,Main!$B$43=$A96),Summary!AA33,AA96)</f>
        <v>110852.06238804512</v>
      </c>
      <c r="AB96" s="103">
        <f ca="1">IF(AND(Energy!$F$11=$A$3,Main!$B$43=$A96),Summary!AB33,AB96)</f>
        <v>3.9102920467534319</v>
      </c>
      <c r="AC96" s="103">
        <f ca="1">IF(AND(Energy!$F$11=$A$3,Main!$B$43=$A96),Summary!AC33,AC96)</f>
        <v>2.2017553856432714</v>
      </c>
      <c r="AD96" s="103">
        <f ca="1">IF(AND(Energy!$F$11=$A$3,Main!$B$43=$A96),Summary!AD33,AD96)</f>
        <v>0.40387296203426692</v>
      </c>
      <c r="AE96" s="103">
        <f ca="1">IF(AND(Energy!$F$11=$A$3,Main!$B$43=$A96),Summary!AE33,AE96)</f>
        <v>1.7029239766081872</v>
      </c>
      <c r="AF96" s="103">
        <f ca="1">IF(AND(Energy!$F$11=$A$3,Main!$B$43=$A96),Summary!AF33,AF96)</f>
        <v>20.404858299595148</v>
      </c>
      <c r="AG96" s="103">
        <f ca="1">IF(AND(Energy!$F$11=$A$3,Main!$B$43=$A96),Summary!AG33,AG96)</f>
        <v>10.886773642590837</v>
      </c>
      <c r="AH96" s="103">
        <f ca="1">IF(AND(Energy!$F$11=$A$3,Main!$B$43=$A96),Summary!AH33,AH96)</f>
        <v>47</v>
      </c>
      <c r="AI96" s="103">
        <f ca="1">IF(AND(Energy!$F$11=$A$3,Main!$B$43=$A96),Summary!AI33,AI96)</f>
        <v>2.7182354960603843</v>
      </c>
      <c r="AJ96" s="103">
        <f ca="1">IF(AND(Energy!$F$11=$A$3,Main!$B$43=$A96),Summary!AJ33,AJ96)</f>
        <v>0.23273584232870734</v>
      </c>
      <c r="AK96" s="103">
        <f ca="1">IF(AND(Energy!$F$11=$A$3,Main!$B$43=$A96),Summary!AK33,AK96)</f>
        <v>0.01</v>
      </c>
      <c r="AL96" s="103">
        <f ca="1">IF(AND(Energy!$F$11=$A$3,Main!$B$43=$A96),Summary!AL33,AL96)</f>
        <v>-0.53708732699002815</v>
      </c>
      <c r="AM96" s="103">
        <f ca="1">IF(AND(Energy!$F$11=$A$3,Main!$B$43=$A96),Summary!AJ113,AM96)</f>
        <v>0</v>
      </c>
    </row>
    <row r="97" spans="1:39">
      <c r="A97">
        <f t="shared" si="6"/>
        <v>5</v>
      </c>
      <c r="D97" s="1">
        <f ca="1">IF(AND(Energy!$F$11=$A$3,Main!$B$43=A97),Main!C34,D97)</f>
        <v>6.052631578947369</v>
      </c>
      <c r="E97" s="103">
        <f ca="1">IF(AND(Energy!$F$11=$A$3,Main!$B$43=A97),Main!B34,E97)</f>
        <v>0.28888888888888886</v>
      </c>
      <c r="F97" s="103">
        <f ca="1">IF(Main!$D$6=1,U97,IF(Main!$D$6=2,N97,IF(Main!$D$6=3,K97,IF(Main!$D$6=4,V97,J97))))</f>
        <v>494.38267092356608</v>
      </c>
      <c r="G97" s="103">
        <f ca="1">IF(AND(Energy!$F$11=$A$3,Main!$B$43=A97),Weight!H34,G97)</f>
        <v>15</v>
      </c>
      <c r="H97" s="103">
        <f ca="1">IF(AND(Energy!$F$11=$A$3,Main!$B$43=A97),Weight!U34,H97)</f>
        <v>20.064798148295864</v>
      </c>
      <c r="I97" s="103">
        <f ca="1">IF(AND(Energy!$F$11=$A$3,Main!$B$43=A97),Weight!V34,I97)</f>
        <v>45.71485390049736</v>
      </c>
      <c r="J97" s="103">
        <f ca="1">IF(AND(Energy!$F$11=$A$3,Main!$B$43=A97),Weight!I34,J97)</f>
        <v>20.712407477201499</v>
      </c>
      <c r="K97" s="103">
        <f ca="1">IF(AND(Energy!$F$11=$A$3,Main!$B$43=A97),Weight!W34,K97)</f>
        <v>60.714854531246012</v>
      </c>
      <c r="L97" s="103">
        <f ca="1">IF(AND(Energy!$F$11=$A$3,Main!$B$43=A97),'Aerodynamics-Cruise'!BI34,L97)</f>
        <v>60.714853248449408</v>
      </c>
      <c r="M97" s="103">
        <f ca="1">IF(AND(Energy!$F$11=$A$3,Main!$B$43=A97),'Aerodynamics-Cruise'!BJ34,M97)</f>
        <v>2.8477746278467131</v>
      </c>
      <c r="N97" s="103">
        <f ca="1">IF(AND(Energy!$F$11=$A$3,Main!$B$43=A97),'Aerodynamics-Cruise'!BK34,N97)</f>
        <v>21.320104707287779</v>
      </c>
      <c r="O97" s="103">
        <f t="shared" ca="1" si="5"/>
        <v>166.12569393867827</v>
      </c>
      <c r="P97" s="103">
        <f ca="1">IF(AND(Energy!$F$11=$A$3,Main!$B$43=A97),'Aerodynamics-Cruise'!H34,P97)</f>
        <v>7.9848848668202601</v>
      </c>
      <c r="Q97" s="103">
        <f ca="1">IF(AND(Energy!$F$11=$A$3,Main!$B$43=A97),'Aerodynamics-Cruise'!I34,Q97)</f>
        <v>6.7823995774450383</v>
      </c>
      <c r="R97" s="103">
        <f ca="1">IF(AND(Energy!$F$11=$A$3,Main!$B$43=$A97),Summary!R34,R97)</f>
        <v>3.9015414976115181</v>
      </c>
      <c r="S97" s="103">
        <f ca="1">IF(AND(Energy!$F$11=$A$3,Main!$B$43=A97),'Aerodynamics-Cruise'!W34,S97)</f>
        <v>1</v>
      </c>
      <c r="T97" s="103">
        <f ca="1">IF(AND(Energy!$F$11=$A$3,Main!$B$43=A97),'Aerodynamics-Cruise'!BL34,T97)</f>
        <v>22.739152530007917</v>
      </c>
      <c r="U97" s="103">
        <f ca="1">IF(AND(Energy!$F$11=$A$3,Main!$B$43=A97),'Propulsion-Cruise'!M34,U97)</f>
        <v>50.783552670544914</v>
      </c>
      <c r="V97" s="103">
        <f ca="1">IF(AND(Energy!$F$11=$A$3,Main!$B$43=A97),Endurance!AP34,V97)</f>
        <v>494.38267092356608</v>
      </c>
      <c r="W97" s="103">
        <f ca="1">IF(AND(Energy!$F$11=$A$3,Main!$B$43=$A97),Summary!W34,W97)</f>
        <v>1.7485380116959064</v>
      </c>
      <c r="X97" s="13">
        <f ca="1">IF(AND(Energy!$F$11=$A$3,Main!$B$43=A97),Energy!D34,X97)</f>
        <v>892.63535836496328</v>
      </c>
      <c r="Y97" s="102">
        <f ca="1">IF(AND(Energy!$F$11=$A$3,Main!$B$43=A97),'Aerodynamics-Cruise'!V34,Y97)</f>
        <v>146300.15099593435</v>
      </c>
      <c r="Z97" s="102">
        <f ca="1">IF(AND(Energy!$F$11=$A$3,Main!$B$43=$A97),Summary!Z34,Z97)</f>
        <v>110076.7244809421</v>
      </c>
      <c r="AA97" s="102">
        <f ca="1">IF(AND(Energy!$F$11=$A$3,Main!$B$43=$A97),Summary!AA34,AA97)</f>
        <v>110076.7244809421</v>
      </c>
      <c r="AB97" s="103">
        <f ca="1">IF(AND(Energy!$F$11=$A$3,Main!$B$43=$A97),Summary!AB34,AB97)</f>
        <v>3.9015414976115181</v>
      </c>
      <c r="AC97" s="103">
        <f ca="1">IF(AND(Energy!$F$11=$A$3,Main!$B$43=$A97),Summary!AC34,AC97)</f>
        <v>2.1608842696728008</v>
      </c>
      <c r="AD97" s="103">
        <f ca="1">IF(AND(Energy!$F$11=$A$3,Main!$B$43=$A97),Summary!AD34,AD97)</f>
        <v>0.40333004831385816</v>
      </c>
      <c r="AE97" s="103">
        <f ca="1">IF(AND(Energy!$F$11=$A$3,Main!$B$43=$A97),Summary!AE34,AE97)</f>
        <v>1.7485380116959064</v>
      </c>
      <c r="AF97" s="103">
        <f ca="1">IF(AND(Energy!$F$11=$A$3,Main!$B$43=$A97),Summary!AF34,AF97)</f>
        <v>20.951417004048587</v>
      </c>
      <c r="AG97" s="103">
        <f ca="1">IF(AND(Energy!$F$11=$A$3,Main!$B$43=$A97),Summary!AG34,AG97)</f>
        <v>10.910648726143284</v>
      </c>
      <c r="AH97" s="103">
        <f ca="1">IF(AND(Energy!$F$11=$A$3,Main!$B$43=$A97),Summary!AH34,AH97)</f>
        <v>47</v>
      </c>
      <c r="AI97" s="103">
        <f ca="1">IF(AND(Energy!$F$11=$A$3,Main!$B$43=$A97),Summary!AI34,AI97)</f>
        <v>2.7166058357813263</v>
      </c>
      <c r="AJ97" s="103">
        <f ca="1">IF(AND(Energy!$F$11=$A$3,Main!$B$43=$A97),Summary!AJ34,AJ97)</f>
        <v>0.23322284003229088</v>
      </c>
      <c r="AK97" s="103">
        <f ca="1">IF(AND(Energy!$F$11=$A$3,Main!$B$43=$A97),Summary!AK34,AK97)</f>
        <v>0.01</v>
      </c>
      <c r="AL97" s="103">
        <f ca="1">IF(AND(Energy!$F$11=$A$3,Main!$B$43=$A97),Summary!AL34,AL97)</f>
        <v>-0.53596577294999226</v>
      </c>
      <c r="AM97" s="103">
        <f ca="1">IF(AND(Energy!$F$11=$A$3,Main!$B$43=$A97),Summary!AJ114,AM97)</f>
        <v>0</v>
      </c>
    </row>
    <row r="98" spans="1:39">
      <c r="A98">
        <f t="shared" si="6"/>
        <v>5</v>
      </c>
      <c r="D98" s="1">
        <f ca="1">IF(AND(Energy!$F$11=$A$3,Main!$B$43=A98),Main!C35,D98)</f>
        <v>6.2105263157894743</v>
      </c>
      <c r="E98" s="103">
        <f ca="1">IF(AND(Energy!$F$11=$A$3,Main!$B$43=A98),Main!B35,E98)</f>
        <v>0.28888888888888886</v>
      </c>
      <c r="F98" s="103">
        <f ca="1">IF(Main!$D$6=1,U98,IF(Main!$D$6=2,N98,IF(Main!$D$6=3,K98,IF(Main!$D$6=4,V98,J98))))</f>
        <v>497.13189339737102</v>
      </c>
      <c r="G98" s="103">
        <f ca="1">IF(AND(Energy!$F$11=$A$3,Main!$B$43=A98),Weight!H35,G98)</f>
        <v>15</v>
      </c>
      <c r="H98" s="103">
        <f ca="1">IF(AND(Energy!$F$11=$A$3,Main!$B$43=A98),Weight!U35,H98)</f>
        <v>20.699694051434264</v>
      </c>
      <c r="I98" s="103">
        <f ca="1">IF(AND(Energy!$F$11=$A$3,Main!$B$43=A98),Weight!V35,I98)</f>
        <v>46.464929827831739</v>
      </c>
      <c r="J98" s="103">
        <f ca="1">IF(AND(Energy!$F$11=$A$3,Main!$B$43=A98),Weight!I35,J98)</f>
        <v>20.827587501397478</v>
      </c>
      <c r="K98" s="103">
        <f ca="1">IF(AND(Energy!$F$11=$A$3,Main!$B$43=A98),Weight!W35,K98)</f>
        <v>61.464930476515015</v>
      </c>
      <c r="L98" s="103">
        <f ca="1">IF(AND(Energy!$F$11=$A$3,Main!$B$43=A98),'Aerodynamics-Cruise'!BI35,L98)</f>
        <v>61.46492915722493</v>
      </c>
      <c r="M98" s="103">
        <f ca="1">IF(AND(Energy!$F$11=$A$3,Main!$B$43=A98),'Aerodynamics-Cruise'!BJ35,M98)</f>
        <v>2.8691318379834745</v>
      </c>
      <c r="N98" s="103">
        <f ca="1">IF(AND(Energy!$F$11=$A$3,Main!$B$43=A98),'Aerodynamics-Cruise'!BK35,N98)</f>
        <v>21.422831932472164</v>
      </c>
      <c r="O98" s="103">
        <f t="shared" ca="1" si="5"/>
        <v>167.95408580777323</v>
      </c>
      <c r="P98" s="103">
        <f ca="1">IF(AND(Energy!$F$11=$A$3,Main!$B$43=A98),'Aerodynamics-Cruise'!H35,P98)</f>
        <v>7.9312476272936649</v>
      </c>
      <c r="Q98" s="103">
        <f ca="1">IF(AND(Energy!$F$11=$A$3,Main!$B$43=A98),'Aerodynamics-Cruise'!I35,Q98)</f>
        <v>6.7387034564312822</v>
      </c>
      <c r="R98" s="103">
        <f ca="1">IF(AND(Energy!$F$11=$A$3,Main!$B$43=$A98),Summary!R35,R98)</f>
        <v>3.8990211404578963</v>
      </c>
      <c r="S98" s="103">
        <f ca="1">IF(AND(Energy!$F$11=$A$3,Main!$B$43=A98),'Aerodynamics-Cruise'!W35,S98)</f>
        <v>1</v>
      </c>
      <c r="T98" s="103">
        <f ca="1">IF(AND(Energy!$F$11=$A$3,Main!$B$43=A98),'Aerodynamics-Cruise'!BL35,T98)</f>
        <v>22.755795082399143</v>
      </c>
      <c r="U98" s="103">
        <f ca="1">IF(AND(Energy!$F$11=$A$3,Main!$B$43=A98),'Propulsion-Cruise'!M35,U98)</f>
        <v>50.943271320366641</v>
      </c>
      <c r="V98" s="103">
        <f ca="1">IF(AND(Energy!$F$11=$A$3,Main!$B$43=A98),Endurance!AP35,V98)</f>
        <v>497.13189339737102</v>
      </c>
      <c r="W98" s="103">
        <f ca="1">IF(AND(Energy!$F$11=$A$3,Main!$B$43=$A98),Summary!W35,W98)</f>
        <v>1.7941520467836258</v>
      </c>
      <c r="X98" s="13">
        <f ca="1">IF(AND(Energy!$F$11=$A$3,Main!$B$43=A98),Energy!D35,X98)</f>
        <v>897.59923182231682</v>
      </c>
      <c r="Y98" s="102">
        <f ca="1">IF(AND(Energy!$F$11=$A$3,Main!$B$43=A98),'Aerodynamics-Cruise'!V35,Y98)</f>
        <v>145317.40216828961</v>
      </c>
      <c r="Z98" s="102">
        <f ca="1">IF(AND(Energy!$F$11=$A$3,Main!$B$43=$A98),Summary!Z35,Z98)</f>
        <v>109366.36668258958</v>
      </c>
      <c r="AA98" s="102">
        <f ca="1">IF(AND(Energy!$F$11=$A$3,Main!$B$43=$A98),Summary!AA35,AA98)</f>
        <v>109366.36668258958</v>
      </c>
      <c r="AB98" s="103">
        <f ca="1">IF(AND(Energy!$F$11=$A$3,Main!$B$43=$A98),Summary!AB35,AB98)</f>
        <v>3.8990211404578963</v>
      </c>
      <c r="AC98" s="103">
        <f ca="1">IF(AND(Energy!$F$11=$A$3,Main!$B$43=$A98),Summary!AC35,AC98)</f>
        <v>2.1204980752368634</v>
      </c>
      <c r="AD98" s="103">
        <f ca="1">IF(AND(Energy!$F$11=$A$3,Main!$B$43=$A98),Summary!AD35,AD98)</f>
        <v>0.40298493527320051</v>
      </c>
      <c r="AE98" s="103">
        <f ca="1">IF(AND(Energy!$F$11=$A$3,Main!$B$43=$A98),Summary!AE35,AE98)</f>
        <v>1.7941520467836258</v>
      </c>
      <c r="AF98" s="103">
        <f ca="1">IF(AND(Energy!$F$11=$A$3,Main!$B$43=$A98),Summary!AF35,AF98)</f>
        <v>21.497975708502029</v>
      </c>
      <c r="AG98" s="103">
        <f ca="1">IF(AND(Energy!$F$11=$A$3,Main!$B$43=$A98),Summary!AG35,AG98)</f>
        <v>10.94073609399442</v>
      </c>
      <c r="AH98" s="103">
        <f ca="1">IF(AND(Energy!$F$11=$A$3,Main!$B$43=$A98),Summary!AH35,AH98)</f>
        <v>47</v>
      </c>
      <c r="AI98" s="103">
        <f ca="1">IF(AND(Energy!$F$11=$A$3,Main!$B$43=$A98),Summary!AI35,AI98)</f>
        <v>2.7151034716453348</v>
      </c>
      <c r="AJ98" s="103">
        <f ca="1">IF(AND(Energy!$F$11=$A$3,Main!$B$43=$A98),Summary!AJ35,AJ98)</f>
        <v>0.23367632055669299</v>
      </c>
      <c r="AK98" s="103">
        <f ca="1">IF(AND(Energy!$F$11=$A$3,Main!$B$43=$A98),Summary!AK35,AK98)</f>
        <v>0.01</v>
      </c>
      <c r="AL98" s="103">
        <f ca="1">IF(AND(Energy!$F$11=$A$3,Main!$B$43=$A98),Summary!AL35,AL98)</f>
        <v>-0.53492560811046808</v>
      </c>
      <c r="AM98" s="103">
        <f ca="1">IF(AND(Energy!$F$11=$A$3,Main!$B$43=$A98),Summary!AJ115,AM98)</f>
        <v>0</v>
      </c>
    </row>
    <row r="99" spans="1:39">
      <c r="A99">
        <f t="shared" si="6"/>
        <v>5</v>
      </c>
      <c r="D99" s="1">
        <f ca="1">IF(AND(Energy!$F$11=$A$3,Main!$B$43=A99),Main!C36,D99)</f>
        <v>6.3684210526315796</v>
      </c>
      <c r="E99" s="103">
        <f ca="1">IF(AND(Energy!$F$11=$A$3,Main!$B$43=A99),Main!B36,E99)</f>
        <v>0.28888888888888886</v>
      </c>
      <c r="F99" s="103">
        <f ca="1">IF(Main!$D$6=1,U99,IF(Main!$D$6=2,N99,IF(Main!$D$6=3,K99,IF(Main!$D$6=4,V99,J99))))</f>
        <v>500.33026936831754</v>
      </c>
      <c r="G99" s="103">
        <f ca="1">IF(AND(Energy!$F$11=$A$3,Main!$B$43=A99),Weight!H36,G99)</f>
        <v>15</v>
      </c>
      <c r="H99" s="103">
        <f ca="1">IF(AND(Energy!$F$11=$A$3,Main!$B$43=A99),Weight!U36,H99)</f>
        <v>21.350807594326859</v>
      </c>
      <c r="I99" s="103">
        <f ca="1">IF(AND(Energy!$F$11=$A$3,Main!$B$43=A99),Weight!V36,I99)</f>
        <v>47.250040902430442</v>
      </c>
      <c r="J99" s="103">
        <f ca="1">IF(AND(Energy!$F$11=$A$3,Main!$B$43=A99),Weight!I36,J99)</f>
        <v>20.961585033103578</v>
      </c>
      <c r="K99" s="103">
        <f ca="1">IF(AND(Energy!$F$11=$A$3,Main!$B$43=A99),Weight!W36,K99)</f>
        <v>62.250041570313307</v>
      </c>
      <c r="L99" s="103">
        <f ca="1">IF(AND(Energy!$F$11=$A$3,Main!$B$43=A99),'Aerodynamics-Cruise'!BI36,L99)</f>
        <v>62.250040212038414</v>
      </c>
      <c r="M99" s="103">
        <f ca="1">IF(AND(Energy!$F$11=$A$3,Main!$B$43=A99),'Aerodynamics-Cruise'!BJ36,M99)</f>
        <v>2.8921925608714165</v>
      </c>
      <c r="N99" s="103">
        <f ca="1">IF(AND(Energy!$F$11=$A$3,Main!$B$43=A99),'Aerodynamics-Cruise'!BK36,N99)</f>
        <v>21.523477051362896</v>
      </c>
      <c r="O99" s="103">
        <f t="shared" ca="1" si="5"/>
        <v>169.817424419052</v>
      </c>
      <c r="P99" s="103">
        <f ca="1">IF(AND(Energy!$F$11=$A$3,Main!$B$43=A99),'Aerodynamics-Cruise'!H36,P99)</f>
        <v>7.8821512516873415</v>
      </c>
      <c r="Q99" s="103">
        <f ca="1">IF(AND(Energy!$F$11=$A$3,Main!$B$43=A99),'Aerodynamics-Cruise'!I36,Q99)</f>
        <v>6.6986960709718799</v>
      </c>
      <c r="R99" s="103">
        <f ca="1">IF(AND(Energy!$F$11=$A$3,Main!$B$43=$A99),Summary!R36,R99)</f>
        <v>3.9022792034571849</v>
      </c>
      <c r="S99" s="103">
        <f ca="1">IF(AND(Energy!$F$11=$A$3,Main!$B$43=A99),'Aerodynamics-Cruise'!W36,S99)</f>
        <v>1</v>
      </c>
      <c r="T99" s="103">
        <f ca="1">IF(AND(Energy!$F$11=$A$3,Main!$B$43=A99),'Aerodynamics-Cruise'!BL36,T99)</f>
        <v>22.796699213793453</v>
      </c>
      <c r="U99" s="103">
        <f ca="1">IF(AND(Energy!$F$11=$A$3,Main!$B$43=A99),'Propulsion-Cruise'!M36,U99)</f>
        <v>51.150517906241859</v>
      </c>
      <c r="V99" s="103">
        <f ca="1">IF(AND(Energy!$F$11=$A$3,Main!$B$43=A99),Endurance!AP36,V99)</f>
        <v>500.33026936831754</v>
      </c>
      <c r="W99" s="103">
        <f ca="1">IF(AND(Energy!$F$11=$A$3,Main!$B$43=$A99),Summary!W36,W99)</f>
        <v>1.839766081871345</v>
      </c>
      <c r="X99" s="13">
        <f ca="1">IF(AND(Energy!$F$11=$A$3,Main!$B$43=A99),Energy!D36,X99)</f>
        <v>903.37407682552509</v>
      </c>
      <c r="Y99" s="102">
        <f ca="1">IF(AND(Energy!$F$11=$A$3,Main!$B$43=A99),'Aerodynamics-Cruise'!V36,Y99)</f>
        <v>144417.85166952098</v>
      </c>
      <c r="Z99" s="102">
        <f ca="1">IF(AND(Energy!$F$11=$A$3,Main!$B$43=$A99),Summary!Z36,Z99)</f>
        <v>108715.98248431571</v>
      </c>
      <c r="AA99" s="102">
        <f ca="1">IF(AND(Energy!$F$11=$A$3,Main!$B$43=$A99),Summary!AA36,AA99)</f>
        <v>108715.98248431571</v>
      </c>
      <c r="AB99" s="103">
        <f ca="1">IF(AND(Energy!$F$11=$A$3,Main!$B$43=$A99),Summary!AB36,AB99)</f>
        <v>3.9022792034571849</v>
      </c>
      <c r="AC99" s="103">
        <f ca="1">IF(AND(Energy!$F$11=$A$3,Main!$B$43=$A99),Summary!AC36,AC99)</f>
        <v>2.0806402492505818</v>
      </c>
      <c r="AD99" s="103">
        <f ca="1">IF(AND(Energy!$F$11=$A$3,Main!$B$43=$A99),Summary!AD36,AD99)</f>
        <v>0.40282239303885031</v>
      </c>
      <c r="AE99" s="103">
        <f ca="1">IF(AND(Energy!$F$11=$A$3,Main!$B$43=$A99),Summary!AE36,AE99)</f>
        <v>1.839766081871345</v>
      </c>
      <c r="AF99" s="103">
        <f ca="1">IF(AND(Energy!$F$11=$A$3,Main!$B$43=$A99),Summary!AF36,AF99)</f>
        <v>22.044534412955471</v>
      </c>
      <c r="AG99" s="103">
        <f ca="1">IF(AND(Energy!$F$11=$A$3,Main!$B$43=$A99),Summary!AG36,AG99)</f>
        <v>10.976565198042284</v>
      </c>
      <c r="AH99" s="103">
        <f ca="1">IF(AND(Energy!$F$11=$A$3,Main!$B$43=$A99),Summary!AH36,AH99)</f>
        <v>47</v>
      </c>
      <c r="AI99" s="103">
        <f ca="1">IF(AND(Energy!$F$11=$A$3,Main!$B$43=$A99),Summary!AI36,AI99)</f>
        <v>2.7137200131782873</v>
      </c>
      <c r="AJ99" s="103">
        <f ca="1">IF(AND(Energy!$F$11=$A$3,Main!$B$43=$A99),Summary!AJ36,AJ99)</f>
        <v>0.23409845039910721</v>
      </c>
      <c r="AK99" s="103">
        <f ca="1">IF(AND(Energy!$F$11=$A$3,Main!$B$43=$A99),Summary!AK36,AK99)</f>
        <v>0.01</v>
      </c>
      <c r="AL99" s="103">
        <f ca="1">IF(AND(Energy!$F$11=$A$3,Main!$B$43=$A99),Summary!AL36,AL99)</f>
        <v>-0.53396097113271179</v>
      </c>
      <c r="AM99" s="103">
        <f ca="1">IF(AND(Energy!$F$11=$A$3,Main!$B$43=$A99),Summary!AJ116,AM99)</f>
        <v>0</v>
      </c>
    </row>
    <row r="100" spans="1:39">
      <c r="A100">
        <f t="shared" si="6"/>
        <v>5</v>
      </c>
      <c r="D100" s="1">
        <f ca="1">IF(AND(Energy!$F$11=$A$3,Main!$B$43=A100),Main!C37,D100)</f>
        <v>6.526315789473685</v>
      </c>
      <c r="E100" s="103">
        <f ca="1">IF(AND(Energy!$F$11=$A$3,Main!$B$43=A100),Main!B37,E100)</f>
        <v>0.28888888888888886</v>
      </c>
      <c r="F100" s="103">
        <f ca="1">IF(Main!$D$6=1,U100,IF(Main!$D$6=2,N100,IF(Main!$D$6=3,K100,IF(Main!$D$6=4,V100,J100))))</f>
        <v>503.94979406465694</v>
      </c>
      <c r="G100" s="103">
        <f ca="1">IF(AND(Energy!$F$11=$A$3,Main!$B$43=A100),Weight!H37,G100)</f>
        <v>15</v>
      </c>
      <c r="H100" s="103">
        <f ca="1">IF(AND(Energy!$F$11=$A$3,Main!$B$43=A100),Weight!U37,H100)</f>
        <v>22.018243932414265</v>
      </c>
      <c r="I100" s="103">
        <f ca="1">IF(AND(Energy!$F$11=$A$3,Main!$B$43=A100),Weight!V37,I100)</f>
        <v>48.069119006017566</v>
      </c>
      <c r="J100" s="103">
        <f ca="1">IF(AND(Energy!$F$11=$A$3,Main!$B$43=A100),Weight!I37,J100)</f>
        <v>21.1132267986033</v>
      </c>
      <c r="K100" s="103">
        <f ca="1">IF(AND(Energy!$F$11=$A$3,Main!$B$43=A100),Weight!W37,K100)</f>
        <v>63.069119694279465</v>
      </c>
      <c r="L100" s="103">
        <f ca="1">IF(AND(Energy!$F$11=$A$3,Main!$B$43=A100),'Aerodynamics-Cruise'!BI37,L100)</f>
        <v>63.069118294699742</v>
      </c>
      <c r="M100" s="103">
        <f ca="1">IF(AND(Energy!$F$11=$A$3,Main!$B$43=A100),'Aerodynamics-Cruise'!BJ37,M100)</f>
        <v>2.9168454441064848</v>
      </c>
      <c r="N100" s="103">
        <f ca="1">IF(AND(Energy!$F$11=$A$3,Main!$B$43=A100),'Aerodynamics-Cruise'!BK37,N100)</f>
        <v>21.622372355083648</v>
      </c>
      <c r="O100" s="103">
        <f t="shared" ca="1" si="5"/>
        <v>171.71637895819768</v>
      </c>
      <c r="P100" s="103">
        <f ca="1">IF(AND(Energy!$F$11=$A$3,Main!$B$43=A100),'Aerodynamics-Cruise'!H37,P100)</f>
        <v>7.8372565717311824</v>
      </c>
      <c r="Q100" s="103">
        <f ca="1">IF(AND(Energy!$F$11=$A$3,Main!$B$43=A100),'Aerodynamics-Cruise'!I37,Q100)</f>
        <v>6.662103742858422</v>
      </c>
      <c r="R100" s="103">
        <f ca="1">IF(AND(Energy!$F$11=$A$3,Main!$B$43=$A100),Summary!R37,R100)</f>
        <v>3.9109347047414915</v>
      </c>
      <c r="S100" s="103">
        <f ca="1">IF(AND(Energy!$F$11=$A$3,Main!$B$43=A100),'Aerodynamics-Cruise'!W37,S100)</f>
        <v>1</v>
      </c>
      <c r="T100" s="103">
        <f ca="1">IF(AND(Energy!$F$11=$A$3,Main!$B$43=A100),'Aerodynamics-Cruise'!BL37,T100)</f>
        <v>22.860066125547707</v>
      </c>
      <c r="U100" s="103">
        <f ca="1">IF(AND(Energy!$F$11=$A$3,Main!$B$43=A100),'Propulsion-Cruise'!M37,U100)</f>
        <v>51.402057309356785</v>
      </c>
      <c r="V100" s="103">
        <f ca="1">IF(AND(Energy!$F$11=$A$3,Main!$B$43=A100),Endurance!AP37,V100)</f>
        <v>503.94979406465694</v>
      </c>
      <c r="W100" s="103">
        <f ca="1">IF(AND(Energy!$F$11=$A$3,Main!$B$43=$A100),Summary!W37,W100)</f>
        <v>1.8853801169590643</v>
      </c>
      <c r="X100" s="13">
        <f ca="1">IF(AND(Energy!$F$11=$A$3,Main!$B$43=A100),Energy!D37,X100)</f>
        <v>909.90932920667831</v>
      </c>
      <c r="Y100" s="102">
        <f ca="1">IF(AND(Energy!$F$11=$A$3,Main!$B$43=A100),'Aerodynamics-Cruise'!V37,Y100)</f>
        <v>143595.2852122646</v>
      </c>
      <c r="Z100" s="102">
        <f ca="1">IF(AND(Energy!$F$11=$A$3,Main!$B$43=$A100),Summary!Z37,Z100)</f>
        <v>108121.12109522172</v>
      </c>
      <c r="AA100" s="102">
        <f ca="1">IF(AND(Energy!$F$11=$A$3,Main!$B$43=$A100),Summary!AA37,AA100)</f>
        <v>108121.12109522172</v>
      </c>
      <c r="AB100" s="103">
        <f ca="1">IF(AND(Energy!$F$11=$A$3,Main!$B$43=$A100),Summary!AB37,AB100)</f>
        <v>3.9109347047414915</v>
      </c>
      <c r="AC100" s="103">
        <f ca="1">IF(AND(Energy!$F$11=$A$3,Main!$B$43=$A100),Summary!AC37,AC100)</f>
        <v>2.0413441545586442</v>
      </c>
      <c r="AD100" s="103">
        <f ca="1">IF(AND(Energy!$F$11=$A$3,Main!$B$43=$A100),Summary!AD37,AD100)</f>
        <v>0.40282895889806764</v>
      </c>
      <c r="AE100" s="103">
        <f ca="1">IF(AND(Energy!$F$11=$A$3,Main!$B$43=$A100),Summary!AE37,AE100)</f>
        <v>1.8853801169590643</v>
      </c>
      <c r="AF100" s="103">
        <f ca="1">IF(AND(Energy!$F$11=$A$3,Main!$B$43=$A100),Summary!AF37,AF100)</f>
        <v>22.591093117408914</v>
      </c>
      <c r="AG100" s="103">
        <f ca="1">IF(AND(Energy!$F$11=$A$3,Main!$B$43=$A100),Summary!AG37,AG100)</f>
        <v>11.017726694857705</v>
      </c>
      <c r="AH100" s="103">
        <f ca="1">IF(AND(Energy!$F$11=$A$3,Main!$B$43=$A100),Summary!AH37,AH100)</f>
        <v>47</v>
      </c>
      <c r="AI100" s="103">
        <f ca="1">IF(AND(Energy!$F$11=$A$3,Main!$B$43=$A100),Summary!AI37,AI100)</f>
        <v>2.7124478854037948</v>
      </c>
      <c r="AJ100" s="103">
        <f ca="1">IF(AND(Energy!$F$11=$A$3,Main!$B$43=$A100),Summary!AJ37,AJ100)</f>
        <v>0.23449119815286068</v>
      </c>
      <c r="AK100" s="103">
        <f ca="1">IF(AND(Energy!$F$11=$A$3,Main!$B$43=$A100),Summary!AK37,AK100)</f>
        <v>0.01</v>
      </c>
      <c r="AL100" s="103">
        <f ca="1">IF(AND(Energy!$F$11=$A$3,Main!$B$43=$A100),Summary!AL37,AL100)</f>
        <v>-0.5330665920718981</v>
      </c>
      <c r="AM100" s="103">
        <f ca="1">IF(AND(Energy!$F$11=$A$3,Main!$B$43=$A100),Summary!AJ117,AM100)</f>
        <v>0</v>
      </c>
    </row>
    <row r="101" spans="1:39">
      <c r="A101">
        <f t="shared" si="6"/>
        <v>5</v>
      </c>
      <c r="D101" s="1">
        <f ca="1">IF(AND(Energy!$F$11=$A$3,Main!$B$43=A101),Main!C38,D101)</f>
        <v>6.6842105263157903</v>
      </c>
      <c r="E101" s="103">
        <f ca="1">IF(AND(Energy!$F$11=$A$3,Main!$B$43=A101),Main!B38,E101)</f>
        <v>0.28888888888888886</v>
      </c>
      <c r="F101" s="103">
        <f ca="1">IF(Main!$D$6=1,U101,IF(Main!$D$6=2,N101,IF(Main!$D$6=3,K101,IF(Main!$D$6=4,V101,J101))))</f>
        <v>507.96643817459358</v>
      </c>
      <c r="G101" s="103">
        <f ca="1">IF(AND(Energy!$F$11=$A$3,Main!$B$43=A101),Weight!H38,G101)</f>
        <v>15</v>
      </c>
      <c r="H101" s="103">
        <f ca="1">IF(AND(Energy!$F$11=$A$3,Main!$B$43=A101),Weight!U38,H101)</f>
        <v>22.702125237111119</v>
      </c>
      <c r="I101" s="103">
        <f ca="1">IF(AND(Energy!$F$11=$A$3,Main!$B$43=A101),Weight!V38,I101)</f>
        <v>48.921279590135384</v>
      </c>
      <c r="J101" s="103">
        <f ca="1">IF(AND(Energy!$F$11=$A$3,Main!$B$43=A101),Weight!I38,J101)</f>
        <v>21.281506078024261</v>
      </c>
      <c r="K101" s="103">
        <f ca="1">IF(AND(Energy!$F$11=$A$3,Main!$B$43=A101),Weight!W38,K101)</f>
        <v>63.921280299889816</v>
      </c>
      <c r="L101" s="103">
        <f ca="1">IF(AND(Energy!$F$11=$A$3,Main!$B$43=A101),'Aerodynamics-Cruise'!BI38,L101)</f>
        <v>63.921278856816777</v>
      </c>
      <c r="M101" s="103">
        <f ca="1">IF(AND(Energy!$F$11=$A$3,Main!$B$43=A101),'Aerodynamics-Cruise'!BJ38,M101)</f>
        <v>2.9429934230854244</v>
      </c>
      <c r="N101" s="103">
        <f ca="1">IF(AND(Energy!$F$11=$A$3,Main!$B$43=A101),'Aerodynamics-Cruise'!BK38,N101)</f>
        <v>21.71981709350948</v>
      </c>
      <c r="O101" s="103">
        <f t="shared" ca="1" si="5"/>
        <v>173.65164081502658</v>
      </c>
      <c r="P101" s="103">
        <f ca="1">IF(AND(Energy!$F$11=$A$3,Main!$B$43=A101),'Aerodynamics-Cruise'!H38,P101)</f>
        <v>7.7962609673624552</v>
      </c>
      <c r="Q101" s="103">
        <f ca="1">IF(AND(Energy!$F$11=$A$3,Main!$B$43=A101),'Aerodynamics-Cruise'!I38,Q101)</f>
        <v>6.6286821206949025</v>
      </c>
      <c r="R101" s="103">
        <f ca="1">IF(AND(Energy!$F$11=$A$3,Main!$B$43=$A101),Summary!R38,R101)</f>
        <v>3.924665783527892</v>
      </c>
      <c r="S101" s="103">
        <f ca="1">IF(AND(Energy!$F$11=$A$3,Main!$B$43=A101),'Aerodynamics-Cruise'!W38,S101)</f>
        <v>1</v>
      </c>
      <c r="T101" s="103">
        <f ca="1">IF(AND(Energy!$F$11=$A$3,Main!$B$43=A101),'Aerodynamics-Cruise'!BL38,T101)</f>
        <v>22.944344751605314</v>
      </c>
      <c r="U101" s="103">
        <f ca="1">IF(AND(Energy!$F$11=$A$3,Main!$B$43=A101),'Propulsion-Cruise'!M38,U101)</f>
        <v>51.695102781135027</v>
      </c>
      <c r="V101" s="103">
        <f ca="1">IF(AND(Energy!$F$11=$A$3,Main!$B$43=A101),Endurance!AP38,V101)</f>
        <v>507.96643817459358</v>
      </c>
      <c r="W101" s="103">
        <f ca="1">IF(AND(Energy!$F$11=$A$3,Main!$B$43=$A101),Summary!W38,W101)</f>
        <v>1.9309941520467837</v>
      </c>
      <c r="X101" s="13">
        <f ca="1">IF(AND(Energy!$F$11=$A$3,Main!$B$43=A101),Energy!D38,X101)</f>
        <v>917.16160271098852</v>
      </c>
      <c r="Y101" s="102">
        <f ca="1">IF(AND(Energy!$F$11=$A$3,Main!$B$43=A101),'Aerodynamics-Cruise'!V38,Y101)</f>
        <v>142844.15815040347</v>
      </c>
      <c r="Z101" s="102">
        <f ca="1">IF(AND(Energy!$F$11=$A$3,Main!$B$43=$A101),Summary!Z38,Z101)</f>
        <v>107577.80876708913</v>
      </c>
      <c r="AA101" s="102">
        <f ca="1">IF(AND(Energy!$F$11=$A$3,Main!$B$43=$A101),Summary!AA38,AA101)</f>
        <v>107577.80876708913</v>
      </c>
      <c r="AB101" s="103">
        <f ca="1">IF(AND(Energy!$F$11=$A$3,Main!$B$43=$A101),Summary!AB38,AB101)</f>
        <v>3.924665783527892</v>
      </c>
      <c r="AC101" s="103">
        <f ca="1">IF(AND(Energy!$F$11=$A$3,Main!$B$43=$A101),Summary!AC38,AC101)</f>
        <v>2.0026349552903056</v>
      </c>
      <c r="AD101" s="103">
        <f ca="1">IF(AND(Energy!$F$11=$A$3,Main!$B$43=$A101),Summary!AD38,AD101)</f>
        <v>0.40299268090673945</v>
      </c>
      <c r="AE101" s="103">
        <f ca="1">IF(AND(Energy!$F$11=$A$3,Main!$B$43=$A101),Summary!AE38,AE101)</f>
        <v>1.9309941520467837</v>
      </c>
      <c r="AF101" s="103">
        <f ca="1">IF(AND(Energy!$F$11=$A$3,Main!$B$43=$A101),Summary!AF38,AF101)</f>
        <v>23.137651821862352</v>
      </c>
      <c r="AG101" s="103">
        <f ca="1">IF(AND(Energy!$F$11=$A$3,Main!$B$43=$A101),Summary!AG38,AG101)</f>
        <v>11.063862948277471</v>
      </c>
      <c r="AH101" s="103">
        <f ca="1">IF(AND(Energy!$F$11=$A$3,Main!$B$43=$A101),Summary!AH38,AH101)</f>
        <v>47</v>
      </c>
      <c r="AI101" s="103">
        <f ca="1">IF(AND(Energy!$F$11=$A$3,Main!$B$43=$A101),Summary!AI38,AI101)</f>
        <v>2.7112802216215544</v>
      </c>
      <c r="AJ101" s="103">
        <f ca="1">IF(AND(Energy!$F$11=$A$3,Main!$B$43=$A101),Summary!AJ38,AJ101)</f>
        <v>0.23485635850223921</v>
      </c>
      <c r="AK101" s="103">
        <f ca="1">IF(AND(Energy!$F$11=$A$3,Main!$B$43=$A101),Summary!AK38,AK101)</f>
        <v>0.01</v>
      </c>
      <c r="AL101" s="103">
        <f ca="1">IF(AND(Energy!$F$11=$A$3,Main!$B$43=$A101),Summary!AL38,AL101)</f>
        <v>-0.53223771565054745</v>
      </c>
      <c r="AM101" s="103">
        <f ca="1">IF(AND(Energy!$F$11=$A$3,Main!$B$43=$A101),Summary!AJ118,AM101)</f>
        <v>0</v>
      </c>
    </row>
    <row r="102" spans="1:39">
      <c r="A102">
        <f t="shared" si="6"/>
        <v>5</v>
      </c>
      <c r="D102" s="1">
        <f ca="1">IF(AND(Energy!$F$11=$A$3,Main!$B$43=A102),Main!C39,D102)</f>
        <v>6.8421052631578956</v>
      </c>
      <c r="E102" s="103">
        <f ca="1">IF(AND(Energy!$F$11=$A$3,Main!$B$43=A102),Main!B39,E102)</f>
        <v>0.28888888888888886</v>
      </c>
      <c r="F102" s="103">
        <f ca="1">IF(Main!$D$6=1,U102,IF(Main!$D$6=2,N102,IF(Main!$D$6=3,K102,IF(Main!$D$6=4,V102,J102))))</f>
        <v>512.35953017151076</v>
      </c>
      <c r="G102" s="103">
        <f ca="1">IF(AND(Energy!$F$11=$A$3,Main!$B$43=A102),Weight!H39,G102)</f>
        <v>15</v>
      </c>
      <c r="H102" s="103">
        <f ca="1">IF(AND(Energy!$F$11=$A$3,Main!$B$43=A102),Weight!U39,H102)</f>
        <v>23.40258842192253</v>
      </c>
      <c r="I102" s="103">
        <f ca="1">IF(AND(Energy!$F$11=$A$3,Main!$B$43=A102),Weight!V39,I102)</f>
        <v>49.80579352447262</v>
      </c>
      <c r="J102" s="103">
        <f ca="1">IF(AND(Energy!$F$11=$A$3,Main!$B$43=A102),Weight!I39,J102)</f>
        <v>21.465556827550092</v>
      </c>
      <c r="K102" s="103">
        <f ca="1">IF(AND(Energy!$F$11=$A$3,Main!$B$43=A102),Weight!W39,K102)</f>
        <v>64.805794256784523</v>
      </c>
      <c r="L102" s="103">
        <f ca="1">IF(AND(Energy!$F$11=$A$3,Main!$B$43=A102),'Aerodynamics-Cruise'!BI39,L102)</f>
        <v>64.80579276812604</v>
      </c>
      <c r="M102" s="103">
        <f ca="1">IF(AND(Energy!$F$11=$A$3,Main!$B$43=A102),'Aerodynamics-Cruise'!BJ39,M102)</f>
        <v>2.9705515764373152</v>
      </c>
      <c r="N102" s="103">
        <f ca="1">IF(AND(Energy!$F$11=$A$3,Main!$B$43=A102),'Aerodynamics-Cruise'!BK39,N102)</f>
        <v>21.816080650533547</v>
      </c>
      <c r="O102" s="103">
        <f t="shared" ca="1" si="5"/>
        <v>175.62391099968295</v>
      </c>
      <c r="P102" s="103">
        <f ca="1">IF(AND(Energy!$F$11=$A$3,Main!$B$43=A102),'Aerodynamics-Cruise'!H39,P102)</f>
        <v>7.758893348283662</v>
      </c>
      <c r="Q102" s="103">
        <f ca="1">IF(AND(Energy!$F$11=$A$3,Main!$B$43=A102),'Aerodynamics-Cruise'!I39,Q102)</f>
        <v>6.598212166770864</v>
      </c>
      <c r="R102" s="103">
        <f ca="1">IF(AND(Energy!$F$11=$A$3,Main!$B$43=$A102),Summary!R39,R102)</f>
        <v>3.9432003252294163</v>
      </c>
      <c r="S102" s="103">
        <f ca="1">IF(AND(Energy!$F$11=$A$3,Main!$B$43=A102),'Aerodynamics-Cruise'!W39,S102)</f>
        <v>1</v>
      </c>
      <c r="T102" s="103">
        <f ca="1">IF(AND(Energy!$F$11=$A$3,Main!$B$43=A102),'Aerodynamics-Cruise'!BL39,T102)</f>
        <v>23.048192867153031</v>
      </c>
      <c r="U102" s="103">
        <f ca="1">IF(AND(Energy!$F$11=$A$3,Main!$B$43=A102),'Propulsion-Cruise'!M39,U102)</f>
        <v>52.027246148195204</v>
      </c>
      <c r="V102" s="103">
        <f ca="1">IF(AND(Energy!$F$11=$A$3,Main!$B$43=A102),Endurance!AP39,V102)</f>
        <v>512.35953017151076</v>
      </c>
      <c r="W102" s="103">
        <f ca="1">IF(AND(Energy!$F$11=$A$3,Main!$B$43=$A102),Summary!W39,W102)</f>
        <v>1.9766081871345029</v>
      </c>
      <c r="X102" s="13">
        <f ca="1">IF(AND(Energy!$F$11=$A$3,Main!$B$43=A102),Energy!D39,X102)</f>
        <v>925.09357375076365</v>
      </c>
      <c r="Y102" s="102">
        <f ca="1">IF(AND(Energy!$F$11=$A$3,Main!$B$43=A102),'Aerodynamics-Cruise'!V39,Y102)</f>
        <v>142159.50353048492</v>
      </c>
      <c r="Z102" s="102">
        <f ca="1">IF(AND(Energy!$F$11=$A$3,Main!$B$43=$A102),Summary!Z39,Z102)</f>
        <v>107082.48350636757</v>
      </c>
      <c r="AA102" s="102">
        <f ca="1">IF(AND(Energy!$F$11=$A$3,Main!$B$43=$A102),Summary!AA39,AA102)</f>
        <v>107082.48350636757</v>
      </c>
      <c r="AB102" s="103">
        <f ca="1">IF(AND(Energy!$F$11=$A$3,Main!$B$43=$A102),Summary!AB39,AB102)</f>
        <v>3.9432003252294163</v>
      </c>
      <c r="AC102" s="103">
        <f ca="1">IF(AND(Energy!$F$11=$A$3,Main!$B$43=$A102),Summary!AC39,AC102)</f>
        <v>1.9645311324964581</v>
      </c>
      <c r="AD102" s="103">
        <f ca="1">IF(AND(Energy!$F$11=$A$3,Main!$B$43=$A102),Summary!AD39,AD102)</f>
        <v>0.40330290581049943</v>
      </c>
      <c r="AE102" s="103">
        <f ca="1">IF(AND(Energy!$F$11=$A$3,Main!$B$43=$A102),Summary!AE39,AE102)</f>
        <v>1.9766081871345029</v>
      </c>
      <c r="AF102" s="103">
        <f ca="1">IF(AND(Energy!$F$11=$A$3,Main!$B$43=$A102),Summary!AF39,AF102)</f>
        <v>23.684210526315795</v>
      </c>
      <c r="AG102" s="103">
        <f ca="1">IF(AND(Energy!$F$11=$A$3,Main!$B$43=$A102),Summary!AG39,AG102)</f>
        <v>11.114660258017667</v>
      </c>
      <c r="AH102" s="103">
        <f ca="1">IF(AND(Energy!$F$11=$A$3,Main!$B$43=$A102),Summary!AH39,AH102)</f>
        <v>47</v>
      </c>
      <c r="AI102" s="103">
        <f ca="1">IF(AND(Energy!$F$11=$A$3,Main!$B$43=$A102),Summary!AI39,AI102)</f>
        <v>2.7102107735758567</v>
      </c>
      <c r="AJ102" s="103">
        <f ca="1">IF(AND(Energy!$F$11=$A$3,Main!$B$43=$A102),Summary!AJ39,AJ102)</f>
        <v>0.23519557263762597</v>
      </c>
      <c r="AK102" s="103">
        <f ca="1">IF(AND(Energy!$F$11=$A$3,Main!$B$43=$A102),Summary!AK39,AK102)</f>
        <v>0.01</v>
      </c>
      <c r="AL102" s="103">
        <f ca="1">IF(AND(Energy!$F$11=$A$3,Main!$B$43=$A102),Summary!AL39,AL102)</f>
        <v>-0.53147003654815972</v>
      </c>
      <c r="AM102" s="103">
        <f ca="1">IF(AND(Energy!$F$11=$A$3,Main!$B$43=$A102),Summary!AJ119,AM102)</f>
        <v>0</v>
      </c>
    </row>
    <row r="103" spans="1:39">
      <c r="A103">
        <f t="shared" si="6"/>
        <v>5</v>
      </c>
      <c r="D103" s="1">
        <f ca="1">IF(AND(Energy!$F$11=$A$3,Main!$B$43=A103),Main!C40,D103)</f>
        <v>7</v>
      </c>
      <c r="E103" s="103">
        <f ca="1">IF(AND(Energy!$F$11=$A$3,Main!$B$43=A103),Main!B40,E103)</f>
        <v>0.28888888888888886</v>
      </c>
      <c r="F103" s="103">
        <f ca="1">IF(Main!$D$6=1,U103,IF(Main!$D$6=2,N103,IF(Main!$D$6=3,K103,IF(Main!$D$6=4,V103,J103))))</f>
        <v>517.11125151683666</v>
      </c>
      <c r="G103" s="103">
        <f ca="1">IF(AND(Energy!$F$11=$A$3,Main!$B$43=A103),Weight!H40,G103)</f>
        <v>15</v>
      </c>
      <c r="H103" s="103">
        <f ca="1">IF(AND(Energy!$F$11=$A$3,Main!$B$43=A103),Weight!U40,H103)</f>
        <v>24.119783257970568</v>
      </c>
      <c r="I103" s="103">
        <f ca="1">IF(AND(Energy!$F$11=$A$3,Main!$B$43=A103),Weight!V40,I103)</f>
        <v>50.722064063666465</v>
      </c>
      <c r="J103" s="103">
        <f ca="1">IF(AND(Energy!$F$11=$A$3,Main!$B$43=A103),Weight!I40,J103)</f>
        <v>21.664632530695901</v>
      </c>
      <c r="K103" s="103">
        <f ca="1">IF(AND(Energy!$F$11=$A$3,Main!$B$43=A103),Weight!W40,K103)</f>
        <v>65.722064819567706</v>
      </c>
      <c r="L103" s="103">
        <f ca="1">IF(AND(Energy!$F$11=$A$3,Main!$B$43=A103),'Aerodynamics-Cruise'!BI40,L103)</f>
        <v>65.722063283296663</v>
      </c>
      <c r="M103" s="103">
        <f ca="1">IF(AND(Energy!$F$11=$A$3,Main!$B$43=A103),'Aerodynamics-Cruise'!BJ40,M103)</f>
        <v>2.9994453584656662</v>
      </c>
      <c r="N103" s="103">
        <f ca="1">IF(AND(Energy!$F$11=$A$3,Main!$B$43=A103),'Aerodynamics-Cruise'!BK40,N103)</f>
        <v>21.911405419606002</v>
      </c>
      <c r="O103" s="103">
        <f t="shared" ca="1" si="5"/>
        <v>177.63389108591775</v>
      </c>
      <c r="P103" s="103">
        <f ca="1">IF(AND(Energy!$F$11=$A$3,Main!$B$43=A103),'Aerodynamics-Cruise'!H40,P103)</f>
        <v>7.7249099633214318</v>
      </c>
      <c r="Q103" s="103">
        <f ca="1">IF(AND(Energy!$F$11=$A$3,Main!$B$43=A103),'Aerodynamics-Cruise'!I40,Q103)</f>
        <v>6.5704968043212011</v>
      </c>
      <c r="R103" s="103">
        <f ca="1">IF(AND(Energy!$F$11=$A$3,Main!$B$43=$A103),Summary!R40,R103)</f>
        <v>3.9663083715774139</v>
      </c>
      <c r="S103" s="103">
        <f ca="1">IF(AND(Energy!$F$11=$A$3,Main!$B$43=A103),'Aerodynamics-Cruise'!W40,S103)</f>
        <v>1</v>
      </c>
      <c r="T103" s="103">
        <f ca="1">IF(AND(Energy!$F$11=$A$3,Main!$B$43=A103),'Aerodynamics-Cruise'!BL40,T103)</f>
        <v>23.170445334049649</v>
      </c>
      <c r="U103" s="103">
        <f ca="1">IF(AND(Energy!$F$11=$A$3,Main!$B$43=A103),'Propulsion-Cruise'!M40,U103)</f>
        <v>52.396400775380052</v>
      </c>
      <c r="V103" s="103">
        <f ca="1">IF(AND(Energy!$F$11=$A$3,Main!$B$43=A103),Endurance!AP40,V103)</f>
        <v>517.11125151683666</v>
      </c>
      <c r="W103" s="103">
        <f ca="1">IF(AND(Energy!$F$11=$A$3,Main!$B$43=$A103),Summary!W40,W103)</f>
        <v>2.0222222222222221</v>
      </c>
      <c r="X103" s="13">
        <f ca="1">IF(AND(Energy!$F$11=$A$3,Main!$B$43=A103),Energy!D40,X103)</f>
        <v>933.67306996620289</v>
      </c>
      <c r="Y103" s="102">
        <f ca="1">IF(AND(Energy!$F$11=$A$3,Main!$B$43=A103),'Aerodynamics-Cruise'!V40,Y103)</f>
        <v>141536.85531022234</v>
      </c>
      <c r="Z103" s="102">
        <f ca="1">IF(AND(Energy!$F$11=$A$3,Main!$B$43=$A103),Summary!Z40,Z103)</f>
        <v>106631.94053074501</v>
      </c>
      <c r="AA103" s="102">
        <f ca="1">IF(AND(Energy!$F$11=$A$3,Main!$B$43=$A103),Summary!AA40,AA103)</f>
        <v>106631.94053074501</v>
      </c>
      <c r="AB103" s="103">
        <f ca="1">IF(AND(Energy!$F$11=$A$3,Main!$B$43=$A103),Summary!AB40,AB103)</f>
        <v>3.9663083715774139</v>
      </c>
      <c r="AC103" s="103">
        <f ca="1">IF(AND(Energy!$F$11=$A$3,Main!$B$43=$A103),Summary!AC40,AC103)</f>
        <v>1.9270457083326078</v>
      </c>
      <c r="AD103" s="103">
        <f ca="1">IF(AND(Energy!$F$11=$A$3,Main!$B$43=$A103),Summary!AD40,AD103)</f>
        <v>0.4037501024342644</v>
      </c>
      <c r="AE103" s="103">
        <f ca="1">IF(AND(Energy!$F$11=$A$3,Main!$B$43=$A103),Summary!AE40,AE103)</f>
        <v>2.0222222222222221</v>
      </c>
      <c r="AF103" s="103">
        <f ca="1">IF(AND(Energy!$F$11=$A$3,Main!$B$43=$A103),Summary!AF40,AF103)</f>
        <v>24.23076923076923</v>
      </c>
      <c r="AG103" s="103">
        <f ca="1">IF(AND(Energy!$F$11=$A$3,Main!$B$43=$A103),Summary!AG40,AG103)</f>
        <v>11.169842456391654</v>
      </c>
      <c r="AH103" s="103">
        <f ca="1">IF(AND(Energy!$F$11=$A$3,Main!$B$43=$A103),Summary!AH40,AH103)</f>
        <v>47</v>
      </c>
      <c r="AI103" s="103">
        <f ca="1">IF(AND(Energy!$F$11=$A$3,Main!$B$43=$A103),Summary!AI40,AI103)</f>
        <v>2.7092338357009647</v>
      </c>
      <c r="AJ103" s="103">
        <f ca="1">IF(AND(Energy!$F$11=$A$3,Main!$B$43=$A103),Summary!AJ40,AJ103)</f>
        <v>0.23551034580248872</v>
      </c>
      <c r="AK103" s="103">
        <f ca="1">IF(AND(Energy!$F$11=$A$3,Main!$B$43=$A103),Summary!AK40,AK103)</f>
        <v>0.01</v>
      </c>
      <c r="AL103" s="103">
        <f ca="1">IF(AND(Energy!$F$11=$A$3,Main!$B$43=$A103),Summary!AL40,AL103)</f>
        <v>-0.53075964432951783</v>
      </c>
      <c r="AM103" s="103">
        <f ca="1">IF(AND(Energy!$F$11=$A$3,Main!$B$43=$A103),Summary!AJ120,AM103)</f>
        <v>0</v>
      </c>
    </row>
    <row r="104" spans="1:39">
      <c r="A104" s="7">
        <f>A84+1</f>
        <v>6</v>
      </c>
      <c r="D104" s="1">
        <f ca="1">IF(AND(Energy!$F$11=$A$3,Main!$B$43=A104),Main!C21,D104)</f>
        <v>4</v>
      </c>
      <c r="E104" s="103">
        <f ca="1">IF(AND(Energy!$F$11=$A$3,Main!$B$43=A104),Main!B21,E104)</f>
        <v>0.31111111111111106</v>
      </c>
      <c r="F104" s="103">
        <f ca="1">IF(Main!$D$6=1,U104,IF(Main!$D$6=2,N104,IF(Main!$D$6=3,K104,IF(Main!$D$6=4,V104,J104))))</f>
        <v>540.33648037543128</v>
      </c>
      <c r="G104" s="103">
        <f ca="1">IF(AND(Energy!$F$11=$A$3,Main!$B$43=A104),Weight!H21,G104)</f>
        <v>15</v>
      </c>
      <c r="H104" s="103">
        <f ca="1">IF(AND(Energy!$F$11=$A$3,Main!$B$43=A104),Weight!U21,H104)</f>
        <v>14.14733608780432</v>
      </c>
      <c r="I104" s="103">
        <f ca="1">IF(AND(Energy!$F$11=$A$3,Main!$B$43=A104),Weight!V21,I104)</f>
        <v>41.722649888201914</v>
      </c>
      <c r="J104" s="103">
        <f ca="1">IF(AND(Energy!$F$11=$A$3,Main!$B$43=A104),Weight!I21,J104)</f>
        <v>22.637665525397598</v>
      </c>
      <c r="K104" s="103">
        <f ca="1">IF(AND(Energy!$F$11=$A$3,Main!$B$43=A104),Weight!W21,K104)</f>
        <v>56.722650280483954</v>
      </c>
      <c r="L104" s="103">
        <f ca="1">IF(AND(Energy!$F$11=$A$3,Main!$B$43=A104),'Aerodynamics-Cruise'!BI21,L104)</f>
        <v>56.722649486181837</v>
      </c>
      <c r="M104" s="103">
        <f ca="1">IF(AND(Energy!$F$11=$A$3,Main!$B$43=A104),'Aerodynamics-Cruise'!BJ21,M104)</f>
        <v>2.9394581452814799</v>
      </c>
      <c r="N104" s="103">
        <f ca="1">IF(AND(Energy!$F$11=$A$3,Main!$B$43=A104),'Aerodynamics-Cruise'!BK21,N104)</f>
        <v>19.296974708496869</v>
      </c>
      <c r="O104" s="103">
        <f t="shared" ca="1" si="5"/>
        <v>145.33408536143179</v>
      </c>
      <c r="P104" s="103">
        <f ca="1">IF(AND(Energy!$F$11=$A$3,Main!$B$43=A104),'Aerodynamics-Cruise'!H21,P104)</f>
        <v>9.1565920963254737</v>
      </c>
      <c r="Q104" s="103">
        <f ca="1">IF(AND(Energy!$F$11=$A$3,Main!$B$43=A104),'Aerodynamics-Cruise'!I21,Q104)</f>
        <v>7.7044751916508893</v>
      </c>
      <c r="R104" s="103">
        <f ca="1">IF(AND(Energy!$F$11=$A$3,Main!$B$43=$A104),Summary!R21,R104)</f>
        <v>4.7310994428172588</v>
      </c>
      <c r="S104" s="103">
        <f ca="1">IF(AND(Energy!$F$11=$A$3,Main!$B$43=A104),'Aerodynamics-Cruise'!W21,S104)</f>
        <v>1</v>
      </c>
      <c r="T104" s="103">
        <f ca="1">IF(AND(Energy!$F$11=$A$3,Main!$B$43=A104),'Aerodynamics-Cruise'!BL21,T104)</f>
        <v>26.915419220563933</v>
      </c>
      <c r="U104" s="103">
        <f ca="1">IF(AND(Energy!$F$11=$A$3,Main!$B$43=A104),'Propulsion-Cruise'!M21,U104)</f>
        <v>57.416943651358785</v>
      </c>
      <c r="V104" s="103">
        <f ca="1">IF(AND(Energy!$F$11=$A$3,Main!$B$43=A104),Endurance!AP21,V104)</f>
        <v>540.33648037543128</v>
      </c>
      <c r="W104" s="103">
        <f ca="1">IF(AND(Energy!$F$11=$A$3,Main!$B$43=$A104),Summary!W21,W104)</f>
        <v>1.2444444444444442</v>
      </c>
      <c r="X104" s="13">
        <f ca="1">IF(AND(Energy!$F$11=$A$3,Main!$B$43=A104),Energy!D21,X104)</f>
        <v>975.60752052763542</v>
      </c>
      <c r="Y104" s="102">
        <f ca="1">IF(AND(Energy!$F$11=$A$3,Main!$B$43=A104),'Aerodynamics-Cruise'!V21,Y104)</f>
        <v>180673.58709144878</v>
      </c>
      <c r="Z104" s="102">
        <f ca="1">IF(AND(Energy!$F$11=$A$3,Main!$B$43=$A104),Summary!Z21,Z104)</f>
        <v>134710.06519566127</v>
      </c>
      <c r="AA104" s="102">
        <f ca="1">IF(AND(Energy!$F$11=$A$3,Main!$B$43=$A104),Summary!AA21,AA104)</f>
        <v>134710.06519566127</v>
      </c>
      <c r="AB104" s="103">
        <f ca="1">IF(AND(Energy!$F$11=$A$3,Main!$B$43=$A104),Summary!AB21,AB104)</f>
        <v>4.7310994428172588</v>
      </c>
      <c r="AC104" s="103">
        <f ca="1">IF(AND(Energy!$F$11=$A$3,Main!$B$43=$A104),Summary!AC21,AC104)</f>
        <v>2.5539143239705688</v>
      </c>
      <c r="AD104" s="103">
        <f ca="1">IF(AND(Energy!$F$11=$A$3,Main!$B$43=$A104),Summary!AD21,AD104)</f>
        <v>0.44019068125875155</v>
      </c>
      <c r="AE104" s="103">
        <f ca="1">IF(AND(Energy!$F$11=$A$3,Main!$B$43=$A104),Summary!AE21,AE104)</f>
        <v>1.2444444444444442</v>
      </c>
      <c r="AF104" s="103">
        <f ca="1">IF(AND(Energy!$F$11=$A$3,Main!$B$43=$A104),Summary!AF21,AF104)</f>
        <v>12.857142857142859</v>
      </c>
      <c r="AG104" s="103">
        <f ca="1">IF(AND(Energy!$F$11=$A$3,Main!$B$43=$A104),Summary!AG21,AG104)</f>
        <v>11.61526032697771</v>
      </c>
      <c r="AH104" s="103">
        <f ca="1">IF(AND(Energy!$F$11=$A$3,Main!$B$43=$A104),Summary!AH21,AH104)</f>
        <v>47</v>
      </c>
      <c r="AI104" s="103">
        <f ca="1">IF(AND(Energy!$F$11=$A$3,Main!$B$43=$A104),Summary!AI21,AI104)</f>
        <v>2.7684563175515868</v>
      </c>
      <c r="AJ104" s="103">
        <f ca="1">IF(AND(Energy!$F$11=$A$3,Main!$B$43=$A104),Summary!AJ21,AJ104)</f>
        <v>0.22262678639613162</v>
      </c>
      <c r="AK104" s="103">
        <f ca="1">IF(AND(Energy!$F$11=$A$3,Main!$B$43=$A104),Summary!AK21,AK104)</f>
        <v>0.01</v>
      </c>
      <c r="AL104" s="103">
        <f ca="1">IF(AND(Energy!$F$11=$A$3,Main!$B$43=$A104),Summary!AL21,AL104)</f>
        <v>-0.56147677267720775</v>
      </c>
      <c r="AM104" s="103">
        <f ca="1">IF(AND(Energy!$F$11=$A$3,Main!$B$43=$A104),Summary!AJ121,AM104)</f>
        <v>0</v>
      </c>
    </row>
    <row r="105" spans="1:39">
      <c r="A105">
        <f>A104</f>
        <v>6</v>
      </c>
      <c r="D105" s="1">
        <f ca="1">IF(AND(Energy!$F$11=$A$3,Main!$B$43=A105),Main!C22,D105)</f>
        <v>4.1578947368421053</v>
      </c>
      <c r="E105" s="103">
        <f ca="1">IF(AND(Energy!$F$11=$A$3,Main!$B$43=A105),Main!B22,E105)</f>
        <v>0.31111111111111106</v>
      </c>
      <c r="F105" s="103">
        <f ca="1">IF(Main!$D$6=1,U105,IF(Main!$D$6=2,N105,IF(Main!$D$6=3,K105,IF(Main!$D$6=4,V105,J105))))</f>
        <v>528.94456932988146</v>
      </c>
      <c r="G105" s="103">
        <f ca="1">IF(AND(Energy!$F$11=$A$3,Main!$B$43=A105),Weight!H22,G105)</f>
        <v>15</v>
      </c>
      <c r="H105" s="103">
        <f ca="1">IF(AND(Energy!$F$11=$A$3,Main!$B$43=A105),Weight!U22,H105)</f>
        <v>14.596440493739671</v>
      </c>
      <c r="I105" s="103">
        <f ca="1">IF(AND(Energy!$F$11=$A$3,Main!$B$43=A105),Weight!V22,I105)</f>
        <v>41.694484532046118</v>
      </c>
      <c r="J105" s="103">
        <f ca="1">IF(AND(Energy!$F$11=$A$3,Main!$B$43=A105),Weight!I22,J105)</f>
        <v>22.160395763306443</v>
      </c>
      <c r="K105" s="103">
        <f ca="1">IF(AND(Energy!$F$11=$A$3,Main!$B$43=A105),Weight!W22,K105)</f>
        <v>56.69448491176923</v>
      </c>
      <c r="L105" s="103">
        <f ca="1">IF(AND(Energy!$F$11=$A$3,Main!$B$43=A105),'Aerodynamics-Cruise'!BI22,L105)</f>
        <v>56.694484141887536</v>
      </c>
      <c r="M105" s="103">
        <f ca="1">IF(AND(Energy!$F$11=$A$3,Main!$B$43=A105),'Aerodynamics-Cruise'!BJ22,M105)</f>
        <v>2.9058055040899435</v>
      </c>
      <c r="N105" s="103">
        <f ca="1">IF(AND(Energy!$F$11=$A$3,Main!$B$43=A105),'Aerodynamics-Cruise'!BK22,N105)</f>
        <v>19.510763560083294</v>
      </c>
      <c r="O105" s="103">
        <f t="shared" ca="1" si="5"/>
        <v>146.90773740079158</v>
      </c>
      <c r="P105" s="103">
        <f ca="1">IF(AND(Energy!$F$11=$A$3,Main!$B$43=A105),'Aerodynamics-Cruise'!H22,P105)</f>
        <v>8.9787153894973262</v>
      </c>
      <c r="Q105" s="103">
        <f ca="1">IF(AND(Energy!$F$11=$A$3,Main!$B$43=A105),'Aerodynamics-Cruise'!I22,Q105)</f>
        <v>7.5609148865447509</v>
      </c>
      <c r="R105" s="103">
        <f ca="1">IF(AND(Energy!$F$11=$A$3,Main!$B$43=$A105),Summary!R22,R105)</f>
        <v>4.547886640521523</v>
      </c>
      <c r="S105" s="103">
        <f ca="1">IF(AND(Energy!$F$11=$A$3,Main!$B$43=A105),'Aerodynamics-Cruise'!W22,S105)</f>
        <v>1</v>
      </c>
      <c r="T105" s="103">
        <f ca="1">IF(AND(Energy!$F$11=$A$3,Main!$B$43=A105),'Aerodynamics-Cruise'!BL22,T105)</f>
        <v>26.090400598458412</v>
      </c>
      <c r="U105" s="103">
        <f ca="1">IF(AND(Energy!$F$11=$A$3,Main!$B$43=A105),'Propulsion-Cruise'!M22,U105)</f>
        <v>56.005872861133099</v>
      </c>
      <c r="V105" s="103">
        <f ca="1">IF(AND(Energy!$F$11=$A$3,Main!$B$43=A105),Endurance!AP22,V105)</f>
        <v>528.94456932988146</v>
      </c>
      <c r="W105" s="103">
        <f ca="1">IF(AND(Energy!$F$11=$A$3,Main!$B$43=$A105),Summary!W22,W105)</f>
        <v>1.293567251461988</v>
      </c>
      <c r="X105" s="13">
        <f ca="1">IF(AND(Energy!$F$11=$A$3,Main!$B$43=A105),Energy!D22,X105)</f>
        <v>955.03879288958376</v>
      </c>
      <c r="Y105" s="102">
        <f ca="1">IF(AND(Energy!$F$11=$A$3,Main!$B$43=A105),'Aerodynamics-Cruise'!V22,Y105)</f>
        <v>177163.80721433138</v>
      </c>
      <c r="Z105" s="102">
        <f ca="1">IF(AND(Energy!$F$11=$A$3,Main!$B$43=$A105),Summary!Z22,Z105)</f>
        <v>132195.79537868002</v>
      </c>
      <c r="AA105" s="102">
        <f ca="1">IF(AND(Energy!$F$11=$A$3,Main!$B$43=$A105),Summary!AA22,AA105)</f>
        <v>132195.79537868002</v>
      </c>
      <c r="AB105" s="103">
        <f ca="1">IF(AND(Energy!$F$11=$A$3,Main!$B$43=$A105),Summary!AB22,AB105)</f>
        <v>4.547886640521523</v>
      </c>
      <c r="AC105" s="103">
        <f ca="1">IF(AND(Energy!$F$11=$A$3,Main!$B$43=$A105),Summary!AC22,AC105)</f>
        <v>2.5232827159850197</v>
      </c>
      <c r="AD105" s="103">
        <f ca="1">IF(AND(Energy!$F$11=$A$3,Main!$B$43=$A105),Summary!AD22,AD105)</f>
        <v>0.43443994663531099</v>
      </c>
      <c r="AE105" s="103">
        <f ca="1">IF(AND(Energy!$F$11=$A$3,Main!$B$43=$A105),Summary!AE22,AE105)</f>
        <v>1.293567251461988</v>
      </c>
      <c r="AF105" s="103">
        <f ca="1">IF(AND(Energy!$F$11=$A$3,Main!$B$43=$A105),Summary!AF22,AF105)</f>
        <v>13.36466165413534</v>
      </c>
      <c r="AG105" s="103">
        <f ca="1">IF(AND(Energy!$F$11=$A$3,Main!$B$43=$A105),Summary!AG22,AG105)</f>
        <v>11.458448580239208</v>
      </c>
      <c r="AH105" s="103">
        <f ca="1">IF(AND(Energy!$F$11=$A$3,Main!$B$43=$A105),Summary!AH22,AH105)</f>
        <v>47</v>
      </c>
      <c r="AI105" s="103">
        <f ca="1">IF(AND(Energy!$F$11=$A$3,Main!$B$43=$A105),Summary!AI22,AI105)</f>
        <v>2.7639855884537687</v>
      </c>
      <c r="AJ105" s="103">
        <f ca="1">IF(AND(Energy!$F$11=$A$3,Main!$B$43=$A105),Summary!AJ22,AJ105)</f>
        <v>0.22380710445843394</v>
      </c>
      <c r="AK105" s="103">
        <f ca="1">IF(AND(Energy!$F$11=$A$3,Main!$B$43=$A105),Summary!AK22,AK105)</f>
        <v>0.01</v>
      </c>
      <c r="AL105" s="103">
        <f ca="1">IF(AND(Energy!$F$11=$A$3,Main!$B$43=$A105),Summary!AL22,AL105)</f>
        <v>-0.55851562201018567</v>
      </c>
      <c r="AM105" s="103">
        <f ca="1">IF(AND(Energy!$F$11=$A$3,Main!$B$43=$A105),Summary!AJ122,AM105)</f>
        <v>0</v>
      </c>
    </row>
    <row r="106" spans="1:39">
      <c r="A106">
        <f t="shared" ref="A106:A123" si="7">A105</f>
        <v>6</v>
      </c>
      <c r="D106" s="1">
        <f ca="1">IF(AND(Energy!$F$11=$A$3,Main!$B$43=A106),Main!C23,D106)</f>
        <v>4.3157894736842106</v>
      </c>
      <c r="E106" s="103">
        <f ca="1">IF(AND(Energy!$F$11=$A$3,Main!$B$43=A106),Main!B23,E106)</f>
        <v>0.31111111111111106</v>
      </c>
      <c r="F106" s="103">
        <f ca="1">IF(Main!$D$6=1,U106,IF(Main!$D$6=2,N106,IF(Main!$D$6=3,K106,IF(Main!$D$6=4,V106,J106))))</f>
        <v>519.87503308322664</v>
      </c>
      <c r="G106" s="103">
        <f ca="1">IF(AND(Energy!$F$11=$A$3,Main!$B$43=A106),Weight!H23,G106)</f>
        <v>15</v>
      </c>
      <c r="H106" s="103">
        <f ca="1">IF(AND(Energy!$F$11=$A$3,Main!$B$43=A106),Weight!U23,H106)</f>
        <v>15.067515497425951</v>
      </c>
      <c r="I106" s="103">
        <f ca="1">IF(AND(Energy!$F$11=$A$3,Main!$B$43=A106),Weight!V23,I106)</f>
        <v>41.785586811008521</v>
      </c>
      <c r="J106" s="103">
        <f ca="1">IF(AND(Energy!$F$11=$A$3,Main!$B$43=A106),Weight!I23,J106)</f>
        <v>21.780423038582569</v>
      </c>
      <c r="K106" s="103">
        <f ca="1">IF(AND(Energy!$F$11=$A$3,Main!$B$43=A106),Weight!W23,K106)</f>
        <v>56.785587185308401</v>
      </c>
      <c r="L106" s="103">
        <f ca="1">IF(AND(Energy!$F$11=$A$3,Main!$B$43=A106),'Aerodynamics-Cruise'!BI23,L106)</f>
        <v>56.785586425537822</v>
      </c>
      <c r="M106" s="103">
        <f ca="1">IF(AND(Energy!$F$11=$A$3,Main!$B$43=A106),'Aerodynamics-Cruise'!BJ23,M106)</f>
        <v>2.8806437497679585</v>
      </c>
      <c r="N106" s="103">
        <f ca="1">IF(AND(Energy!$F$11=$A$3,Main!$B$43=A106),'Aerodynamics-Cruise'!BK23,N106)</f>
        <v>19.712811218017507</v>
      </c>
      <c r="O106" s="103">
        <f t="shared" ca="1" si="5"/>
        <v>148.54827754488963</v>
      </c>
      <c r="P106" s="103">
        <f ca="1">IF(AND(Energy!$F$11=$A$3,Main!$B$43=A106),'Aerodynamics-Cruise'!H23,P106)</f>
        <v>8.8199263905930518</v>
      </c>
      <c r="Q106" s="103">
        <f ca="1">IF(AND(Energy!$F$11=$A$3,Main!$B$43=A106),'Aerodynamics-Cruise'!I23,Q106)</f>
        <v>7.4326594031551121</v>
      </c>
      <c r="R106" s="103">
        <f ca="1">IF(AND(Energy!$F$11=$A$3,Main!$B$43=$A106),Summary!R23,R106)</f>
        <v>4.3967941444941818</v>
      </c>
      <c r="S106" s="103">
        <f ca="1">IF(AND(Energy!$F$11=$A$3,Main!$B$43=A106),'Aerodynamics-Cruise'!W23,S106)</f>
        <v>1</v>
      </c>
      <c r="T106" s="103">
        <f ca="1">IF(AND(Energy!$F$11=$A$3,Main!$B$43=A106),'Aerodynamics-Cruise'!BL23,T106)</f>
        <v>25.407065830475343</v>
      </c>
      <c r="U106" s="103">
        <f ca="1">IF(AND(Energy!$F$11=$A$3,Main!$B$43=A106),'Propulsion-Cruise'!M23,U106)</f>
        <v>54.854366256259965</v>
      </c>
      <c r="V106" s="103">
        <f ca="1">IF(AND(Energy!$F$11=$A$3,Main!$B$43=A106),Endurance!AP23,V106)</f>
        <v>519.87503308322664</v>
      </c>
      <c r="W106" s="103">
        <f ca="1">IF(AND(Energy!$F$11=$A$3,Main!$B$43=$A106),Summary!W23,W106)</f>
        <v>1.342690058479532</v>
      </c>
      <c r="X106" s="13">
        <f ca="1">IF(AND(Energy!$F$11=$A$3,Main!$B$43=A106),Energy!D23,X106)</f>
        <v>938.66324170664018</v>
      </c>
      <c r="Y106" s="102">
        <f ca="1">IF(AND(Energy!$F$11=$A$3,Main!$B$43=A106),'Aerodynamics-Cruise'!V23,Y106)</f>
        <v>174030.65705094161</v>
      </c>
      <c r="Z106" s="102">
        <f ca="1">IF(AND(Energy!$F$11=$A$3,Main!$B$43=$A106),Summary!Z23,Z106)</f>
        <v>129949.63807036671</v>
      </c>
      <c r="AA106" s="102">
        <f ca="1">IF(AND(Energy!$F$11=$A$3,Main!$B$43=$A106),Summary!AA23,AA106)</f>
        <v>129949.63807036671</v>
      </c>
      <c r="AB106" s="103">
        <f ca="1">IF(AND(Energy!$F$11=$A$3,Main!$B$43=$A106),Summary!AB23,AB106)</f>
        <v>4.3967941444941818</v>
      </c>
      <c r="AC106" s="103">
        <f ca="1">IF(AND(Energy!$F$11=$A$3,Main!$B$43=$A106),Summary!AC23,AC106)</f>
        <v>2.489456659360441</v>
      </c>
      <c r="AD106" s="103">
        <f ca="1">IF(AND(Energy!$F$11=$A$3,Main!$B$43=$A106),Summary!AD23,AD106)</f>
        <v>0.42951460277496856</v>
      </c>
      <c r="AE106" s="103">
        <f ca="1">IF(AND(Energy!$F$11=$A$3,Main!$B$43=$A106),Summary!AE23,AE106)</f>
        <v>1.342690058479532</v>
      </c>
      <c r="AF106" s="103">
        <f ca="1">IF(AND(Energy!$F$11=$A$3,Main!$B$43=$A106),Summary!AF23,AF106)</f>
        <v>13.872180451127823</v>
      </c>
      <c r="AG106" s="103">
        <f ca="1">IF(AND(Energy!$F$11=$A$3,Main!$B$43=$A106),Summary!AG23,AG106)</f>
        <v>11.331160732116079</v>
      </c>
      <c r="AH106" s="103">
        <f ca="1">IF(AND(Energy!$F$11=$A$3,Main!$B$43=$A106),Summary!AH23,AH106)</f>
        <v>47</v>
      </c>
      <c r="AI106" s="103">
        <f ca="1">IF(AND(Energy!$F$11=$A$3,Main!$B$43=$A106),Summary!AI23,AI106)</f>
        <v>2.7599265183386601</v>
      </c>
      <c r="AJ106" s="103">
        <f ca="1">IF(AND(Energy!$F$11=$A$3,Main!$B$43=$A106),Summary!AJ23,AJ106)</f>
        <v>0.22489013661170493</v>
      </c>
      <c r="AK106" s="103">
        <f ca="1">IF(AND(Energy!$F$11=$A$3,Main!$B$43=$A106),Summary!AK23,AK106)</f>
        <v>0.01</v>
      </c>
      <c r="AL106" s="103">
        <f ca="1">IF(AND(Energy!$F$11=$A$3,Main!$B$43=$A106),Summary!AL23,AL106)</f>
        <v>-0.55582587608500389</v>
      </c>
      <c r="AM106" s="103">
        <f ca="1">IF(AND(Energy!$F$11=$A$3,Main!$B$43=$A106),Summary!AJ123,AM106)</f>
        <v>0</v>
      </c>
    </row>
    <row r="107" spans="1:39">
      <c r="A107">
        <f t="shared" si="7"/>
        <v>6</v>
      </c>
      <c r="D107" s="1">
        <f ca="1">IF(AND(Energy!$F$11=$A$3,Main!$B$43=A107),Main!C24,D107)</f>
        <v>4.4736842105263159</v>
      </c>
      <c r="E107" s="103">
        <f ca="1">IF(AND(Energy!$F$11=$A$3,Main!$B$43=A107),Main!B24,E107)</f>
        <v>0.31111111111111106</v>
      </c>
      <c r="F107" s="103">
        <f ca="1">IF(Main!$D$6=1,U107,IF(Main!$D$6=2,N107,IF(Main!$D$6=3,K107,IF(Main!$D$6=4,V107,J107))))</f>
        <v>512.72585341341085</v>
      </c>
      <c r="G107" s="103">
        <f ca="1">IF(AND(Energy!$F$11=$A$3,Main!$B$43=A107),Weight!H24,G107)</f>
        <v>15</v>
      </c>
      <c r="H107" s="103">
        <f ca="1">IF(AND(Energy!$F$11=$A$3,Main!$B$43=A107),Weight!U24,H107)</f>
        <v>15.559338205143717</v>
      </c>
      <c r="I107" s="103">
        <f ca="1">IF(AND(Energy!$F$11=$A$3,Main!$B$43=A107),Weight!V24,I107)</f>
        <v>41.977891080929261</v>
      </c>
      <c r="J107" s="103">
        <f ca="1">IF(AND(Energy!$F$11=$A$3,Main!$B$43=A107),Weight!I24,J107)</f>
        <v>21.480904600785543</v>
      </c>
      <c r="K107" s="103">
        <f ca="1">IF(AND(Energy!$F$11=$A$3,Main!$B$43=A107),Weight!W24,K107)</f>
        <v>56.977891455030118</v>
      </c>
      <c r="L107" s="103">
        <f ca="1">IF(AND(Energy!$F$11=$A$3,Main!$B$43=A107),'Aerodynamics-Cruise'!BI24,L107)</f>
        <v>56.977890694906868</v>
      </c>
      <c r="M107" s="103">
        <f ca="1">IF(AND(Energy!$F$11=$A$3,Main!$B$43=A107),'Aerodynamics-Cruise'!BJ24,M107)</f>
        <v>2.8626033094340588</v>
      </c>
      <c r="N107" s="103">
        <f ca="1">IF(AND(Energy!$F$11=$A$3,Main!$B$43=A107),'Aerodynamics-Cruise'!BK24,N107)</f>
        <v>19.904221624815868</v>
      </c>
      <c r="O107" s="103">
        <f t="shared" ca="1" si="5"/>
        <v>150.24443075466633</v>
      </c>
      <c r="P107" s="103">
        <f ca="1">IF(AND(Energy!$F$11=$A$3,Main!$B$43=A107),'Aerodynamics-Cruise'!H24,P107)</f>
        <v>8.6774576366318215</v>
      </c>
      <c r="Q107" s="103">
        <f ca="1">IF(AND(Energy!$F$11=$A$3,Main!$B$43=A107),'Aerodynamics-Cruise'!I24,Q107)</f>
        <v>7.317503768102263</v>
      </c>
      <c r="R107" s="103">
        <f ca="1">IF(AND(Energy!$F$11=$A$3,Main!$B$43=$A107),Summary!R24,R107)</f>
        <v>4.2717632476726504</v>
      </c>
      <c r="S107" s="103">
        <f ca="1">IF(AND(Energy!$F$11=$A$3,Main!$B$43=A107),'Aerodynamics-Cruise'!W24,S107)</f>
        <v>1</v>
      </c>
      <c r="T107" s="103">
        <f ca="1">IF(AND(Energy!$F$11=$A$3,Main!$B$43=A107),'Aerodynamics-Cruise'!BL24,T107)</f>
        <v>24.840118948096098</v>
      </c>
      <c r="U107" s="103">
        <f ca="1">IF(AND(Energy!$F$11=$A$3,Main!$B$43=A107),'Propulsion-Cruise'!M24,U107)</f>
        <v>53.916953787249199</v>
      </c>
      <c r="V107" s="103">
        <f ca="1">IF(AND(Energy!$F$11=$A$3,Main!$B$43=A107),Endurance!AP24,V107)</f>
        <v>512.72585341341085</v>
      </c>
      <c r="W107" s="103">
        <f ca="1">IF(AND(Energy!$F$11=$A$3,Main!$B$43=$A107),Summary!W24,W107)</f>
        <v>1.3918128654970758</v>
      </c>
      <c r="X107" s="13">
        <f ca="1">IF(AND(Energy!$F$11=$A$3,Main!$B$43=A107),Energy!D24,X107)</f>
        <v>925.75500081621487</v>
      </c>
      <c r="Y107" s="102">
        <f ca="1">IF(AND(Energy!$F$11=$A$3,Main!$B$43=A107),'Aerodynamics-Cruise'!V24,Y107)</f>
        <v>171219.53031778138</v>
      </c>
      <c r="Z107" s="102">
        <f ca="1">IF(AND(Energy!$F$11=$A$3,Main!$B$43=$A107),Summary!Z24,Z107)</f>
        <v>127932.95655480734</v>
      </c>
      <c r="AA107" s="102">
        <f ca="1">IF(AND(Energy!$F$11=$A$3,Main!$B$43=$A107),Summary!AA24,AA107)</f>
        <v>127932.95655480734</v>
      </c>
      <c r="AB107" s="103">
        <f ca="1">IF(AND(Energy!$F$11=$A$3,Main!$B$43=$A107),Summary!AB24,AB107)</f>
        <v>4.2717632476726504</v>
      </c>
      <c r="AC107" s="103">
        <f ca="1">IF(AND(Energy!$F$11=$A$3,Main!$B$43=$A107),Summary!AC24,AC107)</f>
        <v>2.4532914209235197</v>
      </c>
      <c r="AD107" s="103">
        <f ca="1">IF(AND(Energy!$F$11=$A$3,Main!$B$43=$A107),Summary!AD24,AD107)</f>
        <v>0.42529172594272291</v>
      </c>
      <c r="AE107" s="103">
        <f ca="1">IF(AND(Energy!$F$11=$A$3,Main!$B$43=$A107),Summary!AE24,AE107)</f>
        <v>1.3918128654970758</v>
      </c>
      <c r="AF107" s="103">
        <f ca="1">IF(AND(Energy!$F$11=$A$3,Main!$B$43=$A107),Summary!AF24,AF107)</f>
        <v>14.379699248120302</v>
      </c>
      <c r="AG107" s="103">
        <f ca="1">IF(AND(Energy!$F$11=$A$3,Main!$B$43=$A107),Summary!AG24,AG107)</f>
        <v>11.22857492104581</v>
      </c>
      <c r="AH107" s="103">
        <f ca="1">IF(AND(Energy!$F$11=$A$3,Main!$B$43=$A107),Summary!AH24,AH107)</f>
        <v>47</v>
      </c>
      <c r="AI107" s="103">
        <f ca="1">IF(AND(Energy!$F$11=$A$3,Main!$B$43=$A107),Summary!AI24,AI107)</f>
        <v>2.7562281050505781</v>
      </c>
      <c r="AJ107" s="103">
        <f ca="1">IF(AND(Energy!$F$11=$A$3,Main!$B$43=$A107),Summary!AJ24,AJ107)</f>
        <v>0.22588640865733525</v>
      </c>
      <c r="AK107" s="103">
        <f ca="1">IF(AND(Energy!$F$11=$A$3,Main!$B$43=$A107),Summary!AK24,AK107)</f>
        <v>0.01</v>
      </c>
      <c r="AL107" s="103">
        <f ca="1">IF(AND(Energy!$F$11=$A$3,Main!$B$43=$A107),Summary!AL24,AL107)</f>
        <v>-0.55337436974813914</v>
      </c>
      <c r="AM107" s="103">
        <f ca="1">IF(AND(Energy!$F$11=$A$3,Main!$B$43=$A107),Summary!AJ124,AM107)</f>
        <v>0</v>
      </c>
    </row>
    <row r="108" spans="1:39">
      <c r="A108">
        <f t="shared" si="7"/>
        <v>6</v>
      </c>
      <c r="D108" s="1">
        <f ca="1">IF(AND(Energy!$F$11=$A$3,Main!$B$43=A108),Main!C25,D108)</f>
        <v>4.6315789473684212</v>
      </c>
      <c r="E108" s="103">
        <f ca="1">IF(AND(Energy!$F$11=$A$3,Main!$B$43=A108),Main!B25,E108)</f>
        <v>0.31111111111111106</v>
      </c>
      <c r="F108" s="103">
        <f ca="1">IF(Main!$D$6=1,U108,IF(Main!$D$6=2,N108,IF(Main!$D$6=3,K108,IF(Main!$D$6=4,V108,J108))))</f>
        <v>507.18970558955698</v>
      </c>
      <c r="G108" s="103">
        <f ca="1">IF(AND(Energy!$F$11=$A$3,Main!$B$43=A108),Weight!H25,G108)</f>
        <v>15</v>
      </c>
      <c r="H108" s="103">
        <f ca="1">IF(AND(Energy!$F$11=$A$3,Main!$B$43=A108),Weight!U25,H108)</f>
        <v>16.07101289666555</v>
      </c>
      <c r="I108" s="103">
        <f ca="1">IF(AND(Energy!$F$11=$A$3,Main!$B$43=A108),Weight!V25,I108)</f>
        <v>42.257626101013827</v>
      </c>
      <c r="J108" s="103">
        <f ca="1">IF(AND(Energy!$F$11=$A$3,Main!$B$43=A108),Weight!I25,J108)</f>
        <v>21.248964929348276</v>
      </c>
      <c r="K108" s="103">
        <f ca="1">IF(AND(Energy!$F$11=$A$3,Main!$B$43=A108),Weight!W25,K108)</f>
        <v>57.257626478872787</v>
      </c>
      <c r="L108" s="103">
        <f ca="1">IF(AND(Energy!$F$11=$A$3,Main!$B$43=A108),'Aerodynamics-Cruise'!BI25,L108)</f>
        <v>57.257625710483438</v>
      </c>
      <c r="M108" s="103">
        <f ca="1">IF(AND(Energy!$F$11=$A$3,Main!$B$43=A108),'Aerodynamics-Cruise'!BJ25,M108)</f>
        <v>2.8506190263071027</v>
      </c>
      <c r="N108" s="103">
        <f ca="1">IF(AND(Energy!$F$11=$A$3,Main!$B$43=A108),'Aerodynamics-Cruise'!BK25,N108)</f>
        <v>20.086032255477889</v>
      </c>
      <c r="O108" s="103">
        <f t="shared" ca="1" si="5"/>
        <v>151.9885330761567</v>
      </c>
      <c r="P108" s="103">
        <f ca="1">IF(AND(Energy!$F$11=$A$3,Main!$B$43=A108),'Aerodynamics-Cruise'!H25,P108)</f>
        <v>8.5491014589966188</v>
      </c>
      <c r="Q108" s="103">
        <f ca="1">IF(AND(Energy!$F$11=$A$3,Main!$B$43=A108),'Aerodynamics-Cruise'!I25,Q108)</f>
        <v>7.213687453402569</v>
      </c>
      <c r="R108" s="103">
        <f ca="1">IF(AND(Energy!$F$11=$A$3,Main!$B$43=$A108),Summary!R25,R108)</f>
        <v>4.1682519069643309</v>
      </c>
      <c r="S108" s="103">
        <f ca="1">IF(AND(Energy!$F$11=$A$3,Main!$B$43=A108),'Aerodynamics-Cruise'!W25,S108)</f>
        <v>1</v>
      </c>
      <c r="T108" s="103">
        <f ca="1">IF(AND(Energy!$F$11=$A$3,Main!$B$43=A108),'Aerodynamics-Cruise'!BL25,T108)</f>
        <v>24.370231276845573</v>
      </c>
      <c r="U108" s="103">
        <f ca="1">IF(AND(Energy!$F$11=$A$3,Main!$B$43=A108),'Propulsion-Cruise'!M25,U108)</f>
        <v>53.158858577573362</v>
      </c>
      <c r="V108" s="103">
        <f ca="1">IF(AND(Energy!$F$11=$A$3,Main!$B$43=A108),Endurance!AP25,V108)</f>
        <v>507.18970558955698</v>
      </c>
      <c r="W108" s="103">
        <f ca="1">IF(AND(Energy!$F$11=$A$3,Main!$B$43=$A108),Summary!W25,W108)</f>
        <v>1.4409356725146196</v>
      </c>
      <c r="X108" s="13">
        <f ca="1">IF(AND(Energy!$F$11=$A$3,Main!$B$43=A108),Energy!D25,X108)</f>
        <v>915.75917839042188</v>
      </c>
      <c r="Y108" s="102">
        <f ca="1">IF(AND(Energy!$F$11=$A$3,Main!$B$43=A108),'Aerodynamics-Cruise'!V25,Y108)</f>
        <v>168686.86633158004</v>
      </c>
      <c r="Z108" s="102">
        <f ca="1">IF(AND(Energy!$F$11=$A$3,Main!$B$43=$A108),Summary!Z25,Z108)</f>
        <v>126114.90299836927</v>
      </c>
      <c r="AA108" s="102">
        <f ca="1">IF(AND(Energy!$F$11=$A$3,Main!$B$43=$A108),Summary!AA25,AA108)</f>
        <v>126114.90299836927</v>
      </c>
      <c r="AB108" s="103">
        <f ca="1">IF(AND(Energy!$F$11=$A$3,Main!$B$43=$A108),Summary!AB25,AB108)</f>
        <v>4.1682519069643309</v>
      </c>
      <c r="AC108" s="103">
        <f ca="1">IF(AND(Energy!$F$11=$A$3,Main!$B$43=$A108),Summary!AC25,AC108)</f>
        <v>2.4154397990845218</v>
      </c>
      <c r="AD108" s="103">
        <f ca="1">IF(AND(Energy!$F$11=$A$3,Main!$B$43=$A108),Summary!AD25,AD108)</f>
        <v>0.42167380106076874</v>
      </c>
      <c r="AE108" s="103">
        <f ca="1">IF(AND(Energy!$F$11=$A$3,Main!$B$43=$A108),Summary!AE25,AE108)</f>
        <v>1.4409356725146196</v>
      </c>
      <c r="AF108" s="103">
        <f ca="1">IF(AND(Energy!$F$11=$A$3,Main!$B$43=$A108),Summary!AF25,AF108)</f>
        <v>14.887218045112785</v>
      </c>
      <c r="AG108" s="103">
        <f ca="1">IF(AND(Energy!$F$11=$A$3,Main!$B$43=$A108),Summary!AG25,AG108)</f>
        <v>11.146939116230733</v>
      </c>
      <c r="AH108" s="103">
        <f ca="1">IF(AND(Energy!$F$11=$A$3,Main!$B$43=$A108),Summary!AH25,AH108)</f>
        <v>47</v>
      </c>
      <c r="AI108" s="103">
        <f ca="1">IF(AND(Energy!$F$11=$A$3,Main!$B$43=$A108),Summary!AI25,AI108)</f>
        <v>2.7528488159383224</v>
      </c>
      <c r="AJ108" s="103">
        <f ca="1">IF(AND(Energy!$F$11=$A$3,Main!$B$43=$A108),Summary!AJ25,AJ108)</f>
        <v>0.22680477681760533</v>
      </c>
      <c r="AK108" s="103">
        <f ca="1">IF(AND(Energy!$F$11=$A$3,Main!$B$43=$A108),Summary!AK25,AK108)</f>
        <v>0.01</v>
      </c>
      <c r="AL108" s="103">
        <f ca="1">IF(AND(Energy!$F$11=$A$3,Main!$B$43=$A108),Summary!AL25,AL108)</f>
        <v>-0.55113362966670443</v>
      </c>
      <c r="AM108" s="103">
        <f ca="1">IF(AND(Energy!$F$11=$A$3,Main!$B$43=$A108),Summary!AJ125,AM108)</f>
        <v>0</v>
      </c>
    </row>
    <row r="109" spans="1:39">
      <c r="A109">
        <f t="shared" si="7"/>
        <v>6</v>
      </c>
      <c r="D109" s="1">
        <f ca="1">IF(AND(Energy!$F$11=$A$3,Main!$B$43=A109),Main!C26,D109)</f>
        <v>4.7894736842105265</v>
      </c>
      <c r="E109" s="103">
        <f ca="1">IF(AND(Energy!$F$11=$A$3,Main!$B$43=A109),Main!B26,E109)</f>
        <v>0.31111111111111106</v>
      </c>
      <c r="F109" s="103">
        <f ca="1">IF(Main!$D$6=1,U109,IF(Main!$D$6=2,N109,IF(Main!$D$6=3,K109,IF(Main!$D$6=4,V109,J109))))</f>
        <v>503.02744725974253</v>
      </c>
      <c r="G109" s="103">
        <f ca="1">IF(AND(Energy!$F$11=$A$3,Main!$B$43=A109),Weight!H26,G109)</f>
        <v>15</v>
      </c>
      <c r="H109" s="103">
        <f ca="1">IF(AND(Energy!$F$11=$A$3,Main!$B$43=A109),Weight!U26,H109)</f>
        <v>16.601882946701203</v>
      </c>
      <c r="I109" s="103">
        <f ca="1">IF(AND(Energy!$F$11=$A$3,Main!$B$43=A109),Weight!V26,I109)</f>
        <v>42.61411625945933</v>
      </c>
      <c r="J109" s="103">
        <f ca="1">IF(AND(Energy!$F$11=$A$3,Main!$B$43=A109),Weight!I26,J109)</f>
        <v>21.074585037758126</v>
      </c>
      <c r="K109" s="103">
        <f ca="1">IF(AND(Energy!$F$11=$A$3,Main!$B$43=A109),Weight!W26,K109)</f>
        <v>57.614116644161761</v>
      </c>
      <c r="L109" s="103">
        <f ca="1">IF(AND(Energy!$F$11=$A$3,Main!$B$43=A109),'Aerodynamics-Cruise'!BI26,L109)</f>
        <v>57.614115861347813</v>
      </c>
      <c r="M109" s="103">
        <f ca="1">IF(AND(Energy!$F$11=$A$3,Main!$B$43=A109),'Aerodynamics-Cruise'!BJ26,M109)</f>
        <v>2.8438484361708083</v>
      </c>
      <c r="N109" s="103">
        <f ca="1">IF(AND(Energy!$F$11=$A$3,Main!$B$43=A109),'Aerodynamics-Cruise'!BK26,N109)</f>
        <v>20.259207603526228</v>
      </c>
      <c r="O109" s="103">
        <f t="shared" ca="1" si="5"/>
        <v>153.775414261641</v>
      </c>
      <c r="P109" s="103">
        <f ca="1">IF(AND(Energy!$F$11=$A$3,Main!$B$43=A109),'Aerodynamics-Cruise'!H26,P109)</f>
        <v>8.4330680899246548</v>
      </c>
      <c r="Q109" s="103">
        <f ca="1">IF(AND(Energy!$F$11=$A$3,Main!$B$43=A109),'Aerodynamics-Cruise'!I26,Q109)</f>
        <v>7.1197819480889768</v>
      </c>
      <c r="R109" s="103">
        <f ca="1">IF(AND(Energy!$F$11=$A$3,Main!$B$43=$A109),Summary!R26,R109)</f>
        <v>4.0827884356237512</v>
      </c>
      <c r="S109" s="103">
        <f ca="1">IF(AND(Energy!$F$11=$A$3,Main!$B$43=A109),'Aerodynamics-Cruise'!W26,S109)</f>
        <v>1</v>
      </c>
      <c r="T109" s="103">
        <f ca="1">IF(AND(Energy!$F$11=$A$3,Main!$B$43=A109),'Aerodynamics-Cruise'!BL26,T109)</f>
        <v>23.982367499654174</v>
      </c>
      <c r="U109" s="103">
        <f ca="1">IF(AND(Energy!$F$11=$A$3,Main!$B$43=A109),'Propulsion-Cruise'!M26,U109)</f>
        <v>52.553002899211208</v>
      </c>
      <c r="V109" s="103">
        <f ca="1">IF(AND(Energy!$F$11=$A$3,Main!$B$43=A109),Endurance!AP26,V109)</f>
        <v>503.02744725974253</v>
      </c>
      <c r="W109" s="103">
        <f ca="1">IF(AND(Energy!$F$11=$A$3,Main!$B$43=$A109),Summary!W26,W109)</f>
        <v>1.4900584795321636</v>
      </c>
      <c r="X109" s="13">
        <f ca="1">IF(AND(Energy!$F$11=$A$3,Main!$B$43=A109),Energy!D26,X109)</f>
        <v>908.24398965958721</v>
      </c>
      <c r="Y109" s="102">
        <f ca="1">IF(AND(Energy!$F$11=$A$3,Main!$B$43=A109),'Aerodynamics-Cruise'!V26,Y109)</f>
        <v>166397.35023301421</v>
      </c>
      <c r="Z109" s="102">
        <f ca="1">IF(AND(Energy!$F$11=$A$3,Main!$B$43=$A109),Summary!Z26,Z109)</f>
        <v>124470.44799372491</v>
      </c>
      <c r="AA109" s="102">
        <f ca="1">IF(AND(Energy!$F$11=$A$3,Main!$B$43=$A109),Summary!AA26,AA109)</f>
        <v>124470.44799372491</v>
      </c>
      <c r="AB109" s="103">
        <f ca="1">IF(AND(Energy!$F$11=$A$3,Main!$B$43=$A109),Summary!AB26,AB109)</f>
        <v>4.0827884356237512</v>
      </c>
      <c r="AC109" s="103">
        <f ca="1">IF(AND(Energy!$F$11=$A$3,Main!$B$43=$A109),Summary!AC26,AC109)</f>
        <v>2.376405385826275</v>
      </c>
      <c r="AD109" s="103">
        <f ca="1">IF(AND(Energy!$F$11=$A$3,Main!$B$43=$A109),Summary!AD26,AD109)</f>
        <v>0.41858220070834729</v>
      </c>
      <c r="AE109" s="103">
        <f ca="1">IF(AND(Energy!$F$11=$A$3,Main!$B$43=$A109),Summary!AE26,AE109)</f>
        <v>1.4900584795321636</v>
      </c>
      <c r="AF109" s="103">
        <f ca="1">IF(AND(Energy!$F$11=$A$3,Main!$B$43=$A109),Summary!AF26,AF109)</f>
        <v>15.394736842105267</v>
      </c>
      <c r="AG109" s="103">
        <f ca="1">IF(AND(Energy!$F$11=$A$3,Main!$B$43=$A109),Summary!AG26,AG109)</f>
        <v>11.083284126276141</v>
      </c>
      <c r="AH109" s="103">
        <f ca="1">IF(AND(Energy!$F$11=$A$3,Main!$B$43=$A109),Summary!AH26,AH109)</f>
        <v>47</v>
      </c>
      <c r="AI109" s="103">
        <f ca="1">IF(AND(Energy!$F$11=$A$3,Main!$B$43=$A109),Summary!AI26,AI109)</f>
        <v>2.7497542984706889</v>
      </c>
      <c r="AJ109" s="103">
        <f ca="1">IF(AND(Energy!$F$11=$A$3,Main!$B$43=$A109),Summary!AJ26,AJ109)</f>
        <v>0.22765277861247693</v>
      </c>
      <c r="AK109" s="103">
        <f ca="1">IF(AND(Energy!$F$11=$A$3,Main!$B$43=$A109),Summary!AK26,AK109)</f>
        <v>0.01</v>
      </c>
      <c r="AL109" s="103">
        <f ca="1">IF(AND(Energy!$F$11=$A$3,Main!$B$43=$A109),Summary!AL26,AL109)</f>
        <v>-0.54908062490773846</v>
      </c>
      <c r="AM109" s="103">
        <f ca="1">IF(AND(Energy!$F$11=$A$3,Main!$B$43=$A109),Summary!AJ126,AM109)</f>
        <v>0</v>
      </c>
    </row>
    <row r="110" spans="1:39">
      <c r="A110">
        <f t="shared" si="7"/>
        <v>6</v>
      </c>
      <c r="D110" s="1">
        <f ca="1">IF(AND(Energy!$F$11=$A$3,Main!$B$43=A110),Main!C27,D110)</f>
        <v>4.9473684210526319</v>
      </c>
      <c r="E110" s="103">
        <f ca="1">IF(AND(Energy!$F$11=$A$3,Main!$B$43=A110),Main!B27,E110)</f>
        <v>0.31111111111111106</v>
      </c>
      <c r="F110" s="103">
        <f ca="1">IF(Main!$D$6=1,U110,IF(Main!$D$6=2,N110,IF(Main!$D$6=3,K110,IF(Main!$D$6=4,V110,J110))))</f>
        <v>500.05014177606455</v>
      </c>
      <c r="G110" s="103">
        <f ca="1">IF(AND(Energy!$F$11=$A$3,Main!$B$43=A110),Weight!H27,G110)</f>
        <v>15</v>
      </c>
      <c r="H110" s="103">
        <f ca="1">IF(AND(Energy!$F$11=$A$3,Main!$B$43=A110),Weight!U27,H110)</f>
        <v>17.151470491881604</v>
      </c>
      <c r="I110" s="103">
        <f ca="1">IF(AND(Energy!$F$11=$A$3,Main!$B$43=A110),Weight!V27,I110)</f>
        <v>43.038968098935698</v>
      </c>
      <c r="J110" s="103">
        <f ca="1">IF(AND(Energy!$F$11=$A$3,Main!$B$43=A110),Weight!I27,J110)</f>
        <v>20.949849332054093</v>
      </c>
      <c r="K110" s="103">
        <f ca="1">IF(AND(Energy!$F$11=$A$3,Main!$B$43=A110),Weight!W27,K110)</f>
        <v>58.038968492947149</v>
      </c>
      <c r="L110" s="103">
        <f ca="1">IF(AND(Energy!$F$11=$A$3,Main!$B$43=A110),'Aerodynamics-Cruise'!BI27,L110)</f>
        <v>58.038967690798195</v>
      </c>
      <c r="M110" s="103">
        <f ca="1">IF(AND(Energy!$F$11=$A$3,Main!$B$43=A110),'Aerodynamics-Cruise'!BJ27,M110)</f>
        <v>2.8416155146844089</v>
      </c>
      <c r="N110" s="103">
        <f ca="1">IF(AND(Energy!$F$11=$A$3,Main!$B$43=A110),'Aerodynamics-Cruise'!BK27,N110)</f>
        <v>20.42463781284782</v>
      </c>
      <c r="O110" s="103">
        <f t="shared" ca="1" si="5"/>
        <v>155.60165203703795</v>
      </c>
      <c r="P110" s="103">
        <f ca="1">IF(AND(Energy!$F$11=$A$3,Main!$B$43=A110),'Aerodynamics-Cruise'!H27,P110)</f>
        <v>8.3278863009796087</v>
      </c>
      <c r="Q110" s="103">
        <f ca="1">IF(AND(Energy!$F$11=$A$3,Main!$B$43=A110),'Aerodynamics-Cruise'!I27,Q110)</f>
        <v>7.0346119875515551</v>
      </c>
      <c r="R110" s="103">
        <f ca="1">IF(AND(Energy!$F$11=$A$3,Main!$B$43=$A110),Summary!R27,R110)</f>
        <v>4.0126749884920629</v>
      </c>
      <c r="S110" s="103">
        <f ca="1">IF(AND(Energy!$F$11=$A$3,Main!$B$43=A110),'Aerodynamics-Cruise'!W27,S110)</f>
        <v>1</v>
      </c>
      <c r="T110" s="103">
        <f ca="1">IF(AND(Energy!$F$11=$A$3,Main!$B$43=A110),'Aerodynamics-Cruise'!BL27,T110)</f>
        <v>23.664650917391409</v>
      </c>
      <c r="U110" s="103">
        <f ca="1">IF(AND(Energy!$F$11=$A$3,Main!$B$43=A110),'Propulsion-Cruise'!M27,U110)</f>
        <v>52.077977943725507</v>
      </c>
      <c r="V110" s="103">
        <f ca="1">IF(AND(Energy!$F$11=$A$3,Main!$B$43=A110),Endurance!AP27,V110)</f>
        <v>500.05014177606455</v>
      </c>
      <c r="W110" s="103">
        <f ca="1">IF(AND(Energy!$F$11=$A$3,Main!$B$43=$A110),Summary!W27,W110)</f>
        <v>1.5391812865497074</v>
      </c>
      <c r="X110" s="13">
        <f ca="1">IF(AND(Energy!$F$11=$A$3,Main!$B$43=A110),Energy!D27,X110)</f>
        <v>902.8682990323872</v>
      </c>
      <c r="Y110" s="102">
        <f ca="1">IF(AND(Energy!$F$11=$A$3,Main!$B$43=A110),'Aerodynamics-Cruise'!V27,Y110)</f>
        <v>164321.95243157417</v>
      </c>
      <c r="Z110" s="102">
        <f ca="1">IF(AND(Energy!$F$11=$A$3,Main!$B$43=$A110),Summary!Z27,Z110)</f>
        <v>122979.00002850448</v>
      </c>
      <c r="AA110" s="102">
        <f ca="1">IF(AND(Energy!$F$11=$A$3,Main!$B$43=$A110),Summary!AA27,AA110)</f>
        <v>122979.00002850448</v>
      </c>
      <c r="AB110" s="103">
        <f ca="1">IF(AND(Energy!$F$11=$A$3,Main!$B$43=$A110),Summary!AB27,AB110)</f>
        <v>4.0126749884920629</v>
      </c>
      <c r="AC110" s="103">
        <f ca="1">IF(AND(Energy!$F$11=$A$3,Main!$B$43=$A110),Summary!AC27,AC110)</f>
        <v>2.3365800255781313</v>
      </c>
      <c r="AD110" s="103">
        <f ca="1">IF(AND(Energy!$F$11=$A$3,Main!$B$43=$A110),Summary!AD27,AD110)</f>
        <v>0.41595263501306912</v>
      </c>
      <c r="AE110" s="103">
        <f ca="1">IF(AND(Energy!$F$11=$A$3,Main!$B$43=$A110),Summary!AE27,AE110)</f>
        <v>1.5391812865497074</v>
      </c>
      <c r="AF110" s="103">
        <f ca="1">IF(AND(Energy!$F$11=$A$3,Main!$B$43=$A110),Summary!AF27,AF110)</f>
        <v>15.902255639097749</v>
      </c>
      <c r="AG110" s="103">
        <f ca="1">IF(AND(Energy!$F$11=$A$3,Main!$B$43=$A110),Summary!AG27,AG110)</f>
        <v>11.035225979301954</v>
      </c>
      <c r="AH110" s="103">
        <f ca="1">IF(AND(Energy!$F$11=$A$3,Main!$B$43=$A110),Summary!AH27,AH110)</f>
        <v>47</v>
      </c>
      <c r="AI110" s="103">
        <f ca="1">IF(AND(Energy!$F$11=$A$3,Main!$B$43=$A110),Summary!AI27,AI110)</f>
        <v>2.7469157569244782</v>
      </c>
      <c r="AJ110" s="103">
        <f ca="1">IF(AND(Energy!$F$11=$A$3,Main!$B$43=$A110),Summary!AJ27,AJ110)</f>
        <v>0.22843689219835797</v>
      </c>
      <c r="AK110" s="103">
        <f ca="1">IF(AND(Energy!$F$11=$A$3,Main!$B$43=$A110),Summary!AK27,AK110)</f>
        <v>0.01</v>
      </c>
      <c r="AL110" s="103">
        <f ca="1">IF(AND(Energy!$F$11=$A$3,Main!$B$43=$A110),Summary!AL27,AL110)</f>
        <v>-0.5471958499375047</v>
      </c>
      <c r="AM110" s="103">
        <f ca="1">IF(AND(Energy!$F$11=$A$3,Main!$B$43=$A110),Summary!AJ127,AM110)</f>
        <v>0</v>
      </c>
    </row>
    <row r="111" spans="1:39">
      <c r="A111">
        <f t="shared" si="7"/>
        <v>6</v>
      </c>
      <c r="D111" s="1">
        <f ca="1">IF(AND(Energy!$F$11=$A$3,Main!$B$43=A111),Main!C28,D111)</f>
        <v>5.1052631578947372</v>
      </c>
      <c r="E111" s="103">
        <f ca="1">IF(AND(Energy!$F$11=$A$3,Main!$B$43=A111),Main!B28,E111)</f>
        <v>0.31111111111111106</v>
      </c>
      <c r="F111" s="103">
        <f ca="1">IF(Main!$D$6=1,U111,IF(Main!$D$6=2,N111,IF(Main!$D$6=3,K111,IF(Main!$D$6=4,V111,J111))))</f>
        <v>498.10654466037738</v>
      </c>
      <c r="G111" s="103">
        <f ca="1">IF(AND(Energy!$F$11=$A$3,Main!$B$43=A111),Weight!H28,G111)</f>
        <v>15</v>
      </c>
      <c r="H111" s="103">
        <f ca="1">IF(AND(Energy!$F$11=$A$3,Main!$B$43=A111),Weight!U28,H111)</f>
        <v>17.719434011287966</v>
      </c>
      <c r="I111" s="103">
        <f ca="1">IF(AND(Energy!$F$11=$A$3,Main!$B$43=A111),Weight!V28,I111)</f>
        <v>43.52550363651018</v>
      </c>
      <c r="J111" s="103">
        <f ca="1">IF(AND(Energy!$F$11=$A$3,Main!$B$43=A111),Weight!I28,J111)</f>
        <v>20.868421350222217</v>
      </c>
      <c r="K111" s="103">
        <f ca="1">IF(AND(Energy!$F$11=$A$3,Main!$B$43=A111),Weight!W28,K111)</f>
        <v>58.525504041842972</v>
      </c>
      <c r="L111" s="103">
        <f ca="1">IF(AND(Energy!$F$11=$A$3,Main!$B$43=A111),'Aerodynamics-Cruise'!BI28,L111)</f>
        <v>58.525503216361408</v>
      </c>
      <c r="M111" s="103">
        <f ca="1">IF(AND(Energy!$F$11=$A$3,Main!$B$43=A111),'Aerodynamics-Cruise'!BJ28,M111)</f>
        <v>2.84337095587835</v>
      </c>
      <c r="N111" s="103">
        <f ca="1">IF(AND(Energy!$F$11=$A$3,Main!$B$43=A111),'Aerodynamics-Cruise'!BK28,N111)</f>
        <v>20.583140267141896</v>
      </c>
      <c r="O111" s="103">
        <f t="shared" ca="1" si="5"/>
        <v>157.4650632286411</v>
      </c>
      <c r="P111" s="103">
        <f ca="1">IF(AND(Energy!$F$11=$A$3,Main!$B$43=A111),'Aerodynamics-Cruise'!H28,P111)</f>
        <v>8.2323320541382099</v>
      </c>
      <c r="Q111" s="103">
        <f ca="1">IF(AND(Energy!$F$11=$A$3,Main!$B$43=A111),'Aerodynamics-Cruise'!I28,Q111)</f>
        <v>6.9571989601029101</v>
      </c>
      <c r="R111" s="103">
        <f ca="1">IF(AND(Energy!$F$11=$A$3,Main!$B$43=$A111),Summary!R28,R111)</f>
        <v>3.9557850388350784</v>
      </c>
      <c r="S111" s="103">
        <f ca="1">IF(AND(Energy!$F$11=$A$3,Main!$B$43=A111),'Aerodynamics-Cruise'!W28,S111)</f>
        <v>1</v>
      </c>
      <c r="T111" s="103">
        <f ca="1">IF(AND(Energy!$F$11=$A$3,Main!$B$43=A111),'Aerodynamics-Cruise'!BL28,T111)</f>
        <v>23.407573861882941</v>
      </c>
      <c r="U111" s="103">
        <f ca="1">IF(AND(Energy!$F$11=$A$3,Main!$B$43=A111),'Propulsion-Cruise'!M28,U111)</f>
        <v>51.716630569309324</v>
      </c>
      <c r="V111" s="103">
        <f ca="1">IF(AND(Energy!$F$11=$A$3,Main!$B$43=A111),Endurance!AP28,V111)</f>
        <v>498.10654466037738</v>
      </c>
      <c r="W111" s="103">
        <f ca="1">IF(AND(Energy!$F$11=$A$3,Main!$B$43=$A111),Summary!W28,W111)</f>
        <v>1.5883040935672512</v>
      </c>
      <c r="X111" s="13">
        <f ca="1">IF(AND(Energy!$F$11=$A$3,Main!$B$43=A111),Energy!D28,X111)</f>
        <v>899.35902621776211</v>
      </c>
      <c r="Y111" s="102">
        <f ca="1">IF(AND(Energy!$F$11=$A$3,Main!$B$43=A111),'Aerodynamics-Cruise'!V28,Y111)</f>
        <v>162436.52078221791</v>
      </c>
      <c r="Z111" s="102">
        <f ca="1">IF(AND(Energy!$F$11=$A$3,Main!$B$43=$A111),Summary!Z28,Z111)</f>
        <v>121623.41365161452</v>
      </c>
      <c r="AA111" s="102">
        <f ca="1">IF(AND(Energy!$F$11=$A$3,Main!$B$43=$A111),Summary!AA28,AA111)</f>
        <v>121623.41365161452</v>
      </c>
      <c r="AB111" s="103">
        <f ca="1">IF(AND(Energy!$F$11=$A$3,Main!$B$43=$A111),Summary!AB28,AB111)</f>
        <v>3.9557850388350784</v>
      </c>
      <c r="AC111" s="103">
        <f ca="1">IF(AND(Energy!$F$11=$A$3,Main!$B$43=$A111),Summary!AC28,AC111)</f>
        <v>2.2962707108136384</v>
      </c>
      <c r="AD111" s="103">
        <f ca="1">IF(AND(Energy!$F$11=$A$3,Main!$B$43=$A111),Summary!AD28,AD111)</f>
        <v>0.41373189561036749</v>
      </c>
      <c r="AE111" s="103">
        <f ca="1">IF(AND(Energy!$F$11=$A$3,Main!$B$43=$A111),Summary!AE28,AE111)</f>
        <v>1.5883040935672512</v>
      </c>
      <c r="AF111" s="103">
        <f ca="1">IF(AND(Energy!$F$11=$A$3,Main!$B$43=$A111),Summary!AF28,AF111)</f>
        <v>16.409774436090231</v>
      </c>
      <c r="AG111" s="103">
        <f ca="1">IF(AND(Energy!$F$11=$A$3,Main!$B$43=$A111),Summary!AG28,AG111)</f>
        <v>11.000826330612687</v>
      </c>
      <c r="AH111" s="103">
        <f ca="1">IF(AND(Energy!$F$11=$A$3,Main!$B$43=$A111),Summary!AH28,AH111)</f>
        <v>47</v>
      </c>
      <c r="AI111" s="103">
        <f ca="1">IF(AND(Energy!$F$11=$A$3,Main!$B$43=$A111),Summary!AI28,AI111)</f>
        <v>2.7443087722641826</v>
      </c>
      <c r="AJ111" s="103">
        <f ca="1">IF(AND(Energy!$F$11=$A$3,Main!$B$43=$A111),Summary!AJ28,AJ111)</f>
        <v>0.22916273253153141</v>
      </c>
      <c r="AK111" s="103">
        <f ca="1">IF(AND(Energy!$F$11=$A$3,Main!$B$43=$A111),Summary!AK28,AK111)</f>
        <v>0.01</v>
      </c>
      <c r="AL111" s="103">
        <f ca="1">IF(AND(Energy!$F$11=$A$3,Main!$B$43=$A111),Summary!AL28,AL111)</f>
        <v>-0.5454626366764731</v>
      </c>
      <c r="AM111" s="103">
        <f ca="1">IF(AND(Energy!$F$11=$A$3,Main!$B$43=$A111),Summary!AJ128,AM111)</f>
        <v>0</v>
      </c>
    </row>
    <row r="112" spans="1:39">
      <c r="A112">
        <f t="shared" si="7"/>
        <v>6</v>
      </c>
      <c r="D112" s="1">
        <f ca="1">IF(AND(Energy!$F$11=$A$3,Main!$B$43=A112),Main!C29,D112)</f>
        <v>5.2631578947368425</v>
      </c>
      <c r="E112" s="103">
        <f ca="1">IF(AND(Energy!$F$11=$A$3,Main!$B$43=A112),Main!B29,E112)</f>
        <v>0.31111111111111106</v>
      </c>
      <c r="F112" s="103">
        <f ca="1">IF(Main!$D$6=1,U112,IF(Main!$D$6=2,N112,IF(Main!$D$6=3,K112,IF(Main!$D$6=4,V112,J112))))</f>
        <v>497.07419283938145</v>
      </c>
      <c r="G112" s="103">
        <f ca="1">IF(AND(Energy!$F$11=$A$3,Main!$B$43=A112),Weight!H29,G112)</f>
        <v>15</v>
      </c>
      <c r="H112" s="103">
        <f ca="1">IF(AND(Energy!$F$11=$A$3,Main!$B$43=A112),Weight!U29,H112)</f>
        <v>18.30553781881671</v>
      </c>
      <c r="I112" s="103">
        <f ca="1">IF(AND(Energy!$F$11=$A$3,Main!$B$43=A112),Weight!V29,I112)</f>
        <v>44.068356535167148</v>
      </c>
      <c r="J112" s="103">
        <f ca="1">IF(AND(Energy!$F$11=$A$3,Main!$B$43=A112),Weight!I29,J112)</f>
        <v>20.825170441350437</v>
      </c>
      <c r="K112" s="103">
        <f ca="1">IF(AND(Energy!$F$11=$A$3,Main!$B$43=A112),Weight!W29,K112)</f>
        <v>59.06835695349487</v>
      </c>
      <c r="L112" s="103">
        <f ca="1">IF(AND(Energy!$F$11=$A$3,Main!$B$43=A112),'Aerodynamics-Cruise'!BI29,L112)</f>
        <v>59.068356101365175</v>
      </c>
      <c r="M112" s="103">
        <f ca="1">IF(AND(Energy!$F$11=$A$3,Main!$B$43=A112),'Aerodynamics-Cruise'!BJ29,M112)</f>
        <v>2.8486634980323045</v>
      </c>
      <c r="N112" s="103">
        <f ca="1">IF(AND(Energy!$F$11=$A$3,Main!$B$43=A112),'Aerodynamics-Cruise'!BK29,N112)</f>
        <v>20.73546283798218</v>
      </c>
      <c r="O112" s="103">
        <f t="shared" ca="1" si="5"/>
        <v>159.36435008134765</v>
      </c>
      <c r="P112" s="103">
        <f ca="1">IF(AND(Energy!$F$11=$A$3,Main!$B$43=A112),'Aerodynamics-Cruise'!H29,P112)</f>
        <v>8.1453761452767015</v>
      </c>
      <c r="Q112" s="103">
        <f ca="1">IF(AND(Energy!$F$11=$A$3,Main!$B$43=A112),'Aerodynamics-Cruise'!I29,Q112)</f>
        <v>6.8867193560136961</v>
      </c>
      <c r="R112" s="103">
        <f ca="1">IF(AND(Energy!$F$11=$A$3,Main!$B$43=$A112),Summary!R29,R112)</f>
        <v>3.9104216911394047</v>
      </c>
      <c r="S112" s="103">
        <f ca="1">IF(AND(Energy!$F$11=$A$3,Main!$B$43=A112),'Aerodynamics-Cruise'!W29,S112)</f>
        <v>1</v>
      </c>
      <c r="T112" s="103">
        <f ca="1">IF(AND(Energy!$F$11=$A$3,Main!$B$43=A112),'Aerodynamics-Cruise'!BL29,T112)</f>
        <v>23.203435702792817</v>
      </c>
      <c r="U112" s="103">
        <f ca="1">IF(AND(Energy!$F$11=$A$3,Main!$B$43=A112),'Propulsion-Cruise'!M29,U112)</f>
        <v>51.455056935692255</v>
      </c>
      <c r="V112" s="103">
        <f ca="1">IF(AND(Energy!$F$11=$A$3,Main!$B$43=A112),Endurance!AP29,V112)</f>
        <v>497.07419283938145</v>
      </c>
      <c r="W112" s="103">
        <f ca="1">IF(AND(Energy!$F$11=$A$3,Main!$B$43=$A112),Summary!W29,W112)</f>
        <v>1.6374269005847952</v>
      </c>
      <c r="X112" s="13">
        <f ca="1">IF(AND(Energy!$F$11=$A$3,Main!$B$43=A112),Energy!D29,X112)</f>
        <v>897.4950573458043</v>
      </c>
      <c r="Y112" s="102">
        <f ca="1">IF(AND(Energy!$F$11=$A$3,Main!$B$43=A112),'Aerodynamics-Cruise'!V29,Y112)</f>
        <v>160720.74751116542</v>
      </c>
      <c r="Z112" s="102">
        <f ca="1">IF(AND(Energy!$F$11=$A$3,Main!$B$43=$A112),Summary!Z29,Z112)</f>
        <v>120389.26128285377</v>
      </c>
      <c r="AA112" s="102">
        <f ca="1">IF(AND(Energy!$F$11=$A$3,Main!$B$43=$A112),Summary!AA29,AA112)</f>
        <v>120389.26128285377</v>
      </c>
      <c r="AB112" s="103">
        <f ca="1">IF(AND(Energy!$F$11=$A$3,Main!$B$43=$A112),Summary!AB29,AB112)</f>
        <v>3.9104216911394047</v>
      </c>
      <c r="AC112" s="103">
        <f ca="1">IF(AND(Energy!$F$11=$A$3,Main!$B$43=$A112),Summary!AC29,AC112)</f>
        <v>2.255719237514064</v>
      </c>
      <c r="AD112" s="103">
        <f ca="1">IF(AND(Energy!$F$11=$A$3,Main!$B$43=$A112),Summary!AD29,AD112)</f>
        <v>0.41187547433543542</v>
      </c>
      <c r="AE112" s="103">
        <f ca="1">IF(AND(Energy!$F$11=$A$3,Main!$B$43=$A112),Summary!AE29,AE112)</f>
        <v>1.6374269005847952</v>
      </c>
      <c r="AF112" s="103">
        <f ca="1">IF(AND(Energy!$F$11=$A$3,Main!$B$43=$A112),Summary!AF29,AF112)</f>
        <v>16.917293233082709</v>
      </c>
      <c r="AG112" s="103">
        <f ca="1">IF(AND(Energy!$F$11=$A$3,Main!$B$43=$A112),Summary!AG29,AG112)</f>
        <v>10.978491663662467</v>
      </c>
      <c r="AH112" s="103">
        <f ca="1">IF(AND(Energy!$F$11=$A$3,Main!$B$43=$A112),Summary!AH29,AH112)</f>
        <v>47</v>
      </c>
      <c r="AI112" s="103">
        <f ca="1">IF(AND(Energy!$F$11=$A$3,Main!$B$43=$A112),Summary!AI29,AI112)</f>
        <v>2.7419124255796459</v>
      </c>
      <c r="AJ112" s="103">
        <f ca="1">IF(AND(Energy!$F$11=$A$3,Main!$B$43=$A112),Summary!AJ29,AJ112)</f>
        <v>0.2298352026469101</v>
      </c>
      <c r="AK112" s="103">
        <f ca="1">IF(AND(Energy!$F$11=$A$3,Main!$B$43=$A112),Summary!AK29,AK112)</f>
        <v>0.01</v>
      </c>
      <c r="AL112" s="103">
        <f ca="1">IF(AND(Energy!$F$11=$A$3,Main!$B$43=$A112),Summary!AL29,AL112)</f>
        <v>-0.54386662874337077</v>
      </c>
      <c r="AM112" s="103">
        <f ca="1">IF(AND(Energy!$F$11=$A$3,Main!$B$43=$A112),Summary!AJ129,AM112)</f>
        <v>0</v>
      </c>
    </row>
    <row r="113" spans="1:39">
      <c r="A113">
        <f t="shared" si="7"/>
        <v>6</v>
      </c>
      <c r="D113" s="1">
        <f ca="1">IF(AND(Energy!$F$11=$A$3,Main!$B$43=A113),Main!C30,D113)</f>
        <v>5.4210526315789478</v>
      </c>
      <c r="E113" s="103">
        <f ca="1">IF(AND(Energy!$F$11=$A$3,Main!$B$43=A113),Main!B30,E113)</f>
        <v>0.31111111111111106</v>
      </c>
      <c r="F113" s="103">
        <f ca="1">IF(Main!$D$6=1,U113,IF(Main!$D$6=2,N113,IF(Main!$D$6=3,K113,IF(Main!$D$6=4,V113,J113))))</f>
        <v>496.85293196508115</v>
      </c>
      <c r="G113" s="103">
        <f ca="1">IF(AND(Energy!$F$11=$A$3,Main!$B$43=A113),Weight!H30,G113)</f>
        <v>15</v>
      </c>
      <c r="H113" s="103">
        <f ca="1">IF(AND(Energy!$F$11=$A$3,Main!$B$43=A113),Weight!U30,H113)</f>
        <v>18.90962968176094</v>
      </c>
      <c r="I113" s="103">
        <f ca="1">IF(AND(Energy!$F$11=$A$3,Main!$B$43=A113),Weight!V30,I113)</f>
        <v>44.663178546309126</v>
      </c>
      <c r="J113" s="103">
        <f ca="1">IF(AND(Energy!$F$11=$A$3,Main!$B$43=A113),Weight!I30,J113)</f>
        <v>20.815900589548189</v>
      </c>
      <c r="K113" s="103">
        <f ca="1">IF(AND(Energy!$F$11=$A$3,Main!$B$43=A113),Weight!W30,K113)</f>
        <v>59.663178979050166</v>
      </c>
      <c r="L113" s="103">
        <f ca="1">IF(AND(Energy!$F$11=$A$3,Main!$B$43=A113),'Aerodynamics-Cruise'!BI30,L113)</f>
        <v>59.663178097470684</v>
      </c>
      <c r="M113" s="103">
        <f ca="1">IF(AND(Energy!$F$11=$A$3,Main!$B$43=A113),'Aerodynamics-Cruise'!BJ30,M113)</f>
        <v>2.8571188215992893</v>
      </c>
      <c r="N113" s="103">
        <f ca="1">IF(AND(Energy!$F$11=$A$3,Main!$B$43=A113),'Aerodynamics-Cruise'!BK30,N113)</f>
        <v>20.882288005114841</v>
      </c>
      <c r="O113" s="103">
        <f t="shared" ca="1" si="5"/>
        <v>161.29885067394204</v>
      </c>
      <c r="P113" s="103">
        <f ca="1">IF(AND(Energy!$F$11=$A$3,Main!$B$43=A113),'Aerodynamics-Cruise'!H30,P113)</f>
        <v>8.0661450514720645</v>
      </c>
      <c r="Q113" s="103">
        <f ca="1">IF(AND(Energy!$F$11=$A$3,Main!$B$43=A113),'Aerodynamics-Cruise'!I30,Q113)</f>
        <v>6.8224736788078442</v>
      </c>
      <c r="R113" s="103">
        <f ca="1">IF(AND(Energy!$F$11=$A$3,Main!$B$43=$A113),Summary!R30,R113)</f>
        <v>3.8752164468146484</v>
      </c>
      <c r="S113" s="103">
        <f ca="1">IF(AND(Energy!$F$11=$A$3,Main!$B$43=A113),'Aerodynamics-Cruise'!W30,S113)</f>
        <v>1</v>
      </c>
      <c r="T113" s="103">
        <f ca="1">IF(AND(Energy!$F$11=$A$3,Main!$B$43=A113),'Aerodynamics-Cruise'!BL30,T113)</f>
        <v>23.045934844310803</v>
      </c>
      <c r="U113" s="103">
        <f ca="1">IF(AND(Energy!$F$11=$A$3,Main!$B$43=A113),'Propulsion-Cruise'!M30,U113)</f>
        <v>51.281871496179932</v>
      </c>
      <c r="V113" s="103">
        <f ca="1">IF(AND(Energy!$F$11=$A$3,Main!$B$43=A113),Endurance!AP30,V113)</f>
        <v>496.85293196508115</v>
      </c>
      <c r="W113" s="103">
        <f ca="1">IF(AND(Energy!$F$11=$A$3,Main!$B$43=$A113),Summary!W30,W113)</f>
        <v>1.686549707602339</v>
      </c>
      <c r="X113" s="13">
        <f ca="1">IF(AND(Energy!$F$11=$A$3,Main!$B$43=A113),Energy!D30,X113)</f>
        <v>897.09555818643105</v>
      </c>
      <c r="Y113" s="102">
        <f ca="1">IF(AND(Energy!$F$11=$A$3,Main!$B$43=A113),'Aerodynamics-Cruise'!V30,Y113)</f>
        <v>159157.39667318203</v>
      </c>
      <c r="Z113" s="102">
        <f ca="1">IF(AND(Energy!$F$11=$A$3,Main!$B$43=$A113),Summary!Z30,Z113)</f>
        <v>119264.28838728713</v>
      </c>
      <c r="AA113" s="102">
        <f ca="1">IF(AND(Energy!$F$11=$A$3,Main!$B$43=$A113),Summary!AA30,AA113)</f>
        <v>119264.28838728713</v>
      </c>
      <c r="AB113" s="103">
        <f ca="1">IF(AND(Energy!$F$11=$A$3,Main!$B$43=$A113),Summary!AB30,AB113)</f>
        <v>3.8752164468146484</v>
      </c>
      <c r="AC113" s="103">
        <f ca="1">IF(AND(Energy!$F$11=$A$3,Main!$B$43=$A113),Summary!AC30,AC113)</f>
        <v>2.2151167906457423</v>
      </c>
      <c r="AD113" s="103">
        <f ca="1">IF(AND(Energy!$F$11=$A$3,Main!$B$43=$A113),Summary!AD30,AD113)</f>
        <v>0.4103457882608752</v>
      </c>
      <c r="AE113" s="103">
        <f ca="1">IF(AND(Energy!$F$11=$A$3,Main!$B$43=$A113),Summary!AE30,AE113)</f>
        <v>1.686549707602339</v>
      </c>
      <c r="AF113" s="103">
        <f ca="1">IF(AND(Energy!$F$11=$A$3,Main!$B$43=$A113),Summary!AF30,AF113)</f>
        <v>17.424812030075191</v>
      </c>
      <c r="AG113" s="103">
        <f ca="1">IF(AND(Energy!$F$11=$A$3,Main!$B$43=$A113),Summary!AG30,AG113)</f>
        <v>10.966899090248555</v>
      </c>
      <c r="AH113" s="103">
        <f ca="1">IF(AND(Energy!$F$11=$A$3,Main!$B$43=$A113),Summary!AH30,AH113)</f>
        <v>47</v>
      </c>
      <c r="AI113" s="103">
        <f ca="1">IF(AND(Energy!$F$11=$A$3,Main!$B$43=$A113),Summary!AI30,AI113)</f>
        <v>2.7397086347117154</v>
      </c>
      <c r="AJ113" s="103">
        <f ca="1">IF(AND(Energy!$F$11=$A$3,Main!$B$43=$A113),Summary!AJ30,AJ113)</f>
        <v>0.23045861274180485</v>
      </c>
      <c r="AK113" s="103">
        <f ca="1">IF(AND(Energy!$F$11=$A$3,Main!$B$43=$A113),Summary!AK30,AK113)</f>
        <v>0.01</v>
      </c>
      <c r="AL113" s="103">
        <f ca="1">IF(AND(Energy!$F$11=$A$3,Main!$B$43=$A113),Summary!AL30,AL113)</f>
        <v>-0.54239537206775368</v>
      </c>
      <c r="AM113" s="103">
        <f ca="1">IF(AND(Energy!$F$11=$A$3,Main!$B$43=$A113),Summary!AJ130,AM113)</f>
        <v>0</v>
      </c>
    </row>
    <row r="114" spans="1:39">
      <c r="A114">
        <f t="shared" si="7"/>
        <v>6</v>
      </c>
      <c r="D114" s="1">
        <f ca="1">IF(AND(Energy!$F$11=$A$3,Main!$B$43=A114),Main!C31,D114)</f>
        <v>5.5789473684210531</v>
      </c>
      <c r="E114" s="103">
        <f ca="1">IF(AND(Energy!$F$11=$A$3,Main!$B$43=A114),Main!B31,E114)</f>
        <v>0.31111111111111106</v>
      </c>
      <c r="F114" s="103">
        <f ca="1">IF(Main!$D$6=1,U114,IF(Main!$D$6=2,N114,IF(Main!$D$6=3,K114,IF(Main!$D$6=4,V114,J114))))</f>
        <v>497.360131474166</v>
      </c>
      <c r="G114" s="103">
        <f ca="1">IF(AND(Energy!$F$11=$A$3,Main!$B$43=A114),Weight!H31,G114)</f>
        <v>15</v>
      </c>
      <c r="H114" s="103">
        <f ca="1">IF(AND(Energy!$F$11=$A$3,Main!$B$43=A114),Weight!U31,H114)</f>
        <v>19.531624109126483</v>
      </c>
      <c r="I114" s="103">
        <f ca="1">IF(AND(Energy!$F$11=$A$3,Main!$B$43=A114),Weight!V31,I114)</f>
        <v>45.306422330647905</v>
      </c>
      <c r="J114" s="103">
        <f ca="1">IF(AND(Energy!$F$11=$A$3,Main!$B$43=A114),Weight!I31,J114)</f>
        <v>20.837149946521421</v>
      </c>
      <c r="K114" s="103">
        <f ca="1">IF(AND(Energy!$F$11=$A$3,Main!$B$43=A114),Weight!W31,K114)</f>
        <v>60.306422779021737</v>
      </c>
      <c r="L114" s="103">
        <f ca="1">IF(AND(Energy!$F$11=$A$3,Main!$B$43=A114),'Aerodynamics-Cruise'!BI31,L114)</f>
        <v>60.306421865590941</v>
      </c>
      <c r="M114" s="103">
        <f ca="1">IF(AND(Energy!$F$11=$A$3,Main!$B$43=A114),'Aerodynamics-Cruise'!BJ31,M114)</f>
        <v>2.8684237536208701</v>
      </c>
      <c r="N114" s="103">
        <f ca="1">IF(AND(Energy!$F$11=$A$3,Main!$B$43=A114),'Aerodynamics-Cruise'!BK31,N114)</f>
        <v>21.024237367113177</v>
      </c>
      <c r="O114" s="103">
        <f t="shared" ca="1" si="5"/>
        <v>163.26836056917037</v>
      </c>
      <c r="P114" s="103">
        <f ca="1">IF(AND(Energy!$F$11=$A$3,Main!$B$43=A114),'Aerodynamics-Cruise'!H31,P114)</f>
        <v>7.9938911614276495</v>
      </c>
      <c r="Q114" s="103">
        <f ca="1">IF(AND(Energy!$F$11=$A$3,Main!$B$43=A114),'Aerodynamics-Cruise'!I31,Q114)</f>
        <v>6.7638627946432726</v>
      </c>
      <c r="R114" s="103">
        <f ca="1">IF(AND(Energy!$F$11=$A$3,Main!$B$43=$A114),Summary!R31,R114)</f>
        <v>3.8490555144997574</v>
      </c>
      <c r="S114" s="103">
        <f ca="1">IF(AND(Energy!$F$11=$A$3,Main!$B$43=A114),'Aerodynamics-Cruise'!W31,S114)</f>
        <v>1</v>
      </c>
      <c r="T114" s="103">
        <f ca="1">IF(AND(Energy!$F$11=$A$3,Main!$B$43=A114),'Aerodynamics-Cruise'!BL31,T114)</f>
        <v>22.929867291298994</v>
      </c>
      <c r="U114" s="103">
        <f ca="1">IF(AND(Energy!$F$11=$A$3,Main!$B$43=A114),'Propulsion-Cruise'!M31,U114)</f>
        <v>51.187666605324935</v>
      </c>
      <c r="V114" s="103">
        <f ca="1">IF(AND(Energy!$F$11=$A$3,Main!$B$43=A114),Endurance!AP31,V114)</f>
        <v>497.360131474166</v>
      </c>
      <c r="W114" s="103">
        <f ca="1">IF(AND(Energy!$F$11=$A$3,Main!$B$43=$A114),Summary!W31,W114)</f>
        <v>1.7356725146198828</v>
      </c>
      <c r="X114" s="13">
        <f ca="1">IF(AND(Energy!$F$11=$A$3,Main!$B$43=A114),Energy!D31,X114)</f>
        <v>898.01133467427917</v>
      </c>
      <c r="Y114" s="102">
        <f ca="1">IF(AND(Energy!$F$11=$A$3,Main!$B$43=A114),'Aerodynamics-Cruise'!V31,Y114)</f>
        <v>157731.71675227844</v>
      </c>
      <c r="Z114" s="102">
        <f ca="1">IF(AND(Energy!$F$11=$A$3,Main!$B$43=$A114),Summary!Z31,Z114)</f>
        <v>118237.99900960282</v>
      </c>
      <c r="AA114" s="102">
        <f ca="1">IF(AND(Energy!$F$11=$A$3,Main!$B$43=$A114),Summary!AA31,AA114)</f>
        <v>118237.99900960282</v>
      </c>
      <c r="AB114" s="103">
        <f ca="1">IF(AND(Energy!$F$11=$A$3,Main!$B$43=$A114),Summary!AB31,AB114)</f>
        <v>3.8490555144997574</v>
      </c>
      <c r="AC114" s="103">
        <f ca="1">IF(AND(Energy!$F$11=$A$3,Main!$B$43=$A114),Summary!AC31,AC114)</f>
        <v>2.1746149127836394</v>
      </c>
      <c r="AD114" s="103">
        <f ca="1">IF(AND(Energy!$F$11=$A$3,Main!$B$43=$A114),Summary!AD31,AD114)</f>
        <v>0.40911083440012808</v>
      </c>
      <c r="AE114" s="103">
        <f ca="1">IF(AND(Energy!$F$11=$A$3,Main!$B$43=$A114),Summary!AE31,AE114)</f>
        <v>1.7356725146198828</v>
      </c>
      <c r="AF114" s="103">
        <f ca="1">IF(AND(Energy!$F$11=$A$3,Main!$B$43=$A114),Summary!AF31,AF114)</f>
        <v>17.932330827067673</v>
      </c>
      <c r="AG114" s="103">
        <f ca="1">IF(AND(Energy!$F$11=$A$3,Main!$B$43=$A114),Summary!AG31,AG114)</f>
        <v>10.964940797762798</v>
      </c>
      <c r="AH114" s="103">
        <f ca="1">IF(AND(Energy!$F$11=$A$3,Main!$B$43=$A114),Summary!AH31,AH114)</f>
        <v>47</v>
      </c>
      <c r="AI114" s="103">
        <f ca="1">IF(AND(Energy!$F$11=$A$3,Main!$B$43=$A114),Summary!AI31,AI114)</f>
        <v>2.7376816439117784</v>
      </c>
      <c r="AJ114" s="103">
        <f ca="1">IF(AND(Energy!$F$11=$A$3,Main!$B$43=$A114),Summary!AJ31,AJ114)</f>
        <v>0.23103677314285886</v>
      </c>
      <c r="AK114" s="103">
        <f ca="1">IF(AND(Energy!$F$11=$A$3,Main!$B$43=$A114),Summary!AK31,AK114)</f>
        <v>0.01</v>
      </c>
      <c r="AL114" s="103">
        <f ca="1">IF(AND(Energy!$F$11=$A$3,Main!$B$43=$A114),Summary!AL31,AL114)</f>
        <v>-0.54103799668107255</v>
      </c>
      <c r="AM114" s="103">
        <f ca="1">IF(AND(Energy!$F$11=$A$3,Main!$B$43=$A114),Summary!AJ131,AM114)</f>
        <v>0</v>
      </c>
    </row>
    <row r="115" spans="1:39">
      <c r="A115">
        <f t="shared" si="7"/>
        <v>6</v>
      </c>
      <c r="D115" s="1">
        <f ca="1">IF(AND(Energy!$F$11=$A$3,Main!$B$43=A115),Main!C32,D115)</f>
        <v>5.7368421052631584</v>
      </c>
      <c r="E115" s="103">
        <f ca="1">IF(AND(Energy!$F$11=$A$3,Main!$B$43=A115),Main!B32,E115)</f>
        <v>0.31111111111111106</v>
      </c>
      <c r="F115" s="103">
        <f ca="1">IF(Main!$D$6=1,U115,IF(Main!$D$6=2,N115,IF(Main!$D$6=3,K115,IF(Main!$D$6=4,V115,J115))))</f>
        <v>498.5270915539478</v>
      </c>
      <c r="G115" s="103">
        <f ca="1">IF(AND(Energy!$F$11=$A$3,Main!$B$43=A115),Weight!H32,G115)</f>
        <v>15</v>
      </c>
      <c r="H115" s="103">
        <f ca="1">IF(AND(Energy!$F$11=$A$3,Main!$B$43=A115),Weight!U32,H115)</f>
        <v>20.17148967458894</v>
      </c>
      <c r="I115" s="103">
        <f ca="1">IF(AND(Energy!$F$11=$A$3,Main!$B$43=A115),Weight!V32,I115)</f>
        <v>45.995178249226853</v>
      </c>
      <c r="J115" s="103">
        <f ca="1">IF(AND(Energy!$F$11=$A$3,Main!$B$43=A115),Weight!I32,J115)</f>
        <v>20.886040299637916</v>
      </c>
      <c r="K115" s="103">
        <f ca="1">IF(AND(Energy!$F$11=$A$3,Main!$B$43=A115),Weight!W32,K115)</f>
        <v>60.995178714300664</v>
      </c>
      <c r="L115" s="103">
        <f ca="1">IF(AND(Energy!$F$11=$A$3,Main!$B$43=A115),'Aerodynamics-Cruise'!BI32,L115)</f>
        <v>60.995177766923078</v>
      </c>
      <c r="M115" s="103">
        <f ca="1">IF(AND(Energy!$F$11=$A$3,Main!$B$43=A115),'Aerodynamics-Cruise'!BJ32,M115)</f>
        <v>2.8823142641822543</v>
      </c>
      <c r="N115" s="103">
        <f ca="1">IF(AND(Energy!$F$11=$A$3,Main!$B$43=A115),'Aerodynamics-Cruise'!BK32,N115)</f>
        <v>21.161876248157178</v>
      </c>
      <c r="O115" s="103">
        <f t="shared" ca="1" si="5"/>
        <v>165.2730040579018</v>
      </c>
      <c r="P115" s="103">
        <f ca="1">IF(AND(Energy!$F$11=$A$3,Main!$B$43=A115),'Aerodynamics-Cruise'!H32,P115)</f>
        <v>7.9279698039190976</v>
      </c>
      <c r="Q115" s="103">
        <f ca="1">IF(AND(Energy!$F$11=$A$3,Main!$B$43=A115),'Aerodynamics-Cruise'!I32,Q115)</f>
        <v>6.7103696728737532</v>
      </c>
      <c r="R115" s="103">
        <f ca="1">IF(AND(Energy!$F$11=$A$3,Main!$B$43=$A115),Summary!R32,R115)</f>
        <v>3.8310252733636236</v>
      </c>
      <c r="S115" s="103">
        <f ca="1">IF(AND(Energy!$F$11=$A$3,Main!$B$43=A115),'Aerodynamics-Cruise'!W32,S115)</f>
        <v>1</v>
      </c>
      <c r="T115" s="103">
        <f ca="1">IF(AND(Energy!$F$11=$A$3,Main!$B$43=A115),'Aerodynamics-Cruise'!BL32,T115)</f>
        <v>22.850900451842204</v>
      </c>
      <c r="U115" s="103">
        <f ca="1">IF(AND(Energy!$F$11=$A$3,Main!$B$43=A115),'Propulsion-Cruise'!M32,U115)</f>
        <v>51.164606743312831</v>
      </c>
      <c r="V115" s="103">
        <f ca="1">IF(AND(Energy!$F$11=$A$3,Main!$B$43=A115),Endurance!AP32,V115)</f>
        <v>498.5270915539478</v>
      </c>
      <c r="W115" s="103">
        <f ca="1">IF(AND(Energy!$F$11=$A$3,Main!$B$43=$A115),Summary!W32,W115)</f>
        <v>1.7847953216374268</v>
      </c>
      <c r="X115" s="13">
        <f ca="1">IF(AND(Energy!$F$11=$A$3,Main!$B$43=A115),Energy!D32,X115)</f>
        <v>900.11834548648176</v>
      </c>
      <c r="Y115" s="102">
        <f ca="1">IF(AND(Energy!$F$11=$A$3,Main!$B$43=A115),'Aerodynamics-Cruise'!V32,Y115)</f>
        <v>156430.98739776373</v>
      </c>
      <c r="Z115" s="102">
        <f ca="1">IF(AND(Energy!$F$11=$A$3,Main!$B$43=$A115),Summary!Z32,Z115)</f>
        <v>117301.33579280227</v>
      </c>
      <c r="AA115" s="102">
        <f ca="1">IF(AND(Energy!$F$11=$A$3,Main!$B$43=$A115),Summary!AA32,AA115)</f>
        <v>117301.33579280227</v>
      </c>
      <c r="AB115" s="103">
        <f ca="1">IF(AND(Energy!$F$11=$A$3,Main!$B$43=$A115),Summary!AB32,AB115)</f>
        <v>3.8310252733636236</v>
      </c>
      <c r="AC115" s="103">
        <f ca="1">IF(AND(Energy!$F$11=$A$3,Main!$B$43=$A115),Summary!AC32,AC115)</f>
        <v>2.1343338504223772</v>
      </c>
      <c r="AD115" s="103">
        <f ca="1">IF(AND(Energy!$F$11=$A$3,Main!$B$43=$A115),Summary!AD32,AD115)</f>
        <v>0.40814315482885388</v>
      </c>
      <c r="AE115" s="103">
        <f ca="1">IF(AND(Energy!$F$11=$A$3,Main!$B$43=$A115),Summary!AE32,AE115)</f>
        <v>1.7847953216374268</v>
      </c>
      <c r="AF115" s="103">
        <f ca="1">IF(AND(Energy!$F$11=$A$3,Main!$B$43=$A115),Summary!AF32,AF115)</f>
        <v>18.439849624060155</v>
      </c>
      <c r="AG115" s="103">
        <f ca="1">IF(AND(Energy!$F$11=$A$3,Main!$B$43=$A115),Summary!AG32,AG115)</f>
        <v>10.971681826039102</v>
      </c>
      <c r="AH115" s="103">
        <f ca="1">IF(AND(Energy!$F$11=$A$3,Main!$B$43=$A115),Summary!AH32,AH115)</f>
        <v>47</v>
      </c>
      <c r="AI115" s="103">
        <f ca="1">IF(AND(Energy!$F$11=$A$3,Main!$B$43=$A115),Summary!AI32,AI115)</f>
        <v>2.7358176254805757</v>
      </c>
      <c r="AJ115" s="103">
        <f ca="1">IF(AND(Energy!$F$11=$A$3,Main!$B$43=$A115),Summary!AJ32,AJ115)</f>
        <v>0.231573071269286</v>
      </c>
      <c r="AK115" s="103">
        <f ca="1">IF(AND(Energy!$F$11=$A$3,Main!$B$43=$A115),Summary!AK32,AK115)</f>
        <v>0.01</v>
      </c>
      <c r="AL115" s="103">
        <f ca="1">IF(AND(Energy!$F$11=$A$3,Main!$B$43=$A115),Summary!AL32,AL115)</f>
        <v>-0.53978495809776805</v>
      </c>
      <c r="AM115" s="103">
        <f ca="1">IF(AND(Energy!$F$11=$A$3,Main!$B$43=$A115),Summary!AJ132,AM115)</f>
        <v>0</v>
      </c>
    </row>
    <row r="116" spans="1:39">
      <c r="A116">
        <f t="shared" si="7"/>
        <v>6</v>
      </c>
      <c r="D116" s="1">
        <f ca="1">IF(AND(Energy!$F$11=$A$3,Main!$B$43=A116),Main!C33,D116)</f>
        <v>5.8947368421052637</v>
      </c>
      <c r="E116" s="103">
        <f ca="1">IF(AND(Energy!$F$11=$A$3,Main!$B$43=A116),Main!B33,E116)</f>
        <v>0.31111111111111106</v>
      </c>
      <c r="F116" s="103">
        <f ca="1">IF(Main!$D$6=1,U116,IF(Main!$D$6=2,N116,IF(Main!$D$6=3,K116,IF(Main!$D$6=4,V116,J116))))</f>
        <v>500.29630707826618</v>
      </c>
      <c r="G116" s="103">
        <f ca="1">IF(AND(Energy!$F$11=$A$3,Main!$B$43=A116),Weight!H33,G116)</f>
        <v>15</v>
      </c>
      <c r="H116" s="103">
        <f ca="1">IF(AND(Energy!$F$11=$A$3,Main!$B$43=A116),Weight!U33,H116)</f>
        <v>20.829239262377989</v>
      </c>
      <c r="I116" s="103">
        <f ca="1">IF(AND(Energy!$F$11=$A$3,Main!$B$43=A116),Weight!V33,I116)</f>
        <v>46.727049980554824</v>
      </c>
      <c r="J116" s="103">
        <f ca="1">IF(AND(Energy!$F$11=$A$3,Main!$B$43=A116),Weight!I33,J116)</f>
        <v>20.960162443176831</v>
      </c>
      <c r="K116" s="103">
        <f ca="1">IF(AND(Energy!$F$11=$A$3,Main!$B$43=A116),Weight!W33,K116)</f>
        <v>61.72705046327949</v>
      </c>
      <c r="L116" s="103">
        <f ca="1">IF(AND(Energy!$F$11=$A$3,Main!$B$43=A116),'Aerodynamics-Cruise'!BI33,L116)</f>
        <v>61.727049480092987</v>
      </c>
      <c r="M116" s="103">
        <f ca="1">IF(AND(Energy!$F$11=$A$3,Main!$B$43=A116),'Aerodynamics-Cruise'!BJ33,M116)</f>
        <v>2.8985662206226244</v>
      </c>
      <c r="N116" s="103">
        <f ca="1">IF(AND(Energy!$F$11=$A$3,Main!$B$43=A116),'Aerodynamics-Cruise'!BK33,N116)</f>
        <v>21.295718221277607</v>
      </c>
      <c r="O116" s="103">
        <f t="shared" ca="1" si="5"/>
        <v>167.31314043896089</v>
      </c>
      <c r="P116" s="103">
        <f ca="1">IF(AND(Energy!$F$11=$A$3,Main!$B$43=A116),'Aerodynamics-Cruise'!H33,P116)</f>
        <v>7.8678212869903383</v>
      </c>
      <c r="Q116" s="103">
        <f ca="1">IF(AND(Energy!$F$11=$A$3,Main!$B$43=A116),'Aerodynamics-Cruise'!I33,Q116)</f>
        <v>6.6615451021183771</v>
      </c>
      <c r="R116" s="103">
        <f ca="1">IF(AND(Energy!$F$11=$A$3,Main!$B$43=$A116),Summary!R33,R116)</f>
        <v>3.8203713068570155</v>
      </c>
      <c r="S116" s="103">
        <f ca="1">IF(AND(Energy!$F$11=$A$3,Main!$B$43=A116),'Aerodynamics-Cruise'!W33,S116)</f>
        <v>1</v>
      </c>
      <c r="T116" s="103">
        <f ca="1">IF(AND(Energy!$F$11=$A$3,Main!$B$43=A116),'Aerodynamics-Cruise'!BL33,T116)</f>
        <v>22.805401012365817</v>
      </c>
      <c r="U116" s="103">
        <f ca="1">IF(AND(Energy!$F$11=$A$3,Main!$B$43=A116),'Propulsion-Cruise'!M33,U116)</f>
        <v>51.206119528515636</v>
      </c>
      <c r="V116" s="103">
        <f ca="1">IF(AND(Energy!$F$11=$A$3,Main!$B$43=A116),Endurance!AP33,V116)</f>
        <v>500.29630707826618</v>
      </c>
      <c r="W116" s="103">
        <f ca="1">IF(AND(Energy!$F$11=$A$3,Main!$B$43=$A116),Summary!W33,W116)</f>
        <v>1.8339181286549706</v>
      </c>
      <c r="X116" s="13">
        <f ca="1">IF(AND(Energy!$F$11=$A$3,Main!$B$43=A116),Energy!D33,X116)</f>
        <v>903.31276192733867</v>
      </c>
      <c r="Y116" s="102">
        <f ca="1">IF(AND(Energy!$F$11=$A$3,Main!$B$43=A116),'Aerodynamics-Cruise'!V33,Y116)</f>
        <v>155244.16503007186</v>
      </c>
      <c r="Z116" s="102">
        <f ca="1">IF(AND(Energy!$F$11=$A$3,Main!$B$43=$A116),Summary!Z33,Z116)</f>
        <v>116446.42966935533</v>
      </c>
      <c r="AA116" s="102">
        <f ca="1">IF(AND(Energy!$F$11=$A$3,Main!$B$43=$A116),Summary!AA33,AA116)</f>
        <v>116446.42966935533</v>
      </c>
      <c r="AB116" s="103">
        <f ca="1">IF(AND(Energy!$F$11=$A$3,Main!$B$43=$A116),Summary!AB33,AB116)</f>
        <v>3.8203713068570155</v>
      </c>
      <c r="AC116" s="103">
        <f ca="1">IF(AND(Energy!$F$11=$A$3,Main!$B$43=$A116),Summary!AC33,AC116)</f>
        <v>2.0943689715235032</v>
      </c>
      <c r="AD116" s="103">
        <f ca="1">IF(AND(Energy!$F$11=$A$3,Main!$B$43=$A116),Summary!AD33,AD116)</f>
        <v>0.40741902999587315</v>
      </c>
      <c r="AE116" s="103">
        <f ca="1">IF(AND(Energy!$F$11=$A$3,Main!$B$43=$A116),Summary!AE33,AE116)</f>
        <v>1.8339181286549706</v>
      </c>
      <c r="AF116" s="103">
        <f ca="1">IF(AND(Energy!$F$11=$A$3,Main!$B$43=$A116),Summary!AF33,AF116)</f>
        <v>18.947368421052637</v>
      </c>
      <c r="AG116" s="103">
        <f ca="1">IF(AND(Energy!$F$11=$A$3,Main!$B$43=$A116),Summary!AG33,AG116)</f>
        <v>10.98632754085374</v>
      </c>
      <c r="AH116" s="103">
        <f ca="1">IF(AND(Energy!$F$11=$A$3,Main!$B$43=$A116),Summary!AH33,AH116)</f>
        <v>47</v>
      </c>
      <c r="AI116" s="103">
        <f ca="1">IF(AND(Energy!$F$11=$A$3,Main!$B$43=$A116),Summary!AI33,AI116)</f>
        <v>2.7341043647670289</v>
      </c>
      <c r="AJ116" s="103">
        <f ca="1">IF(AND(Energy!$F$11=$A$3,Main!$B$43=$A116),Summary!AJ33,AJ116)</f>
        <v>0.23207053332377431</v>
      </c>
      <c r="AK116" s="103">
        <f ca="1">IF(AND(Energy!$F$11=$A$3,Main!$B$43=$A116),Summary!AK33,AK116)</f>
        <v>0.01</v>
      </c>
      <c r="AL116" s="103">
        <f ca="1">IF(AND(Energy!$F$11=$A$3,Main!$B$43=$A116),Summary!AL33,AL116)</f>
        <v>-0.53862783124155866</v>
      </c>
      <c r="AM116" s="103">
        <f ca="1">IF(AND(Energy!$F$11=$A$3,Main!$B$43=$A116),Summary!AJ133,AM116)</f>
        <v>0</v>
      </c>
    </row>
    <row r="117" spans="1:39">
      <c r="A117">
        <f t="shared" si="7"/>
        <v>6</v>
      </c>
      <c r="D117" s="1">
        <f ca="1">IF(AND(Energy!$F$11=$A$3,Main!$B$43=A117),Main!C34,D117)</f>
        <v>6.052631578947369</v>
      </c>
      <c r="E117" s="103">
        <f ca="1">IF(AND(Energy!$F$11=$A$3,Main!$B$43=A117),Main!B34,E117)</f>
        <v>0.31111111111111106</v>
      </c>
      <c r="F117" s="103">
        <f ca="1">IF(Main!$D$6=1,U117,IF(Main!$D$6=2,N117,IF(Main!$D$6=3,K117,IF(Main!$D$6=4,V117,J117))))</f>
        <v>502.61935761843881</v>
      </c>
      <c r="G117" s="103">
        <f ca="1">IF(AND(Energy!$F$11=$A$3,Main!$B$43=A117),Weight!H34,G117)</f>
        <v>15</v>
      </c>
      <c r="H117" s="103">
        <f ca="1">IF(AND(Energy!$F$11=$A$3,Main!$B$43=A117),Weight!U34,H117)</f>
        <v>21.50492246436054</v>
      </c>
      <c r="I117" s="103">
        <f ca="1">IF(AND(Energy!$F$11=$A$3,Main!$B$43=A117),Weight!V34,I117)</f>
        <v>47.500058518659792</v>
      </c>
      <c r="J117" s="103">
        <f ca="1">IF(AND(Energy!$F$11=$A$3,Main!$B$43=A117),Weight!I34,J117)</f>
        <v>21.057487779299251</v>
      </c>
      <c r="K117" s="103">
        <f ca="1">IF(AND(Energy!$F$11=$A$3,Main!$B$43=A117),Weight!W34,K117)</f>
        <v>62.500059019898302</v>
      </c>
      <c r="L117" s="103">
        <f ca="1">IF(AND(Energy!$F$11=$A$3,Main!$B$43=A117),'Aerodynamics-Cruise'!BI34,L117)</f>
        <v>62.500057999216651</v>
      </c>
      <c r="M117" s="103">
        <f ca="1">IF(AND(Energy!$F$11=$A$3,Main!$B$43=A117),'Aerodynamics-Cruise'!BJ34,M117)</f>
        <v>2.9169881787218204</v>
      </c>
      <c r="N117" s="103">
        <f ca="1">IF(AND(Energy!$F$11=$A$3,Main!$B$43=A117),'Aerodynamics-Cruise'!BK34,N117)</f>
        <v>21.426229442795762</v>
      </c>
      <c r="O117" s="103">
        <f t="shared" ca="1" si="5"/>
        <v>169.38929536700439</v>
      </c>
      <c r="P117" s="103">
        <f ca="1">IF(AND(Energy!$F$11=$A$3,Main!$B$43=A117),'Aerodynamics-Cruise'!H34,P117)</f>
        <v>7.8129566876556451</v>
      </c>
      <c r="Q117" s="103">
        <f ca="1">IF(AND(Energy!$F$11=$A$3,Main!$B$43=A117),'Aerodynamics-Cruise'!I34,Q117)</f>
        <v>6.6169963832545973</v>
      </c>
      <c r="R117" s="103">
        <f ca="1">IF(AND(Energy!$F$11=$A$3,Main!$B$43=$A117),Summary!R34,R117)</f>
        <v>3.8164672147199066</v>
      </c>
      <c r="S117" s="103">
        <f ca="1">IF(AND(Energy!$F$11=$A$3,Main!$B$43=A117),'Aerodynamics-Cruise'!W34,S117)</f>
        <v>1</v>
      </c>
      <c r="T117" s="103">
        <f ca="1">IF(AND(Energy!$F$11=$A$3,Main!$B$43=A117),'Aerodynamics-Cruise'!BL34,T117)</f>
        <v>22.790302298757105</v>
      </c>
      <c r="U117" s="103">
        <f ca="1">IF(AND(Energy!$F$11=$A$3,Main!$B$43=A117),'Propulsion-Cruise'!M34,U117)</f>
        <v>51.306657440088465</v>
      </c>
      <c r="V117" s="103">
        <f ca="1">IF(AND(Energy!$F$11=$A$3,Main!$B$43=A117),Endurance!AP34,V117)</f>
        <v>502.61935761843881</v>
      </c>
      <c r="W117" s="103">
        <f ca="1">IF(AND(Energy!$F$11=$A$3,Main!$B$43=$A117),Summary!W34,W117)</f>
        <v>1.8830409356725144</v>
      </c>
      <c r="X117" s="13">
        <f ca="1">IF(AND(Energy!$F$11=$A$3,Main!$B$43=A117),Energy!D34,X117)</f>
        <v>907.50715822615155</v>
      </c>
      <c r="Y117" s="102">
        <f ca="1">IF(AND(Energy!$F$11=$A$3,Main!$B$43=A117),'Aerodynamics-Cruise'!V34,Y117)</f>
        <v>154161.60244981755</v>
      </c>
      <c r="Z117" s="102">
        <f ca="1">IF(AND(Energy!$F$11=$A$3,Main!$B$43=$A117),Summary!Z34,Z117)</f>
        <v>115666.40172333519</v>
      </c>
      <c r="AA117" s="102">
        <f ca="1">IF(AND(Energy!$F$11=$A$3,Main!$B$43=$A117),Summary!AA34,AA117)</f>
        <v>115666.40172333519</v>
      </c>
      <c r="AB117" s="103">
        <f ca="1">IF(AND(Energy!$F$11=$A$3,Main!$B$43=$A117),Summary!AB34,AB117)</f>
        <v>3.8164672147199066</v>
      </c>
      <c r="AC117" s="103">
        <f ca="1">IF(AND(Energy!$F$11=$A$3,Main!$B$43=$A117),Summary!AC34,AC117)</f>
        <v>2.0547957463033999</v>
      </c>
      <c r="AD117" s="103">
        <f ca="1">IF(AND(Energy!$F$11=$A$3,Main!$B$43=$A117),Summary!AD34,AD117)</f>
        <v>0.40691784237796941</v>
      </c>
      <c r="AE117" s="103">
        <f ca="1">IF(AND(Energy!$F$11=$A$3,Main!$B$43=$A117),Summary!AE34,AE117)</f>
        <v>1.8830409356725144</v>
      </c>
      <c r="AF117" s="103">
        <f ca="1">IF(AND(Energy!$F$11=$A$3,Main!$B$43=$A117),Summary!AF34,AF117)</f>
        <v>19.454887218045119</v>
      </c>
      <c r="AG117" s="103">
        <f ca="1">IF(AND(Energy!$F$11=$A$3,Main!$B$43=$A117),Summary!AG34,AG117)</f>
        <v>11.008198271600513</v>
      </c>
      <c r="AH117" s="103">
        <f ca="1">IF(AND(Energy!$F$11=$A$3,Main!$B$43=$A117),Summary!AH34,AH117)</f>
        <v>47</v>
      </c>
      <c r="AI117" s="103">
        <f ca="1">IF(AND(Energy!$F$11=$A$3,Main!$B$43=$A117),Summary!AI34,AI117)</f>
        <v>2.7325310081714758</v>
      </c>
      <c r="AJ117" s="103">
        <f ca="1">IF(AND(Energy!$F$11=$A$3,Main!$B$43=$A117),Summary!AJ34,AJ117)</f>
        <v>0.23253187486283949</v>
      </c>
      <c r="AK117" s="103">
        <f ca="1">IF(AND(Energy!$F$11=$A$3,Main!$B$43=$A117),Summary!AK34,AK117)</f>
        <v>0.01</v>
      </c>
      <c r="AL117" s="103">
        <f ca="1">IF(AND(Energy!$F$11=$A$3,Main!$B$43=$A117),Summary!AL34,AL117)</f>
        <v>-0.53755914311974895</v>
      </c>
      <c r="AM117" s="103">
        <f ca="1">IF(AND(Energy!$F$11=$A$3,Main!$B$43=$A117),Summary!AJ134,AM117)</f>
        <v>0</v>
      </c>
    </row>
    <row r="118" spans="1:39">
      <c r="A118">
        <f t="shared" si="7"/>
        <v>6</v>
      </c>
      <c r="D118" s="1">
        <f ca="1">IF(AND(Energy!$F$11=$A$3,Main!$B$43=A118),Main!C35,D118)</f>
        <v>6.2105263157894743</v>
      </c>
      <c r="E118" s="103">
        <f ca="1">IF(AND(Energy!$F$11=$A$3,Main!$B$43=A118),Main!B35,E118)</f>
        <v>0.31111111111111106</v>
      </c>
      <c r="F118" s="103">
        <f ca="1">IF(Main!$D$6=1,U118,IF(Main!$D$6=2,N118,IF(Main!$D$6=3,K118,IF(Main!$D$6=4,V118,J118))))</f>
        <v>505.45526151433853</v>
      </c>
      <c r="G118" s="103">
        <f ca="1">IF(AND(Energy!$F$11=$A$3,Main!$B$43=A118),Weight!H35,G118)</f>
        <v>15</v>
      </c>
      <c r="H118" s="103">
        <f ca="1">IF(AND(Energy!$F$11=$A$3,Main!$B$43=A118),Weight!U35,H118)</f>
        <v>22.198619583307696</v>
      </c>
      <c r="I118" s="103">
        <f ca="1">IF(AND(Energy!$F$11=$A$3,Main!$B$43=A118),Weight!V35,I118)</f>
        <v>48.312567219352438</v>
      </c>
      <c r="J118" s="103">
        <f ca="1">IF(AND(Energy!$F$11=$A$3,Main!$B$43=A118),Weight!I35,J118)</f>
        <v>21.176299361044741</v>
      </c>
      <c r="K118" s="103">
        <f ca="1">IF(AND(Energy!$F$11=$A$3,Main!$B$43=A118),Weight!W35,K118)</f>
        <v>63.312567739903081</v>
      </c>
      <c r="L118" s="103">
        <f ca="1">IF(AND(Energy!$F$11=$A$3,Main!$B$43=A118),'Aerodynamics-Cruise'!BI35,L118)</f>
        <v>63.312566680168963</v>
      </c>
      <c r="M118" s="103">
        <f ca="1">IF(AND(Energy!$F$11=$A$3,Main!$B$43=A118),'Aerodynamics-Cruise'!BJ35,M118)</f>
        <v>2.9374156998257499</v>
      </c>
      <c r="N118" s="103">
        <f ca="1">IF(AND(Energy!$F$11=$A$3,Main!$B$43=A118),'Aerodynamics-Cruise'!BK35,N118)</f>
        <v>21.553832739412648</v>
      </c>
      <c r="O118" s="103">
        <f t="shared" ca="1" si="5"/>
        <v>171.50211033189368</v>
      </c>
      <c r="P118" s="103">
        <f ca="1">IF(AND(Energy!$F$11=$A$3,Main!$B$43=A118),'Aerodynamics-Cruise'!H35,P118)</f>
        <v>7.7629464879931094</v>
      </c>
      <c r="Q118" s="103">
        <f ca="1">IF(AND(Energy!$F$11=$A$3,Main!$B$43=A118),'Aerodynamics-Cruise'!I35,Q118)</f>
        <v>6.5763782826800083</v>
      </c>
      <c r="R118" s="103">
        <f ca="1">IF(AND(Energy!$F$11=$A$3,Main!$B$43=$A118),Summary!R35,R118)</f>
        <v>3.8187905789607792</v>
      </c>
      <c r="S118" s="103">
        <f ca="1">IF(AND(Energy!$F$11=$A$3,Main!$B$43=A118),'Aerodynamics-Cruise'!W35,S118)</f>
        <v>1</v>
      </c>
      <c r="T118" s="103">
        <f ca="1">IF(AND(Energy!$F$11=$A$3,Main!$B$43=A118),'Aerodynamics-Cruise'!BL35,T118)</f>
        <v>22.803000890738126</v>
      </c>
      <c r="U118" s="103">
        <f ca="1">IF(AND(Energy!$F$11=$A$3,Main!$B$43=A118),'Propulsion-Cruise'!M35,U118)</f>
        <v>51.461511951832435</v>
      </c>
      <c r="V118" s="103">
        <f ca="1">IF(AND(Energy!$F$11=$A$3,Main!$B$43=A118),Endurance!AP35,V118)</f>
        <v>505.45526151433853</v>
      </c>
      <c r="W118" s="103">
        <f ca="1">IF(AND(Energy!$F$11=$A$3,Main!$B$43=$A118),Summary!W35,W118)</f>
        <v>1.9321637426900584</v>
      </c>
      <c r="X118" s="13">
        <f ca="1">IF(AND(Energy!$F$11=$A$3,Main!$B$43=A118),Energy!D35,X118)</f>
        <v>912.62753972131009</v>
      </c>
      <c r="Y118" s="102">
        <f ca="1">IF(AND(Energy!$F$11=$A$3,Main!$B$43=A118),'Aerodynamics-Cruise'!V35,Y118)</f>
        <v>153174.82461051468</v>
      </c>
      <c r="Z118" s="102">
        <f ca="1">IF(AND(Energy!$F$11=$A$3,Main!$B$43=$A118),Summary!Z35,Z118)</f>
        <v>114955.20466340022</v>
      </c>
      <c r="AA118" s="102">
        <f ca="1">IF(AND(Energy!$F$11=$A$3,Main!$B$43=$A118),Summary!AA35,AA118)</f>
        <v>114955.20466340022</v>
      </c>
      <c r="AB118" s="103">
        <f ca="1">IF(AND(Energy!$F$11=$A$3,Main!$B$43=$A118),Summary!AB35,AB118)</f>
        <v>3.8187905789607792</v>
      </c>
      <c r="AC118" s="103">
        <f ca="1">IF(AND(Energy!$F$11=$A$3,Main!$B$43=$A118),Summary!AC35,AC118)</f>
        <v>2.0156736454824071</v>
      </c>
      <c r="AD118" s="103">
        <f ca="1">IF(AND(Energy!$F$11=$A$3,Main!$B$43=$A118),Summary!AD35,AD118)</f>
        <v>0.4066215690792363</v>
      </c>
      <c r="AE118" s="103">
        <f ca="1">IF(AND(Energy!$F$11=$A$3,Main!$B$43=$A118),Summary!AE35,AE118)</f>
        <v>1.9321637426900584</v>
      </c>
      <c r="AF118" s="103">
        <f ca="1">IF(AND(Energy!$F$11=$A$3,Main!$B$43=$A118),Summary!AF35,AF118)</f>
        <v>19.962406015037601</v>
      </c>
      <c r="AG118" s="103">
        <f ca="1">IF(AND(Energy!$F$11=$A$3,Main!$B$43=$A118),Summary!AG35,AG118)</f>
        <v>11.036709317015209</v>
      </c>
      <c r="AH118" s="103">
        <f ca="1">IF(AND(Energy!$F$11=$A$3,Main!$B$43=$A118),Summary!AH35,AH118)</f>
        <v>47</v>
      </c>
      <c r="AI118" s="103">
        <f ca="1">IF(AND(Energy!$F$11=$A$3,Main!$B$43=$A118),Summary!AI35,AI118)</f>
        <v>2.7310878594270682</v>
      </c>
      <c r="AJ118" s="103">
        <f ca="1">IF(AND(Energy!$F$11=$A$3,Main!$B$43=$A118),Summary!AJ35,AJ118)</f>
        <v>0.23295954281172113</v>
      </c>
      <c r="AK118" s="103">
        <f ca="1">IF(AND(Energy!$F$11=$A$3,Main!$B$43=$A118),Summary!AK35,AK118)</f>
        <v>0.01</v>
      </c>
      <c r="AL118" s="103">
        <f ca="1">IF(AND(Energy!$F$11=$A$3,Main!$B$43=$A118),Summary!AL35,AL118)</f>
        <v>-0.53657223530381448</v>
      </c>
      <c r="AM118" s="103">
        <f ca="1">IF(AND(Energy!$F$11=$A$3,Main!$B$43=$A118),Summary!AJ135,AM118)</f>
        <v>0</v>
      </c>
    </row>
    <row r="119" spans="1:39">
      <c r="A119">
        <f t="shared" si="7"/>
        <v>6</v>
      </c>
      <c r="D119" s="1">
        <f ca="1">IF(AND(Energy!$F$11=$A$3,Main!$B$43=A119),Main!C36,D119)</f>
        <v>6.3684210526315796</v>
      </c>
      <c r="E119" s="103">
        <f ca="1">IF(AND(Energy!$F$11=$A$3,Main!$B$43=A119),Main!B36,E119)</f>
        <v>0.31111111111111106</v>
      </c>
      <c r="F119" s="103">
        <f ca="1">IF(Main!$D$6=1,U119,IF(Main!$D$6=2,N119,IF(Main!$D$6=3,K119,IF(Main!$D$6=4,V119,J119))))</f>
        <v>508.76917846581944</v>
      </c>
      <c r="G119" s="103">
        <f ca="1">IF(AND(Energy!$F$11=$A$3,Main!$B$43=A119),Weight!H36,G119)</f>
        <v>15</v>
      </c>
      <c r="H119" s="103">
        <f ca="1">IF(AND(Energy!$F$11=$A$3,Main!$B$43=A119),Weight!U36,H119)</f>
        <v>22.910436851212253</v>
      </c>
      <c r="I119" s="103">
        <f ca="1">IF(AND(Energy!$F$11=$A$3,Main!$B$43=A119),Weight!V36,I119)</f>
        <v>49.163222662971279</v>
      </c>
      <c r="J119" s="103">
        <f ca="1">IF(AND(Energy!$F$11=$A$3,Main!$B$43=A119),Weight!I36,J119)</f>
        <v>21.315137536759028</v>
      </c>
      <c r="K119" s="103">
        <f ca="1">IF(AND(Energy!$F$11=$A$3,Main!$B$43=A119),Weight!W36,K119)</f>
        <v>64.163223203587179</v>
      </c>
      <c r="L119" s="103">
        <f ca="1">IF(AND(Energy!$F$11=$A$3,Main!$B$43=A119),'Aerodynamics-Cruise'!BI36,L119)</f>
        <v>64.1632221033326</v>
      </c>
      <c r="M119" s="103">
        <f ca="1">IF(AND(Energy!$F$11=$A$3,Main!$B$43=A119),'Aerodynamics-Cruise'!BJ36,M119)</f>
        <v>2.9597068257789543</v>
      </c>
      <c r="N119" s="103">
        <f ca="1">IF(AND(Energy!$F$11=$A$3,Main!$B$43=A119),'Aerodynamics-Cruise'!BK36,N119)</f>
        <v>21.678911419358478</v>
      </c>
      <c r="O119" s="103">
        <f t="shared" ca="1" si="5"/>
        <v>173.65230537406876</v>
      </c>
      <c r="P119" s="103">
        <f ca="1">IF(AND(Energy!$F$11=$A$3,Main!$B$43=A119),'Aerodynamics-Cruise'!H36,P119)</f>
        <v>7.717411398727533</v>
      </c>
      <c r="Q119" s="103">
        <f ca="1">IF(AND(Energy!$F$11=$A$3,Main!$B$43=A119),'Aerodynamics-Cruise'!I36,Q119)</f>
        <v>6.5393857233689134</v>
      </c>
      <c r="R119" s="103">
        <f ca="1">IF(AND(Energy!$F$11=$A$3,Main!$B$43=$A119),Summary!R36,R119)</f>
        <v>3.8269042368208925</v>
      </c>
      <c r="S119" s="103">
        <f ca="1">IF(AND(Energy!$F$11=$A$3,Main!$B$43=A119),'Aerodynamics-Cruise'!W36,S119)</f>
        <v>1</v>
      </c>
      <c r="T119" s="103">
        <f ca="1">IF(AND(Energy!$F$11=$A$3,Main!$B$43=A119),'Aerodynamics-Cruise'!BL36,T119)</f>
        <v>22.841275194158186</v>
      </c>
      <c r="U119" s="103">
        <f ca="1">IF(AND(Energy!$F$11=$A$3,Main!$B$43=A119),'Propulsion-Cruise'!M36,U119)</f>
        <v>51.666667027596922</v>
      </c>
      <c r="V119" s="103">
        <f ca="1">IF(AND(Energy!$F$11=$A$3,Main!$B$43=A119),Endurance!AP36,V119)</f>
        <v>508.76917846581944</v>
      </c>
      <c r="W119" s="103">
        <f ca="1">IF(AND(Energy!$F$11=$A$3,Main!$B$43=$A119),Summary!W36,W119)</f>
        <v>1.9812865497076022</v>
      </c>
      <c r="X119" s="13">
        <f ca="1">IF(AND(Energy!$F$11=$A$3,Main!$B$43=A119),Energy!D36,X119)</f>
        <v>918.61100031717251</v>
      </c>
      <c r="Y119" s="102">
        <f ca="1">IF(AND(Energy!$F$11=$A$3,Main!$B$43=A119),'Aerodynamics-Cruise'!V36,Y119)</f>
        <v>152276.34755381118</v>
      </c>
      <c r="Z119" s="102">
        <f ca="1">IF(AND(Energy!$F$11=$A$3,Main!$B$43=$A119),Summary!Z36,Z119)</f>
        <v>114307.49474984109</v>
      </c>
      <c r="AA119" s="102">
        <f ca="1">IF(AND(Energy!$F$11=$A$3,Main!$B$43=$A119),Summary!AA36,AA119)</f>
        <v>114307.49474984109</v>
      </c>
      <c r="AB119" s="103">
        <f ca="1">IF(AND(Energy!$F$11=$A$3,Main!$B$43=$A119),Summary!AB36,AB119)</f>
        <v>3.8269042368208925</v>
      </c>
      <c r="AC119" s="103">
        <f ca="1">IF(AND(Energy!$F$11=$A$3,Main!$B$43=$A119),Summary!AC36,AC119)</f>
        <v>1.9770492144603886</v>
      </c>
      <c r="AD119" s="103">
        <f ca="1">IF(AND(Energy!$F$11=$A$3,Main!$B$43=$A119),Summary!AD36,AD119)</f>
        <v>0.40651437327489093</v>
      </c>
      <c r="AE119" s="103">
        <f ca="1">IF(AND(Energy!$F$11=$A$3,Main!$B$43=$A119),Summary!AE36,AE119)</f>
        <v>1.9812865497076022</v>
      </c>
      <c r="AF119" s="103">
        <f ca="1">IF(AND(Energy!$F$11=$A$3,Main!$B$43=$A119),Summary!AF36,AF119)</f>
        <v>20.469924812030083</v>
      </c>
      <c r="AG119" s="103">
        <f ca="1">IF(AND(Energy!$F$11=$A$3,Main!$B$43=$A119),Summary!AG36,AG119)</f>
        <v>11.071355024693759</v>
      </c>
      <c r="AH119" s="103">
        <f ca="1">IF(AND(Energy!$F$11=$A$3,Main!$B$43=$A119),Summary!AH36,AH119)</f>
        <v>47</v>
      </c>
      <c r="AI119" s="103">
        <f ca="1">IF(AND(Energy!$F$11=$A$3,Main!$B$43=$A119),Summary!AI36,AI119)</f>
        <v>2.729766213337284</v>
      </c>
      <c r="AJ119" s="103">
        <f ca="1">IF(AND(Energy!$F$11=$A$3,Main!$B$43=$A119),Summary!AJ36,AJ119)</f>
        <v>0.23335575053335555</v>
      </c>
      <c r="AK119" s="103">
        <f ca="1">IF(AND(Energy!$F$11=$A$3,Main!$B$43=$A119),Summary!AK36,AK119)</f>
        <v>0.01</v>
      </c>
      <c r="AL119" s="103">
        <f ca="1">IF(AND(Energy!$F$11=$A$3,Main!$B$43=$A119),Summary!AL36,AL119)</f>
        <v>-0.5356611502682066</v>
      </c>
      <c r="AM119" s="103">
        <f ca="1">IF(AND(Energy!$F$11=$A$3,Main!$B$43=$A119),Summary!AJ136,AM119)</f>
        <v>0</v>
      </c>
    </row>
    <row r="120" spans="1:39">
      <c r="A120">
        <f t="shared" si="7"/>
        <v>6</v>
      </c>
      <c r="D120" s="1">
        <f ca="1">IF(AND(Energy!$F$11=$A$3,Main!$B$43=A120),Main!C37,D120)</f>
        <v>6.526315789473685</v>
      </c>
      <c r="E120" s="103">
        <f ca="1">IF(AND(Energy!$F$11=$A$3,Main!$B$43=A120),Main!B37,E120)</f>
        <v>0.31111111111111106</v>
      </c>
      <c r="F120" s="103">
        <f ca="1">IF(Main!$D$6=1,U120,IF(Main!$D$6=2,N120,IF(Main!$D$6=3,K120,IF(Main!$D$6=4,V120,J120))))</f>
        <v>512.5313770236869</v>
      </c>
      <c r="G120" s="103">
        <f ca="1">IF(AND(Energy!$F$11=$A$3,Main!$B$43=A120),Weight!H37,G120)</f>
        <v>15</v>
      </c>
      <c r="H120" s="103">
        <f ca="1">IF(AND(Energy!$F$11=$A$3,Main!$B$43=A120),Weight!U37,H120)</f>
        <v>23.640502577807332</v>
      </c>
      <c r="I120" s="103">
        <f ca="1">IF(AND(Energy!$F$11=$A$3,Main!$B$43=A120),Weight!V37,I120)</f>
        <v>50.050907545425915</v>
      </c>
      <c r="J120" s="103">
        <f ca="1">IF(AND(Energy!$F$11=$A$3,Main!$B$43=A120),Weight!I37,J120)</f>
        <v>21.472756692618582</v>
      </c>
      <c r="K120" s="103">
        <f ca="1">IF(AND(Energy!$F$11=$A$3,Main!$B$43=A120),Weight!W37,K120)</f>
        <v>65.050908106831699</v>
      </c>
      <c r="L120" s="103">
        <f ca="1">IF(AND(Energy!$F$11=$A$3,Main!$B$43=A120),'Aerodynamics-Cruise'!BI37,L120)</f>
        <v>65.050906964644298</v>
      </c>
      <c r="M120" s="103">
        <f ca="1">IF(AND(Energy!$F$11=$A$3,Main!$B$43=A120),'Aerodynamics-Cruise'!BJ37,M120)</f>
        <v>2.9837384426117426</v>
      </c>
      <c r="N120" s="103">
        <f ca="1">IF(AND(Energy!$F$11=$A$3,Main!$B$43=A120),'Aerodynamics-Cruise'!BK37,N120)</f>
        <v>21.801812798210147</v>
      </c>
      <c r="O120" s="103">
        <f t="shared" ca="1" si="5"/>
        <v>175.84065153815416</v>
      </c>
      <c r="P120" s="103">
        <f ca="1">IF(AND(Energy!$F$11=$A$3,Main!$B$43=A120),'Aerodynamics-Cruise'!H37,P120)</f>
        <v>7.6760148832054584</v>
      </c>
      <c r="Q120" s="103">
        <f ca="1">IF(AND(Energy!$F$11=$A$3,Main!$B$43=A120),'Aerodynamics-Cruise'!I37,Q120)</f>
        <v>6.5057478273410227</v>
      </c>
      <c r="R120" s="103">
        <f ca="1">IF(AND(Energy!$F$11=$A$3,Main!$B$43=$A120),Summary!R37,R120)</f>
        <v>3.8404415406650907</v>
      </c>
      <c r="S120" s="103">
        <f ca="1">IF(AND(Energy!$F$11=$A$3,Main!$B$43=A120),'Aerodynamics-Cruise'!W37,S120)</f>
        <v>1</v>
      </c>
      <c r="T120" s="103">
        <f ca="1">IF(AND(Energy!$F$11=$A$3,Main!$B$43=A120),'Aerodynamics-Cruise'!BL37,T120)</f>
        <v>22.903220693080012</v>
      </c>
      <c r="U120" s="103">
        <f ca="1">IF(AND(Energy!$F$11=$A$3,Main!$B$43=A120),'Propulsion-Cruise'!M37,U120)</f>
        <v>51.918682533606628</v>
      </c>
      <c r="V120" s="103">
        <f ca="1">IF(AND(Energy!$F$11=$A$3,Main!$B$43=A120),Endurance!AP37,V120)</f>
        <v>512.5313770236869</v>
      </c>
      <c r="W120" s="103">
        <f ca="1">IF(AND(Energy!$F$11=$A$3,Main!$B$43=$A120),Summary!W37,W120)</f>
        <v>2.030409356725146</v>
      </c>
      <c r="X120" s="13">
        <f ca="1">IF(AND(Energy!$F$11=$A$3,Main!$B$43=A120),Energy!D37,X120)</f>
        <v>925.40385823175643</v>
      </c>
      <c r="Y120" s="102">
        <f ca="1">IF(AND(Energy!$F$11=$A$3,Main!$B$43=A120),'Aerodynamics-Cruise'!V37,Y120)</f>
        <v>151459.53089606564</v>
      </c>
      <c r="Z120" s="102">
        <f ca="1">IF(AND(Energy!$F$11=$A$3,Main!$B$43=$A120),Summary!Z37,Z120)</f>
        <v>113718.52740411916</v>
      </c>
      <c r="AA120" s="102">
        <f ca="1">IF(AND(Energy!$F$11=$A$3,Main!$B$43=$A120),Summary!AA37,AA120)</f>
        <v>113718.52740411916</v>
      </c>
      <c r="AB120" s="103">
        <f ca="1">IF(AND(Energy!$F$11=$A$3,Main!$B$43=$A120),Summary!AB37,AB120)</f>
        <v>3.8404415406650907</v>
      </c>
      <c r="AC120" s="103">
        <f ca="1">IF(AND(Energy!$F$11=$A$3,Main!$B$43=$A120),Summary!AC37,AC120)</f>
        <v>1.938958514329824</v>
      </c>
      <c r="AD120" s="103">
        <f ca="1">IF(AND(Energy!$F$11=$A$3,Main!$B$43=$A120),Summary!AD37,AD120)</f>
        <v>0.40658227229857152</v>
      </c>
      <c r="AE120" s="103">
        <f ca="1">IF(AND(Energy!$F$11=$A$3,Main!$B$43=$A120),Summary!AE37,AE120)</f>
        <v>2.030409356725146</v>
      </c>
      <c r="AF120" s="103">
        <f ca="1">IF(AND(Energy!$F$11=$A$3,Main!$B$43=$A120),Summary!AF37,AF120)</f>
        <v>20.977443609022561</v>
      </c>
      <c r="AG120" s="103">
        <f ca="1">IF(AND(Energy!$F$11=$A$3,Main!$B$43=$A120),Summary!AG37,AG120)</f>
        <v>11.111695998220933</v>
      </c>
      <c r="AH120" s="103">
        <f ca="1">IF(AND(Energy!$F$11=$A$3,Main!$B$43=$A120),Summary!AH37,AH120)</f>
        <v>47</v>
      </c>
      <c r="AI120" s="103">
        <f ca="1">IF(AND(Energy!$F$11=$A$3,Main!$B$43=$A120),Summary!AI37,AI120)</f>
        <v>2.7285582189024651</v>
      </c>
      <c r="AJ120" s="103">
        <f ca="1">IF(AND(Energy!$F$11=$A$3,Main!$B$43=$A120),Summary!AJ37,AJ120)</f>
        <v>0.23372250729843913</v>
      </c>
      <c r="AK120" s="103">
        <f ca="1">IF(AND(Energy!$F$11=$A$3,Main!$B$43=$A120),Summary!AK37,AK120)</f>
        <v>0.01</v>
      </c>
      <c r="AL120" s="103">
        <f ca="1">IF(AND(Energy!$F$11=$A$3,Main!$B$43=$A120),Summary!AL37,AL120)</f>
        <v>-0.53482053678794161</v>
      </c>
      <c r="AM120" s="103">
        <f ca="1">IF(AND(Energy!$F$11=$A$3,Main!$B$43=$A120),Summary!AJ137,AM120)</f>
        <v>0</v>
      </c>
    </row>
    <row r="121" spans="1:39">
      <c r="A121">
        <f t="shared" si="7"/>
        <v>6</v>
      </c>
      <c r="D121" s="1">
        <f ca="1">IF(AND(Energy!$F$11=$A$3,Main!$B$43=A121),Main!C38,D121)</f>
        <v>6.6842105263157903</v>
      </c>
      <c r="E121" s="103">
        <f ca="1">IF(AND(Energy!$F$11=$A$3,Main!$B$43=A121),Main!B38,E121)</f>
        <v>0.31111111111111106</v>
      </c>
      <c r="F121" s="103">
        <f ca="1">IF(Main!$D$6=1,U121,IF(Main!$D$6=2,N121,IF(Main!$D$6=3,K121,IF(Main!$D$6=4,V121,J121))))</f>
        <v>516.71640564312361</v>
      </c>
      <c r="G121" s="103">
        <f ca="1">IF(AND(Energy!$F$11=$A$3,Main!$B$43=A121),Weight!H38,G121)</f>
        <v>15</v>
      </c>
      <c r="H121" s="103">
        <f ca="1">IF(AND(Energy!$F$11=$A$3,Main!$B$43=A121),Weight!U38,H121)</f>
        <v>24.388964019067799</v>
      </c>
      <c r="I121" s="103">
        <f ca="1">IF(AND(Energy!$F$11=$A$3,Main!$B$43=A121),Weight!V38,I121)</f>
        <v>50.974702817572208</v>
      </c>
      <c r="J121" s="103">
        <f ca="1">IF(AND(Energy!$F$11=$A$3,Main!$B$43=A121),Weight!I38,J121)</f>
        <v>21.648090523504408</v>
      </c>
      <c r="K121" s="103">
        <f ca="1">IF(AND(Energy!$F$11=$A$3,Main!$B$43=A121),Weight!W38,K121)</f>
        <v>65.974703400478589</v>
      </c>
      <c r="L121" s="103">
        <f ca="1">IF(AND(Energy!$F$11=$A$3,Main!$B$43=A121),'Aerodynamics-Cruise'!BI38,L121)</f>
        <v>65.97470221497214</v>
      </c>
      <c r="M121" s="103">
        <f ca="1">IF(AND(Energy!$F$11=$A$3,Main!$B$43=A121),'Aerodynamics-Cruise'!BJ38,M121)</f>
        <v>3.0094033337465076</v>
      </c>
      <c r="N121" s="103">
        <f ca="1">IF(AND(Energy!$F$11=$A$3,Main!$B$43=A121),'Aerodynamics-Cruise'!BK38,N121)</f>
        <v>21.922851442062441</v>
      </c>
      <c r="O121" s="103">
        <f t="shared" ca="1" si="5"/>
        <v>178.06795053821824</v>
      </c>
      <c r="P121" s="103">
        <f ca="1">IF(AND(Energy!$F$11=$A$3,Main!$B$43=A121),'Aerodynamics-Cruise'!H38,P121)</f>
        <v>7.6384570169725485</v>
      </c>
      <c r="Q121" s="103">
        <f ca="1">IF(AND(Energy!$F$11=$A$3,Main!$B$43=A121),'Aerodynamics-Cruise'!I38,Q121)</f>
        <v>6.475223020072761</v>
      </c>
      <c r="R121" s="103">
        <f ca="1">IF(AND(Energy!$F$11=$A$3,Main!$B$43=$A121),Summary!R38,R121)</f>
        <v>3.8590946480348949</v>
      </c>
      <c r="S121" s="103">
        <f ca="1">IF(AND(Energy!$F$11=$A$3,Main!$B$43=A121),'Aerodynamics-Cruise'!W38,S121)</f>
        <v>1</v>
      </c>
      <c r="T121" s="103">
        <f ca="1">IF(AND(Energy!$F$11=$A$3,Main!$B$43=A121),'Aerodynamics-Cruise'!BL38,T121)</f>
        <v>22.98719801155659</v>
      </c>
      <c r="U121" s="103">
        <f ca="1">IF(AND(Energy!$F$11=$A$3,Main!$B$43=A121),'Propulsion-Cruise'!M38,U121)</f>
        <v>52.214600639979764</v>
      </c>
      <c r="V121" s="103">
        <f ca="1">IF(AND(Energy!$F$11=$A$3,Main!$B$43=A121),Endurance!AP38,V121)</f>
        <v>516.71640564312361</v>
      </c>
      <c r="W121" s="103">
        <f ca="1">IF(AND(Energy!$F$11=$A$3,Main!$B$43=$A121),Summary!W38,W121)</f>
        <v>2.07953216374269</v>
      </c>
      <c r="X121" s="13">
        <f ca="1">IF(AND(Energy!$F$11=$A$3,Main!$B$43=A121),Energy!D38,X121)</f>
        <v>932.96015928772636</v>
      </c>
      <c r="Y121" s="102">
        <f ca="1">IF(AND(Energy!$F$11=$A$3,Main!$B$43=A121),'Aerodynamics-Cruise'!V38,Y121)</f>
        <v>150718.45666840361</v>
      </c>
      <c r="Z121" s="102">
        <f ca="1">IF(AND(Energy!$F$11=$A$3,Main!$B$43=$A121),Summary!Z38,Z121)</f>
        <v>113184.07142784928</v>
      </c>
      <c r="AA121" s="102">
        <f ca="1">IF(AND(Energy!$F$11=$A$3,Main!$B$43=$A121),Summary!AA38,AA121)</f>
        <v>113184.07142784928</v>
      </c>
      <c r="AB121" s="103">
        <f ca="1">IF(AND(Energy!$F$11=$A$3,Main!$B$43=$A121),Summary!AB38,AB121)</f>
        <v>3.8590946480348949</v>
      </c>
      <c r="AC121" s="103">
        <f ca="1">IF(AND(Energy!$F$11=$A$3,Main!$B$43=$A121),Summary!AC38,AC121)</f>
        <v>1.901429072191865</v>
      </c>
      <c r="AD121" s="103">
        <f ca="1">IF(AND(Energy!$F$11=$A$3,Main!$B$43=$A121),Summary!AD38,AD121)</f>
        <v>0.40681286578389292</v>
      </c>
      <c r="AE121" s="103">
        <f ca="1">IF(AND(Energy!$F$11=$A$3,Main!$B$43=$A121),Summary!AE38,AE121)</f>
        <v>2.07953216374269</v>
      </c>
      <c r="AF121" s="103">
        <f ca="1">IF(AND(Energy!$F$11=$A$3,Main!$B$43=$A121),Summary!AF38,AF121)</f>
        <v>21.484962406015043</v>
      </c>
      <c r="AG121" s="103">
        <f ca="1">IF(AND(Energy!$F$11=$A$3,Main!$B$43=$A121),Summary!AG38,AG121)</f>
        <v>11.157348731070647</v>
      </c>
      <c r="AH121" s="103">
        <f ca="1">IF(AND(Energy!$F$11=$A$3,Main!$B$43=$A121),Summary!AH38,AH121)</f>
        <v>47</v>
      </c>
      <c r="AI121" s="103">
        <f ca="1">IF(AND(Energy!$F$11=$A$3,Main!$B$43=$A121),Summary!AI38,AI121)</f>
        <v>2.7274567657439679</v>
      </c>
      <c r="AJ121" s="103">
        <f ca="1">IF(AND(Energy!$F$11=$A$3,Main!$B$43=$A121),Summary!AJ38,AJ121)</f>
        <v>0.23406164321988596</v>
      </c>
      <c r="AK121" s="103">
        <f ca="1">IF(AND(Energy!$F$11=$A$3,Main!$B$43=$A121),Summary!AK38,AK121)</f>
        <v>0.01</v>
      </c>
      <c r="AL121" s="103">
        <f ca="1">IF(AND(Energy!$F$11=$A$3,Main!$B$43=$A121),Summary!AL38,AL121)</f>
        <v>-0.53404557065449476</v>
      </c>
      <c r="AM121" s="103">
        <f ca="1">IF(AND(Energy!$F$11=$A$3,Main!$B$43=$A121),Summary!AJ138,AM121)</f>
        <v>0</v>
      </c>
    </row>
    <row r="122" spans="1:39">
      <c r="A122">
        <f t="shared" si="7"/>
        <v>6</v>
      </c>
      <c r="D122" s="1">
        <f ca="1">IF(AND(Energy!$F$11=$A$3,Main!$B$43=A122),Main!C39,D122)</f>
        <v>6.8421052631578956</v>
      </c>
      <c r="E122" s="103">
        <f ca="1">IF(AND(Energy!$F$11=$A$3,Main!$B$43=A122),Main!B39,E122)</f>
        <v>0.31111111111111106</v>
      </c>
      <c r="F122" s="103">
        <f ca="1">IF(Main!$D$6=1,U122,IF(Main!$D$6=2,N122,IF(Main!$D$6=3,K122,IF(Main!$D$6=4,V122,J122))))</f>
        <v>521.30242175121509</v>
      </c>
      <c r="G122" s="103">
        <f ca="1">IF(AND(Energy!$F$11=$A$3,Main!$B$43=A122),Weight!H39,G122)</f>
        <v>15</v>
      </c>
      <c r="H122" s="103">
        <f ca="1">IF(AND(Energy!$F$11=$A$3,Main!$B$43=A122),Weight!U39,H122)</f>
        <v>25.155984808657948</v>
      </c>
      <c r="I122" s="103">
        <f ca="1">IF(AND(Energy!$F$11=$A$3,Main!$B$43=A122),Weight!V39,I122)</f>
        <v>51.933857007612403</v>
      </c>
      <c r="J122" s="103">
        <f ca="1">IF(AND(Energy!$F$11=$A$3,Main!$B$43=A122),Weight!I39,J122)</f>
        <v>21.840223923954458</v>
      </c>
      <c r="K122" s="103">
        <f ca="1">IF(AND(Energy!$F$11=$A$3,Main!$B$43=A122),Weight!W39,K122)</f>
        <v>66.93385761272917</v>
      </c>
      <c r="L122" s="103">
        <f ca="1">IF(AND(Energy!$F$11=$A$3,Main!$B$43=A122),'Aerodynamics-Cruise'!BI39,L122)</f>
        <v>66.933856382517234</v>
      </c>
      <c r="M122" s="103">
        <f ca="1">IF(AND(Energy!$F$11=$A$3,Main!$B$43=A122),'Aerodynamics-Cruise'!BJ39,M122)</f>
        <v>3.0366077734052817</v>
      </c>
      <c r="N122" s="103">
        <f ca="1">IF(AND(Energy!$F$11=$A$3,Main!$B$43=A122),'Aerodynamics-Cruise'!BK39,N122)</f>
        <v>22.042312138145174</v>
      </c>
      <c r="O122" s="103">
        <f t="shared" ca="1" si="5"/>
        <v>180.33501979201628</v>
      </c>
      <c r="P122" s="103">
        <f ca="1">IF(AND(Energy!$F$11=$A$3,Main!$B$43=A122),'Aerodynamics-Cruise'!H39,P122)</f>
        <v>7.6044694064998044</v>
      </c>
      <c r="Q122" s="103">
        <f ca="1">IF(AND(Energy!$F$11=$A$3,Main!$B$43=A122),'Aerodynamics-Cruise'!I39,Q122)</f>
        <v>6.4475949773986025</v>
      </c>
      <c r="R122" s="103">
        <f ca="1">IF(AND(Energy!$F$11=$A$3,Main!$B$43=$A122),Summary!R39,R122)</f>
        <v>3.8826051393920111</v>
      </c>
      <c r="S122" s="103">
        <f ca="1">IF(AND(Energy!$F$11=$A$3,Main!$B$43=A122),'Aerodynamics-Cruise'!W39,S122)</f>
        <v>1</v>
      </c>
      <c r="T122" s="103">
        <f ca="1">IF(AND(Energy!$F$11=$A$3,Main!$B$43=A122),'Aerodynamics-Cruise'!BL39,T122)</f>
        <v>23.091790912399954</v>
      </c>
      <c r="U122" s="103">
        <f ca="1">IF(AND(Energy!$F$11=$A$3,Main!$B$43=A122),'Propulsion-Cruise'!M39,U122)</f>
        <v>52.551870067006945</v>
      </c>
      <c r="V122" s="103">
        <f ca="1">IF(AND(Energy!$F$11=$A$3,Main!$B$43=A122),Endurance!AP39,V122)</f>
        <v>521.30242175121509</v>
      </c>
      <c r="W122" s="103">
        <f ca="1">IF(AND(Energy!$F$11=$A$3,Main!$B$43=$A122),Summary!W39,W122)</f>
        <v>2.128654970760234</v>
      </c>
      <c r="X122" s="13">
        <f ca="1">IF(AND(Energy!$F$11=$A$3,Main!$B$43=A122),Energy!D39,X122)</f>
        <v>941.24046550659693</v>
      </c>
      <c r="Y122" s="102">
        <f ca="1">IF(AND(Energy!$F$11=$A$3,Main!$B$43=A122),'Aerodynamics-Cruise'!V39,Y122)</f>
        <v>150047.82905540313</v>
      </c>
      <c r="Z122" s="102">
        <f ca="1">IF(AND(Energy!$F$11=$A$3,Main!$B$43=$A122),Summary!Z39,Z122)</f>
        <v>112700.33798530651</v>
      </c>
      <c r="AA122" s="102">
        <f ca="1">IF(AND(Energy!$F$11=$A$3,Main!$B$43=$A122),Summary!AA39,AA122)</f>
        <v>112700.33798530651</v>
      </c>
      <c r="AB122" s="103">
        <f ca="1">IF(AND(Energy!$F$11=$A$3,Main!$B$43=$A122),Summary!AB39,AB122)</f>
        <v>3.8826051393920111</v>
      </c>
      <c r="AC122" s="103">
        <f ca="1">IF(AND(Energy!$F$11=$A$3,Main!$B$43=$A122),Summary!AC39,AC122)</f>
        <v>1.8644814483555006</v>
      </c>
      <c r="AD122" s="103">
        <f ca="1">IF(AND(Energy!$F$11=$A$3,Main!$B$43=$A122),Summary!AD39,AD122)</f>
        <v>0.40719511131586089</v>
      </c>
      <c r="AE122" s="103">
        <f ca="1">IF(AND(Energy!$F$11=$A$3,Main!$B$43=$A122),Summary!AE39,AE122)</f>
        <v>2.128654970760234</v>
      </c>
      <c r="AF122" s="103">
        <f ca="1">IF(AND(Energy!$F$11=$A$3,Main!$B$43=$A122),Summary!AF39,AF122)</f>
        <v>21.992481203007522</v>
      </c>
      <c r="AG122" s="103">
        <f ca="1">IF(AND(Energy!$F$11=$A$3,Main!$B$43=$A122),Summary!AG39,AG122)</f>
        <v>11.207977141903822</v>
      </c>
      <c r="AH122" s="103">
        <f ca="1">IF(AND(Energy!$F$11=$A$3,Main!$B$43=$A122),Summary!AH39,AH122)</f>
        <v>47</v>
      </c>
      <c r="AI122" s="103">
        <f ca="1">IF(AND(Energy!$F$11=$A$3,Main!$B$43=$A122),Summary!AI39,AI122)</f>
        <v>2.7264553891718224</v>
      </c>
      <c r="AJ122" s="103">
        <f ca="1">IF(AND(Energy!$F$11=$A$3,Main!$B$43=$A122),Summary!AJ39,AJ122)</f>
        <v>0.23437483045969171</v>
      </c>
      <c r="AK122" s="103">
        <f ca="1">IF(AND(Energy!$F$11=$A$3,Main!$B$43=$A122),Summary!AK39,AK122)</f>
        <v>0.01</v>
      </c>
      <c r="AL122" s="103">
        <f ca="1">IF(AND(Energy!$F$11=$A$3,Main!$B$43=$A122),Summary!AL39,AL122)</f>
        <v>-0.53333188785731167</v>
      </c>
      <c r="AM122" s="103">
        <f ca="1">IF(AND(Energy!$F$11=$A$3,Main!$B$43=$A122),Summary!AJ139,AM122)</f>
        <v>0</v>
      </c>
    </row>
    <row r="123" spans="1:39">
      <c r="A123">
        <f t="shared" si="7"/>
        <v>6</v>
      </c>
      <c r="D123" s="1">
        <f ca="1">IF(AND(Energy!$F$11=$A$3,Main!$B$43=A123),Main!C40,D123)</f>
        <v>7</v>
      </c>
      <c r="E123" s="103">
        <f ca="1">IF(AND(Energy!$F$11=$A$3,Main!$B$43=A123),Main!B40,E123)</f>
        <v>0.31111111111111106</v>
      </c>
      <c r="F123" s="103">
        <f ca="1">IF(Main!$D$6=1,U123,IF(Main!$D$6=2,N123,IF(Main!$D$6=3,K123,IF(Main!$D$6=4,V123,J123))))</f>
        <v>526.27064461910766</v>
      </c>
      <c r="G123" s="103">
        <f ca="1">IF(AND(Energy!$F$11=$A$3,Main!$B$43=A123),Weight!H40,G123)</f>
        <v>15</v>
      </c>
      <c r="H123" s="103">
        <f ca="1">IF(AND(Energy!$F$11=$A$3,Main!$B$43=A123),Weight!U40,H123)</f>
        <v>25.941742833689233</v>
      </c>
      <c r="I123" s="103">
        <f ca="1">IF(AND(Energy!$F$11=$A$3,Main!$B$43=A123),Weight!V40,I123)</f>
        <v>52.927761174661441</v>
      </c>
      <c r="J123" s="103">
        <f ca="1">IF(AND(Energy!$F$11=$A$3,Main!$B$43=A123),Weight!I40,J123)</f>
        <v>22.048370065972204</v>
      </c>
      <c r="K123" s="103">
        <f ca="1">IF(AND(Energy!$F$11=$A$3,Main!$B$43=A123),Weight!W40,K123)</f>
        <v>67.927761802709085</v>
      </c>
      <c r="L123" s="103">
        <f ca="1">IF(AND(Energy!$F$11=$A$3,Main!$B$43=A123),'Aerodynamics-Cruise'!BI40,L123)</f>
        <v>67.92776052638159</v>
      </c>
      <c r="M123" s="103">
        <f ca="1">IF(AND(Energy!$F$11=$A$3,Main!$B$43=A123),'Aerodynamics-Cruise'!BJ40,M123)</f>
        <v>3.065269547065443</v>
      </c>
      <c r="N123" s="103">
        <f ca="1">IF(AND(Energy!$F$11=$A$3,Main!$B$43=A123),'Aerodynamics-Cruise'!BK40,N123)</f>
        <v>22.160452607312365</v>
      </c>
      <c r="O123" s="103">
        <f t="shared" ca="1" si="5"/>
        <v>182.64268146898476</v>
      </c>
      <c r="P123" s="103">
        <f ca="1">IF(AND(Energy!$F$11=$A$3,Main!$B$43=A123),'Aerodynamics-Cruise'!H40,P123)</f>
        <v>7.5738109552522745</v>
      </c>
      <c r="Q123" s="103">
        <f ca="1">IF(AND(Energy!$F$11=$A$3,Main!$B$43=A123),'Aerodynamics-Cruise'!I40,Q123)</f>
        <v>6.422669246706346</v>
      </c>
      <c r="R123" s="103">
        <f ca="1">IF(AND(Energy!$F$11=$A$3,Main!$B$43=$A123),Summary!R40,R123)</f>
        <v>3.9107564416718414</v>
      </c>
      <c r="S123" s="103">
        <f ca="1">IF(AND(Energy!$F$11=$A$3,Main!$B$43=A123),'Aerodynamics-Cruise'!W40,S123)</f>
        <v>1</v>
      </c>
      <c r="T123" s="103">
        <f ca="1">IF(AND(Energy!$F$11=$A$3,Main!$B$43=A123),'Aerodynamics-Cruise'!BL40,T123)</f>
        <v>23.215772076365429</v>
      </c>
      <c r="U123" s="103">
        <f ca="1">IF(AND(Energy!$F$11=$A$3,Main!$B$43=A123),'Propulsion-Cruise'!M40,U123)</f>
        <v>52.928284312473885</v>
      </c>
      <c r="V123" s="103">
        <f ca="1">IF(AND(Energy!$F$11=$A$3,Main!$B$43=A123),Endurance!AP40,V123)</f>
        <v>526.27064461910766</v>
      </c>
      <c r="W123" s="103">
        <f ca="1">IF(AND(Energy!$F$11=$A$3,Main!$B$43=$A123),Summary!W40,W123)</f>
        <v>2.1777777777777776</v>
      </c>
      <c r="X123" s="13">
        <f ca="1">IF(AND(Energy!$F$11=$A$3,Main!$B$43=A123),Energy!D40,X123)</f>
        <v>950.21086723906376</v>
      </c>
      <c r="Y123" s="102">
        <f ca="1">IF(AND(Energy!$F$11=$A$3,Main!$B$43=A123),'Aerodynamics-Cruise'!V40,Y123)</f>
        <v>149442.89085314531</v>
      </c>
      <c r="Z123" s="102">
        <f ca="1">IF(AND(Energy!$F$11=$A$3,Main!$B$43=$A123),Summary!Z40,Z123)</f>
        <v>112263.92140184825</v>
      </c>
      <c r="AA123" s="102">
        <f ca="1">IF(AND(Energy!$F$11=$A$3,Main!$B$43=$A123),Summary!AA40,AA123)</f>
        <v>112263.92140184825</v>
      </c>
      <c r="AB123" s="103">
        <f ca="1">IF(AND(Energy!$F$11=$A$3,Main!$B$43=$A123),Summary!AB40,AB123)</f>
        <v>3.9107564416718414</v>
      </c>
      <c r="AC123" s="103">
        <f ca="1">IF(AND(Energy!$F$11=$A$3,Main!$B$43=$A123),Summary!AC40,AC123)</f>
        <v>1.8281305021814624</v>
      </c>
      <c r="AD123" s="103">
        <f ca="1">IF(AND(Energy!$F$11=$A$3,Main!$B$43=$A123),Summary!AD40,AD123)</f>
        <v>0.40771913800184961</v>
      </c>
      <c r="AE123" s="103">
        <f ca="1">IF(AND(Energy!$F$11=$A$3,Main!$B$43=$A123),Summary!AE40,AE123)</f>
        <v>2.1777777777777776</v>
      </c>
      <c r="AF123" s="103">
        <f ca="1">IF(AND(Energy!$F$11=$A$3,Main!$B$43=$A123),Summary!AF40,AF123)</f>
        <v>22.500000000000004</v>
      </c>
      <c r="AG123" s="103">
        <f ca="1">IF(AND(Energy!$F$11=$A$3,Main!$B$43=$A123),Summary!AG40,AG123)</f>
        <v>11.26328561304982</v>
      </c>
      <c r="AH123" s="103">
        <f ca="1">IF(AND(Energy!$F$11=$A$3,Main!$B$43=$A123),Summary!AH40,AH123)</f>
        <v>47</v>
      </c>
      <c r="AI123" s="103">
        <f ca="1">IF(AND(Energy!$F$11=$A$3,Main!$B$43=$A123),Summary!AI40,AI123)</f>
        <v>2.7255481903012497</v>
      </c>
      <c r="AJ123" s="103">
        <f ca="1">IF(AND(Energy!$F$11=$A$3,Main!$B$43=$A123),Summary!AJ40,AJ123)</f>
        <v>0.23466360137088313</v>
      </c>
      <c r="AK123" s="103">
        <f ca="1">IF(AND(Energy!$F$11=$A$3,Main!$B$43=$A123),Summary!AK40,AK123)</f>
        <v>0.01</v>
      </c>
      <c r="AL123" s="103">
        <f ca="1">IF(AND(Energy!$F$11=$A$3,Main!$B$43=$A123),Summary!AL40,AL123)</f>
        <v>-0.53267552793593498</v>
      </c>
      <c r="AM123" s="103">
        <f ca="1">IF(AND(Energy!$F$11=$A$3,Main!$B$43=$A123),Summary!AJ140,AM123)</f>
        <v>0</v>
      </c>
    </row>
    <row r="124" spans="1:39">
      <c r="A124" s="7">
        <f>A104+1</f>
        <v>7</v>
      </c>
      <c r="D124" s="1">
        <f ca="1">IF(AND(Energy!$F$11=$A$3,Main!$B$43=A124),Main!C21,D124)</f>
        <v>4</v>
      </c>
      <c r="E124" s="103">
        <f ca="1">IF(AND(Energy!$F$11=$A$3,Main!$B$43=A124),Main!B21,E124)</f>
        <v>0.33333333333333326</v>
      </c>
      <c r="F124" s="103">
        <f ca="1">IF(Main!$D$6=1,U124,IF(Main!$D$6=2,N124,IF(Main!$D$6=3,K124,IF(Main!$D$6=4,V124,J124))))</f>
        <v>557.78045788595455</v>
      </c>
      <c r="G124" s="103">
        <f ca="1">IF(AND(Energy!$F$11=$A$3,Main!$B$43=A124),Weight!H21,G124)</f>
        <v>15</v>
      </c>
      <c r="H124" s="103">
        <f ca="1">IF(AND(Energy!$F$11=$A$3,Main!$B$43=A124),Weight!U21,H124)</f>
        <v>15.044750933691283</v>
      </c>
      <c r="I124" s="103">
        <f ca="1">IF(AND(Energy!$F$11=$A$3,Main!$B$43=A124),Weight!V21,I124)</f>
        <v>43.350889095319182</v>
      </c>
      <c r="J124" s="103">
        <f ca="1">IF(AND(Energy!$F$11=$A$3,Main!$B$43=A124),Weight!I21,J124)</f>
        <v>23.368489886627898</v>
      </c>
      <c r="K124" s="103">
        <f ca="1">IF(AND(Energy!$F$11=$A$3,Main!$B$43=A124),Weight!W21,K124)</f>
        <v>58.350889354188276</v>
      </c>
      <c r="L124" s="103">
        <f ca="1">IF(AND(Energy!$F$11=$A$3,Main!$B$43=A124),'Aerodynamics-Cruise'!BI21,L124)</f>
        <v>58.350888828059276</v>
      </c>
      <c r="M124" s="103">
        <f ca="1">IF(AND(Energy!$F$11=$A$3,Main!$B$43=A124),'Aerodynamics-Cruise'!BJ21,M124)</f>
        <v>3.0696331646280499</v>
      </c>
      <c r="N124" s="103">
        <f ca="1">IF(AND(Energy!$F$11=$A$3,Main!$B$43=A124),'Aerodynamics-Cruise'!BK21,N124)</f>
        <v>19.00907557959933</v>
      </c>
      <c r="O124" s="103">
        <f t="shared" ca="1" si="5"/>
        <v>145.20605793920816</v>
      </c>
      <c r="P124" s="103">
        <f ca="1">IF(AND(Energy!$F$11=$A$3,Main!$B$43=A124),'Aerodynamics-Cruise'!H21,P124)</f>
        <v>8.9794697146351403</v>
      </c>
      <c r="Q124" s="103">
        <f ca="1">IF(AND(Energy!$F$11=$A$3,Main!$B$43=A124),'Aerodynamics-Cruise'!I21,Q124)</f>
        <v>7.5341605340438056</v>
      </c>
      <c r="R124" s="103">
        <f ca="1">IF(AND(Energy!$F$11=$A$3,Main!$B$43=$A124),Summary!R21,R124)</f>
        <v>4.6494971048985194</v>
      </c>
      <c r="S124" s="103">
        <f ca="1">IF(AND(Energy!$F$11=$A$3,Main!$B$43=A124),'Aerodynamics-Cruise'!W21,S124)</f>
        <v>1</v>
      </c>
      <c r="T124" s="103">
        <f ca="1">IF(AND(Energy!$F$11=$A$3,Main!$B$43=A124),'Aerodynamics-Cruise'!BL21,T124)</f>
        <v>27.563678036817198</v>
      </c>
      <c r="U124" s="103">
        <f ca="1">IF(AND(Energy!$F$11=$A$3,Main!$B$43=A124),'Propulsion-Cruise'!M21,U124)</f>
        <v>59.114799087605022</v>
      </c>
      <c r="V124" s="103">
        <f ca="1">IF(AND(Energy!$F$11=$A$3,Main!$B$43=A124),Endurance!AP21,V124)</f>
        <v>557.78045788595455</v>
      </c>
      <c r="W124" s="103">
        <f ca="1">IF(AND(Energy!$F$11=$A$3,Main!$B$43=$A124),Summary!W21,W124)</f>
        <v>1.333333333333333</v>
      </c>
      <c r="X124" s="13">
        <f ca="1">IF(AND(Energy!$F$11=$A$3,Main!$B$43=A124),Energy!D21,X124)</f>
        <v>1007.1035959516998</v>
      </c>
      <c r="Y124" s="102">
        <f ca="1">IF(AND(Energy!$F$11=$A$3,Main!$B$43=A124),'Aerodynamics-Cruise'!V21,Y124)</f>
        <v>189834.31200502528</v>
      </c>
      <c r="Z124" s="102">
        <f ca="1">IF(AND(Energy!$F$11=$A$3,Main!$B$43=$A124),Summary!Z21,Z124)</f>
        <v>141157.14698838524</v>
      </c>
      <c r="AA124" s="102">
        <f ca="1">IF(AND(Energy!$F$11=$A$3,Main!$B$43=$A124),Summary!AA21,AA124)</f>
        <v>141157.14698838524</v>
      </c>
      <c r="AB124" s="103">
        <f ca="1">IF(AND(Energy!$F$11=$A$3,Main!$B$43=$A124),Summary!AB21,AB124)</f>
        <v>4.6494971048985194</v>
      </c>
      <c r="AC124" s="103">
        <f ca="1">IF(AND(Energy!$F$11=$A$3,Main!$B$43=$A124),Summary!AC21,AC124)</f>
        <v>2.426494342434923</v>
      </c>
      <c r="AD124" s="103">
        <f ca="1">IF(AND(Energy!$F$11=$A$3,Main!$B$43=$A124),Summary!AD21,AD124)</f>
        <v>0.44613388184433644</v>
      </c>
      <c r="AE124" s="103">
        <f ca="1">IF(AND(Energy!$F$11=$A$3,Main!$B$43=$A124),Summary!AE21,AE124)</f>
        <v>1.333333333333333</v>
      </c>
      <c r="AF124" s="103">
        <f ca="1">IF(AND(Energy!$F$11=$A$3,Main!$B$43=$A124),Summary!AF21,AF124)</f>
        <v>12.000000000000004</v>
      </c>
      <c r="AG124" s="103">
        <f ca="1">IF(AND(Energy!$F$11=$A$3,Main!$B$43=$A124),Summary!AG21,AG124)</f>
        <v>11.869760829282907</v>
      </c>
      <c r="AH124" s="103">
        <f ca="1">IF(AND(Energy!$F$11=$A$3,Main!$B$43=$A124),Summary!AH21,AH124)</f>
        <v>47</v>
      </c>
      <c r="AI124" s="103">
        <f ca="1">IF(AND(Energy!$F$11=$A$3,Main!$B$43=$A124),Summary!AI21,AI124)</f>
        <v>2.7841184336178246</v>
      </c>
      <c r="AJ124" s="103">
        <f ca="1">IF(AND(Energy!$F$11=$A$3,Main!$B$43=$A124),Summary!AJ21,AJ124)</f>
        <v>0.22244475507172545</v>
      </c>
      <c r="AK124" s="103">
        <f ca="1">IF(AND(Energy!$F$11=$A$3,Main!$B$43=$A124),Summary!AK21,AK124)</f>
        <v>0.01</v>
      </c>
      <c r="AL124" s="103">
        <f ca="1">IF(AND(Energy!$F$11=$A$3,Main!$B$43=$A124),Summary!AL21,AL124)</f>
        <v>-0.56193670457808687</v>
      </c>
      <c r="AM124" s="103">
        <f ca="1">IF(AND(Energy!$F$11=$A$3,Main!$B$43=$A124),Summary!AJ141,AM124)</f>
        <v>0</v>
      </c>
    </row>
    <row r="125" spans="1:39">
      <c r="A125">
        <f>A124</f>
        <v>7</v>
      </c>
      <c r="D125" s="1">
        <f ca="1">IF(AND(Energy!$F$11=$A$3,Main!$B$43=A125),Main!C22,D125)</f>
        <v>4.1578947368421053</v>
      </c>
      <c r="E125" s="103">
        <f ca="1">IF(AND(Energy!$F$11=$A$3,Main!$B$43=A125),Main!B22,E125)</f>
        <v>0.33333333333333326</v>
      </c>
      <c r="F125" s="103">
        <f ca="1">IF(Main!$D$6=1,U125,IF(Main!$D$6=2,N125,IF(Main!$D$6=3,K125,IF(Main!$D$6=4,V125,J125))))</f>
        <v>545.22402424648988</v>
      </c>
      <c r="G125" s="103">
        <f ca="1">IF(AND(Energy!$F$11=$A$3,Main!$B$43=A125),Weight!H22,G125)</f>
        <v>15</v>
      </c>
      <c r="H125" s="103">
        <f ca="1">IF(AND(Energy!$F$11=$A$3,Main!$B$43=A125),Weight!U22,H125)</f>
        <v>15.527839010210997</v>
      </c>
      <c r="I125" s="103">
        <f ca="1">IF(AND(Energy!$F$11=$A$3,Main!$B$43=A125),Weight!V22,I125)</f>
        <v>43.307919133387514</v>
      </c>
      <c r="J125" s="103">
        <f ca="1">IF(AND(Energy!$F$11=$A$3,Main!$B$43=A125),Weight!I22,J125)</f>
        <v>22.842431848176521</v>
      </c>
      <c r="K125" s="103">
        <f ca="1">IF(AND(Energy!$F$11=$A$3,Main!$B$43=A125),Weight!W22,K125)</f>
        <v>58.307919391626207</v>
      </c>
      <c r="L125" s="103">
        <f ca="1">IF(AND(Energy!$F$11=$A$3,Main!$B$43=A125),'Aerodynamics-Cruise'!BI22,L125)</f>
        <v>58.307918866109077</v>
      </c>
      <c r="M125" s="103">
        <f ca="1">IF(AND(Energy!$F$11=$A$3,Main!$B$43=A125),'Aerodynamics-Cruise'!BJ22,M125)</f>
        <v>3.0289555097629428</v>
      </c>
      <c r="N125" s="103">
        <f ca="1">IF(AND(Energy!$F$11=$A$3,Main!$B$43=A125),'Aerodynamics-Cruise'!BK22,N125)</f>
        <v>19.250173427166803</v>
      </c>
      <c r="O125" s="103">
        <f t="shared" ca="1" si="5"/>
        <v>146.99359681767555</v>
      </c>
      <c r="P125" s="103">
        <f ca="1">IF(AND(Energy!$F$11=$A$3,Main!$B$43=A125),'Aerodynamics-Cruise'!H22,P125)</f>
        <v>8.8039618652061176</v>
      </c>
      <c r="Q125" s="103">
        <f ca="1">IF(AND(Energy!$F$11=$A$3,Main!$B$43=A125),'Aerodynamics-Cruise'!I22,Q125)</f>
        <v>7.3929230722880366</v>
      </c>
      <c r="R125" s="103">
        <f ca="1">IF(AND(Energy!$F$11=$A$3,Main!$B$43=$A125),Summary!R22,R125)</f>
        <v>4.4671032626672913</v>
      </c>
      <c r="S125" s="103">
        <f ca="1">IF(AND(Energy!$F$11=$A$3,Main!$B$43=A125),'Aerodynamics-Cruise'!W22,S125)</f>
        <v>1</v>
      </c>
      <c r="T125" s="103">
        <f ca="1">IF(AND(Energy!$F$11=$A$3,Main!$B$43=A125),'Aerodynamics-Cruise'!BL22,T125)</f>
        <v>26.666808799358904</v>
      </c>
      <c r="U125" s="103">
        <f ca="1">IF(AND(Energy!$F$11=$A$3,Main!$B$43=A125),'Propulsion-Cruise'!M22,U125)</f>
        <v>57.563327683163344</v>
      </c>
      <c r="V125" s="103">
        <f ca="1">IF(AND(Energy!$F$11=$A$3,Main!$B$43=A125),Endurance!AP22,V125)</f>
        <v>545.22402424648988</v>
      </c>
      <c r="W125" s="103">
        <f ca="1">IF(AND(Energy!$F$11=$A$3,Main!$B$43=$A125),Summary!W22,W125)</f>
        <v>1.3859649122807014</v>
      </c>
      <c r="X125" s="13">
        <f ca="1">IF(AND(Energy!$F$11=$A$3,Main!$B$43=A125),Energy!D22,X125)</f>
        <v>984.43225760357336</v>
      </c>
      <c r="Y125" s="102">
        <f ca="1">IF(AND(Energy!$F$11=$A$3,Main!$B$43=A125),'Aerodynamics-Cruise'!V22,Y125)</f>
        <v>186123.91340614835</v>
      </c>
      <c r="Z125" s="102">
        <f ca="1">IF(AND(Energy!$F$11=$A$3,Main!$B$43=$A125),Summary!Z22,Z125)</f>
        <v>138506.57299526647</v>
      </c>
      <c r="AA125" s="102">
        <f ca="1">IF(AND(Energy!$F$11=$A$3,Main!$B$43=$A125),Summary!AA22,AA125)</f>
        <v>138506.57299526647</v>
      </c>
      <c r="AB125" s="103">
        <f ca="1">IF(AND(Energy!$F$11=$A$3,Main!$B$43=$A125),Summary!AB22,AB125)</f>
        <v>4.4671032626672913</v>
      </c>
      <c r="AC125" s="103">
        <f ca="1">IF(AND(Energy!$F$11=$A$3,Main!$B$43=$A125),Summary!AC22,AC125)</f>
        <v>2.3986404933281746</v>
      </c>
      <c r="AD125" s="103">
        <f ca="1">IF(AND(Energy!$F$11=$A$3,Main!$B$43=$A125),Summary!AD22,AD125)</f>
        <v>0.4401294343523891</v>
      </c>
      <c r="AE125" s="103">
        <f ca="1">IF(AND(Energy!$F$11=$A$3,Main!$B$43=$A125),Summary!AE22,AE125)</f>
        <v>1.3859649122807014</v>
      </c>
      <c r="AF125" s="103">
        <f ca="1">IF(AND(Energy!$F$11=$A$3,Main!$B$43=$A125),Summary!AF22,AF125)</f>
        <v>12.473684210526319</v>
      </c>
      <c r="AG125" s="103">
        <f ca="1">IF(AND(Energy!$F$11=$A$3,Main!$B$43=$A125),Summary!AG22,AG125)</f>
        <v>11.695255633607545</v>
      </c>
      <c r="AH125" s="103">
        <f ca="1">IF(AND(Energy!$F$11=$A$3,Main!$B$43=$A125),Summary!AH22,AH125)</f>
        <v>47</v>
      </c>
      <c r="AI125" s="103">
        <f ca="1">IF(AND(Energy!$F$11=$A$3,Main!$B$43=$A125),Summary!AI22,AI125)</f>
        <v>2.7795852362429234</v>
      </c>
      <c r="AJ125" s="103">
        <f ca="1">IF(AND(Energy!$F$11=$A$3,Main!$B$43=$A125),Summary!AJ22,AJ125)</f>
        <v>0.2236106427041428</v>
      </c>
      <c r="AK125" s="103">
        <f ca="1">IF(AND(Energy!$F$11=$A$3,Main!$B$43=$A125),Summary!AK22,AK125)</f>
        <v>0.01</v>
      </c>
      <c r="AL125" s="103">
        <f ca="1">IF(AND(Energy!$F$11=$A$3,Main!$B$43=$A125),Summary!AL22,AL125)</f>
        <v>-0.55900678892272715</v>
      </c>
      <c r="AM125" s="103">
        <f ca="1">IF(AND(Energy!$F$11=$A$3,Main!$B$43=$A125),Summary!AJ142,AM125)</f>
        <v>0</v>
      </c>
    </row>
    <row r="126" spans="1:39">
      <c r="A126">
        <f t="shared" ref="A126:A143" si="8">A125</f>
        <v>7</v>
      </c>
      <c r="D126" s="1">
        <f ca="1">IF(AND(Energy!$F$11=$A$3,Main!$B$43=A126),Main!C23,D126)</f>
        <v>4.3157894736842106</v>
      </c>
      <c r="E126" s="103">
        <f ca="1">IF(AND(Energy!$F$11=$A$3,Main!$B$43=A126),Main!B23,E126)</f>
        <v>0.33333333333333326</v>
      </c>
      <c r="F126" s="103">
        <f ca="1">IF(Main!$D$6=1,U126,IF(Main!$D$6=2,N126,IF(Main!$D$6=3,K126,IF(Main!$D$6=4,V126,J126))))</f>
        <v>535.23444119880605</v>
      </c>
      <c r="G126" s="103">
        <f ca="1">IF(AND(Energy!$F$11=$A$3,Main!$B$43=A126),Weight!H23,G126)</f>
        <v>15</v>
      </c>
      <c r="H126" s="103">
        <f ca="1">IF(AND(Energy!$F$11=$A$3,Main!$B$43=A126),Weight!U23,H126)</f>
        <v>16.035548557933495</v>
      </c>
      <c r="I126" s="103">
        <f ca="1">IF(AND(Energy!$F$11=$A$3,Main!$B$43=A126),Weight!V23,I126)</f>
        <v>43.397110118192174</v>
      </c>
      <c r="J126" s="103">
        <f ca="1">IF(AND(Energy!$F$11=$A$3,Main!$B$43=A126),Weight!I23,J126)</f>
        <v>22.423913285258681</v>
      </c>
      <c r="K126" s="103">
        <f ca="1">IF(AND(Energy!$F$11=$A$3,Main!$B$43=A126),Weight!W23,K126)</f>
        <v>58.39711038130082</v>
      </c>
      <c r="L126" s="103">
        <f ca="1">IF(AND(Energy!$F$11=$A$3,Main!$B$43=A126),'Aerodynamics-Cruise'!BI23,L126)</f>
        <v>58.397109845375176</v>
      </c>
      <c r="M126" s="103">
        <f ca="1">IF(AND(Energy!$F$11=$A$3,Main!$B$43=A126),'Aerodynamics-Cruise'!BJ23,M126)</f>
        <v>2.9978819005090815</v>
      </c>
      <c r="N126" s="103">
        <f ca="1">IF(AND(Energy!$F$11=$A$3,Main!$B$43=A126),'Aerodynamics-Cruise'!BK23,N126)</f>
        <v>19.479456424036766</v>
      </c>
      <c r="O126" s="103">
        <f t="shared" ca="1" si="5"/>
        <v>148.85811342184132</v>
      </c>
      <c r="P126" s="103">
        <f ca="1">IF(AND(Energy!$F$11=$A$3,Main!$B$43=A126),'Aerodynamics-Cruise'!H23,P126)</f>
        <v>8.6479164474632988</v>
      </c>
      <c r="Q126" s="103">
        <f ca="1">IF(AND(Energy!$F$11=$A$3,Main!$B$43=A126),'Aerodynamics-Cruise'!I23,Q126)</f>
        <v>7.2672488227964527</v>
      </c>
      <c r="R126" s="103">
        <f ca="1">IF(AND(Energy!$F$11=$A$3,Main!$B$43=$A126),Summary!R23,R126)</f>
        <v>4.3178584693303881</v>
      </c>
      <c r="S126" s="103">
        <f ca="1">IF(AND(Energy!$F$11=$A$3,Main!$B$43=A126),'Aerodynamics-Cruise'!W23,S126)</f>
        <v>1</v>
      </c>
      <c r="T126" s="103">
        <f ca="1">IF(AND(Energy!$F$11=$A$3,Main!$B$43=A126),'Aerodynamics-Cruise'!BL23,T126)</f>
        <v>25.925432194965019</v>
      </c>
      <c r="U126" s="103">
        <f ca="1">IF(AND(Energy!$F$11=$A$3,Main!$B$43=A126),'Propulsion-Cruise'!M23,U126)</f>
        <v>56.298445129768737</v>
      </c>
      <c r="V126" s="103">
        <f ca="1">IF(AND(Energy!$F$11=$A$3,Main!$B$43=A126),Endurance!AP23,V126)</f>
        <v>535.23444119880605</v>
      </c>
      <c r="W126" s="103">
        <f ca="1">IF(AND(Energy!$F$11=$A$3,Main!$B$43=$A126),Summary!W23,W126)</f>
        <v>1.43859649122807</v>
      </c>
      <c r="X126" s="13">
        <f ca="1">IF(AND(Energy!$F$11=$A$3,Main!$B$43=A126),Energy!D23,X126)</f>
        <v>966.39551040025469</v>
      </c>
      <c r="Y126" s="102">
        <f ca="1">IF(AND(Energy!$F$11=$A$3,Main!$B$43=A126),'Aerodynamics-Cruise'!V23,Y126)</f>
        <v>182824.96865104054</v>
      </c>
      <c r="Z126" s="102">
        <f ca="1">IF(AND(Energy!$F$11=$A$3,Main!$B$43=$A126),Summary!Z23,Z126)</f>
        <v>136148.14304514017</v>
      </c>
      <c r="AA126" s="102">
        <f ca="1">IF(AND(Energy!$F$11=$A$3,Main!$B$43=$A126),Summary!AA23,AA126)</f>
        <v>136148.14304514017</v>
      </c>
      <c r="AB126" s="103">
        <f ca="1">IF(AND(Energy!$F$11=$A$3,Main!$B$43=$A126),Summary!AB23,AB126)</f>
        <v>4.3178584693303881</v>
      </c>
      <c r="AC126" s="103">
        <f ca="1">IF(AND(Energy!$F$11=$A$3,Main!$B$43=$A126),Summary!AC23,AC126)</f>
        <v>2.3673194240704016</v>
      </c>
      <c r="AD126" s="103">
        <f ca="1">IF(AND(Energy!$F$11=$A$3,Main!$B$43=$A126),Summary!AD23,AD126)</f>
        <v>0.43500603046413716</v>
      </c>
      <c r="AE126" s="103">
        <f ca="1">IF(AND(Energy!$F$11=$A$3,Main!$B$43=$A126),Summary!AE23,AE126)</f>
        <v>1.43859649122807</v>
      </c>
      <c r="AF126" s="103">
        <f ca="1">IF(AND(Energy!$F$11=$A$3,Main!$B$43=$A126),Summary!AF23,AF126)</f>
        <v>12.947368421052635</v>
      </c>
      <c r="AG126" s="103">
        <f ca="1">IF(AND(Energy!$F$11=$A$3,Main!$B$43=$A126),Summary!AG23,AG126)</f>
        <v>11.55329050111307</v>
      </c>
      <c r="AH126" s="103">
        <f ca="1">IF(AND(Energy!$F$11=$A$3,Main!$B$43=$A126),Summary!AH23,AH126)</f>
        <v>47</v>
      </c>
      <c r="AI126" s="103">
        <f ca="1">IF(AND(Energy!$F$11=$A$3,Main!$B$43=$A126),Summary!AI23,AI126)</f>
        <v>2.7754855748580374</v>
      </c>
      <c r="AJ126" s="103">
        <f ca="1">IF(AND(Energy!$F$11=$A$3,Main!$B$43=$A126),Summary!AJ23,AJ126)</f>
        <v>0.22467649839860171</v>
      </c>
      <c r="AK126" s="103">
        <f ca="1">IF(AND(Energy!$F$11=$A$3,Main!$B$43=$A126),Summary!AK23,AK126)</f>
        <v>0.01</v>
      </c>
      <c r="AL126" s="103">
        <f ca="1">IF(AND(Energy!$F$11=$A$3,Main!$B$43=$A126),Summary!AL23,AL126)</f>
        <v>-0.55635485273598462</v>
      </c>
      <c r="AM126" s="103">
        <f ca="1">IF(AND(Energy!$F$11=$A$3,Main!$B$43=$A126),Summary!AJ143,AM126)</f>
        <v>0</v>
      </c>
    </row>
    <row r="127" spans="1:39">
      <c r="A127">
        <f t="shared" si="8"/>
        <v>7</v>
      </c>
      <c r="D127" s="1">
        <f ca="1">IF(AND(Energy!$F$11=$A$3,Main!$B$43=A127),Main!C24,D127)</f>
        <v>4.4736842105263159</v>
      </c>
      <c r="E127" s="103">
        <f ca="1">IF(AND(Energy!$F$11=$A$3,Main!$B$43=A127),Main!B24,E127)</f>
        <v>0.33333333333333326</v>
      </c>
      <c r="F127" s="103">
        <f ca="1">IF(Main!$D$6=1,U127,IF(Main!$D$6=2,N127,IF(Main!$D$6=3,K127,IF(Main!$D$6=4,V127,J127))))</f>
        <v>527.35572401384491</v>
      </c>
      <c r="G127" s="103">
        <f ca="1">IF(AND(Energy!$F$11=$A$3,Main!$B$43=A127),Weight!H24,G127)</f>
        <v>15</v>
      </c>
      <c r="H127" s="103">
        <f ca="1">IF(AND(Energy!$F$11=$A$3,Main!$B$43=A127),Weight!U24,H127)</f>
        <v>16.566437483859794</v>
      </c>
      <c r="I127" s="103">
        <f ca="1">IF(AND(Energy!$F$11=$A$3,Main!$B$43=A127),Weight!V24,I127)</f>
        <v>43.597916252315514</v>
      </c>
      <c r="J127" s="103">
        <f ca="1">IF(AND(Energy!$F$11=$A$3,Main!$B$43=A127),Weight!I24,J127)</f>
        <v>22.093830493455723</v>
      </c>
      <c r="K127" s="103">
        <f ca="1">IF(AND(Energy!$F$11=$A$3,Main!$B$43=A127),Weight!W24,K127)</f>
        <v>58.597916524007509</v>
      </c>
      <c r="L127" s="103">
        <f ca="1">IF(AND(Energy!$F$11=$A$3,Main!$B$43=A127),'Aerodynamics-Cruise'!BI24,L127)</f>
        <v>58.597915970249126</v>
      </c>
      <c r="M127" s="103">
        <f ca="1">IF(AND(Energy!$F$11=$A$3,Main!$B$43=A127),'Aerodynamics-Cruise'!BJ24,M127)</f>
        <v>2.9748230993325131</v>
      </c>
      <c r="N127" s="103">
        <f ca="1">IF(AND(Energy!$F$11=$A$3,Main!$B$43=A127),'Aerodynamics-Cruise'!BK24,N127)</f>
        <v>19.697949764944763</v>
      </c>
      <c r="O127" s="103">
        <f t="shared" ca="1" si="5"/>
        <v>150.78637855870684</v>
      </c>
      <c r="P127" s="103">
        <f ca="1">IF(AND(Energy!$F$11=$A$3,Main!$B$43=A127),'Aerodynamics-Cruise'!H24,P127)</f>
        <v>8.508435342154792</v>
      </c>
      <c r="Q127" s="103">
        <f ca="1">IF(AND(Energy!$F$11=$A$3,Main!$B$43=A127),'Aerodynamics-Cruise'!I24,Q127)</f>
        <v>7.1548346512536529</v>
      </c>
      <c r="R127" s="103">
        <f ca="1">IF(AND(Energy!$F$11=$A$3,Main!$B$43=$A127),Summary!R24,R127)</f>
        <v>4.1953576644294923</v>
      </c>
      <c r="S127" s="103">
        <f ca="1">IF(AND(Energy!$F$11=$A$3,Main!$B$43=A127),'Aerodynamics-Cruise'!W24,S127)</f>
        <v>1</v>
      </c>
      <c r="T127" s="103">
        <f ca="1">IF(AND(Energy!$F$11=$A$3,Main!$B$43=A127),'Aerodynamics-Cruise'!BL24,T127)</f>
        <v>25.311089995019209</v>
      </c>
      <c r="U127" s="103">
        <f ca="1">IF(AND(Energy!$F$11=$A$3,Main!$B$43=A127),'Propulsion-Cruise'!M24,U127)</f>
        <v>55.268622230163395</v>
      </c>
      <c r="V127" s="103">
        <f ca="1">IF(AND(Energy!$F$11=$A$3,Main!$B$43=A127),Endurance!AP24,V127)</f>
        <v>527.35572401384491</v>
      </c>
      <c r="W127" s="103">
        <f ca="1">IF(AND(Energy!$F$11=$A$3,Main!$B$43=$A127),Summary!W24,W127)</f>
        <v>1.4912280701754383</v>
      </c>
      <c r="X127" s="13">
        <f ca="1">IF(AND(Energy!$F$11=$A$3,Main!$B$43=A127),Energy!D24,X127)</f>
        <v>952.17004864682212</v>
      </c>
      <c r="Y127" s="102">
        <f ca="1">IF(AND(Energy!$F$11=$A$3,Main!$B$43=A127),'Aerodynamics-Cruise'!V24,Y127)</f>
        <v>179876.20881271898</v>
      </c>
      <c r="Z127" s="102">
        <f ca="1">IF(AND(Energy!$F$11=$A$3,Main!$B$43=$A127),Summary!Z24,Z127)</f>
        <v>134038.61342423203</v>
      </c>
      <c r="AA127" s="102">
        <f ca="1">IF(AND(Energy!$F$11=$A$3,Main!$B$43=$A127),Summary!AA24,AA127)</f>
        <v>134038.61342423203</v>
      </c>
      <c r="AB127" s="103">
        <f ca="1">IF(AND(Energy!$F$11=$A$3,Main!$B$43=$A127),Summary!AB24,AB127)</f>
        <v>4.1953576644294923</v>
      </c>
      <c r="AC127" s="103">
        <f ca="1">IF(AND(Energy!$F$11=$A$3,Main!$B$43=$A127),Summary!AC24,AC127)</f>
        <v>2.3334431644790743</v>
      </c>
      <c r="AD127" s="103">
        <f ca="1">IF(AND(Energy!$F$11=$A$3,Main!$B$43=$A127),Summary!AD24,AD127)</f>
        <v>0.43062908102674818</v>
      </c>
      <c r="AE127" s="103">
        <f ca="1">IF(AND(Energy!$F$11=$A$3,Main!$B$43=$A127),Summary!AE24,AE127)</f>
        <v>1.4912280701754383</v>
      </c>
      <c r="AF127" s="103">
        <f ca="1">IF(AND(Energy!$F$11=$A$3,Main!$B$43=$A127),Summary!AF24,AF127)</f>
        <v>13.421052631578949</v>
      </c>
      <c r="AG127" s="103">
        <f ca="1">IF(AND(Energy!$F$11=$A$3,Main!$B$43=$A127),Summary!AG24,AG127)</f>
        <v>11.438422736259755</v>
      </c>
      <c r="AH127" s="103">
        <f ca="1">IF(AND(Energy!$F$11=$A$3,Main!$B$43=$A127),Summary!AH24,AH127)</f>
        <v>47</v>
      </c>
      <c r="AI127" s="103">
        <f ca="1">IF(AND(Energy!$F$11=$A$3,Main!$B$43=$A127),Summary!AI24,AI127)</f>
        <v>2.7717641114511609</v>
      </c>
      <c r="AJ127" s="103">
        <f ca="1">IF(AND(Energy!$F$11=$A$3,Main!$B$43=$A127),Summary!AJ24,AJ127)</f>
        <v>0.22565342874862204</v>
      </c>
      <c r="AK127" s="103">
        <f ca="1">IF(AND(Energy!$F$11=$A$3,Main!$B$43=$A127),Summary!AK24,AK127)</f>
        <v>0.01</v>
      </c>
      <c r="AL127" s="103">
        <f ca="1">IF(AND(Energy!$F$11=$A$3,Main!$B$43=$A127),Summary!AL24,AL127)</f>
        <v>-0.55394616536783847</v>
      </c>
      <c r="AM127" s="103">
        <f ca="1">IF(AND(Energy!$F$11=$A$3,Main!$B$43=$A127),Summary!AJ144,AM127)</f>
        <v>0</v>
      </c>
    </row>
    <row r="128" spans="1:39">
      <c r="A128">
        <f t="shared" si="8"/>
        <v>7</v>
      </c>
      <c r="D128" s="1">
        <f ca="1">IF(AND(Energy!$F$11=$A$3,Main!$B$43=A128),Main!C25,D128)</f>
        <v>4.6315789473684212</v>
      </c>
      <c r="E128" s="103">
        <f ca="1">IF(AND(Energy!$F$11=$A$3,Main!$B$43=A128),Main!B25,E128)</f>
        <v>0.33333333333333326</v>
      </c>
      <c r="F128" s="103">
        <f ca="1">IF(Main!$D$6=1,U128,IF(Main!$D$6=2,N128,IF(Main!$D$6=3,K128,IF(Main!$D$6=4,V128,J128))))</f>
        <v>521.24197010478292</v>
      </c>
      <c r="G128" s="103">
        <f ca="1">IF(AND(Energy!$F$11=$A$3,Main!$B$43=A128),Weight!H25,G128)</f>
        <v>15</v>
      </c>
      <c r="H128" s="103">
        <f ca="1">IF(AND(Energy!$F$11=$A$3,Main!$B$43=A128),Weight!U25,H128)</f>
        <v>17.119458619622719</v>
      </c>
      <c r="I128" s="103">
        <f ca="1">IF(AND(Energy!$F$11=$A$3,Main!$B$43=A128),Weight!V25,I128)</f>
        <v>43.894798608012181</v>
      </c>
      <c r="J128" s="103">
        <f ca="1">IF(AND(Energy!$F$11=$A$3,Main!$B$43=A128),Weight!I25,J128)</f>
        <v>21.837691713389457</v>
      </c>
      <c r="K128" s="103">
        <f ca="1">IF(AND(Energy!$F$11=$A$3,Main!$B$43=A128),Weight!W25,K128)</f>
        <v>58.894798890887344</v>
      </c>
      <c r="L128" s="103">
        <f ca="1">IF(AND(Energy!$F$11=$A$3,Main!$B$43=A128),'Aerodynamics-Cruise'!BI25,L128)</f>
        <v>58.894798314114574</v>
      </c>
      <c r="M128" s="103">
        <f ca="1">IF(AND(Energy!$F$11=$A$3,Main!$B$43=A128),'Aerodynamics-Cruise'!BJ25,M128)</f>
        <v>2.95855185379581</v>
      </c>
      <c r="N128" s="103">
        <f ca="1">IF(AND(Energy!$F$11=$A$3,Main!$B$43=A128),'Aerodynamics-Cruise'!BK25,N128)</f>
        <v>19.906630413982025</v>
      </c>
      <c r="O128" s="103">
        <f t="shared" ca="1" si="5"/>
        <v>152.76934720655893</v>
      </c>
      <c r="P128" s="103">
        <f ca="1">IF(AND(Energy!$F$11=$A$3,Main!$B$43=A128),'Aerodynamics-Cruise'!H25,P128)</f>
        <v>8.3832231655375331</v>
      </c>
      <c r="Q128" s="103">
        <f ca="1">IF(AND(Energy!$F$11=$A$3,Main!$B$43=A128),'Aerodynamics-Cruise'!I25,Q128)</f>
        <v>7.0538547858528169</v>
      </c>
      <c r="R128" s="103">
        <f ca="1">IF(AND(Energy!$F$11=$A$3,Main!$B$43=$A128),Summary!R25,R128)</f>
        <v>4.0948405502842187</v>
      </c>
      <c r="S128" s="103">
        <f ca="1">IF(AND(Energy!$F$11=$A$3,Main!$B$43=A128),'Aerodynamics-Cruise'!W25,S128)</f>
        <v>1</v>
      </c>
      <c r="T128" s="103">
        <f ca="1">IF(AND(Energy!$F$11=$A$3,Main!$B$43=A128),'Aerodynamics-Cruise'!BL25,T128)</f>
        <v>24.802200437185046</v>
      </c>
      <c r="U128" s="103">
        <f ca="1">IF(AND(Energy!$F$11=$A$3,Main!$B$43=A128),'Propulsion-Cruise'!M25,U128)</f>
        <v>54.434748741603599</v>
      </c>
      <c r="V128" s="103">
        <f ca="1">IF(AND(Energy!$F$11=$A$3,Main!$B$43=A128),Endurance!AP25,V128)</f>
        <v>521.24197010478292</v>
      </c>
      <c r="W128" s="103">
        <f ca="1">IF(AND(Energy!$F$11=$A$3,Main!$B$43=$A128),Summary!W25,W128)</f>
        <v>1.5438596491228067</v>
      </c>
      <c r="X128" s="13">
        <f ca="1">IF(AND(Energy!$F$11=$A$3,Main!$B$43=A128),Energy!D25,X128)</f>
        <v>941.13132604663565</v>
      </c>
      <c r="Y128" s="102">
        <f ca="1">IF(AND(Energy!$F$11=$A$3,Main!$B$43=A128),'Aerodynamics-Cruise'!V25,Y128)</f>
        <v>177229.107351477</v>
      </c>
      <c r="Z128" s="102">
        <f ca="1">IF(AND(Energy!$F$11=$A$3,Main!$B$43=$A128),Summary!Z25,Z128)</f>
        <v>132143.70458529919</v>
      </c>
      <c r="AA128" s="102">
        <f ca="1">IF(AND(Energy!$F$11=$A$3,Main!$B$43=$A128),Summary!AA25,AA128)</f>
        <v>132143.70458529919</v>
      </c>
      <c r="AB128" s="103">
        <f ca="1">IF(AND(Energy!$F$11=$A$3,Main!$B$43=$A128),Summary!AB25,AB128)</f>
        <v>4.0948405502842187</v>
      </c>
      <c r="AC128" s="103">
        <f ca="1">IF(AND(Energy!$F$11=$A$3,Main!$B$43=$A128),Summary!AC25,AC128)</f>
        <v>2.2977057421145113</v>
      </c>
      <c r="AD128" s="103">
        <f ca="1">IF(AND(Energy!$F$11=$A$3,Main!$B$43=$A128),Summary!AD25,AD128)</f>
        <v>0.42689258179790496</v>
      </c>
      <c r="AE128" s="103">
        <f ca="1">IF(AND(Energy!$F$11=$A$3,Main!$B$43=$A128),Summary!AE25,AE128)</f>
        <v>1.5438596491228067</v>
      </c>
      <c r="AF128" s="103">
        <f ca="1">IF(AND(Energy!$F$11=$A$3,Main!$B$43=$A128),Summary!AF25,AF128)</f>
        <v>13.894736842105267</v>
      </c>
      <c r="AG128" s="103">
        <f ca="1">IF(AND(Energy!$F$11=$A$3,Main!$B$43=$A128),Summary!AG25,AG128)</f>
        <v>11.346446946330373</v>
      </c>
      <c r="AH128" s="103">
        <f ca="1">IF(AND(Energy!$F$11=$A$3,Main!$B$43=$A128),Summary!AH25,AH128)</f>
        <v>47</v>
      </c>
      <c r="AI128" s="103">
        <f ca="1">IF(AND(Energy!$F$11=$A$3,Main!$B$43=$A128),Summary!AI25,AI128)</f>
        <v>2.7683760906469441</v>
      </c>
      <c r="AJ128" s="103">
        <f ca="1">IF(AND(Energy!$F$11=$A$3,Main!$B$43=$A128),Summary!AJ25,AJ128)</f>
        <v>0.2265507319126539</v>
      </c>
      <c r="AK128" s="103">
        <f ca="1">IF(AND(Energy!$F$11=$A$3,Main!$B$43=$A128),Summary!AK25,AK128)</f>
        <v>0.01</v>
      </c>
      <c r="AL128" s="103">
        <f ca="1">IF(AND(Energy!$F$11=$A$3,Main!$B$43=$A128),Summary!AL25,AL128)</f>
        <v>-0.55175209873689124</v>
      </c>
      <c r="AM128" s="103">
        <f ca="1">IF(AND(Energy!$F$11=$A$3,Main!$B$43=$A128),Summary!AJ145,AM128)</f>
        <v>0</v>
      </c>
    </row>
    <row r="129" spans="1:39">
      <c r="A129">
        <f t="shared" si="8"/>
        <v>7</v>
      </c>
      <c r="D129" s="1">
        <f ca="1">IF(AND(Energy!$F$11=$A$3,Main!$B$43=A129),Main!C26,D129)</f>
        <v>4.7894736842105265</v>
      </c>
      <c r="E129" s="103">
        <f ca="1">IF(AND(Energy!$F$11=$A$3,Main!$B$43=A129),Main!B26,E129)</f>
        <v>0.33333333333333326</v>
      </c>
      <c r="F129" s="103">
        <f ca="1">IF(Main!$D$6=1,U129,IF(Main!$D$6=2,N129,IF(Main!$D$6=3,K129,IF(Main!$D$6=4,V129,J129))))</f>
        <v>516.62577456996473</v>
      </c>
      <c r="G129" s="103">
        <f ca="1">IF(AND(Energy!$F$11=$A$3,Main!$B$43=A129),Weight!H26,G129)</f>
        <v>15</v>
      </c>
      <c r="H129" s="103">
        <f ca="1">IF(AND(Energy!$F$11=$A$3,Main!$B$43=A129),Weight!U26,H129)</f>
        <v>17.693850484783184</v>
      </c>
      <c r="I129" s="103">
        <f ca="1">IF(AND(Energy!$F$11=$A$3,Main!$B$43=A129),Weight!V26,I129)</f>
        <v>44.275792644416057</v>
      </c>
      <c r="J129" s="103">
        <f ca="1">IF(AND(Energy!$F$11=$A$3,Main!$B$43=A129),Weight!I26,J129)</f>
        <v>21.644293884632869</v>
      </c>
      <c r="K129" s="103">
        <f ca="1">IF(AND(Energy!$F$11=$A$3,Main!$B$43=A129),Weight!W26,K129)</f>
        <v>59.27579294036321</v>
      </c>
      <c r="L129" s="103">
        <f ca="1">IF(AND(Energy!$F$11=$A$3,Main!$B$43=A129),'Aerodynamics-Cruise'!BI26,L129)</f>
        <v>59.275792336826527</v>
      </c>
      <c r="M129" s="103">
        <f ca="1">IF(AND(Energy!$F$11=$A$3,Main!$B$43=A129),'Aerodynamics-Cruise'!BJ26,M129)</f>
        <v>2.9481032510435052</v>
      </c>
      <c r="N129" s="103">
        <f ca="1">IF(AND(Energy!$F$11=$A$3,Main!$B$43=A129),'Aerodynamics-Cruise'!BK26,N129)</f>
        <v>20.106416664967679</v>
      </c>
      <c r="O129" s="103">
        <f t="shared" ca="1" si="5"/>
        <v>154.80085752082636</v>
      </c>
      <c r="P129" s="103">
        <f ca="1">IF(AND(Energy!$F$11=$A$3,Main!$B$43=A129),'Aerodynamics-Cruise'!H26,P129)</f>
        <v>8.2704302341323039</v>
      </c>
      <c r="Q129" s="103">
        <f ca="1">IF(AND(Energy!$F$11=$A$3,Main!$B$43=A129),'Aerodynamics-Cruise'!I26,Q129)</f>
        <v>6.9628366839643041</v>
      </c>
      <c r="R129" s="103">
        <f ca="1">IF(AND(Energy!$F$11=$A$3,Main!$B$43=$A129),Summary!R26,R129)</f>
        <v>4.0126957467389666</v>
      </c>
      <c r="S129" s="103">
        <f ca="1">IF(AND(Energy!$F$11=$A$3,Main!$B$43=A129),'Aerodynamics-Cruise'!W26,S129)</f>
        <v>1</v>
      </c>
      <c r="T129" s="103">
        <f ca="1">IF(AND(Energy!$F$11=$A$3,Main!$B$43=A129),'Aerodynamics-Cruise'!BL26,T129)</f>
        <v>24.382082260773945</v>
      </c>
      <c r="U129" s="103">
        <f ca="1">IF(AND(Energy!$F$11=$A$3,Main!$B$43=A129),'Propulsion-Cruise'!M26,U129)</f>
        <v>53.766569958119938</v>
      </c>
      <c r="V129" s="103">
        <f ca="1">IF(AND(Energy!$F$11=$A$3,Main!$B$43=A129),Endurance!AP26,V129)</f>
        <v>516.62577456996473</v>
      </c>
      <c r="W129" s="103">
        <f ca="1">IF(AND(Energy!$F$11=$A$3,Main!$B$43=$A129),Summary!W26,W129)</f>
        <v>1.5964912280701751</v>
      </c>
      <c r="X129" s="13">
        <f ca="1">IF(AND(Energy!$F$11=$A$3,Main!$B$43=A129),Energy!D26,X129)</f>
        <v>932.79652821975947</v>
      </c>
      <c r="Y129" s="102">
        <f ca="1">IF(AND(Energy!$F$11=$A$3,Main!$B$43=A129),'Aerodynamics-Cruise'!V26,Y129)</f>
        <v>174844.56024426379</v>
      </c>
      <c r="Z129" s="102">
        <f ca="1">IF(AND(Energy!$F$11=$A$3,Main!$B$43=$A129),Summary!Z26,Z129)</f>
        <v>130435.76993304133</v>
      </c>
      <c r="AA129" s="102">
        <f ca="1">IF(AND(Energy!$F$11=$A$3,Main!$B$43=$A129),Summary!AA26,AA129)</f>
        <v>130435.76993304133</v>
      </c>
      <c r="AB129" s="103">
        <f ca="1">IF(AND(Energy!$F$11=$A$3,Main!$B$43=$A129),Summary!AB26,AB129)</f>
        <v>4.0126957467389666</v>
      </c>
      <c r="AC129" s="103">
        <f ca="1">IF(AND(Energy!$F$11=$A$3,Main!$B$43=$A129),Summary!AC26,AC129)</f>
        <v>2.2606415118061709</v>
      </c>
      <c r="AD129" s="103">
        <f ca="1">IF(AND(Energy!$F$11=$A$3,Main!$B$43=$A129),Summary!AD26,AD129)</f>
        <v>0.42371157519911823</v>
      </c>
      <c r="AE129" s="103">
        <f ca="1">IF(AND(Energy!$F$11=$A$3,Main!$B$43=$A129),Summary!AE26,AE129)</f>
        <v>1.5964912280701751</v>
      </c>
      <c r="AF129" s="103">
        <f ca="1">IF(AND(Energy!$F$11=$A$3,Main!$B$43=$A129),Summary!AF26,AF129)</f>
        <v>14.368421052631584</v>
      </c>
      <c r="AG129" s="103">
        <f ca="1">IF(AND(Energy!$F$11=$A$3,Main!$B$43=$A129),Summary!AG26,AG129)</f>
        <v>11.274054723635958</v>
      </c>
      <c r="AH129" s="103">
        <f ca="1">IF(AND(Energy!$F$11=$A$3,Main!$B$43=$A129),Summary!AH26,AH129)</f>
        <v>47</v>
      </c>
      <c r="AI129" s="103">
        <f ca="1">IF(AND(Energy!$F$11=$A$3,Main!$B$43=$A129),Summary!AI26,AI129)</f>
        <v>2.7652847059445733</v>
      </c>
      <c r="AJ129" s="103">
        <f ca="1">IF(AND(Energy!$F$11=$A$3,Main!$B$43=$A129),Summary!AJ26,AJ129)</f>
        <v>0.22737628866411908</v>
      </c>
      <c r="AK129" s="103">
        <f ca="1">IF(AND(Energy!$F$11=$A$3,Main!$B$43=$A129),Summary!AK26,AK129)</f>
        <v>0.01</v>
      </c>
      <c r="AL129" s="103">
        <f ca="1">IF(AND(Energy!$F$11=$A$3,Main!$B$43=$A129),Summary!AL26,AL129)</f>
        <v>-0.54974875301776516</v>
      </c>
      <c r="AM129" s="103">
        <f ca="1">IF(AND(Energy!$F$11=$A$3,Main!$B$43=$A129),Summary!AJ146,AM129)</f>
        <v>0</v>
      </c>
    </row>
    <row r="130" spans="1:39">
      <c r="A130">
        <f t="shared" si="8"/>
        <v>7</v>
      </c>
      <c r="D130" s="1">
        <f ca="1">IF(AND(Energy!$F$11=$A$3,Main!$B$43=A130),Main!C27,D130)</f>
        <v>4.9473684210526319</v>
      </c>
      <c r="E130" s="103">
        <f ca="1">IF(AND(Energy!$F$11=$A$3,Main!$B$43=A130),Main!B27,E130)</f>
        <v>0.33333333333333326</v>
      </c>
      <c r="F130" s="103">
        <f ca="1">IF(Main!$D$6=1,U130,IF(Main!$D$6=2,N130,IF(Main!$D$6=3,K130,IF(Main!$D$6=4,V130,J130))))</f>
        <v>513.29705997221083</v>
      </c>
      <c r="G130" s="103">
        <f ca="1">IF(AND(Energy!$F$11=$A$3,Main!$B$43=A130),Weight!H27,G130)</f>
        <v>15</v>
      </c>
      <c r="H130" s="103">
        <f ca="1">IF(AND(Energy!$F$11=$A$3,Main!$B$43=A130),Weight!U27,H130)</f>
        <v>18.289063344140757</v>
      </c>
      <c r="I130" s="103">
        <f ca="1">IF(AND(Energy!$F$11=$A$3,Main!$B$43=A130),Weight!V27,I130)</f>
        <v>44.731547328179843</v>
      </c>
      <c r="J130" s="103">
        <f ca="1">IF(AND(Energy!$F$11=$A$3,Main!$B$43=A130),Weight!I27,J130)</f>
        <v>21.504835709039089</v>
      </c>
      <c r="K130" s="103">
        <f ca="1">IF(AND(Energy!$F$11=$A$3,Main!$B$43=A130),Weight!W27,K130)</f>
        <v>59.731547638620995</v>
      </c>
      <c r="L130" s="103">
        <f ca="1">IF(AND(Energy!$F$11=$A$3,Main!$B$43=A130),'Aerodynamics-Cruise'!BI27,L130)</f>
        <v>59.731547005510777</v>
      </c>
      <c r="M130" s="103">
        <f ca="1">IF(AND(Energy!$F$11=$A$3,Main!$B$43=A130),'Aerodynamics-Cruise'!BJ27,M130)</f>
        <v>2.9427069058708866</v>
      </c>
      <c r="N130" s="103">
        <f ca="1">IF(AND(Energy!$F$11=$A$3,Main!$B$43=A130),'Aerodynamics-Cruise'!BK27,N130)</f>
        <v>20.29816387297782</v>
      </c>
      <c r="O130" s="103">
        <f t="shared" ca="1" si="5"/>
        <v>156.87676887847917</v>
      </c>
      <c r="P130" s="103">
        <f ca="1">IF(AND(Energy!$F$11=$A$3,Main!$B$43=A130),'Aerodynamics-Cruise'!H27,P130)</f>
        <v>8.1685438692976966</v>
      </c>
      <c r="Q130" s="103">
        <f ca="1">IF(AND(Energy!$F$11=$A$3,Main!$B$43=A130),'Aerodynamics-Cruise'!I27,Q130)</f>
        <v>6.8805750658557443</v>
      </c>
      <c r="R130" s="103">
        <f ca="1">IF(AND(Energy!$F$11=$A$3,Main!$B$43=$A130),Summary!R27,R130)</f>
        <v>3.946135292778794</v>
      </c>
      <c r="S130" s="103">
        <f ca="1">IF(AND(Energy!$F$11=$A$3,Main!$B$43=A130),'Aerodynamics-Cruise'!W27,S130)</f>
        <v>1</v>
      </c>
      <c r="T130" s="103">
        <f ca="1">IF(AND(Energy!$F$11=$A$3,Main!$B$43=A130),'Aerodynamics-Cruise'!BL27,T130)</f>
        <v>24.037630455091623</v>
      </c>
      <c r="U130" s="103">
        <f ca="1">IF(AND(Energy!$F$11=$A$3,Main!$B$43=A130),'Propulsion-Cruise'!M27,U130)</f>
        <v>53.240298178150148</v>
      </c>
      <c r="V130" s="103">
        <f ca="1">IF(AND(Energy!$F$11=$A$3,Main!$B$43=A130),Endurance!AP27,V130)</f>
        <v>513.29705997221083</v>
      </c>
      <c r="W130" s="103">
        <f ca="1">IF(AND(Energy!$F$11=$A$3,Main!$B$43=$A130),Summary!W27,W130)</f>
        <v>1.6491228070175437</v>
      </c>
      <c r="X130" s="13">
        <f ca="1">IF(AND(Energy!$F$11=$A$3,Main!$B$43=A130),Energy!D27,X130)</f>
        <v>926.78634869930397</v>
      </c>
      <c r="Y130" s="102">
        <f ca="1">IF(AND(Energy!$F$11=$A$3,Main!$B$43=A130),'Aerodynamics-Cruise'!V27,Y130)</f>
        <v>172690.58806263853</v>
      </c>
      <c r="Z130" s="102">
        <f ca="1">IF(AND(Energy!$F$11=$A$3,Main!$B$43=$A130),Summary!Z27,Z130)</f>
        <v>128892.18141621524</v>
      </c>
      <c r="AA130" s="102">
        <f ca="1">IF(AND(Energy!$F$11=$A$3,Main!$B$43=$A130),Summary!AA27,AA130)</f>
        <v>128892.18141621524</v>
      </c>
      <c r="AB130" s="103">
        <f ca="1">IF(AND(Energy!$F$11=$A$3,Main!$B$43=$A130),Summary!AB27,AB130)</f>
        <v>3.946135292778794</v>
      </c>
      <c r="AC130" s="103">
        <f ca="1">IF(AND(Energy!$F$11=$A$3,Main!$B$43=$A130),Summary!AC27,AC130)</f>
        <v>2.2226658139102655</v>
      </c>
      <c r="AD130" s="103">
        <f ca="1">IF(AND(Energy!$F$11=$A$3,Main!$B$43=$A130),Summary!AD27,AD130)</f>
        <v>0.42101695136839801</v>
      </c>
      <c r="AE130" s="103">
        <f ca="1">IF(AND(Energy!$F$11=$A$3,Main!$B$43=$A130),Summary!AE27,AE130)</f>
        <v>1.6491228070175437</v>
      </c>
      <c r="AF130" s="103">
        <f ca="1">IF(AND(Energy!$F$11=$A$3,Main!$B$43=$A130),Summary!AF27,AF130)</f>
        <v>14.842105263157899</v>
      </c>
      <c r="AG130" s="103">
        <f ca="1">IF(AND(Energy!$F$11=$A$3,Main!$B$43=$A130),Summary!AG27,AG130)</f>
        <v>11.218602961229115</v>
      </c>
      <c r="AH130" s="103">
        <f ca="1">IF(AND(Energy!$F$11=$A$3,Main!$B$43=$A130),Summary!AH27,AH130)</f>
        <v>47</v>
      </c>
      <c r="AI130" s="103">
        <f ca="1">IF(AND(Energy!$F$11=$A$3,Main!$B$43=$A130),Summary!AI27,AI130)</f>
        <v>2.7624592538435429</v>
      </c>
      <c r="AJ130" s="103">
        <f ca="1">IF(AND(Energy!$F$11=$A$3,Main!$B$43=$A130),Summary!AJ27,AJ130)</f>
        <v>0.22813684833397033</v>
      </c>
      <c r="AK130" s="103">
        <f ca="1">IF(AND(Energy!$F$11=$A$3,Main!$B$43=$A130),Summary!AK27,AK130)</f>
        <v>0.01</v>
      </c>
      <c r="AL130" s="103">
        <f ca="1">IF(AND(Energy!$F$11=$A$3,Main!$B$43=$A130),Summary!AL27,AL130)</f>
        <v>-0.5479159579959415</v>
      </c>
      <c r="AM130" s="103">
        <f ca="1">IF(AND(Energy!$F$11=$A$3,Main!$B$43=$A130),Summary!AJ147,AM130)</f>
        <v>0</v>
      </c>
    </row>
    <row r="131" spans="1:39">
      <c r="A131">
        <f t="shared" si="8"/>
        <v>7</v>
      </c>
      <c r="D131" s="1">
        <f ca="1">IF(AND(Energy!$F$11=$A$3,Main!$B$43=A131),Main!C28,D131)</f>
        <v>5.1052631578947372</v>
      </c>
      <c r="E131" s="103">
        <f ca="1">IF(AND(Energy!$F$11=$A$3,Main!$B$43=A131),Main!B28,E131)</f>
        <v>0.33333333333333326</v>
      </c>
      <c r="F131" s="103">
        <f ca="1">IF(Main!$D$6=1,U131,IF(Main!$D$6=2,N131,IF(Main!$D$6=3,K131,IF(Main!$D$6=4,V131,J131))))</f>
        <v>511.08848449958754</v>
      </c>
      <c r="G131" s="103">
        <f ca="1">IF(AND(Energy!$F$11=$A$3,Main!$B$43=A131),Weight!H28,G131)</f>
        <v>15</v>
      </c>
      <c r="H131" s="103">
        <f ca="1">IF(AND(Energy!$F$11=$A$3,Main!$B$43=A131),Weight!U28,H131)</f>
        <v>18.904707744698626</v>
      </c>
      <c r="I131" s="103">
        <f ca="1">IF(AND(Energy!$F$11=$A$3,Main!$B$43=A131),Weight!V28,I131)</f>
        <v>45.254662338221728</v>
      </c>
      <c r="J131" s="103">
        <f ca="1">IF(AND(Energy!$F$11=$A$3,Main!$B$43=A131),Weight!I28,J131)</f>
        <v>21.4123063185231</v>
      </c>
      <c r="K131" s="103">
        <f ca="1">IF(AND(Energy!$F$11=$A$3,Main!$B$43=A131),Weight!W28,K131)</f>
        <v>60.25466266426421</v>
      </c>
      <c r="L131" s="103">
        <f ca="1">IF(AND(Energy!$F$11=$A$3,Main!$B$43=A131),'Aerodynamics-Cruise'!BI28,L131)</f>
        <v>60.25466199940405</v>
      </c>
      <c r="M131" s="103">
        <f ca="1">IF(AND(Energy!$F$11=$A$3,Main!$B$43=A131),'Aerodynamics-Cruise'!BJ28,M131)</f>
        <v>2.9417395381770493</v>
      </c>
      <c r="N131" s="103">
        <f ca="1">IF(AND(Energy!$F$11=$A$3,Main!$B$43=A131),'Aerodynamics-Cruise'!BK28,N131)</f>
        <v>20.482663817593767</v>
      </c>
      <c r="O131" s="103">
        <f t="shared" ca="1" si="5"/>
        <v>158.99437661791245</v>
      </c>
      <c r="P131" s="103">
        <f ca="1">IF(AND(Energy!$F$11=$A$3,Main!$B$43=A131),'Aerodynamics-Cruise'!H28,P131)</f>
        <v>8.076311113424973</v>
      </c>
      <c r="Q131" s="103">
        <f ca="1">IF(AND(Energy!$F$11=$A$3,Main!$B$43=A131),'Aerodynamics-Cruise'!I28,Q131)</f>
        <v>6.806070759795209</v>
      </c>
      <c r="R131" s="103">
        <f ca="1">IF(AND(Energy!$F$11=$A$3,Main!$B$43=$A131),Summary!R28,R131)</f>
        <v>3.8929745967732496</v>
      </c>
      <c r="S131" s="103">
        <f ca="1">IF(AND(Energy!$F$11=$A$3,Main!$B$43=A131),'Aerodynamics-Cruise'!W28,S131)</f>
        <v>1</v>
      </c>
      <c r="T131" s="103">
        <f ca="1">IF(AND(Energy!$F$11=$A$3,Main!$B$43=A131),'Aerodynamics-Cruise'!BL28,T131)</f>
        <v>23.758403724980951</v>
      </c>
      <c r="U131" s="103">
        <f ca="1">IF(AND(Energy!$F$11=$A$3,Main!$B$43=A131),'Propulsion-Cruise'!M28,U131)</f>
        <v>52.836966345896094</v>
      </c>
      <c r="V131" s="103">
        <f ca="1">IF(AND(Energy!$F$11=$A$3,Main!$B$43=A131),Endurance!AP28,V131)</f>
        <v>511.08848449958754</v>
      </c>
      <c r="W131" s="103">
        <f ca="1">IF(AND(Energy!$F$11=$A$3,Main!$B$43=$A131),Summary!W28,W131)</f>
        <v>1.701754385964912</v>
      </c>
      <c r="X131" s="13">
        <f ca="1">IF(AND(Energy!$F$11=$A$3,Main!$B$43=A131),Energy!D28,X131)</f>
        <v>922.79864255844575</v>
      </c>
      <c r="Y131" s="102">
        <f ca="1">IF(AND(Energy!$F$11=$A$3,Main!$B$43=A131),'Aerodynamics-Cruise'!V28,Y131)</f>
        <v>170740.70212150228</v>
      </c>
      <c r="Z131" s="102">
        <f ca="1">IF(AND(Energy!$F$11=$A$3,Main!$B$43=$A131),Summary!Z28,Z131)</f>
        <v>127494.18108938579</v>
      </c>
      <c r="AA131" s="102">
        <f ca="1">IF(AND(Energy!$F$11=$A$3,Main!$B$43=$A131),Summary!AA28,AA131)</f>
        <v>127494.18108938579</v>
      </c>
      <c r="AB131" s="103">
        <f ca="1">IF(AND(Energy!$F$11=$A$3,Main!$B$43=$A131),Summary!AB28,AB131)</f>
        <v>3.8929745967732496</v>
      </c>
      <c r="AC131" s="103">
        <f ca="1">IF(AND(Energy!$F$11=$A$3,Main!$B$43=$A131),Summary!AC28,AC131)</f>
        <v>2.1841039566142477</v>
      </c>
      <c r="AD131" s="103">
        <f ca="1">IF(AND(Energy!$F$11=$A$3,Main!$B$43=$A131),Summary!AD28,AD131)</f>
        <v>0.4187517645654204</v>
      </c>
      <c r="AE131" s="103">
        <f ca="1">IF(AND(Energy!$F$11=$A$3,Main!$B$43=$A131),Summary!AE28,AE131)</f>
        <v>1.701754385964912</v>
      </c>
      <c r="AF131" s="103">
        <f ca="1">IF(AND(Energy!$F$11=$A$3,Main!$B$43=$A131),Summary!AF28,AF131)</f>
        <v>15.315789473684216</v>
      </c>
      <c r="AG131" s="103">
        <f ca="1">IF(AND(Energy!$F$11=$A$3,Main!$B$43=$A131),Summary!AG28,AG131)</f>
        <v>11.177951774785519</v>
      </c>
      <c r="AH131" s="103">
        <f ca="1">IF(AND(Energy!$F$11=$A$3,Main!$B$43=$A131),Summary!AH28,AH131)</f>
        <v>47</v>
      </c>
      <c r="AI131" s="103">
        <f ca="1">IF(AND(Energy!$F$11=$A$3,Main!$B$43=$A131),Summary!AI28,AI131)</f>
        <v>2.759873805143243</v>
      </c>
      <c r="AJ131" s="103">
        <f ca="1">IF(AND(Energy!$F$11=$A$3,Main!$B$43=$A131),Summary!AJ28,AJ131)</f>
        <v>0.22883824319081</v>
      </c>
      <c r="AK131" s="103">
        <f ca="1">IF(AND(Energy!$F$11=$A$3,Main!$B$43=$A131),Summary!AK28,AK131)</f>
        <v>0.01</v>
      </c>
      <c r="AL131" s="103">
        <f ca="1">IF(AND(Energy!$F$11=$A$3,Main!$B$43=$A131),Summary!AL28,AL131)</f>
        <v>-0.54623653002241046</v>
      </c>
      <c r="AM131" s="103">
        <f ca="1">IF(AND(Energy!$F$11=$A$3,Main!$B$43=$A131),Summary!AJ148,AM131)</f>
        <v>0</v>
      </c>
    </row>
    <row r="132" spans="1:39">
      <c r="A132">
        <f t="shared" si="8"/>
        <v>7</v>
      </c>
      <c r="D132" s="1">
        <f ca="1">IF(AND(Energy!$F$11=$A$3,Main!$B$43=A132),Main!C29,D132)</f>
        <v>5.2631578947368425</v>
      </c>
      <c r="E132" s="103">
        <f ca="1">IF(AND(Energy!$F$11=$A$3,Main!$B$43=A132),Main!B29,E132)</f>
        <v>0.33333333333333326</v>
      </c>
      <c r="F132" s="103">
        <f ca="1">IF(Main!$D$6=1,U132,IF(Main!$D$6=2,N132,IF(Main!$D$6=3,K132,IF(Main!$D$6=4,V132,J132))))</f>
        <v>509.86513929935359</v>
      </c>
      <c r="G132" s="103">
        <f ca="1">IF(AND(Energy!$F$11=$A$3,Main!$B$43=A132),Weight!H29,G132)</f>
        <v>15</v>
      </c>
      <c r="H132" s="103">
        <f ca="1">IF(AND(Energy!$F$11=$A$3,Main!$B$43=A132),Weight!U29,H132)</f>
        <v>19.540517827696874</v>
      </c>
      <c r="I132" s="103">
        <f ca="1">IF(AND(Energy!$F$11=$A$3,Main!$B$43=A132),Weight!V29,I132)</f>
        <v>45.839219742522047</v>
      </c>
      <c r="J132" s="103">
        <f ca="1">IF(AND(Energy!$F$11=$A$3,Main!$B$43=A132),Weight!I29,J132)</f>
        <v>21.361053639825172</v>
      </c>
      <c r="K132" s="103">
        <f ca="1">IF(AND(Energy!$F$11=$A$3,Main!$B$43=A132),Weight!W29,K132)</f>
        <v>60.839220085056411</v>
      </c>
      <c r="L132" s="103">
        <f ca="1">IF(AND(Energy!$F$11=$A$3,Main!$B$43=A132),'Aerodynamics-Cruise'!BI29,L132)</f>
        <v>60.839219386705395</v>
      </c>
      <c r="M132" s="103">
        <f ca="1">IF(AND(Energy!$F$11=$A$3,Main!$B$43=A132),'Aerodynamics-Cruise'!BJ29,M132)</f>
        <v>2.9446910232051682</v>
      </c>
      <c r="N132" s="103">
        <f ca="1">IF(AND(Energy!$F$11=$A$3,Main!$B$43=A132),'Aerodynamics-Cruise'!BK29,N132)</f>
        <v>20.660646195907017</v>
      </c>
      <c r="O132" s="103">
        <f t="shared" ca="1" si="5"/>
        <v>161.15200648020104</v>
      </c>
      <c r="P132" s="103">
        <f ca="1">IF(AND(Energy!$F$11=$A$3,Main!$B$43=A132),'Aerodynamics-Cruise'!H29,P132)</f>
        <v>7.992682498937584</v>
      </c>
      <c r="Q132" s="103">
        <f ca="1">IF(AND(Energy!$F$11=$A$3,Main!$B$43=A132),'Aerodynamics-Cruise'!I29,Q132)</f>
        <v>6.7384861831658585</v>
      </c>
      <c r="R132" s="103">
        <f ca="1">IF(AND(Energy!$F$11=$A$3,Main!$B$43=$A132),Summary!R29,R132)</f>
        <v>3.851479849046036</v>
      </c>
      <c r="S132" s="103">
        <f ca="1">IF(AND(Energy!$F$11=$A$3,Main!$B$43=A132),'Aerodynamics-Cruise'!W29,S132)</f>
        <v>1</v>
      </c>
      <c r="T132" s="103">
        <f ca="1">IF(AND(Energy!$F$11=$A$3,Main!$B$43=A132),'Aerodynamics-Cruise'!BL29,T132)</f>
        <v>23.535980405950554</v>
      </c>
      <c r="U132" s="103">
        <f ca="1">IF(AND(Energy!$F$11=$A$3,Main!$B$43=A132),'Propulsion-Cruise'!M29,U132)</f>
        <v>52.54126561453166</v>
      </c>
      <c r="V132" s="103">
        <f ca="1">IF(AND(Energy!$F$11=$A$3,Main!$B$43=A132),Endurance!AP29,V132)</f>
        <v>509.86513929935359</v>
      </c>
      <c r="W132" s="103">
        <f ca="1">IF(AND(Energy!$F$11=$A$3,Main!$B$43=$A132),Summary!W29,W132)</f>
        <v>1.7543859649122804</v>
      </c>
      <c r="X132" s="13">
        <f ca="1">IF(AND(Energy!$F$11=$A$3,Main!$B$43=A132),Energy!D29,X132)</f>
        <v>920.58982437648183</v>
      </c>
      <c r="Y132" s="102">
        <f ca="1">IF(AND(Energy!$F$11=$A$3,Main!$B$43=A132),'Aerodynamics-Cruise'!V29,Y132)</f>
        <v>168972.7157036326</v>
      </c>
      <c r="Z132" s="102">
        <f ca="1">IF(AND(Energy!$F$11=$A$3,Main!$B$43=$A132),Summary!Z29,Z132)</f>
        <v>126226.04510198074</v>
      </c>
      <c r="AA132" s="102">
        <f ca="1">IF(AND(Energy!$F$11=$A$3,Main!$B$43=$A132),Summary!AA29,AA132)</f>
        <v>126226.04510198074</v>
      </c>
      <c r="AB132" s="103">
        <f ca="1">IF(AND(Energy!$F$11=$A$3,Main!$B$43=$A132),Summary!AB29,AB132)</f>
        <v>3.851479849046036</v>
      </c>
      <c r="AC132" s="103">
        <f ca="1">IF(AND(Energy!$F$11=$A$3,Main!$B$43=$A132),Summary!AC29,AC132)</f>
        <v>2.1452122715618223</v>
      </c>
      <c r="AD132" s="103">
        <f ca="1">IF(AND(Energy!$F$11=$A$3,Main!$B$43=$A132),Summary!AD29,AD132)</f>
        <v>0.41686856211297518</v>
      </c>
      <c r="AE132" s="103">
        <f ca="1">IF(AND(Energy!$F$11=$A$3,Main!$B$43=$A132),Summary!AE29,AE132)</f>
        <v>1.7543859649122804</v>
      </c>
      <c r="AF132" s="103">
        <f ca="1">IF(AND(Energy!$F$11=$A$3,Main!$B$43=$A132),Summary!AF29,AF132)</f>
        <v>15.789473684210533</v>
      </c>
      <c r="AG132" s="103">
        <f ca="1">IF(AND(Energy!$F$11=$A$3,Main!$B$43=$A132),Summary!AG29,AG132)</f>
        <v>11.150348435222002</v>
      </c>
      <c r="AH132" s="103">
        <f ca="1">IF(AND(Energy!$F$11=$A$3,Main!$B$43=$A132),Summary!AH29,AH132)</f>
        <v>47</v>
      </c>
      <c r="AI132" s="103">
        <f ca="1">IF(AND(Energy!$F$11=$A$3,Main!$B$43=$A132),Summary!AI29,AI132)</f>
        <v>2.75750622638592</v>
      </c>
      <c r="AJ132" s="103">
        <f ca="1">IF(AND(Energy!$F$11=$A$3,Main!$B$43=$A132),Summary!AJ29,AJ132)</f>
        <v>0.22948555255282821</v>
      </c>
      <c r="AK132" s="103">
        <f ca="1">IF(AND(Energy!$F$11=$A$3,Main!$B$43=$A132),Summary!AK29,AK132)</f>
        <v>0.01</v>
      </c>
      <c r="AL132" s="103">
        <f ca="1">IF(AND(Energy!$F$11=$A$3,Main!$B$43=$A132),Summary!AL29,AL132)</f>
        <v>-0.54469570805193146</v>
      </c>
      <c r="AM132" s="103">
        <f ca="1">IF(AND(Energy!$F$11=$A$3,Main!$B$43=$A132),Summary!AJ149,AM132)</f>
        <v>0</v>
      </c>
    </row>
    <row r="133" spans="1:39">
      <c r="A133">
        <f t="shared" si="8"/>
        <v>7</v>
      </c>
      <c r="D133" s="1">
        <f ca="1">IF(AND(Energy!$F$11=$A$3,Main!$B$43=A133),Main!C30,D133)</f>
        <v>5.4210526315789478</v>
      </c>
      <c r="E133" s="103">
        <f ca="1">IF(AND(Energy!$F$11=$A$3,Main!$B$43=A133),Main!B30,E133)</f>
        <v>0.33333333333333326</v>
      </c>
      <c r="F133" s="103">
        <f ca="1">IF(Main!$D$6=1,U133,IF(Main!$D$6=2,N133,IF(Main!$D$6=3,K133,IF(Main!$D$6=4,V133,J133))))</f>
        <v>509.51711999473343</v>
      </c>
      <c r="G133" s="103">
        <f ca="1">IF(AND(Energy!$F$11=$A$3,Main!$B$43=A133),Weight!H30,G133)</f>
        <v>15</v>
      </c>
      <c r="H133" s="103">
        <f ca="1">IF(AND(Energy!$F$11=$A$3,Main!$B$43=A133),Weight!U30,H133)</f>
        <v>20.196324618937311</v>
      </c>
      <c r="I133" s="103">
        <f ca="1">IF(AND(Energy!$F$11=$A$3,Main!$B$43=A133),Weight!V30,I133)</f>
        <v>46.480446068495638</v>
      </c>
      <c r="J133" s="103">
        <f ca="1">IF(AND(Energy!$F$11=$A$3,Main!$B$43=A133),Weight!I30,J133)</f>
        <v>21.346473174558323</v>
      </c>
      <c r="K133" s="103">
        <f ca="1">IF(AND(Energy!$F$11=$A$3,Main!$B$43=A133),Weight!W30,K133)</f>
        <v>61.480446428261665</v>
      </c>
      <c r="L133" s="103">
        <f ca="1">IF(AND(Energy!$F$11=$A$3,Main!$B$43=A133),'Aerodynamics-Cruise'!BI30,L133)</f>
        <v>61.480445694981405</v>
      </c>
      <c r="M133" s="103">
        <f ca="1">IF(AND(Energy!$F$11=$A$3,Main!$B$43=A133),'Aerodynamics-Cruise'!BJ30,M133)</f>
        <v>2.951139586727157</v>
      </c>
      <c r="N133" s="103">
        <f ca="1">IF(AND(Energy!$F$11=$A$3,Main!$B$43=A133),'Aerodynamics-Cruise'!BK30,N133)</f>
        <v>20.832781333519986</v>
      </c>
      <c r="O133" s="103">
        <f t="shared" ref="O133:O196" ca="1" si="9">L133^(3/2)/M133</f>
        <v>163.34872876989465</v>
      </c>
      <c r="P133" s="103">
        <f ca="1">IF(AND(Energy!$F$11=$A$3,Main!$B$43=A133),'Aerodynamics-Cruise'!H30,P133)</f>
        <v>7.9167703083326479</v>
      </c>
      <c r="Q133" s="103">
        <f ca="1">IF(AND(Energy!$F$11=$A$3,Main!$B$43=A133),'Aerodynamics-Cruise'!I30,Q133)</f>
        <v>6.6771122792079449</v>
      </c>
      <c r="R133" s="103">
        <f ca="1">IF(AND(Energy!$F$11=$A$3,Main!$B$43=$A133),Summary!R30,R133)</f>
        <v>3.8202598433993136</v>
      </c>
      <c r="S133" s="103">
        <f ca="1">IF(AND(Energy!$F$11=$A$3,Main!$B$43=A133),'Aerodynamics-Cruise'!W30,S133)</f>
        <v>1</v>
      </c>
      <c r="T133" s="103">
        <f ca="1">IF(AND(Energy!$F$11=$A$3,Main!$B$43=A133),'Aerodynamics-Cruise'!BL30,T133)</f>
        <v>23.363494255946637</v>
      </c>
      <c r="U133" s="103">
        <f ca="1">IF(AND(Energy!$F$11=$A$3,Main!$B$43=A133),'Propulsion-Cruise'!M30,U133)</f>
        <v>52.340707195300205</v>
      </c>
      <c r="V133" s="103">
        <f ca="1">IF(AND(Energy!$F$11=$A$3,Main!$B$43=A133),Endurance!AP30,V133)</f>
        <v>509.51711999473343</v>
      </c>
      <c r="W133" s="103">
        <f ca="1">IF(AND(Energy!$F$11=$A$3,Main!$B$43=$A133),Summary!W30,W133)</f>
        <v>1.807017543859649</v>
      </c>
      <c r="X133" s="13">
        <f ca="1">IF(AND(Energy!$F$11=$A$3,Main!$B$43=A133),Energy!D30,X133)</f>
        <v>919.96145570084093</v>
      </c>
      <c r="Y133" s="102">
        <f ca="1">IF(AND(Energy!$F$11=$A$3,Main!$B$43=A133),'Aerodynamics-Cruise'!V30,Y133)</f>
        <v>167367.86163827559</v>
      </c>
      <c r="Z133" s="102">
        <f ca="1">IF(AND(Energy!$F$11=$A$3,Main!$B$43=$A133),Summary!Z30,Z133)</f>
        <v>125074.46282266518</v>
      </c>
      <c r="AA133" s="102">
        <f ca="1">IF(AND(Energy!$F$11=$A$3,Main!$B$43=$A133),Summary!AA30,AA133)</f>
        <v>125074.46282266518</v>
      </c>
      <c r="AB133" s="103">
        <f ca="1">IF(AND(Energy!$F$11=$A$3,Main!$B$43=$A133),Summary!AB30,AB133)</f>
        <v>3.8202598433993136</v>
      </c>
      <c r="AC133" s="103">
        <f ca="1">IF(AND(Energy!$F$11=$A$3,Main!$B$43=$A133),Summary!AC30,AC133)</f>
        <v>2.1061936626762172</v>
      </c>
      <c r="AD133" s="103">
        <f ca="1">IF(AND(Energy!$F$11=$A$3,Main!$B$43=$A133),Summary!AD30,AD133)</f>
        <v>0.41532740822071346</v>
      </c>
      <c r="AE133" s="103">
        <f ca="1">IF(AND(Energy!$F$11=$A$3,Main!$B$43=$A133),Summary!AE30,AE133)</f>
        <v>1.807017543859649</v>
      </c>
      <c r="AF133" s="103">
        <f ca="1">IF(AND(Energy!$F$11=$A$3,Main!$B$43=$A133),Summary!AF30,AF133)</f>
        <v>16.263157894736846</v>
      </c>
      <c r="AG133" s="103">
        <f ca="1">IF(AND(Energy!$F$11=$A$3,Main!$B$43=$A133),Summary!AG30,AG133)</f>
        <v>11.134342542905346</v>
      </c>
      <c r="AH133" s="103">
        <f ca="1">IF(AND(Energy!$F$11=$A$3,Main!$B$43=$A133),Summary!AH30,AH133)</f>
        <v>47</v>
      </c>
      <c r="AI133" s="103">
        <f ca="1">IF(AND(Energy!$F$11=$A$3,Main!$B$43=$A133),Summary!AI30,AI133)</f>
        <v>2.7553374447513428</v>
      </c>
      <c r="AJ133" s="103">
        <f ca="1">IF(AND(Energy!$F$11=$A$3,Main!$B$43=$A133),Summary!AJ30,AJ133)</f>
        <v>0.23008323070039952</v>
      </c>
      <c r="AK133" s="103">
        <f ca="1">IF(AND(Energy!$F$11=$A$3,Main!$B$43=$A133),Summary!AK30,AK133)</f>
        <v>0.01</v>
      </c>
      <c r="AL133" s="103">
        <f ca="1">IF(AND(Energy!$F$11=$A$3,Main!$B$43=$A133),Summary!AL30,AL133)</f>
        <v>-0.54328071817252821</v>
      </c>
      <c r="AM133" s="103">
        <f ca="1">IF(AND(Energy!$F$11=$A$3,Main!$B$43=$A133),Summary!AJ150,AM133)</f>
        <v>0</v>
      </c>
    </row>
    <row r="134" spans="1:39">
      <c r="A134">
        <f t="shared" si="8"/>
        <v>7</v>
      </c>
      <c r="D134" s="1">
        <f ca="1">IF(AND(Energy!$F$11=$A$3,Main!$B$43=A134),Main!C31,D134)</f>
        <v>5.5789473684210531</v>
      </c>
      <c r="E134" s="103">
        <f ca="1">IF(AND(Energy!$F$11=$A$3,Main!$B$43=A134),Main!B31,E134)</f>
        <v>0.33333333333333326</v>
      </c>
      <c r="F134" s="103">
        <f ca="1">IF(Main!$D$6=1,U134,IF(Main!$D$6=2,N134,IF(Main!$D$6=3,K134,IF(Main!$D$6=4,V134,J134))))</f>
        <v>509.95407077800598</v>
      </c>
      <c r="G134" s="103">
        <f ca="1">IF(AND(Energy!$F$11=$A$3,Main!$B$43=A134),Weight!H31,G134)</f>
        <v>15</v>
      </c>
      <c r="H134" s="103">
        <f ca="1">IF(AND(Energy!$F$11=$A$3,Main!$B$43=A134),Weight!U31,H134)</f>
        <v>20.872036219529029</v>
      </c>
      <c r="I134" s="103">
        <f ca="1">IF(AND(Energy!$F$11=$A$3,Main!$B$43=A134),Weight!V31,I134)</f>
        <v>47.174463915832732</v>
      </c>
      <c r="J134" s="103">
        <f ca="1">IF(AND(Energy!$F$11=$A$3,Main!$B$43=A134),Weight!I31,J134)</f>
        <v>21.364779421303705</v>
      </c>
      <c r="K134" s="103">
        <f ca="1">IF(AND(Energy!$F$11=$A$3,Main!$B$43=A134),Weight!W31,K134)</f>
        <v>62.174464293464993</v>
      </c>
      <c r="L134" s="103">
        <f ca="1">IF(AND(Energy!$F$11=$A$3,Main!$B$43=A134),'Aerodynamics-Cruise'!BI31,L134)</f>
        <v>62.174463524027459</v>
      </c>
      <c r="M134" s="103">
        <f ca="1">IF(AND(Energy!$F$11=$A$3,Main!$B$43=A134),'Aerodynamics-Cruise'!BJ31,M134)</f>
        <v>2.9607333546923464</v>
      </c>
      <c r="N134" s="103">
        <f ca="1">IF(AND(Energy!$F$11=$A$3,Main!$B$43=A134),'Aerodynamics-Cruise'!BK31,N134)</f>
        <v>20.999683549850808</v>
      </c>
      <c r="O134" s="103">
        <f t="shared" ca="1" si="9"/>
        <v>165.5841540285648</v>
      </c>
      <c r="P134" s="103">
        <f ca="1">IF(AND(Energy!$F$11=$A$3,Main!$B$43=A134),'Aerodynamics-Cruise'!H31,P134)</f>
        <v>7.8478170427457297</v>
      </c>
      <c r="Q134" s="103">
        <f ca="1">IF(AND(Energy!$F$11=$A$3,Main!$B$43=A134),'Aerodynamics-Cruise'!I31,Q134)</f>
        <v>6.6213435272890857</v>
      </c>
      <c r="R134" s="103">
        <f ca="1">IF(AND(Energy!$F$11=$A$3,Main!$B$43=$A134),Summary!R31,R134)</f>
        <v>3.7981877708374792</v>
      </c>
      <c r="S134" s="103">
        <f ca="1">IF(AND(Energy!$F$11=$A$3,Main!$B$43=A134),'Aerodynamics-Cruise'!W31,S134)</f>
        <v>1</v>
      </c>
      <c r="T134" s="103">
        <f ca="1">IF(AND(Energy!$F$11=$A$3,Main!$B$43=A134),'Aerodynamics-Cruise'!BL31,T134)</f>
        <v>23.235293679980334</v>
      </c>
      <c r="U134" s="103">
        <f ca="1">IF(AND(Energy!$F$11=$A$3,Main!$B$43=A134),'Propulsion-Cruise'!M31,U134)</f>
        <v>52.225006771450865</v>
      </c>
      <c r="V134" s="103">
        <f ca="1">IF(AND(Energy!$F$11=$A$3,Main!$B$43=A134),Endurance!AP31,V134)</f>
        <v>509.95407077800598</v>
      </c>
      <c r="W134" s="103">
        <f ca="1">IF(AND(Energy!$F$11=$A$3,Main!$B$43=$A134),Summary!W31,W134)</f>
        <v>1.8596491228070173</v>
      </c>
      <c r="X134" s="13">
        <f ca="1">IF(AND(Energy!$F$11=$A$3,Main!$B$43=A134),Energy!D31,X134)</f>
        <v>920.75039410479405</v>
      </c>
      <c r="Y134" s="102">
        <f ca="1">IF(AND(Energy!$F$11=$A$3,Main!$B$43=A134),'Aerodynamics-Cruise'!V31,Y134)</f>
        <v>165910.12569738165</v>
      </c>
      <c r="Z134" s="102">
        <f ca="1">IF(AND(Energy!$F$11=$A$3,Main!$B$43=$A134),Summary!Z31,Z134)</f>
        <v>124028.06758117737</v>
      </c>
      <c r="AA134" s="102">
        <f ca="1">IF(AND(Energy!$F$11=$A$3,Main!$B$43=$A134),Summary!AA31,AA134)</f>
        <v>124028.06758117737</v>
      </c>
      <c r="AB134" s="103">
        <f ca="1">IF(AND(Energy!$F$11=$A$3,Main!$B$43=$A134),Summary!AB31,AB134)</f>
        <v>3.7981877708374792</v>
      </c>
      <c r="AC134" s="103">
        <f ca="1">IF(AND(Energy!$F$11=$A$3,Main!$B$43=$A134),Summary!AC31,AC134)</f>
        <v>2.0672092526486296</v>
      </c>
      <c r="AD134" s="103">
        <f ca="1">IF(AND(Energy!$F$11=$A$3,Main!$B$43=$A134),Summary!AD31,AD134)</f>
        <v>0.41409439591982988</v>
      </c>
      <c r="AE134" s="103">
        <f ca="1">IF(AND(Energy!$F$11=$A$3,Main!$B$43=$A134),Summary!AE31,AE134)</f>
        <v>1.8596491228070173</v>
      </c>
      <c r="AF134" s="103">
        <f ca="1">IF(AND(Energy!$F$11=$A$3,Main!$B$43=$A134),Summary!AF31,AF134)</f>
        <v>16.736842105263161</v>
      </c>
      <c r="AG134" s="103">
        <f ca="1">IF(AND(Energy!$F$11=$A$3,Main!$B$43=$A134),Summary!AG31,AG134)</f>
        <v>11.12872291750517</v>
      </c>
      <c r="AH134" s="103">
        <f ca="1">IF(AND(Energy!$F$11=$A$3,Main!$B$43=$A134),Summary!AH31,AH134)</f>
        <v>47</v>
      </c>
      <c r="AI134" s="103">
        <f ca="1">IF(AND(Energy!$F$11=$A$3,Main!$B$43=$A134),Summary!AI31,AI134)</f>
        <v>2.7533508861837701</v>
      </c>
      <c r="AJ134" s="103">
        <f ca="1">IF(AND(Energy!$F$11=$A$3,Main!$B$43=$A134),Summary!AJ31,AJ134)</f>
        <v>0.23063520785296535</v>
      </c>
      <c r="AK134" s="103">
        <f ca="1">IF(AND(Energy!$F$11=$A$3,Main!$B$43=$A134),Summary!AK31,AK134)</f>
        <v>0.01</v>
      </c>
      <c r="AL134" s="103">
        <f ca="1">IF(AND(Energy!$F$11=$A$3,Main!$B$43=$A134),Summary!AL31,AL134)</f>
        <v>-0.54198043295381726</v>
      </c>
      <c r="AM134" s="103">
        <f ca="1">IF(AND(Energy!$F$11=$A$3,Main!$B$43=$A134),Summary!AJ151,AM134)</f>
        <v>0</v>
      </c>
    </row>
    <row r="135" spans="1:39">
      <c r="A135">
        <f t="shared" si="8"/>
        <v>7</v>
      </c>
      <c r="D135" s="1">
        <f ca="1">IF(AND(Energy!$F$11=$A$3,Main!$B$43=A135),Main!C32,D135)</f>
        <v>5.7368421052631584</v>
      </c>
      <c r="E135" s="103">
        <f ca="1">IF(AND(Energy!$F$11=$A$3,Main!$B$43=A135),Main!B32,E135)</f>
        <v>0.33333333333333326</v>
      </c>
      <c r="F135" s="103">
        <f ca="1">IF(Main!$D$6=1,U135,IF(Main!$D$6=2,N135,IF(Main!$D$6=3,K135,IF(Main!$D$6=4,V135,J135))))</f>
        <v>511.10111110588889</v>
      </c>
      <c r="G135" s="103">
        <f ca="1">IF(AND(Energy!$F$11=$A$3,Main!$B$43=A135),Weight!H32,G135)</f>
        <v>15</v>
      </c>
      <c r="H135" s="103">
        <f ca="1">IF(AND(Energy!$F$11=$A$3,Main!$B$43=A135),Weight!U32,H135)</f>
        <v>21.567622869233155</v>
      </c>
      <c r="I135" s="103">
        <f ca="1">IF(AND(Energy!$F$11=$A$3,Main!$B$43=A135),Weight!V32,I135)</f>
        <v>47.91810636673695</v>
      </c>
      <c r="J135" s="103">
        <f ca="1">IF(AND(Energy!$F$11=$A$3,Main!$B$43=A135),Weight!I32,J135)</f>
        <v>21.412835222503791</v>
      </c>
      <c r="K135" s="103">
        <f ca="1">IF(AND(Energy!$F$11=$A$3,Main!$B$43=A135),Weight!W32,K135)</f>
        <v>62.918106762798651</v>
      </c>
      <c r="L135" s="103">
        <f ca="1">IF(AND(Energy!$F$11=$A$3,Main!$B$43=A135),'Aerodynamics-Cruise'!BI32,L135)</f>
        <v>62.918105956117877</v>
      </c>
      <c r="M135" s="103">
        <f ca="1">IF(AND(Energy!$F$11=$A$3,Main!$B$43=A135),'Aerodynamics-Cruise'!BJ32,M135)</f>
        <v>2.9731764102681395</v>
      </c>
      <c r="N135" s="103">
        <f ca="1">IF(AND(Energy!$F$11=$A$3,Main!$B$43=A135),'Aerodynamics-Cruise'!BK32,N135)</f>
        <v>21.161914825781739</v>
      </c>
      <c r="O135" s="103">
        <f t="shared" ca="1" si="9"/>
        <v>167.85828525415675</v>
      </c>
      <c r="P135" s="103">
        <f ca="1">IF(AND(Energy!$F$11=$A$3,Main!$B$43=A135),'Aerodynamics-Cruise'!H32,P135)</f>
        <v>7.7851712301973359</v>
      </c>
      <c r="Q135" s="103">
        <f ca="1">IF(AND(Energy!$F$11=$A$3,Main!$B$43=A135),'Aerodynamics-Cruise'!I32,Q135)</f>
        <v>6.570658760279886</v>
      </c>
      <c r="R135" s="103">
        <f ca="1">IF(AND(Energy!$F$11=$A$3,Main!$B$43=$A135),Summary!R32,R135)</f>
        <v>3.7843436925777487</v>
      </c>
      <c r="S135" s="103">
        <f ca="1">IF(AND(Energy!$F$11=$A$3,Main!$B$43=A135),'Aerodynamics-Cruise'!W32,S135)</f>
        <v>1</v>
      </c>
      <c r="T135" s="103">
        <f ca="1">IF(AND(Energy!$F$11=$A$3,Main!$B$43=A135),'Aerodynamics-Cruise'!BL32,T135)</f>
        <v>23.146687451520911</v>
      </c>
      <c r="U135" s="103">
        <f ca="1">IF(AND(Energy!$F$11=$A$3,Main!$B$43=A135),'Propulsion-Cruise'!M32,U135)</f>
        <v>52.18562491284662</v>
      </c>
      <c r="V135" s="103">
        <f ca="1">IF(AND(Energy!$F$11=$A$3,Main!$B$43=A135),Endurance!AP32,V135)</f>
        <v>511.10111110588889</v>
      </c>
      <c r="W135" s="103">
        <f ca="1">IF(AND(Energy!$F$11=$A$3,Main!$B$43=$A135),Summary!W32,W135)</f>
        <v>1.9122807017543857</v>
      </c>
      <c r="X135" s="13">
        <f ca="1">IF(AND(Energy!$F$11=$A$3,Main!$B$43=A135),Energy!D32,X135)</f>
        <v>922.82143861010923</v>
      </c>
      <c r="Y135" s="102">
        <f ca="1">IF(AND(Energy!$F$11=$A$3,Main!$B$43=A135),'Aerodynamics-Cruise'!V32,Y135)</f>
        <v>164585.73515951529</v>
      </c>
      <c r="Z135" s="102">
        <f ca="1">IF(AND(Energy!$F$11=$A$3,Main!$B$43=$A135),Summary!Z32,Z135)</f>
        <v>123077.07646339355</v>
      </c>
      <c r="AA135" s="102">
        <f ca="1">IF(AND(Energy!$F$11=$A$3,Main!$B$43=$A135),Summary!AA32,AA135)</f>
        <v>123077.07646339355</v>
      </c>
      <c r="AB135" s="103">
        <f ca="1">IF(AND(Energy!$F$11=$A$3,Main!$B$43=$A135),Summary!AB32,AB135)</f>
        <v>3.7843436925777487</v>
      </c>
      <c r="AC135" s="103">
        <f ca="1">IF(AND(Energy!$F$11=$A$3,Main!$B$43=$A135),Summary!AC32,AC135)</f>
        <v>2.0283872159254801</v>
      </c>
      <c r="AD135" s="103">
        <f ca="1">IF(AND(Energy!$F$11=$A$3,Main!$B$43=$A135),Summary!AD32,AD135)</f>
        <v>0.4131405089484787</v>
      </c>
      <c r="AE135" s="103">
        <f ca="1">IF(AND(Energy!$F$11=$A$3,Main!$B$43=$A135),Summary!AE32,AE135)</f>
        <v>1.9122807017543857</v>
      </c>
      <c r="AF135" s="103">
        <f ca="1">IF(AND(Energy!$F$11=$A$3,Main!$B$43=$A135),Summary!AF32,AF135)</f>
        <v>17.21052631578948</v>
      </c>
      <c r="AG135" s="103">
        <f ca="1">IF(AND(Energy!$F$11=$A$3,Main!$B$43=$A135),Summary!AG32,AG135)</f>
        <v>11.132469896052928</v>
      </c>
      <c r="AH135" s="103">
        <f ca="1">IF(AND(Energy!$F$11=$A$3,Main!$B$43=$A135),Summary!AH32,AH135)</f>
        <v>47</v>
      </c>
      <c r="AI135" s="103">
        <f ca="1">IF(AND(Energy!$F$11=$A$3,Main!$B$43=$A135),Summary!AI32,AI135)</f>
        <v>2.7515320393126412</v>
      </c>
      <c r="AJ135" s="103">
        <f ca="1">IF(AND(Energy!$F$11=$A$3,Main!$B$43=$A135),Summary!AJ32,AJ135)</f>
        <v>0.2311449713050365</v>
      </c>
      <c r="AK135" s="103">
        <f ca="1">IF(AND(Energy!$F$11=$A$3,Main!$B$43=$A135),Summary!AK32,AK135)</f>
        <v>0.01</v>
      </c>
      <c r="AL135" s="103">
        <f ca="1">IF(AND(Energy!$F$11=$A$3,Main!$B$43=$A135),Summary!AL32,AL135)</f>
        <v>-0.54078510064697727</v>
      </c>
      <c r="AM135" s="103">
        <f ca="1">IF(AND(Energy!$F$11=$A$3,Main!$B$43=$A135),Summary!AJ152,AM135)</f>
        <v>0</v>
      </c>
    </row>
    <row r="136" spans="1:39">
      <c r="A136">
        <f t="shared" si="8"/>
        <v>7</v>
      </c>
      <c r="D136" s="1">
        <f ca="1">IF(AND(Energy!$F$11=$A$3,Main!$B$43=A136),Main!C33,D136)</f>
        <v>5.8947368421052637</v>
      </c>
      <c r="E136" s="103">
        <f ca="1">IF(AND(Energy!$F$11=$A$3,Main!$B$43=A136),Main!B33,E136)</f>
        <v>0.33333333333333326</v>
      </c>
      <c r="F136" s="103">
        <f ca="1">IF(Main!$D$6=1,U136,IF(Main!$D$6=2,N136,IF(Main!$D$6=3,K136,IF(Main!$D$6=4,V136,J136))))</f>
        <v>512.8957497873397</v>
      </c>
      <c r="G136" s="103">
        <f ca="1">IF(AND(Energy!$F$11=$A$3,Main!$B$43=A136),Weight!H33,G136)</f>
        <v>15</v>
      </c>
      <c r="H136" s="103">
        <f ca="1">IF(AND(Energy!$F$11=$A$3,Main!$B$43=A136),Weight!U33,H136)</f>
        <v>22.283105515041619</v>
      </c>
      <c r="I136" s="103">
        <f ca="1">IF(AND(Energy!$F$11=$A$3,Main!$B$43=A136),Weight!V33,I136)</f>
        <v>48.708776268688126</v>
      </c>
      <c r="J136" s="103">
        <f ca="1">IF(AND(Energy!$F$11=$A$3,Main!$B$43=A136),Weight!I33,J136)</f>
        <v>21.488022478646506</v>
      </c>
      <c r="K136" s="103">
        <f ca="1">IF(AND(Energy!$F$11=$A$3,Main!$B$43=A136),Weight!W33,K136)</f>
        <v>63.708776683696989</v>
      </c>
      <c r="L136" s="103">
        <f ca="1">IF(AND(Energy!$F$11=$A$3,Main!$B$43=A136),'Aerodynamics-Cruise'!BI33,L136)</f>
        <v>63.708775838776859</v>
      </c>
      <c r="M136" s="103">
        <f ca="1">IF(AND(Energy!$F$11=$A$3,Main!$B$43=A136),'Aerodynamics-Cruise'!BJ33,M136)</f>
        <v>2.9882181071308356</v>
      </c>
      <c r="N136" s="103">
        <f ca="1">IF(AND(Energy!$F$11=$A$3,Main!$B$43=A136),'Aerodynamics-Cruise'!BK33,N136)</f>
        <v>21.319988553294529</v>
      </c>
      <c r="O136" s="103">
        <f t="shared" ca="1" si="9"/>
        <v>170.17140998231611</v>
      </c>
      <c r="P136" s="103">
        <f ca="1">IF(AND(Energy!$F$11=$A$3,Main!$B$43=A136),'Aerodynamics-Cruise'!H33,P136)</f>
        <v>7.7282686070811826</v>
      </c>
      <c r="Q136" s="103">
        <f ca="1">IF(AND(Energy!$F$11=$A$3,Main!$B$43=A136),'Aerodynamics-Cruise'!I33,Q136)</f>
        <v>6.5246062349898626</v>
      </c>
      <c r="R136" s="103">
        <f ca="1">IF(AND(Energy!$F$11=$A$3,Main!$B$43=$A136),Summary!R33,R136)</f>
        <v>3.7779715633295385</v>
      </c>
      <c r="S136" s="103">
        <f ca="1">IF(AND(Energy!$F$11=$A$3,Main!$B$43=A136),'Aerodynamics-Cruise'!W33,S136)</f>
        <v>1</v>
      </c>
      <c r="T136" s="103">
        <f ca="1">IF(AND(Energy!$F$11=$A$3,Main!$B$43=A136),'Aerodynamics-Cruise'!BL33,T136)</f>
        <v>23.093752188450789</v>
      </c>
      <c r="U136" s="103">
        <f ca="1">IF(AND(Energy!$F$11=$A$3,Main!$B$43=A136),'Propulsion-Cruise'!M33,U136)</f>
        <v>52.215418900242085</v>
      </c>
      <c r="V136" s="103">
        <f ca="1">IF(AND(Energy!$F$11=$A$3,Main!$B$43=A136),Endurance!AP33,V136)</f>
        <v>512.8957497873397</v>
      </c>
      <c r="W136" s="103">
        <f ca="1">IF(AND(Energy!$F$11=$A$3,Main!$B$43=$A136),Summary!W33,W136)</f>
        <v>1.9649122807017541</v>
      </c>
      <c r="X136" s="13">
        <f ca="1">IF(AND(Energy!$F$11=$A$3,Main!$B$43=A136),Energy!D33,X136)</f>
        <v>926.06175790143016</v>
      </c>
      <c r="Y136" s="102">
        <f ca="1">IF(AND(Energy!$F$11=$A$3,Main!$B$43=A136),'Aerodynamics-Cruise'!V33,Y136)</f>
        <v>163382.76096907613</v>
      </c>
      <c r="Z136" s="102">
        <f ca="1">IF(AND(Energy!$F$11=$A$3,Main!$B$43=$A136),Summary!Z33,Z136)</f>
        <v>122213.00997448512</v>
      </c>
      <c r="AA136" s="102">
        <f ca="1">IF(AND(Energy!$F$11=$A$3,Main!$B$43=$A136),Summary!AA33,AA136)</f>
        <v>122213.00997448512</v>
      </c>
      <c r="AB136" s="103">
        <f ca="1">IF(AND(Energy!$F$11=$A$3,Main!$B$43=$A136),Summary!AB33,AB136)</f>
        <v>3.7779715633295385</v>
      </c>
      <c r="AC136" s="103">
        <f ca="1">IF(AND(Energy!$F$11=$A$3,Main!$B$43=$A136),Summary!AC33,AC136)</f>
        <v>1.9898295521983287</v>
      </c>
      <c r="AD136" s="103">
        <f ca="1">IF(AND(Energy!$F$11=$A$3,Main!$B$43=$A136),Summary!AD33,AD136)</f>
        <v>0.41244073912592993</v>
      </c>
      <c r="AE136" s="103">
        <f ca="1">IF(AND(Energy!$F$11=$A$3,Main!$B$43=$A136),Summary!AE33,AE136)</f>
        <v>1.9649122807017541</v>
      </c>
      <c r="AF136" s="103">
        <f ca="1">IF(AND(Energy!$F$11=$A$3,Main!$B$43=$A136),Summary!AF33,AF136)</f>
        <v>17.684210526315798</v>
      </c>
      <c r="AG136" s="103">
        <f ca="1">IF(AND(Energy!$F$11=$A$3,Main!$B$43=$A136),Summary!AG33,AG136)</f>
        <v>11.144718765404713</v>
      </c>
      <c r="AH136" s="103">
        <f ca="1">IF(AND(Energy!$F$11=$A$3,Main!$B$43=$A136),Summary!AH33,AH136)</f>
        <v>47</v>
      </c>
      <c r="AI136" s="103">
        <f ca="1">IF(AND(Energy!$F$11=$A$3,Main!$B$43=$A136),Summary!AI33,AI136)</f>
        <v>2.7498681123756143</v>
      </c>
      <c r="AJ136" s="103">
        <f ca="1">IF(AND(Energy!$F$11=$A$3,Main!$B$43=$A136),Summary!AJ33,AJ136)</f>
        <v>0.23161563107162228</v>
      </c>
      <c r="AK136" s="103">
        <f ca="1">IF(AND(Energy!$F$11=$A$3,Main!$B$43=$A136),Summary!AK33,AK136)</f>
        <v>0.01</v>
      </c>
      <c r="AL136" s="103">
        <f ca="1">IF(AND(Energy!$F$11=$A$3,Main!$B$43=$A136),Summary!AL33,AL136)</f>
        <v>-0.53968612817172135</v>
      </c>
      <c r="AM136" s="103">
        <f ca="1">IF(AND(Energy!$F$11=$A$3,Main!$B$43=$A136),Summary!AJ153,AM136)</f>
        <v>0</v>
      </c>
    </row>
    <row r="137" spans="1:39">
      <c r="A137">
        <f t="shared" si="8"/>
        <v>7</v>
      </c>
      <c r="D137" s="1">
        <f ca="1">IF(AND(Energy!$F$11=$A$3,Main!$B$43=A137),Main!C34,D137)</f>
        <v>6.052631578947369</v>
      </c>
      <c r="E137" s="103">
        <f ca="1">IF(AND(Energy!$F$11=$A$3,Main!$B$43=A137),Main!B34,E137)</f>
        <v>0.33333333333333326</v>
      </c>
      <c r="F137" s="103">
        <f ca="1">IF(Main!$D$6=1,U137,IF(Main!$D$6=2,N137,IF(Main!$D$6=3,K137,IF(Main!$D$6=4,V137,J137))))</f>
        <v>515.28551612493879</v>
      </c>
      <c r="G137" s="103">
        <f ca="1">IF(AND(Energy!$F$11=$A$3,Main!$B$43=A137),Weight!H34,G137)</f>
        <v>15</v>
      </c>
      <c r="H137" s="103">
        <f ca="1">IF(AND(Energy!$F$11=$A$3,Main!$B$43=A137),Weight!U34,H137)</f>
        <v>23.018546943585442</v>
      </c>
      <c r="I137" s="103">
        <f ca="1">IF(AND(Energy!$F$11=$A$3,Main!$B$43=A137),Weight!V34,I137)</f>
        <v>49.544338122347568</v>
      </c>
      <c r="J137" s="103">
        <f ca="1">IF(AND(Energy!$F$11=$A$3,Main!$B$43=A137),Weight!I34,J137)</f>
        <v>21.588142903762126</v>
      </c>
      <c r="K137" s="103">
        <f ca="1">IF(AND(Energy!$F$11=$A$3,Main!$B$43=A137),Weight!W34,K137)</f>
        <v>64.544338556796234</v>
      </c>
      <c r="L137" s="103">
        <f ca="1">IF(AND(Energy!$F$11=$A$3,Main!$B$43=A137),'Aerodynamics-Cruise'!BI34,L137)</f>
        <v>64.544337672689053</v>
      </c>
      <c r="M137" s="103">
        <f ca="1">IF(AND(Energy!$F$11=$A$3,Main!$B$43=A137),'Aerodynamics-Cruise'!BJ34,M137)</f>
        <v>3.005644773884943</v>
      </c>
      <c r="N137" s="103">
        <f ca="1">IF(AND(Energy!$F$11=$A$3,Main!$B$43=A137),'Aerodynamics-Cruise'!BK34,N137)</f>
        <v>21.474373230494013</v>
      </c>
      <c r="O137" s="103">
        <f t="shared" ca="1" si="9"/>
        <v>172.52402086178233</v>
      </c>
      <c r="P137" s="103">
        <f ca="1">IF(AND(Energy!$F$11=$A$3,Main!$B$43=A137),'Aerodynamics-Cruise'!H34,P137)</f>
        <v>7.6766172971911155</v>
      </c>
      <c r="Q137" s="103">
        <f ca="1">IF(AND(Energy!$F$11=$A$3,Main!$B$43=A137),'Aerodynamics-Cruise'!I34,Q137)</f>
        <v>6.4827918680922743</v>
      </c>
      <c r="R137" s="103">
        <f ca="1">IF(AND(Energy!$F$11=$A$3,Main!$B$43=$A137),Summary!R34,R137)</f>
        <v>3.7784466738864921</v>
      </c>
      <c r="S137" s="103">
        <f ca="1">IF(AND(Energy!$F$11=$A$3,Main!$B$43=A137),'Aerodynamics-Cruise'!W34,S137)</f>
        <v>1</v>
      </c>
      <c r="T137" s="103">
        <f ca="1">IF(AND(Energy!$F$11=$A$3,Main!$B$43=A137),'Aerodynamics-Cruise'!BL34,T137)</f>
        <v>23.073184660417233</v>
      </c>
      <c r="U137" s="103">
        <f ca="1">IF(AND(Energy!$F$11=$A$3,Main!$B$43=A137),'Propulsion-Cruise'!M34,U137)</f>
        <v>52.308375456629108</v>
      </c>
      <c r="V137" s="103">
        <f ca="1">IF(AND(Energy!$F$11=$A$3,Main!$B$43=A137),Endurance!AP34,V137)</f>
        <v>515.28551612493879</v>
      </c>
      <c r="W137" s="103">
        <f ca="1">IF(AND(Energy!$F$11=$A$3,Main!$B$43=$A137),Summary!W34,W137)</f>
        <v>2.0175438596491224</v>
      </c>
      <c r="X137" s="13">
        <f ca="1">IF(AND(Energy!$F$11=$A$3,Main!$B$43=A137),Energy!D34,X137)</f>
        <v>930.37661322064127</v>
      </c>
      <c r="Y137" s="102">
        <f ca="1">IF(AND(Energy!$F$11=$A$3,Main!$B$43=A137),'Aerodynamics-Cruise'!V34,Y137)</f>
        <v>162290.80440719158</v>
      </c>
      <c r="Z137" s="102">
        <f ca="1">IF(AND(Energy!$F$11=$A$3,Main!$B$43=$A137),Summary!Z34,Z137)</f>
        <v>121428.47114572773</v>
      </c>
      <c r="AA137" s="102">
        <f ca="1">IF(AND(Energy!$F$11=$A$3,Main!$B$43=$A137),Summary!AA34,AA137)</f>
        <v>121428.47114572773</v>
      </c>
      <c r="AB137" s="103">
        <f ca="1">IF(AND(Energy!$F$11=$A$3,Main!$B$43=$A137),Summary!AB34,AB137)</f>
        <v>3.7784466738864921</v>
      </c>
      <c r="AC137" s="103">
        <f ca="1">IF(AND(Energy!$F$11=$A$3,Main!$B$43=$A137),Summary!AC34,AC137)</f>
        <v>1.9516173319329035</v>
      </c>
      <c r="AD137" s="103">
        <f ca="1">IF(AND(Energy!$F$11=$A$3,Main!$B$43=$A137),Summary!AD34,AD137)</f>
        <v>0.4119733932929458</v>
      </c>
      <c r="AE137" s="103">
        <f ca="1">IF(AND(Energy!$F$11=$A$3,Main!$B$43=$A137),Summary!AE34,AE137)</f>
        <v>2.0175438596491224</v>
      </c>
      <c r="AF137" s="103">
        <f ca="1">IF(AND(Energy!$F$11=$A$3,Main!$B$43=$A137),Summary!AF34,AF137)</f>
        <v>18.157894736842113</v>
      </c>
      <c r="AG137" s="103">
        <f ca="1">IF(AND(Energy!$F$11=$A$3,Main!$B$43=$A137),Summary!AG34,AG137)</f>
        <v>11.164731373028745</v>
      </c>
      <c r="AH137" s="103">
        <f ca="1">IF(AND(Energy!$F$11=$A$3,Main!$B$43=$A137),Summary!AH34,AH137)</f>
        <v>47</v>
      </c>
      <c r="AI137" s="103">
        <f ca="1">IF(AND(Energy!$F$11=$A$3,Main!$B$43=$A137),Summary!AI34,AI137)</f>
        <v>2.748347760009104</v>
      </c>
      <c r="AJ137" s="103">
        <f ca="1">IF(AND(Energy!$F$11=$A$3,Main!$B$43=$A137),Summary!AJ34,AJ137)</f>
        <v>0.23204997360389201</v>
      </c>
      <c r="AK137" s="103">
        <f ca="1">IF(AND(Energy!$F$11=$A$3,Main!$B$43=$A137),Summary!AK34,AK137)</f>
        <v>0.01</v>
      </c>
      <c r="AL137" s="103">
        <f ca="1">IF(AND(Energy!$F$11=$A$3,Main!$B$43=$A137),Summary!AL34,AL137)</f>
        <v>-0.5386759052934974</v>
      </c>
      <c r="AM137" s="103">
        <f ca="1">IF(AND(Energy!$F$11=$A$3,Main!$B$43=$A137),Summary!AJ154,AM137)</f>
        <v>0</v>
      </c>
    </row>
    <row r="138" spans="1:39">
      <c r="A138">
        <f t="shared" si="8"/>
        <v>7</v>
      </c>
      <c r="D138" s="1">
        <f ca="1">IF(AND(Energy!$F$11=$A$3,Main!$B$43=A138),Main!C35,D138)</f>
        <v>6.2105263157894743</v>
      </c>
      <c r="E138" s="103">
        <f ca="1">IF(AND(Energy!$F$11=$A$3,Main!$B$43=A138),Main!B35,E138)</f>
        <v>0.33333333333333326</v>
      </c>
      <c r="F138" s="103">
        <f ca="1">IF(Main!$D$6=1,U138,IF(Main!$D$6=2,N138,IF(Main!$D$6=3,K138,IF(Main!$D$6=4,V138,J138))))</f>
        <v>518.22611969844627</v>
      </c>
      <c r="G138" s="103">
        <f ca="1">IF(AND(Energy!$F$11=$A$3,Main!$B$43=A138),Weight!H35,G138)</f>
        <v>15</v>
      </c>
      <c r="H138" s="103">
        <f ca="1">IF(AND(Energy!$F$11=$A$3,Main!$B$43=A138),Weight!U35,H138)</f>
        <v>23.774044817130786</v>
      </c>
      <c r="I138" s="103">
        <f ca="1">IF(AND(Energy!$F$11=$A$3,Main!$B$43=A138),Weight!V35,I138)</f>
        <v>50.423034020775148</v>
      </c>
      <c r="J138" s="103">
        <f ca="1">IF(AND(Energy!$F$11=$A$3,Main!$B$43=A138),Weight!I35,J138)</f>
        <v>21.711340928644365</v>
      </c>
      <c r="K138" s="103">
        <f ca="1">IF(AND(Energy!$F$11=$A$3,Main!$B$43=A138),Weight!W35,K138)</f>
        <v>65.423034475148071</v>
      </c>
      <c r="L138" s="103">
        <f ca="1">IF(AND(Energy!$F$11=$A$3,Main!$B$43=A138),'Aerodynamics-Cruise'!BI35,L138)</f>
        <v>65.423033550920564</v>
      </c>
      <c r="M138" s="103">
        <f ca="1">IF(AND(Energy!$F$11=$A$3,Main!$B$43=A138),'Aerodynamics-Cruise'!BJ35,M138)</f>
        <v>3.0252732003268257</v>
      </c>
      <c r="N138" s="103">
        <f ca="1">IF(AND(Energy!$F$11=$A$3,Main!$B$43=A138),'Aerodynamics-Cruise'!BK35,N138)</f>
        <v>21.625496019286057</v>
      </c>
      <c r="O138" s="103">
        <f t="shared" ca="1" si="9"/>
        <v>174.91675684373794</v>
      </c>
      <c r="P138" s="103">
        <f ca="1">IF(AND(Energy!$F$11=$A$3,Main!$B$43=A138),'Aerodynamics-Cruise'!H35,P138)</f>
        <v>7.6297860081568212</v>
      </c>
      <c r="Q138" s="103">
        <f ca="1">IF(AND(Energy!$F$11=$A$3,Main!$B$43=A138),'Aerodynamics-Cruise'!I35,Q138)</f>
        <v>6.4448698624198624</v>
      </c>
      <c r="R138" s="103">
        <f ca="1">IF(AND(Energy!$F$11=$A$3,Main!$B$43=$A138),Summary!R35,R138)</f>
        <v>3.7852506741074992</v>
      </c>
      <c r="S138" s="103">
        <f ca="1">IF(AND(Energy!$F$11=$A$3,Main!$B$43=A138),'Aerodynamics-Cruise'!W35,S138)</f>
        <v>1</v>
      </c>
      <c r="T138" s="103">
        <f ca="1">IF(AND(Energy!$F$11=$A$3,Main!$B$43=A138),'Aerodynamics-Cruise'!BL35,T138)</f>
        <v>23.082187134705421</v>
      </c>
      <c r="U138" s="103">
        <f ca="1">IF(AND(Energy!$F$11=$A$3,Main!$B$43=A138),'Propulsion-Cruise'!M35,U138)</f>
        <v>52.459403126655154</v>
      </c>
      <c r="V138" s="103">
        <f ca="1">IF(AND(Energy!$F$11=$A$3,Main!$B$43=A138),Endurance!AP35,V138)</f>
        <v>518.22611969844627</v>
      </c>
      <c r="W138" s="103">
        <f ca="1">IF(AND(Energy!$F$11=$A$3,Main!$B$43=$A138),Summary!W35,W138)</f>
        <v>2.070175438596491</v>
      </c>
      <c r="X138" s="13">
        <f ca="1">IF(AND(Energy!$F$11=$A$3,Main!$B$43=A138),Energy!D35,X138)</f>
        <v>935.68603575397663</v>
      </c>
      <c r="Y138" s="102">
        <f ca="1">IF(AND(Energy!$F$11=$A$3,Main!$B$43=A138),'Aerodynamics-Cruise'!V35,Y138)</f>
        <v>161300.7475534284</v>
      </c>
      <c r="Z138" s="102">
        <f ca="1">IF(AND(Energy!$F$11=$A$3,Main!$B$43=$A138),Summary!Z35,Z138)</f>
        <v>120716.9695285513</v>
      </c>
      <c r="AA138" s="102">
        <f ca="1">IF(AND(Energy!$F$11=$A$3,Main!$B$43=$A138),Summary!AA35,AA138)</f>
        <v>120716.9695285513</v>
      </c>
      <c r="AB138" s="103">
        <f ca="1">IF(AND(Energy!$F$11=$A$3,Main!$B$43=$A138),Summary!AB35,AB138)</f>
        <v>3.7852506741074992</v>
      </c>
      <c r="AC138" s="103">
        <f ca="1">IF(AND(Energy!$F$11=$A$3,Main!$B$43=$A138),Summary!AC35,AC138)</f>
        <v>1.9138147946027779</v>
      </c>
      <c r="AD138" s="103">
        <f ca="1">IF(AND(Energy!$F$11=$A$3,Main!$B$43=$A138),Summary!AD35,AD138)</f>
        <v>0.41171954296480318</v>
      </c>
      <c r="AE138" s="103">
        <f ca="1">IF(AND(Energy!$F$11=$A$3,Main!$B$43=$A138),Summary!AE35,AE138)</f>
        <v>2.070175438596491</v>
      </c>
      <c r="AF138" s="103">
        <f ca="1">IF(AND(Energy!$F$11=$A$3,Main!$B$43=$A138),Summary!AF35,AF138)</f>
        <v>18.631578947368428</v>
      </c>
      <c r="AG138" s="103">
        <f ca="1">IF(AND(Energy!$F$11=$A$3,Main!$B$43=$A138),Summary!AG35,AG138)</f>
        <v>11.191873833612274</v>
      </c>
      <c r="AH138" s="103">
        <f ca="1">IF(AND(Energy!$F$11=$A$3,Main!$B$43=$A138),Summary!AH35,AH138)</f>
        <v>47</v>
      </c>
      <c r="AI138" s="103">
        <f ca="1">IF(AND(Energy!$F$11=$A$3,Main!$B$43=$A138),Summary!AI35,AI138)</f>
        <v>2.7469608632849853</v>
      </c>
      <c r="AJ138" s="103">
        <f ca="1">IF(AND(Energy!$F$11=$A$3,Main!$B$43=$A138),Summary!AJ35,AJ138)</f>
        <v>0.23245050615667207</v>
      </c>
      <c r="AK138" s="103">
        <f ca="1">IF(AND(Energy!$F$11=$A$3,Main!$B$43=$A138),Summary!AK35,AK138)</f>
        <v>0.01</v>
      </c>
      <c r="AL138" s="103">
        <f ca="1">IF(AND(Energy!$F$11=$A$3,Main!$B$43=$A138),Summary!AL35,AL138)</f>
        <v>-0.53774766083989267</v>
      </c>
      <c r="AM138" s="103">
        <f ca="1">IF(AND(Energy!$F$11=$A$3,Main!$B$43=$A138),Summary!AJ155,AM138)</f>
        <v>0</v>
      </c>
    </row>
    <row r="139" spans="1:39">
      <c r="A139">
        <f t="shared" si="8"/>
        <v>7</v>
      </c>
      <c r="D139" s="1">
        <f ca="1">IF(AND(Energy!$F$11=$A$3,Main!$B$43=A139),Main!C36,D139)</f>
        <v>6.3684210526315796</v>
      </c>
      <c r="E139" s="103">
        <f ca="1">IF(AND(Energy!$F$11=$A$3,Main!$B$43=A139),Main!B36,E139)</f>
        <v>0.33333333333333326</v>
      </c>
      <c r="F139" s="103">
        <f ca="1">IF(Main!$D$6=1,U139,IF(Main!$D$6=2,N139,IF(Main!$D$6=3,K139,IF(Main!$D$6=4,V139,J139))))</f>
        <v>521.6800052438391</v>
      </c>
      <c r="G139" s="103">
        <f ca="1">IF(AND(Energy!$F$11=$A$3,Main!$B$43=A139),Weight!H36,G139)</f>
        <v>15</v>
      </c>
      <c r="H139" s="103">
        <f ca="1">IF(AND(Energy!$F$11=$A$3,Main!$B$43=A139),Weight!U36,H139)</f>
        <v>24.549726142303584</v>
      </c>
      <c r="I139" s="103">
        <f ca="1">IF(AND(Energy!$F$11=$A$3,Main!$B$43=A139),Weight!V36,I139)</f>
        <v>51.343417574095383</v>
      </c>
      <c r="J139" s="103">
        <f ca="1">IF(AND(Energy!$F$11=$A$3,Main!$B$43=A139),Weight!I36,J139)</f>
        <v>21.856043156791795</v>
      </c>
      <c r="K139" s="103">
        <f ca="1">IF(AND(Energy!$F$11=$A$3,Main!$B$43=A139),Weight!W36,K139)</f>
        <v>66.343418048883166</v>
      </c>
      <c r="L139" s="103">
        <f ca="1">IF(AND(Energy!$F$11=$A$3,Main!$B$43=A139),'Aerodynamics-Cruise'!BI36,L139)</f>
        <v>66.343417083587383</v>
      </c>
      <c r="M139" s="103">
        <f ca="1">IF(AND(Energy!$F$11=$A$3,Main!$B$43=A139),'Aerodynamics-Cruise'!BJ36,M139)</f>
        <v>3.0469454692841915</v>
      </c>
      <c r="N139" s="103">
        <f ca="1">IF(AND(Energy!$F$11=$A$3,Main!$B$43=A139),'Aerodynamics-Cruise'!BK36,N139)</f>
        <v>21.773746118000993</v>
      </c>
      <c r="O139" s="103">
        <f t="shared" ca="1" si="9"/>
        <v>177.3503594393577</v>
      </c>
      <c r="P139" s="103">
        <f ca="1">IF(AND(Energy!$F$11=$A$3,Main!$B$43=A139),'Aerodynamics-Cruise'!H36,P139)</f>
        <v>7.5873945354341714</v>
      </c>
      <c r="Q139" s="103">
        <f ca="1">IF(AND(Energy!$F$11=$A$3,Main!$B$43=A139),'Aerodynamics-Cruise'!I36,Q139)</f>
        <v>6.4105351620594764</v>
      </c>
      <c r="R139" s="103">
        <f ca="1">IF(AND(Energy!$F$11=$A$3,Main!$B$43=$A139),Summary!R36,R139)</f>
        <v>3.7979521907270586</v>
      </c>
      <c r="S139" s="103">
        <f ca="1">IF(AND(Energy!$F$11=$A$3,Main!$B$43=A139),'Aerodynamics-Cruise'!W36,S139)</f>
        <v>1</v>
      </c>
      <c r="T139" s="103">
        <f ca="1">IF(AND(Energy!$F$11=$A$3,Main!$B$43=A139),'Aerodynamics-Cruise'!BL36,T139)</f>
        <v>23.118377403412783</v>
      </c>
      <c r="U139" s="103">
        <f ca="1">IF(AND(Energy!$F$11=$A$3,Main!$B$43=A139),'Propulsion-Cruise'!M36,U139)</f>
        <v>52.664169235488508</v>
      </c>
      <c r="V139" s="103">
        <f ca="1">IF(AND(Energy!$F$11=$A$3,Main!$B$43=A139),Endurance!AP36,V139)</f>
        <v>521.6800052438391</v>
      </c>
      <c r="W139" s="103">
        <f ca="1">IF(AND(Energy!$F$11=$A$3,Main!$B$43=$A139),Summary!W36,W139)</f>
        <v>2.1228070175438596</v>
      </c>
      <c r="X139" s="13">
        <f ca="1">IF(AND(Energy!$F$11=$A$3,Main!$B$43=A139),Energy!D36,X139)</f>
        <v>941.92221738593082</v>
      </c>
      <c r="Y139" s="102">
        <f ca="1">IF(AND(Energy!$F$11=$A$3,Main!$B$43=A139),'Aerodynamics-Cruise'!V36,Y139)</f>
        <v>160404.55253134729</v>
      </c>
      <c r="Z139" s="102">
        <f ca="1">IF(AND(Energy!$F$11=$A$3,Main!$B$43=$A139),Summary!Z36,Z139)</f>
        <v>120072.77952986883</v>
      </c>
      <c r="AA139" s="102">
        <f ca="1">IF(AND(Energy!$F$11=$A$3,Main!$B$43=$A139),Summary!AA36,AA139)</f>
        <v>120072.77952986883</v>
      </c>
      <c r="AB139" s="103">
        <f ca="1">IF(AND(Energy!$F$11=$A$3,Main!$B$43=$A139),Summary!AB36,AB139)</f>
        <v>3.7979521907270586</v>
      </c>
      <c r="AC139" s="103">
        <f ca="1">IF(AND(Energy!$F$11=$A$3,Main!$B$43=$A139),Summary!AC36,AC139)</f>
        <v>1.8764725761183099</v>
      </c>
      <c r="AD139" s="103">
        <f ca="1">IF(AND(Energy!$F$11=$A$3,Main!$B$43=$A139),Summary!AD36,AD139)</f>
        <v>0.41166258284372731</v>
      </c>
      <c r="AE139" s="103">
        <f ca="1">IF(AND(Energy!$F$11=$A$3,Main!$B$43=$A139),Summary!AE36,AE139)</f>
        <v>2.1228070175438596</v>
      </c>
      <c r="AF139" s="103">
        <f ca="1">IF(AND(Energy!$F$11=$A$3,Main!$B$43=$A139),Summary!AF36,AF139)</f>
        <v>19.105263157894743</v>
      </c>
      <c r="AG139" s="103">
        <f ca="1">IF(AND(Energy!$F$11=$A$3,Main!$B$43=$A139),Summary!AG36,AG139)</f>
        <v>11.225598839923999</v>
      </c>
      <c r="AH139" s="103">
        <f ca="1">IF(AND(Energy!$F$11=$A$3,Main!$B$43=$A139),Summary!AH36,AH139)</f>
        <v>47</v>
      </c>
      <c r="AI139" s="103">
        <f ca="1">IF(AND(Energy!$F$11=$A$3,Main!$B$43=$A139),Summary!AI36,AI139)</f>
        <v>2.7456983508548487</v>
      </c>
      <c r="AJ139" s="103">
        <f ca="1">IF(AND(Energy!$F$11=$A$3,Main!$B$43=$A139),Summary!AJ36,AJ139)</f>
        <v>0.23281949371518598</v>
      </c>
      <c r="AK139" s="103">
        <f ca="1">IF(AND(Energy!$F$11=$A$3,Main!$B$43=$A139),Summary!AK36,AK139)</f>
        <v>0.01</v>
      </c>
      <c r="AL139" s="103">
        <f ca="1">IF(AND(Energy!$F$11=$A$3,Main!$B$43=$A139),Summary!AL36,AL139)</f>
        <v>-0.5368953441906138</v>
      </c>
      <c r="AM139" s="103">
        <f ca="1">IF(AND(Energy!$F$11=$A$3,Main!$B$43=$A139),Summary!AJ156,AM139)</f>
        <v>0</v>
      </c>
    </row>
    <row r="140" spans="1:39">
      <c r="A140">
        <f t="shared" si="8"/>
        <v>7</v>
      </c>
      <c r="D140" s="1">
        <f ca="1">IF(AND(Energy!$F$11=$A$3,Main!$B$43=A140),Main!C37,D140)</f>
        <v>6.526315789473685</v>
      </c>
      <c r="E140" s="103">
        <f ca="1">IF(AND(Energy!$F$11=$A$3,Main!$B$43=A140),Main!B37,E140)</f>
        <v>0.33333333333333326</v>
      </c>
      <c r="F140" s="103">
        <f ca="1">IF(Main!$D$6=1,U140,IF(Main!$D$6=2,N140,IF(Main!$D$6=3,K140,IF(Main!$D$6=4,V140,J140))))</f>
        <v>525.6152065103289</v>
      </c>
      <c r="G140" s="103">
        <f ca="1">IF(AND(Energy!$F$11=$A$3,Main!$B$43=A140),Weight!H37,G140)</f>
        <v>15</v>
      </c>
      <c r="H140" s="103">
        <f ca="1">IF(AND(Energy!$F$11=$A$3,Main!$B$43=A140),Weight!U37,H140)</f>
        <v>25.345742830613304</v>
      </c>
      <c r="I140" s="103">
        <f ca="1">IF(AND(Energy!$F$11=$A$3,Main!$B$43=A140),Weight!V37,I140)</f>
        <v>52.304301451792909</v>
      </c>
      <c r="J140" s="103">
        <f ca="1">IF(AND(Energy!$F$11=$A$3,Main!$B$43=A140),Weight!I37,J140)</f>
        <v>22.020910346179608</v>
      </c>
      <c r="K140" s="103">
        <f ca="1">IF(AND(Energy!$F$11=$A$3,Main!$B$43=A140),Weight!W37,K140)</f>
        <v>67.304301947504868</v>
      </c>
      <c r="L140" s="103">
        <f ca="1">IF(AND(Energy!$F$11=$A$3,Main!$B$43=A140),'Aerodynamics-Cruise'!BI37,L140)</f>
        <v>67.304300940152999</v>
      </c>
      <c r="M140" s="103">
        <f ca="1">IF(AND(Energy!$F$11=$A$3,Main!$B$43=A140),'Aerodynamics-Cruise'!BJ37,M140)</f>
        <v>3.0705248169275845</v>
      </c>
      <c r="N140" s="103">
        <f ca="1">IF(AND(Energy!$F$11=$A$3,Main!$B$43=A140),'Aerodynamics-Cruise'!BK37,N140)</f>
        <v>21.919477924135048</v>
      </c>
      <c r="O140" s="103">
        <f t="shared" ca="1" si="9"/>
        <v>179.8256400901104</v>
      </c>
      <c r="P140" s="103">
        <f ca="1">IF(AND(Energy!$F$11=$A$3,Main!$B$43=A140),'Aerodynamics-Cruise'!H37,P140)</f>
        <v>7.5491060520527347</v>
      </c>
      <c r="Q140" s="103">
        <f ca="1">IF(AND(Energy!$F$11=$A$3,Main!$B$43=A140),'Aerodynamics-Cruise'!I37,Q140)</f>
        <v>6.3795173233013918</v>
      </c>
      <c r="R140" s="103">
        <f ca="1">IF(AND(Energy!$F$11=$A$3,Main!$B$43=$A140),Summary!R37,R140)</f>
        <v>3.8161916289691238</v>
      </c>
      <c r="S140" s="103">
        <f ca="1">IF(AND(Energy!$F$11=$A$3,Main!$B$43=A140),'Aerodynamics-Cruise'!W37,S140)</f>
        <v>1</v>
      </c>
      <c r="T140" s="103">
        <f ca="1">IF(AND(Energy!$F$11=$A$3,Main!$B$43=A140),'Aerodynamics-Cruise'!BL37,T140)</f>
        <v>23.179717478446143</v>
      </c>
      <c r="U140" s="103">
        <f ca="1">IF(AND(Energy!$F$11=$A$3,Main!$B$43=A140),'Propulsion-Cruise'!M37,U140)</f>
        <v>52.918970581719428</v>
      </c>
      <c r="V140" s="103">
        <f ca="1">IF(AND(Energy!$F$11=$A$3,Main!$B$43=A140),Endurance!AP37,V140)</f>
        <v>525.6152065103289</v>
      </c>
      <c r="W140" s="103">
        <f ca="1">IF(AND(Energy!$F$11=$A$3,Main!$B$43=$A140),Summary!W37,W140)</f>
        <v>2.1754385964912277</v>
      </c>
      <c r="X140" s="13">
        <f ca="1">IF(AND(Energy!$F$11=$A$3,Main!$B$43=A140),Energy!D37,X140)</f>
        <v>949.02744127450023</v>
      </c>
      <c r="Y140" s="102">
        <f ca="1">IF(AND(Energy!$F$11=$A$3,Main!$B$43=A140),'Aerodynamics-Cruise'!V37,Y140)</f>
        <v>159595.09850661969</v>
      </c>
      <c r="Z140" s="102">
        <f ca="1">IF(AND(Energy!$F$11=$A$3,Main!$B$43=$A140),Summary!Z37,Z140)</f>
        <v>119490.82533396584</v>
      </c>
      <c r="AA140" s="102">
        <f ca="1">IF(AND(Energy!$F$11=$A$3,Main!$B$43=$A140),Summary!AA37,AA140)</f>
        <v>119490.82533396584</v>
      </c>
      <c r="AB140" s="103">
        <f ca="1">IF(AND(Energy!$F$11=$A$3,Main!$B$43=$A140),Summary!AB37,AB140)</f>
        <v>3.8161916289691238</v>
      </c>
      <c r="AC140" s="103">
        <f ca="1">IF(AND(Energy!$F$11=$A$3,Main!$B$43=$A140),Summary!AC37,AC140)</f>
        <v>1.8396302688416293</v>
      </c>
      <c r="AD140" s="103">
        <f ca="1">IF(AND(Energy!$F$11=$A$3,Main!$B$43=$A140),Summary!AD37,AD140)</f>
        <v>0.41178787336355321</v>
      </c>
      <c r="AE140" s="103">
        <f ca="1">IF(AND(Energy!$F$11=$A$3,Main!$B$43=$A140),Summary!AE37,AE140)</f>
        <v>2.1754385964912277</v>
      </c>
      <c r="AF140" s="103">
        <f ca="1">IF(AND(Energy!$F$11=$A$3,Main!$B$43=$A140),Summary!AF37,AF140)</f>
        <v>19.578947368421058</v>
      </c>
      <c r="AG140" s="103">
        <f ca="1">IF(AND(Energy!$F$11=$A$3,Main!$B$43=$A140),Summary!AG37,AG140)</f>
        <v>11.265431493494093</v>
      </c>
      <c r="AH140" s="103">
        <f ca="1">IF(AND(Energy!$F$11=$A$3,Main!$B$43=$A140),Summary!AH37,AH140)</f>
        <v>47</v>
      </c>
      <c r="AI140" s="103">
        <f ca="1">IF(AND(Energy!$F$11=$A$3,Main!$B$43=$A140),Summary!AI37,AI140)</f>
        <v>2.744552052204797</v>
      </c>
      <c r="AJ140" s="103">
        <f ca="1">IF(AND(Energy!$F$11=$A$3,Main!$B$43=$A140),Summary!AJ37,AJ140)</f>
        <v>0.23315898994934414</v>
      </c>
      <c r="AK140" s="103">
        <f ca="1">IF(AND(Energy!$F$11=$A$3,Main!$B$43=$A140),Summary!AK37,AK140)</f>
        <v>0.01</v>
      </c>
      <c r="AL140" s="103">
        <f ca="1">IF(AND(Energy!$F$11=$A$3,Main!$B$43=$A140),Summary!AL37,AL140)</f>
        <v>-0.53611352687933744</v>
      </c>
      <c r="AM140" s="103">
        <f ca="1">IF(AND(Energy!$F$11=$A$3,Main!$B$43=$A140),Summary!AJ157,AM140)</f>
        <v>0</v>
      </c>
    </row>
    <row r="141" spans="1:39">
      <c r="A141">
        <f t="shared" si="8"/>
        <v>7</v>
      </c>
      <c r="D141" s="1">
        <f ca="1">IF(AND(Energy!$F$11=$A$3,Main!$B$43=A141),Main!C38,D141)</f>
        <v>6.6842105263157903</v>
      </c>
      <c r="E141" s="103">
        <f ca="1">IF(AND(Energy!$F$11=$A$3,Main!$B$43=A141),Main!B38,E141)</f>
        <v>0.33333333333333326</v>
      </c>
      <c r="F141" s="103">
        <f ca="1">IF(Main!$D$6=1,U141,IF(Main!$D$6=2,N141,IF(Main!$D$6=3,K141,IF(Main!$D$6=4,V141,J141))))</f>
        <v>530.00442894636512</v>
      </c>
      <c r="G141" s="103">
        <f ca="1">IF(AND(Energy!$F$11=$A$3,Main!$B$43=A141),Weight!H38,G141)</f>
        <v>15</v>
      </c>
      <c r="H141" s="103">
        <f ca="1">IF(AND(Energy!$F$11=$A$3,Main!$B$43=A141),Weight!U38,H141)</f>
        <v>26.162268100494444</v>
      </c>
      <c r="I141" s="103">
        <f ca="1">IF(AND(Energy!$F$11=$A$3,Main!$B$43=A141),Weight!V38,I141)</f>
        <v>53.30471535342916</v>
      </c>
      <c r="J141" s="103">
        <f ca="1">IF(AND(Energy!$F$11=$A$3,Main!$B$43=A141),Weight!I38,J141)</f>
        <v>22.204798977934711</v>
      </c>
      <c r="K141" s="103">
        <f ca="1">IF(AND(Energy!$F$11=$A$3,Main!$B$43=A141),Weight!W38,K141)</f>
        <v>68.304715870604468</v>
      </c>
      <c r="L141" s="103">
        <f ca="1">IF(AND(Energy!$F$11=$A$3,Main!$B$43=A141),'Aerodynamics-Cruise'!BI38,L141)</f>
        <v>68.30471482014616</v>
      </c>
      <c r="M141" s="103">
        <f ca="1">IF(AND(Energy!$F$11=$A$3,Main!$B$43=A141),'Aerodynamics-Cruise'!BJ38,M141)</f>
        <v>3.0958922878997717</v>
      </c>
      <c r="N141" s="103">
        <f ca="1">IF(AND(Energy!$F$11=$A$3,Main!$B$43=A141),'Aerodynamics-Cruise'!BK38,N141)</f>
        <v>22.063013977299427</v>
      </c>
      <c r="O141" s="103">
        <f t="shared" ca="1" si="9"/>
        <v>182.34345579601333</v>
      </c>
      <c r="P141" s="103">
        <f ca="1">IF(AND(Energy!$F$11=$A$3,Main!$B$43=A141),'Aerodynamics-Cruise'!H38,P141)</f>
        <v>7.5146207953485558</v>
      </c>
      <c r="Q141" s="103">
        <f ca="1">IF(AND(Energy!$F$11=$A$3,Main!$B$43=A141),'Aerodynamics-Cruise'!I38,Q141)</f>
        <v>6.3515754936651909</v>
      </c>
      <c r="R141" s="103">
        <f ca="1">IF(AND(Energy!$F$11=$A$3,Main!$B$43=$A141),Summary!R38,R141)</f>
        <v>3.8396691405512673</v>
      </c>
      <c r="S141" s="103">
        <f ca="1">IF(AND(Energy!$F$11=$A$3,Main!$B$43=A141),'Aerodynamics-Cruise'!W38,S141)</f>
        <v>1</v>
      </c>
      <c r="T141" s="103">
        <f ca="1">IF(AND(Energy!$F$11=$A$3,Main!$B$43=A141),'Aerodynamics-Cruise'!BL38,T141)</f>
        <v>23.264456566810843</v>
      </c>
      <c r="U141" s="103">
        <f ca="1">IF(AND(Energy!$F$11=$A$3,Main!$B$43=A141),'Propulsion-Cruise'!M38,U141)</f>
        <v>53.22062994901642</v>
      </c>
      <c r="V141" s="103">
        <f ca="1">IF(AND(Energy!$F$11=$A$3,Main!$B$43=A141),Endurance!AP38,V141)</f>
        <v>530.00442894636512</v>
      </c>
      <c r="W141" s="103">
        <f ca="1">IF(AND(Energy!$F$11=$A$3,Main!$B$43=$A141),Summary!W38,W141)</f>
        <v>2.2280701754385963</v>
      </c>
      <c r="X141" s="13">
        <f ca="1">IF(AND(Energy!$F$11=$A$3,Main!$B$43=A141),Energy!D38,X141)</f>
        <v>956.95242558984671</v>
      </c>
      <c r="Y141" s="102">
        <f ca="1">IF(AND(Energy!$F$11=$A$3,Main!$B$43=A141),'Aerodynamics-Cruise'!V38,Y141)</f>
        <v>158866.04821870741</v>
      </c>
      <c r="Z141" s="102">
        <f ca="1">IF(AND(Energy!$F$11=$A$3,Main!$B$43=$A141),Summary!Z38,Z141)</f>
        <v>118966.5866312319</v>
      </c>
      <c r="AA141" s="102">
        <f ca="1">IF(AND(Energy!$F$11=$A$3,Main!$B$43=$A141),Summary!AA38,AA141)</f>
        <v>118966.5866312319</v>
      </c>
      <c r="AB141" s="103">
        <f ca="1">IF(AND(Energy!$F$11=$A$3,Main!$B$43=$A141),Summary!AB38,AB141)</f>
        <v>3.8396691405512673</v>
      </c>
      <c r="AC141" s="103">
        <f ca="1">IF(AND(Energy!$F$11=$A$3,Main!$B$43=$A141),Summary!AC38,AC141)</f>
        <v>1.8033184655157075</v>
      </c>
      <c r="AD141" s="103">
        <f ca="1">IF(AND(Energy!$F$11=$A$3,Main!$B$43=$A141),Summary!AD38,AD141)</f>
        <v>0.41208244881074402</v>
      </c>
      <c r="AE141" s="103">
        <f ca="1">IF(AND(Energy!$F$11=$A$3,Main!$B$43=$A141),Summary!AE38,AE141)</f>
        <v>2.2280701754385963</v>
      </c>
      <c r="AF141" s="103">
        <f ca="1">IF(AND(Energy!$F$11=$A$3,Main!$B$43=$A141),Summary!AF38,AF141)</f>
        <v>20.052631578947373</v>
      </c>
      <c r="AG141" s="103">
        <f ca="1">IF(AND(Energy!$F$11=$A$3,Main!$B$43=$A141),Summary!AG38,AG141)</f>
        <v>11.310957855858389</v>
      </c>
      <c r="AH141" s="103">
        <f ca="1">IF(AND(Energy!$F$11=$A$3,Main!$B$43=$A141),Summary!AH38,AH141)</f>
        <v>47</v>
      </c>
      <c r="AI141" s="103">
        <f ca="1">IF(AND(Energy!$F$11=$A$3,Main!$B$43=$A141),Summary!AI38,AI141)</f>
        <v>2.7435145762622164</v>
      </c>
      <c r="AJ141" s="103">
        <f ca="1">IF(AND(Energy!$F$11=$A$3,Main!$B$43=$A141),Summary!AJ38,AJ141)</f>
        <v>0.23347086333237727</v>
      </c>
      <c r="AK141" s="103">
        <f ca="1">IF(AND(Energy!$F$11=$A$3,Main!$B$43=$A141),Summary!AK38,AK141)</f>
        <v>0.01</v>
      </c>
      <c r="AL141" s="103">
        <f ca="1">IF(AND(Energy!$F$11=$A$3,Main!$B$43=$A141),Summary!AL38,AL141)</f>
        <v>-0.53539732034024501</v>
      </c>
      <c r="AM141" s="103">
        <f ca="1">IF(AND(Energy!$F$11=$A$3,Main!$B$43=$A141),Summary!AJ158,AM141)</f>
        <v>0</v>
      </c>
    </row>
    <row r="142" spans="1:39">
      <c r="A142">
        <f t="shared" si="8"/>
        <v>7</v>
      </c>
      <c r="D142" s="1">
        <f ca="1">IF(AND(Energy!$F$11=$A$3,Main!$B$43=A142),Main!C39,D142)</f>
        <v>6.8421052631578956</v>
      </c>
      <c r="E142" s="103">
        <f ca="1">IF(AND(Energy!$F$11=$A$3,Main!$B$43=A142),Main!B39,E142)</f>
        <v>0.33333333333333326</v>
      </c>
      <c r="F142" s="103">
        <f ca="1">IF(Main!$D$6=1,U142,IF(Main!$D$6=2,N142,IF(Main!$D$6=3,K142,IF(Main!$D$6=4,V142,J142))))</f>
        <v>534.82430936133721</v>
      </c>
      <c r="G142" s="103">
        <f ca="1">IF(AND(Energy!$F$11=$A$3,Main!$B$43=A142),Weight!H39,G142)</f>
        <v>15</v>
      </c>
      <c r="H142" s="103">
        <f ca="1">IF(AND(Energy!$F$11=$A$3,Main!$B$43=A142),Weight!U39,H142)</f>
        <v>26.999493534797253</v>
      </c>
      <c r="I142" s="103">
        <f ca="1">IF(AND(Energy!$F$11=$A$3,Main!$B$43=A142),Weight!V39,I142)</f>
        <v>54.34387204929287</v>
      </c>
      <c r="J142" s="103">
        <f ca="1">IF(AND(Energy!$F$11=$A$3,Main!$B$43=A142),Weight!I39,J142)</f>
        <v>22.406730239495612</v>
      </c>
      <c r="K142" s="103">
        <f ca="1">IF(AND(Energy!$F$11=$A$3,Main!$B$43=A142),Weight!W39,K142)</f>
        <v>69.343872588510621</v>
      </c>
      <c r="L142" s="103">
        <f ca="1">IF(AND(Energy!$F$11=$A$3,Main!$B$43=A142),'Aerodynamics-Cruise'!BI39,L142)</f>
        <v>69.343871493812728</v>
      </c>
      <c r="M142" s="103">
        <f ca="1">IF(AND(Energy!$F$11=$A$3,Main!$B$43=A142),'Aerodynamics-Cruise'!BJ39,M142)</f>
        <v>3.1229440109380238</v>
      </c>
      <c r="N142" s="103">
        <f ca="1">IF(AND(Energy!$F$11=$A$3,Main!$B$43=A142),'Aerodynamics-Cruise'!BK39,N142)</f>
        <v>22.204647682103094</v>
      </c>
      <c r="O142" s="103">
        <f t="shared" ca="1" si="9"/>
        <v>184.90469091971241</v>
      </c>
      <c r="P142" s="103">
        <f ca="1">IF(AND(Energy!$F$11=$A$3,Main!$B$43=A142),'Aerodynamics-Cruise'!H39,P142)</f>
        <v>7.4836708574316919</v>
      </c>
      <c r="Q142" s="103">
        <f ca="1">IF(AND(Energy!$F$11=$A$3,Main!$B$43=A142),'Aerodynamics-Cruise'!I39,Q142)</f>
        <v>6.3264942667628876</v>
      </c>
      <c r="R142" s="103">
        <f ca="1">IF(AND(Energy!$F$11=$A$3,Main!$B$43=$A142),Summary!R39,R142)</f>
        <v>3.8681350146388533</v>
      </c>
      <c r="S142" s="103">
        <f ca="1">IF(AND(Energy!$F$11=$A$3,Main!$B$43=A142),'Aerodynamics-Cruise'!W39,S142)</f>
        <v>1</v>
      </c>
      <c r="T142" s="103">
        <f ca="1">IF(AND(Energy!$F$11=$A$3,Main!$B$43=A142),'Aerodynamics-Cruise'!BL39,T142)</f>
        <v>23.371085084047728</v>
      </c>
      <c r="U142" s="103">
        <f ca="1">IF(AND(Energy!$F$11=$A$3,Main!$B$43=A142),'Propulsion-Cruise'!M39,U142)</f>
        <v>53.566412585663095</v>
      </c>
      <c r="V142" s="103">
        <f ca="1">IF(AND(Energy!$F$11=$A$3,Main!$B$43=A142),Endurance!AP39,V142)</f>
        <v>534.82430936133721</v>
      </c>
      <c r="W142" s="103">
        <f ca="1">IF(AND(Energy!$F$11=$A$3,Main!$B$43=$A142),Summary!W39,W142)</f>
        <v>2.2807017543859649</v>
      </c>
      <c r="X142" s="13">
        <f ca="1">IF(AND(Energy!$F$11=$A$3,Main!$B$43=A142),Energy!D39,X142)</f>
        <v>965.65498679240898</v>
      </c>
      <c r="Y142" s="102">
        <f ca="1">IF(AND(Energy!$F$11=$A$3,Main!$B$43=A142),'Aerodynamics-Cruise'!V39,Y142)</f>
        <v>158211.73784651802</v>
      </c>
      <c r="Z142" s="102">
        <f ca="1">IF(AND(Energy!$F$11=$A$3,Main!$B$43=$A142),Summary!Z39,Z142)</f>
        <v>118496.02079260882</v>
      </c>
      <c r="AA142" s="102">
        <f ca="1">IF(AND(Energy!$F$11=$A$3,Main!$B$43=$A142),Summary!AA39,AA142)</f>
        <v>118496.02079260882</v>
      </c>
      <c r="AB142" s="103">
        <f ca="1">IF(AND(Energy!$F$11=$A$3,Main!$B$43=$A142),Summary!AB39,AB142)</f>
        <v>3.8681350146388533</v>
      </c>
      <c r="AC142" s="103">
        <f ca="1">IF(AND(Energy!$F$11=$A$3,Main!$B$43=$A142),Summary!AC39,AC142)</f>
        <v>1.7675604009083254</v>
      </c>
      <c r="AD142" s="103">
        <f ca="1">IF(AND(Energy!$F$11=$A$3,Main!$B$43=$A142),Summary!AD39,AD142)</f>
        <v>0.41253477713144532</v>
      </c>
      <c r="AE142" s="103">
        <f ca="1">IF(AND(Energy!$F$11=$A$3,Main!$B$43=$A142),Summary!AE39,AE142)</f>
        <v>2.2807017543859649</v>
      </c>
      <c r="AF142" s="103">
        <f ca="1">IF(AND(Energy!$F$11=$A$3,Main!$B$43=$A142),Summary!AF39,AF142)</f>
        <v>20.526315789473689</v>
      </c>
      <c r="AG142" s="103">
        <f ca="1">IF(AND(Energy!$F$11=$A$3,Main!$B$43=$A142),Summary!AG39,AG142)</f>
        <v>11.361815623919934</v>
      </c>
      <c r="AH142" s="103">
        <f ca="1">IF(AND(Energy!$F$11=$A$3,Main!$B$43=$A142),Summary!AH39,AH142)</f>
        <v>47</v>
      </c>
      <c r="AI142" s="103">
        <f ca="1">IF(AND(Energy!$F$11=$A$3,Main!$B$43=$A142),Summary!AI39,AI142)</f>
        <v>2.7425792102148701</v>
      </c>
      <c r="AJ142" s="103">
        <f ca="1">IF(AND(Energy!$F$11=$A$3,Main!$B$43=$A142),Summary!AJ39,AJ142)</f>
        <v>0.23375681930941436</v>
      </c>
      <c r="AK142" s="103">
        <f ca="1">IF(AND(Energy!$F$11=$A$3,Main!$B$43=$A142),Summary!AK39,AK142)</f>
        <v>0.01</v>
      </c>
      <c r="AL142" s="103">
        <f ca="1">IF(AND(Energy!$F$11=$A$3,Main!$B$43=$A142),Summary!AL39,AL142)</f>
        <v>-0.53474230672731515</v>
      </c>
      <c r="AM142" s="103">
        <f ca="1">IF(AND(Energy!$F$11=$A$3,Main!$B$43=$A142),Summary!AJ159,AM142)</f>
        <v>0</v>
      </c>
    </row>
    <row r="143" spans="1:39">
      <c r="A143">
        <f t="shared" si="8"/>
        <v>7</v>
      </c>
      <c r="D143" s="1">
        <f ca="1">IF(AND(Energy!$F$11=$A$3,Main!$B$43=A143),Main!C40,D143)</f>
        <v>7</v>
      </c>
      <c r="E143" s="103">
        <f ca="1">IF(AND(Energy!$F$11=$A$3,Main!$B$43=A143),Main!B40,E143)</f>
        <v>0.33333333333333326</v>
      </c>
      <c r="F143" s="103">
        <f ca="1">IF(Main!$D$6=1,U143,IF(Main!$D$6=2,N143,IF(Main!$D$6=3,K143,IF(Main!$D$6=4,V143,J143))))</f>
        <v>540.05481378212778</v>
      </c>
      <c r="G143" s="103">
        <f ca="1">IF(AND(Energy!$F$11=$A$3,Main!$B$43=A143),Weight!H40,G143)</f>
        <v>15</v>
      </c>
      <c r="H143" s="103">
        <f ca="1">IF(AND(Energy!$F$11=$A$3,Main!$B$43=A143),Weight!U40,H143)</f>
        <v>27.85762665378472</v>
      </c>
      <c r="I143" s="103">
        <f ca="1">IF(AND(Energy!$F$11=$A$3,Main!$B$43=A143),Weight!V40,I143)</f>
        <v>55.421139726298591</v>
      </c>
      <c r="J143" s="103">
        <f ca="1">IF(AND(Energy!$F$11=$A$3,Main!$B$43=A143),Weight!I40,J143)</f>
        <v>22.625864797513874</v>
      </c>
      <c r="K143" s="103">
        <f ca="1">IF(AND(Energy!$F$11=$A$3,Main!$B$43=A143),Weight!W40,K143)</f>
        <v>70.421140288187388</v>
      </c>
      <c r="L143" s="103">
        <f ca="1">IF(AND(Energy!$F$11=$A$3,Main!$B$43=A143),'Aerodynamics-Cruise'!BI40,L143)</f>
        <v>70.421139148014788</v>
      </c>
      <c r="M143" s="103">
        <f ca="1">IF(AND(Energy!$F$11=$A$3,Main!$B$43=A143),'Aerodynamics-Cruise'!BJ40,M143)</f>
        <v>3.1515889634312191</v>
      </c>
      <c r="N143" s="103">
        <f ca="1">IF(AND(Energy!$F$11=$A$3,Main!$B$43=A143),'Aerodynamics-Cruise'!BK40,N143)</f>
        <v>22.34464581680265</v>
      </c>
      <c r="O143" s="103">
        <f t="shared" ca="1" si="9"/>
        <v>187.51024363365346</v>
      </c>
      <c r="P143" s="103">
        <f ca="1">IF(AND(Energy!$F$11=$A$3,Main!$B$43=A143),'Aerodynamics-Cruise'!H40,P143)</f>
        <v>7.4560158556762621</v>
      </c>
      <c r="Q143" s="103">
        <f ca="1">IF(AND(Energy!$F$11=$A$3,Main!$B$43=A143),'Aerodynamics-Cruise'!I40,Q143)</f>
        <v>6.3040802357676915</v>
      </c>
      <c r="R143" s="103">
        <f ca="1">IF(AND(Energy!$F$11=$A$3,Main!$B$43=$A143),Summary!R40,R143)</f>
        <v>3.9013819418208229</v>
      </c>
      <c r="S143" s="103">
        <f ca="1">IF(AND(Energy!$F$11=$A$3,Main!$B$43=A143),'Aerodynamics-Cruise'!W40,S143)</f>
        <v>1</v>
      </c>
      <c r="T143" s="103">
        <f ca="1">IF(AND(Energy!$F$11=$A$3,Main!$B$43=A143),'Aerodynamics-Cruise'!BL40,T143)</f>
        <v>23.498297281917484</v>
      </c>
      <c r="U143" s="103">
        <f ca="1">IF(AND(Energy!$F$11=$A$3,Main!$B$43=A143),'Propulsion-Cruise'!M40,U143)</f>
        <v>53.95395827614734</v>
      </c>
      <c r="V143" s="103">
        <f ca="1">IF(AND(Energy!$F$11=$A$3,Main!$B$43=A143),Endurance!AP40,V143)</f>
        <v>540.05481378212778</v>
      </c>
      <c r="W143" s="103">
        <f ca="1">IF(AND(Energy!$F$11=$A$3,Main!$B$43=$A143),Summary!W40,W143)</f>
        <v>2.333333333333333</v>
      </c>
      <c r="X143" s="13">
        <f ca="1">IF(AND(Energy!$F$11=$A$3,Main!$B$43=A143),Energy!D40,X143)</f>
        <v>975.0989524294863</v>
      </c>
      <c r="Y143" s="102">
        <f ca="1">IF(AND(Energy!$F$11=$A$3,Main!$B$43=A143),'Aerodynamics-Cruise'!V40,Y143)</f>
        <v>157627.08547855209</v>
      </c>
      <c r="Z143" s="102">
        <f ca="1">IF(AND(Energy!$F$11=$A$3,Main!$B$43=$A143),Summary!Z40,Z143)</f>
        <v>118075.49816164291</v>
      </c>
      <c r="AA143" s="102">
        <f ca="1">IF(AND(Energy!$F$11=$A$3,Main!$B$43=$A143),Summary!AA40,AA143)</f>
        <v>118075.49816164291</v>
      </c>
      <c r="AB143" s="103">
        <f ca="1">IF(AND(Energy!$F$11=$A$3,Main!$B$43=$A143),Summary!AB40,AB143)</f>
        <v>3.9013819418208229</v>
      </c>
      <c r="AC143" s="103">
        <f ca="1">IF(AND(Energy!$F$11=$A$3,Main!$B$43=$A143),Summary!AC40,AC143)</f>
        <v>1.7323732775367131</v>
      </c>
      <c r="AD143" s="103">
        <f ca="1">IF(AND(Energy!$F$11=$A$3,Main!$B$43=$A143),Summary!AD40,AD143)</f>
        <v>0.41313456085114009</v>
      </c>
      <c r="AE143" s="103">
        <f ca="1">IF(AND(Energy!$F$11=$A$3,Main!$B$43=$A143),Summary!AE40,AE143)</f>
        <v>2.333333333333333</v>
      </c>
      <c r="AF143" s="103">
        <f ca="1">IF(AND(Energy!$F$11=$A$3,Main!$B$43=$A143),Summary!AF40,AF143)</f>
        <v>21.000000000000004</v>
      </c>
      <c r="AG143" s="103">
        <f ca="1">IF(AND(Energy!$F$11=$A$3,Main!$B$43=$A143),Summary!AG40,AG143)</f>
        <v>11.417686479211326</v>
      </c>
      <c r="AH143" s="103">
        <f ca="1">IF(AND(Energy!$F$11=$A$3,Main!$B$43=$A143),Summary!AH40,AH143)</f>
        <v>47</v>
      </c>
      <c r="AI143" s="103">
        <f ca="1">IF(AND(Energy!$F$11=$A$3,Main!$B$43=$A143),Summary!AI40,AI143)</f>
        <v>2.741739834589727</v>
      </c>
      <c r="AJ143" s="103">
        <f ca="1">IF(AND(Energy!$F$11=$A$3,Main!$B$43=$A143),Summary!AJ40,AJ143)</f>
        <v>0.23401841921758257</v>
      </c>
      <c r="AK143" s="103">
        <f ca="1">IF(AND(Energy!$F$11=$A$3,Main!$B$43=$A143),Summary!AK40,AK143)</f>
        <v>0.01</v>
      </c>
      <c r="AL143" s="103">
        <f ca="1">IF(AND(Energy!$F$11=$A$3,Main!$B$43=$A143),Summary!AL40,AL143)</f>
        <v>-0.53414448039344842</v>
      </c>
      <c r="AM143" s="103">
        <f ca="1">IF(AND(Energy!$F$11=$A$3,Main!$B$43=$A143),Summary!AJ160,AM143)</f>
        <v>0</v>
      </c>
    </row>
    <row r="144" spans="1:39">
      <c r="A144" s="7">
        <f>A124+1</f>
        <v>8</v>
      </c>
      <c r="D144" s="1">
        <f ca="1">IF(AND(Energy!$F$11=$A$3,Main!$B$43=A144),Main!C21,D144)</f>
        <v>4</v>
      </c>
      <c r="E144" s="103">
        <f ca="1">IF(AND(Energy!$F$11=$A$3,Main!$B$43=A144),Main!B21,E144)</f>
        <v>0.35555555555555546</v>
      </c>
      <c r="F144" s="103">
        <f ca="1">IF(Main!$D$6=1,U144,IF(Main!$D$6=2,N144,IF(Main!$D$6=3,K144,IF(Main!$D$6=4,V144,J144))))</f>
        <v>580.64176232778345</v>
      </c>
      <c r="G144" s="103">
        <f ca="1">IF(AND(Energy!$F$11=$A$3,Main!$B$43=A144),Weight!H21,G144)</f>
        <v>15</v>
      </c>
      <c r="H144" s="103">
        <f ca="1">IF(AND(Energy!$F$11=$A$3,Main!$B$43=A144),Weight!U21,H144)</f>
        <v>15.997104660794399</v>
      </c>
      <c r="I144" s="103">
        <f ca="1">IF(AND(Energy!$F$11=$A$3,Main!$B$43=A144),Weight!V21,I144)</f>
        <v>45.261029115861753</v>
      </c>
      <c r="J144" s="103">
        <f ca="1">IF(AND(Energy!$F$11=$A$3,Main!$B$43=A144),Weight!I21,J144)</f>
        <v>24.326276180067353</v>
      </c>
      <c r="K144" s="103">
        <f ca="1">IF(AND(Energy!$F$11=$A$3,Main!$B$43=A144),Weight!W21,K144)</f>
        <v>60.261029029958642</v>
      </c>
      <c r="L144" s="103">
        <f ca="1">IF(AND(Energy!$F$11=$A$3,Main!$B$43=A144),'Aerodynamics-Cruise'!BI21,L144)</f>
        <v>60.261029202399278</v>
      </c>
      <c r="M144" s="103">
        <f ca="1">IF(AND(Energy!$F$11=$A$3,Main!$B$43=A144),'Aerodynamics-Cruise'!BJ21,M144)</f>
        <v>3.2222815280744386</v>
      </c>
      <c r="N144" s="103">
        <f ca="1">IF(AND(Energy!$F$11=$A$3,Main!$B$43=A144),'Aerodynamics-Cruise'!BK21,N144)</f>
        <v>18.701354514609989</v>
      </c>
      <c r="O144" s="103">
        <f t="shared" ca="1" si="9"/>
        <v>145.17483310330201</v>
      </c>
      <c r="P144" s="103">
        <f ca="1">IF(AND(Energy!$F$11=$A$3,Main!$B$43=A144),'Aerodynamics-Cruise'!H21,P144)</f>
        <v>8.8427038588129374</v>
      </c>
      <c r="Q144" s="103">
        <f ca="1">IF(AND(Energy!$F$11=$A$3,Main!$B$43=A144),'Aerodynamics-Cruise'!I21,Q144)</f>
        <v>7.3985689597113629</v>
      </c>
      <c r="R144" s="103">
        <f ca="1">IF(AND(Energy!$F$11=$A$3,Main!$B$43=$A144),Summary!R21,R144)</f>
        <v>4.6279020732673048</v>
      </c>
      <c r="S144" s="103">
        <f ca="1">IF(AND(Energy!$F$11=$A$3,Main!$B$43=A144),'Aerodynamics-Cruise'!W21,S144)</f>
        <v>1</v>
      </c>
      <c r="T144" s="103">
        <f ca="1">IF(AND(Energy!$F$11=$A$3,Main!$B$43=A144),'Aerodynamics-Cruise'!BL21,T144)</f>
        <v>28.493681302485488</v>
      </c>
      <c r="U144" s="103">
        <f ca="1">IF(AND(Energy!$F$11=$A$3,Main!$B$43=A144),'Propulsion-Cruise'!M21,U144)</f>
        <v>61.40787307870368</v>
      </c>
      <c r="V144" s="103">
        <f ca="1">IF(AND(Energy!$F$11=$A$3,Main!$B$43=A144),Endurance!AP21,V144)</f>
        <v>580.64176232778345</v>
      </c>
      <c r="W144" s="103">
        <f ca="1">IF(AND(Energy!$F$11=$A$3,Main!$B$43=$A144),Summary!W21,W144)</f>
        <v>1.4222222222222218</v>
      </c>
      <c r="X144" s="13">
        <f ca="1">IF(AND(Energy!$F$11=$A$3,Main!$B$43=A144),Energy!D21,X144)</f>
        <v>1048.380962875819</v>
      </c>
      <c r="Y144" s="102">
        <f ca="1">IF(AND(Energy!$F$11=$A$3,Main!$B$43=A144),'Aerodynamics-Cruise'!V21,Y144)</f>
        <v>199405.81872784757</v>
      </c>
      <c r="Z144" s="102">
        <f ca="1">IF(AND(Energy!$F$11=$A$3,Main!$B$43=$A144),Summary!Z21,Z144)</f>
        <v>147874.09847103379</v>
      </c>
      <c r="AA144" s="102">
        <f ca="1">IF(AND(Energy!$F$11=$A$3,Main!$B$43=$A144),Summary!AA21,AA144)</f>
        <v>147874.09847103379</v>
      </c>
      <c r="AB144" s="103">
        <f ca="1">IF(AND(Energy!$F$11=$A$3,Main!$B$43=$A144),Summary!AB21,AB144)</f>
        <v>4.6279020732673048</v>
      </c>
      <c r="AC144" s="103">
        <f ca="1">IF(AND(Energy!$F$11=$A$3,Main!$B$43=$A144),Summary!AC21,AC144)</f>
        <v>2.3001003906778648</v>
      </c>
      <c r="AD144" s="103">
        <f ca="1">IF(AND(Energy!$F$11=$A$3,Main!$B$43=$A144),Summary!AD21,AD144)</f>
        <v>0.45377551040150427</v>
      </c>
      <c r="AE144" s="103">
        <f ca="1">IF(AND(Energy!$F$11=$A$3,Main!$B$43=$A144),Summary!AE21,AE144)</f>
        <v>1.4222222222222218</v>
      </c>
      <c r="AF144" s="103">
        <f ca="1">IF(AND(Energy!$F$11=$A$3,Main!$B$43=$A144),Summary!AF21,AF144)</f>
        <v>11.250000000000004</v>
      </c>
      <c r="AG144" s="103">
        <f ca="1">IF(AND(Energy!$F$11=$A$3,Main!$B$43=$A144),Summary!AG21,AG144)</f>
        <v>12.190849742506044</v>
      </c>
      <c r="AH144" s="103">
        <f ca="1">IF(AND(Energy!$F$11=$A$3,Main!$B$43=$A144),Summary!AH21,AH144)</f>
        <v>47</v>
      </c>
      <c r="AI144" s="103">
        <f ca="1">IF(AND(Energy!$F$11=$A$3,Main!$B$43=$A144),Summary!AI21,AI144)</f>
        <v>2.7998243268354597</v>
      </c>
      <c r="AJ144" s="103">
        <f ca="1">IF(AND(Energy!$F$11=$A$3,Main!$B$43=$A144),Summary!AJ21,AJ144)</f>
        <v>0.22606425459153848</v>
      </c>
      <c r="AK144" s="103">
        <f ca="1">IF(AND(Energy!$F$11=$A$3,Main!$B$43=$A144),Summary!AK21,AK144)</f>
        <v>0.01</v>
      </c>
      <c r="AL144" s="103">
        <f ca="1">IF(AND(Energy!$F$11=$A$3,Main!$B$43=$A144),Summary!AL21,AL144)</f>
        <v>-0.55294032057300835</v>
      </c>
      <c r="AM144" s="103">
        <f ca="1">IF(AND(Energy!$F$11=$A$3,Main!$B$43=$A144),Summary!AJ161,AM144)</f>
        <v>0</v>
      </c>
    </row>
    <row r="145" spans="1:39">
      <c r="A145">
        <f>A144</f>
        <v>8</v>
      </c>
      <c r="D145" s="1">
        <f ca="1">IF(AND(Energy!$F$11=$A$3,Main!$B$43=A145),Main!C22,D145)</f>
        <v>4.1578947368421053</v>
      </c>
      <c r="E145" s="103">
        <f ca="1">IF(AND(Energy!$F$11=$A$3,Main!$B$43=A145),Main!B22,E145)</f>
        <v>0.35555555555555546</v>
      </c>
      <c r="F145" s="103">
        <f ca="1">IF(Main!$D$6=1,U145,IF(Main!$D$6=2,N145,IF(Main!$D$6=3,K145,IF(Main!$D$6=4,V145,J145))))</f>
        <v>566.62160690269161</v>
      </c>
      <c r="G145" s="103">
        <f ca="1">IF(AND(Energy!$F$11=$A$3,Main!$B$43=A145),Weight!H22,G145)</f>
        <v>15</v>
      </c>
      <c r="H145" s="103">
        <f ca="1">IF(AND(Energy!$F$11=$A$3,Main!$B$43=A145),Weight!U22,H145)</f>
        <v>16.514229640713658</v>
      </c>
      <c r="I145" s="103">
        <f ca="1">IF(AND(Energy!$F$11=$A$3,Main!$B$43=A145),Weight!V22,I145)</f>
        <v>45.190772596835544</v>
      </c>
      <c r="J145" s="103">
        <f ca="1">IF(AND(Energy!$F$11=$A$3,Main!$B$43=A145),Weight!I22,J145)</f>
        <v>23.738894681121884</v>
      </c>
      <c r="K145" s="103">
        <f ca="1">IF(AND(Energy!$F$11=$A$3,Main!$B$43=A145),Weight!W22,K145)</f>
        <v>60.190772569664134</v>
      </c>
      <c r="L145" s="103">
        <f ca="1">IF(AND(Energy!$F$11=$A$3,Main!$B$43=A145),'Aerodynamics-Cruise'!BI22,L145)</f>
        <v>60.190772624207504</v>
      </c>
      <c r="M145" s="103">
        <f ca="1">IF(AND(Energy!$F$11=$A$3,Main!$B$43=A145),'Aerodynamics-Cruise'!BJ22,M145)</f>
        <v>3.1735852103594562</v>
      </c>
      <c r="N145" s="103">
        <f ca="1">IF(AND(Energy!$F$11=$A$3,Main!$B$43=A145),'Aerodynamics-Cruise'!BK22,N145)</f>
        <v>18.966175046357112</v>
      </c>
      <c r="O145" s="103">
        <f t="shared" ca="1" si="9"/>
        <v>147.14473038370818</v>
      </c>
      <c r="P145" s="103">
        <f ca="1">IF(AND(Energy!$F$11=$A$3,Main!$B$43=A145),'Aerodynamics-Cruise'!H22,P145)</f>
        <v>8.6679896937539613</v>
      </c>
      <c r="Q145" s="103">
        <f ca="1">IF(AND(Energy!$F$11=$A$3,Main!$B$43=A145),'Aerodynamics-Cruise'!I22,Q145)</f>
        <v>7.2583769779877505</v>
      </c>
      <c r="R145" s="103">
        <f ca="1">IF(AND(Energy!$F$11=$A$3,Main!$B$43=$A145),Summary!R22,R145)</f>
        <v>4.4423116435814922</v>
      </c>
      <c r="S145" s="103">
        <f ca="1">IF(AND(Energy!$F$11=$A$3,Main!$B$43=A145),'Aerodynamics-Cruise'!W22,S145)</f>
        <v>1</v>
      </c>
      <c r="T145" s="103">
        <f ca="1">IF(AND(Energy!$F$11=$A$3,Main!$B$43=A145),'Aerodynamics-Cruise'!BL22,T145)</f>
        <v>27.508603895645763</v>
      </c>
      <c r="U145" s="103">
        <f ca="1">IF(AND(Energy!$F$11=$A$3,Main!$B$43=A145),'Propulsion-Cruise'!M22,U145)</f>
        <v>59.682141548671829</v>
      </c>
      <c r="V145" s="103">
        <f ca="1">IF(AND(Energy!$F$11=$A$3,Main!$B$43=A145),Endurance!AP22,V145)</f>
        <v>566.62160690269161</v>
      </c>
      <c r="W145" s="103">
        <f ca="1">IF(AND(Energy!$F$11=$A$3,Main!$B$43=$A145),Summary!W22,W145)</f>
        <v>1.4783625730994148</v>
      </c>
      <c r="X145" s="13">
        <f ca="1">IF(AND(Energy!$F$11=$A$3,Main!$B$43=A145),Energy!D22,X145)</f>
        <v>1023.066791221751</v>
      </c>
      <c r="Y145" s="102">
        <f ca="1">IF(AND(Energy!$F$11=$A$3,Main!$B$43=A145),'Aerodynamics-Cruise'!V22,Y145)</f>
        <v>195465.9580604324</v>
      </c>
      <c r="Z145" s="102">
        <f ca="1">IF(AND(Energy!$F$11=$A$3,Main!$B$43=$A145),Summary!Z22,Z145)</f>
        <v>145067.43021732071</v>
      </c>
      <c r="AA145" s="102">
        <f ca="1">IF(AND(Energy!$F$11=$A$3,Main!$B$43=$A145),Summary!AA22,AA145)</f>
        <v>145067.43021732071</v>
      </c>
      <c r="AB145" s="103">
        <f ca="1">IF(AND(Energy!$F$11=$A$3,Main!$B$43=$A145),Summary!AB22,AB145)</f>
        <v>4.4423116435814922</v>
      </c>
      <c r="AC145" s="103">
        <f ca="1">IF(AND(Energy!$F$11=$A$3,Main!$B$43=$A145),Summary!AC22,AC145)</f>
        <v>2.275396546422793</v>
      </c>
      <c r="AD145" s="103">
        <f ca="1">IF(AND(Energy!$F$11=$A$3,Main!$B$43=$A145),Summary!AD22,AD145)</f>
        <v>0.44744649114539148</v>
      </c>
      <c r="AE145" s="103">
        <f ca="1">IF(AND(Energy!$F$11=$A$3,Main!$B$43=$A145),Summary!AE22,AE145)</f>
        <v>1.4783625730994148</v>
      </c>
      <c r="AF145" s="103">
        <f ca="1">IF(AND(Energy!$F$11=$A$3,Main!$B$43=$A145),Summary!AF22,AF145)</f>
        <v>11.694078947368423</v>
      </c>
      <c r="AG145" s="103">
        <f ca="1">IF(AND(Energy!$F$11=$A$3,Main!$B$43=$A145),Summary!AG22,AG145)</f>
        <v>11.995726365861938</v>
      </c>
      <c r="AH145" s="103">
        <f ca="1">IF(AND(Energy!$F$11=$A$3,Main!$B$43=$A145),Summary!AH22,AH145)</f>
        <v>47</v>
      </c>
      <c r="AI145" s="103">
        <f ca="1">IF(AND(Energy!$F$11=$A$3,Main!$B$43=$A145),Summary!AI22,AI145)</f>
        <v>2.7952058962010549</v>
      </c>
      <c r="AJ145" s="103">
        <f ca="1">IF(AND(Energy!$F$11=$A$3,Main!$B$43=$A145),Summary!AJ22,AJ145)</f>
        <v>0.22502589245907537</v>
      </c>
      <c r="AK145" s="103">
        <f ca="1">IF(AND(Energy!$F$11=$A$3,Main!$B$43=$A145),Summary!AK22,AK145)</f>
        <v>0.01</v>
      </c>
      <c r="AL145" s="103">
        <f ca="1">IF(AND(Energy!$F$11=$A$3,Main!$B$43=$A145),Summary!AL22,AL145)</f>
        <v>-0.55549170014183635</v>
      </c>
      <c r="AM145" s="103">
        <f ca="1">IF(AND(Energy!$F$11=$A$3,Main!$B$43=$A145),Summary!AJ162,AM145)</f>
        <v>0</v>
      </c>
    </row>
    <row r="146" spans="1:39">
      <c r="A146">
        <f t="shared" ref="A146:A163" si="10">A145</f>
        <v>8</v>
      </c>
      <c r="D146" s="1">
        <f ca="1">IF(AND(Energy!$F$11=$A$3,Main!$B$43=A146),Main!C23,D146)</f>
        <v>4.3157894736842106</v>
      </c>
      <c r="E146" s="103">
        <f ca="1">IF(AND(Energy!$F$11=$A$3,Main!$B$43=A146),Main!B23,E146)</f>
        <v>0.35555555555555546</v>
      </c>
      <c r="F146" s="103">
        <f ca="1">IF(Main!$D$6=1,U146,IF(Main!$D$6=2,N146,IF(Main!$D$6=3,K146,IF(Main!$D$6=4,V146,J146))))</f>
        <v>555.49212358879129</v>
      </c>
      <c r="G146" s="103">
        <f ca="1">IF(AND(Energy!$F$11=$A$3,Main!$B$43=A146),Weight!H23,G146)</f>
        <v>15</v>
      </c>
      <c r="H146" s="103">
        <f ca="1">IF(AND(Energy!$F$11=$A$3,Main!$B$43=A146),Weight!U23,H146)</f>
        <v>17.059132514123839</v>
      </c>
      <c r="I146" s="103">
        <f ca="1">IF(AND(Energy!$F$11=$A$3,Main!$B$43=A146),Weight!V23,I146)</f>
        <v>45.269400171018546</v>
      </c>
      <c r="J146" s="103">
        <f ca="1">IF(AND(Energy!$F$11=$A$3,Main!$B$43=A146),Weight!I23,J146)</f>
        <v>23.272619381894707</v>
      </c>
      <c r="K146" s="103">
        <f ca="1">IF(AND(Energy!$F$11=$A$3,Main!$B$43=A146),Weight!W23,K146)</f>
        <v>60.269400172798413</v>
      </c>
      <c r="L146" s="103">
        <f ca="1">IF(AND(Energy!$F$11=$A$3,Main!$B$43=A146),'Aerodynamics-Cruise'!BI23,L146)</f>
        <v>60.26940016922542</v>
      </c>
      <c r="M146" s="103">
        <f ca="1">IF(AND(Energy!$F$11=$A$3,Main!$B$43=A146),'Aerodynamics-Cruise'!BJ23,M146)</f>
        <v>3.1358982580195338</v>
      </c>
      <c r="N146" s="103">
        <f ca="1">IF(AND(Energy!$F$11=$A$3,Main!$B$43=A146),'Aerodynamics-Cruise'!BK23,N146)</f>
        <v>19.219182259850598</v>
      </c>
      <c r="O146" s="103">
        <f t="shared" ca="1" si="9"/>
        <v>149.20498725440908</v>
      </c>
      <c r="P146" s="103">
        <f ca="1">IF(AND(Energy!$F$11=$A$3,Main!$B$43=A146),'Aerodynamics-Cruise'!H23,P146)</f>
        <v>8.5133906774274024</v>
      </c>
      <c r="Q146" s="103">
        <f ca="1">IF(AND(Energy!$F$11=$A$3,Main!$B$43=A146),'Aerodynamics-Cruise'!I23,Q146)</f>
        <v>7.1342270718286249</v>
      </c>
      <c r="R146" s="103">
        <f ca="1">IF(AND(Energy!$F$11=$A$3,Main!$B$43=$A146),Summary!R23,R146)</f>
        <v>4.2917911139412261</v>
      </c>
      <c r="S146" s="103">
        <f ca="1">IF(AND(Energy!$F$11=$A$3,Main!$B$43=A146),'Aerodynamics-Cruise'!W23,S146)</f>
        <v>1</v>
      </c>
      <c r="T146" s="103">
        <f ca="1">IF(AND(Energy!$F$11=$A$3,Main!$B$43=A146),'Aerodynamics-Cruise'!BL23,T146)</f>
        <v>26.69712699518433</v>
      </c>
      <c r="U146" s="103">
        <f ca="1">IF(AND(Energy!$F$11=$A$3,Main!$B$43=A146),'Propulsion-Cruise'!M23,U146)</f>
        <v>58.278841568446026</v>
      </c>
      <c r="V146" s="103">
        <f ca="1">IF(AND(Energy!$F$11=$A$3,Main!$B$43=A146),Endurance!AP23,V146)</f>
        <v>555.49212358879129</v>
      </c>
      <c r="W146" s="103">
        <f ca="1">IF(AND(Energy!$F$11=$A$3,Main!$B$43=$A146),Summary!W23,W146)</f>
        <v>1.5345029239766077</v>
      </c>
      <c r="X146" s="13">
        <f ca="1">IF(AND(Energy!$F$11=$A$3,Main!$B$43=A146),Energy!D23,X146)</f>
        <v>1002.9718897491994</v>
      </c>
      <c r="Y146" s="102">
        <f ca="1">IF(AND(Energy!$F$11=$A$3,Main!$B$43=A146),'Aerodynamics-Cruise'!V23,Y146)</f>
        <v>191979.70047255745</v>
      </c>
      <c r="Z146" s="102">
        <f ca="1">IF(AND(Energy!$F$11=$A$3,Main!$B$43=$A146),Summary!Z23,Z146)</f>
        <v>142582.00413063201</v>
      </c>
      <c r="AA146" s="102">
        <f ca="1">IF(AND(Energy!$F$11=$A$3,Main!$B$43=$A146),Summary!AA23,AA146)</f>
        <v>142582.00413063201</v>
      </c>
      <c r="AB146" s="103">
        <f ca="1">IF(AND(Energy!$F$11=$A$3,Main!$B$43=$A146),Summary!AB23,AB146)</f>
        <v>4.2917911139412261</v>
      </c>
      <c r="AC146" s="103">
        <f ca="1">IF(AND(Energy!$F$11=$A$3,Main!$B$43=$A146),Summary!AC23,AC146)</f>
        <v>2.2468627222172795</v>
      </c>
      <c r="AD146" s="103">
        <f ca="1">IF(AND(Energy!$F$11=$A$3,Main!$B$43=$A146),Summary!AD23,AD146)</f>
        <v>0.44207144498001999</v>
      </c>
      <c r="AE146" s="103">
        <f ca="1">IF(AND(Energy!$F$11=$A$3,Main!$B$43=$A146),Summary!AE23,AE146)</f>
        <v>1.5345029239766077</v>
      </c>
      <c r="AF146" s="103">
        <f ca="1">IF(AND(Energy!$F$11=$A$3,Main!$B$43=$A146),Summary!AF23,AF146)</f>
        <v>12.138157894736848</v>
      </c>
      <c r="AG146" s="103">
        <f ca="1">IF(AND(Energy!$F$11=$A$3,Main!$B$43=$A146),Summary!AG23,AG146)</f>
        <v>11.836990919032715</v>
      </c>
      <c r="AH146" s="103">
        <f ca="1">IF(AND(Energy!$F$11=$A$3,Main!$B$43=$A146),Summary!AH23,AH146)</f>
        <v>47</v>
      </c>
      <c r="AI146" s="103">
        <f ca="1">IF(AND(Energy!$F$11=$A$3,Main!$B$43=$A146),Summary!AI23,AI146)</f>
        <v>2.7910482347881356</v>
      </c>
      <c r="AJ146" s="103">
        <f ca="1">IF(AND(Energy!$F$11=$A$3,Main!$B$43=$A146),Summary!AJ23,AJ146)</f>
        <v>0.22464675630017811</v>
      </c>
      <c r="AK146" s="103">
        <f ca="1">IF(AND(Energy!$F$11=$A$3,Main!$B$43=$A146),Summary!AK23,AK146)</f>
        <v>0.01</v>
      </c>
      <c r="AL146" s="103">
        <f ca="1">IF(AND(Energy!$F$11=$A$3,Main!$B$43=$A146),Summary!AL23,AL146)</f>
        <v>-0.5564291281972279</v>
      </c>
      <c r="AM146" s="103">
        <f ca="1">IF(AND(Energy!$F$11=$A$3,Main!$B$43=$A146),Summary!AJ163,AM146)</f>
        <v>0</v>
      </c>
    </row>
    <row r="147" spans="1:39">
      <c r="A147">
        <f t="shared" si="10"/>
        <v>8</v>
      </c>
      <c r="D147" s="1">
        <f ca="1">IF(AND(Energy!$F$11=$A$3,Main!$B$43=A147),Main!C24,D147)</f>
        <v>4.4736842105263159</v>
      </c>
      <c r="E147" s="103">
        <f ca="1">IF(AND(Energy!$F$11=$A$3,Main!$B$43=A147),Main!B24,E147)</f>
        <v>0.35555555555555546</v>
      </c>
      <c r="F147" s="103">
        <f ca="1">IF(Main!$D$6=1,U147,IF(Main!$D$6=2,N147,IF(Main!$D$6=3,K147,IF(Main!$D$6=4,V147,J147))))</f>
        <v>546.70135885483251</v>
      </c>
      <c r="G147" s="103">
        <f ca="1">IF(AND(Energy!$F$11=$A$3,Main!$B$43=A147),Weight!H24,G147)</f>
        <v>15</v>
      </c>
      <c r="H147" s="103">
        <f ca="1">IF(AND(Energy!$F$11=$A$3,Main!$B$43=A147),Weight!U24,H147)</f>
        <v>17.629903847755649</v>
      </c>
      <c r="I147" s="103">
        <f ca="1">IF(AND(Energy!$F$11=$A$3,Main!$B$43=A147),Weight!V24,I147)</f>
        <v>45.471878034338218</v>
      </c>
      <c r="J147" s="103">
        <f ca="1">IF(AND(Energy!$F$11=$A$3,Main!$B$43=A147),Weight!I24,J147)</f>
        <v>22.904325911582571</v>
      </c>
      <c r="K147" s="103">
        <f ca="1">IF(AND(Energy!$F$11=$A$3,Main!$B$43=A147),Weight!W24,K147)</f>
        <v>60.471878036313562</v>
      </c>
      <c r="L147" s="103">
        <f ca="1">IF(AND(Energy!$F$11=$A$3,Main!$B$43=A147),'Aerodynamics-Cruise'!BI24,L147)</f>
        <v>60.471878032348215</v>
      </c>
      <c r="M147" s="103">
        <f ca="1">IF(AND(Energy!$F$11=$A$3,Main!$B$43=A147),'Aerodynamics-Cruise'!BJ24,M147)</f>
        <v>3.1072274202661903</v>
      </c>
      <c r="N147" s="103">
        <f ca="1">IF(AND(Energy!$F$11=$A$3,Main!$B$43=A147),'Aerodynamics-Cruise'!BK24,N147)</f>
        <v>19.461683955906807</v>
      </c>
      <c r="O147" s="103">
        <f t="shared" ca="1" si="9"/>
        <v>151.34118976362461</v>
      </c>
      <c r="P147" s="103">
        <f ca="1">IF(AND(Energy!$F$11=$A$3,Main!$B$43=A147),'Aerodynamics-Cruise'!H24,P147)</f>
        <v>8.3757367257354396</v>
      </c>
      <c r="Q147" s="103">
        <f ca="1">IF(AND(Energy!$F$11=$A$3,Main!$B$43=A147),'Aerodynamics-Cruise'!I24,Q147)</f>
        <v>7.023605430429634</v>
      </c>
      <c r="R147" s="103">
        <f ca="1">IF(AND(Energy!$F$11=$A$3,Main!$B$43=$A147),Summary!R24,R147)</f>
        <v>4.1692016640968603</v>
      </c>
      <c r="S147" s="103">
        <f ca="1">IF(AND(Energy!$F$11=$A$3,Main!$B$43=A147),'Aerodynamics-Cruise'!W24,S147)</f>
        <v>1</v>
      </c>
      <c r="T147" s="103">
        <f ca="1">IF(AND(Energy!$F$11=$A$3,Main!$B$43=A147),'Aerodynamics-Cruise'!BL24,T147)</f>
        <v>26.025318819135716</v>
      </c>
      <c r="U147" s="103">
        <f ca="1">IF(AND(Energy!$F$11=$A$3,Main!$B$43=A147),'Propulsion-Cruise'!M24,U147)</f>
        <v>57.135708414568583</v>
      </c>
      <c r="V147" s="103">
        <f ca="1">IF(AND(Energy!$F$11=$A$3,Main!$B$43=A147),Endurance!AP24,V147)</f>
        <v>546.70135885483251</v>
      </c>
      <c r="W147" s="103">
        <f ca="1">IF(AND(Energy!$F$11=$A$3,Main!$B$43=$A147),Summary!W24,W147)</f>
        <v>1.5906432748538009</v>
      </c>
      <c r="X147" s="13">
        <f ca="1">IF(AND(Energy!$F$11=$A$3,Main!$B$43=A147),Energy!D24,X147)</f>
        <v>987.09967563956309</v>
      </c>
      <c r="Y147" s="102">
        <f ca="1">IF(AND(Energy!$F$11=$A$3,Main!$B$43=A147),'Aerodynamics-Cruise'!V24,Y147)</f>
        <v>188875.55954727894</v>
      </c>
      <c r="Z147" s="102">
        <f ca="1">IF(AND(Energy!$F$11=$A$3,Main!$B$43=$A147),Summary!Z24,Z147)</f>
        <v>140367.46995790445</v>
      </c>
      <c r="AA147" s="102">
        <f ca="1">IF(AND(Energy!$F$11=$A$3,Main!$B$43=$A147),Summary!AA24,AA147)</f>
        <v>140367.46995790445</v>
      </c>
      <c r="AB147" s="103">
        <f ca="1">IF(AND(Energy!$F$11=$A$3,Main!$B$43=$A147),Summary!AB24,AB147)</f>
        <v>4.1692016640968603</v>
      </c>
      <c r="AC147" s="103">
        <f ca="1">IF(AND(Energy!$F$11=$A$3,Main!$B$43=$A147),Summary!AC24,AC147)</f>
        <v>2.2155301205201607</v>
      </c>
      <c r="AD147" s="103">
        <f ca="1">IF(AND(Energy!$F$11=$A$3,Main!$B$43=$A147),Summary!AD24,AD147)</f>
        <v>0.4374930912026529</v>
      </c>
      <c r="AE147" s="103">
        <f ca="1">IF(AND(Energy!$F$11=$A$3,Main!$B$43=$A147),Summary!AE24,AE147)</f>
        <v>1.5906432748538009</v>
      </c>
      <c r="AF147" s="103">
        <f ca="1">IF(AND(Energy!$F$11=$A$3,Main!$B$43=$A147),Summary!AF24,AF147)</f>
        <v>12.582236842105265</v>
      </c>
      <c r="AG147" s="103">
        <f ca="1">IF(AND(Energy!$F$11=$A$3,Main!$B$43=$A147),Summary!AG24,AG147)</f>
        <v>11.708063063173752</v>
      </c>
      <c r="AH147" s="103">
        <f ca="1">IF(AND(Energy!$F$11=$A$3,Main!$B$43=$A147),Summary!AH24,AH147)</f>
        <v>47</v>
      </c>
      <c r="AI147" s="103">
        <f ca="1">IF(AND(Energy!$F$11=$A$3,Main!$B$43=$A147),Summary!AI24,AI147)</f>
        <v>2.7872883197138725</v>
      </c>
      <c r="AJ147" s="103">
        <f ca="1">IF(AND(Energy!$F$11=$A$3,Main!$B$43=$A147),Summary!AJ24,AJ147)</f>
        <v>0.2256014925986492</v>
      </c>
      <c r="AK147" s="103">
        <f ca="1">IF(AND(Energy!$F$11=$A$3,Main!$B$43=$A147),Summary!AK24,AK147)</f>
        <v>0.01</v>
      </c>
      <c r="AL147" s="103">
        <f ca="1">IF(AND(Energy!$F$11=$A$3,Main!$B$43=$A147),Summary!AL24,AL147)</f>
        <v>-0.55407434186584759</v>
      </c>
      <c r="AM147" s="103">
        <f ca="1">IF(AND(Energy!$F$11=$A$3,Main!$B$43=$A147),Summary!AJ164,AM147)</f>
        <v>0</v>
      </c>
    </row>
    <row r="148" spans="1:39">
      <c r="A148">
        <f t="shared" si="10"/>
        <v>8</v>
      </c>
      <c r="D148" s="1">
        <f ca="1">IF(AND(Energy!$F$11=$A$3,Main!$B$43=A148),Main!C25,D148)</f>
        <v>4.6315789473684212</v>
      </c>
      <c r="E148" s="103">
        <f ca="1">IF(AND(Energy!$F$11=$A$3,Main!$B$43=A148),Main!B25,E148)</f>
        <v>0.35555555555555546</v>
      </c>
      <c r="F148" s="103">
        <f ca="1">IF(Main!$D$6=1,U148,IF(Main!$D$6=2,N148,IF(Main!$D$6=3,K148,IF(Main!$D$6=4,V148,J148))))</f>
        <v>539.86775797217854</v>
      </c>
      <c r="G148" s="103">
        <f ca="1">IF(AND(Energy!$F$11=$A$3,Main!$B$43=A148),Weight!H25,G148)</f>
        <v>15</v>
      </c>
      <c r="H148" s="103">
        <f ca="1">IF(AND(Energy!$F$11=$A$3,Main!$B$43=A148),Weight!U25,H148)</f>
        <v>18.225391912279306</v>
      </c>
      <c r="I148" s="103">
        <f ca="1">IF(AND(Energy!$F$11=$A$3,Main!$B$43=A148),Weight!V25,I148)</f>
        <v>45.781068983537494</v>
      </c>
      <c r="J148" s="103">
        <f ca="1">IF(AND(Energy!$F$11=$A$3,Main!$B$43=A148),Weight!I25,J148)</f>
        <v>22.618028796258184</v>
      </c>
      <c r="K148" s="103">
        <f ca="1">IF(AND(Energy!$F$11=$A$3,Main!$B$43=A148),Weight!W25,K148)</f>
        <v>60.781068985738969</v>
      </c>
      <c r="L148" s="103">
        <f ca="1">IF(AND(Energy!$F$11=$A$3,Main!$B$43=A148),'Aerodynamics-Cruise'!BI25,L148)</f>
        <v>60.781068981319692</v>
      </c>
      <c r="M148" s="103">
        <f ca="1">IF(AND(Energy!$F$11=$A$3,Main!$B$43=A148),'Aerodynamics-Cruise'!BJ25,M148)</f>
        <v>3.0862176038503391</v>
      </c>
      <c r="N148" s="103">
        <f ca="1">IF(AND(Energy!$F$11=$A$3,Main!$B$43=A148),'Aerodynamics-Cruise'!BK25,N148)</f>
        <v>19.694356258447151</v>
      </c>
      <c r="O148" s="103">
        <f t="shared" ca="1" si="9"/>
        <v>153.54156281199329</v>
      </c>
      <c r="P148" s="103">
        <f ca="1">IF(AND(Energy!$F$11=$A$3,Main!$B$43=A148),'Aerodynamics-Cruise'!H25,P148)</f>
        <v>8.2526573424859464</v>
      </c>
      <c r="Q148" s="103">
        <f ca="1">IF(AND(Energy!$F$11=$A$3,Main!$B$43=A148),'Aerodynamics-Cruise'!I25,Q148)</f>
        <v>6.9246318549421133</v>
      </c>
      <c r="R148" s="103">
        <f ca="1">IF(AND(Energy!$F$11=$A$3,Main!$B$43=$A148),Summary!R25,R148)</f>
        <v>4.0695367813488561</v>
      </c>
      <c r="S148" s="103">
        <f ca="1">IF(AND(Energy!$F$11=$A$3,Main!$B$43=A148),'Aerodynamics-Cruise'!W25,S148)</f>
        <v>1</v>
      </c>
      <c r="T148" s="103">
        <f ca="1">IF(AND(Energy!$F$11=$A$3,Main!$B$43=A148),'Aerodynamics-Cruise'!BL25,T148)</f>
        <v>25.469496368924883</v>
      </c>
      <c r="U148" s="103">
        <f ca="1">IF(AND(Energy!$F$11=$A$3,Main!$B$43=A148),'Propulsion-Cruise'!M25,U148)</f>
        <v>56.209612354332087</v>
      </c>
      <c r="V148" s="103">
        <f ca="1">IF(AND(Energy!$F$11=$A$3,Main!$B$43=A148),Endurance!AP25,V148)</f>
        <v>539.86775797217854</v>
      </c>
      <c r="W148" s="103">
        <f ca="1">IF(AND(Energy!$F$11=$A$3,Main!$B$43=$A148),Summary!W25,W148)</f>
        <v>1.6467836257309938</v>
      </c>
      <c r="X148" s="13">
        <f ca="1">IF(AND(Energy!$F$11=$A$3,Main!$B$43=A148),Energy!D25,X148)</f>
        <v>974.7612295937555</v>
      </c>
      <c r="Y148" s="102">
        <f ca="1">IF(AND(Energy!$F$11=$A$3,Main!$B$43=A148),'Aerodynamics-Cruise'!V25,Y148)</f>
        <v>186100.07983233593</v>
      </c>
      <c r="Z148" s="102">
        <f ca="1">IF(AND(Energy!$F$11=$A$3,Main!$B$43=$A148),Summary!Z25,Z148)</f>
        <v>138386.16867973842</v>
      </c>
      <c r="AA148" s="102">
        <f ca="1">IF(AND(Energy!$F$11=$A$3,Main!$B$43=$A148),Summary!AA25,AA148)</f>
        <v>138386.16867973842</v>
      </c>
      <c r="AB148" s="103">
        <f ca="1">IF(AND(Energy!$F$11=$A$3,Main!$B$43=$A148),Summary!AB25,AB148)</f>
        <v>4.0695367813488561</v>
      </c>
      <c r="AC148" s="103">
        <f ca="1">IF(AND(Energy!$F$11=$A$3,Main!$B$43=$A148),Summary!AC25,AC148)</f>
        <v>2.1821181461785288</v>
      </c>
      <c r="AD148" s="103">
        <f ca="1">IF(AND(Energy!$F$11=$A$3,Main!$B$43=$A148),Summary!AD25,AD148)</f>
        <v>0.43359913562856872</v>
      </c>
      <c r="AE148" s="103">
        <f ca="1">IF(AND(Energy!$F$11=$A$3,Main!$B$43=$A148),Summary!AE25,AE148)</f>
        <v>1.6467836257309938</v>
      </c>
      <c r="AF148" s="103">
        <f ca="1">IF(AND(Energy!$F$11=$A$3,Main!$B$43=$A148),Summary!AF25,AF148)</f>
        <v>13.026315789473689</v>
      </c>
      <c r="AG148" s="103">
        <f ca="1">IF(AND(Energy!$F$11=$A$3,Main!$B$43=$A148),Summary!AG25,AG148)</f>
        <v>11.604371703286862</v>
      </c>
      <c r="AH148" s="103">
        <f ca="1">IF(AND(Energy!$F$11=$A$3,Main!$B$43=$A148),Summary!AH25,AH148)</f>
        <v>47</v>
      </c>
      <c r="AI148" s="103">
        <f ca="1">IF(AND(Energy!$F$11=$A$3,Main!$B$43=$A148),Summary!AI25,AI148)</f>
        <v>2.7838787706452264</v>
      </c>
      <c r="AJ148" s="103">
        <f ca="1">IF(AND(Energy!$F$11=$A$3,Main!$B$43=$A148),Summary!AJ25,AJ148)</f>
        <v>0.22647431160203402</v>
      </c>
      <c r="AK148" s="103">
        <f ca="1">IF(AND(Energy!$F$11=$A$3,Main!$B$43=$A148),Summary!AK25,AK148)</f>
        <v>0.01</v>
      </c>
      <c r="AL148" s="103">
        <f ca="1">IF(AND(Energy!$F$11=$A$3,Main!$B$43=$A148),Summary!AL25,AL148)</f>
        <v>-0.55193897000047376</v>
      </c>
      <c r="AM148" s="103">
        <f ca="1">IF(AND(Energy!$F$11=$A$3,Main!$B$43=$A148),Summary!AJ165,AM148)</f>
        <v>0</v>
      </c>
    </row>
    <row r="149" spans="1:39">
      <c r="A149">
        <f t="shared" si="10"/>
        <v>8</v>
      </c>
      <c r="D149" s="1">
        <f ca="1">IF(AND(Energy!$F$11=$A$3,Main!$B$43=A149),Main!C26,D149)</f>
        <v>4.7894736842105265</v>
      </c>
      <c r="E149" s="103">
        <f ca="1">IF(AND(Energy!$F$11=$A$3,Main!$B$43=A149),Main!B26,E149)</f>
        <v>0.35555555555555546</v>
      </c>
      <c r="F149" s="103">
        <f ca="1">IF(Main!$D$6=1,U149,IF(Main!$D$6=2,N149,IF(Main!$D$6=3,K149,IF(Main!$D$6=4,V149,J149))))</f>
        <v>534.68699197020055</v>
      </c>
      <c r="G149" s="103">
        <f ca="1">IF(AND(Energy!$F$11=$A$3,Main!$B$43=A149),Weight!H26,G149)</f>
        <v>15</v>
      </c>
      <c r="H149" s="103">
        <f ca="1">IF(AND(Energy!$F$11=$A$3,Main!$B$43=A149),Weight!U26,H149)</f>
        <v>18.844691453278941</v>
      </c>
      <c r="I149" s="103">
        <f ca="1">IF(AND(Energy!$F$11=$A$3,Main!$B$43=A149),Weight!V26,I149)</f>
        <v>46.183317750311645</v>
      </c>
      <c r="J149" s="103">
        <f ca="1">IF(AND(Energy!$F$11=$A$3,Main!$B$43=A149),Weight!I26,J149)</f>
        <v>22.400978022032699</v>
      </c>
      <c r="K149" s="103">
        <f ca="1">IF(AND(Energy!$F$11=$A$3,Main!$B$43=A149),Weight!W26,K149)</f>
        <v>61.18331775275901</v>
      </c>
      <c r="L149" s="103">
        <f ca="1">IF(AND(Energy!$F$11=$A$3,Main!$B$43=A149),'Aerodynamics-Cruise'!BI26,L149)</f>
        <v>61.183317747846061</v>
      </c>
      <c r="M149" s="103">
        <f ca="1">IF(AND(Energy!$F$11=$A$3,Main!$B$43=A149),'Aerodynamics-Cruise'!BJ26,M149)</f>
        <v>3.0717512161124292</v>
      </c>
      <c r="N149" s="103">
        <f ca="1">IF(AND(Energy!$F$11=$A$3,Main!$B$43=A149),'Aerodynamics-Cruise'!BK26,N149)</f>
        <v>19.918057630096399</v>
      </c>
      <c r="O149" s="103">
        <f t="shared" ca="1" si="9"/>
        <v>155.79858046693857</v>
      </c>
      <c r="P149" s="103">
        <f ca="1">IF(AND(Energy!$F$11=$A$3,Main!$B$43=A149),'Aerodynamics-Cruise'!H26,P149)</f>
        <v>8.142213602940231</v>
      </c>
      <c r="Q149" s="103">
        <f ca="1">IF(AND(Energy!$F$11=$A$3,Main!$B$43=A149),'Aerodynamics-Cruise'!I26,Q149)</f>
        <v>6.8357666730597169</v>
      </c>
      <c r="R149" s="103">
        <f ca="1">IF(AND(Energy!$F$11=$A$3,Main!$B$43=$A149),Summary!R26,R149)</f>
        <v>3.9889438562356663</v>
      </c>
      <c r="S149" s="103">
        <f ca="1">IF(AND(Energy!$F$11=$A$3,Main!$B$43=A149),'Aerodynamics-Cruise'!W26,S149)</f>
        <v>1</v>
      </c>
      <c r="T149" s="103">
        <f ca="1">IF(AND(Energy!$F$11=$A$3,Main!$B$43=A149),'Aerodynamics-Cruise'!BL26,T149)</f>
        <v>25.010854536678817</v>
      </c>
      <c r="U149" s="103">
        <f ca="1">IF(AND(Energy!$F$11=$A$3,Main!$B$43=A149),'Propulsion-Cruise'!M26,U149)</f>
        <v>55.466152399543688</v>
      </c>
      <c r="V149" s="103">
        <f ca="1">IF(AND(Energy!$F$11=$A$3,Main!$B$43=A149),Endurance!AP26,V149)</f>
        <v>534.68699197020055</v>
      </c>
      <c r="W149" s="103">
        <f ca="1">IF(AND(Energy!$F$11=$A$3,Main!$B$43=$A149),Summary!W26,W149)</f>
        <v>1.7029239766081867</v>
      </c>
      <c r="X149" s="13">
        <f ca="1">IF(AND(Energy!$F$11=$A$3,Main!$B$43=A149),Energy!D26,X149)</f>
        <v>965.40706874854152</v>
      </c>
      <c r="Y149" s="102">
        <f ca="1">IF(AND(Energy!$F$11=$A$3,Main!$B$43=A149),'Aerodynamics-Cruise'!V26,Y149)</f>
        <v>183609.53795067727</v>
      </c>
      <c r="Z149" s="102">
        <f ca="1">IF(AND(Energy!$F$11=$A$3,Main!$B$43=$A149),Summary!Z26,Z149)</f>
        <v>136607.26317410299</v>
      </c>
      <c r="AA149" s="102">
        <f ca="1">IF(AND(Energy!$F$11=$A$3,Main!$B$43=$A149),Summary!AA26,AA149)</f>
        <v>136607.26317410299</v>
      </c>
      <c r="AB149" s="103">
        <f ca="1">IF(AND(Energy!$F$11=$A$3,Main!$B$43=$A149),Summary!AB26,AB149)</f>
        <v>3.9889438562356663</v>
      </c>
      <c r="AC149" s="103">
        <f ca="1">IF(AND(Energy!$F$11=$A$3,Main!$B$43=$A149),Summary!AC26,AC149)</f>
        <v>2.1472010430585784</v>
      </c>
      <c r="AD149" s="103">
        <f ca="1">IF(AND(Energy!$F$11=$A$3,Main!$B$43=$A149),Summary!AD26,AD149)</f>
        <v>0.43029652066166951</v>
      </c>
      <c r="AE149" s="103">
        <f ca="1">IF(AND(Energy!$F$11=$A$3,Main!$B$43=$A149),Summary!AE26,AE149)</f>
        <v>1.7029239766081867</v>
      </c>
      <c r="AF149" s="103">
        <f ca="1">IF(AND(Energy!$F$11=$A$3,Main!$B$43=$A149),Summary!AF26,AF149)</f>
        <v>13.47039473684211</v>
      </c>
      <c r="AG149" s="103">
        <f ca="1">IF(AND(Energy!$F$11=$A$3,Main!$B$43=$A149),Summary!AG26,AG149)</f>
        <v>11.52218150324509</v>
      </c>
      <c r="AH149" s="103">
        <f ca="1">IF(AND(Energy!$F$11=$A$3,Main!$B$43=$A149),Summary!AH26,AH149)</f>
        <v>47</v>
      </c>
      <c r="AI149" s="103">
        <f ca="1">IF(AND(Energy!$F$11=$A$3,Main!$B$43=$A149),Summary!AI26,AI149)</f>
        <v>2.7807797578989586</v>
      </c>
      <c r="AJ149" s="103">
        <f ca="1">IF(AND(Energy!$F$11=$A$3,Main!$B$43=$A149),Summary!AJ26,AJ149)</f>
        <v>0.22727357576648791</v>
      </c>
      <c r="AK149" s="103">
        <f ca="1">IF(AND(Energy!$F$11=$A$3,Main!$B$43=$A149),Summary!AK26,AK149)</f>
        <v>0.01</v>
      </c>
      <c r="AL149" s="103">
        <f ca="1">IF(AND(Energy!$F$11=$A$3,Main!$B$43=$A149),Summary!AL26,AL149)</f>
        <v>-0.54999793782179318</v>
      </c>
      <c r="AM149" s="103">
        <f ca="1">IF(AND(Energy!$F$11=$A$3,Main!$B$43=$A149),Summary!AJ166,AM149)</f>
        <v>0</v>
      </c>
    </row>
    <row r="150" spans="1:39">
      <c r="A150">
        <f t="shared" si="10"/>
        <v>8</v>
      </c>
      <c r="D150" s="1">
        <f ca="1">IF(AND(Energy!$F$11=$A$3,Main!$B$43=A150),Main!C27,D150)</f>
        <v>4.9473684210526319</v>
      </c>
      <c r="E150" s="103">
        <f ca="1">IF(AND(Energy!$F$11=$A$3,Main!$B$43=A150),Main!B27,E150)</f>
        <v>0.35555555555555546</v>
      </c>
      <c r="F150" s="103">
        <f ca="1">IF(Main!$D$6=1,U150,IF(Main!$D$6=2,N150,IF(Main!$D$6=3,K150,IF(Main!$D$6=4,V150,J150))))</f>
        <v>530.92157724937772</v>
      </c>
      <c r="G150" s="103">
        <f ca="1">IF(AND(Energy!$F$11=$A$3,Main!$B$43=A150),Weight!H27,G150)</f>
        <v>15</v>
      </c>
      <c r="H150" s="103">
        <f ca="1">IF(AND(Energy!$F$11=$A$3,Main!$B$43=A150),Weight!U27,H150)</f>
        <v>19.487153087122095</v>
      </c>
      <c r="I150" s="103">
        <f ca="1">IF(AND(Energy!$F$11=$A$3,Main!$B$43=A150),Weight!V27,I150)</f>
        <v>46.668025457270161</v>
      </c>
      <c r="J150" s="103">
        <f ca="1">IF(AND(Energy!$F$11=$A$3,Main!$B$43=A150),Weight!I27,J150)</f>
        <v>22.243224095148062</v>
      </c>
      <c r="K150" s="103">
        <f ca="1">IF(AND(Energy!$F$11=$A$3,Main!$B$43=A150),Weight!W27,K150)</f>
        <v>61.668025459977486</v>
      </c>
      <c r="L150" s="103">
        <f ca="1">IF(AND(Energy!$F$11=$A$3,Main!$B$43=A150),'Aerodynamics-Cruise'!BI27,L150)</f>
        <v>61.668025454542786</v>
      </c>
      <c r="M150" s="103">
        <f ca="1">IF(AND(Energy!$F$11=$A$3,Main!$B$43=A150),'Aerodynamics-Cruise'!BJ27,M150)</f>
        <v>3.0629414342364267</v>
      </c>
      <c r="N150" s="103">
        <f ca="1">IF(AND(Energy!$F$11=$A$3,Main!$B$43=A150),'Aerodynamics-Cruise'!BK27,N150)</f>
        <v>20.133596015007143</v>
      </c>
      <c r="O150" s="103">
        <f t="shared" ca="1" si="9"/>
        <v>158.10709953837511</v>
      </c>
      <c r="P150" s="103">
        <f ca="1">IF(AND(Energy!$F$11=$A$3,Main!$B$43=A150),'Aerodynamics-Cruise'!H27,P150)</f>
        <v>8.0428296379815247</v>
      </c>
      <c r="Q150" s="103">
        <f ca="1">IF(AND(Energy!$F$11=$A$3,Main!$B$43=A150),'Aerodynamics-Cruise'!I27,Q150)</f>
        <v>6.755757437160864</v>
      </c>
      <c r="R150" s="103">
        <f ca="1">IF(AND(Energy!$F$11=$A$3,Main!$B$43=$A150),Summary!R27,R150)</f>
        <v>3.9244716745998085</v>
      </c>
      <c r="S150" s="103">
        <f ca="1">IF(AND(Energy!$F$11=$A$3,Main!$B$43=A150),'Aerodynamics-Cruise'!W27,S150)</f>
        <v>1</v>
      </c>
      <c r="T150" s="103">
        <f ca="1">IF(AND(Energy!$F$11=$A$3,Main!$B$43=A150),'Aerodynamics-Cruise'!BL27,T150)</f>
        <v>24.634716146678372</v>
      </c>
      <c r="U150" s="103">
        <f ca="1">IF(AND(Energy!$F$11=$A$3,Main!$B$43=A150),'Propulsion-Cruise'!M27,U150)</f>
        <v>54.87846071053157</v>
      </c>
      <c r="V150" s="103">
        <f ca="1">IF(AND(Energy!$F$11=$A$3,Main!$B$43=A150),Endurance!AP27,V150)</f>
        <v>530.92157724937772</v>
      </c>
      <c r="W150" s="103">
        <f ca="1">IF(AND(Energy!$F$11=$A$3,Main!$B$43=$A150),Summary!W27,W150)</f>
        <v>1.7590643274853797</v>
      </c>
      <c r="X150" s="13">
        <f ca="1">IF(AND(Energy!$F$11=$A$3,Main!$B$43=A150),Energy!D27,X150)</f>
        <v>958.60840327166534</v>
      </c>
      <c r="Y150" s="102">
        <f ca="1">IF(AND(Energy!$F$11=$A$3,Main!$B$43=A150),'Aerodynamics-Cruise'!V27,Y150)</f>
        <v>181368.39754640378</v>
      </c>
      <c r="Z150" s="102">
        <f ca="1">IF(AND(Energy!$F$11=$A$3,Main!$B$43=$A150),Summary!Z27,Z150)</f>
        <v>135005.66979948609</v>
      </c>
      <c r="AA150" s="102">
        <f ca="1">IF(AND(Energy!$F$11=$A$3,Main!$B$43=$A150),Summary!AA27,AA150)</f>
        <v>135005.66979948609</v>
      </c>
      <c r="AB150" s="103">
        <f ca="1">IF(AND(Energy!$F$11=$A$3,Main!$B$43=$A150),Summary!AB27,AB150)</f>
        <v>3.9244716745998085</v>
      </c>
      <c r="AC150" s="103">
        <f ca="1">IF(AND(Energy!$F$11=$A$3,Main!$B$43=$A150),Summary!AC27,AC150)</f>
        <v>2.1112244368323956</v>
      </c>
      <c r="AD150" s="103">
        <f ca="1">IF(AND(Energy!$F$11=$A$3,Main!$B$43=$A150),Summary!AD27,AD150)</f>
        <v>0.42751001569977637</v>
      </c>
      <c r="AE150" s="103">
        <f ca="1">IF(AND(Energy!$F$11=$A$3,Main!$B$43=$A150),Summary!AE27,AE150)</f>
        <v>1.7590643274853797</v>
      </c>
      <c r="AF150" s="103">
        <f ca="1">IF(AND(Energy!$F$11=$A$3,Main!$B$43=$A150),Summary!AF27,AF150)</f>
        <v>13.914473684210531</v>
      </c>
      <c r="AG150" s="103">
        <f ca="1">IF(AND(Energy!$F$11=$A$3,Main!$B$43=$A150),Summary!AG27,AG150)</f>
        <v>11.458526450222072</v>
      </c>
      <c r="AH150" s="103">
        <f ca="1">IF(AND(Energy!$F$11=$A$3,Main!$B$43=$A150),Summary!AH27,AH150)</f>
        <v>47</v>
      </c>
      <c r="AI150" s="103">
        <f ca="1">IF(AND(Energy!$F$11=$A$3,Main!$B$43=$A150),Summary!AI27,AI150)</f>
        <v>2.7779582508799132</v>
      </c>
      <c r="AJ150" s="103">
        <f ca="1">IF(AND(Energy!$F$11=$A$3,Main!$B$43=$A150),Summary!AJ27,AJ150)</f>
        <v>0.22800640931075616</v>
      </c>
      <c r="AK150" s="103">
        <f ca="1">IF(AND(Energy!$F$11=$A$3,Main!$B$43=$A150),Summary!AK27,AK150)</f>
        <v>0.01</v>
      </c>
      <c r="AL150" s="103">
        <f ca="1">IF(AND(Energy!$F$11=$A$3,Main!$B$43=$A150),Summary!AL27,AL150)</f>
        <v>-0.54823019259149042</v>
      </c>
      <c r="AM150" s="103">
        <f ca="1">IF(AND(Energy!$F$11=$A$3,Main!$B$43=$A150),Summary!AJ167,AM150)</f>
        <v>0</v>
      </c>
    </row>
    <row r="151" spans="1:39">
      <c r="A151">
        <f t="shared" si="10"/>
        <v>8</v>
      </c>
      <c r="D151" s="1">
        <f ca="1">IF(AND(Energy!$F$11=$A$3,Main!$B$43=A151),Main!C28,D151)</f>
        <v>5.1052631578947372</v>
      </c>
      <c r="E151" s="103">
        <f ca="1">IF(AND(Energy!$F$11=$A$3,Main!$B$43=A151),Main!B28,E151)</f>
        <v>0.35555555555555546</v>
      </c>
      <c r="F151" s="103">
        <f ca="1">IF(Main!$D$6=1,U151,IF(Main!$D$6=2,N151,IF(Main!$D$6=3,K151,IF(Main!$D$6=4,V151,J151))))</f>
        <v>528.38344071893107</v>
      </c>
      <c r="G151" s="103">
        <f ca="1">IF(AND(Energy!$F$11=$A$3,Main!$B$43=A151),Weight!H28,G151)</f>
        <v>15</v>
      </c>
      <c r="H151" s="103">
        <f ca="1">IF(AND(Energy!$F$11=$A$3,Main!$B$43=A151),Weight!U28,H151)</f>
        <v>20.152319363229907</v>
      </c>
      <c r="I151" s="103">
        <f ca="1">IF(AND(Energy!$F$11=$A$3,Main!$B$43=A151),Weight!V28,I151)</f>
        <v>47.226855237961857</v>
      </c>
      <c r="J151" s="103">
        <f ca="1">IF(AND(Energy!$F$11=$A$3,Main!$B$43=A151),Weight!I28,J151)</f>
        <v>22.136887599731953</v>
      </c>
      <c r="K151" s="103">
        <f ca="1">IF(AND(Energy!$F$11=$A$3,Main!$B$43=A151),Weight!W28,K151)</f>
        <v>62.226855240940267</v>
      </c>
      <c r="L151" s="103">
        <f ca="1">IF(AND(Energy!$F$11=$A$3,Main!$B$43=A151),'Aerodynamics-Cruise'!BI28,L151)</f>
        <v>62.226855234961363</v>
      </c>
      <c r="M151" s="103">
        <f ca="1">IF(AND(Energy!$F$11=$A$3,Main!$B$43=A151),'Aerodynamics-Cruise'!BJ28,M151)</f>
        <v>3.0590745291834938</v>
      </c>
      <c r="N151" s="103">
        <f ca="1">IF(AND(Energy!$F$11=$A$3,Main!$B$43=A151),'Aerodynamics-Cruise'!BK28,N151)</f>
        <v>20.341725787102842</v>
      </c>
      <c r="O151" s="103">
        <f t="shared" ca="1" si="9"/>
        <v>160.46367056923978</v>
      </c>
      <c r="P151" s="103">
        <f ca="1">IF(AND(Energy!$F$11=$A$3,Main!$B$43=A151),'Aerodynamics-Cruise'!H28,P151)</f>
        <v>7.9532070671452786</v>
      </c>
      <c r="Q151" s="103">
        <f ca="1">IF(AND(Energy!$F$11=$A$3,Main!$B$43=A151),'Aerodynamics-Cruise'!I28,Q151)</f>
        <v>6.6835713715836889</v>
      </c>
      <c r="R151" s="103">
        <f ca="1">IF(AND(Energy!$F$11=$A$3,Main!$B$43=$A151),Summary!R28,R151)</f>
        <v>3.8738236141653717</v>
      </c>
      <c r="S151" s="103">
        <f ca="1">IF(AND(Energy!$F$11=$A$3,Main!$B$43=A151),'Aerodynamics-Cruise'!W28,S151)</f>
        <v>1</v>
      </c>
      <c r="T151" s="103">
        <f ca="1">IF(AND(Energy!$F$11=$A$3,Main!$B$43=A151),'Aerodynamics-Cruise'!BL28,T151)</f>
        <v>24.32945316442628</v>
      </c>
      <c r="U151" s="103">
        <f ca="1">IF(AND(Energy!$F$11=$A$3,Main!$B$43=A151),'Propulsion-Cruise'!M28,U151)</f>
        <v>54.425237519621263</v>
      </c>
      <c r="V151" s="103">
        <f ca="1">IF(AND(Energy!$F$11=$A$3,Main!$B$43=A151),Endurance!AP28,V151)</f>
        <v>528.38344071893107</v>
      </c>
      <c r="W151" s="103">
        <f ca="1">IF(AND(Energy!$F$11=$A$3,Main!$B$43=$A151),Summary!W28,W151)</f>
        <v>1.8152046783625728</v>
      </c>
      <c r="X151" s="13">
        <f ca="1">IF(AND(Energy!$F$11=$A$3,Main!$B$43=A151),Energy!D28,X151)</f>
        <v>954.02565674932418</v>
      </c>
      <c r="Y151" s="102">
        <f ca="1">IF(AND(Energy!$F$11=$A$3,Main!$B$43=A151),'Aerodynamics-Cruise'!V28,Y151)</f>
        <v>179347.37972205531</v>
      </c>
      <c r="Z151" s="102">
        <f ca="1">IF(AND(Energy!$F$11=$A$3,Main!$B$43=$A151),Summary!Z28,Z151)</f>
        <v>133560.70511631732</v>
      </c>
      <c r="AA151" s="102">
        <f ca="1">IF(AND(Energy!$F$11=$A$3,Main!$B$43=$A151),Summary!AA28,AA151)</f>
        <v>133560.70511631732</v>
      </c>
      <c r="AB151" s="103">
        <f ca="1">IF(AND(Energy!$F$11=$A$3,Main!$B$43=$A151),Summary!AB28,AB151)</f>
        <v>3.8738236141653717</v>
      </c>
      <c r="AC151" s="103">
        <f ca="1">IF(AND(Energy!$F$11=$A$3,Main!$B$43=$A151),Summary!AC28,AC151)</f>
        <v>2.0745371063607636</v>
      </c>
      <c r="AD151" s="103">
        <f ca="1">IF(AND(Energy!$F$11=$A$3,Main!$B$43=$A151),Summary!AD28,AD151)</f>
        <v>0.42517796007792902</v>
      </c>
      <c r="AE151" s="103">
        <f ca="1">IF(AND(Energy!$F$11=$A$3,Main!$B$43=$A151),Summary!AE28,AE151)</f>
        <v>1.8152046783625728</v>
      </c>
      <c r="AF151" s="103">
        <f ca="1">IF(AND(Energy!$F$11=$A$3,Main!$B$43=$A151),Summary!AF28,AF151)</f>
        <v>14.358552631578952</v>
      </c>
      <c r="AG151" s="103">
        <f ca="1">IF(AND(Energy!$F$11=$A$3,Main!$B$43=$A151),Summary!AG28,AG151)</f>
        <v>11.411017732496934</v>
      </c>
      <c r="AH151" s="103">
        <f ca="1">IF(AND(Energy!$F$11=$A$3,Main!$B$43=$A151),Summary!AH28,AH151)</f>
        <v>47</v>
      </c>
      <c r="AI151" s="103">
        <f ca="1">IF(AND(Energy!$F$11=$A$3,Main!$B$43=$A151),Summary!AI28,AI151)</f>
        <v>2.7753864944743247</v>
      </c>
      <c r="AJ151" s="103">
        <f ca="1">IF(AND(Energy!$F$11=$A$3,Main!$B$43=$A151),Summary!AJ28,AJ151)</f>
        <v>0.22867894096528665</v>
      </c>
      <c r="AK151" s="103">
        <f ca="1">IF(AND(Energy!$F$11=$A$3,Main!$B$43=$A151),Summary!AK28,AK151)</f>
        <v>0.01</v>
      </c>
      <c r="AL151" s="103">
        <f ca="1">IF(AND(Energy!$F$11=$A$3,Main!$B$43=$A151),Summary!AL28,AL151)</f>
        <v>-0.54661787762636138</v>
      </c>
      <c r="AM151" s="103">
        <f ca="1">IF(AND(Energy!$F$11=$A$3,Main!$B$43=$A151),Summary!AJ168,AM151)</f>
        <v>0</v>
      </c>
    </row>
    <row r="152" spans="1:39">
      <c r="A152">
        <f t="shared" si="10"/>
        <v>8</v>
      </c>
      <c r="D152" s="1">
        <f ca="1">IF(AND(Energy!$F$11=$A$3,Main!$B$43=A152),Main!C29,D152)</f>
        <v>5.2631578947368425</v>
      </c>
      <c r="E152" s="103">
        <f ca="1">IF(AND(Energy!$F$11=$A$3,Main!$B$43=A152),Main!B29,E152)</f>
        <v>0.35555555555555546</v>
      </c>
      <c r="F152" s="103">
        <f ca="1">IF(Main!$D$6=1,U152,IF(Main!$D$6=2,N152,IF(Main!$D$6=3,K152,IF(Main!$D$6=4,V152,J152))))</f>
        <v>526.92173439254498</v>
      </c>
      <c r="G152" s="103">
        <f ca="1">IF(AND(Energy!$F$11=$A$3,Main!$B$43=A152),Weight!H29,G152)</f>
        <v>15</v>
      </c>
      <c r="H152" s="103">
        <f ca="1">IF(AND(Energy!$F$11=$A$3,Main!$B$43=A152),Weight!U29,H152)</f>
        <v>20.83987965833915</v>
      </c>
      <c r="I152" s="103">
        <f ca="1">IF(AND(Energy!$F$11=$A$3,Main!$B$43=A152),Weight!V29,I152)</f>
        <v>47.853176617553409</v>
      </c>
      <c r="J152" s="103">
        <f ca="1">IF(AND(Energy!$F$11=$A$3,Main!$B$43=A152),Weight!I29,J152)</f>
        <v>22.075648684214258</v>
      </c>
      <c r="K152" s="103">
        <f ca="1">IF(AND(Energy!$F$11=$A$3,Main!$B$43=A152),Weight!W29,K152)</f>
        <v>62.853176620813031</v>
      </c>
      <c r="L152" s="103">
        <f ca="1">IF(AND(Energy!$F$11=$A$3,Main!$B$43=A152),'Aerodynamics-Cruise'!BI29,L152)</f>
        <v>62.853176614269643</v>
      </c>
      <c r="M152" s="103">
        <f ca="1">IF(AND(Energy!$F$11=$A$3,Main!$B$43=A152),'Aerodynamics-Cruise'!BJ29,M152)</f>
        <v>3.0595689862165076</v>
      </c>
      <c r="N152" s="103">
        <f ca="1">IF(AND(Energy!$F$11=$A$3,Main!$B$43=A152),'Aerodynamics-Cruise'!BK29,N152)</f>
        <v>20.543147383643237</v>
      </c>
      <c r="O152" s="103">
        <f t="shared" ca="1" si="9"/>
        <v>162.866062888518</v>
      </c>
      <c r="P152" s="103">
        <f ca="1">IF(AND(Energy!$F$11=$A$3,Main!$B$43=A152),'Aerodynamics-Cruise'!H29,P152)</f>
        <v>7.8722633721711421</v>
      </c>
      <c r="Q152" s="103">
        <f ca="1">IF(AND(Energy!$F$11=$A$3,Main!$B$43=A152),'Aerodynamics-Cruise'!I29,Q152)</f>
        <v>6.6183466957404544</v>
      </c>
      <c r="R152" s="103">
        <f ca="1">IF(AND(Energy!$F$11=$A$3,Main!$B$43=$A152),Summary!R29,R152)</f>
        <v>3.8351883102032511</v>
      </c>
      <c r="S152" s="103">
        <f ca="1">IF(AND(Energy!$F$11=$A$3,Main!$B$43=A152),'Aerodynamics-Cruise'!W29,S152)</f>
        <v>1</v>
      </c>
      <c r="T152" s="103">
        <f ca="1">IF(AND(Energy!$F$11=$A$3,Main!$B$43=A152),'Aerodynamics-Cruise'!BL29,T152)</f>
        <v>24.085732864823008</v>
      </c>
      <c r="U152" s="103">
        <f ca="1">IF(AND(Energy!$F$11=$A$3,Main!$B$43=A152),'Propulsion-Cruise'!M29,U152)</f>
        <v>54.089377686656071</v>
      </c>
      <c r="V152" s="103">
        <f ca="1">IF(AND(Energy!$F$11=$A$3,Main!$B$43=A152),Endurance!AP29,V152)</f>
        <v>526.92173439254498</v>
      </c>
      <c r="W152" s="103">
        <f ca="1">IF(AND(Energy!$F$11=$A$3,Main!$B$43=$A152),Summary!W29,W152)</f>
        <v>1.8713450292397658</v>
      </c>
      <c r="X152" s="13">
        <f ca="1">IF(AND(Energy!$F$11=$A$3,Main!$B$43=A152),Energy!D29,X152)</f>
        <v>951.38646476182214</v>
      </c>
      <c r="Y152" s="102">
        <f ca="1">IF(AND(Energy!$F$11=$A$3,Main!$B$43=A152),'Aerodynamics-Cruise'!V29,Y152)</f>
        <v>177522.07334236821</v>
      </c>
      <c r="Z152" s="102">
        <f ca="1">IF(AND(Energy!$F$11=$A$3,Main!$B$43=$A152),Summary!Z29,Z152)</f>
        <v>132255.11076562834</v>
      </c>
      <c r="AA152" s="102">
        <f ca="1">IF(AND(Energy!$F$11=$A$3,Main!$B$43=$A152),Summary!AA29,AA152)</f>
        <v>132255.11076562834</v>
      </c>
      <c r="AB152" s="103">
        <f ca="1">IF(AND(Energy!$F$11=$A$3,Main!$B$43=$A152),Summary!AB29,AB152)</f>
        <v>3.8351883102032511</v>
      </c>
      <c r="AC152" s="103">
        <f ca="1">IF(AND(Energy!$F$11=$A$3,Main!$B$43=$A152),Summary!AC29,AC152)</f>
        <v>2.0374139009593084</v>
      </c>
      <c r="AD152" s="103">
        <f ca="1">IF(AND(Energy!$F$11=$A$3,Main!$B$43=$A152),Summary!AD29,AD152)</f>
        <v>0.42324920760314438</v>
      </c>
      <c r="AE152" s="103">
        <f ca="1">IF(AND(Energy!$F$11=$A$3,Main!$B$43=$A152),Summary!AE29,AE152)</f>
        <v>1.8713450292397658</v>
      </c>
      <c r="AF152" s="103">
        <f ca="1">IF(AND(Energy!$F$11=$A$3,Main!$B$43=$A152),Summary!AF29,AF152)</f>
        <v>14.802631578947373</v>
      </c>
      <c r="AG152" s="103">
        <f ca="1">IF(AND(Energy!$F$11=$A$3,Main!$B$43=$A152),Summary!AG29,AG152)</f>
        <v>11.37770752425063</v>
      </c>
      <c r="AH152" s="103">
        <f ca="1">IF(AND(Energy!$F$11=$A$3,Main!$B$43=$A152),Summary!AH29,AH152)</f>
        <v>47</v>
      </c>
      <c r="AI152" s="103">
        <f ca="1">IF(AND(Energy!$F$11=$A$3,Main!$B$43=$A152),Summary!AI29,AI152)</f>
        <v>2.7730408983548709</v>
      </c>
      <c r="AJ152" s="103">
        <f ca="1">IF(AND(Energy!$F$11=$A$3,Main!$B$43=$A152),Summary!AJ29,AJ152)</f>
        <v>0.22929648767155583</v>
      </c>
      <c r="AK152" s="103">
        <f ca="1">IF(AND(Energy!$F$11=$A$3,Main!$B$43=$A152),Summary!AK29,AK152)</f>
        <v>0.01</v>
      </c>
      <c r="AL152" s="103">
        <f ca="1">IF(AND(Energy!$F$11=$A$3,Main!$B$43=$A152),Summary!AL29,AL152)</f>
        <v>-0.54514571202101469</v>
      </c>
      <c r="AM152" s="103">
        <f ca="1">IF(AND(Energy!$F$11=$A$3,Main!$B$43=$A152),Summary!AJ169,AM152)</f>
        <v>0</v>
      </c>
    </row>
    <row r="153" spans="1:39">
      <c r="A153">
        <f t="shared" si="10"/>
        <v>8</v>
      </c>
      <c r="D153" s="1">
        <f ca="1">IF(AND(Energy!$F$11=$A$3,Main!$B$43=A153),Main!C30,D153)</f>
        <v>5.4210526315789478</v>
      </c>
      <c r="E153" s="103">
        <f ca="1">IF(AND(Energy!$F$11=$A$3,Main!$B$43=A153),Main!B30,E153)</f>
        <v>0.35555555555555546</v>
      </c>
      <c r="F153" s="103">
        <f ca="1">IF(Main!$D$6=1,U153,IF(Main!$D$6=2,N153,IF(Main!$D$6=3,K153,IF(Main!$D$6=4,V153,J153))))</f>
        <v>526.41412657602552</v>
      </c>
      <c r="G153" s="103">
        <f ca="1">IF(AND(Energy!$F$11=$A$3,Main!$B$43=A153),Weight!H30,G153)</f>
        <v>15</v>
      </c>
      <c r="H153" s="103">
        <f ca="1">IF(AND(Energy!$F$11=$A$3,Main!$B$43=A153),Weight!U30,H153)</f>
        <v>21.549637636869207</v>
      </c>
      <c r="I153" s="103">
        <f ca="1">IF(AND(Energy!$F$11=$A$3,Main!$B$43=A153),Weight!V30,I153)</f>
        <v>48.54166811316373</v>
      </c>
      <c r="J153" s="103">
        <f ca="1">IF(AND(Energy!$F$11=$A$3,Main!$B$43=A153),Weight!I30,J153)</f>
        <v>22.054382201294523</v>
      </c>
      <c r="K153" s="103">
        <f ca="1">IF(AND(Energy!$F$11=$A$3,Main!$B$43=A153),Weight!W30,K153)</f>
        <v>63.541668116714703</v>
      </c>
      <c r="L153" s="103">
        <f ca="1">IF(AND(Energy!$F$11=$A$3,Main!$B$43=A153),'Aerodynamics-Cruise'!BI30,L153)</f>
        <v>63.541668109586439</v>
      </c>
      <c r="M153" s="103">
        <f ca="1">IF(AND(Energy!$F$11=$A$3,Main!$B$43=A153),'Aerodynamics-Cruise'!BJ30,M153)</f>
        <v>3.0639458941405642</v>
      </c>
      <c r="N153" s="103">
        <f ca="1">IF(AND(Energy!$F$11=$A$3,Main!$B$43=A153),'Aerodynamics-Cruise'!BK30,N153)</f>
        <v>20.738508545827262</v>
      </c>
      <c r="O153" s="103">
        <f t="shared" ca="1" si="9"/>
        <v>165.31293095338424</v>
      </c>
      <c r="P153" s="103">
        <f ca="1">IF(AND(Energy!$F$11=$A$3,Main!$B$43=A153),'Aerodynamics-Cruise'!H30,P153)</f>
        <v>7.7990865541474452</v>
      </c>
      <c r="Q153" s="103">
        <f ca="1">IF(AND(Energy!$F$11=$A$3,Main!$B$43=A153),'Aerodynamics-Cruise'!I30,Q153)</f>
        <v>6.5593567910938884</v>
      </c>
      <c r="R153" s="103">
        <f ca="1">IF(AND(Energy!$F$11=$A$3,Main!$B$43=$A153),Summary!R30,R153)</f>
        <v>3.8071207074534112</v>
      </c>
      <c r="S153" s="103">
        <f ca="1">IF(AND(Energy!$F$11=$A$3,Main!$B$43=A153),'Aerodynamics-Cruise'!W30,S153)</f>
        <v>1</v>
      </c>
      <c r="T153" s="103">
        <f ca="1">IF(AND(Energy!$F$11=$A$3,Main!$B$43=A153),'Aerodynamics-Cruise'!BL30,T153)</f>
        <v>23.895979225626945</v>
      </c>
      <c r="U153" s="103">
        <f ca="1">IF(AND(Energy!$F$11=$A$3,Main!$B$43=A153),'Propulsion-Cruise'!M30,U153)</f>
        <v>53.856989092355086</v>
      </c>
      <c r="V153" s="103">
        <f ca="1">IF(AND(Energy!$F$11=$A$3,Main!$B$43=A153),Endurance!AP30,V153)</f>
        <v>526.41412657602552</v>
      </c>
      <c r="W153" s="103">
        <f ca="1">IF(AND(Energy!$F$11=$A$3,Main!$B$43=$A153),Summary!W30,W153)</f>
        <v>1.9274853801169587</v>
      </c>
      <c r="X153" s="13">
        <f ca="1">IF(AND(Energy!$F$11=$A$3,Main!$B$43=A153),Energy!D30,X153)</f>
        <v>950.46995063908844</v>
      </c>
      <c r="Y153" s="102">
        <f ca="1">IF(AND(Energy!$F$11=$A$3,Main!$B$43=A153),'Aerodynamics-Cruise'!V30,Y153)</f>
        <v>175871.91253828665</v>
      </c>
      <c r="Z153" s="102">
        <f ca="1">IF(AND(Energy!$F$11=$A$3,Main!$B$43=$A153),Summary!Z30,Z153)</f>
        <v>131074.33565680013</v>
      </c>
      <c r="AA153" s="102">
        <f ca="1">IF(AND(Energy!$F$11=$A$3,Main!$B$43=$A153),Summary!AA30,AA153)</f>
        <v>131074.33565680013</v>
      </c>
      <c r="AB153" s="103">
        <f ca="1">IF(AND(Energy!$F$11=$A$3,Main!$B$43=$A153),Summary!AB30,AB153)</f>
        <v>3.8071207074534112</v>
      </c>
      <c r="AC153" s="103">
        <f ca="1">IF(AND(Energy!$F$11=$A$3,Main!$B$43=$A153),Summary!AC30,AC153)</f>
        <v>2.0000725650020974</v>
      </c>
      <c r="AD153" s="103">
        <f ca="1">IF(AND(Energy!$F$11=$A$3,Main!$B$43=$A153),Summary!AD30,AD153)</f>
        <v>0.42168088592889219</v>
      </c>
      <c r="AE153" s="103">
        <f ca="1">IF(AND(Energy!$F$11=$A$3,Main!$B$43=$A153),Summary!AE30,AE153)</f>
        <v>1.9274853801169587</v>
      </c>
      <c r="AF153" s="103">
        <f ca="1">IF(AND(Energy!$F$11=$A$3,Main!$B$43=$A153),Summary!AF30,AF153)</f>
        <v>15.246710526315795</v>
      </c>
      <c r="AG153" s="103">
        <f ca="1">IF(AND(Energy!$F$11=$A$3,Main!$B$43=$A153),Summary!AG30,AG153)</f>
        <v>11.356990290559821</v>
      </c>
      <c r="AH153" s="103">
        <f ca="1">IF(AND(Energy!$F$11=$A$3,Main!$B$43=$A153),Summary!AH30,AH153)</f>
        <v>47</v>
      </c>
      <c r="AI153" s="103">
        <f ca="1">IF(AND(Energy!$F$11=$A$3,Main!$B$43=$A153),Summary!AI30,AI153)</f>
        <v>2.7709012099531107</v>
      </c>
      <c r="AJ153" s="103">
        <f ca="1">IF(AND(Energy!$F$11=$A$3,Main!$B$43=$A153),Summary!AJ30,AJ153)</f>
        <v>0.22986369632936557</v>
      </c>
      <c r="AK153" s="103">
        <f ca="1">IF(AND(Energy!$F$11=$A$3,Main!$B$43=$A153),Summary!AK30,AK153)</f>
        <v>0.01</v>
      </c>
      <c r="AL153" s="103">
        <f ca="1">IF(AND(Energy!$F$11=$A$3,Main!$B$43=$A153),Summary!AL30,AL153)</f>
        <v>-0.54380051608548774</v>
      </c>
      <c r="AM153" s="103">
        <f ca="1">IF(AND(Energy!$F$11=$A$3,Main!$B$43=$A153),Summary!AJ170,AM153)</f>
        <v>0</v>
      </c>
    </row>
    <row r="154" spans="1:39">
      <c r="A154">
        <f t="shared" si="10"/>
        <v>8</v>
      </c>
      <c r="D154" s="1">
        <f ca="1">IF(AND(Energy!$F$11=$A$3,Main!$B$43=A154),Main!C31,D154)</f>
        <v>5.5789473684210531</v>
      </c>
      <c r="E154" s="103">
        <f ca="1">IF(AND(Energy!$F$11=$A$3,Main!$B$43=A154),Main!B31,E154)</f>
        <v>0.35555555555555546</v>
      </c>
      <c r="F154" s="103">
        <f ca="1">IF(Main!$D$6=1,U154,IF(Main!$D$6=2,N154,IF(Main!$D$6=3,K154,IF(Main!$D$6=4,V154,J154))))</f>
        <v>526.76045481286246</v>
      </c>
      <c r="G154" s="103">
        <f ca="1">IF(AND(Energy!$F$11=$A$3,Main!$B$43=A154),Weight!H31,G154)</f>
        <v>15</v>
      </c>
      <c r="H154" s="103">
        <f ca="1">IF(AND(Energy!$F$11=$A$3,Main!$B$43=A154),Weight!U31,H154)</f>
        <v>22.281487310627099</v>
      </c>
      <c r="I154" s="103">
        <f ca="1">IF(AND(Energy!$F$11=$A$3,Main!$B$43=A154),Weight!V31,I154)</f>
        <v>49.288027380560621</v>
      </c>
      <c r="J154" s="103">
        <f ca="1">IF(AND(Energy!$F$11=$A$3,Main!$B$43=A154),Weight!I31,J154)</f>
        <v>22.068891794933521</v>
      </c>
      <c r="K154" s="103">
        <f ca="1">IF(AND(Energy!$F$11=$A$3,Main!$B$43=A154),Weight!W31,K154)</f>
        <v>64.288027384413823</v>
      </c>
      <c r="L154" s="103">
        <f ca="1">IF(AND(Energy!$F$11=$A$3,Main!$B$43=A154),'Aerodynamics-Cruise'!BI31,L154)</f>
        <v>64.288027376678912</v>
      </c>
      <c r="M154" s="103">
        <f ca="1">IF(AND(Energy!$F$11=$A$3,Main!$B$43=A154),'Aerodynamics-Cruise'!BJ31,M154)</f>
        <v>3.0718070857397661</v>
      </c>
      <c r="N154" s="103">
        <f ca="1">IF(AND(Energy!$F$11=$A$3,Main!$B$43=A154),'Aerodynamics-Cruise'!BK31,N154)</f>
        <v>20.928406498937672</v>
      </c>
      <c r="O154" s="103">
        <f t="shared" ca="1" si="9"/>
        <v>167.80357618821532</v>
      </c>
      <c r="P154" s="103">
        <f ca="1">IF(AND(Energy!$F$11=$A$3,Main!$B$43=A154),'Aerodynamics-Cruise'!H31,P154)</f>
        <v>7.7329011437332467</v>
      </c>
      <c r="Q154" s="103">
        <f ca="1">IF(AND(Energy!$F$11=$A$3,Main!$B$43=A154),'Aerodynamics-Cruise'!I31,Q154)</f>
        <v>6.5059833265909512</v>
      </c>
      <c r="R154" s="103">
        <f ca="1">IF(AND(Energy!$F$11=$A$3,Main!$B$43=$A154),Summary!R31,R154)</f>
        <v>3.7884567633685622</v>
      </c>
      <c r="S154" s="103">
        <f ca="1">IF(AND(Energy!$F$11=$A$3,Main!$B$43=A154),'Aerodynamics-Cruise'!W31,S154)</f>
        <v>1</v>
      </c>
      <c r="T154" s="103">
        <f ca="1">IF(AND(Energy!$F$11=$A$3,Main!$B$43=A154),'Aerodynamics-Cruise'!BL31,T154)</f>
        <v>23.753980526644927</v>
      </c>
      <c r="U154" s="103">
        <f ca="1">IF(AND(Energy!$F$11=$A$3,Main!$B$43=A154),'Propulsion-Cruise'!M31,U154)</f>
        <v>53.716677227164681</v>
      </c>
      <c r="V154" s="103">
        <f ca="1">IF(AND(Energy!$F$11=$A$3,Main!$B$43=A154),Endurance!AP31,V154)</f>
        <v>526.76045481286246</v>
      </c>
      <c r="W154" s="103">
        <f ca="1">IF(AND(Energy!$F$11=$A$3,Main!$B$43=$A154),Summary!W31,W154)</f>
        <v>1.9836257309941516</v>
      </c>
      <c r="X154" s="13">
        <f ca="1">IF(AND(Energy!$F$11=$A$3,Main!$B$43=A154),Energy!D31,X154)</f>
        <v>951.09526550129169</v>
      </c>
      <c r="Y154" s="102">
        <f ca="1">IF(AND(Energy!$F$11=$A$3,Main!$B$43=A154),'Aerodynamics-Cruise'!V31,Y154)</f>
        <v>174379.41022652728</v>
      </c>
      <c r="Z154" s="102">
        <f ca="1">IF(AND(Energy!$F$11=$A$3,Main!$B$43=$A154),Summary!Z31,Z154)</f>
        <v>130005.99762289658</v>
      </c>
      <c r="AA154" s="102">
        <f ca="1">IF(AND(Energy!$F$11=$A$3,Main!$B$43=$A154),Summary!AA31,AA154)</f>
        <v>130005.99762289658</v>
      </c>
      <c r="AB154" s="103">
        <f ca="1">IF(AND(Energy!$F$11=$A$3,Main!$B$43=$A154),Summary!AB31,AB154)</f>
        <v>3.7884567633685622</v>
      </c>
      <c r="AC154" s="103">
        <f ca="1">IF(AND(Energy!$F$11=$A$3,Main!$B$43=$A154),Summary!AC31,AC154)</f>
        <v>1.9626862793372328</v>
      </c>
      <c r="AD154" s="103">
        <f ca="1">IF(AND(Energy!$F$11=$A$3,Main!$B$43=$A154),Summary!AD31,AD154)</f>
        <v>0.4204367223860741</v>
      </c>
      <c r="AE154" s="103">
        <f ca="1">IF(AND(Energy!$F$11=$A$3,Main!$B$43=$A154),Summary!AE31,AE154)</f>
        <v>1.9836257309941516</v>
      </c>
      <c r="AF154" s="103">
        <f ca="1">IF(AND(Energy!$F$11=$A$3,Main!$B$43=$A154),Summary!AF31,AF154)</f>
        <v>15.690789473684216</v>
      </c>
      <c r="AG154" s="103">
        <f ca="1">IF(AND(Energy!$F$11=$A$3,Main!$B$43=$A154),Summary!AG31,AG154)</f>
        <v>11.347529908909202</v>
      </c>
      <c r="AH154" s="103">
        <f ca="1">IF(AND(Energy!$F$11=$A$3,Main!$B$43=$A154),Summary!AH31,AH154)</f>
        <v>47</v>
      </c>
      <c r="AI154" s="103">
        <f ca="1">IF(AND(Energy!$F$11=$A$3,Main!$B$43=$A154),Summary!AI31,AI154)</f>
        <v>2.7689498871848377</v>
      </c>
      <c r="AJ154" s="103">
        <f ca="1">IF(AND(Energy!$F$11=$A$3,Main!$B$43=$A154),Summary!AJ31,AJ154)</f>
        <v>0.23038465499161423</v>
      </c>
      <c r="AK154" s="103">
        <f ca="1">IF(AND(Energy!$F$11=$A$3,Main!$B$43=$A154),Summary!AK31,AK154)</f>
        <v>0.01</v>
      </c>
      <c r="AL154" s="103">
        <f ca="1">IF(AND(Energy!$F$11=$A$3,Main!$B$43=$A154),Summary!AL31,AL154)</f>
        <v>-0.54257084243642084</v>
      </c>
      <c r="AM154" s="103">
        <f ca="1">IF(AND(Energy!$F$11=$A$3,Main!$B$43=$A154),Summary!AJ171,AM154)</f>
        <v>0</v>
      </c>
    </row>
    <row r="155" spans="1:39">
      <c r="A155">
        <f t="shared" si="10"/>
        <v>8</v>
      </c>
      <c r="D155" s="1">
        <f ca="1">IF(AND(Energy!$F$11=$A$3,Main!$B$43=A155),Main!C32,D155)</f>
        <v>5.7368421052631584</v>
      </c>
      <c r="E155" s="103">
        <f ca="1">IF(AND(Energy!$F$11=$A$3,Main!$B$43=A155),Main!B32,E155)</f>
        <v>0.35555555555555546</v>
      </c>
      <c r="F155" s="103">
        <f ca="1">IF(Main!$D$6=1,U155,IF(Main!$D$6=2,N155,IF(Main!$D$6=3,K155,IF(Main!$D$6=4,V155,J155))))</f>
        <v>527.87801944299963</v>
      </c>
      <c r="G155" s="103">
        <f ca="1">IF(AND(Energy!$F$11=$A$3,Main!$B$43=A155),Weight!H32,G155)</f>
        <v>15</v>
      </c>
      <c r="H155" s="103">
        <f ca="1">IF(AND(Energy!$F$11=$A$3,Main!$B$43=A155),Weight!U32,H155)</f>
        <v>23.035395115065207</v>
      </c>
      <c r="I155" s="103">
        <f ca="1">IF(AND(Energy!$F$11=$A$3,Main!$B$43=A155),Weight!V32,I155)</f>
        <v>50.088756111717714</v>
      </c>
      <c r="J155" s="103">
        <f ca="1">IF(AND(Energy!$F$11=$A$3,Main!$B$43=A155),Weight!I32,J155)</f>
        <v>22.115712721652507</v>
      </c>
      <c r="K155" s="103">
        <f ca="1">IF(AND(Energy!$F$11=$A$3,Main!$B$43=A155),Weight!W32,K155)</f>
        <v>65.08875611588509</v>
      </c>
      <c r="L155" s="103">
        <f ca="1">IF(AND(Energy!$F$11=$A$3,Main!$B$43=A155),'Aerodynamics-Cruise'!BI32,L155)</f>
        <v>65.088756107519487</v>
      </c>
      <c r="M155" s="103">
        <f ca="1">IF(AND(Energy!$F$11=$A$3,Main!$B$43=A155),'Aerodynamics-Cruise'!BJ32,M155)</f>
        <v>3.0828187277662069</v>
      </c>
      <c r="N155" s="103">
        <f ca="1">IF(AND(Energy!$F$11=$A$3,Main!$B$43=A155),'Aerodynamics-Cruise'!BK32,N155)</f>
        <v>21.113390651639914</v>
      </c>
      <c r="O155" s="103">
        <f t="shared" ca="1" si="9"/>
        <v>170.3377747004522</v>
      </c>
      <c r="P155" s="103">
        <f ca="1">IF(AND(Energy!$F$11=$A$3,Main!$B$43=A155),'Aerodynamics-Cruise'!H32,P155)</f>
        <v>7.6730423001161325</v>
      </c>
      <c r="Q155" s="103">
        <f ca="1">IF(AND(Energy!$F$11=$A$3,Main!$B$43=A155),'Aerodynamics-Cruise'!I32,Q155)</f>
        <v>6.4576957693152046</v>
      </c>
      <c r="R155" s="103">
        <f ca="1">IF(AND(Energy!$F$11=$A$3,Main!$B$43=$A155),Summary!R32,R155)</f>
        <v>3.7782511556126699</v>
      </c>
      <c r="S155" s="103">
        <f ca="1">IF(AND(Energy!$F$11=$A$3,Main!$B$43=A155),'Aerodynamics-Cruise'!W32,S155)</f>
        <v>1</v>
      </c>
      <c r="T155" s="103">
        <f ca="1">IF(AND(Energy!$F$11=$A$3,Main!$B$43=A155),'Aerodynamics-Cruise'!BL32,T155)</f>
        <v>23.654598501740306</v>
      </c>
      <c r="U155" s="103">
        <f ca="1">IF(AND(Energy!$F$11=$A$3,Main!$B$43=A155),'Propulsion-Cruise'!M32,U155)</f>
        <v>53.659014699165276</v>
      </c>
      <c r="V155" s="103">
        <f ca="1">IF(AND(Energy!$F$11=$A$3,Main!$B$43=A155),Endurance!AP32,V155)</f>
        <v>527.87801944299963</v>
      </c>
      <c r="W155" s="103">
        <f ca="1">IF(AND(Energy!$F$11=$A$3,Main!$B$43=$A155),Summary!W32,W155)</f>
        <v>2.0397660818713446</v>
      </c>
      <c r="X155" s="13">
        <f ca="1">IF(AND(Energy!$F$11=$A$3,Main!$B$43=A155),Energy!D32,X155)</f>
        <v>953.1130905177389</v>
      </c>
      <c r="Y155" s="102">
        <f ca="1">IF(AND(Energy!$F$11=$A$3,Main!$B$43=A155),'Aerodynamics-Cruise'!V32,Y155)</f>
        <v>173029.57403273942</v>
      </c>
      <c r="Z155" s="102">
        <f ca="1">IF(AND(Energy!$F$11=$A$3,Main!$B$43=$A155),Summary!Z32,Z155)</f>
        <v>129039.47299109175</v>
      </c>
      <c r="AA155" s="102">
        <f ca="1">IF(AND(Energy!$F$11=$A$3,Main!$B$43=$A155),Summary!AA32,AA155)</f>
        <v>129039.47299109175</v>
      </c>
      <c r="AB155" s="103">
        <f ca="1">IF(AND(Energy!$F$11=$A$3,Main!$B$43=$A155),Summary!AB32,AB155)</f>
        <v>3.7782511556126699</v>
      </c>
      <c r="AC155" s="103">
        <f ca="1">IF(AND(Energy!$F$11=$A$3,Main!$B$43=$A155),Summary!AC32,AC155)</f>
        <v>1.9253931352599747</v>
      </c>
      <c r="AD155" s="103">
        <f ca="1">IF(AND(Energy!$F$11=$A$3,Main!$B$43=$A155),Summary!AD32,AD155)</f>
        <v>0.4194857722490985</v>
      </c>
      <c r="AE155" s="103">
        <f ca="1">IF(AND(Energy!$F$11=$A$3,Main!$B$43=$A155),Summary!AE32,AE155)</f>
        <v>2.0397660818713446</v>
      </c>
      <c r="AF155" s="103">
        <f ca="1">IF(AND(Energy!$F$11=$A$3,Main!$B$43=$A155),Summary!AF32,AF155)</f>
        <v>16.134868421052641</v>
      </c>
      <c r="AG155" s="103">
        <f ca="1">IF(AND(Energy!$F$11=$A$3,Main!$B$43=$A155),Summary!AG32,AG155)</f>
        <v>11.348204946702204</v>
      </c>
      <c r="AH155" s="103">
        <f ca="1">IF(AND(Energy!$F$11=$A$3,Main!$B$43=$A155),Summary!AH32,AH155)</f>
        <v>47</v>
      </c>
      <c r="AI155" s="103">
        <f ca="1">IF(AND(Energy!$F$11=$A$3,Main!$B$43=$A155),Summary!AI32,AI155)</f>
        <v>2.7671716149074057</v>
      </c>
      <c r="AJ155" s="103">
        <f ca="1">IF(AND(Energy!$F$11=$A$3,Main!$B$43=$A155),Summary!AJ32,AJ155)</f>
        <v>0.23086298133501856</v>
      </c>
      <c r="AK155" s="103">
        <f ca="1">IF(AND(Energy!$F$11=$A$3,Main!$B$43=$A155),Summary!AK32,AK155)</f>
        <v>0.01</v>
      </c>
      <c r="AL155" s="103">
        <f ca="1">IF(AND(Energy!$F$11=$A$3,Main!$B$43=$A155),Summary!AL32,AL155)</f>
        <v>-0.54144668523512762</v>
      </c>
      <c r="AM155" s="103">
        <f ca="1">IF(AND(Energy!$F$11=$A$3,Main!$B$43=$A155),Summary!AJ172,AM155)</f>
        <v>0</v>
      </c>
    </row>
    <row r="156" spans="1:39">
      <c r="A156">
        <f t="shared" si="10"/>
        <v>8</v>
      </c>
      <c r="D156" s="1">
        <f ca="1">IF(AND(Energy!$F$11=$A$3,Main!$B$43=A156),Main!C33,D156)</f>
        <v>5.8947368421052637</v>
      </c>
      <c r="E156" s="103">
        <f ca="1">IF(AND(Energy!$F$11=$A$3,Main!$B$43=A156),Main!B33,E156)</f>
        <v>0.35555555555555546</v>
      </c>
      <c r="F156" s="103">
        <f ca="1">IF(Main!$D$6=1,U156,IF(Main!$D$6=2,N156,IF(Main!$D$6=3,K156,IF(Main!$D$6=4,V156,J156))))</f>
        <v>529.69803955444945</v>
      </c>
      <c r="G156" s="103">
        <f ca="1">IF(AND(Energy!$F$11=$A$3,Main!$B$43=A156),Weight!H33,G156)</f>
        <v>15</v>
      </c>
      <c r="H156" s="103">
        <f ca="1">IF(AND(Energy!$F$11=$A$3,Main!$B$43=A156),Weight!U33,H156)</f>
        <v>23.811386278405209</v>
      </c>
      <c r="I156" s="103">
        <f ca="1">IF(AND(Energy!$F$11=$A$3,Main!$B$43=A156),Weight!V33,I156)</f>
        <v>50.940997924265275</v>
      </c>
      <c r="J156" s="103">
        <f ca="1">IF(AND(Energy!$F$11=$A$3,Main!$B$43=A156),Weight!I33,J156)</f>
        <v>22.191963370860062</v>
      </c>
      <c r="K156" s="103">
        <f ca="1">IF(AND(Energy!$F$11=$A$3,Main!$B$43=A156),Weight!W33,K156)</f>
        <v>65.940997928760254</v>
      </c>
      <c r="L156" s="103">
        <f ca="1">IF(AND(Energy!$F$11=$A$3,Main!$B$43=A156),'Aerodynamics-Cruise'!BI33,L156)</f>
        <v>65.940997919737043</v>
      </c>
      <c r="M156" s="103">
        <f ca="1">IF(AND(Energy!$F$11=$A$3,Main!$B$43=A156),'Aerodynamics-Cruise'!BJ33,M156)</f>
        <v>3.0966988170599286</v>
      </c>
      <c r="N156" s="103">
        <f ca="1">IF(AND(Energy!$F$11=$A$3,Main!$B$43=A156),'Aerodynamics-Cruise'!BK33,N156)</f>
        <v>21.293965546944222</v>
      </c>
      <c r="O156" s="103">
        <f t="shared" ca="1" si="9"/>
        <v>172.91565124863487</v>
      </c>
      <c r="P156" s="103">
        <f ca="1">IF(AND(Energy!$F$11=$A$3,Main!$B$43=A156),'Aerodynamics-Cruise'!H33,P156)</f>
        <v>7.6189357841577703</v>
      </c>
      <c r="Q156" s="103">
        <f ca="1">IF(AND(Energy!$F$11=$A$3,Main!$B$43=A156),'Aerodynamics-Cruise'!I33,Q156)</f>
        <v>6.4140355340864188</v>
      </c>
      <c r="R156" s="103">
        <f ca="1">IF(AND(Energy!$F$11=$A$3,Main!$B$43=$A156),Summary!R33,R156)</f>
        <v>3.7757310435932472</v>
      </c>
      <c r="S156" s="103">
        <f ca="1">IF(AND(Energy!$F$11=$A$3,Main!$B$43=A156),'Aerodynamics-Cruise'!W33,S156)</f>
        <v>1</v>
      </c>
      <c r="T156" s="103">
        <f ca="1">IF(AND(Energy!$F$11=$A$3,Main!$B$43=A156),'Aerodynamics-Cruise'!BL33,T156)</f>
        <v>23.593549430056925</v>
      </c>
      <c r="U156" s="103">
        <f ca="1">IF(AND(Energy!$F$11=$A$3,Main!$B$43=A156),'Propulsion-Cruise'!M33,U156)</f>
        <v>53.676141761571358</v>
      </c>
      <c r="V156" s="103">
        <f ca="1">IF(AND(Energy!$F$11=$A$3,Main!$B$43=A156),Endurance!AP33,V156)</f>
        <v>529.69803955444945</v>
      </c>
      <c r="W156" s="103">
        <f ca="1">IF(AND(Energy!$F$11=$A$3,Main!$B$43=$A156),Summary!W33,W156)</f>
        <v>2.0959064327485377</v>
      </c>
      <c r="X156" s="13">
        <f ca="1">IF(AND(Energy!$F$11=$A$3,Main!$B$43=A156),Energy!D33,X156)</f>
        <v>956.39923793062871</v>
      </c>
      <c r="Y156" s="102">
        <f ca="1">IF(AND(Energy!$F$11=$A$3,Main!$B$43=A156),'Aerodynamics-Cruise'!V33,Y156)</f>
        <v>171809.4546794903</v>
      </c>
      <c r="Z156" s="102">
        <f ca="1">IF(AND(Energy!$F$11=$A$3,Main!$B$43=$A156),Summary!Z33,Z156)</f>
        <v>128165.57908367718</v>
      </c>
      <c r="AA156" s="102">
        <f ca="1">IF(AND(Energy!$F$11=$A$3,Main!$B$43=$A156),Summary!AA33,AA156)</f>
        <v>128165.57908367718</v>
      </c>
      <c r="AB156" s="103">
        <f ca="1">IF(AND(Energy!$F$11=$A$3,Main!$B$43=$A156),Summary!AB33,AB156)</f>
        <v>3.7757310435932472</v>
      </c>
      <c r="AC156" s="103">
        <f ca="1">IF(AND(Energy!$F$11=$A$3,Main!$B$43=$A156),Summary!AC33,AC156)</f>
        <v>1.8883033758145749</v>
      </c>
      <c r="AD156" s="103">
        <f ca="1">IF(AND(Energy!$F$11=$A$3,Main!$B$43=$A156),Summary!AD33,AD156)</f>
        <v>0.41880143844611939</v>
      </c>
      <c r="AE156" s="103">
        <f ca="1">IF(AND(Energy!$F$11=$A$3,Main!$B$43=$A156),Summary!AE33,AE156)</f>
        <v>2.0959064327485377</v>
      </c>
      <c r="AF156" s="103">
        <f ca="1">IF(AND(Energy!$F$11=$A$3,Main!$B$43=$A156),Summary!AF33,AF156)</f>
        <v>16.578947368421058</v>
      </c>
      <c r="AG156" s="103">
        <f ca="1">IF(AND(Energy!$F$11=$A$3,Main!$B$43=$A156),Summary!AG33,AG156)</f>
        <v>11.358066956288509</v>
      </c>
      <c r="AH156" s="103">
        <f ca="1">IF(AND(Energy!$F$11=$A$3,Main!$B$43=$A156),Summary!AH33,AH156)</f>
        <v>47</v>
      </c>
      <c r="AI156" s="103">
        <f ca="1">IF(AND(Energy!$F$11=$A$3,Main!$B$43=$A156),Summary!AI33,AI156)</f>
        <v>2.7655529267859542</v>
      </c>
      <c r="AJ156" s="103">
        <f ca="1">IF(AND(Energy!$F$11=$A$3,Main!$B$43=$A156),Summary!AJ33,AJ156)</f>
        <v>0.23130189391746081</v>
      </c>
      <c r="AK156" s="103">
        <f ca="1">IF(AND(Energy!$F$11=$A$3,Main!$B$43=$A156),Summary!AK33,AK156)</f>
        <v>0.01</v>
      </c>
      <c r="AL156" s="103">
        <f ca="1">IF(AND(Energy!$F$11=$A$3,Main!$B$43=$A156),Summary!AL33,AL156)</f>
        <v>-0.5404192482383956</v>
      </c>
      <c r="AM156" s="103">
        <f ca="1">IF(AND(Energy!$F$11=$A$3,Main!$B$43=$A156),Summary!AJ173,AM156)</f>
        <v>0</v>
      </c>
    </row>
    <row r="157" spans="1:39">
      <c r="A157">
        <f t="shared" si="10"/>
        <v>8</v>
      </c>
      <c r="D157" s="1">
        <f ca="1">IF(AND(Energy!$F$11=$A$3,Main!$B$43=A157),Main!C34,D157)</f>
        <v>6.052631578947369</v>
      </c>
      <c r="E157" s="103">
        <f ca="1">IF(AND(Energy!$F$11=$A$3,Main!$B$43=A157),Main!B34,E157)</f>
        <v>0.35555555555555546</v>
      </c>
      <c r="F157" s="103">
        <f ca="1">IF(Main!$D$6=1,U157,IF(Main!$D$6=2,N157,IF(Main!$D$6=3,K157,IF(Main!$D$6=4,V157,J157))))</f>
        <v>532.16294713545972</v>
      </c>
      <c r="G157" s="103">
        <f ca="1">IF(AND(Energy!$F$11=$A$3,Main!$B$43=A157),Weight!H34,G157)</f>
        <v>15</v>
      </c>
      <c r="H157" s="103">
        <f ca="1">IF(AND(Energy!$F$11=$A$3,Main!$B$43=A157),Weight!U34,H157)</f>
        <v>24.609534307849074</v>
      </c>
      <c r="I157" s="103">
        <f ca="1">IF(AND(Energy!$F$11=$A$3,Main!$B$43=A157),Weight!V34,I157)</f>
        <v>51.842414484857585</v>
      </c>
      <c r="J157" s="103">
        <f ca="1">IF(AND(Energy!$F$11=$A$3,Main!$B$43=A157),Weight!I34,J157)</f>
        <v>22.29523190200851</v>
      </c>
      <c r="K157" s="103">
        <f ca="1">IF(AND(Energy!$F$11=$A$3,Main!$B$43=A157),Weight!W34,K157)</f>
        <v>66.842414489695173</v>
      </c>
      <c r="L157" s="103">
        <f ca="1">IF(AND(Energy!$F$11=$A$3,Main!$B$43=A157),'Aerodynamics-Cruise'!BI34,L157)</f>
        <v>66.8424144799842</v>
      </c>
      <c r="M157" s="103">
        <f ca="1">IF(AND(Energy!$F$11=$A$3,Main!$B$43=A157),'Aerodynamics-Cruise'!BJ34,M157)</f>
        <v>3.1132075251138875</v>
      </c>
      <c r="N157" s="103">
        <f ca="1">IF(AND(Energy!$F$11=$A$3,Main!$B$43=A157),'Aerodynamics-Cruise'!BK34,N157)</f>
        <v>21.470593894166747</v>
      </c>
      <c r="O157" s="103">
        <f t="shared" ca="1" si="9"/>
        <v>175.53758618417189</v>
      </c>
      <c r="P157" s="103">
        <f ca="1">IF(AND(Energy!$F$11=$A$3,Main!$B$43=A157),'Aerodynamics-Cruise'!H34,P157)</f>
        <v>7.5700822706120041</v>
      </c>
      <c r="Q157" s="103">
        <f ca="1">IF(AND(Energy!$F$11=$A$3,Main!$B$43=A157),'Aerodynamics-Cruise'!I34,Q157)</f>
        <v>6.3746035610990983</v>
      </c>
      <c r="R157" s="103">
        <f ca="1">IF(AND(Energy!$F$11=$A$3,Main!$B$43=$A157),Summary!R34,R157)</f>
        <v>3.7802612423004516</v>
      </c>
      <c r="S157" s="103">
        <f ca="1">IF(AND(Energy!$F$11=$A$3,Main!$B$43=A157),'Aerodynamics-Cruise'!W34,S157)</f>
        <v>1</v>
      </c>
      <c r="T157" s="103">
        <f ca="1">IF(AND(Energy!$F$11=$A$3,Main!$B$43=A157),'Aerodynamics-Cruise'!BL34,T157)</f>
        <v>23.567237090600514</v>
      </c>
      <c r="U157" s="103">
        <f ca="1">IF(AND(Energy!$F$11=$A$3,Main!$B$43=A157),'Propulsion-Cruise'!M34,U157)</f>
        <v>53.761461319619215</v>
      </c>
      <c r="V157" s="103">
        <f ca="1">IF(AND(Energy!$F$11=$A$3,Main!$B$43=A157),Endurance!AP34,V157)</f>
        <v>532.16294713545972</v>
      </c>
      <c r="W157" s="103">
        <f ca="1">IF(AND(Energy!$F$11=$A$3,Main!$B$43=$A157),Summary!W34,W157)</f>
        <v>2.1520467836257304</v>
      </c>
      <c r="X157" s="13">
        <f ca="1">IF(AND(Energy!$F$11=$A$3,Main!$B$43=A157),Energy!D34,X157)</f>
        <v>960.84976549646933</v>
      </c>
      <c r="Y157" s="102">
        <f ca="1">IF(AND(Energy!$F$11=$A$3,Main!$B$43=A157),'Aerodynamics-Cruise'!V34,Y157)</f>
        <v>170707.79222173238</v>
      </c>
      <c r="Z157" s="102">
        <f ca="1">IF(AND(Energy!$F$11=$A$3,Main!$B$43=$A157),Summary!Z34,Z157)</f>
        <v>127376.32539081783</v>
      </c>
      <c r="AA157" s="102">
        <f ca="1">IF(AND(Energy!$F$11=$A$3,Main!$B$43=$A157),Summary!AA34,AA157)</f>
        <v>127376.32539081783</v>
      </c>
      <c r="AB157" s="103">
        <f ca="1">IF(AND(Energy!$F$11=$A$3,Main!$B$43=$A157),Summary!AB34,AB157)</f>
        <v>3.7802612423004516</v>
      </c>
      <c r="AC157" s="103">
        <f ca="1">IF(AND(Energy!$F$11=$A$3,Main!$B$43=$A157),Summary!AC34,AC157)</f>
        <v>1.8515049886157182</v>
      </c>
      <c r="AD157" s="103">
        <f ca="1">IF(AND(Energy!$F$11=$A$3,Main!$B$43=$A157),Summary!AD34,AD157)</f>
        <v>0.41836070596613728</v>
      </c>
      <c r="AE157" s="103">
        <f ca="1">IF(AND(Energy!$F$11=$A$3,Main!$B$43=$A157),Summary!AE34,AE157)</f>
        <v>2.1520467836257304</v>
      </c>
      <c r="AF157" s="103">
        <f ca="1">IF(AND(Energy!$F$11=$A$3,Main!$B$43=$A157),Summary!AF34,AF157)</f>
        <v>17.023026315789483</v>
      </c>
      <c r="AG157" s="103">
        <f ca="1">IF(AND(Energy!$F$11=$A$3,Main!$B$43=$A157),Summary!AG34,AG157)</f>
        <v>11.376308265154227</v>
      </c>
      <c r="AH157" s="103">
        <f ca="1">IF(AND(Energy!$F$11=$A$3,Main!$B$43=$A157),Summary!AH34,AH157)</f>
        <v>47</v>
      </c>
      <c r="AI157" s="103">
        <f ca="1">IF(AND(Energy!$F$11=$A$3,Main!$B$43=$A157),Summary!AI34,AI157)</f>
        <v>2.7640819057806554</v>
      </c>
      <c r="AJ157" s="103">
        <f ca="1">IF(AND(Energy!$F$11=$A$3,Main!$B$43=$A157),Summary!AJ34,AJ157)</f>
        <v>0.23170427018984796</v>
      </c>
      <c r="AK157" s="103">
        <f ca="1">IF(AND(Energy!$F$11=$A$3,Main!$B$43=$A157),Summary!AK34,AK157)</f>
        <v>0.01</v>
      </c>
      <c r="AL157" s="103">
        <f ca="1">IF(AND(Energy!$F$11=$A$3,Main!$B$43=$A157),Summary!AL34,AL157)</f>
        <v>-0.53948075778186677</v>
      </c>
      <c r="AM157" s="103">
        <f ca="1">IF(AND(Energy!$F$11=$A$3,Main!$B$43=$A157),Summary!AJ174,AM157)</f>
        <v>0</v>
      </c>
    </row>
    <row r="158" spans="1:39">
      <c r="A158">
        <f t="shared" si="10"/>
        <v>8</v>
      </c>
      <c r="D158" s="1">
        <f ca="1">IF(AND(Energy!$F$11=$A$3,Main!$B$43=A158),Main!C35,D158)</f>
        <v>6.2105263157894743</v>
      </c>
      <c r="E158" s="103">
        <f ca="1">IF(AND(Energy!$F$11=$A$3,Main!$B$43=A158),Main!B35,E158)</f>
        <v>0.35555555555555546</v>
      </c>
      <c r="F158" s="103">
        <f ca="1">IF(Main!$D$6=1,U158,IF(Main!$D$6=2,N158,IF(Main!$D$6=3,K158,IF(Main!$D$6=4,V158,J158))))</f>
        <v>535.22429528526902</v>
      </c>
      <c r="G158" s="103">
        <f ca="1">IF(AND(Energy!$F$11=$A$3,Main!$B$43=A158),Weight!H35,G158)</f>
        <v>15</v>
      </c>
      <c r="H158" s="103">
        <f ca="1">IF(AND(Energy!$F$11=$A$3,Main!$B$43=A158),Weight!U35,H158)</f>
        <v>25.429952775028823</v>
      </c>
      <c r="I158" s="103">
        <f ca="1">IF(AND(Energy!$F$11=$A$3,Main!$B$43=A158),Weight!V35,I158)</f>
        <v>52.791089658069922</v>
      </c>
      <c r="J158" s="103">
        <f ca="1">IF(AND(Energy!$F$11=$A$3,Main!$B$43=A158),Weight!I35,J158)</f>
        <v>22.423488608041094</v>
      </c>
      <c r="K158" s="103">
        <f ca="1">IF(AND(Energy!$F$11=$A$3,Main!$B$43=A158),Weight!W35,K158)</f>
        <v>67.791089663266888</v>
      </c>
      <c r="L158" s="103">
        <f ca="1">IF(AND(Energy!$F$11=$A$3,Main!$B$43=A158),'Aerodynamics-Cruise'!BI35,L158)</f>
        <v>67.791089652834515</v>
      </c>
      <c r="M158" s="103">
        <f ca="1">IF(AND(Energy!$F$11=$A$3,Main!$B$43=A158),'Aerodynamics-Cruise'!BJ35,M158)</f>
        <v>3.1321396520967189</v>
      </c>
      <c r="N158" s="103">
        <f ca="1">IF(AND(Energy!$F$11=$A$3,Main!$B$43=A158),'Aerodynamics-Cruise'!BK35,N158)</f>
        <v>21.643699573693581</v>
      </c>
      <c r="O158" s="103">
        <f t="shared" ca="1" si="9"/>
        <v>178.20414621463354</v>
      </c>
      <c r="P158" s="103">
        <f ca="1">IF(AND(Energy!$F$11=$A$3,Main!$B$43=A158),'Aerodynamics-Cruise'!H35,P158)</f>
        <v>7.5260449146278088</v>
      </c>
      <c r="Q158" s="103">
        <f ca="1">IF(AND(Energy!$F$11=$A$3,Main!$B$43=A158),'Aerodynamics-Cruise'!I35,Q158)</f>
        <v>6.339050465626701</v>
      </c>
      <c r="R158" s="103">
        <f ca="1">IF(AND(Energy!$F$11=$A$3,Main!$B$43=$A158),Summary!R35,R158)</f>
        <v>3.79131764452266</v>
      </c>
      <c r="S158" s="103">
        <f ca="1">IF(AND(Energy!$F$11=$A$3,Main!$B$43=A158),'Aerodynamics-Cruise'!W35,S158)</f>
        <v>1</v>
      </c>
      <c r="T158" s="103">
        <f ca="1">IF(AND(Energy!$F$11=$A$3,Main!$B$43=A158),'Aerodynamics-Cruise'!BL35,T158)</f>
        <v>23.572623700566623</v>
      </c>
      <c r="U158" s="103">
        <f ca="1">IF(AND(Energy!$F$11=$A$3,Main!$B$43=A158),'Propulsion-Cruise'!M35,U158)</f>
        <v>53.909403152887378</v>
      </c>
      <c r="V158" s="103">
        <f ca="1">IF(AND(Energy!$F$11=$A$3,Main!$B$43=A158),Endurance!AP35,V158)</f>
        <v>535.22429528526902</v>
      </c>
      <c r="W158" s="103">
        <f ca="1">IF(AND(Energy!$F$11=$A$3,Main!$B$43=$A158),Summary!W35,W158)</f>
        <v>2.2081871345029236</v>
      </c>
      <c r="X158" s="13">
        <f ca="1">IF(AND(Energy!$F$11=$A$3,Main!$B$43=A158),Energy!D35,X158)</f>
        <v>966.37719964438577</v>
      </c>
      <c r="Y158" s="102">
        <f ca="1">IF(AND(Energy!$F$11=$A$3,Main!$B$43=A158),'Aerodynamics-Cruise'!V35,Y158)</f>
        <v>169714.73566744255</v>
      </c>
      <c r="Z158" s="102">
        <f ca="1">IF(AND(Energy!$F$11=$A$3,Main!$B$43=$A158),Summary!Z35,Z158)</f>
        <v>126664.71626706986</v>
      </c>
      <c r="AA158" s="102">
        <f ca="1">IF(AND(Energy!$F$11=$A$3,Main!$B$43=$A158),Summary!AA35,AA158)</f>
        <v>126664.71626706986</v>
      </c>
      <c r="AB158" s="103">
        <f ca="1">IF(AND(Energy!$F$11=$A$3,Main!$B$43=$A158),Summary!AB35,AB158)</f>
        <v>3.79131764452266</v>
      </c>
      <c r="AC158" s="103">
        <f ca="1">IF(AND(Energy!$F$11=$A$3,Main!$B$43=$A158),Summary!AC35,AC158)</f>
        <v>1.8150680659466694</v>
      </c>
      <c r="AD158" s="103">
        <f ca="1">IF(AND(Energy!$F$11=$A$3,Main!$B$43=$A158),Summary!AD35,AD158)</f>
        <v>0.41814353686153821</v>
      </c>
      <c r="AE158" s="103">
        <f ca="1">IF(AND(Energy!$F$11=$A$3,Main!$B$43=$A158),Summary!AE35,AE158)</f>
        <v>2.2081871345029236</v>
      </c>
      <c r="AF158" s="103">
        <f ca="1">IF(AND(Energy!$F$11=$A$3,Main!$B$43=$A158),Summary!AF35,AF158)</f>
        <v>17.467105263157904</v>
      </c>
      <c r="AG158" s="103">
        <f ca="1">IF(AND(Energy!$F$11=$A$3,Main!$B$43=$A158),Summary!AG35,AG158)</f>
        <v>11.402236799577382</v>
      </c>
      <c r="AH158" s="103">
        <f ca="1">IF(AND(Energy!$F$11=$A$3,Main!$B$43=$A158),Summary!AH35,AH158)</f>
        <v>47</v>
      </c>
      <c r="AI158" s="103">
        <f ca="1">IF(AND(Energy!$F$11=$A$3,Main!$B$43=$A158),Summary!AI35,AI158)</f>
        <v>2.7627479441672818</v>
      </c>
      <c r="AJ158" s="103">
        <f ca="1">IF(AND(Energy!$F$11=$A$3,Main!$B$43=$A158),Summary!AJ35,AJ158)</f>
        <v>0.23207269417402002</v>
      </c>
      <c r="AK158" s="103">
        <f ca="1">IF(AND(Energy!$F$11=$A$3,Main!$B$43=$A158),Summary!AK35,AK158)</f>
        <v>0.01</v>
      </c>
      <c r="AL158" s="103">
        <f ca="1">IF(AND(Energy!$F$11=$A$3,Main!$B$43=$A158),Summary!AL35,AL158)</f>
        <v>-0.53862431055128979</v>
      </c>
      <c r="AM158" s="103">
        <f ca="1">IF(AND(Energy!$F$11=$A$3,Main!$B$43=$A158),Summary!AJ175,AM158)</f>
        <v>0</v>
      </c>
    </row>
    <row r="159" spans="1:39">
      <c r="A159">
        <f t="shared" si="10"/>
        <v>8</v>
      </c>
      <c r="D159" s="1">
        <f ca="1">IF(AND(Energy!$F$11=$A$3,Main!$B$43=A159),Main!C36,D159)</f>
        <v>6.3684210526315796</v>
      </c>
      <c r="E159" s="103">
        <f ca="1">IF(AND(Energy!$F$11=$A$3,Main!$B$43=A159),Main!B36,E159)</f>
        <v>0.35555555555555546</v>
      </c>
      <c r="F159" s="103">
        <f ca="1">IF(Main!$D$6=1,U159,IF(Main!$D$6=2,N159,IF(Main!$D$6=3,K159,IF(Main!$D$6=4,V159,J159))))</f>
        <v>538.84112274923859</v>
      </c>
      <c r="G159" s="103">
        <f ca="1">IF(AND(Energy!$F$11=$A$3,Main!$B$43=A159),Weight!H36,G159)</f>
        <v>15</v>
      </c>
      <c r="H159" s="103">
        <f ca="1">IF(AND(Energy!$F$11=$A$3,Main!$B$43=A159),Weight!U36,H159)</f>
        <v>26.272788821749657</v>
      </c>
      <c r="I159" s="103">
        <f ca="1">IF(AND(Energy!$F$11=$A$3,Main!$B$43=A159),Weight!V36,I159)</f>
        <v>53.785454493525862</v>
      </c>
      <c r="J159" s="103">
        <f ca="1">IF(AND(Energy!$F$11=$A$3,Main!$B$43=A159),Weight!I36,J159)</f>
        <v>22.575017396776207</v>
      </c>
      <c r="K159" s="103">
        <f ca="1">IF(AND(Energy!$F$11=$A$3,Main!$B$43=A159),Weight!W36,K159)</f>
        <v>68.785454499100879</v>
      </c>
      <c r="L159" s="103">
        <f ca="1">IF(AND(Energy!$F$11=$A$3,Main!$B$43=A159),'Aerodynamics-Cruise'!BI36,L159)</f>
        <v>68.785454487909689</v>
      </c>
      <c r="M159" s="103">
        <f ca="1">IF(AND(Energy!$F$11=$A$3,Main!$B$43=A159),'Aerodynamics-Cruise'!BJ36,M159)</f>
        <v>3.1533186649613554</v>
      </c>
      <c r="N159" s="103">
        <f ca="1">IF(AND(Energy!$F$11=$A$3,Main!$B$43=A159),'Aerodynamics-Cruise'!BK36,N159)</f>
        <v>21.813670547233663</v>
      </c>
      <c r="O159" s="103">
        <f t="shared" ca="1" si="9"/>
        <v>180.91603257645414</v>
      </c>
      <c r="P159" s="103">
        <f ca="1">IF(AND(Energy!$F$11=$A$3,Main!$B$43=A159),'Aerodynamics-Cruise'!H36,P159)</f>
        <v>7.4864393926394763</v>
      </c>
      <c r="Q159" s="103">
        <f ca="1">IF(AND(Energy!$F$11=$A$3,Main!$B$43=A159),'Aerodynamics-Cruise'!I36,Q159)</f>
        <v>6.3070686441905632</v>
      </c>
      <c r="R159" s="103">
        <f ca="1">IF(AND(Energy!$F$11=$A$3,Main!$B$43=$A159),Summary!R36,R159)</f>
        <v>3.8084666948168131</v>
      </c>
      <c r="S159" s="103">
        <f ca="1">IF(AND(Energy!$F$11=$A$3,Main!$B$43=A159),'Aerodynamics-Cruise'!W36,S159)</f>
        <v>1</v>
      </c>
      <c r="T159" s="103">
        <f ca="1">IF(AND(Energy!$F$11=$A$3,Main!$B$43=A159),'Aerodynamics-Cruise'!BL36,T159)</f>
        <v>23.607129070912013</v>
      </c>
      <c r="U159" s="103">
        <f ca="1">IF(AND(Energy!$F$11=$A$3,Main!$B$43=A159),'Propulsion-Cruise'!M36,U159)</f>
        <v>54.11523957385603</v>
      </c>
      <c r="V159" s="103">
        <f ca="1">IF(AND(Energy!$F$11=$A$3,Main!$B$43=A159),Endurance!AP36,V159)</f>
        <v>538.84112274923859</v>
      </c>
      <c r="W159" s="103">
        <f ca="1">IF(AND(Energy!$F$11=$A$3,Main!$B$43=$A159),Summary!W36,W159)</f>
        <v>2.2643274853801167</v>
      </c>
      <c r="X159" s="13">
        <f ca="1">IF(AND(Energy!$F$11=$A$3,Main!$B$43=A159),Energy!D36,X159)</f>
        <v>972.90758255344497</v>
      </c>
      <c r="Y159" s="102">
        <f ca="1">IF(AND(Energy!$F$11=$A$3,Main!$B$43=A159),'Aerodynamics-Cruise'!V36,Y159)</f>
        <v>168821.61839648971</v>
      </c>
      <c r="Z159" s="102">
        <f ca="1">IF(AND(Energy!$F$11=$A$3,Main!$B$43=$A159),Summary!Z36,Z159)</f>
        <v>126024.59281928466</v>
      </c>
      <c r="AA159" s="102">
        <f ca="1">IF(AND(Energy!$F$11=$A$3,Main!$B$43=$A159),Summary!AA36,AA159)</f>
        <v>126024.59281928466</v>
      </c>
      <c r="AB159" s="103">
        <f ca="1">IF(AND(Energy!$F$11=$A$3,Main!$B$43=$A159),Summary!AB36,AB159)</f>
        <v>3.8084666948168131</v>
      </c>
      <c r="AC159" s="103">
        <f ca="1">IF(AND(Energy!$F$11=$A$3,Main!$B$43=$A159),Summary!AC36,AC159)</f>
        <v>1.7790482324780783</v>
      </c>
      <c r="AD159" s="103">
        <f ca="1">IF(AND(Energy!$F$11=$A$3,Main!$B$43=$A159),Summary!AD36,AD159)</f>
        <v>0.41813238704312394</v>
      </c>
      <c r="AE159" s="103">
        <f ca="1">IF(AND(Energy!$F$11=$A$3,Main!$B$43=$A159),Summary!AE36,AE159)</f>
        <v>2.2643274853801167</v>
      </c>
      <c r="AF159" s="103">
        <f ca="1">IF(AND(Energy!$F$11=$A$3,Main!$B$43=$A159),Summary!AF36,AF159)</f>
        <v>17.911184210526322</v>
      </c>
      <c r="AG159" s="103">
        <f ca="1">IF(AND(Energy!$F$11=$A$3,Main!$B$43=$A159),Summary!AG36,AG159)</f>
        <v>11.435256191172604</v>
      </c>
      <c r="AH159" s="103">
        <f ca="1">IF(AND(Energy!$F$11=$A$3,Main!$B$43=$A159),Summary!AH36,AH159)</f>
        <v>47</v>
      </c>
      <c r="AI159" s="103">
        <f ca="1">IF(AND(Energy!$F$11=$A$3,Main!$B$43=$A159),Summary!AI36,AI159)</f>
        <v>2.7615415492539999</v>
      </c>
      <c r="AJ159" s="103">
        <f ca="1">IF(AND(Energy!$F$11=$A$3,Main!$B$43=$A159),Summary!AJ36,AJ159)</f>
        <v>0.23240949597955415</v>
      </c>
      <c r="AK159" s="103">
        <f ca="1">IF(AND(Energy!$F$11=$A$3,Main!$B$43=$A159),Summary!AK36,AK159)</f>
        <v>0.01</v>
      </c>
      <c r="AL159" s="103">
        <f ca="1">IF(AND(Energy!$F$11=$A$3,Main!$B$43=$A159),Summary!AL36,AL159)</f>
        <v>-0.53784374860751316</v>
      </c>
      <c r="AM159" s="103">
        <f ca="1">IF(AND(Energy!$F$11=$A$3,Main!$B$43=$A159),Summary!AJ176,AM159)</f>
        <v>0</v>
      </c>
    </row>
    <row r="160" spans="1:39">
      <c r="A160">
        <f t="shared" si="10"/>
        <v>8</v>
      </c>
      <c r="D160" s="1">
        <f ca="1">IF(AND(Energy!$F$11=$A$3,Main!$B$43=A160),Main!C37,D160)</f>
        <v>6.526315789473685</v>
      </c>
      <c r="E160" s="103">
        <f ca="1">IF(AND(Energy!$F$11=$A$3,Main!$B$43=A160),Main!B37,E160)</f>
        <v>0.35555555555555546</v>
      </c>
      <c r="F160" s="103">
        <f ca="1">IF(Main!$D$6=1,U160,IF(Main!$D$6=2,N160,IF(Main!$D$6=3,K160,IF(Main!$D$6=4,V160,J160))))</f>
        <v>542.97866198741497</v>
      </c>
      <c r="G160" s="103">
        <f ca="1">IF(AND(Energy!$F$11=$A$3,Main!$B$43=A160),Weight!H37,G160)</f>
        <v>15</v>
      </c>
      <c r="H160" s="103">
        <f ca="1">IF(AND(Energy!$F$11=$A$3,Main!$B$43=A160),Weight!U37,H160)</f>
        <v>27.138217969648267</v>
      </c>
      <c r="I160" s="103">
        <f ca="1">IF(AND(Energy!$F$11=$A$3,Main!$B$43=A160),Weight!V37,I160)</f>
        <v>54.824227909444204</v>
      </c>
      <c r="J160" s="103">
        <f ca="1">IF(AND(Energy!$F$11=$A$3,Main!$B$43=A160),Weight!I37,J160)</f>
        <v>22.748361664795937</v>
      </c>
      <c r="K160" s="103">
        <f ca="1">IF(AND(Energy!$F$11=$A$3,Main!$B$43=A160),Weight!W37,K160)</f>
        <v>69.824227915417794</v>
      </c>
      <c r="L160" s="103">
        <f ca="1">IF(AND(Energy!$F$11=$A$3,Main!$B$43=A160),'Aerodynamics-Cruise'!BI37,L160)</f>
        <v>69.824227903426504</v>
      </c>
      <c r="M160" s="103">
        <f ca="1">IF(AND(Energy!$F$11=$A$3,Main!$B$43=A160),'Aerodynamics-Cruise'!BJ37,M160)</f>
        <v>3.17659194022451</v>
      </c>
      <c r="N160" s="103">
        <f ca="1">IF(AND(Energy!$F$11=$A$3,Main!$B$43=A160),'Aerodynamics-Cruise'!BK37,N160)</f>
        <v>21.980861633267125</v>
      </c>
      <c r="O160" s="103">
        <f t="shared" ca="1" si="9"/>
        <v>183.67404205911291</v>
      </c>
      <c r="P160" s="103">
        <f ca="1">IF(AND(Energy!$F$11=$A$3,Main!$B$43=A160),'Aerodynamics-Cruise'!H37,P160)</f>
        <v>7.450925848152198</v>
      </c>
      <c r="Q160" s="103">
        <f ca="1">IF(AND(Energy!$F$11=$A$3,Main!$B$43=A160),'Aerodynamics-Cruise'!I37,Q160)</f>
        <v>6.2783858875206189</v>
      </c>
      <c r="R160" s="103">
        <f ca="1">IF(AND(Energy!$F$11=$A$3,Main!$B$43=$A160),Summary!R37,R160)</f>
        <v>3.8313493645977745</v>
      </c>
      <c r="S160" s="103">
        <f ca="1">IF(AND(Energy!$F$11=$A$3,Main!$B$43=A160),'Aerodynamics-Cruise'!W37,S160)</f>
        <v>1</v>
      </c>
      <c r="T160" s="103">
        <f ca="1">IF(AND(Energy!$F$11=$A$3,Main!$B$43=A160),'Aerodynamics-Cruise'!BL37,T160)</f>
        <v>23.668550996450744</v>
      </c>
      <c r="U160" s="103">
        <f ca="1">IF(AND(Energy!$F$11=$A$3,Main!$B$43=A160),'Propulsion-Cruise'!M37,U160)</f>
        <v>54.3749398091609</v>
      </c>
      <c r="V160" s="103">
        <f ca="1">IF(AND(Energy!$F$11=$A$3,Main!$B$43=A160),Endurance!AP37,V160)</f>
        <v>542.97866198741497</v>
      </c>
      <c r="W160" s="103">
        <f ca="1">IF(AND(Energy!$F$11=$A$3,Main!$B$43=$A160),Summary!W37,W160)</f>
        <v>2.3204678362573095</v>
      </c>
      <c r="X160" s="13">
        <f ca="1">IF(AND(Energy!$F$11=$A$3,Main!$B$43=A160),Energy!D37,X160)</f>
        <v>980.37813949867109</v>
      </c>
      <c r="Y160" s="102">
        <f ca="1">IF(AND(Energy!$F$11=$A$3,Main!$B$43=A160),'Aerodynamics-Cruise'!V37,Y160)</f>
        <v>168020.77653550665</v>
      </c>
      <c r="Z160" s="102">
        <f ca="1">IF(AND(Energy!$F$11=$A$3,Main!$B$43=$A160),Summary!Z37,Z160)</f>
        <v>125450.50497769249</v>
      </c>
      <c r="AA160" s="102">
        <f ca="1">IF(AND(Energy!$F$11=$A$3,Main!$B$43=$A160),Summary!AA37,AA160)</f>
        <v>125450.50497769249</v>
      </c>
      <c r="AB160" s="103">
        <f ca="1">IF(AND(Energy!$F$11=$A$3,Main!$B$43=$A160),Summary!AB37,AB160)</f>
        <v>3.8313493645977745</v>
      </c>
      <c r="AC160" s="103">
        <f ca="1">IF(AND(Energy!$F$11=$A$3,Main!$B$43=$A160),Summary!AC37,AC160)</f>
        <v>1.7434893605029707</v>
      </c>
      <c r="AD160" s="103">
        <f ca="1">IF(AND(Energy!$F$11=$A$3,Main!$B$43=$A160),Summary!AD37,AD160)</f>
        <v>0.4183118165993816</v>
      </c>
      <c r="AE160" s="103">
        <f ca="1">IF(AND(Energy!$F$11=$A$3,Main!$B$43=$A160),Summary!AE37,AE160)</f>
        <v>2.3204678362573095</v>
      </c>
      <c r="AF160" s="103">
        <f ca="1">IF(AND(Energy!$F$11=$A$3,Main!$B$43=$A160),Summary!AF37,AF160)</f>
        <v>18.355263157894743</v>
      </c>
      <c r="AG160" s="103">
        <f ca="1">IF(AND(Energy!$F$11=$A$3,Main!$B$43=$A160),Summary!AG37,AG160)</f>
        <v>11.474849901763683</v>
      </c>
      <c r="AH160" s="103">
        <f ca="1">IF(AND(Energy!$F$11=$A$3,Main!$B$43=$A160),Summary!AH37,AH160)</f>
        <v>47</v>
      </c>
      <c r="AI160" s="103">
        <f ca="1">IF(AND(Energy!$F$11=$A$3,Main!$B$43=$A160),Summary!AI37,AI160)</f>
        <v>2.760454184606743</v>
      </c>
      <c r="AJ160" s="103">
        <f ca="1">IF(AND(Energy!$F$11=$A$3,Main!$B$43=$A160),Summary!AJ37,AJ160)</f>
        <v>0.23271678480556915</v>
      </c>
      <c r="AK160" s="103">
        <f ca="1">IF(AND(Energy!$F$11=$A$3,Main!$B$43=$A160),Summary!AK37,AK160)</f>
        <v>0.01</v>
      </c>
      <c r="AL160" s="103">
        <f ca="1">IF(AND(Energy!$F$11=$A$3,Main!$B$43=$A160),Summary!AL37,AL160)</f>
        <v>-0.53713355598953716</v>
      </c>
      <c r="AM160" s="103">
        <f ca="1">IF(AND(Energy!$F$11=$A$3,Main!$B$43=$A160),Summary!AJ177,AM160)</f>
        <v>0</v>
      </c>
    </row>
    <row r="161" spans="1:39">
      <c r="A161">
        <f t="shared" si="10"/>
        <v>8</v>
      </c>
      <c r="D161" s="1">
        <f ca="1">IF(AND(Energy!$F$11=$A$3,Main!$B$43=A161),Main!C38,D161)</f>
        <v>6.6842105263157903</v>
      </c>
      <c r="E161" s="103">
        <f ca="1">IF(AND(Energy!$F$11=$A$3,Main!$B$43=A161),Main!B38,E161)</f>
        <v>0.35555555555555546</v>
      </c>
      <c r="F161" s="103">
        <f ca="1">IF(Main!$D$6=1,U161,IF(Main!$D$6=2,N161,IF(Main!$D$6=3,K161,IF(Main!$D$6=4,V161,J161))))</f>
        <v>547.60730894226515</v>
      </c>
      <c r="G161" s="103">
        <f ca="1">IF(AND(Energy!$F$11=$A$3,Main!$B$43=A161),Weight!H38,G161)</f>
        <v>15</v>
      </c>
      <c r="H161" s="103">
        <f ca="1">IF(AND(Energy!$F$11=$A$3,Main!$B$43=A161),Weight!U38,H161)</f>
        <v>28.026439929961256</v>
      </c>
      <c r="I161" s="103">
        <f ca="1">IF(AND(Energy!$F$11=$A$3,Main!$B$43=A161),Weight!V38,I161)</f>
        <v>55.906369340313148</v>
      </c>
      <c r="J161" s="103">
        <f ca="1">IF(AND(Energy!$F$11=$A$3,Main!$B$43=A161),Weight!I38,J161)</f>
        <v>22.942281135351891</v>
      </c>
      <c r="K161" s="103">
        <f ca="1">IF(AND(Energy!$F$11=$A$3,Main!$B$43=A161),Weight!W38,K161)</f>
        <v>70.906369346707933</v>
      </c>
      <c r="L161" s="103">
        <f ca="1">IF(AND(Energy!$F$11=$A$3,Main!$B$43=A161),'Aerodynamics-Cruise'!BI38,L161)</f>
        <v>70.906369333871126</v>
      </c>
      <c r="M161" s="103">
        <f ca="1">IF(AND(Energy!$F$11=$A$3,Main!$B$43=A161),'Aerodynamics-Cruise'!BJ38,M161)</f>
        <v>3.2018269334763021</v>
      </c>
      <c r="N161" s="103">
        <f ca="1">IF(AND(Energy!$F$11=$A$3,Main!$B$43=A161),'Aerodynamics-Cruise'!BK38,N161)</f>
        <v>22.145597125353163</v>
      </c>
      <c r="O161" s="103">
        <f t="shared" ca="1" si="9"/>
        <v>186.47903759896204</v>
      </c>
      <c r="P161" s="103">
        <f ca="1">IF(AND(Energy!$F$11=$A$3,Main!$B$43=A161),'Aerodynamics-Cruise'!H38,P161)</f>
        <v>7.4192023206621318</v>
      </c>
      <c r="Q161" s="103">
        <f ca="1">IF(AND(Energy!$F$11=$A$3,Main!$B$43=A161),'Aerodynamics-Cruise'!I38,Q161)</f>
        <v>6.2527601671701154</v>
      </c>
      <c r="R161" s="103">
        <f ca="1">IF(AND(Energy!$F$11=$A$3,Main!$B$43=$A161),Summary!R38,R161)</f>
        <v>3.8596685170279579</v>
      </c>
      <c r="S161" s="103">
        <f ca="1">IF(AND(Energy!$F$11=$A$3,Main!$B$43=A161),'Aerodynamics-Cruise'!W38,S161)</f>
        <v>1</v>
      </c>
      <c r="T161" s="103">
        <f ca="1">IF(AND(Energy!$F$11=$A$3,Main!$B$43=A161),'Aerodynamics-Cruise'!BL38,T161)</f>
        <v>23.755001815205897</v>
      </c>
      <c r="U161" s="103">
        <f ca="1">IF(AND(Energy!$F$11=$A$3,Main!$B$43=A161),'Propulsion-Cruise'!M38,U161)</f>
        <v>54.6850538792661</v>
      </c>
      <c r="V161" s="103">
        <f ca="1">IF(AND(Energy!$F$11=$A$3,Main!$B$43=A161),Endurance!AP38,V161)</f>
        <v>547.60730894226515</v>
      </c>
      <c r="W161" s="103">
        <f ca="1">IF(AND(Energy!$F$11=$A$3,Main!$B$43=$A161),Summary!W38,W161)</f>
        <v>2.3766081871345026</v>
      </c>
      <c r="X161" s="13">
        <f ca="1">IF(AND(Energy!$F$11=$A$3,Main!$B$43=A161),Energy!D38,X161)</f>
        <v>988.73541870945587</v>
      </c>
      <c r="Y161" s="102">
        <f ca="1">IF(AND(Energy!$F$11=$A$3,Main!$B$43=A161),'Aerodynamics-Cruise'!V38,Y161)</f>
        <v>167305.40077792233</v>
      </c>
      <c r="Z161" s="102">
        <f ca="1">IF(AND(Energy!$F$11=$A$3,Main!$B$43=$A161),Summary!Z38,Z161)</f>
        <v>124937.60707656881</v>
      </c>
      <c r="AA161" s="102">
        <f ca="1">IF(AND(Energy!$F$11=$A$3,Main!$B$43=$A161),Summary!AA38,AA161)</f>
        <v>124937.60707656881</v>
      </c>
      <c r="AB161" s="103">
        <f ca="1">IF(AND(Energy!$F$11=$A$3,Main!$B$43=$A161),Summary!AB38,AB161)</f>
        <v>3.8596685170279579</v>
      </c>
      <c r="AC161" s="103">
        <f ca="1">IF(AND(Energy!$F$11=$A$3,Main!$B$43=$A161),Summary!AC38,AC161)</f>
        <v>1.7084257356396317</v>
      </c>
      <c r="AD161" s="103">
        <f ca="1">IF(AND(Energy!$F$11=$A$3,Main!$B$43=$A161),Summary!AD38,AD161)</f>
        <v>0.41866817275269275</v>
      </c>
      <c r="AE161" s="103">
        <f ca="1">IF(AND(Energy!$F$11=$A$3,Main!$B$43=$A161),Summary!AE38,AE161)</f>
        <v>2.3766081871345026</v>
      </c>
      <c r="AF161" s="103">
        <f ca="1">IF(AND(Energy!$F$11=$A$3,Main!$B$43=$A161),Summary!AF38,AF161)</f>
        <v>18.799342105263165</v>
      </c>
      <c r="AG161" s="103">
        <f ca="1">IF(AND(Energy!$F$11=$A$3,Main!$B$43=$A161),Summary!AG38,AG161)</f>
        <v>11.52056844000453</v>
      </c>
      <c r="AH161" s="103">
        <f ca="1">IF(AND(Energy!$F$11=$A$3,Main!$B$43=$A161),Summary!AH38,AH161)</f>
        <v>47</v>
      </c>
      <c r="AI161" s="103">
        <f ca="1">IF(AND(Energy!$F$11=$A$3,Main!$B$43=$A161),Summary!AI38,AI161)</f>
        <v>2.7594781391764336</v>
      </c>
      <c r="AJ161" s="103">
        <f ca="1">IF(AND(Energy!$F$11=$A$3,Main!$B$43=$A161),Summary!AJ38,AJ161)</f>
        <v>0.23299647669123305</v>
      </c>
      <c r="AK161" s="103">
        <f ca="1">IF(AND(Energy!$F$11=$A$3,Main!$B$43=$A161),Summary!AK38,AK161)</f>
        <v>0.01</v>
      </c>
      <c r="AL161" s="103">
        <f ca="1">IF(AND(Energy!$F$11=$A$3,Main!$B$43=$A161),Summary!AL38,AL161)</f>
        <v>-0.53648877256539329</v>
      </c>
      <c r="AM161" s="103">
        <f ca="1">IF(AND(Energy!$F$11=$A$3,Main!$B$43=$A161),Summary!AJ178,AM161)</f>
        <v>0</v>
      </c>
    </row>
    <row r="162" spans="1:39">
      <c r="A162">
        <f t="shared" si="10"/>
        <v>8</v>
      </c>
      <c r="D162" s="1">
        <f ca="1">IF(AND(Energy!$F$11=$A$3,Main!$B$43=A162),Main!C39,D162)</f>
        <v>6.8421052631578956</v>
      </c>
      <c r="E162" s="103">
        <f ca="1">IF(AND(Energy!$F$11=$A$3,Main!$B$43=A162),Main!B39,E162)</f>
        <v>0.35555555555555546</v>
      </c>
      <c r="F162" s="103">
        <f ca="1">IF(Main!$D$6=1,U162,IF(Main!$D$6=2,N162,IF(Main!$D$6=3,K162,IF(Main!$D$6=4,V162,J162))))</f>
        <v>552.70179436351702</v>
      </c>
      <c r="G162" s="103">
        <f ca="1">IF(AND(Energy!$F$11=$A$3,Main!$B$43=A162),Weight!H39,G162)</f>
        <v>15</v>
      </c>
      <c r="H162" s="103">
        <f ca="1">IF(AND(Energy!$F$11=$A$3,Main!$B$43=A162),Weight!U39,H162)</f>
        <v>28.93767518910785</v>
      </c>
      <c r="I162" s="103">
        <f ca="1">IF(AND(Energy!$F$11=$A$3,Main!$B$43=A162),Weight!V39,I162)</f>
        <v>57.031040604729753</v>
      </c>
      <c r="J162" s="103">
        <f ca="1">IF(AND(Energy!$F$11=$A$3,Main!$B$43=A162),Weight!I39,J162)</f>
        <v>23.155717140621899</v>
      </c>
      <c r="K162" s="103">
        <f ca="1">IF(AND(Energy!$F$11=$A$3,Main!$B$43=A162),Weight!W39,K162)</f>
        <v>72.031040611560428</v>
      </c>
      <c r="L162" s="103">
        <f ca="1">IF(AND(Energy!$F$11=$A$3,Main!$B$43=A162),'Aerodynamics-Cruise'!BI39,L162)</f>
        <v>72.031040597848616</v>
      </c>
      <c r="M162" s="103">
        <f ca="1">IF(AND(Energy!$F$11=$A$3,Main!$B$43=A162),'Aerodynamics-Cruise'!BJ39,M162)</f>
        <v>3.2289080694796555</v>
      </c>
      <c r="N162" s="103">
        <f ca="1">IF(AND(Energy!$F$11=$A$3,Main!$B$43=A162),'Aerodynamics-Cruise'!BK39,N162)</f>
        <v>22.308173242435036</v>
      </c>
      <c r="O162" s="103">
        <f t="shared" ca="1" si="9"/>
        <v>189.33192605037669</v>
      </c>
      <c r="P162" s="103">
        <f ca="1">IF(AND(Energy!$F$11=$A$3,Main!$B$43=A162),'Aerodynamics-Cruise'!H39,P162)</f>
        <v>7.3909993413865394</v>
      </c>
      <c r="Q162" s="103">
        <f ca="1">IF(AND(Energy!$F$11=$A$3,Main!$B$43=A162),'Aerodynamics-Cruise'!I39,Q162)</f>
        <v>6.229975345843525</v>
      </c>
      <c r="R162" s="103">
        <f ca="1">IF(AND(Energy!$F$11=$A$3,Main!$B$43=$A162),Summary!R39,R162)</f>
        <v>3.8931788541676533</v>
      </c>
      <c r="S162" s="103">
        <f ca="1">IF(AND(Energy!$F$11=$A$3,Main!$B$43=A162),'Aerodynamics-Cruise'!W39,S162)</f>
        <v>1</v>
      </c>
      <c r="T162" s="103">
        <f ca="1">IF(AND(Energy!$F$11=$A$3,Main!$B$43=A162),'Aerodynamics-Cruise'!BL39,T162)</f>
        <v>23.864857414921815</v>
      </c>
      <c r="U162" s="103">
        <f ca="1">IF(AND(Energy!$F$11=$A$3,Main!$B$43=A162),'Propulsion-Cruise'!M39,U162)</f>
        <v>55.042619197222166</v>
      </c>
      <c r="V162" s="103">
        <f ca="1">IF(AND(Energy!$F$11=$A$3,Main!$B$43=A162),Endurance!AP39,V162)</f>
        <v>552.70179436351702</v>
      </c>
      <c r="W162" s="103">
        <f ca="1">IF(AND(Energy!$F$11=$A$3,Main!$B$43=$A162),Summary!W39,W162)</f>
        <v>2.4327485380116953</v>
      </c>
      <c r="X162" s="13">
        <f ca="1">IF(AND(Energy!$F$11=$A$3,Main!$B$43=A162),Energy!D39,X162)</f>
        <v>997.93379515085803</v>
      </c>
      <c r="Y162" s="102">
        <f ca="1">IF(AND(Energy!$F$11=$A$3,Main!$B$43=A162),'Aerodynamics-Cruise'!V39,Y162)</f>
        <v>166669.41451593654</v>
      </c>
      <c r="Z162" s="102">
        <f ca="1">IF(AND(Energy!$F$11=$A$3,Main!$B$43=$A162),Summary!Z39,Z162)</f>
        <v>124481.57193760245</v>
      </c>
      <c r="AA162" s="102">
        <f ca="1">IF(AND(Energy!$F$11=$A$3,Main!$B$43=$A162),Summary!AA39,AA162)</f>
        <v>124481.57193760245</v>
      </c>
      <c r="AB162" s="103">
        <f ca="1">IF(AND(Energy!$F$11=$A$3,Main!$B$43=$A162),Summary!AB39,AB162)</f>
        <v>3.8931788541676533</v>
      </c>
      <c r="AC162" s="103">
        <f ca="1">IF(AND(Energy!$F$11=$A$3,Main!$B$43=$A162),Summary!AC39,AC162)</f>
        <v>1.6738837956992616</v>
      </c>
      <c r="AD162" s="103">
        <f ca="1">IF(AND(Energy!$F$11=$A$3,Main!$B$43=$A162),Summary!AD39,AD162)</f>
        <v>0.4191893298259558</v>
      </c>
      <c r="AE162" s="103">
        <f ca="1">IF(AND(Energy!$F$11=$A$3,Main!$B$43=$A162),Summary!AE39,AE162)</f>
        <v>2.4327485380116953</v>
      </c>
      <c r="AF162" s="103">
        <f ca="1">IF(AND(Energy!$F$11=$A$3,Main!$B$43=$A162),Summary!AF39,AF162)</f>
        <v>19.243421052631589</v>
      </c>
      <c r="AG162" s="103">
        <f ca="1">IF(AND(Energy!$F$11=$A$3,Main!$B$43=$A162),Summary!AG39,AG162)</f>
        <v>11.572018982309636</v>
      </c>
      <c r="AH162" s="103">
        <f ca="1">IF(AND(Energy!$F$11=$A$3,Main!$B$43=$A162),Summary!AH39,AH162)</f>
        <v>47</v>
      </c>
      <c r="AI162" s="103">
        <f ca="1">IF(AND(Energy!$F$11=$A$3,Main!$B$43=$A162),Summary!AI39,AI162)</f>
        <v>2.7586064185784891</v>
      </c>
      <c r="AJ162" s="103">
        <f ca="1">IF(AND(Energy!$F$11=$A$3,Main!$B$43=$A162),Summary!AJ39,AJ162)</f>
        <v>0.23325031558062279</v>
      </c>
      <c r="AK162" s="103">
        <f ca="1">IF(AND(Energy!$F$11=$A$3,Main!$B$43=$A162),Summary!AK39,AK162)</f>
        <v>0.01</v>
      </c>
      <c r="AL162" s="103">
        <f ca="1">IF(AND(Energy!$F$11=$A$3,Main!$B$43=$A162),Summary!AL39,AL162)</f>
        <v>-0.53590492738121176</v>
      </c>
      <c r="AM162" s="103">
        <f ca="1">IF(AND(Energy!$F$11=$A$3,Main!$B$43=$A162),Summary!AJ179,AM162)</f>
        <v>0</v>
      </c>
    </row>
    <row r="163" spans="1:39">
      <c r="A163">
        <f t="shared" si="10"/>
        <v>8</v>
      </c>
      <c r="D163" s="1">
        <f ca="1">IF(AND(Energy!$F$11=$A$3,Main!$B$43=A163),Main!C40,D163)</f>
        <v>7</v>
      </c>
      <c r="E163" s="103">
        <f ca="1">IF(AND(Energy!$F$11=$A$3,Main!$B$43=A163),Main!B40,E163)</f>
        <v>0.35555555555555546</v>
      </c>
      <c r="F163" s="103">
        <f ca="1">IF(Main!$D$6=1,U163,IF(Main!$D$6=2,N163,IF(Main!$D$6=3,K163,IF(Main!$D$6=4,V163,J163))))</f>
        <v>567.6814597542832</v>
      </c>
      <c r="G163" s="103">
        <f ca="1">IF(AND(Energy!$F$11=$A$3,Main!$B$43=A163),Weight!H40,G163)</f>
        <v>15</v>
      </c>
      <c r="H163" s="103">
        <f ca="1">IF(AND(Energy!$F$11=$A$3,Main!$B$43=A163),Weight!U40,H163)</f>
        <v>29.97360284661174</v>
      </c>
      <c r="I163" s="103">
        <f ca="1">IF(AND(Energy!$F$11=$A$3,Main!$B$43=A163),Weight!V40,I163)</f>
        <v>58.694501722560645</v>
      </c>
      <c r="J163" s="103">
        <f ca="1">IF(AND(Energy!$F$11=$A$3,Main!$B$43=A163),Weight!I40,J163)</f>
        <v>23.7832506009489</v>
      </c>
      <c r="K163" s="103">
        <f ca="1">IF(AND(Energy!$F$11=$A$3,Main!$B$43=A163),Weight!W40,K163)</f>
        <v>73.694532013620304</v>
      </c>
      <c r="L163" s="103">
        <f ca="1">IF(AND(Energy!$F$11=$A$3,Main!$B$43=A163),'Aerodynamics-Cruise'!BI40,L163)</f>
        <v>73.694471244221234</v>
      </c>
      <c r="M163" s="103">
        <f ca="1">IF(AND(Energy!$F$11=$A$3,Main!$B$43=A163),'Aerodynamics-Cruise'!BJ40,M163)</f>
        <v>3.2731646460791315</v>
      </c>
      <c r="N163" s="103">
        <f ca="1">IF(AND(Energy!$F$11=$A$3,Main!$B$43=A163),'Aerodynamics-Cruise'!BK40,N163)</f>
        <v>22.514746189898695</v>
      </c>
      <c r="O163" s="103">
        <f t="shared" ca="1" si="9"/>
        <v>193.27892839700272</v>
      </c>
      <c r="P163" s="103">
        <f ca="1">IF(AND(Energy!$F$11=$A$3,Main!$B$43=A163),'Aerodynamics-Cruise'!H40,P163)</f>
        <v>7.3910351960716607</v>
      </c>
      <c r="Q163" s="103">
        <f ca="1">IF(AND(Energy!$F$11=$A$3,Main!$B$43=A163),'Aerodynamics-Cruise'!I40,Q163)</f>
        <v>6.230023980755055</v>
      </c>
      <c r="R163" s="103">
        <f ca="1">IF(AND(Energy!$F$11=$A$3,Main!$B$43=$A163),Summary!R40,R163)</f>
        <v>3.9748086502528399</v>
      </c>
      <c r="S163" s="103">
        <f ca="1">IF(AND(Energy!$F$11=$A$3,Main!$B$43=A163),'Aerodynamics-Cruise'!W40,S163)</f>
        <v>1</v>
      </c>
      <c r="T163" s="103">
        <f ca="1">IF(AND(Energy!$F$11=$A$3,Main!$B$43=A163),'Aerodynamics-Cruise'!BL40,T163)</f>
        <v>24.192075101708301</v>
      </c>
      <c r="U163" s="103">
        <f ca="1">IF(AND(Energy!$F$11=$A$3,Main!$B$43=A163),'Propulsion-Cruise'!M40,U163)</f>
        <v>55.826362946885162</v>
      </c>
      <c r="V163" s="103">
        <f ca="1">IF(AND(Energy!$F$11=$A$3,Main!$B$43=A163),Endurance!AP40,V163)</f>
        <v>567.6814597542832</v>
      </c>
      <c r="W163" s="103">
        <f ca="1">IF(AND(Energy!$F$11=$A$3,Main!$B$43=$A163),Summary!W40,W163)</f>
        <v>2.488888888888888</v>
      </c>
      <c r="X163" s="13">
        <f ca="1">IF(AND(Energy!$F$11=$A$3,Main!$B$43=A163),Energy!D40,X163)</f>
        <v>1024.979401729114</v>
      </c>
      <c r="Y163" s="102">
        <f ca="1">IF(AND(Energy!$F$11=$A$3,Main!$B$43=A163),'Aerodynamics-Cruise'!V40,Y163)</f>
        <v>166670.22305062864</v>
      </c>
      <c r="Z163" s="102">
        <f ca="1">IF(AND(Energy!$F$11=$A$3,Main!$B$43=$A163),Summary!Z40,Z163)</f>
        <v>124482.52924045692</v>
      </c>
      <c r="AA163" s="102">
        <f ca="1">IF(AND(Energy!$F$11=$A$3,Main!$B$43=$A163),Summary!AA40,AA163)</f>
        <v>124482.52924045692</v>
      </c>
      <c r="AB163" s="103">
        <f ca="1">IF(AND(Energy!$F$11=$A$3,Main!$B$43=$A163),Summary!AB40,AB163)</f>
        <v>3.9748086502528399</v>
      </c>
      <c r="AC163" s="103">
        <f ca="1">IF(AND(Energy!$F$11=$A$3,Main!$B$43=$A163),Summary!AC40,AC163)</f>
        <v>1.6379450614660691</v>
      </c>
      <c r="AD163" s="103">
        <f ca="1">IF(AND(Energy!$F$11=$A$3,Main!$B$43=$A163),Summary!AD40,AD163)</f>
        <v>0.42116650004662787</v>
      </c>
      <c r="AE163" s="103">
        <f ca="1">IF(AND(Energy!$F$11=$A$3,Main!$B$43=$A163),Summary!AE40,AE163)</f>
        <v>2.488888888888888</v>
      </c>
      <c r="AF163" s="103">
        <f ca="1">IF(AND(Energy!$F$11=$A$3,Main!$B$43=$A163),Summary!AF40,AF163)</f>
        <v>19.687500000000007</v>
      </c>
      <c r="AG163" s="103">
        <f ca="1">IF(AND(Energy!$F$11=$A$3,Main!$B$43=$A163),Summary!AG40,AG163)</f>
        <v>11.676199674969148</v>
      </c>
      <c r="AH163" s="103">
        <f ca="1">IF(AND(Energy!$F$11=$A$3,Main!$B$43=$A163),Summary!AH40,AH163)</f>
        <v>47</v>
      </c>
      <c r="AI163" s="103">
        <f ca="1">IF(AND(Energy!$F$11=$A$3,Main!$B$43=$A163),Summary!AI40,AI163)</f>
        <v>2.7585866223350837</v>
      </c>
      <c r="AJ163" s="103">
        <f ca="1">IF(AND(Energy!$F$11=$A$3,Main!$B$43=$A163),Summary!AJ40,AJ163)</f>
        <v>0.23335061779474658</v>
      </c>
      <c r="AK163" s="103">
        <f ca="1">IF(AND(Energy!$F$11=$A$3,Main!$B$43=$A163),Summary!AK40,AK163)</f>
        <v>0.01</v>
      </c>
      <c r="AL163" s="103">
        <f ca="1">IF(AND(Energy!$F$11=$A$3,Main!$B$43=$A163),Summary!AL40,AL163)</f>
        <v>-0.53567450080879997</v>
      </c>
      <c r="AM163" s="103">
        <f ca="1">IF(AND(Energy!$F$11=$A$3,Main!$B$43=$A163),Summary!AJ180,AM163)</f>
        <v>0</v>
      </c>
    </row>
    <row r="164" spans="1:39">
      <c r="A164" s="7">
        <f>A144+1</f>
        <v>9</v>
      </c>
      <c r="D164" s="1">
        <f ca="1">IF(AND(Energy!$F$11=$A$3,Main!$B$43=A164),Main!C21,D164)</f>
        <v>4</v>
      </c>
      <c r="E164" s="103">
        <f ca="1">IF(AND(Energy!$F$11=$A$3,Main!$B$43=A164),Main!B21,E164)</f>
        <v>0.37777777777777766</v>
      </c>
      <c r="F164" s="103">
        <f ca="1">IF(Main!$D$6=1,U164,IF(Main!$D$6=2,N164,IF(Main!$D$6=3,K164,IF(Main!$D$6=4,V164,J164))))</f>
        <v>609.40988175803204</v>
      </c>
      <c r="G164" s="103">
        <f ca="1">IF(AND(Energy!$F$11=$A$3,Main!$B$43=A164),Weight!H21,G164)</f>
        <v>15</v>
      </c>
      <c r="H164" s="103">
        <f ca="1">IF(AND(Energy!$F$11=$A$3,Main!$B$43=A164),Weight!U21,H164)</f>
        <v>17.011364251410583</v>
      </c>
      <c r="I164" s="103">
        <f ca="1">IF(AND(Energy!$F$11=$A$3,Main!$B$43=A164),Weight!V21,I164)</f>
        <v>47.480546871280964</v>
      </c>
      <c r="J164" s="103">
        <f ca="1">IF(AND(Energy!$F$11=$A$3,Main!$B$43=A164),Weight!I21,J164)</f>
        <v>25.53153434487038</v>
      </c>
      <c r="K164" s="103">
        <f ca="1">IF(AND(Energy!$F$11=$A$3,Main!$B$43=A164),Weight!W21,K164)</f>
        <v>62.480544728173967</v>
      </c>
      <c r="L164" s="103">
        <f ca="1">IF(AND(Energy!$F$11=$A$3,Main!$B$43=A164),'Aerodynamics-Cruise'!BI21,L164)</f>
        <v>62.480549030200535</v>
      </c>
      <c r="M164" s="103">
        <f ca="1">IF(AND(Energy!$F$11=$A$3,Main!$B$43=A164),'Aerodynamics-Cruise'!BJ21,M164)</f>
        <v>3.3999474004261199</v>
      </c>
      <c r="N164" s="103">
        <f ca="1">IF(AND(Energy!$F$11=$A$3,Main!$B$43=A164),'Aerodynamics-Cruise'!BK21,N164)</f>
        <v>18.376916367109022</v>
      </c>
      <c r="O164" s="103">
        <f t="shared" ca="1" si="9"/>
        <v>145.25967141707827</v>
      </c>
      <c r="P164" s="103">
        <f ca="1">IF(AND(Energy!$F$11=$A$3,Main!$B$43=A164),'Aerodynamics-Cruise'!H21,P164)</f>
        <v>8.7423914483662113</v>
      </c>
      <c r="Q164" s="103">
        <f ca="1">IF(AND(Energy!$F$11=$A$3,Main!$B$43=A164),'Aerodynamics-Cruise'!I21,Q164)</f>
        <v>7.2940651763274289</v>
      </c>
      <c r="R164" s="103">
        <f ca="1">IF(AND(Energy!$F$11=$A$3,Main!$B$43=$A164),Summary!R21,R164)</f>
        <v>4.6632007604613239</v>
      </c>
      <c r="S164" s="103">
        <f ca="1">IF(AND(Energy!$F$11=$A$3,Main!$B$43=A164),'Aerodynamics-Cruise'!W21,S164)</f>
        <v>1</v>
      </c>
      <c r="T164" s="103">
        <f ca="1">IF(AND(Energy!$F$11=$A$3,Main!$B$43=A164),'Aerodynamics-Cruise'!BL21,T164)</f>
        <v>29.723671078380242</v>
      </c>
      <c r="U164" s="103">
        <f ca="1">IF(AND(Energy!$F$11=$A$3,Main!$B$43=A164),'Propulsion-Cruise'!M21,U164)</f>
        <v>64.34816958602012</v>
      </c>
      <c r="V164" s="103">
        <f ca="1">IF(AND(Energy!$F$11=$A$3,Main!$B$43=A164),Endurance!AP21,V164)</f>
        <v>609.40988175803204</v>
      </c>
      <c r="W164" s="103">
        <f ca="1">IF(AND(Energy!$F$11=$A$3,Main!$B$43=$A164),Summary!W21,W164)</f>
        <v>1.5111111111111106</v>
      </c>
      <c r="X164" s="13">
        <f ca="1">IF(AND(Energy!$F$11=$A$3,Main!$B$43=A164),Energy!D21,X164)</f>
        <v>1100.3234750770889</v>
      </c>
      <c r="Y164" s="102">
        <f ca="1">IF(AND(Energy!$F$11=$A$3,Main!$B$43=A164),'Aerodynamics-Cruise'!V21,Y164)</f>
        <v>209465.22542760981</v>
      </c>
      <c r="Z164" s="102">
        <f ca="1">IF(AND(Energy!$F$11=$A$3,Main!$B$43=$A164),Summary!Z21,Z164)</f>
        <v>154914.00690977505</v>
      </c>
      <c r="AA164" s="102">
        <f ca="1">IF(AND(Energy!$F$11=$A$3,Main!$B$43=$A164),Summary!AA21,AA164)</f>
        <v>154914.00690977505</v>
      </c>
      <c r="AB164" s="103">
        <f ca="1">IF(AND(Energy!$F$11=$A$3,Main!$B$43=$A164),Summary!AB21,AB164)</f>
        <v>4.6632007604613239</v>
      </c>
      <c r="AC164" s="103">
        <f ca="1">IF(AND(Energy!$F$11=$A$3,Main!$B$43=$A164),Summary!AC21,AC164)</f>
        <v>2.174497892983962</v>
      </c>
      <c r="AD164" s="103">
        <f ca="1">IF(AND(Energy!$F$11=$A$3,Main!$B$43=$A164),Summary!AD21,AD164)</f>
        <v>0.46313331281435238</v>
      </c>
      <c r="AE164" s="103">
        <f ca="1">IF(AND(Energy!$F$11=$A$3,Main!$B$43=$A164),Summary!AE21,AE164)</f>
        <v>1.5111111111111106</v>
      </c>
      <c r="AF164" s="103">
        <f ca="1">IF(AND(Energy!$F$11=$A$3,Main!$B$43=$A164),Summary!AF21,AF164)</f>
        <v>10.58823529411765</v>
      </c>
      <c r="AG164" s="103">
        <f ca="1">IF(AND(Energy!$F$11=$A$3,Main!$B$43=$A164),Summary!AG21,AG164)</f>
        <v>12.583097124436224</v>
      </c>
      <c r="AH164" s="103">
        <f ca="1">IF(AND(Energy!$F$11=$A$3,Main!$B$43=$A164),Summary!AH21,AH164)</f>
        <v>47</v>
      </c>
      <c r="AI164" s="103">
        <f ca="1">IF(AND(Energy!$F$11=$A$3,Main!$B$43=$A164),Summary!AI21,AI164)</f>
        <v>2.8156413533612348</v>
      </c>
      <c r="AJ164" s="103">
        <f ca="1">IF(AND(Energy!$F$11=$A$3,Main!$B$43=$A164),Summary!AJ21,AJ164)</f>
        <v>0.22971784014007765</v>
      </c>
      <c r="AK164" s="103">
        <f ca="1">IF(AND(Energy!$F$11=$A$3,Main!$B$43=$A164),Summary!AK21,AK164)</f>
        <v>0.01</v>
      </c>
      <c r="AL164" s="103">
        <f ca="1">IF(AND(Energy!$F$11=$A$3,Main!$B$43=$A164),Summary!AL21,AL164)</f>
        <v>-0.54414937554172627</v>
      </c>
      <c r="AM164" s="103">
        <f ca="1">IF(AND(Energy!$F$11=$A$3,Main!$B$43=$A164),Summary!AJ181,AM164)</f>
        <v>0</v>
      </c>
    </row>
    <row r="165" spans="1:39">
      <c r="A165">
        <f>A164</f>
        <v>9</v>
      </c>
      <c r="D165" s="1">
        <f ca="1">IF(AND(Energy!$F$11=$A$3,Main!$B$43=A165),Main!C22,D165)</f>
        <v>4.1578947368421053</v>
      </c>
      <c r="E165" s="103">
        <f ca="1">IF(AND(Energy!$F$11=$A$3,Main!$B$43=A165),Main!B22,E165)</f>
        <v>0.37777777777777766</v>
      </c>
      <c r="F165" s="103">
        <f ca="1">IF(Main!$D$6=1,U165,IF(Main!$D$6=2,N165,IF(Main!$D$6=3,K165,IF(Main!$D$6=4,V165,J165))))</f>
        <v>593.4553723699994</v>
      </c>
      <c r="G165" s="103">
        <f ca="1">IF(AND(Energy!$F$11=$A$3,Main!$B$43=A165),Weight!H22,G165)</f>
        <v>15</v>
      </c>
      <c r="H165" s="103">
        <f ca="1">IF(AND(Energy!$F$11=$A$3,Main!$B$43=A165),Weight!U22,H165)</f>
        <v>17.561577438738084</v>
      </c>
      <c r="I165" s="103">
        <f ca="1">IF(AND(Energy!$F$11=$A$3,Main!$B$43=A165),Weight!V22,I165)</f>
        <v>47.362337250632926</v>
      </c>
      <c r="J165" s="103">
        <f ca="1">IF(AND(Energy!$F$11=$A$3,Main!$B$43=A165),Weight!I22,J165)</f>
        <v>24.863111536894841</v>
      </c>
      <c r="K165" s="103">
        <f ca="1">IF(AND(Energy!$F$11=$A$3,Main!$B$43=A165),Weight!W22,K165)</f>
        <v>62.36233550479372</v>
      </c>
      <c r="L165" s="103">
        <f ca="1">IF(AND(Energy!$F$11=$A$3,Main!$B$43=A165),'Aerodynamics-Cruise'!BI22,L165)</f>
        <v>62.362339009324117</v>
      </c>
      <c r="M165" s="103">
        <f ca="1">IF(AND(Energy!$F$11=$A$3,Main!$B$43=A165),'Aerodynamics-Cruise'!BJ22,M165)</f>
        <v>3.3414682380670855</v>
      </c>
      <c r="N165" s="103">
        <f ca="1">IF(AND(Energy!$F$11=$A$3,Main!$B$43=A165),'Aerodynamics-Cruise'!BK22,N165)</f>
        <v>18.663154806881661</v>
      </c>
      <c r="O165" s="103">
        <f t="shared" ca="1" si="9"/>
        <v>147.38261447213031</v>
      </c>
      <c r="P165" s="103">
        <f ca="1">IF(AND(Energy!$F$11=$A$3,Main!$B$43=A165),'Aerodynamics-Cruise'!H22,P165)</f>
        <v>8.5665268645949642</v>
      </c>
      <c r="Q165" s="103">
        <f ca="1">IF(AND(Energy!$F$11=$A$3,Main!$B$43=A165),'Aerodynamics-Cruise'!I22,Q165)</f>
        <v>7.1533582021018898</v>
      </c>
      <c r="R165" s="103">
        <f ca="1">IF(AND(Energy!$F$11=$A$3,Main!$B$43=$A165),Summary!R22,R165)</f>
        <v>4.4694042014943438</v>
      </c>
      <c r="S165" s="103">
        <f ca="1">IF(AND(Energy!$F$11=$A$3,Main!$B$43=A165),'Aerodynamics-Cruise'!W22,S165)</f>
        <v>1</v>
      </c>
      <c r="T165" s="103">
        <f ca="1">IF(AND(Energy!$F$11=$A$3,Main!$B$43=A165),'Aerodynamics-Cruise'!BL22,T165)</f>
        <v>28.624777428592488</v>
      </c>
      <c r="U165" s="103">
        <f ca="1">IF(AND(Energy!$F$11=$A$3,Main!$B$43=A165),'Propulsion-Cruise'!M22,U165)</f>
        <v>62.395257640484594</v>
      </c>
      <c r="V165" s="103">
        <f ca="1">IF(AND(Energy!$F$11=$A$3,Main!$B$43=A165),Endurance!AP22,V165)</f>
        <v>593.4553723699994</v>
      </c>
      <c r="W165" s="103">
        <f ca="1">IF(AND(Energy!$F$11=$A$3,Main!$B$43=$A165),Summary!W22,W165)</f>
        <v>1.5707602339181281</v>
      </c>
      <c r="X165" s="13">
        <f ca="1">IF(AND(Energy!$F$11=$A$3,Main!$B$43=A165),Energy!D22,X165)</f>
        <v>1071.5167073061473</v>
      </c>
      <c r="Y165" s="102">
        <f ca="1">IF(AND(Energy!$F$11=$A$3,Main!$B$43=A165),'Aerodynamics-Cruise'!V22,Y165)</f>
        <v>205251.55976164821</v>
      </c>
      <c r="Z165" s="102">
        <f ca="1">IF(AND(Energy!$F$11=$A$3,Main!$B$43=$A165),Summary!Z22,Z165)</f>
        <v>151920.62860977472</v>
      </c>
      <c r="AA165" s="102">
        <f ca="1">IF(AND(Energy!$F$11=$A$3,Main!$B$43=$A165),Summary!AA22,AA165)</f>
        <v>151920.62860977472</v>
      </c>
      <c r="AB165" s="103">
        <f ca="1">IF(AND(Energy!$F$11=$A$3,Main!$B$43=$A165),Summary!AB22,AB165)</f>
        <v>4.4694042014943438</v>
      </c>
      <c r="AC165" s="103">
        <f ca="1">IF(AND(Energy!$F$11=$A$3,Main!$B$43=$A165),Summary!AC22,AC165)</f>
        <v>2.1534873766962024</v>
      </c>
      <c r="AD165" s="103">
        <f ca="1">IF(AND(Energy!$F$11=$A$3,Main!$B$43=$A165),Summary!AD22,AD165)</f>
        <v>0.45636964827535814</v>
      </c>
      <c r="AE165" s="103">
        <f ca="1">IF(AND(Energy!$F$11=$A$3,Main!$B$43=$A165),Summary!AE22,AE165)</f>
        <v>1.5707602339181281</v>
      </c>
      <c r="AF165" s="103">
        <f ca="1">IF(AND(Energy!$F$11=$A$3,Main!$B$43=$A165),Summary!AF22,AF165)</f>
        <v>11.0061919504644</v>
      </c>
      <c r="AG165" s="103">
        <f ca="1">IF(AND(Energy!$F$11=$A$3,Main!$B$43=$A165),Summary!AG22,AG165)</f>
        <v>12.362365431881802</v>
      </c>
      <c r="AH165" s="103">
        <f ca="1">IF(AND(Energy!$F$11=$A$3,Main!$B$43=$A165),Summary!AH22,AH165)</f>
        <v>47</v>
      </c>
      <c r="AI165" s="103">
        <f ca="1">IF(AND(Energy!$F$11=$A$3,Main!$B$43=$A165),Summary!AI22,AI165)</f>
        <v>2.8109021372831409</v>
      </c>
      <c r="AJ165" s="103">
        <f ca="1">IF(AND(Energy!$F$11=$A$3,Main!$B$43=$A165),Summary!AJ22,AJ165)</f>
        <v>0.22854561096860271</v>
      </c>
      <c r="AK165" s="103">
        <f ca="1">IF(AND(Energy!$F$11=$A$3,Main!$B$43=$A165),Summary!AK22,AK165)</f>
        <v>0.01</v>
      </c>
      <c r="AL165" s="103">
        <f ca="1">IF(AND(Energy!$F$11=$A$3,Main!$B$43=$A165),Summary!AL22,AL165)</f>
        <v>-0.54694025091708653</v>
      </c>
      <c r="AM165" s="103">
        <f ca="1">IF(AND(Energy!$F$11=$A$3,Main!$B$43=$A165),Summary!AJ182,AM165)</f>
        <v>0</v>
      </c>
    </row>
    <row r="166" spans="1:39">
      <c r="A166">
        <f t="shared" ref="A166:A183" si="11">A165</f>
        <v>9</v>
      </c>
      <c r="D166" s="1">
        <f ca="1">IF(AND(Energy!$F$11=$A$3,Main!$B$43=A166),Main!C23,D166)</f>
        <v>4.3157894736842106</v>
      </c>
      <c r="E166" s="103">
        <f ca="1">IF(AND(Energy!$F$11=$A$3,Main!$B$43=A166),Main!B23,E166)</f>
        <v>0.37777777777777766</v>
      </c>
      <c r="F166" s="103">
        <f ca="1">IF(Main!$D$6=1,U166,IF(Main!$D$6=2,N166,IF(Main!$D$6=3,K166,IF(Main!$D$6=4,V166,J166))))</f>
        <v>580.81914804788767</v>
      </c>
      <c r="G166" s="103">
        <f ca="1">IF(AND(Energy!$F$11=$A$3,Main!$B$43=A166),Weight!H23,G166)</f>
        <v>15</v>
      </c>
      <c r="H166" s="103">
        <f ca="1">IF(AND(Energy!$F$11=$A$3,Main!$B$43=A166),Weight!U23,H166)</f>
        <v>18.143335500459735</v>
      </c>
      <c r="I166" s="103">
        <f ca="1">IF(AND(Energy!$F$11=$A$3,Main!$B$43=A166),Weight!V23,I166)</f>
        <v>47.414693420236674</v>
      </c>
      <c r="J166" s="103">
        <f ca="1">IF(AND(Energy!$F$11=$A$3,Main!$B$43=A166),Weight!I23,J166)</f>
        <v>24.333709644776935</v>
      </c>
      <c r="K166" s="103">
        <f ca="1">IF(AND(Energy!$F$11=$A$3,Main!$B$43=A166),Weight!W23,K166)</f>
        <v>62.41469225118535</v>
      </c>
      <c r="L166" s="103">
        <f ca="1">IF(AND(Energy!$F$11=$A$3,Main!$B$43=A166),'Aerodynamics-Cruise'!BI23,L166)</f>
        <v>62.414694597827229</v>
      </c>
      <c r="M166" s="103">
        <f ca="1">IF(AND(Energy!$F$11=$A$3,Main!$B$43=A166),'Aerodynamics-Cruise'!BJ23,M166)</f>
        <v>3.2957737445088306</v>
      </c>
      <c r="N166" s="103">
        <f ca="1">IF(AND(Energy!$F$11=$A$3,Main!$B$43=A166),'Aerodynamics-Cruise'!BK23,N166)</f>
        <v>18.937797141511272</v>
      </c>
      <c r="O166" s="103">
        <f t="shared" ca="1" si="9"/>
        <v>149.61422423246239</v>
      </c>
      <c r="P166" s="103">
        <f ca="1">IF(AND(Energy!$F$11=$A$3,Main!$B$43=A166),'Aerodynamics-Cruise'!H23,P166)</f>
        <v>8.4117612459811379</v>
      </c>
      <c r="Q166" s="103">
        <f ca="1">IF(AND(Energy!$F$11=$A$3,Main!$B$43=A166),'Aerodynamics-Cruise'!I23,Q166)</f>
        <v>7.0294326482986822</v>
      </c>
      <c r="R166" s="103">
        <f ca="1">IF(AND(Energy!$F$11=$A$3,Main!$B$43=$A166),Summary!R23,R166)</f>
        <v>4.3137068371735863</v>
      </c>
      <c r="S166" s="103">
        <f ca="1">IF(AND(Energy!$F$11=$A$3,Main!$B$43=A166),'Aerodynamics-Cruise'!W23,S166)</f>
        <v>1</v>
      </c>
      <c r="T166" s="103">
        <f ca="1">IF(AND(Energy!$F$11=$A$3,Main!$B$43=A166),'Aerodynamics-Cruise'!BL23,T166)</f>
        <v>27.723261859581523</v>
      </c>
      <c r="U166" s="103">
        <f ca="1">IF(AND(Energy!$F$11=$A$3,Main!$B$43=A166),'Propulsion-Cruise'!M23,U166)</f>
        <v>60.812169167620773</v>
      </c>
      <c r="V166" s="103">
        <f ca="1">IF(AND(Energy!$F$11=$A$3,Main!$B$43=A166),Endurance!AP23,V166)</f>
        <v>580.81914804788767</v>
      </c>
      <c r="W166" s="103">
        <f ca="1">IF(AND(Energy!$F$11=$A$3,Main!$B$43=$A166),Summary!W23,W166)</f>
        <v>1.6304093567251456</v>
      </c>
      <c r="X166" s="13">
        <f ca="1">IF(AND(Energy!$F$11=$A$3,Main!$B$43=A166),Energy!D23,X166)</f>
        <v>1048.7012813266251</v>
      </c>
      <c r="Y166" s="102">
        <f ca="1">IF(AND(Energy!$F$11=$A$3,Main!$B$43=A166),'Aerodynamics-Cruise'!V23,Y166)</f>
        <v>201543.41933086861</v>
      </c>
      <c r="Z166" s="102">
        <f ca="1">IF(AND(Energy!$F$11=$A$3,Main!$B$43=$A166),Summary!Z23,Z166)</f>
        <v>149284.33834752013</v>
      </c>
      <c r="AA166" s="102">
        <f ca="1">IF(AND(Energy!$F$11=$A$3,Main!$B$43=$A166),Summary!AA23,AA166)</f>
        <v>149284.33834752013</v>
      </c>
      <c r="AB166" s="103">
        <f ca="1">IF(AND(Energy!$F$11=$A$3,Main!$B$43=$A166),Summary!AB23,AB166)</f>
        <v>4.3137068371735863</v>
      </c>
      <c r="AC166" s="103">
        <f ca="1">IF(AND(Energy!$F$11=$A$3,Main!$B$43=$A166),Summary!AC23,AC166)</f>
        <v>2.1281815976401104</v>
      </c>
      <c r="AD166" s="103">
        <f ca="1">IF(AND(Energy!$F$11=$A$3,Main!$B$43=$A166),Summary!AD23,AD166)</f>
        <v>0.45065368650821197</v>
      </c>
      <c r="AE166" s="103">
        <f ca="1">IF(AND(Energy!$F$11=$A$3,Main!$B$43=$A166),Summary!AE23,AE166)</f>
        <v>1.6304093567251456</v>
      </c>
      <c r="AF166" s="103">
        <f ca="1">IF(AND(Energy!$F$11=$A$3,Main!$B$43=$A166),Summary!AF23,AF166)</f>
        <v>11.424148606811151</v>
      </c>
      <c r="AG166" s="103">
        <f ca="1">IF(AND(Energy!$F$11=$A$3,Main!$B$43=$A166),Summary!AG23,AG166)</f>
        <v>12.182921438776969</v>
      </c>
      <c r="AH166" s="103">
        <f ca="1">IF(AND(Energy!$F$11=$A$3,Main!$B$43=$A166),Summary!AH23,AH166)</f>
        <v>47</v>
      </c>
      <c r="AI166" s="103">
        <f ca="1">IF(AND(Energy!$F$11=$A$3,Main!$B$43=$A166),Summary!AI23,AI166)</f>
        <v>2.8066575305216714</v>
      </c>
      <c r="AJ166" s="103">
        <f ca="1">IF(AND(Energy!$F$11=$A$3,Main!$B$43=$A166),Summary!AJ23,AJ166)</f>
        <v>0.2274475343300964</v>
      </c>
      <c r="AK166" s="103">
        <f ca="1">IF(AND(Energy!$F$11=$A$3,Main!$B$43=$A166),Summary!AK23,AK166)</f>
        <v>0.01</v>
      </c>
      <c r="AL166" s="103">
        <f ca="1">IF(AND(Energy!$F$11=$A$3,Main!$B$43=$A166),Summary!AL23,AL166)</f>
        <v>-0.54958005962369505</v>
      </c>
      <c r="AM166" s="103">
        <f ca="1">IF(AND(Energy!$F$11=$A$3,Main!$B$43=$A166),Summary!AJ183,AM166)</f>
        <v>0</v>
      </c>
    </row>
    <row r="167" spans="1:39">
      <c r="A167">
        <f t="shared" si="11"/>
        <v>9</v>
      </c>
      <c r="D167" s="1">
        <f ca="1">IF(AND(Energy!$F$11=$A$3,Main!$B$43=A167),Main!C24,D167)</f>
        <v>4.4736842105263159</v>
      </c>
      <c r="E167" s="103">
        <f ca="1">IF(AND(Energy!$F$11=$A$3,Main!$B$43=A167),Main!B24,E167)</f>
        <v>0.37777777777777766</v>
      </c>
      <c r="F167" s="103">
        <f ca="1">IF(Main!$D$6=1,U167,IF(Main!$D$6=2,N167,IF(Main!$D$6=3,K167,IF(Main!$D$6=4,V167,J167))))</f>
        <v>570.86881838710178</v>
      </c>
      <c r="G167" s="103">
        <f ca="1">IF(AND(Energy!$F$11=$A$3,Main!$B$43=A167),Weight!H24,G167)</f>
        <v>15</v>
      </c>
      <c r="H167" s="103">
        <f ca="1">IF(AND(Energy!$F$11=$A$3,Main!$B$43=A167),Weight!U24,H167)</f>
        <v>18.754445008817115</v>
      </c>
      <c r="I167" s="103">
        <f ca="1">IF(AND(Energy!$F$11=$A$3,Main!$B$43=A167),Weight!V24,I167)</f>
        <v>47.608927424030099</v>
      </c>
      <c r="J167" s="103">
        <f ca="1">IF(AND(Energy!$F$11=$A$3,Main!$B$43=A167),Weight!I24,J167)</f>
        <v>23.916834140212988</v>
      </c>
      <c r="K167" s="103">
        <f ca="1">IF(AND(Energy!$F$11=$A$3,Main!$B$43=A167),Weight!W24,K167)</f>
        <v>62.608927145050146</v>
      </c>
      <c r="L167" s="103">
        <f ca="1">IF(AND(Energy!$F$11=$A$3,Main!$B$43=A167),'Aerodynamics-Cruise'!BI24,L167)</f>
        <v>62.6089277049117</v>
      </c>
      <c r="M167" s="103">
        <f ca="1">IF(AND(Energy!$F$11=$A$3,Main!$B$43=A167),'Aerodynamics-Cruise'!BJ24,M167)</f>
        <v>3.2605958853463788</v>
      </c>
      <c r="N167" s="103">
        <f ca="1">IF(AND(Energy!$F$11=$A$3,Main!$B$43=A167),'Aerodynamics-Cruise'!BK24,N167)</f>
        <v>19.201682731149202</v>
      </c>
      <c r="O167" s="103">
        <f t="shared" ca="1" si="9"/>
        <v>151.9348573558654</v>
      </c>
      <c r="P167" s="103">
        <f ca="1">IF(AND(Energy!$F$11=$A$3,Main!$B$43=A167),'Aerodynamics-Cruise'!H24,P167)</f>
        <v>8.2747163185703041</v>
      </c>
      <c r="Q167" s="103">
        <f ca="1">IF(AND(Energy!$F$11=$A$3,Main!$B$43=A167),'Aerodynamics-Cruise'!I24,Q167)</f>
        <v>6.9196172120524135</v>
      </c>
      <c r="R167" s="103">
        <f ca="1">IF(AND(Energy!$F$11=$A$3,Main!$B$43=$A167),Summary!R24,R167)</f>
        <v>4.1882336397485531</v>
      </c>
      <c r="S167" s="103">
        <f ca="1">IF(AND(Energy!$F$11=$A$3,Main!$B$43=A167),'Aerodynamics-Cruise'!W24,S167)</f>
        <v>1</v>
      </c>
      <c r="T167" s="103">
        <f ca="1">IF(AND(Energy!$F$11=$A$3,Main!$B$43=A167),'Aerodynamics-Cruise'!BL24,T167)</f>
        <v>26.980505980738869</v>
      </c>
      <c r="U167" s="103">
        <f ca="1">IF(AND(Energy!$F$11=$A$3,Main!$B$43=A167),'Propulsion-Cruise'!M24,U167)</f>
        <v>59.527595807271915</v>
      </c>
      <c r="V167" s="103">
        <f ca="1">IF(AND(Energy!$F$11=$A$3,Main!$B$43=A167),Endurance!AP24,V167)</f>
        <v>570.86881838710178</v>
      </c>
      <c r="W167" s="103">
        <f ca="1">IF(AND(Energy!$F$11=$A$3,Main!$B$43=$A167),Summary!W24,W167)</f>
        <v>1.6900584795321631</v>
      </c>
      <c r="X167" s="13">
        <f ca="1">IF(AND(Energy!$F$11=$A$3,Main!$B$43=A167),Energy!D24,X167)</f>
        <v>1030.7353764688405</v>
      </c>
      <c r="Y167" s="102">
        <f ca="1">IF(AND(Energy!$F$11=$A$3,Main!$B$43=A167),'Aerodynamics-Cruise'!V24,Y167)</f>
        <v>198259.86164721154</v>
      </c>
      <c r="Z167" s="102">
        <f ca="1">IF(AND(Energy!$F$11=$A$3,Main!$B$43=$A167),Summary!Z24,Z167)</f>
        <v>146948.28103798084</v>
      </c>
      <c r="AA167" s="102">
        <f ca="1">IF(AND(Energy!$F$11=$A$3,Main!$B$43=$A167),Summary!AA24,AA167)</f>
        <v>146948.28103798084</v>
      </c>
      <c r="AB167" s="103">
        <f ca="1">IF(AND(Energy!$F$11=$A$3,Main!$B$43=$A167),Summary!AB24,AB167)</f>
        <v>4.1882336397485531</v>
      </c>
      <c r="AC167" s="103">
        <f ca="1">IF(AND(Energy!$F$11=$A$3,Main!$B$43=$A167),Summary!AC24,AC167)</f>
        <v>2.0996771663623046</v>
      </c>
      <c r="AD167" s="103">
        <f ca="1">IF(AND(Energy!$F$11=$A$3,Main!$B$43=$A167),Summary!AD24,AD167)</f>
        <v>0.44581373957270676</v>
      </c>
      <c r="AE167" s="103">
        <f ca="1">IF(AND(Energy!$F$11=$A$3,Main!$B$43=$A167),Summary!AE24,AE167)</f>
        <v>1.6900584795321631</v>
      </c>
      <c r="AF167" s="103">
        <f ca="1">IF(AND(Energy!$F$11=$A$3,Main!$B$43=$A167),Summary!AF24,AF167)</f>
        <v>11.842105263157899</v>
      </c>
      <c r="AG167" s="103">
        <f ca="1">IF(AND(Energy!$F$11=$A$3,Main!$B$43=$A167),Summary!AG24,AG167)</f>
        <v>12.037381935616578</v>
      </c>
      <c r="AH167" s="103">
        <f ca="1">IF(AND(Energy!$F$11=$A$3,Main!$B$43=$A167),Summary!AH24,AH167)</f>
        <v>47</v>
      </c>
      <c r="AI167" s="103">
        <f ca="1">IF(AND(Energy!$F$11=$A$3,Main!$B$43=$A167),Summary!AI24,AI167)</f>
        <v>2.802839081069961</v>
      </c>
      <c r="AJ167" s="103">
        <f ca="1">IF(AND(Energy!$F$11=$A$3,Main!$B$43=$A167),Summary!AJ24,AJ167)</f>
        <v>0.22645978610751227</v>
      </c>
      <c r="AK167" s="103">
        <f ca="1">IF(AND(Energy!$F$11=$A$3,Main!$B$43=$A167),Summary!AK24,AK167)</f>
        <v>0.01</v>
      </c>
      <c r="AL167" s="103">
        <f ca="1">IF(AND(Energy!$F$11=$A$3,Main!$B$43=$A167),Summary!AL24,AL167)</f>
        <v>-0.55197516446782668</v>
      </c>
      <c r="AM167" s="103">
        <f ca="1">IF(AND(Energy!$F$11=$A$3,Main!$B$43=$A167),Summary!AJ184,AM167)</f>
        <v>0</v>
      </c>
    </row>
    <row r="168" spans="1:39">
      <c r="A168">
        <f t="shared" si="11"/>
        <v>9</v>
      </c>
      <c r="D168" s="1">
        <f ca="1">IF(AND(Energy!$F$11=$A$3,Main!$B$43=A168),Main!C25,D168)</f>
        <v>4.6315789473684212</v>
      </c>
      <c r="E168" s="103">
        <f ca="1">IF(AND(Energy!$F$11=$A$3,Main!$B$43=A168),Main!B25,E168)</f>
        <v>0.37777777777777766</v>
      </c>
      <c r="F168" s="103">
        <f ca="1">IF(Main!$D$6=1,U168,IF(Main!$D$6=2,N168,IF(Main!$D$6=3,K168,IF(Main!$D$6=4,V168,J168))))</f>
        <v>563.13787247588698</v>
      </c>
      <c r="G168" s="103">
        <f ca="1">IF(AND(Energy!$F$11=$A$3,Main!$B$43=A168),Weight!H25,G168)</f>
        <v>15</v>
      </c>
      <c r="H168" s="103">
        <f ca="1">IF(AND(Energy!$F$11=$A$3,Main!$B$43=A168),Weight!U25,H168)</f>
        <v>19.393368610888963</v>
      </c>
      <c r="I168" s="103">
        <f ca="1">IF(AND(Energy!$F$11=$A$3,Main!$B$43=A168),Weight!V25,I168)</f>
        <v>47.923958761333893</v>
      </c>
      <c r="J168" s="103">
        <f ca="1">IF(AND(Energy!$F$11=$A$3,Main!$B$43=A168),Weight!I25,J168)</f>
        <v>23.592941875444932</v>
      </c>
      <c r="K168" s="103">
        <f ca="1">IF(AND(Energy!$F$11=$A$3,Main!$B$43=A168),Weight!W25,K168)</f>
        <v>62.923958743555744</v>
      </c>
      <c r="L168" s="103">
        <f ca="1">IF(AND(Energy!$F$11=$A$3,Main!$B$43=A168),'Aerodynamics-Cruise'!BI25,L168)</f>
        <v>62.923958779064577</v>
      </c>
      <c r="M168" s="103">
        <f ca="1">IF(AND(Energy!$F$11=$A$3,Main!$B$43=A168),'Aerodynamics-Cruise'!BJ25,M168)</f>
        <v>3.2342326329979207</v>
      </c>
      <c r="N168" s="103">
        <f ca="1">IF(AND(Energy!$F$11=$A$3,Main!$B$43=A168),'Aerodynamics-Cruise'!BK25,N168)</f>
        <v>19.455606914935554</v>
      </c>
      <c r="O168" s="103">
        <f t="shared" ca="1" si="9"/>
        <v>154.33086915891892</v>
      </c>
      <c r="P168" s="103">
        <f ca="1">IF(AND(Energy!$F$11=$A$3,Main!$B$43=A168),'Aerodynamics-Cruise'!H25,P168)</f>
        <v>8.1527802006969523</v>
      </c>
      <c r="Q168" s="103">
        <f ca="1">IF(AND(Energy!$F$11=$A$3,Main!$B$43=A168),'Aerodynamics-Cruise'!I25,Q168)</f>
        <v>6.8218448649347545</v>
      </c>
      <c r="R168" s="103">
        <f ca="1">IF(AND(Energy!$F$11=$A$3,Main!$B$43=$A168),Summary!R25,R168)</f>
        <v>4.0872862459046528</v>
      </c>
      <c r="S168" s="103">
        <f ca="1">IF(AND(Energy!$F$11=$A$3,Main!$B$43=A168),'Aerodynamics-Cruise'!W25,S168)</f>
        <v>1</v>
      </c>
      <c r="T168" s="103">
        <f ca="1">IF(AND(Energy!$F$11=$A$3,Main!$B$43=A168),'Aerodynamics-Cruise'!BL25,T168)</f>
        <v>26.36798777475342</v>
      </c>
      <c r="U168" s="103">
        <f ca="1">IF(AND(Energy!$F$11=$A$3,Main!$B$43=A168),'Propulsion-Cruise'!M25,U168)</f>
        <v>58.488892668086891</v>
      </c>
      <c r="V168" s="103">
        <f ca="1">IF(AND(Energy!$F$11=$A$3,Main!$B$43=A168),Endurance!AP25,V168)</f>
        <v>563.13787247588698</v>
      </c>
      <c r="W168" s="103">
        <f ca="1">IF(AND(Energy!$F$11=$A$3,Main!$B$43=$A168),Summary!W25,W168)</f>
        <v>1.7497076023391809</v>
      </c>
      <c r="X168" s="13">
        <f ca="1">IF(AND(Energy!$F$11=$A$3,Main!$B$43=A168),Energy!D25,X168)</f>
        <v>1016.7767148423944</v>
      </c>
      <c r="Y168" s="102">
        <f ca="1">IF(AND(Energy!$F$11=$A$3,Main!$B$43=A168),'Aerodynamics-Cruise'!V25,Y168)</f>
        <v>195338.30676500796</v>
      </c>
      <c r="Z168" s="102">
        <f ca="1">IF(AND(Energy!$F$11=$A$3,Main!$B$43=$A168),Summary!Z25,Z168)</f>
        <v>144868.46420776352</v>
      </c>
      <c r="AA168" s="102">
        <f ca="1">IF(AND(Energy!$F$11=$A$3,Main!$B$43=$A168),Summary!AA25,AA168)</f>
        <v>144868.46420776352</v>
      </c>
      <c r="AB168" s="103">
        <f ca="1">IF(AND(Energy!$F$11=$A$3,Main!$B$43=$A168),Summary!AB25,AB168)</f>
        <v>4.0872862459046528</v>
      </c>
      <c r="AC168" s="103">
        <f ca="1">IF(AND(Energy!$F$11=$A$3,Main!$B$43=$A168),Summary!AC25,AC168)</f>
        <v>2.0687955317180813</v>
      </c>
      <c r="AD168" s="103">
        <f ca="1">IF(AND(Energy!$F$11=$A$3,Main!$B$43=$A168),Summary!AD25,AD168)</f>
        <v>0.44171817144472836</v>
      </c>
      <c r="AE168" s="103">
        <f ca="1">IF(AND(Energy!$F$11=$A$3,Main!$B$43=$A168),Summary!AE25,AE168)</f>
        <v>1.7497076023391809</v>
      </c>
      <c r="AF168" s="103">
        <f ca="1">IF(AND(Energy!$F$11=$A$3,Main!$B$43=$A168),Summary!AF25,AF168)</f>
        <v>12.260061919504647</v>
      </c>
      <c r="AG168" s="103">
        <f ca="1">IF(AND(Energy!$F$11=$A$3,Main!$B$43=$A168),Summary!AG25,AG168)</f>
        <v>11.920198536514516</v>
      </c>
      <c r="AH168" s="103">
        <f ca="1">IF(AND(Energy!$F$11=$A$3,Main!$B$43=$A168),Summary!AH25,AH168)</f>
        <v>47</v>
      </c>
      <c r="AI168" s="103">
        <f ca="1">IF(AND(Energy!$F$11=$A$3,Main!$B$43=$A168),Summary!AI25,AI168)</f>
        <v>2.7993929313413752</v>
      </c>
      <c r="AJ168" s="103">
        <f ca="1">IF(AND(Energy!$F$11=$A$3,Main!$B$43=$A168),Summary!AJ25,AJ168)</f>
        <v>0.22661498218088194</v>
      </c>
      <c r="AK168" s="103">
        <f ca="1">IF(AND(Energy!$F$11=$A$3,Main!$B$43=$A168),Summary!AK25,AK168)</f>
        <v>0.01</v>
      </c>
      <c r="AL168" s="103">
        <f ca="1">IF(AND(Energy!$F$11=$A$3,Main!$B$43=$A168),Summary!AL25,AL168)</f>
        <v>-0.55159641467706511</v>
      </c>
      <c r="AM168" s="103">
        <f ca="1">IF(AND(Energy!$F$11=$A$3,Main!$B$43=$A168),Summary!AJ185,AM168)</f>
        <v>0</v>
      </c>
    </row>
    <row r="169" spans="1:39">
      <c r="A169">
        <f t="shared" si="11"/>
        <v>9</v>
      </c>
      <c r="D169" s="1">
        <f ca="1">IF(AND(Energy!$F$11=$A$3,Main!$B$43=A169),Main!C26,D169)</f>
        <v>4.7894736842105265</v>
      </c>
      <c r="E169" s="103">
        <f ca="1">IF(AND(Energy!$F$11=$A$3,Main!$B$43=A169),Main!B26,E169)</f>
        <v>0.37777777777777766</v>
      </c>
      <c r="F169" s="103">
        <f ca="1">IF(Main!$D$6=1,U169,IF(Main!$D$6=2,N169,IF(Main!$D$6=3,K169,IF(Main!$D$6=4,V169,J169))))</f>
        <v>557.2574618565784</v>
      </c>
      <c r="G169" s="103">
        <f ca="1">IF(AND(Energy!$F$11=$A$3,Main!$B$43=A169),Weight!H26,G169)</f>
        <v>15</v>
      </c>
      <c r="H169" s="103">
        <f ca="1">IF(AND(Energy!$F$11=$A$3,Main!$B$43=A169),Weight!U26,H169)</f>
        <v>20.058888263674213</v>
      </c>
      <c r="I169" s="103">
        <f ca="1">IF(AND(Energy!$F$11=$A$3,Main!$B$43=A169),Weight!V26,I169)</f>
        <v>48.343115667709377</v>
      </c>
      <c r="J169" s="103">
        <f ca="1">IF(AND(Energy!$F$11=$A$3,Main!$B$43=A169),Weight!I26,J169)</f>
        <v>23.346579129035163</v>
      </c>
      <c r="K169" s="103">
        <f ca="1">IF(AND(Energy!$F$11=$A$3,Main!$B$43=A169),Weight!W26,K169)</f>
        <v>63.343115657600542</v>
      </c>
      <c r="L169" s="103">
        <f ca="1">IF(AND(Energy!$F$11=$A$3,Main!$B$43=A169),'Aerodynamics-Cruise'!BI26,L169)</f>
        <v>63.343115677695003</v>
      </c>
      <c r="M169" s="103">
        <f ca="1">IF(AND(Energy!$F$11=$A$3,Main!$B$43=A169),'Aerodynamics-Cruise'!BJ26,M169)</f>
        <v>3.2152921946762167</v>
      </c>
      <c r="N169" s="103">
        <f ca="1">IF(AND(Energy!$F$11=$A$3,Main!$B$43=A169),'Aerodynamics-Cruise'!BK26,N169)</f>
        <v>19.700578312159813</v>
      </c>
      <c r="O169" s="103">
        <f t="shared" ca="1" si="9"/>
        <v>156.79372783707416</v>
      </c>
      <c r="P169" s="103">
        <f ca="1">IF(AND(Energy!$F$11=$A$3,Main!$B$43=A169),'Aerodynamics-Cruise'!H26,P169)</f>
        <v>8.0438358033346358</v>
      </c>
      <c r="Q169" s="103">
        <f ca="1">IF(AND(Energy!$F$11=$A$3,Main!$B$43=A169),'Aerodynamics-Cruise'!I26,Q169)</f>
        <v>6.7344381766919907</v>
      </c>
      <c r="R169" s="103">
        <f ca="1">IF(AND(Energy!$F$11=$A$3,Main!$B$43=$A169),Summary!R26,R169)</f>
        <v>4.0065372027566788</v>
      </c>
      <c r="S169" s="103">
        <f ca="1">IF(AND(Energy!$F$11=$A$3,Main!$B$43=A169),'Aerodynamics-Cruise'!W26,S169)</f>
        <v>1</v>
      </c>
      <c r="T169" s="103">
        <f ca="1">IF(AND(Energy!$F$11=$A$3,Main!$B$43=A169),'Aerodynamics-Cruise'!BL26,T169)</f>
        <v>25.86328247371895</v>
      </c>
      <c r="U169" s="103">
        <f ca="1">IF(AND(Energy!$F$11=$A$3,Main!$B$43=A169),'Propulsion-Cruise'!M26,U169)</f>
        <v>57.654445454305282</v>
      </c>
      <c r="V169" s="103">
        <f ca="1">IF(AND(Energy!$F$11=$A$3,Main!$B$43=A169),Endurance!AP26,V169)</f>
        <v>557.2574618565784</v>
      </c>
      <c r="W169" s="103">
        <f ca="1">IF(AND(Energy!$F$11=$A$3,Main!$B$43=$A169),Summary!W26,W169)</f>
        <v>1.8093567251461984</v>
      </c>
      <c r="X169" s="13">
        <f ca="1">IF(AND(Energy!$F$11=$A$3,Main!$B$43=A169),Energy!D26,X169)</f>
        <v>1006.1593065092216</v>
      </c>
      <c r="Y169" s="102">
        <f ca="1">IF(AND(Energy!$F$11=$A$3,Main!$B$43=A169),'Aerodynamics-Cruise'!V26,Y169)</f>
        <v>192728.02983021826</v>
      </c>
      <c r="Z169" s="102">
        <f ca="1">IF(AND(Energy!$F$11=$A$3,Main!$B$43=$A169),Summary!Z26,Z169)</f>
        <v>143009.18882541117</v>
      </c>
      <c r="AA169" s="102">
        <f ca="1">IF(AND(Energy!$F$11=$A$3,Main!$B$43=$A169),Summary!AA26,AA169)</f>
        <v>143009.18882541117</v>
      </c>
      <c r="AB169" s="103">
        <f ca="1">IF(AND(Energy!$F$11=$A$3,Main!$B$43=$A169),Summary!AB26,AB169)</f>
        <v>4.0065372027566788</v>
      </c>
      <c r="AC169" s="103">
        <f ca="1">IF(AND(Energy!$F$11=$A$3,Main!$B$43=$A169),Summary!AC26,AC169)</f>
        <v>2.0361892333066645</v>
      </c>
      <c r="AD169" s="103">
        <f ca="1">IF(AND(Energy!$F$11=$A$3,Main!$B$43=$A169),Summary!AD26,AD169)</f>
        <v>0.43825873380324376</v>
      </c>
      <c r="AE169" s="103">
        <f ca="1">IF(AND(Energy!$F$11=$A$3,Main!$B$43=$A169),Summary!AE26,AE169)</f>
        <v>1.8093567251461984</v>
      </c>
      <c r="AF169" s="103">
        <f ca="1">IF(AND(Energy!$F$11=$A$3,Main!$B$43=$A169),Summary!AF26,AF169)</f>
        <v>12.678018575851398</v>
      </c>
      <c r="AG169" s="103">
        <f ca="1">IF(AND(Energy!$F$11=$A$3,Main!$B$43=$A169),Summary!AG26,AG169)</f>
        <v>11.826871669023797</v>
      </c>
      <c r="AH169" s="103">
        <f ca="1">IF(AND(Energy!$F$11=$A$3,Main!$B$43=$A169),Summary!AH26,AH169)</f>
        <v>47</v>
      </c>
      <c r="AI169" s="103">
        <f ca="1">IF(AND(Energy!$F$11=$A$3,Main!$B$43=$A169),Summary!AI26,AI169)</f>
        <v>2.7962739997960644</v>
      </c>
      <c r="AJ169" s="103">
        <f ca="1">IF(AND(Energy!$F$11=$A$3,Main!$B$43=$A169),Summary!AJ26,AJ169)</f>
        <v>0.22739084314273339</v>
      </c>
      <c r="AK169" s="103">
        <f ca="1">IF(AND(Energy!$F$11=$A$3,Main!$B$43=$A169),Summary!AK26,AK169)</f>
        <v>0.01</v>
      </c>
      <c r="AL169" s="103">
        <f ca="1">IF(AND(Energy!$F$11=$A$3,Main!$B$43=$A169),Summary!AL26,AL169)</f>
        <v>-0.54971433729349017</v>
      </c>
      <c r="AM169" s="103">
        <f ca="1">IF(AND(Energy!$F$11=$A$3,Main!$B$43=$A169),Summary!AJ186,AM169)</f>
        <v>0</v>
      </c>
    </row>
    <row r="170" spans="1:39">
      <c r="A170">
        <f t="shared" si="11"/>
        <v>9</v>
      </c>
      <c r="D170" s="1">
        <f ca="1">IF(AND(Energy!$F$11=$A$3,Main!$B$43=A170),Main!C27,D170)</f>
        <v>4.9473684210526319</v>
      </c>
      <c r="E170" s="103">
        <f ca="1">IF(AND(Energy!$F$11=$A$3,Main!$B$43=A170),Main!B27,E170)</f>
        <v>0.37777777777777766</v>
      </c>
      <c r="F170" s="103">
        <f ca="1">IF(Main!$D$6=1,U170,IF(Main!$D$6=2,N170,IF(Main!$D$6=3,K170,IF(Main!$D$6=4,V170,J170))))</f>
        <v>552.9507884449954</v>
      </c>
      <c r="G170" s="103">
        <f ca="1">IF(AND(Energy!$F$11=$A$3,Main!$B$43=A170),Weight!H27,G170)</f>
        <v>15</v>
      </c>
      <c r="H170" s="103">
        <f ca="1">IF(AND(Energy!$F$11=$A$3,Main!$B$43=A170),Weight!U27,H170)</f>
        <v>20.750187409441097</v>
      </c>
      <c r="I170" s="103">
        <f ca="1">IF(AND(Energy!$F$11=$A$3,Main!$B$43=A170),Weight!V27,I170)</f>
        <v>48.853984572320137</v>
      </c>
      <c r="J170" s="103">
        <f ca="1">IF(AND(Energy!$F$11=$A$3,Main!$B$43=A170),Weight!I27,J170)</f>
        <v>23.166148887879039</v>
      </c>
      <c r="K170" s="103">
        <f ca="1">IF(AND(Energy!$F$11=$A$3,Main!$B$43=A170),Weight!W27,K170)</f>
        <v>63.85398456961893</v>
      </c>
      <c r="L170" s="103">
        <f ca="1">IF(AND(Energy!$F$11=$A$3,Main!$B$43=A170),'Aerodynamics-Cruise'!BI27,L170)</f>
        <v>63.853984574824707</v>
      </c>
      <c r="M170" s="103">
        <f ca="1">IF(AND(Energy!$F$11=$A$3,Main!$B$43=A170),'Aerodynamics-Cruise'!BJ27,M170)</f>
        <v>3.2027229770490426</v>
      </c>
      <c r="N170" s="103">
        <f ca="1">IF(AND(Energy!$F$11=$A$3,Main!$B$43=A170),'Aerodynamics-Cruise'!BK27,N170)</f>
        <v>19.937404837198606</v>
      </c>
      <c r="O170" s="103">
        <f t="shared" ca="1" si="9"/>
        <v>159.31718676056803</v>
      </c>
      <c r="P170" s="103">
        <f ca="1">IF(AND(Energy!$F$11=$A$3,Main!$B$43=A170),'Aerodynamics-Cruise'!H27,P170)</f>
        <v>7.9462064964373766</v>
      </c>
      <c r="Q170" s="103">
        <f ca="1">IF(AND(Energy!$F$11=$A$3,Main!$B$43=A170),'Aerodynamics-Cruise'!I27,Q170)</f>
        <v>6.6560678449528865</v>
      </c>
      <c r="R170" s="103">
        <f ca="1">IF(AND(Energy!$F$11=$A$3,Main!$B$43=$A170),Summary!R27,R170)</f>
        <v>3.9427639458077661</v>
      </c>
      <c r="S170" s="103">
        <f ca="1">IF(AND(Energy!$F$11=$A$3,Main!$B$43=A170),'Aerodynamics-Cruise'!W27,S170)</f>
        <v>1</v>
      </c>
      <c r="T170" s="103">
        <f ca="1">IF(AND(Energy!$F$11=$A$3,Main!$B$43=A170),'Aerodynamics-Cruise'!BL27,T170)</f>
        <v>25.449498126516357</v>
      </c>
      <c r="U170" s="103">
        <f ca="1">IF(AND(Energy!$F$11=$A$3,Main!$B$43=A170),'Propulsion-Cruise'!M27,U170)</f>
        <v>56.992981018014284</v>
      </c>
      <c r="V170" s="103">
        <f ca="1">IF(AND(Energy!$F$11=$A$3,Main!$B$43=A170),Endurance!AP27,V170)</f>
        <v>552.9507884449954</v>
      </c>
      <c r="W170" s="103">
        <f ca="1">IF(AND(Energy!$F$11=$A$3,Main!$B$43=$A170),Summary!W27,W170)</f>
        <v>1.8690058479532159</v>
      </c>
      <c r="X170" s="13">
        <f ca="1">IF(AND(Energy!$F$11=$A$3,Main!$B$43=A170),Energy!D27,X170)</f>
        <v>998.38336814640707</v>
      </c>
      <c r="Y170" s="102">
        <f ca="1">IF(AND(Energy!$F$11=$A$3,Main!$B$43=A170),'Aerodynamics-Cruise'!V27,Y170)</f>
        <v>190388.85926134637</v>
      </c>
      <c r="Z170" s="102">
        <f ca="1">IF(AND(Energy!$F$11=$A$3,Main!$B$43=$A170),Summary!Z27,Z170)</f>
        <v>141342.16542119169</v>
      </c>
      <c r="AA170" s="102">
        <f ca="1">IF(AND(Energy!$F$11=$A$3,Main!$B$43=$A170),Summary!AA27,AA170)</f>
        <v>141342.16542119169</v>
      </c>
      <c r="AB170" s="103">
        <f ca="1">IF(AND(Energy!$F$11=$A$3,Main!$B$43=$A170),Summary!AB27,AB170)</f>
        <v>3.9427639458077661</v>
      </c>
      <c r="AC170" s="103">
        <f ca="1">IF(AND(Energy!$F$11=$A$3,Main!$B$43=$A170),Summary!AC27,AC170)</f>
        <v>2.0023481095444668</v>
      </c>
      <c r="AD170" s="103">
        <f ca="1">IF(AND(Energy!$F$11=$A$3,Main!$B$43=$A170),Summary!AD27,AD170)</f>
        <v>0.43535130392246874</v>
      </c>
      <c r="AE170" s="103">
        <f ca="1">IF(AND(Energy!$F$11=$A$3,Main!$B$43=$A170),Summary!AE27,AE170)</f>
        <v>1.8690058479532159</v>
      </c>
      <c r="AF170" s="103">
        <f ca="1">IF(AND(Energy!$F$11=$A$3,Main!$B$43=$A170),Summary!AF27,AF170)</f>
        <v>13.095975232198148</v>
      </c>
      <c r="AG170" s="103">
        <f ca="1">IF(AND(Energy!$F$11=$A$3,Main!$B$43=$A170),Summary!AG27,AG170)</f>
        <v>11.753977283993555</v>
      </c>
      <c r="AH170" s="103">
        <f ca="1">IF(AND(Energy!$F$11=$A$3,Main!$B$43=$A170),Summary!AH27,AH170)</f>
        <v>47</v>
      </c>
      <c r="AI170" s="103">
        <f ca="1">IF(AND(Energy!$F$11=$A$3,Main!$B$43=$A170),Summary!AI27,AI170)</f>
        <v>2.7934460285527769</v>
      </c>
      <c r="AJ170" s="103">
        <f ca="1">IF(AND(Energy!$F$11=$A$3,Main!$B$43=$A170),Summary!AJ27,AJ170)</f>
        <v>0.22809896323517703</v>
      </c>
      <c r="AK170" s="103">
        <f ca="1">IF(AND(Energy!$F$11=$A$3,Main!$B$43=$A170),Summary!AK27,AK170)</f>
        <v>0.01</v>
      </c>
      <c r="AL170" s="103">
        <f ca="1">IF(AND(Energy!$F$11=$A$3,Main!$B$43=$A170),Summary!AL27,AL170)</f>
        <v>-0.54800775694729609</v>
      </c>
      <c r="AM170" s="103">
        <f ca="1">IF(AND(Energy!$F$11=$A$3,Main!$B$43=$A170),Summary!AJ187,AM170)</f>
        <v>0</v>
      </c>
    </row>
    <row r="171" spans="1:39">
      <c r="A171">
        <f t="shared" si="11"/>
        <v>9</v>
      </c>
      <c r="D171" s="1">
        <f ca="1">IF(AND(Energy!$F$11=$A$3,Main!$B$43=A171),Main!C28,D171)</f>
        <v>5.1052631578947372</v>
      </c>
      <c r="E171" s="103">
        <f ca="1">IF(AND(Energy!$F$11=$A$3,Main!$B$43=A171),Main!B28,E171)</f>
        <v>0.37777777777777766</v>
      </c>
      <c r="F171" s="103">
        <f ca="1">IF(Main!$D$6=1,U171,IF(Main!$D$6=2,N171,IF(Main!$D$6=3,K171,IF(Main!$D$6=4,V171,J171))))</f>
        <v>550.00318549002066</v>
      </c>
      <c r="G171" s="103">
        <f ca="1">IF(AND(Energy!$F$11=$A$3,Main!$B$43=A171),Weight!H28,G171)</f>
        <v>15</v>
      </c>
      <c r="H171" s="103">
        <f ca="1">IF(AND(Energy!$F$11=$A$3,Main!$B$43=A171),Weight!U28,H171)</f>
        <v>21.466713346792972</v>
      </c>
      <c r="I171" s="103">
        <f ca="1">IF(AND(Energy!$F$11=$A$3,Main!$B$43=A171),Weight!V28,I171)</f>
        <v>49.447019203166491</v>
      </c>
      <c r="J171" s="103">
        <f ca="1">IF(AND(Energy!$F$11=$A$3,Main!$B$43=A171),Weight!I28,J171)</f>
        <v>23.042657581373522</v>
      </c>
      <c r="K171" s="103">
        <f ca="1">IF(AND(Energy!$F$11=$A$3,Main!$B$43=A171),Weight!W28,K171)</f>
        <v>64.447019207648111</v>
      </c>
      <c r="L171" s="103">
        <f ca="1">IF(AND(Energy!$F$11=$A$3,Main!$B$43=A171),'Aerodynamics-Cruise'!BI28,L171)</f>
        <v>64.447019198416953</v>
      </c>
      <c r="M171" s="103">
        <f ca="1">IF(AND(Energy!$F$11=$A$3,Main!$B$43=A171),'Aerodynamics-Cruise'!BJ28,M171)</f>
        <v>3.1956996992612687</v>
      </c>
      <c r="N171" s="103">
        <f ca="1">IF(AND(Energy!$F$11=$A$3,Main!$B$43=A171),'Aerodynamics-Cruise'!BK28,N171)</f>
        <v>20.166794524940748</v>
      </c>
      <c r="O171" s="103">
        <f t="shared" ca="1" si="9"/>
        <v>161.89680978986229</v>
      </c>
      <c r="P171" s="103">
        <f ca="1">IF(AND(Energy!$F$11=$A$3,Main!$B$43=A171),'Aerodynamics-Cruise'!H28,P171)</f>
        <v>7.8585299894253797</v>
      </c>
      <c r="Q171" s="103">
        <f ca="1">IF(AND(Energy!$F$11=$A$3,Main!$B$43=A171),'Aerodynamics-Cruise'!I28,Q171)</f>
        <v>6.5856529755117297</v>
      </c>
      <c r="R171" s="103">
        <f ca="1">IF(AND(Energy!$F$11=$A$3,Main!$B$43=$A171),Summary!R28,R171)</f>
        <v>3.8934968733751902</v>
      </c>
      <c r="S171" s="103">
        <f ca="1">IF(AND(Energy!$F$11=$A$3,Main!$B$43=A171),'Aerodynamics-Cruise'!W28,S171)</f>
        <v>1</v>
      </c>
      <c r="T171" s="103">
        <f ca="1">IF(AND(Energy!$F$11=$A$3,Main!$B$43=A171),'Aerodynamics-Cruise'!BL28,T171)</f>
        <v>25.113501923842346</v>
      </c>
      <c r="U171" s="103">
        <f ca="1">IF(AND(Energy!$F$11=$A$3,Main!$B$43=A171),'Propulsion-Cruise'!M28,U171)</f>
        <v>56.480211924920518</v>
      </c>
      <c r="V171" s="103">
        <f ca="1">IF(AND(Energy!$F$11=$A$3,Main!$B$43=A171),Endurance!AP28,V171)</f>
        <v>550.00318549002066</v>
      </c>
      <c r="W171" s="103">
        <f ca="1">IF(AND(Energy!$F$11=$A$3,Main!$B$43=$A171),Summary!W28,W171)</f>
        <v>1.9286549707602334</v>
      </c>
      <c r="X171" s="13">
        <f ca="1">IF(AND(Energy!$F$11=$A$3,Main!$B$43=A171),Energy!D28,X171)</f>
        <v>993.06130700734604</v>
      </c>
      <c r="Y171" s="102">
        <f ca="1">IF(AND(Energy!$F$11=$A$3,Main!$B$43=A171),'Aerodynamics-Cruise'!V28,Y171)</f>
        <v>188288.15496156289</v>
      </c>
      <c r="Z171" s="102">
        <f ca="1">IF(AND(Energy!$F$11=$A$3,Main!$B$43=$A171),Summary!Z28,Z171)</f>
        <v>139844.39168560106</v>
      </c>
      <c r="AA171" s="102">
        <f ca="1">IF(AND(Energy!$F$11=$A$3,Main!$B$43=$A171),Summary!AA28,AA171)</f>
        <v>139844.39168560106</v>
      </c>
      <c r="AB171" s="103">
        <f ca="1">IF(AND(Energy!$F$11=$A$3,Main!$B$43=$A171),Summary!AB28,AB171)</f>
        <v>3.8934968733751902</v>
      </c>
      <c r="AC171" s="103">
        <f ca="1">IF(AND(Energy!$F$11=$A$3,Main!$B$43=$A171),Summary!AC28,AC171)</f>
        <v>1.9676498794764583</v>
      </c>
      <c r="AD171" s="103">
        <f ca="1">IF(AND(Energy!$F$11=$A$3,Main!$B$43=$A171),Summary!AD28,AD171)</f>
        <v>0.43292832328273551</v>
      </c>
      <c r="AE171" s="103">
        <f ca="1">IF(AND(Energy!$F$11=$A$3,Main!$B$43=$A171),Summary!AE28,AE171)</f>
        <v>1.9286549707602334</v>
      </c>
      <c r="AF171" s="103">
        <f ca="1">IF(AND(Energy!$F$11=$A$3,Main!$B$43=$A171),Summary!AF28,AF171)</f>
        <v>13.513931888544898</v>
      </c>
      <c r="AG171" s="103">
        <f ca="1">IF(AND(Energy!$F$11=$A$3,Main!$B$43=$A171),Summary!AG28,AG171)</f>
        <v>11.698818174801319</v>
      </c>
      <c r="AH171" s="103">
        <f ca="1">IF(AND(Energy!$F$11=$A$3,Main!$B$43=$A171),Summary!AH28,AH171)</f>
        <v>47</v>
      </c>
      <c r="AI171" s="103">
        <f ca="1">IF(AND(Energy!$F$11=$A$3,Main!$B$43=$A171),Summary!AI28,AI171)</f>
        <v>2.7908790551928231</v>
      </c>
      <c r="AJ171" s="103">
        <f ca="1">IF(AND(Energy!$F$11=$A$3,Main!$B$43=$A171),Summary!AJ28,AJ171)</f>
        <v>0.2287457586838878</v>
      </c>
      <c r="AK171" s="103">
        <f ca="1">IF(AND(Energy!$F$11=$A$3,Main!$B$43=$A171),Summary!AK28,AK171)</f>
        <v>0.01</v>
      </c>
      <c r="AL171" s="103">
        <f ca="1">IF(AND(Energy!$F$11=$A$3,Main!$B$43=$A171),Summary!AL28,AL171)</f>
        <v>-0.54645819958965247</v>
      </c>
      <c r="AM171" s="103">
        <f ca="1">IF(AND(Energy!$F$11=$A$3,Main!$B$43=$A171),Summary!AJ188,AM171)</f>
        <v>0</v>
      </c>
    </row>
    <row r="172" spans="1:39">
      <c r="A172">
        <f t="shared" si="11"/>
        <v>9</v>
      </c>
      <c r="D172" s="1">
        <f ca="1">IF(AND(Energy!$F$11=$A$3,Main!$B$43=A172),Main!C29,D172)</f>
        <v>5.2631578947368425</v>
      </c>
      <c r="E172" s="103">
        <f ca="1">IF(AND(Energy!$F$11=$A$3,Main!$B$43=A172),Main!B29,E172)</f>
        <v>0.37777777777777766</v>
      </c>
      <c r="F172" s="103">
        <f ca="1">IF(Main!$D$6=1,U172,IF(Main!$D$6=2,N172,IF(Main!$D$6=3,K172,IF(Main!$D$6=4,V172,J172))))</f>
        <v>548.24349965670581</v>
      </c>
      <c r="G172" s="103">
        <f ca="1">IF(AND(Energy!$F$11=$A$3,Main!$B$43=A172),Weight!H29,G172)</f>
        <v>15</v>
      </c>
      <c r="H172" s="103">
        <f ca="1">IF(AND(Energy!$F$11=$A$3,Main!$B$43=A172),Weight!U29,H172)</f>
        <v>22.208090869510059</v>
      </c>
      <c r="I172" s="103">
        <f ca="1">IF(AND(Energy!$F$11=$A$3,Main!$B$43=A172),Weight!V29,I172)</f>
        <v>50.114673799661688</v>
      </c>
      <c r="J172" s="103">
        <f ca="1">IF(AND(Energy!$F$11=$A$3,Main!$B$43=A172),Weight!I29,J172)</f>
        <v>22.968934655151628</v>
      </c>
      <c r="K172" s="103">
        <f ca="1">IF(AND(Energy!$F$11=$A$3,Main!$B$43=A172),Weight!W29,K172)</f>
        <v>65.114673811153153</v>
      </c>
      <c r="L172" s="103">
        <f ca="1">IF(AND(Energy!$F$11=$A$3,Main!$B$43=A172),'Aerodynamics-Cruise'!BI29,L172)</f>
        <v>65.114673787833055</v>
      </c>
      <c r="M172" s="103">
        <f ca="1">IF(AND(Energy!$F$11=$A$3,Main!$B$43=A172),'Aerodynamics-Cruise'!BJ29,M172)</f>
        <v>3.1935535821352365</v>
      </c>
      <c r="N172" s="103">
        <f ca="1">IF(AND(Energy!$F$11=$A$3,Main!$B$43=A172),'Aerodynamics-Cruise'!BK29,N172)</f>
        <v>20.389410139252099</v>
      </c>
      <c r="O172" s="103">
        <f t="shared" ca="1" si="9"/>
        <v>164.52962070233664</v>
      </c>
      <c r="P172" s="103">
        <f ca="1">IF(AND(Energy!$F$11=$A$3,Main!$B$43=A172),'Aerodynamics-Cruise'!H29,P172)</f>
        <v>7.7796766450630273</v>
      </c>
      <c r="Q172" s="103">
        <f ca="1">IF(AND(Energy!$F$11=$A$3,Main!$B$43=A172),'Aerodynamics-Cruise'!I29,Q172)</f>
        <v>6.5222965283351808</v>
      </c>
      <c r="R172" s="103">
        <f ca="1">IF(AND(Energy!$F$11=$A$3,Main!$B$43=$A172),Summary!R29,R172)</f>
        <v>3.8568020565483296</v>
      </c>
      <c r="S172" s="103">
        <f ca="1">IF(AND(Energy!$F$11=$A$3,Main!$B$43=A172),'Aerodynamics-Cruise'!W29,S172)</f>
        <v>1</v>
      </c>
      <c r="T172" s="103">
        <f ca="1">IF(AND(Energy!$F$11=$A$3,Main!$B$43=A172),'Aerodynamics-Cruise'!BL29,T172)</f>
        <v>24.844814217694871</v>
      </c>
      <c r="U172" s="103">
        <f ca="1">IF(AND(Energy!$F$11=$A$3,Main!$B$43=A172),'Propulsion-Cruise'!M29,U172)</f>
        <v>56.096748779970696</v>
      </c>
      <c r="V172" s="103">
        <f ca="1">IF(AND(Energy!$F$11=$A$3,Main!$B$43=A172),Endurance!AP29,V172)</f>
        <v>548.24349965670581</v>
      </c>
      <c r="W172" s="103">
        <f ca="1">IF(AND(Energy!$F$11=$A$3,Main!$B$43=$A172),Summary!W29,W172)</f>
        <v>1.9883040935672509</v>
      </c>
      <c r="X172" s="13">
        <f ca="1">IF(AND(Energy!$F$11=$A$3,Main!$B$43=A172),Energy!D29,X172)</f>
        <v>989.88409623526115</v>
      </c>
      <c r="Y172" s="102">
        <f ca="1">IF(AND(Energy!$F$11=$A$3,Main!$B$43=A172),'Aerodynamics-Cruise'!V29,Y172)</f>
        <v>186398.85114233528</v>
      </c>
      <c r="Z172" s="102">
        <f ca="1">IF(AND(Energy!$F$11=$A$3,Main!$B$43=$A172),Summary!Z29,Z172)</f>
        <v>138496.77849323902</v>
      </c>
      <c r="AA172" s="102">
        <f ca="1">IF(AND(Energy!$F$11=$A$3,Main!$B$43=$A172),Summary!AA29,AA172)</f>
        <v>138496.77849323902</v>
      </c>
      <c r="AB172" s="103">
        <f ca="1">IF(AND(Energy!$F$11=$A$3,Main!$B$43=$A172),Summary!AB29,AB172)</f>
        <v>3.8568020565483296</v>
      </c>
      <c r="AC172" s="103">
        <f ca="1">IF(AND(Energy!$F$11=$A$3,Main!$B$43=$A172),Summary!AC29,AC172)</f>
        <v>1.9323920487509183</v>
      </c>
      <c r="AD172" s="103">
        <f ca="1">IF(AND(Energy!$F$11=$A$3,Main!$B$43=$A172),Summary!AD29,AD172)</f>
        <v>0.43093405821297975</v>
      </c>
      <c r="AE172" s="103">
        <f ca="1">IF(AND(Energy!$F$11=$A$3,Main!$B$43=$A172),Summary!AE29,AE172)</f>
        <v>1.9883040935672509</v>
      </c>
      <c r="AF172" s="103">
        <f ca="1">IF(AND(Energy!$F$11=$A$3,Main!$B$43=$A172),Summary!AF29,AF172)</f>
        <v>13.931888544891647</v>
      </c>
      <c r="AG172" s="103">
        <f ca="1">IF(AND(Energy!$F$11=$A$3,Main!$B$43=$A172),Summary!AG29,AG172)</f>
        <v>11.659206891611047</v>
      </c>
      <c r="AH172" s="103">
        <f ca="1">IF(AND(Energy!$F$11=$A$3,Main!$B$43=$A172),Summary!AH29,AH172)</f>
        <v>47</v>
      </c>
      <c r="AI172" s="103">
        <f ca="1">IF(AND(Energy!$F$11=$A$3,Main!$B$43=$A172),Summary!AI29,AI172)</f>
        <v>2.7885477435145547</v>
      </c>
      <c r="AJ172" s="103">
        <f ca="1">IF(AND(Energy!$F$11=$A$3,Main!$B$43=$A172),Summary!AJ29,AJ172)</f>
        <v>0.22933677487878212</v>
      </c>
      <c r="AK172" s="103">
        <f ca="1">IF(AND(Energy!$F$11=$A$3,Main!$B$43=$A172),Summary!AK29,AK172)</f>
        <v>0.01</v>
      </c>
      <c r="AL172" s="103">
        <f ca="1">IF(AND(Energy!$F$11=$A$3,Main!$B$43=$A172),Summary!AL29,AL172)</f>
        <v>-0.54504991417311988</v>
      </c>
      <c r="AM172" s="103">
        <f ca="1">IF(AND(Energy!$F$11=$A$3,Main!$B$43=$A172),Summary!AJ189,AM172)</f>
        <v>0</v>
      </c>
    </row>
    <row r="173" spans="1:39">
      <c r="A173">
        <f t="shared" si="11"/>
        <v>9</v>
      </c>
      <c r="D173" s="1">
        <f ca="1">IF(AND(Energy!$F$11=$A$3,Main!$B$43=A173),Main!C30,D173)</f>
        <v>5.4210526315789478</v>
      </c>
      <c r="E173" s="103">
        <f ca="1">IF(AND(Energy!$F$11=$A$3,Main!$B$43=A173),Main!B30,E173)</f>
        <v>0.37777777777777766</v>
      </c>
      <c r="F173" s="103">
        <f ca="1">IF(Main!$D$6=1,U173,IF(Main!$D$6=2,N173,IF(Main!$D$6=3,K173,IF(Main!$D$6=4,V173,J173))))</f>
        <v>547.533661370343</v>
      </c>
      <c r="G173" s="103">
        <f ca="1">IF(AND(Energy!$F$11=$A$3,Main!$B$43=A173),Weight!H30,G173)</f>
        <v>15</v>
      </c>
      <c r="H173" s="103">
        <f ca="1">IF(AND(Energy!$F$11=$A$3,Main!$B$43=A173),Weight!U30,H173)</f>
        <v>22.974081787926039</v>
      </c>
      <c r="I173" s="103">
        <f ca="1">IF(AND(Energy!$F$11=$A$3,Main!$B$43=A173),Weight!V30,I173)</f>
        <v>50.8509256783897</v>
      </c>
      <c r="J173" s="103">
        <f ca="1">IF(AND(Energy!$F$11=$A$3,Main!$B$43=A173),Weight!I30,J173)</f>
        <v>22.939195615463657</v>
      </c>
      <c r="K173" s="103">
        <f ca="1">IF(AND(Energy!$F$11=$A$3,Main!$B$43=A173),Weight!W30,K173)</f>
        <v>65.850925696775718</v>
      </c>
      <c r="L173" s="103">
        <f ca="1">IF(AND(Energy!$F$11=$A$3,Main!$B$43=A173),'Aerodynamics-Cruise'!BI30,L173)</f>
        <v>65.850925659598872</v>
      </c>
      <c r="M173" s="103">
        <f ca="1">IF(AND(Energy!$F$11=$A$3,Main!$B$43=A173),'Aerodynamics-Cruise'!BJ30,M173)</f>
        <v>3.195736422974683</v>
      </c>
      <c r="N173" s="103">
        <f ca="1">IF(AND(Energy!$F$11=$A$3,Main!$B$43=A173),'Aerodynamics-Cruise'!BK30,N173)</f>
        <v>20.605868865212276</v>
      </c>
      <c r="O173" s="103">
        <f t="shared" ca="1" si="9"/>
        <v>167.21370653618396</v>
      </c>
      <c r="P173" s="103">
        <f ca="1">IF(AND(Energy!$F$11=$A$3,Main!$B$43=A173),'Aerodynamics-Cruise'!H30,P173)</f>
        <v>7.7086992653642978</v>
      </c>
      <c r="Q173" s="103">
        <f ca="1">IF(AND(Energy!$F$11=$A$3,Main!$B$43=A173),'Aerodynamics-Cruise'!I30,Q173)</f>
        <v>6.4652457256733085</v>
      </c>
      <c r="R173" s="103">
        <f ca="1">IF(AND(Energy!$F$11=$A$3,Main!$B$43=$A173),Summary!R30,R173)</f>
        <v>3.8311467146862821</v>
      </c>
      <c r="S173" s="103">
        <f ca="1">IF(AND(Energy!$F$11=$A$3,Main!$B$43=A173),'Aerodynamics-Cruise'!W30,S173)</f>
        <v>1</v>
      </c>
      <c r="T173" s="103">
        <f ca="1">IF(AND(Energy!$F$11=$A$3,Main!$B$43=A173),'Aerodynamics-Cruise'!BL30,T173)</f>
        <v>24.634971016082869</v>
      </c>
      <c r="U173" s="103">
        <f ca="1">IF(AND(Energy!$F$11=$A$3,Main!$B$43=A173),'Propulsion-Cruise'!M30,U173)</f>
        <v>55.826925947596493</v>
      </c>
      <c r="V173" s="103">
        <f ca="1">IF(AND(Energy!$F$11=$A$3,Main!$B$43=A173),Endurance!AP30,V173)</f>
        <v>547.533661370343</v>
      </c>
      <c r="W173" s="103">
        <f ca="1">IF(AND(Energy!$F$11=$A$3,Main!$B$43=$A173),Summary!W30,W173)</f>
        <v>2.0479532163742684</v>
      </c>
      <c r="X173" s="13">
        <f ca="1">IF(AND(Energy!$F$11=$A$3,Main!$B$43=A173),Energy!D30,X173)</f>
        <v>988.60244354031522</v>
      </c>
      <c r="Y173" s="102">
        <f ca="1">IF(AND(Energy!$F$11=$A$3,Main!$B$43=A173),'Aerodynamics-Cruise'!V30,Y173)</f>
        <v>184698.25320792981</v>
      </c>
      <c r="Z173" s="102">
        <f ca="1">IF(AND(Energy!$F$11=$A$3,Main!$B$43=$A173),Summary!Z30,Z173)</f>
        <v>137283.30714788559</v>
      </c>
      <c r="AA173" s="102">
        <f ca="1">IF(AND(Energy!$F$11=$A$3,Main!$B$43=$A173),Summary!AA30,AA173)</f>
        <v>137283.30714788559</v>
      </c>
      <c r="AB173" s="103">
        <f ca="1">IF(AND(Energy!$F$11=$A$3,Main!$B$43=$A173),Summary!AB30,AB173)</f>
        <v>3.8311467146862821</v>
      </c>
      <c r="AC173" s="103">
        <f ca="1">IF(AND(Energy!$F$11=$A$3,Main!$B$43=$A173),Summary!AC30,AC173)</f>
        <v>1.8968103869414299</v>
      </c>
      <c r="AD173" s="103">
        <f ca="1">IF(AND(Energy!$F$11=$A$3,Main!$B$43=$A173),Summary!AD30,AD173)</f>
        <v>0.429322011722922</v>
      </c>
      <c r="AE173" s="103">
        <f ca="1">IF(AND(Energy!$F$11=$A$3,Main!$B$43=$A173),Summary!AE30,AE173)</f>
        <v>2.0479532163742684</v>
      </c>
      <c r="AF173" s="103">
        <f ca="1">IF(AND(Energy!$F$11=$A$3,Main!$B$43=$A173),Summary!AF30,AF173)</f>
        <v>14.349845201238397</v>
      </c>
      <c r="AG173" s="103">
        <f ca="1">IF(AND(Energy!$F$11=$A$3,Main!$B$43=$A173),Summary!AG30,AG173)</f>
        <v>11.63334882189957</v>
      </c>
      <c r="AH173" s="103">
        <f ca="1">IF(AND(Energy!$F$11=$A$3,Main!$B$43=$A173),Summary!AH30,AH173)</f>
        <v>47</v>
      </c>
      <c r="AI173" s="103">
        <f ca="1">IF(AND(Energy!$F$11=$A$3,Main!$B$43=$A173),Summary!AI30,AI173)</f>
        <v>2.7864304382211373</v>
      </c>
      <c r="AJ173" s="103">
        <f ca="1">IF(AND(Energy!$F$11=$A$3,Main!$B$43=$A173),Summary!AJ30,AJ173)</f>
        <v>0.22987684243798037</v>
      </c>
      <c r="AK173" s="103">
        <f ca="1">IF(AND(Energy!$F$11=$A$3,Main!$B$43=$A173),Summary!AK30,AK173)</f>
        <v>0.01</v>
      </c>
      <c r="AL173" s="103">
        <f ca="1">IF(AND(Energy!$F$11=$A$3,Main!$B$43=$A173),Summary!AL30,AL173)</f>
        <v>-0.54376935912561741</v>
      </c>
      <c r="AM173" s="103">
        <f ca="1">IF(AND(Energy!$F$11=$A$3,Main!$B$43=$A173),Summary!AJ190,AM173)</f>
        <v>0</v>
      </c>
    </row>
    <row r="174" spans="1:39">
      <c r="A174">
        <f t="shared" si="11"/>
        <v>9</v>
      </c>
      <c r="D174" s="1">
        <f ca="1">IF(AND(Energy!$F$11=$A$3,Main!$B$43=A174),Main!C31,D174)</f>
        <v>5.5789473684210531</v>
      </c>
      <c r="E174" s="103">
        <f ca="1">IF(AND(Energy!$F$11=$A$3,Main!$B$43=A174),Main!B31,E174)</f>
        <v>0.37777777777777766</v>
      </c>
      <c r="F174" s="103">
        <f ca="1">IF(Main!$D$6=1,U174,IF(Main!$D$6=2,N174,IF(Main!$D$6=3,K174,IF(Main!$D$6=4,V174,J174))))</f>
        <v>547.76115222317867</v>
      </c>
      <c r="G174" s="103">
        <f ca="1">IF(AND(Energy!$F$11=$A$3,Main!$B$43=A174),Weight!H31,G174)</f>
        <v>15</v>
      </c>
      <c r="H174" s="103">
        <f ca="1">IF(AND(Energy!$F$11=$A$3,Main!$B$43=A174),Weight!U31,H174)</f>
        <v>23.764555426597994</v>
      </c>
      <c r="I174" s="103">
        <f ca="1">IF(AND(Energy!$F$11=$A$3,Main!$B$43=A174),Weight!V31,I174)</f>
        <v>51.650930149032405</v>
      </c>
      <c r="J174" s="103">
        <f ca="1">IF(AND(Energy!$F$11=$A$3,Main!$B$43=A174),Weight!I31,J174)</f>
        <v>22.948726447434414</v>
      </c>
      <c r="K174" s="103">
        <f ca="1">IF(AND(Energy!$F$11=$A$3,Main!$B$43=A174),Weight!W31,K174)</f>
        <v>66.65093017425697</v>
      </c>
      <c r="L174" s="103">
        <f ca="1">IF(AND(Energy!$F$11=$A$3,Main!$B$43=A174),'Aerodynamics-Cruise'!BI31,L174)</f>
        <v>66.650930123336551</v>
      </c>
      <c r="M174" s="103">
        <f ca="1">IF(AND(Energy!$F$11=$A$3,Main!$B$43=A174),'Aerodynamics-Cruise'!BJ31,M174)</f>
        <v>3.2017943096246122</v>
      </c>
      <c r="N174" s="103">
        <f ca="1">IF(AND(Energy!$F$11=$A$3,Main!$B$43=A174),'Aerodynamics-Cruise'!BK31,N174)</f>
        <v>20.816743262671018</v>
      </c>
      <c r="O174" s="103">
        <f t="shared" ca="1" si="9"/>
        <v>169.94793550065032</v>
      </c>
      <c r="P174" s="103">
        <f ca="1">IF(AND(Energy!$F$11=$A$3,Main!$B$43=A174),'Aerodynamics-Cruise'!H31,P174)</f>
        <v>7.6447957905139559</v>
      </c>
      <c r="Q174" s="103">
        <f ca="1">IF(AND(Energy!$F$11=$A$3,Main!$B$43=A174),'Aerodynamics-Cruise'!I31,Q174)</f>
        <v>6.4138626272184016</v>
      </c>
      <c r="R174" s="103">
        <f ca="1">IF(AND(Energy!$F$11=$A$3,Main!$B$43=$A174),Summary!R31,R174)</f>
        <v>3.8153036614850531</v>
      </c>
      <c r="S174" s="103">
        <f ca="1">IF(AND(Energy!$F$11=$A$3,Main!$B$43=A174),'Aerodynamics-Cruise'!W31,S174)</f>
        <v>1</v>
      </c>
      <c r="T174" s="103">
        <f ca="1">IF(AND(Energy!$F$11=$A$3,Main!$B$43=A174),'Aerodynamics-Cruise'!BL31,T174)</f>
        <v>24.477063660309774</v>
      </c>
      <c r="U174" s="103">
        <f ca="1">IF(AND(Energy!$F$11=$A$3,Main!$B$43=A174),'Propulsion-Cruise'!M31,U174)</f>
        <v>55.657953434196436</v>
      </c>
      <c r="V174" s="103">
        <f ca="1">IF(AND(Energy!$F$11=$A$3,Main!$B$43=A174),Endurance!AP31,V174)</f>
        <v>547.76115222317867</v>
      </c>
      <c r="W174" s="103">
        <f ca="1">IF(AND(Energy!$F$11=$A$3,Main!$B$43=$A174),Summary!W31,W174)</f>
        <v>2.1076023391812861</v>
      </c>
      <c r="X174" s="13">
        <f ca="1">IF(AND(Energy!$F$11=$A$3,Main!$B$43=A174),Energy!D31,X174)</f>
        <v>989.01319068411306</v>
      </c>
      <c r="Y174" s="102">
        <f ca="1">IF(AND(Energy!$F$11=$A$3,Main!$B$43=A174),'Aerodynamics-Cruise'!V31,Y174)</f>
        <v>183167.14403211777</v>
      </c>
      <c r="Z174" s="102">
        <f ca="1">IF(AND(Energy!$F$11=$A$3,Main!$B$43=$A174),Summary!Z31,Z174)</f>
        <v>136190.40305569311</v>
      </c>
      <c r="AA174" s="102">
        <f ca="1">IF(AND(Energy!$F$11=$A$3,Main!$B$43=$A174),Summary!AA31,AA174)</f>
        <v>136190.40305569311</v>
      </c>
      <c r="AB174" s="103">
        <f ca="1">IF(AND(Energy!$F$11=$A$3,Main!$B$43=$A174),Summary!AB31,AB174)</f>
        <v>3.8153036614850531</v>
      </c>
      <c r="AC174" s="103">
        <f ca="1">IF(AND(Energy!$F$11=$A$3,Main!$B$43=$A174),Summary!AC31,AC174)</f>
        <v>1.8610926194618356</v>
      </c>
      <c r="AD174" s="103">
        <f ca="1">IF(AND(Energy!$F$11=$A$3,Main!$B$43=$A174),Summary!AD31,AD174)</f>
        <v>0.42805300719950617</v>
      </c>
      <c r="AE174" s="103">
        <f ca="1">IF(AND(Energy!$F$11=$A$3,Main!$B$43=$A174),Summary!AE31,AE174)</f>
        <v>2.1076023391812861</v>
      </c>
      <c r="AF174" s="103">
        <f ca="1">IF(AND(Energy!$F$11=$A$3,Main!$B$43=$A174),Summary!AF31,AF174)</f>
        <v>14.767801857585145</v>
      </c>
      <c r="AG174" s="103">
        <f ca="1">IF(AND(Energy!$F$11=$A$3,Main!$B$43=$A174),Summary!AG31,AG174)</f>
        <v>11.619756618498183</v>
      </c>
      <c r="AH174" s="103">
        <f ca="1">IF(AND(Energy!$F$11=$A$3,Main!$B$43=$A174),Summary!AH31,AH174)</f>
        <v>47</v>
      </c>
      <c r="AI174" s="103">
        <f ca="1">IF(AND(Energy!$F$11=$A$3,Main!$B$43=$A174),Summary!AI31,AI174)</f>
        <v>2.7845084544178902</v>
      </c>
      <c r="AJ174" s="103">
        <f ca="1">IF(AND(Energy!$F$11=$A$3,Main!$B$43=$A174),Summary!AJ31,AJ174)</f>
        <v>0.23037019868770942</v>
      </c>
      <c r="AK174" s="103">
        <f ca="1">IF(AND(Energy!$F$11=$A$3,Main!$B$43=$A174),Summary!AK31,AK174)</f>
        <v>0.01</v>
      </c>
      <c r="AL174" s="103">
        <f ca="1">IF(AND(Energy!$F$11=$A$3,Main!$B$43=$A174),Summary!AL31,AL174)</f>
        <v>-0.54260480603547989</v>
      </c>
      <c r="AM174" s="103">
        <f ca="1">IF(AND(Energy!$F$11=$A$3,Main!$B$43=$A174),Summary!AJ191,AM174)</f>
        <v>0</v>
      </c>
    </row>
    <row r="175" spans="1:39">
      <c r="A175">
        <f t="shared" si="11"/>
        <v>9</v>
      </c>
      <c r="D175" s="1">
        <f ca="1">IF(AND(Energy!$F$11=$A$3,Main!$B$43=A175),Main!C32,D175)</f>
        <v>5.7368421052631584</v>
      </c>
      <c r="E175" s="103">
        <f ca="1">IF(AND(Energy!$F$11=$A$3,Main!$B$43=A175),Main!B32,E175)</f>
        <v>0.37777777777777766</v>
      </c>
      <c r="F175" s="103">
        <f ca="1">IF(Main!$D$6=1,U175,IF(Main!$D$6=2,N175,IF(Main!$D$6=3,K175,IF(Main!$D$6=4,V175,J175))))</f>
        <v>548.83346379344914</v>
      </c>
      <c r="G175" s="103">
        <f ca="1">IF(AND(Energy!$F$11=$A$3,Main!$B$43=A175),Weight!H32,G175)</f>
        <v>15</v>
      </c>
      <c r="H175" s="103">
        <f ca="1">IF(AND(Energy!$F$11=$A$3,Main!$B$43=A175),Weight!U32,H175)</f>
        <v>24.579466719180019</v>
      </c>
      <c r="I175" s="103">
        <f ca="1">IF(AND(Energy!$F$11=$A$3,Main!$B$43=A175),Weight!V32,I175)</f>
        <v>52.510766458708162</v>
      </c>
      <c r="J175" s="103">
        <f ca="1">IF(AND(Energy!$F$11=$A$3,Main!$B$43=A175),Weight!I32,J175)</f>
        <v>22.993651464528146</v>
      </c>
      <c r="K175" s="103">
        <f ca="1">IF(AND(Energy!$F$11=$A$3,Main!$B$43=A175),Weight!W32,K175)</f>
        <v>67.510766490774074</v>
      </c>
      <c r="L175" s="103">
        <f ca="1">IF(AND(Energy!$F$11=$A$3,Main!$B$43=A175),'Aerodynamics-Cruise'!BI32,L175)</f>
        <v>67.510766426105533</v>
      </c>
      <c r="M175" s="103">
        <f ca="1">IF(AND(Energy!$F$11=$A$3,Main!$B$43=A175),'Aerodynamics-Cruise'!BJ32,M175)</f>
        <v>3.2113480410560884</v>
      </c>
      <c r="N175" s="103">
        <f ca="1">IF(AND(Energy!$F$11=$A$3,Main!$B$43=A175),'Aerodynamics-Cruise'!BK32,N175)</f>
        <v>21.022562974489631</v>
      </c>
      <c r="O175" s="103">
        <f t="shared" ca="1" si="9"/>
        <v>172.73175330045277</v>
      </c>
      <c r="P175" s="103">
        <f ca="1">IF(AND(Energy!$F$11=$A$3,Main!$B$43=A175),'Aerodynamics-Cruise'!H32,P175)</f>
        <v>7.5872811003018796</v>
      </c>
      <c r="Q175" s="103">
        <f ca="1">IF(AND(Energy!$F$11=$A$3,Main!$B$43=A175),'Aerodynamics-Cruise'!I32,Q175)</f>
        <v>6.3676018748972592</v>
      </c>
      <c r="R175" s="103">
        <f ca="1">IF(AND(Energy!$F$11=$A$3,Main!$B$43=$A175),Summary!R32,R175)</f>
        <v>3.808282104967089</v>
      </c>
      <c r="S175" s="103">
        <f ca="1">IF(AND(Energy!$F$11=$A$3,Main!$B$43=A175),'Aerodynamics-Cruise'!W32,S175)</f>
        <v>1</v>
      </c>
      <c r="T175" s="103">
        <f ca="1">IF(AND(Energy!$F$11=$A$3,Main!$B$43=A175),'Aerodynamics-Cruise'!BL32,T175)</f>
        <v>24.365400298396324</v>
      </c>
      <c r="U175" s="103">
        <f ca="1">IF(AND(Energy!$F$11=$A$3,Main!$B$43=A175),'Propulsion-Cruise'!M32,U175)</f>
        <v>55.5792929785637</v>
      </c>
      <c r="V175" s="103">
        <f ca="1">IF(AND(Energy!$F$11=$A$3,Main!$B$43=A175),Endurance!AP32,V175)</f>
        <v>548.83346379344914</v>
      </c>
      <c r="W175" s="103">
        <f ca="1">IF(AND(Energy!$F$11=$A$3,Main!$B$43=$A175),Summary!W32,W175)</f>
        <v>2.1672514619883034</v>
      </c>
      <c r="X175" s="13">
        <f ca="1">IF(AND(Energy!$F$11=$A$3,Main!$B$43=A175),Energy!D32,X175)</f>
        <v>990.94930856969563</v>
      </c>
      <c r="Y175" s="102">
        <f ca="1">IF(AND(Energy!$F$11=$A$3,Main!$B$43=A175),'Aerodynamics-Cruise'!V32,Y175)</f>
        <v>181789.10832852055</v>
      </c>
      <c r="Z175" s="102">
        <f ca="1">IF(AND(Energy!$F$11=$A$3,Main!$B$43=$A175),Summary!Z32,Z175)</f>
        <v>135206.46201761725</v>
      </c>
      <c r="AA175" s="102">
        <f ca="1">IF(AND(Energy!$F$11=$A$3,Main!$B$43=$A175),Summary!AA32,AA175)</f>
        <v>135206.46201761725</v>
      </c>
      <c r="AB175" s="103">
        <f ca="1">IF(AND(Energy!$F$11=$A$3,Main!$B$43=$A175),Summary!AB32,AB175)</f>
        <v>3.808282104967089</v>
      </c>
      <c r="AC175" s="103">
        <f ca="1">IF(AND(Energy!$F$11=$A$3,Main!$B$43=$A175),Summary!AC32,AC175)</f>
        <v>1.8253887201250132</v>
      </c>
      <c r="AD175" s="103">
        <f ca="1">IF(AND(Energy!$F$11=$A$3,Main!$B$43=$A175),Summary!AD32,AD175)</f>
        <v>0.42709374434766473</v>
      </c>
      <c r="AE175" s="103">
        <f ca="1">IF(AND(Energy!$F$11=$A$3,Main!$B$43=$A175),Summary!AE32,AE175)</f>
        <v>2.1672514619883034</v>
      </c>
      <c r="AF175" s="103">
        <f ca="1">IF(AND(Energy!$F$11=$A$3,Main!$B$43=$A175),Summary!AF32,AF175)</f>
        <v>15.185758513931896</v>
      </c>
      <c r="AG175" s="103">
        <f ca="1">IF(AND(Energy!$F$11=$A$3,Main!$B$43=$A175),Summary!AG32,AG175)</f>
        <v>11.6171864442097</v>
      </c>
      <c r="AH175" s="103">
        <f ca="1">IF(AND(Energy!$F$11=$A$3,Main!$B$43=$A175),Summary!AH32,AH175)</f>
        <v>47</v>
      </c>
      <c r="AI175" s="103">
        <f ca="1">IF(AND(Energy!$F$11=$A$3,Main!$B$43=$A175),Summary!AI32,AI175)</f>
        <v>2.7827655342599154</v>
      </c>
      <c r="AJ175" s="103">
        <f ca="1">IF(AND(Energy!$F$11=$A$3,Main!$B$43=$A175),Summary!AJ32,AJ175)</f>
        <v>0.23082058367521852</v>
      </c>
      <c r="AK175" s="103">
        <f ca="1">IF(AND(Energy!$F$11=$A$3,Main!$B$43=$A175),Summary!AK32,AK175)</f>
        <v>0.01</v>
      </c>
      <c r="AL175" s="103">
        <f ca="1">IF(AND(Energy!$F$11=$A$3,Main!$B$43=$A175),Summary!AL32,AL175)</f>
        <v>-0.54154602923055573</v>
      </c>
      <c r="AM175" s="103">
        <f ca="1">IF(AND(Energy!$F$11=$A$3,Main!$B$43=$A175),Summary!AJ192,AM175)</f>
        <v>0</v>
      </c>
    </row>
    <row r="176" spans="1:39">
      <c r="A176">
        <f t="shared" si="11"/>
        <v>9</v>
      </c>
      <c r="D176" s="1">
        <f ca="1">IF(AND(Energy!$F$11=$A$3,Main!$B$43=A176),Main!C33,D176)</f>
        <v>5.8947368421052637</v>
      </c>
      <c r="E176" s="103">
        <f ca="1">IF(AND(Energy!$F$11=$A$3,Main!$B$43=A176),Main!B33,E176)</f>
        <v>0.37777777777777766</v>
      </c>
      <c r="F176" s="103">
        <f ca="1">IF(Main!$D$6=1,U176,IF(Main!$D$6=2,N176,IF(Main!$D$6=3,K176,IF(Main!$D$6=4,V176,J176))))</f>
        <v>550.6739543860416</v>
      </c>
      <c r="G176" s="103">
        <f ca="1">IF(AND(Energy!$F$11=$A$3,Main!$B$43=A176),Weight!H33,G176)</f>
        <v>15</v>
      </c>
      <c r="H176" s="103">
        <f ca="1">IF(AND(Energy!$F$11=$A$3,Main!$B$43=A176),Weight!U33,H176)</f>
        <v>25.418839672568687</v>
      </c>
      <c r="I176" s="103">
        <f ca="1">IF(AND(Energy!$F$11=$A$3,Main!$B$43=A176),Weight!V33,I176)</f>
        <v>53.427247672203336</v>
      </c>
      <c r="J176" s="103">
        <f ca="1">IF(AND(Energy!$F$11=$A$3,Main!$B$43=A176),Weight!I33,J176)</f>
        <v>23.070759724634648</v>
      </c>
      <c r="K176" s="103">
        <f ca="1">IF(AND(Energy!$F$11=$A$3,Main!$B$43=A176),Weight!W33,K176)</f>
        <v>68.427247711170594</v>
      </c>
      <c r="L176" s="103">
        <f ca="1">IF(AND(Energy!$F$11=$A$3,Main!$B$43=A176),'Aerodynamics-Cruise'!BI33,L176)</f>
        <v>68.427247632634391</v>
      </c>
      <c r="M176" s="103">
        <f ca="1">IF(AND(Energy!$F$11=$A$3,Main!$B$43=A176),'Aerodynamics-Cruise'!BJ33,M176)</f>
        <v>3.2240783110628377</v>
      </c>
      <c r="N176" s="103">
        <f ca="1">IF(AND(Energy!$F$11=$A$3,Main!$B$43=A176),'Aerodynamics-Cruise'!BK33,N176)</f>
        <v>21.223816865067683</v>
      </c>
      <c r="O176" s="103">
        <f t="shared" ca="1" si="9"/>
        <v>175.56503417794389</v>
      </c>
      <c r="P176" s="103">
        <f ca="1">IF(AND(Energy!$F$11=$A$3,Main!$B$43=A176),'Aerodynamics-Cruise'!H33,P176)</f>
        <v>7.5355653641151301</v>
      </c>
      <c r="Q176" s="103">
        <f ca="1">IF(AND(Energy!$F$11=$A$3,Main!$B$43=A176),'Aerodynamics-Cruise'!I33,Q176)</f>
        <v>6.3259935976800206</v>
      </c>
      <c r="R176" s="103">
        <f ca="1">IF(AND(Energy!$F$11=$A$3,Main!$B$43=$A176),Summary!R33,R176)</f>
        <v>3.8092766641659694</v>
      </c>
      <c r="S176" s="103">
        <f ca="1">IF(AND(Energy!$F$11=$A$3,Main!$B$43=A176),'Aerodynamics-Cruise'!W33,S176)</f>
        <v>1</v>
      </c>
      <c r="T176" s="103">
        <f ca="1">IF(AND(Energy!$F$11=$A$3,Main!$B$43=A176),'Aerodynamics-Cruise'!BL33,T176)</f>
        <v>24.295252852039926</v>
      </c>
      <c r="U176" s="103">
        <f ca="1">IF(AND(Energy!$F$11=$A$3,Main!$B$43=A176),'Propulsion-Cruise'!M33,U176)</f>
        <v>55.582191534968374</v>
      </c>
      <c r="V176" s="103">
        <f ca="1">IF(AND(Energy!$F$11=$A$3,Main!$B$43=A176),Endurance!AP33,V176)</f>
        <v>550.6739543860416</v>
      </c>
      <c r="W176" s="103">
        <f ca="1">IF(AND(Energy!$F$11=$A$3,Main!$B$43=$A176),Summary!W33,W176)</f>
        <v>2.2269005847953212</v>
      </c>
      <c r="X176" s="13">
        <f ca="1">IF(AND(Energy!$F$11=$A$3,Main!$B$43=A176),Energy!D33,X176)</f>
        <v>994.27241635664768</v>
      </c>
      <c r="Y176" s="102">
        <f ca="1">IF(AND(Energy!$F$11=$A$3,Main!$B$43=A176),'Aerodynamics-Cruise'!V33,Y176)</f>
        <v>180550.01392254574</v>
      </c>
      <c r="Z176" s="102">
        <f ca="1">IF(AND(Energy!$F$11=$A$3,Main!$B$43=$A176),Summary!Z33,Z176)</f>
        <v>134321.48636092673</v>
      </c>
      <c r="AA176" s="102">
        <f ca="1">IF(AND(Energy!$F$11=$A$3,Main!$B$43=$A176),Summary!AA33,AA176)</f>
        <v>134321.48636092673</v>
      </c>
      <c r="AB176" s="103">
        <f ca="1">IF(AND(Energy!$F$11=$A$3,Main!$B$43=$A176),Summary!AB33,AB176)</f>
        <v>3.8092766641659694</v>
      </c>
      <c r="AC176" s="103">
        <f ca="1">IF(AND(Energy!$F$11=$A$3,Main!$B$43=$A176),Summary!AC33,AC176)</f>
        <v>1.7898187463684798</v>
      </c>
      <c r="AD176" s="103">
        <f ca="1">IF(AND(Energy!$F$11=$A$3,Main!$B$43=$A176),Summary!AD33,AD176)</f>
        <v>0.42641569392270218</v>
      </c>
      <c r="AE176" s="103">
        <f ca="1">IF(AND(Energy!$F$11=$A$3,Main!$B$43=$A176),Summary!AE33,AE176)</f>
        <v>2.2269005847953212</v>
      </c>
      <c r="AF176" s="103">
        <f ca="1">IF(AND(Energy!$F$11=$A$3,Main!$B$43=$A176),Summary!AF33,AF176)</f>
        <v>15.603715170278646</v>
      </c>
      <c r="AG176" s="103">
        <f ca="1">IF(AND(Energy!$F$11=$A$3,Main!$B$43=$A176),Summary!AG33,AG176)</f>
        <v>11.624589715367421</v>
      </c>
      <c r="AH176" s="103">
        <f ca="1">IF(AND(Energy!$F$11=$A$3,Main!$B$43=$A176),Summary!AH33,AH176)</f>
        <v>47</v>
      </c>
      <c r="AI176" s="103">
        <f ca="1">IF(AND(Energy!$F$11=$A$3,Main!$B$43=$A176),Summary!AI33,AI176)</f>
        <v>2.7811874250284081</v>
      </c>
      <c r="AJ176" s="103">
        <f ca="1">IF(AND(Energy!$F$11=$A$3,Main!$B$43=$A176),Summary!AJ33,AJ176)</f>
        <v>0.23123131705736816</v>
      </c>
      <c r="AK176" s="103">
        <f ca="1">IF(AND(Energy!$F$11=$A$3,Main!$B$43=$A176),Summary!AK33,AK176)</f>
        <v>0.01</v>
      </c>
      <c r="AL176" s="103">
        <f ca="1">IF(AND(Energy!$F$11=$A$3,Main!$B$43=$A176),Summary!AL33,AL176)</f>
        <v>-0.54058405948221711</v>
      </c>
      <c r="AM176" s="103">
        <f ca="1">IF(AND(Energy!$F$11=$A$3,Main!$B$43=$A176),Summary!AJ193,AM176)</f>
        <v>0</v>
      </c>
    </row>
    <row r="177" spans="1:39">
      <c r="A177">
        <f t="shared" si="11"/>
        <v>9</v>
      </c>
      <c r="D177" s="1">
        <f ca="1">IF(AND(Energy!$F$11=$A$3,Main!$B$43=A177),Main!C34,D177)</f>
        <v>6.052631578947369</v>
      </c>
      <c r="E177" s="103">
        <f ca="1">IF(AND(Energy!$F$11=$A$3,Main!$B$43=A177),Main!B34,E177)</f>
        <v>0.37777777777777766</v>
      </c>
      <c r="F177" s="103">
        <f ca="1">IF(Main!$D$6=1,U177,IF(Main!$D$6=2,N177,IF(Main!$D$6=3,K177,IF(Main!$D$6=4,V177,J177))))</f>
        <v>553.21870555370515</v>
      </c>
      <c r="G177" s="103">
        <f ca="1">IF(AND(Energy!$F$11=$A$3,Main!$B$43=A177),Weight!H34,G177)</f>
        <v>15</v>
      </c>
      <c r="H177" s="103">
        <f ca="1">IF(AND(Energy!$F$11=$A$3,Main!$B$43=A177),Weight!U34,H177)</f>
        <v>26.282754696808318</v>
      </c>
      <c r="I177" s="103">
        <f ca="1">IF(AND(Energy!$F$11=$A$3,Main!$B$43=A177),Weight!V34,I177)</f>
        <v>54.397776304267111</v>
      </c>
      <c r="J177" s="103">
        <f ca="1">IF(AND(Energy!$F$11=$A$3,Main!$B$43=A177),Weight!I34,J177)</f>
        <v>23.177373332458792</v>
      </c>
      <c r="K177" s="103">
        <f ca="1">IF(AND(Energy!$F$11=$A$3,Main!$B$43=A177),Weight!W34,K177)</f>
        <v>69.397776350251419</v>
      </c>
      <c r="L177" s="103">
        <f ca="1">IF(AND(Energy!$F$11=$A$3,Main!$B$43=A177),'Aerodynamics-Cruise'!BI34,L177)</f>
        <v>69.3977762576163</v>
      </c>
      <c r="M177" s="103">
        <f ca="1">IF(AND(Energy!$F$11=$A$3,Main!$B$43=A177),'Aerodynamics-Cruise'!BJ34,M177)</f>
        <v>3.2397143371509136</v>
      </c>
      <c r="N177" s="103">
        <f ca="1">IF(AND(Energy!$F$11=$A$3,Main!$B$43=A177),'Aerodynamics-Cruise'!BK34,N177)</f>
        <v>21.420955379246941</v>
      </c>
      <c r="O177" s="103">
        <f t="shared" ca="1" si="9"/>
        <v>178.44797078440271</v>
      </c>
      <c r="P177" s="103">
        <f ca="1">IF(AND(Energy!$F$11=$A$3,Main!$B$43=A177),'Aerodynamics-Cruise'!H34,P177)</f>
        <v>7.4891371879461053</v>
      </c>
      <c r="Q177" s="103">
        <f ca="1">IF(AND(Energy!$F$11=$A$3,Main!$B$43=A177),'Aerodynamics-Cruise'!I34,Q177)</f>
        <v>6.2886300977443552</v>
      </c>
      <c r="R177" s="103">
        <f ca="1">IF(AND(Energy!$F$11=$A$3,Main!$B$43=$A177),Summary!R34,R177)</f>
        <v>3.8176292257323365</v>
      </c>
      <c r="S177" s="103">
        <f ca="1">IF(AND(Energy!$F$11=$A$3,Main!$B$43=A177),'Aerodynamics-Cruise'!W34,S177)</f>
        <v>1</v>
      </c>
      <c r="T177" s="103">
        <f ca="1">IF(AND(Energy!$F$11=$A$3,Main!$B$43=A177),'Aerodynamics-Cruise'!BL34,T177)</f>
        <v>24.262665120679074</v>
      </c>
      <c r="U177" s="103">
        <f ca="1">IF(AND(Energy!$F$11=$A$3,Main!$B$43=A177),'Propulsion-Cruise'!M34,U177)</f>
        <v>55.659327324560913</v>
      </c>
      <c r="V177" s="103">
        <f ca="1">IF(AND(Energy!$F$11=$A$3,Main!$B$43=A177),Endurance!AP34,V177)</f>
        <v>553.21870555370515</v>
      </c>
      <c r="W177" s="103">
        <f ca="1">IF(AND(Energy!$F$11=$A$3,Main!$B$43=$A177),Summary!W34,W177)</f>
        <v>2.2865497076023389</v>
      </c>
      <c r="X177" s="13">
        <f ca="1">IF(AND(Energy!$F$11=$A$3,Main!$B$43=A177),Energy!D34,X177)</f>
        <v>998.86710573551284</v>
      </c>
      <c r="Y177" s="102">
        <f ca="1">IF(AND(Energy!$F$11=$A$3,Main!$B$43=A177),'Aerodynamics-Cruise'!V34,Y177)</f>
        <v>179437.60795847114</v>
      </c>
      <c r="Z177" s="102">
        <f ca="1">IF(AND(Energy!$F$11=$A$3,Main!$B$43=$A177),Summary!Z34,Z177)</f>
        <v>133526.80156159471</v>
      </c>
      <c r="AA177" s="102">
        <f ca="1">IF(AND(Energy!$F$11=$A$3,Main!$B$43=$A177),Summary!AA34,AA177)</f>
        <v>133526.80156159471</v>
      </c>
      <c r="AB177" s="103">
        <f ca="1">IF(AND(Energy!$F$11=$A$3,Main!$B$43=$A177),Summary!AB34,AB177)</f>
        <v>3.8176292257323365</v>
      </c>
      <c r="AC177" s="103">
        <f ca="1">IF(AND(Energy!$F$11=$A$3,Main!$B$43=$A177),Summary!AC34,AC177)</f>
        <v>1.7544788706546472</v>
      </c>
      <c r="AD177" s="103">
        <f ca="1">IF(AND(Energy!$F$11=$A$3,Main!$B$43=$A177),Summary!AD34,AD177)</f>
        <v>0.42599423995898461</v>
      </c>
      <c r="AE177" s="103">
        <f ca="1">IF(AND(Energy!$F$11=$A$3,Main!$B$43=$A177),Summary!AE34,AE177)</f>
        <v>2.2865497076023389</v>
      </c>
      <c r="AF177" s="103">
        <f ca="1">IF(AND(Energy!$F$11=$A$3,Main!$B$43=$A177),Summary!AF34,AF177)</f>
        <v>16.021671826625393</v>
      </c>
      <c r="AG177" s="103">
        <f ca="1">IF(AND(Energy!$F$11=$A$3,Main!$B$43=$A177),Summary!AG34,AG177)</f>
        <v>11.641076058852519</v>
      </c>
      <c r="AH177" s="103">
        <f ca="1">IF(AND(Energy!$F$11=$A$3,Main!$B$43=$A177),Summary!AH34,AH177)</f>
        <v>47</v>
      </c>
      <c r="AI177" s="103">
        <f ca="1">IF(AND(Energy!$F$11=$A$3,Main!$B$43=$A177),Summary!AI34,AI177)</f>
        <v>2.7797615470199868</v>
      </c>
      <c r="AJ177" s="103">
        <f ca="1">IF(AND(Energy!$F$11=$A$3,Main!$B$43=$A177),Summary!AJ34,AJ177)</f>
        <v>0.23160536038271967</v>
      </c>
      <c r="AK177" s="103">
        <f ca="1">IF(AND(Energy!$F$11=$A$3,Main!$B$43=$A177),Summary!AK34,AK177)</f>
        <v>0.01</v>
      </c>
      <c r="AL177" s="103">
        <f ca="1">IF(AND(Energy!$F$11=$A$3,Main!$B$43=$A177),Summary!AL34,AL177)</f>
        <v>-0.53971098636178072</v>
      </c>
      <c r="AM177" s="103">
        <f ca="1">IF(AND(Energy!$F$11=$A$3,Main!$B$43=$A177),Summary!AJ194,AM177)</f>
        <v>0</v>
      </c>
    </row>
    <row r="178" spans="1:39">
      <c r="A178">
        <f t="shared" si="11"/>
        <v>9</v>
      </c>
      <c r="D178" s="1">
        <f ca="1">IF(AND(Energy!$F$11=$A$3,Main!$B$43=A178),Main!C35,D178)</f>
        <v>6.2105263157894743</v>
      </c>
      <c r="E178" s="103">
        <f ca="1">IF(AND(Energy!$F$11=$A$3,Main!$B$43=A178),Main!B35,E178)</f>
        <v>0.37777777777777766</v>
      </c>
      <c r="F178" s="103">
        <f ca="1">IF(Main!$D$6=1,U178,IF(Main!$D$6=2,N178,IF(Main!$D$6=3,K178,IF(Main!$D$6=4,V178,J178))))</f>
        <v>556.41410568449248</v>
      </c>
      <c r="G178" s="103">
        <f ca="1">IF(AND(Energy!$F$11=$A$3,Main!$B$43=A178),Weight!H35,G178)</f>
        <v>15</v>
      </c>
      <c r="H178" s="103">
        <f ca="1">IF(AND(Energy!$F$11=$A$3,Main!$B$43=A178),Weight!U35,H178)</f>
        <v>27.171338764908704</v>
      </c>
      <c r="I178" s="103">
        <f ca="1">IF(AND(Energy!$F$11=$A$3,Main!$B$43=A178),Weight!V35,I178)</f>
        <v>55.420233242620469</v>
      </c>
      <c r="J178" s="103">
        <f ca="1">IF(AND(Energy!$F$11=$A$3,Main!$B$43=A178),Weight!I35,J178)</f>
        <v>23.311246202711764</v>
      </c>
      <c r="K178" s="103">
        <f ca="1">IF(AND(Energy!$F$11=$A$3,Main!$B$43=A178),Weight!W35,K178)</f>
        <v>70.420233295791604</v>
      </c>
      <c r="L178" s="103">
        <f ca="1">IF(AND(Energy!$F$11=$A$3,Main!$B$43=A178),'Aerodynamics-Cruise'!BI35,L178)</f>
        <v>70.420233188717773</v>
      </c>
      <c r="M178" s="103">
        <f ca="1">IF(AND(Energy!$F$11=$A$3,Main!$B$43=A178),'Aerodynamics-Cruise'!BJ35,M178)</f>
        <v>3.2580250223458966</v>
      </c>
      <c r="N178" s="103">
        <f ca="1">IF(AND(Energy!$F$11=$A$3,Main!$B$43=A178),'Aerodynamics-Cruise'!BK35,N178)</f>
        <v>21.614392985236389</v>
      </c>
      <c r="O178" s="103">
        <f t="shared" ca="1" si="9"/>
        <v>181.38099201215903</v>
      </c>
      <c r="P178" s="103">
        <f ca="1">IF(AND(Energy!$F$11=$A$3,Main!$B$43=A178),'Aerodynamics-Cruise'!H35,P178)</f>
        <v>7.4475503324288272</v>
      </c>
      <c r="Q178" s="103">
        <f ca="1">IF(AND(Energy!$F$11=$A$3,Main!$B$43=A178),'Aerodynamics-Cruise'!I35,Q178)</f>
        <v>6.2551553526956862</v>
      </c>
      <c r="R178" s="103">
        <f ca="1">IF(AND(Energy!$F$11=$A$3,Main!$B$43=$A178),Summary!R35,R178)</f>
        <v>3.8328000102229365</v>
      </c>
      <c r="S178" s="103">
        <f ca="1">IF(AND(Energy!$F$11=$A$3,Main!$B$43=A178),'Aerodynamics-Cruise'!W35,S178)</f>
        <v>1</v>
      </c>
      <c r="T178" s="103">
        <f ca="1">IF(AND(Energy!$F$11=$A$3,Main!$B$43=A178),'Aerodynamics-Cruise'!BL35,T178)</f>
        <v>24.264305338233619</v>
      </c>
      <c r="U178" s="103">
        <f ca="1">IF(AND(Energy!$F$11=$A$3,Main!$B$43=A178),'Propulsion-Cruise'!M35,U178)</f>
        <v>55.804537750898419</v>
      </c>
      <c r="V178" s="103">
        <f ca="1">IF(AND(Energy!$F$11=$A$3,Main!$B$43=A178),Endurance!AP35,V178)</f>
        <v>556.41410568449248</v>
      </c>
      <c r="W178" s="103">
        <f ca="1">IF(AND(Energy!$F$11=$A$3,Main!$B$43=$A178),Summary!W35,W178)</f>
        <v>2.3461988304093562</v>
      </c>
      <c r="X178" s="13">
        <f ca="1">IF(AND(Energy!$F$11=$A$3,Main!$B$43=A178),Energy!D35,X178)</f>
        <v>1004.636577960665</v>
      </c>
      <c r="Y178" s="102">
        <f ca="1">IF(AND(Energy!$F$11=$A$3,Main!$B$43=A178),'Aerodynamics-Cruise'!V35,Y178)</f>
        <v>178441.19866735203</v>
      </c>
      <c r="Z178" s="102">
        <f ca="1">IF(AND(Energy!$F$11=$A$3,Main!$B$43=$A178),Summary!Z35,Z178)</f>
        <v>132814.83280905325</v>
      </c>
      <c r="AA178" s="102">
        <f ca="1">IF(AND(Energy!$F$11=$A$3,Main!$B$43=$A178),Summary!AA35,AA178)</f>
        <v>132814.83280905325</v>
      </c>
      <c r="AB178" s="103">
        <f ca="1">IF(AND(Energy!$F$11=$A$3,Main!$B$43=$A178),Summary!AB35,AB178)</f>
        <v>3.8328000102229365</v>
      </c>
      <c r="AC178" s="103">
        <f ca="1">IF(AND(Energy!$F$11=$A$3,Main!$B$43=$A178),Summary!AC35,AC178)</f>
        <v>1.7194460696510012</v>
      </c>
      <c r="AD178" s="103">
        <f ca="1">IF(AND(Energy!$F$11=$A$3,Main!$B$43=$A178),Summary!AD35,AD178)</f>
        <v>0.42580800574949035</v>
      </c>
      <c r="AE178" s="103">
        <f ca="1">IF(AND(Energy!$F$11=$A$3,Main!$B$43=$A178),Summary!AE35,AE178)</f>
        <v>2.3461988304093562</v>
      </c>
      <c r="AF178" s="103">
        <f ca="1">IF(AND(Energy!$F$11=$A$3,Main!$B$43=$A178),Summary!AF35,AF178)</f>
        <v>16.439628482972143</v>
      </c>
      <c r="AG178" s="103">
        <f ca="1">IF(AND(Energy!$F$11=$A$3,Main!$B$43=$A178),Summary!AG35,AG178)</f>
        <v>11.665884515314293</v>
      </c>
      <c r="AH178" s="103">
        <f ca="1">IF(AND(Energy!$F$11=$A$3,Main!$B$43=$A178),Summary!AH35,AH178)</f>
        <v>47</v>
      </c>
      <c r="AI178" s="103">
        <f ca="1">IF(AND(Energy!$F$11=$A$3,Main!$B$43=$A178),Summary!AI35,AI178)</f>
        <v>2.7784767289368184</v>
      </c>
      <c r="AJ178" s="103">
        <f ca="1">IF(AND(Energy!$F$11=$A$3,Main!$B$43=$A178),Summary!AJ35,AJ178)</f>
        <v>0.23194536805191776</v>
      </c>
      <c r="AK178" s="103">
        <f ca="1">IF(AND(Energy!$F$11=$A$3,Main!$B$43=$A178),Summary!AK35,AK178)</f>
        <v>0.01</v>
      </c>
      <c r="AL178" s="103">
        <f ca="1">IF(AND(Energy!$F$11=$A$3,Main!$B$43=$A178),Summary!AL35,AL178)</f>
        <v>-0.53891979803690315</v>
      </c>
      <c r="AM178" s="103">
        <f ca="1">IF(AND(Energy!$F$11=$A$3,Main!$B$43=$A178),Summary!AJ195,AM178)</f>
        <v>0</v>
      </c>
    </row>
    <row r="179" spans="1:39">
      <c r="A179">
        <f t="shared" si="11"/>
        <v>9</v>
      </c>
      <c r="D179" s="1">
        <f ca="1">IF(AND(Energy!$F$11=$A$3,Main!$B$43=A179),Main!C36,D179)</f>
        <v>6.3684210526315796</v>
      </c>
      <c r="E179" s="103">
        <f ca="1">IF(AND(Energy!$F$11=$A$3,Main!$B$43=A179),Main!B36,E179)</f>
        <v>0.37777777777777766</v>
      </c>
      <c r="F179" s="103">
        <f ca="1">IF(Main!$D$6=1,U179,IF(Main!$D$6=2,N179,IF(Main!$D$6=3,K179,IF(Main!$D$6=4,V179,J179))))</f>
        <v>560.21497033519836</v>
      </c>
      <c r="G179" s="103">
        <f ca="1">IF(AND(Energy!$F$11=$A$3,Main!$B$43=A179),Weight!H36,G179)</f>
        <v>15</v>
      </c>
      <c r="H179" s="103">
        <f ca="1">IF(AND(Energy!$F$11=$A$3,Main!$B$43=A179),Weight!U36,H179)</f>
        <v>28.084757675582708</v>
      </c>
      <c r="I179" s="103">
        <f ca="1">IF(AND(Energy!$F$11=$A$3,Main!$B$43=A179),Weight!V36,I179)</f>
        <v>56.492891261125678</v>
      </c>
      <c r="J179" s="103">
        <f ca="1">IF(AND(Energy!$F$11=$A$3,Main!$B$43=A179),Weight!I36,J179)</f>
        <v>23.470485310542973</v>
      </c>
      <c r="K179" s="103">
        <f ca="1">IF(AND(Energy!$F$11=$A$3,Main!$B$43=A179),Weight!W36,K179)</f>
        <v>71.492891321706253</v>
      </c>
      <c r="L179" s="103">
        <f ca="1">IF(AND(Energy!$F$11=$A$3,Main!$B$43=A179),'Aerodynamics-Cruise'!BI36,L179)</f>
        <v>71.492891199747788</v>
      </c>
      <c r="M179" s="103">
        <f ca="1">IF(AND(Energy!$F$11=$A$3,Main!$B$43=A179),'Aerodynamics-Cruise'!BJ36,M179)</f>
        <v>3.278812006726044</v>
      </c>
      <c r="N179" s="103">
        <f ca="1">IF(AND(Energy!$F$11=$A$3,Main!$B$43=A179),'Aerodynamics-Cruise'!BK36,N179)</f>
        <v>21.804510613322659</v>
      </c>
      <c r="O179" s="103">
        <f t="shared" ca="1" si="9"/>
        <v>184.36470122090117</v>
      </c>
      <c r="P179" s="103">
        <f ca="1">IF(AND(Energy!$F$11=$A$3,Main!$B$43=A179),'Aerodynamics-Cruise'!H36,P179)</f>
        <v>7.4104131279815935</v>
      </c>
      <c r="Q179" s="103">
        <f ca="1">IF(AND(Energy!$F$11=$A$3,Main!$B$43=A179),'Aerodynamics-Cruise'!I36,Q179)</f>
        <v>6.2252566455264686</v>
      </c>
      <c r="R179" s="103">
        <f ca="1">IF(AND(Energy!$F$11=$A$3,Main!$B$43=$A179),Summary!R36,R179)</f>
        <v>3.854345349145305</v>
      </c>
      <c r="S179" s="103">
        <f ca="1">IF(AND(Energy!$F$11=$A$3,Main!$B$43=A179),'Aerodynamics-Cruise'!W36,S179)</f>
        <v>1</v>
      </c>
      <c r="T179" s="103">
        <f ca="1">IF(AND(Energy!$F$11=$A$3,Main!$B$43=A179),'Aerodynamics-Cruise'!BL36,T179)</f>
        <v>24.297351538826348</v>
      </c>
      <c r="U179" s="103">
        <f ca="1">IF(AND(Energy!$F$11=$A$3,Main!$B$43=A179),'Propulsion-Cruise'!M36,U179)</f>
        <v>56.012607751379662</v>
      </c>
      <c r="V179" s="103">
        <f ca="1">IF(AND(Energy!$F$11=$A$3,Main!$B$43=A179),Endurance!AP36,V179)</f>
        <v>560.21497033519836</v>
      </c>
      <c r="W179" s="103">
        <f ca="1">IF(AND(Energy!$F$11=$A$3,Main!$B$43=$A179),Summary!W36,W179)</f>
        <v>2.4058479532163739</v>
      </c>
      <c r="X179" s="13">
        <f ca="1">IF(AND(Energy!$F$11=$A$3,Main!$B$43=A179),Energy!D36,X179)</f>
        <v>1011.4992500078947</v>
      </c>
      <c r="Y179" s="102">
        <f ca="1">IF(AND(Energy!$F$11=$A$3,Main!$B$43=A179),'Aerodynamics-Cruise'!V36,Y179)</f>
        <v>177551.40175683453</v>
      </c>
      <c r="Z179" s="102">
        <f ca="1">IF(AND(Energy!$F$11=$A$3,Main!$B$43=$A179),Summary!Z36,Z179)</f>
        <v>132178.92686115109</v>
      </c>
      <c r="AA179" s="102">
        <f ca="1">IF(AND(Energy!$F$11=$A$3,Main!$B$43=$A179),Summary!AA36,AA179)</f>
        <v>132178.92686115109</v>
      </c>
      <c r="AB179" s="103">
        <f ca="1">IF(AND(Energy!$F$11=$A$3,Main!$B$43=$A179),Summary!AB36,AB179)</f>
        <v>3.854345349145305</v>
      </c>
      <c r="AC179" s="103">
        <f ca="1">IF(AND(Energy!$F$11=$A$3,Main!$B$43=$A179),Summary!AC36,AC179)</f>
        <v>1.6847818024968155</v>
      </c>
      <c r="AD179" s="103">
        <f ca="1">IF(AND(Energy!$F$11=$A$3,Main!$B$43=$A179),Summary!AD36,AD179)</f>
        <v>0.42583831824561275</v>
      </c>
      <c r="AE179" s="103">
        <f ca="1">IF(AND(Energy!$F$11=$A$3,Main!$B$43=$A179),Summary!AE36,AE179)</f>
        <v>2.4058479532163739</v>
      </c>
      <c r="AF179" s="103">
        <f ca="1">IF(AND(Energy!$F$11=$A$3,Main!$B$43=$A179),Summary!AF36,AF179)</f>
        <v>16.857585139318893</v>
      </c>
      <c r="AG179" s="103">
        <f ca="1">IF(AND(Energy!$F$11=$A$3,Main!$B$43=$A179),Summary!AG36,AG179)</f>
        <v>11.698360896010776</v>
      </c>
      <c r="AH179" s="103">
        <f ca="1">IF(AND(Energy!$F$11=$A$3,Main!$B$43=$A179),Summary!AH36,AH179)</f>
        <v>47</v>
      </c>
      <c r="AI179" s="103">
        <f ca="1">IF(AND(Energy!$F$11=$A$3,Main!$B$43=$A179),Summary!AI36,AI179)</f>
        <v>2.7773229947415898</v>
      </c>
      <c r="AJ179" s="103">
        <f ca="1">IF(AND(Energy!$F$11=$A$3,Main!$B$43=$A179),Summary!AJ36,AJ179)</f>
        <v>0.23225372938810193</v>
      </c>
      <c r="AK179" s="103">
        <f ca="1">IF(AND(Energy!$F$11=$A$3,Main!$B$43=$A179),Summary!AK36,AK179)</f>
        <v>0.01</v>
      </c>
      <c r="AL179" s="103">
        <f ca="1">IF(AND(Energy!$F$11=$A$3,Main!$B$43=$A179),Summary!AL36,AL179)</f>
        <v>-0.53820425024289131</v>
      </c>
      <c r="AM179" s="103">
        <f ca="1">IF(AND(Energy!$F$11=$A$3,Main!$B$43=$A179),Summary!AJ196,AM179)</f>
        <v>0</v>
      </c>
    </row>
    <row r="180" spans="1:39">
      <c r="A180">
        <f t="shared" si="11"/>
        <v>9</v>
      </c>
      <c r="D180" s="1">
        <f ca="1">IF(AND(Energy!$F$11=$A$3,Main!$B$43=A180),Main!C37,D180)</f>
        <v>6.526315789473685</v>
      </c>
      <c r="E180" s="103">
        <f ca="1">IF(AND(Energy!$F$11=$A$3,Main!$B$43=A180),Main!B37,E180)</f>
        <v>0.37777777777777766</v>
      </c>
      <c r="F180" s="103">
        <f ca="1">IF(Main!$D$6=1,U180,IF(Main!$D$6=2,N180,IF(Main!$D$6=3,K180,IF(Main!$D$6=4,V180,J180))))</f>
        <v>569.54167427395976</v>
      </c>
      <c r="G180" s="103">
        <f ca="1">IF(AND(Energy!$F$11=$A$3,Main!$B$43=A180),Weight!H37,G180)</f>
        <v>15</v>
      </c>
      <c r="H180" s="103">
        <f ca="1">IF(AND(Energy!$F$11=$A$3,Main!$B$43=A180),Weight!U37,H180)</f>
        <v>29.074501482744324</v>
      </c>
      <c r="I180" s="103">
        <f ca="1">IF(AND(Energy!$F$11=$A$3,Main!$B$43=A180),Weight!V37,I180)</f>
        <v>57.87307136184846</v>
      </c>
      <c r="J180" s="103">
        <f ca="1">IF(AND(Energy!$F$11=$A$3,Main!$B$43=A180),Weight!I37,J180)</f>
        <v>23.860921604104139</v>
      </c>
      <c r="K180" s="103">
        <f ca="1">IF(AND(Energy!$F$11=$A$3,Main!$B$43=A180),Weight!W37,K180)</f>
        <v>72.873270381562108</v>
      </c>
      <c r="L180" s="103">
        <f ca="1">IF(AND(Energy!$F$11=$A$3,Main!$B$43=A180),'Aerodynamics-Cruise'!BI37,L180)</f>
        <v>72.872871056344749</v>
      </c>
      <c r="M180" s="103">
        <f ca="1">IF(AND(Energy!$F$11=$A$3,Main!$B$43=A180),'Aerodynamics-Cruise'!BJ37,M180)</f>
        <v>3.3104305197043198</v>
      </c>
      <c r="N180" s="103">
        <f ca="1">IF(AND(Energy!$F$11=$A$3,Main!$B$43=A180),'Aerodynamics-Cruise'!BK37,N180)</f>
        <v>22.013109963369232</v>
      </c>
      <c r="O180" s="103">
        <f t="shared" ca="1" si="9"/>
        <v>187.91625258476526</v>
      </c>
      <c r="P180" s="103">
        <f ca="1">IF(AND(Energy!$F$11=$A$3,Main!$B$43=A180),'Aerodynamics-Cruise'!H37,P180)</f>
        <v>7.3905008909976377</v>
      </c>
      <c r="Q180" s="103">
        <f ca="1">IF(AND(Energy!$F$11=$A$3,Main!$B$43=A180),'Aerodynamics-Cruise'!I37,Q180)</f>
        <v>6.2092354488666297</v>
      </c>
      <c r="R180" s="103">
        <f ca="1">IF(AND(Energy!$F$11=$A$3,Main!$B$43=$A180),Summary!R37,R180)</f>
        <v>3.9096699011259437</v>
      </c>
      <c r="S180" s="103">
        <f ca="1">IF(AND(Energy!$F$11=$A$3,Main!$B$43=A180),'Aerodynamics-Cruise'!W37,S180)</f>
        <v>1</v>
      </c>
      <c r="T180" s="103">
        <f ca="1">IF(AND(Energy!$F$11=$A$3,Main!$B$43=A180),'Aerodynamics-Cruise'!BL37,T180)</f>
        <v>24.46573970546055</v>
      </c>
      <c r="U180" s="103">
        <f ca="1">IF(AND(Energy!$F$11=$A$3,Main!$B$43=A180),'Propulsion-Cruise'!M37,U180)</f>
        <v>56.486813939955354</v>
      </c>
      <c r="V180" s="103">
        <f ca="1">IF(AND(Energy!$F$11=$A$3,Main!$B$43=A180),Endurance!AP37,V180)</f>
        <v>569.54167427395976</v>
      </c>
      <c r="W180" s="103">
        <f ca="1">IF(AND(Energy!$F$11=$A$3,Main!$B$43=$A180),Summary!W37,W180)</f>
        <v>2.4654970760233912</v>
      </c>
      <c r="X180" s="13">
        <f ca="1">IF(AND(Energy!$F$11=$A$3,Main!$B$43=A180),Energy!D37,X180)</f>
        <v>1028.3324603955759</v>
      </c>
      <c r="Y180" s="102">
        <f ca="1">IF(AND(Energy!$F$11=$A$3,Main!$B$43=A180),'Aerodynamics-Cruise'!V37,Y180)</f>
        <v>177074.3101929019</v>
      </c>
      <c r="Z180" s="102">
        <f ca="1">IF(AND(Energy!$F$11=$A$3,Main!$B$43=$A180),Summary!Z37,Z180)</f>
        <v>131838.16770180225</v>
      </c>
      <c r="AA180" s="102">
        <f ca="1">IF(AND(Energy!$F$11=$A$3,Main!$B$43=$A180),Summary!AA37,AA180)</f>
        <v>131838.16770180225</v>
      </c>
      <c r="AB180" s="103">
        <f ca="1">IF(AND(Energy!$F$11=$A$3,Main!$B$43=$A180),Summary!AB37,AB180)</f>
        <v>3.9096699011259437</v>
      </c>
      <c r="AC180" s="103">
        <f ca="1">IF(AND(Energy!$F$11=$A$3,Main!$B$43=$A180),Summary!AC37,AC180)</f>
        <v>1.6461280842310784</v>
      </c>
      <c r="AD180" s="103">
        <f ca="1">IF(AND(Energy!$F$11=$A$3,Main!$B$43=$A180),Summary!AD37,AD180)</f>
        <v>0.42677212023660593</v>
      </c>
      <c r="AE180" s="103">
        <f ca="1">IF(AND(Energy!$F$11=$A$3,Main!$B$43=$A180),Summary!AE37,AE180)</f>
        <v>2.4654970760233912</v>
      </c>
      <c r="AF180" s="103">
        <f ca="1">IF(AND(Energy!$F$11=$A$3,Main!$B$43=$A180),Summary!AF37,AF180)</f>
        <v>17.275541795665642</v>
      </c>
      <c r="AG180" s="103">
        <f ca="1">IF(AND(Energy!$F$11=$A$3,Main!$B$43=$A180),Summary!AG37,AG180)</f>
        <v>11.763554256172567</v>
      </c>
      <c r="AH180" s="103">
        <f ca="1">IF(AND(Energy!$F$11=$A$3,Main!$B$43=$A180),Summary!AH37,AH180)</f>
        <v>47</v>
      </c>
      <c r="AI180" s="103">
        <f ca="1">IF(AND(Energy!$F$11=$A$3,Main!$B$43=$A180),Summary!AI37,AI180)</f>
        <v>2.7766676987660008</v>
      </c>
      <c r="AJ180" s="103">
        <f ca="1">IF(AND(Energy!$F$11=$A$3,Main!$B$43=$A180),Summary!AJ37,AJ180)</f>
        <v>0.23248011099778465</v>
      </c>
      <c r="AK180" s="103">
        <f ca="1">IF(AND(Energy!$F$11=$A$3,Main!$B$43=$A180),Summary!AK37,AK180)</f>
        <v>0.01</v>
      </c>
      <c r="AL180" s="103">
        <f ca="1">IF(AND(Energy!$F$11=$A$3,Main!$B$43=$A180),Summary!AL37,AL180)</f>
        <v>-0.53767985623109393</v>
      </c>
      <c r="AM180" s="103">
        <f ca="1">IF(AND(Energy!$F$11=$A$3,Main!$B$43=$A180),Summary!AJ197,AM180)</f>
        <v>0</v>
      </c>
    </row>
    <row r="181" spans="1:39">
      <c r="A181">
        <f t="shared" si="11"/>
        <v>9</v>
      </c>
      <c r="D181" s="1">
        <f ca="1">IF(AND(Energy!$F$11=$A$3,Main!$B$43=A181),Main!C38,D181)</f>
        <v>6.6842105263157903</v>
      </c>
      <c r="E181" s="103">
        <f ca="1">IF(AND(Energy!$F$11=$A$3,Main!$B$43=A181),Main!B38,E181)</f>
        <v>0.37777777777777766</v>
      </c>
      <c r="F181" s="103">
        <f ca="1">IF(Main!$D$6=1,U181,IF(Main!$D$6=2,N181,IF(Main!$D$6=3,K181,IF(Main!$D$6=4,V181,J181))))</f>
        <v>577.44607857872631</v>
      </c>
      <c r="G181" s="103">
        <f ca="1">IF(AND(Energy!$F$11=$A$3,Main!$B$43=A181),Weight!H38,G181)</f>
        <v>15</v>
      </c>
      <c r="H181" s="103">
        <f ca="1">IF(AND(Energy!$F$11=$A$3,Main!$B$43=A181),Weight!U38,H181)</f>
        <v>30.072112637466006</v>
      </c>
      <c r="I181" s="103">
        <f ca="1">IF(AND(Energy!$F$11=$A$3,Main!$B$43=A181),Weight!V38,I181)</f>
        <v>59.202152002695456</v>
      </c>
      <c r="J181" s="103">
        <f ca="1">IF(AND(Energy!$F$11=$A$3,Main!$B$43=A181),Weight!I38,J181)</f>
        <v>24.192391090229453</v>
      </c>
      <c r="K181" s="103">
        <f ca="1">IF(AND(Energy!$F$11=$A$3,Main!$B$43=A181),Weight!W38,K181)</f>
        <v>74.202152119646342</v>
      </c>
      <c r="L181" s="103">
        <f ca="1">IF(AND(Energy!$F$11=$A$3,Main!$B$43=A181),'Aerodynamics-Cruise'!BI38,L181)</f>
        <v>74.202151884872976</v>
      </c>
      <c r="M181" s="103">
        <f ca="1">IF(AND(Energy!$F$11=$A$3,Main!$B$43=A181),'Aerodynamics-Cruise'!BJ38,M181)</f>
        <v>3.3407705124838385</v>
      </c>
      <c r="N181" s="103">
        <f ca="1">IF(AND(Energy!$F$11=$A$3,Main!$B$43=A181),'Aerodynamics-Cruise'!BK38,N181)</f>
        <v>22.211089210585801</v>
      </c>
      <c r="O181" s="103">
        <f t="shared" ca="1" si="9"/>
        <v>191.32781267138895</v>
      </c>
      <c r="P181" s="103">
        <f ca="1">IF(AND(Energy!$F$11=$A$3,Main!$B$43=A181),'Aerodynamics-Cruise'!H38,P181)</f>
        <v>7.3689633996044668</v>
      </c>
      <c r="Q181" s="103">
        <f ca="1">IF(AND(Energy!$F$11=$A$3,Main!$B$43=A181),'Aerodynamics-Cruise'!I38,Q181)</f>
        <v>6.1918981571693861</v>
      </c>
      <c r="R181" s="103">
        <f ca="1">IF(AND(Energy!$F$11=$A$3,Main!$B$43=$A181),Summary!R38,R181)</f>
        <v>3.9598153533731617</v>
      </c>
      <c r="S181" s="103">
        <f ca="1">IF(AND(Energy!$F$11=$A$3,Main!$B$43=A181),'Aerodynamics-Cruise'!W38,S181)</f>
        <v>1</v>
      </c>
      <c r="T181" s="103">
        <f ca="1">IF(AND(Energy!$F$11=$A$3,Main!$B$43=A181),'Aerodynamics-Cruise'!BL38,T181)</f>
        <v>24.618015632971264</v>
      </c>
      <c r="U181" s="103">
        <f ca="1">IF(AND(Energy!$F$11=$A$3,Main!$B$43=A181),'Propulsion-Cruise'!M38,U181)</f>
        <v>56.934019514682106</v>
      </c>
      <c r="V181" s="103">
        <f ca="1">IF(AND(Energy!$F$11=$A$3,Main!$B$43=A181),Endurance!AP38,V181)</f>
        <v>577.44607857872631</v>
      </c>
      <c r="W181" s="103">
        <f ca="1">IF(AND(Energy!$F$11=$A$3,Main!$B$43=$A181),Summary!W38,W181)</f>
        <v>2.5251461988304089</v>
      </c>
      <c r="X181" s="13">
        <f ca="1">IF(AND(Energy!$F$11=$A$3,Main!$B$43=A181),Energy!D38,X181)</f>
        <v>1042.6109713215847</v>
      </c>
      <c r="Y181" s="102">
        <f ca="1">IF(AND(Energy!$F$11=$A$3,Main!$B$43=A181),'Aerodynamics-Cruise'!V38,Y181)</f>
        <v>176558.27799319313</v>
      </c>
      <c r="Z181" s="102">
        <f ca="1">IF(AND(Energy!$F$11=$A$3,Main!$B$43=$A181),Summary!Z38,Z181)</f>
        <v>131469.42515976189</v>
      </c>
      <c r="AA181" s="102">
        <f ca="1">IF(AND(Energy!$F$11=$A$3,Main!$B$43=$A181),Summary!AA38,AA181)</f>
        <v>131469.42515976189</v>
      </c>
      <c r="AB181" s="103">
        <f ca="1">IF(AND(Energy!$F$11=$A$3,Main!$B$43=$A181),Summary!AB38,AB181)</f>
        <v>3.9598153533731617</v>
      </c>
      <c r="AC181" s="103">
        <f ca="1">IF(AND(Energy!$F$11=$A$3,Main!$B$43=$A181),Summary!AC38,AC181)</f>
        <v>1.6098881381709265</v>
      </c>
      <c r="AD181" s="103">
        <f ca="1">IF(AND(Energy!$F$11=$A$3,Main!$B$43=$A181),Summary!AD38,AD181)</f>
        <v>0.4276038503894099</v>
      </c>
      <c r="AE181" s="103">
        <f ca="1">IF(AND(Energy!$F$11=$A$3,Main!$B$43=$A181),Summary!AE38,AE181)</f>
        <v>2.5251461988304089</v>
      </c>
      <c r="AF181" s="103">
        <f ca="1">IF(AND(Energy!$F$11=$A$3,Main!$B$43=$A181),Summary!AF38,AF181)</f>
        <v>17.693498452012392</v>
      </c>
      <c r="AG181" s="103">
        <f ca="1">IF(AND(Energy!$F$11=$A$3,Main!$B$43=$A181),Summary!AG38,AG181)</f>
        <v>11.825416934611908</v>
      </c>
      <c r="AH181" s="103">
        <f ca="1">IF(AND(Energy!$F$11=$A$3,Main!$B$43=$A181),Summary!AH38,AH181)</f>
        <v>47</v>
      </c>
      <c r="AI181" s="103">
        <f ca="1">IF(AND(Energy!$F$11=$A$3,Main!$B$43=$A181),Summary!AI38,AI181)</f>
        <v>2.7760114880315001</v>
      </c>
      <c r="AJ181" s="103">
        <f ca="1">IF(AND(Energy!$F$11=$A$3,Main!$B$43=$A181),Summary!AJ38,AJ181)</f>
        <v>0.23268683222660877</v>
      </c>
      <c r="AK181" s="103">
        <f ca="1">IF(AND(Energy!$F$11=$A$3,Main!$B$43=$A181),Summary!AK38,AK181)</f>
        <v>0.01</v>
      </c>
      <c r="AL181" s="103">
        <f ca="1">IF(AND(Energy!$F$11=$A$3,Main!$B$43=$A181),Summary!AL38,AL181)</f>
        <v>-0.53720220075162506</v>
      </c>
      <c r="AM181" s="103">
        <f ca="1">IF(AND(Energy!$F$11=$A$3,Main!$B$43=$A181),Summary!AJ198,AM181)</f>
        <v>0</v>
      </c>
    </row>
    <row r="182" spans="1:39">
      <c r="A182">
        <f t="shared" si="11"/>
        <v>9</v>
      </c>
      <c r="D182" s="1">
        <f ca="1">IF(AND(Energy!$F$11=$A$3,Main!$B$43=A182),Main!C39,D182)</f>
        <v>6.8421052631578956</v>
      </c>
      <c r="E182" s="103">
        <f ca="1">IF(AND(Energy!$F$11=$A$3,Main!$B$43=A182),Main!B39,E182)</f>
        <v>0.37777777777777766</v>
      </c>
      <c r="F182" s="103">
        <f ca="1">IF(Main!$D$6=1,U182,IF(Main!$D$6=2,N182,IF(Main!$D$6=3,K182,IF(Main!$D$6=4,V182,J182))))</f>
        <v>579.32148462094585</v>
      </c>
      <c r="G182" s="103">
        <f ca="1">IF(AND(Energy!$F$11=$A$3,Main!$B$43=A182),Weight!H39,G182)</f>
        <v>15</v>
      </c>
      <c r="H182" s="103">
        <f ca="1">IF(AND(Energy!$F$11=$A$3,Main!$B$43=A182),Weight!U39,H182)</f>
        <v>31.024499077261076</v>
      </c>
      <c r="I182" s="103">
        <f ca="1">IF(AND(Energy!$F$11=$A$3,Main!$B$43=A182),Weight!V39,I182)</f>
        <v>60.233109545316552</v>
      </c>
      <c r="J182" s="103">
        <f ca="1">IF(AND(Energy!$F$11=$A$3,Main!$B$43=A182),Weight!I39,J182)</f>
        <v>24.270962193055475</v>
      </c>
      <c r="K182" s="103">
        <f ca="1">IF(AND(Energy!$F$11=$A$3,Main!$B$43=A182),Weight!W39,K182)</f>
        <v>75.233109642077878</v>
      </c>
      <c r="L182" s="103">
        <f ca="1">IF(AND(Energy!$F$11=$A$3,Main!$B$43=A182),'Aerodynamics-Cruise'!BI39,L182)</f>
        <v>75.233109447841329</v>
      </c>
      <c r="M182" s="103">
        <f ca="1">IF(AND(Energy!$F$11=$A$3,Main!$B$43=A182),'Aerodynamics-Cruise'!BJ39,M182)</f>
        <v>3.3619368356618824</v>
      </c>
      <c r="N182" s="103">
        <f ca="1">IF(AND(Energy!$F$11=$A$3,Main!$B$43=A182),'Aerodynamics-Cruise'!BK39,N182)</f>
        <v>22.377906880879809</v>
      </c>
      <c r="O182" s="103">
        <f t="shared" ca="1" si="9"/>
        <v>194.09929961977593</v>
      </c>
      <c r="P182" s="103">
        <f ca="1">IF(AND(Energy!$F$11=$A$3,Main!$B$43=A182),'Aerodynamics-Cruise'!H39,P182)</f>
        <v>7.3338360042568276</v>
      </c>
      <c r="Q182" s="103">
        <f ca="1">IF(AND(Energy!$F$11=$A$3,Main!$B$43=A182),'Aerodynamics-Cruise'!I39,Q182)</f>
        <v>6.1636006964038286</v>
      </c>
      <c r="R182" s="103">
        <f ca="1">IF(AND(Energy!$F$11=$A$3,Main!$B$43=$A182),Summary!R39,R182)</f>
        <v>3.9786331265638255</v>
      </c>
      <c r="S182" s="103">
        <f ca="1">IF(AND(Energy!$F$11=$A$3,Main!$B$43=A182),'Aerodynamics-Cruise'!W39,S182)</f>
        <v>1</v>
      </c>
      <c r="T182" s="103">
        <f ca="1">IF(AND(Energy!$F$11=$A$3,Main!$B$43=A182),'Aerodynamics-Cruise'!BL39,T182)</f>
        <v>24.655893409414382</v>
      </c>
      <c r="U182" s="103">
        <f ca="1">IF(AND(Energy!$F$11=$A$3,Main!$B$43=A182),'Propulsion-Cruise'!M39,U182)</f>
        <v>57.156676700520741</v>
      </c>
      <c r="V182" s="103">
        <f ca="1">IF(AND(Energy!$F$11=$A$3,Main!$B$43=A182),Endurance!AP39,V182)</f>
        <v>579.32148462094585</v>
      </c>
      <c r="W182" s="103">
        <f ca="1">IF(AND(Energy!$F$11=$A$3,Main!$B$43=$A182),Summary!W39,W182)</f>
        <v>2.5847953216374262</v>
      </c>
      <c r="X182" s="13">
        <f ca="1">IF(AND(Energy!$F$11=$A$3,Main!$B$43=A182),Energy!D39,X182)</f>
        <v>1045.9971218061326</v>
      </c>
      <c r="Y182" s="102">
        <f ca="1">IF(AND(Energy!$F$11=$A$3,Main!$B$43=A182),'Aerodynamics-Cruise'!V39,Y182)</f>
        <v>175716.63554002281</v>
      </c>
      <c r="Z182" s="102">
        <f ca="1">IF(AND(Energy!$F$11=$A$3,Main!$B$43=$A182),Summary!Z39,Z182)</f>
        <v>130867.58972286247</v>
      </c>
      <c r="AA182" s="102">
        <f ca="1">IF(AND(Energy!$F$11=$A$3,Main!$B$43=$A182),Summary!AA39,AA182)</f>
        <v>130867.58972286247</v>
      </c>
      <c r="AB182" s="103">
        <f ca="1">IF(AND(Energy!$F$11=$A$3,Main!$B$43=$A182),Summary!AB39,AB182)</f>
        <v>3.9786331265638255</v>
      </c>
      <c r="AC182" s="103">
        <f ca="1">IF(AND(Energy!$F$11=$A$3,Main!$B$43=$A182),Summary!AC39,AC182)</f>
        <v>1.5797419130961459</v>
      </c>
      <c r="AD182" s="103">
        <f ca="1">IF(AND(Energy!$F$11=$A$3,Main!$B$43=$A182),Summary!AD39,AD182)</f>
        <v>0.42768844402730111</v>
      </c>
      <c r="AE182" s="103">
        <f ca="1">IF(AND(Energy!$F$11=$A$3,Main!$B$43=$A182),Summary!AE39,AE182)</f>
        <v>2.5847953216374262</v>
      </c>
      <c r="AF182" s="103">
        <f ca="1">IF(AND(Energy!$F$11=$A$3,Main!$B$43=$A182),Summary!AF39,AF182)</f>
        <v>18.111455108359142</v>
      </c>
      <c r="AG182" s="103">
        <f ca="1">IF(AND(Energy!$F$11=$A$3,Main!$B$43=$A182),Summary!AG39,AG182)</f>
        <v>11.859220574212634</v>
      </c>
      <c r="AH182" s="103">
        <f ca="1">IF(AND(Energy!$F$11=$A$3,Main!$B$43=$A182),Summary!AH39,AH182)</f>
        <v>47</v>
      </c>
      <c r="AI182" s="103">
        <f ca="1">IF(AND(Energy!$F$11=$A$3,Main!$B$43=$A182),Summary!AI39,AI182)</f>
        <v>2.7749136100506115</v>
      </c>
      <c r="AJ182" s="103">
        <f ca="1">IF(AND(Energy!$F$11=$A$3,Main!$B$43=$A182),Summary!AJ39,AJ182)</f>
        <v>0.23295478176026763</v>
      </c>
      <c r="AK182" s="103">
        <f ca="1">IF(AND(Energy!$F$11=$A$3,Main!$B$43=$A182),Summary!AK39,AK182)</f>
        <v>0.01</v>
      </c>
      <c r="AL182" s="103">
        <f ca="1">IF(AND(Energy!$F$11=$A$3,Main!$B$43=$A182),Summary!AL39,AL182)</f>
        <v>-0.53658439235941546</v>
      </c>
      <c r="AM182" s="103">
        <f ca="1">IF(AND(Energy!$F$11=$A$3,Main!$B$43=$A182),Summary!AJ199,AM182)</f>
        <v>0</v>
      </c>
    </row>
    <row r="183" spans="1:39">
      <c r="A183">
        <f t="shared" si="11"/>
        <v>9</v>
      </c>
      <c r="D183" s="1">
        <f ca="1">IF(AND(Energy!$F$11=$A$3,Main!$B$43=A183),Main!C40,D183)</f>
        <v>7</v>
      </c>
      <c r="E183" s="103">
        <f ca="1">IF(AND(Energy!$F$11=$A$3,Main!$B$43=A183),Main!B40,E183)</f>
        <v>0.37777777777777766</v>
      </c>
      <c r="F183" s="103">
        <f ca="1">IF(Main!$D$6=1,U183,IF(Main!$D$6=2,N183,IF(Main!$D$6=3,K183,IF(Main!$D$6=4,V183,J183))))</f>
        <v>581.60265025472881</v>
      </c>
      <c r="G183" s="103">
        <f ca="1">IF(AND(Energy!$F$11=$A$3,Main!$B$43=A183),Weight!H40,G183)</f>
        <v>15</v>
      </c>
      <c r="H183" s="103">
        <f ca="1">IF(AND(Energy!$F$11=$A$3,Main!$B$43=A183),Weight!U40,H183)</f>
        <v>32.000210174265874</v>
      </c>
      <c r="I183" s="103">
        <f ca="1">IF(AND(Energy!$F$11=$A$3,Main!$B$43=A183),Weight!V40,I183)</f>
        <v>61.304391639086788</v>
      </c>
      <c r="J183" s="103">
        <f ca="1">IF(AND(Energy!$F$11=$A$3,Main!$B$43=A183),Weight!I40,J183)</f>
        <v>24.36653318982091</v>
      </c>
      <c r="K183" s="103">
        <f ca="1">IF(AND(Energy!$F$11=$A$3,Main!$B$43=A183),Weight!W40,K183)</f>
        <v>76.304391460083281</v>
      </c>
      <c r="L183" s="103">
        <f ca="1">IF(AND(Energy!$F$11=$A$3,Main!$B$43=A183),'Aerodynamics-Cruise'!BI40,L183)</f>
        <v>76.304391819157175</v>
      </c>
      <c r="M183" s="103">
        <f ca="1">IF(AND(Energy!$F$11=$A$3,Main!$B$43=A183),'Aerodynamics-Cruise'!BJ40,M183)</f>
        <v>3.3849896092804936</v>
      </c>
      <c r="N183" s="103">
        <f ca="1">IF(AND(Energy!$F$11=$A$3,Main!$B$43=A183),'Aerodynamics-Cruise'!BK40,N183)</f>
        <v>22.541987015250033</v>
      </c>
      <c r="O183" s="103">
        <f t="shared" ca="1" si="9"/>
        <v>196.90963305794543</v>
      </c>
      <c r="P183" s="103">
        <f ca="1">IF(AND(Energy!$F$11=$A$3,Main!$B$43=A183),'Aerodynamics-Cruise'!H40,P183)</f>
        <v>7.302066371853539</v>
      </c>
      <c r="Q183" s="103">
        <f ca="1">IF(AND(Energy!$F$11=$A$3,Main!$B$43=A183),'Aerodynamics-Cruise'!I40,Q183)</f>
        <v>6.1380038767992167</v>
      </c>
      <c r="R183" s="103">
        <f ca="1">IF(AND(Energy!$F$11=$A$3,Main!$B$43=$A183),Summary!R40,R183)</f>
        <v>4.0015529128550158</v>
      </c>
      <c r="S183" s="103">
        <f ca="1">IF(AND(Energy!$F$11=$A$3,Main!$B$43=A183),'Aerodynamics-Cruise'!W40,S183)</f>
        <v>1</v>
      </c>
      <c r="T183" s="103">
        <f ca="1">IF(AND(Energy!$F$11=$A$3,Main!$B$43=A183),'Aerodynamics-Cruise'!BL40,T183)</f>
        <v>24.717418795000743</v>
      </c>
      <c r="U183" s="103">
        <f ca="1">IF(AND(Energy!$F$11=$A$3,Main!$B$43=A183),'Propulsion-Cruise'!M40,U183)</f>
        <v>57.427438851074392</v>
      </c>
      <c r="V183" s="103">
        <f ca="1">IF(AND(Energy!$F$11=$A$3,Main!$B$43=A183),Endurance!AP40,V183)</f>
        <v>581.60265025472881</v>
      </c>
      <c r="W183" s="103">
        <f ca="1">IF(AND(Energy!$F$11=$A$3,Main!$B$43=$A183),Summary!W40,W183)</f>
        <v>2.6444444444444435</v>
      </c>
      <c r="X183" s="13">
        <f ca="1">IF(AND(Energy!$F$11=$A$3,Main!$B$43=A183),Energy!D40,X183)</f>
        <v>1050.1159022300476</v>
      </c>
      <c r="Y183" s="102">
        <f ca="1">IF(AND(Energy!$F$11=$A$3,Main!$B$43=A183),'Aerodynamics-Cruise'!V40,Y183)</f>
        <v>174955.44413691413</v>
      </c>
      <c r="Z183" s="102">
        <f ca="1">IF(AND(Energy!$F$11=$A$3,Main!$B$43=$A183),Summary!Z40,Z183)</f>
        <v>130323.19552058932</v>
      </c>
      <c r="AA183" s="102">
        <f ca="1">IF(AND(Energy!$F$11=$A$3,Main!$B$43=$A183),Summary!AA40,AA183)</f>
        <v>130323.19552058932</v>
      </c>
      <c r="AB183" s="103">
        <f ca="1">IF(AND(Energy!$F$11=$A$3,Main!$B$43=$A183),Summary!AB40,AB183)</f>
        <v>4.0015529128550158</v>
      </c>
      <c r="AC183" s="103">
        <f ca="1">IF(AND(Energy!$F$11=$A$3,Main!$B$43=$A183),Summary!AC40,AC183)</f>
        <v>1.5504830967921956</v>
      </c>
      <c r="AD183" s="103">
        <f ca="1">IF(AND(Energy!$F$11=$A$3,Main!$B$43=$A183),Summary!AD40,AD183)</f>
        <v>0.42793584437788984</v>
      </c>
      <c r="AE183" s="103">
        <f ca="1">IF(AND(Energy!$F$11=$A$3,Main!$B$43=$A183),Summary!AE40,AE183)</f>
        <v>2.6444444444444435</v>
      </c>
      <c r="AF183" s="103">
        <f ca="1">IF(AND(Energy!$F$11=$A$3,Main!$B$43=$A183),Summary!AF40,AF183)</f>
        <v>18.529411764705888</v>
      </c>
      <c r="AG183" s="103">
        <f ca="1">IF(AND(Energy!$F$11=$A$3,Main!$B$43=$A183),Summary!AG40,AG183)</f>
        <v>11.898818357986883</v>
      </c>
      <c r="AH183" s="103">
        <f ca="1">IF(AND(Energy!$F$11=$A$3,Main!$B$43=$A183),Summary!AH40,AH183)</f>
        <v>47</v>
      </c>
      <c r="AI183" s="103">
        <f ca="1">IF(AND(Energy!$F$11=$A$3,Main!$B$43=$A183),Summary!AI40,AI183)</f>
        <v>2.7739160279519552</v>
      </c>
      <c r="AJ183" s="103">
        <f ca="1">IF(AND(Energy!$F$11=$A$3,Main!$B$43=$A183),Summary!AJ40,AJ183)</f>
        <v>0.23319187801056504</v>
      </c>
      <c r="AK183" s="103">
        <f ca="1">IF(AND(Energy!$F$11=$A$3,Main!$B$43=$A183),Summary!AK40,AK183)</f>
        <v>0.01</v>
      </c>
      <c r="AL183" s="103">
        <f ca="1">IF(AND(Energy!$F$11=$A$3,Main!$B$43=$A183),Summary!AL40,AL183)</f>
        <v>-0.53603903655721608</v>
      </c>
      <c r="AM183" s="103">
        <f ca="1">IF(AND(Energy!$F$11=$A$3,Main!$B$43=$A183),Summary!AJ200,AM183)</f>
        <v>0</v>
      </c>
    </row>
    <row r="184" spans="1:39">
      <c r="A184" s="7">
        <f>A164+1</f>
        <v>10</v>
      </c>
      <c r="D184" s="1">
        <f ca="1">IF(AND(Energy!$F$11=$A$3,Main!$B$43=A184),Main!C21,D184)</f>
        <v>4</v>
      </c>
      <c r="E184" s="103">
        <f ca="1">IF(AND(Energy!$F$11=$A$3,Main!$B$43=A184),Main!B21,E184)</f>
        <v>0.4</v>
      </c>
      <c r="F184" s="103">
        <f ca="1">IF(Main!$D$6=1,U184,IF(Main!$D$6=2,N184,IF(Main!$D$6=3,K184,IF(Main!$D$6=4,V184,J184))))</f>
        <v>644.68500350772922</v>
      </c>
      <c r="G184" s="103">
        <f ca="1">IF(AND(Energy!$F$11=$A$3,Main!$B$43=A184),Weight!H21,G184)</f>
        <v>15</v>
      </c>
      <c r="H184" s="103">
        <f ca="1">IF(AND(Energy!$F$11=$A$3,Main!$B$43=A184),Weight!U21,H184)</f>
        <v>18.095142534107126</v>
      </c>
      <c r="I184" s="103">
        <f ca="1">IF(AND(Energy!$F$11=$A$3,Main!$B$43=A184),Weight!V21,I184)</f>
        <v>50.04219269804716</v>
      </c>
      <c r="J184" s="103">
        <f ca="1">IF(AND(Energy!$F$11=$A$3,Main!$B$43=A184),Weight!I21,J184)</f>
        <v>27.009401888940033</v>
      </c>
      <c r="K184" s="103">
        <f ca="1">IF(AND(Energy!$F$11=$A$3,Main!$B$43=A184),Weight!W21,K184)</f>
        <v>65.042191300510879</v>
      </c>
      <c r="L184" s="103">
        <f ca="1">IF(AND(Energy!$F$11=$A$3,Main!$B$43=A184),'Aerodynamics-Cruise'!BI21,L184)</f>
        <v>65.042194105901814</v>
      </c>
      <c r="M184" s="103">
        <f ca="1">IF(AND(Energy!$F$11=$A$3,Main!$B$43=A184),'Aerodynamics-Cruise'!BJ21,M184)</f>
        <v>3.6051652506614227</v>
      </c>
      <c r="N184" s="103">
        <f ca="1">IF(AND(Energy!$F$11=$A$3,Main!$B$43=A184),'Aerodynamics-Cruise'!BK21,N184)</f>
        <v>18.041390500468413</v>
      </c>
      <c r="O184" s="103">
        <f t="shared" ca="1" si="9"/>
        <v>145.50154281532295</v>
      </c>
      <c r="P184" s="103">
        <f ca="1">IF(AND(Energy!$F$11=$A$3,Main!$B$43=A184),'Aerodynamics-Cruise'!H21,P184)</f>
        <v>8.6756175418289239</v>
      </c>
      <c r="Q184" s="103">
        <f ca="1">IF(AND(Energy!$F$11=$A$3,Main!$B$43=A184),'Aerodynamics-Cruise'!I21,Q184)</f>
        <v>7.2178923747719024</v>
      </c>
      <c r="R184" s="103">
        <f ca="1">IF(AND(Energy!$F$11=$A$3,Main!$B$43=$A184),Summary!R21,R184)</f>
        <v>4.7549208955396214</v>
      </c>
      <c r="S184" s="103">
        <f ca="1">IF(AND(Energy!$F$11=$A$3,Main!$B$43=A184),'Aerodynamics-Cruise'!W21,S184)</f>
        <v>1</v>
      </c>
      <c r="T184" s="103">
        <f ca="1">IF(AND(Energy!$F$11=$A$3,Main!$B$43=A184),'Aerodynamics-Cruise'!BL21,T184)</f>
        <v>31.277034889830308</v>
      </c>
      <c r="U184" s="103">
        <f ca="1">IF(AND(Energy!$F$11=$A$3,Main!$B$43=A184),'Propulsion-Cruise'!M21,U184)</f>
        <v>67.999890889993168</v>
      </c>
      <c r="V184" s="103">
        <f ca="1">IF(AND(Energy!$F$11=$A$3,Main!$B$43=A184),Endurance!AP21,V184)</f>
        <v>644.68500350772922</v>
      </c>
      <c r="W184" s="103">
        <f ca="1">IF(AND(Energy!$F$11=$A$3,Main!$B$43=$A184),Summary!W21,W184)</f>
        <v>1.6</v>
      </c>
      <c r="X184" s="13">
        <f ca="1">IF(AND(Energy!$F$11=$A$3,Main!$B$43=A184),Energy!D21,X184)</f>
        <v>1164.0146400021163</v>
      </c>
      <c r="Y184" s="102">
        <f ca="1">IF(AND(Energy!$F$11=$A$3,Main!$B$43=A184),'Aerodynamics-Cruise'!V21,Y184)</f>
        <v>220092.71455140604</v>
      </c>
      <c r="Z184" s="102">
        <f ca="1">IF(AND(Energy!$F$11=$A$3,Main!$B$43=$A184),Summary!Z21,Z184)</f>
        <v>162331.57326512577</v>
      </c>
      <c r="AA184" s="102">
        <f ca="1">IF(AND(Energy!$F$11=$A$3,Main!$B$43=$A184),Summary!AA21,AA184)</f>
        <v>162331.57326512577</v>
      </c>
      <c r="AB184" s="103">
        <f ca="1">IF(AND(Energy!$F$11=$A$3,Main!$B$43=$A184),Summary!AB21,AB184)</f>
        <v>4.7549208955396214</v>
      </c>
      <c r="AC184" s="103">
        <f ca="1">IF(AND(Energy!$F$11=$A$3,Main!$B$43=$A184),Summary!AC21,AC184)</f>
        <v>2.0493860990032799</v>
      </c>
      <c r="AD184" s="103">
        <f ca="1">IF(AND(Energy!$F$11=$A$3,Main!$B$43=$A184),Summary!AD21,AD184)</f>
        <v>0.47423340921123136</v>
      </c>
      <c r="AE184" s="103">
        <f ca="1">IF(AND(Energy!$F$11=$A$3,Main!$B$43=$A184),Summary!AE21,AE184)</f>
        <v>1.6</v>
      </c>
      <c r="AF184" s="103">
        <f ca="1">IF(AND(Energy!$F$11=$A$3,Main!$B$43=$A184),Summary!AF21,AF184)</f>
        <v>10</v>
      </c>
      <c r="AG184" s="103">
        <f ca="1">IF(AND(Energy!$F$11=$A$3,Main!$B$43=$A184),Summary!AG21,AG184)</f>
        <v>13.051366143386074</v>
      </c>
      <c r="AH184" s="103">
        <f ca="1">IF(AND(Energy!$F$11=$A$3,Main!$B$43=$A184),Summary!AH21,AH184)</f>
        <v>47</v>
      </c>
      <c r="AI184" s="103">
        <f ca="1">IF(AND(Energy!$F$11=$A$3,Main!$B$43=$A184),Summary!AI21,AI184)</f>
        <v>2.8316273112674559</v>
      </c>
      <c r="AJ184" s="103">
        <f ca="1">IF(AND(Energy!$F$11=$A$3,Main!$B$43=$A184),Summary!AJ21,AJ184)</f>
        <v>0.2338475328455642</v>
      </c>
      <c r="AK184" s="103">
        <f ca="1">IF(AND(Energy!$F$11=$A$3,Main!$B$43=$A184),Summary!AK21,AK184)</f>
        <v>0.01</v>
      </c>
      <c r="AL184" s="103">
        <f ca="1">IF(AND(Energy!$F$11=$A$3,Main!$B$43=$A184),Summary!AL21,AL184)</f>
        <v>-0.53453813978664411</v>
      </c>
      <c r="AM184" s="103">
        <f ca="1">IF(AND(Energy!$F$11=$A$3,Main!$B$43=$A184),Summary!AJ201,AM184)</f>
        <v>0</v>
      </c>
    </row>
    <row r="185" spans="1:39">
      <c r="A185">
        <f>A184</f>
        <v>10</v>
      </c>
      <c r="D185" s="1">
        <f ca="1">IF(AND(Energy!$F$11=$A$3,Main!$B$43=A185),Main!C22,D185)</f>
        <v>4.1578947368421053</v>
      </c>
      <c r="E185" s="103">
        <f ca="1">IF(AND(Energy!$F$11=$A$3,Main!$B$43=A185),Main!B22,E185)</f>
        <v>0.4</v>
      </c>
      <c r="F185" s="103">
        <f ca="1">IF(Main!$D$6=1,U185,IF(Main!$D$6=2,N185,IF(Main!$D$6=3,K185,IF(Main!$D$6=4,V185,J185))))</f>
        <v>626.27591119149304</v>
      </c>
      <c r="G185" s="103">
        <f ca="1">IF(AND(Energy!$F$11=$A$3,Main!$B$43=A185),Weight!H22,G185)</f>
        <v>15</v>
      </c>
      <c r="H185" s="103">
        <f ca="1">IF(AND(Energy!$F$11=$A$3,Main!$B$43=A185),Weight!U22,H185)</f>
        <v>18.677311731267125</v>
      </c>
      <c r="I185" s="103">
        <f ca="1">IF(AND(Energy!$F$11=$A$3,Main!$B$43=A185),Weight!V22,I185)</f>
        <v>49.853103356768003</v>
      </c>
      <c r="J185" s="103">
        <f ca="1">IF(AND(Energy!$F$11=$A$3,Main!$B$43=A185),Weight!I22,J185)</f>
        <v>26.238143350500874</v>
      </c>
      <c r="K185" s="103">
        <f ca="1">IF(AND(Energy!$F$11=$A$3,Main!$B$43=A185),Weight!W22,K185)</f>
        <v>64.853102215017003</v>
      </c>
      <c r="L185" s="103">
        <f ca="1">IF(AND(Energy!$F$11=$A$3,Main!$B$43=A185),'Aerodynamics-Cruise'!BI22,L185)</f>
        <v>64.853104506952207</v>
      </c>
      <c r="M185" s="103">
        <f ca="1">IF(AND(Energy!$F$11=$A$3,Main!$B$43=A185),'Aerodynamics-Cruise'!BJ22,M185)</f>
        <v>3.5350419098064929</v>
      </c>
      <c r="N185" s="103">
        <f ca="1">IF(AND(Energy!$F$11=$A$3,Main!$B$43=A185),'Aerodynamics-Cruise'!BK22,N185)</f>
        <v>18.345780944504344</v>
      </c>
      <c r="O185" s="103">
        <f t="shared" ca="1" si="9"/>
        <v>147.74118865459002</v>
      </c>
      <c r="P185" s="103">
        <f ca="1">IF(AND(Energy!$F$11=$A$3,Main!$B$43=A185),'Aerodynamics-Cruise'!H22,P185)</f>
        <v>8.4967536231092087</v>
      </c>
      <c r="Q185" s="103">
        <f ca="1">IF(AND(Energy!$F$11=$A$3,Main!$B$43=A185),'Aerodynamics-Cruise'!I22,Q185)</f>
        <v>7.0752006130336875</v>
      </c>
      <c r="R185" s="103">
        <f ca="1">IF(AND(Energy!$F$11=$A$3,Main!$B$43=$A185),Summary!R22,R185)</f>
        <v>4.547705178909478</v>
      </c>
      <c r="S185" s="103">
        <f ca="1">IF(AND(Energy!$F$11=$A$3,Main!$B$43=A185),'Aerodynamics-Cruise'!W22,S185)</f>
        <v>1</v>
      </c>
      <c r="T185" s="103">
        <f ca="1">IF(AND(Energy!$F$11=$A$3,Main!$B$43=A185),'Aerodynamics-Cruise'!BL22,T185)</f>
        <v>30.036380154991214</v>
      </c>
      <c r="U185" s="103">
        <f ca="1">IF(AND(Energy!$F$11=$A$3,Main!$B$43=A185),'Propulsion-Cruise'!M22,U185)</f>
        <v>65.761368567562585</v>
      </c>
      <c r="V185" s="103">
        <f ca="1">IF(AND(Energy!$F$11=$A$3,Main!$B$43=A185),Endurance!AP22,V185)</f>
        <v>626.27591119149304</v>
      </c>
      <c r="W185" s="103">
        <f ca="1">IF(AND(Energy!$F$11=$A$3,Main!$B$43=$A185),Summary!W22,W185)</f>
        <v>1.6631578947368422</v>
      </c>
      <c r="X185" s="13">
        <f ca="1">IF(AND(Energy!$F$11=$A$3,Main!$B$43=A185),Energy!D22,X185)</f>
        <v>1130.7759916420594</v>
      </c>
      <c r="Y185" s="102">
        <f ca="1">IF(AND(Energy!$F$11=$A$3,Main!$B$43=A185),'Aerodynamics-Cruise'!V22,Y185)</f>
        <v>215555.09573447224</v>
      </c>
      <c r="Z185" s="102">
        <f ca="1">IF(AND(Energy!$F$11=$A$3,Main!$B$43=$A185),Summary!Z22,Z185)</f>
        <v>159117.04147176936</v>
      </c>
      <c r="AA185" s="102">
        <f ca="1">IF(AND(Energy!$F$11=$A$3,Main!$B$43=$A185),Summary!AA22,AA185)</f>
        <v>159117.04147176936</v>
      </c>
      <c r="AB185" s="103">
        <f ca="1">IF(AND(Energy!$F$11=$A$3,Main!$B$43=$A185),Summary!AB22,AB185)</f>
        <v>4.547705178909478</v>
      </c>
      <c r="AC185" s="103">
        <f ca="1">IF(AND(Energy!$F$11=$A$3,Main!$B$43=$A185),Summary!AC22,AC185)</f>
        <v>2.0325190367061547</v>
      </c>
      <c r="AD185" s="103">
        <f ca="1">IF(AND(Energy!$F$11=$A$3,Main!$B$43=$A185),Summary!AD22,AD185)</f>
        <v>0.4669277694981247</v>
      </c>
      <c r="AE185" s="103">
        <f ca="1">IF(AND(Energy!$F$11=$A$3,Main!$B$43=$A185),Summary!AE22,AE185)</f>
        <v>1.6631578947368422</v>
      </c>
      <c r="AF185" s="103">
        <f ca="1">IF(AND(Energy!$F$11=$A$3,Main!$B$43=$A185),Summary!AF22,AF185)</f>
        <v>10.394736842105262</v>
      </c>
      <c r="AG185" s="103">
        <f ca="1">IF(AND(Energy!$F$11=$A$3,Main!$B$43=$A185),Summary!AG22,AG185)</f>
        <v>12.799840719508133</v>
      </c>
      <c r="AH185" s="103">
        <f ca="1">IF(AND(Energy!$F$11=$A$3,Main!$B$43=$A185),Summary!AH22,AH185)</f>
        <v>47</v>
      </c>
      <c r="AI185" s="103">
        <f ca="1">IF(AND(Energy!$F$11=$A$3,Main!$B$43=$A185),Summary!AI22,AI185)</f>
        <v>2.826731956343806</v>
      </c>
      <c r="AJ185" s="103">
        <f ca="1">IF(AND(Energy!$F$11=$A$3,Main!$B$43=$A185),Summary!AJ22,AJ185)</f>
        <v>0.23253563308766073</v>
      </c>
      <c r="AK185" s="103">
        <f ca="1">IF(AND(Energy!$F$11=$A$3,Main!$B$43=$A185),Summary!AK22,AK185)</f>
        <v>0.01</v>
      </c>
      <c r="AL185" s="103">
        <f ca="1">IF(AND(Energy!$F$11=$A$3,Main!$B$43=$A185),Summary!AL22,AL185)</f>
        <v>-0.53755380174102574</v>
      </c>
      <c r="AM185" s="103">
        <f ca="1">IF(AND(Energy!$F$11=$A$3,Main!$B$43=$A185),Summary!AJ202,AM185)</f>
        <v>0</v>
      </c>
    </row>
    <row r="186" spans="1:39">
      <c r="A186">
        <f t="shared" ref="A186:A203" si="12">A185</f>
        <v>10</v>
      </c>
      <c r="D186" s="1">
        <f ca="1">IF(AND(Energy!$F$11=$A$3,Main!$B$43=A186),Main!C23,D186)</f>
        <v>4.3157894736842106</v>
      </c>
      <c r="E186" s="103">
        <f ca="1">IF(AND(Energy!$F$11=$A$3,Main!$B$43=A186),Main!B23,E186)</f>
        <v>0.4</v>
      </c>
      <c r="F186" s="103">
        <f ca="1">IF(Main!$D$6=1,U186,IF(Main!$D$6=2,N186,IF(Main!$D$6=3,K186,IF(Main!$D$6=4,V186,J186))))</f>
        <v>611.73330367642484</v>
      </c>
      <c r="G186" s="103">
        <f ca="1">IF(AND(Energy!$F$11=$A$3,Main!$B$43=A186),Weight!H23,G186)</f>
        <v>15</v>
      </c>
      <c r="H186" s="103">
        <f ca="1">IF(AND(Energy!$F$11=$A$3,Main!$B$43=A186),Weight!U23,H186)</f>
        <v>19.295512360829747</v>
      </c>
      <c r="I186" s="103">
        <f ca="1">IF(AND(Energy!$F$11=$A$3,Main!$B$43=A186),Weight!V23,I186)</f>
        <v>49.862033836181311</v>
      </c>
      <c r="J186" s="103">
        <f ca="1">IF(AND(Energy!$F$11=$A$3,Main!$B$43=A186),Weight!I23,J186)</f>
        <v>25.628873200351567</v>
      </c>
      <c r="K186" s="103">
        <f ca="1">IF(AND(Energy!$F$11=$A$3,Main!$B$43=A186),Weight!W23,K186)</f>
        <v>64.862032904936328</v>
      </c>
      <c r="L186" s="103">
        <f ca="1">IF(AND(Energy!$F$11=$A$3,Main!$B$43=A186),'Aerodynamics-Cruise'!BI23,L186)</f>
        <v>64.86203477430729</v>
      </c>
      <c r="M186" s="103">
        <f ca="1">IF(AND(Energy!$F$11=$A$3,Main!$B$43=A186),'Aerodynamics-Cruise'!BJ23,M186)</f>
        <v>3.4798911277803901</v>
      </c>
      <c r="N186" s="103">
        <f ca="1">IF(AND(Energy!$F$11=$A$3,Main!$B$43=A186),'Aerodynamics-Cruise'!BK23,N186)</f>
        <v>18.63909886619896</v>
      </c>
      <c r="O186" s="103">
        <f t="shared" ca="1" si="9"/>
        <v>150.1136539346237</v>
      </c>
      <c r="P186" s="103">
        <f ca="1">IF(AND(Energy!$F$11=$A$3,Main!$B$43=A186),'Aerodynamics-Cruise'!H23,P186)</f>
        <v>8.3403069206836093</v>
      </c>
      <c r="Q186" s="103">
        <f ca="1">IF(AND(Energy!$F$11=$A$3,Main!$B$43=A186),'Aerodynamics-Cruise'!I23,Q186)</f>
        <v>6.9502903787316486</v>
      </c>
      <c r="R186" s="103">
        <f ca="1">IF(AND(Energy!$F$11=$A$3,Main!$B$43=$A186),Summary!R23,R186)</f>
        <v>4.3828473302007573</v>
      </c>
      <c r="S186" s="103">
        <f ca="1">IF(AND(Energy!$F$11=$A$3,Main!$B$43=A186),'Aerodynamics-Cruise'!W23,S186)</f>
        <v>1</v>
      </c>
      <c r="T186" s="103">
        <f ca="1">IF(AND(Energy!$F$11=$A$3,Main!$B$43=A186),'Aerodynamics-Cruise'!BL23,T186)</f>
        <v>29.02336005625228</v>
      </c>
      <c r="U186" s="103">
        <f ca="1">IF(AND(Energy!$F$11=$A$3,Main!$B$43=A186),'Propulsion-Cruise'!M23,U186)</f>
        <v>63.953457258753652</v>
      </c>
      <c r="V186" s="103">
        <f ca="1">IF(AND(Energy!$F$11=$A$3,Main!$B$43=A186),Endurance!AP23,V186)</f>
        <v>611.73330367642484</v>
      </c>
      <c r="W186" s="103">
        <f ca="1">IF(AND(Energy!$F$11=$A$3,Main!$B$43=$A186),Summary!W23,W186)</f>
        <v>1.7263157894736842</v>
      </c>
      <c r="X186" s="13">
        <f ca="1">IF(AND(Energy!$F$11=$A$3,Main!$B$43=A186),Energy!D23,X186)</f>
        <v>1104.5184981217963</v>
      </c>
      <c r="Y186" s="102">
        <f ca="1">IF(AND(Energy!$F$11=$A$3,Main!$B$43=A186),'Aerodynamics-Cruise'!V23,Y186)</f>
        <v>211586.18179221384</v>
      </c>
      <c r="Z186" s="102">
        <f ca="1">IF(AND(Energy!$F$11=$A$3,Main!$B$43=$A186),Summary!Z23,Z186)</f>
        <v>156303.17826393264</v>
      </c>
      <c r="AA186" s="102">
        <f ca="1">IF(AND(Energy!$F$11=$A$3,Main!$B$43=$A186),Summary!AA23,AA186)</f>
        <v>156303.17826393264</v>
      </c>
      <c r="AB186" s="103">
        <f ca="1">IF(AND(Energy!$F$11=$A$3,Main!$B$43=$A186),Summary!AB23,AB186)</f>
        <v>4.3828473302007573</v>
      </c>
      <c r="AC186" s="103">
        <f ca="1">IF(AND(Energy!$F$11=$A$3,Main!$B$43=$A186),Summary!AC23,AC186)</f>
        <v>2.0108055743530935</v>
      </c>
      <c r="AD186" s="103">
        <f ca="1">IF(AND(Energy!$F$11=$A$3,Main!$B$43=$A186),Summary!AD23,AD186)</f>
        <v>0.46078533757924711</v>
      </c>
      <c r="AE186" s="103">
        <f ca="1">IF(AND(Energy!$F$11=$A$3,Main!$B$43=$A186),Summary!AE23,AE186)</f>
        <v>1.7263157894736842</v>
      </c>
      <c r="AF186" s="103">
        <f ca="1">IF(AND(Energy!$F$11=$A$3,Main!$B$43=$A186),Summary!AF23,AF186)</f>
        <v>10.789473684210527</v>
      </c>
      <c r="AG186" s="103">
        <f ca="1">IF(AND(Energy!$F$11=$A$3,Main!$B$43=$A186),Summary!AG23,AG186)</f>
        <v>12.595659276611171</v>
      </c>
      <c r="AH186" s="103">
        <f ca="1">IF(AND(Energy!$F$11=$A$3,Main!$B$43=$A186),Summary!AH23,AH186)</f>
        <v>47</v>
      </c>
      <c r="AI186" s="103">
        <f ca="1">IF(AND(Energy!$F$11=$A$3,Main!$B$43=$A186),Summary!AI23,AI186)</f>
        <v>2.8223720148154441</v>
      </c>
      <c r="AJ186" s="103">
        <f ca="1">IF(AND(Energy!$F$11=$A$3,Main!$B$43=$A186),Summary!AJ23,AJ186)</f>
        <v>0.23126718882122149</v>
      </c>
      <c r="AK186" s="103">
        <f ca="1">IF(AND(Energy!$F$11=$A$3,Main!$B$43=$A186),Summary!AK23,AK186)</f>
        <v>0.01</v>
      </c>
      <c r="AL186" s="103">
        <f ca="1">IF(AND(Energy!$F$11=$A$3,Main!$B$43=$A186),Summary!AL23,AL186)</f>
        <v>-0.5405020870207462</v>
      </c>
      <c r="AM186" s="103">
        <f ca="1">IF(AND(Energy!$F$11=$A$3,Main!$B$43=$A186),Summary!AJ203,AM186)</f>
        <v>0</v>
      </c>
    </row>
    <row r="187" spans="1:39">
      <c r="A187">
        <f t="shared" si="12"/>
        <v>10</v>
      </c>
      <c r="D187" s="1">
        <f ca="1">IF(AND(Energy!$F$11=$A$3,Main!$B$43=A187),Main!C24,D187)</f>
        <v>4.4736842105263159</v>
      </c>
      <c r="E187" s="103">
        <f ca="1">IF(AND(Energy!$F$11=$A$3,Main!$B$43=A187),Main!B24,E187)</f>
        <v>0.4</v>
      </c>
      <c r="F187" s="103">
        <f ca="1">IF(Main!$D$6=1,U187,IF(Main!$D$6=2,N187,IF(Main!$D$6=3,K187,IF(Main!$D$6=4,V187,J187))))</f>
        <v>600.28809357771104</v>
      </c>
      <c r="G187" s="103">
        <f ca="1">IF(AND(Energy!$F$11=$A$3,Main!$B$43=A187),Weight!H24,G187)</f>
        <v>15</v>
      </c>
      <c r="H187" s="103">
        <f ca="1">IF(AND(Energy!$F$11=$A$3,Main!$B$43=A187),Weight!U24,H187)</f>
        <v>19.946943410510507</v>
      </c>
      <c r="I187" s="103">
        <f ca="1">IF(AND(Energy!$F$11=$A$3,Main!$B$43=A187),Weight!V24,I187)</f>
        <v>50.033961792216203</v>
      </c>
      <c r="J187" s="103">
        <f ca="1">IF(AND(Energy!$F$11=$A$3,Main!$B$43=A187),Weight!I24,J187)</f>
        <v>25.149370106705696</v>
      </c>
      <c r="K187" s="103">
        <f ca="1">IF(AND(Energy!$F$11=$A$3,Main!$B$43=A187),Weight!W24,K187)</f>
        <v>65.033961044968166</v>
      </c>
      <c r="L187" s="103">
        <f ca="1">IF(AND(Energy!$F$11=$A$3,Main!$B$43=A187),'Aerodynamics-Cruise'!BI24,L187)</f>
        <v>65.033962544987588</v>
      </c>
      <c r="M187" s="103">
        <f ca="1">IF(AND(Energy!$F$11=$A$3,Main!$B$43=A187),'Aerodynamics-Cruise'!BJ24,M187)</f>
        <v>3.4369412879110701</v>
      </c>
      <c r="N187" s="103">
        <f ca="1">IF(AND(Energy!$F$11=$A$3,Main!$B$43=A187),'Aerodynamics-Cruise'!BK24,N187)</f>
        <v>18.922046406127123</v>
      </c>
      <c r="O187" s="103">
        <f t="shared" ca="1" si="9"/>
        <v>152.59426494054753</v>
      </c>
      <c r="P187" s="103">
        <f ca="1">IF(AND(Energy!$F$11=$A$3,Main!$B$43=A187),'Aerodynamics-Cruise'!H24,P187)</f>
        <v>8.2025255047949823</v>
      </c>
      <c r="Q187" s="103">
        <f ca="1">IF(AND(Energy!$F$11=$A$3,Main!$B$43=A187),'Aerodynamics-Cruise'!I24,Q187)</f>
        <v>6.840202301494628</v>
      </c>
      <c r="R187" s="103">
        <f ca="1">IF(AND(Energy!$F$11=$A$3,Main!$B$43=$A187),Summary!R24,R187)</f>
        <v>4.2512156603389268</v>
      </c>
      <c r="S187" s="103">
        <f ca="1">IF(AND(Energy!$F$11=$A$3,Main!$B$43=A187),'Aerodynamics-Cruise'!W24,S187)</f>
        <v>1</v>
      </c>
      <c r="T187" s="103">
        <f ca="1">IF(AND(Energy!$F$11=$A$3,Main!$B$43=A187),'Aerodynamics-Cruise'!BL24,T187)</f>
        <v>28.191598572573469</v>
      </c>
      <c r="U187" s="103">
        <f ca="1">IF(AND(Energy!$F$11=$A$3,Main!$B$43=A187),'Propulsion-Cruise'!M24,U187)</f>
        <v>62.489544487388677</v>
      </c>
      <c r="V187" s="103">
        <f ca="1">IF(AND(Energy!$F$11=$A$3,Main!$B$43=A187),Endurance!AP24,V187)</f>
        <v>600.28809357771104</v>
      </c>
      <c r="W187" s="103">
        <f ca="1">IF(AND(Energy!$F$11=$A$3,Main!$B$43=$A187),Summary!W24,W187)</f>
        <v>1.7894736842105265</v>
      </c>
      <c r="X187" s="13">
        <f ca="1">IF(AND(Energy!$F$11=$A$3,Main!$B$43=A187),Energy!D24,X187)</f>
        <v>1083.8535287438056</v>
      </c>
      <c r="Y187" s="102">
        <f ca="1">IF(AND(Energy!$F$11=$A$3,Main!$B$43=A187),'Aerodynamics-Cruise'!V24,Y187)</f>
        <v>208090.78959777282</v>
      </c>
      <c r="Z187" s="102">
        <f ca="1">IF(AND(Energy!$F$11=$A$3,Main!$B$43=$A187),Summary!Z24,Z187)</f>
        <v>153823.2858711826</v>
      </c>
      <c r="AA187" s="102">
        <f ca="1">IF(AND(Energy!$F$11=$A$3,Main!$B$43=$A187),Summary!AA24,AA187)</f>
        <v>153823.2858711826</v>
      </c>
      <c r="AB187" s="103">
        <f ca="1">IF(AND(Energy!$F$11=$A$3,Main!$B$43=$A187),Summary!AB24,AB187)</f>
        <v>4.2512156603389268</v>
      </c>
      <c r="AC187" s="103">
        <f ca="1">IF(AND(Energy!$F$11=$A$3,Main!$B$43=$A187),Summary!AC24,AC187)</f>
        <v>1.9854710929892163</v>
      </c>
      <c r="AD187" s="103">
        <f ca="1">IF(AND(Energy!$F$11=$A$3,Main!$B$43=$A187),Summary!AD24,AD187)</f>
        <v>0.45560705764020792</v>
      </c>
      <c r="AE187" s="103">
        <f ca="1">IF(AND(Energy!$F$11=$A$3,Main!$B$43=$A187),Summary!AE24,AE187)</f>
        <v>1.7894736842105265</v>
      </c>
      <c r="AF187" s="103">
        <f ca="1">IF(AND(Energy!$F$11=$A$3,Main!$B$43=$A187),Summary!AF24,AF187)</f>
        <v>11.184210526315788</v>
      </c>
      <c r="AG187" s="103">
        <f ca="1">IF(AND(Energy!$F$11=$A$3,Main!$B$43=$A187),Summary!AG24,AG187)</f>
        <v>12.429999573446217</v>
      </c>
      <c r="AH187" s="103">
        <f ca="1">IF(AND(Energy!$F$11=$A$3,Main!$B$43=$A187),Summary!AH24,AH187)</f>
        <v>47</v>
      </c>
      <c r="AI187" s="103">
        <f ca="1">IF(AND(Energy!$F$11=$A$3,Main!$B$43=$A187),Summary!AI24,AI187)</f>
        <v>2.8184697175607862</v>
      </c>
      <c r="AJ187" s="103">
        <f ca="1">IF(AND(Energy!$F$11=$A$3,Main!$B$43=$A187),Summary!AJ24,AJ187)</f>
        <v>0.2300440105662695</v>
      </c>
      <c r="AK187" s="103">
        <f ca="1">IF(AND(Energy!$F$11=$A$3,Main!$B$43=$A187),Summary!AK24,AK187)</f>
        <v>0.01</v>
      </c>
      <c r="AL187" s="103">
        <f ca="1">IF(AND(Energy!$F$11=$A$3,Main!$B$43=$A187),Summary!AL24,AL187)</f>
        <v>-0.54337591777713168</v>
      </c>
      <c r="AM187" s="103">
        <f ca="1">IF(AND(Energy!$F$11=$A$3,Main!$B$43=$A187),Summary!AJ204,AM187)</f>
        <v>0</v>
      </c>
    </row>
    <row r="188" spans="1:39">
      <c r="A188">
        <f t="shared" si="12"/>
        <v>10</v>
      </c>
      <c r="D188" s="1">
        <f ca="1">IF(AND(Energy!$F$11=$A$3,Main!$B$43=A188),Main!C25,D188)</f>
        <v>4.6315789473684212</v>
      </c>
      <c r="E188" s="103">
        <f ca="1">IF(AND(Energy!$F$11=$A$3,Main!$B$43=A188),Main!B25,E188)</f>
        <v>0.4</v>
      </c>
      <c r="F188" s="103">
        <f ca="1">IF(Main!$D$6=1,U188,IF(Main!$D$6=2,N188,IF(Main!$D$6=3,K188,IF(Main!$D$6=4,V188,J188))))</f>
        <v>591.37686565583795</v>
      </c>
      <c r="G188" s="103">
        <f ca="1">IF(AND(Energy!$F$11=$A$3,Main!$B$43=A188),Weight!H25,G188)</f>
        <v>15</v>
      </c>
      <c r="H188" s="103">
        <f ca="1">IF(AND(Energy!$F$11=$A$3,Main!$B$43=A188),Weight!U25,H188)</f>
        <v>20.629626243474888</v>
      </c>
      <c r="I188" s="103">
        <f ca="1">IF(AND(Energy!$F$11=$A$3,Main!$B$43=A188),Weight!V25,I188)</f>
        <v>50.343303710106056</v>
      </c>
      <c r="J188" s="103">
        <f ca="1">IF(AND(Energy!$F$11=$A$3,Main!$B$43=A188),Weight!I25,J188)</f>
        <v>24.776029191631171</v>
      </c>
      <c r="K188" s="103">
        <f ca="1">IF(AND(Energy!$F$11=$A$3,Main!$B$43=A188),Weight!W25,K188)</f>
        <v>65.343303312316664</v>
      </c>
      <c r="L188" s="103">
        <f ca="1">IF(AND(Energy!$F$11=$A$3,Main!$B$43=A188),'Aerodynamics-Cruise'!BI25,L188)</f>
        <v>65.34330411083242</v>
      </c>
      <c r="M188" s="103">
        <f ca="1">IF(AND(Energy!$F$11=$A$3,Main!$B$43=A188),'Aerodynamics-Cruise'!BJ25,M188)</f>
        <v>3.4041208071751012</v>
      </c>
      <c r="N188" s="103">
        <f ca="1">IF(AND(Energy!$F$11=$A$3,Main!$B$43=A188),'Aerodynamics-Cruise'!BK25,N188)</f>
        <v>19.195354046514392</v>
      </c>
      <c r="O188" s="103">
        <f t="shared" ca="1" si="9"/>
        <v>155.16603845850909</v>
      </c>
      <c r="P188" s="103">
        <f ca="1">IF(AND(Energy!$F$11=$A$3,Main!$B$43=A188),'Aerodynamics-Cruise'!H25,P188)</f>
        <v>8.0805346852789928</v>
      </c>
      <c r="Q188" s="103">
        <f ca="1">IF(AND(Energy!$F$11=$A$3,Main!$B$43=A188),'Aerodynamics-Cruise'!I25,Q188)</f>
        <v>6.7426669201620193</v>
      </c>
      <c r="R188" s="103">
        <f ca="1">IF(AND(Energy!$F$11=$A$3,Main!$B$43=$A188),Summary!R25,R188)</f>
        <v>4.1462819364978056</v>
      </c>
      <c r="S188" s="103">
        <f ca="1">IF(AND(Energy!$F$11=$A$3,Main!$B$43=A188),'Aerodynamics-Cruise'!W25,S188)</f>
        <v>1</v>
      </c>
      <c r="T188" s="103">
        <f ca="1">IF(AND(Energy!$F$11=$A$3,Main!$B$43=A188),'Aerodynamics-Cruise'!BL25,T188)</f>
        <v>27.507116255258328</v>
      </c>
      <c r="U188" s="103">
        <f ca="1">IF(AND(Energy!$F$11=$A$3,Main!$B$43=A188),'Propulsion-Cruise'!M25,U188)</f>
        <v>61.306143412476139</v>
      </c>
      <c r="V188" s="103">
        <f ca="1">IF(AND(Energy!$F$11=$A$3,Main!$B$43=A188),Endurance!AP25,V188)</f>
        <v>591.37686565583795</v>
      </c>
      <c r="W188" s="103">
        <f ca="1">IF(AND(Energy!$F$11=$A$3,Main!$B$43=$A188),Summary!W25,W188)</f>
        <v>1.8526315789473686</v>
      </c>
      <c r="X188" s="13">
        <f ca="1">IF(AND(Energy!$F$11=$A$3,Main!$B$43=A188),Energy!D25,X188)</f>
        <v>1067.7637992155412</v>
      </c>
      <c r="Y188" s="102">
        <f ca="1">IF(AND(Energy!$F$11=$A$3,Main!$B$43=A188),'Aerodynamics-Cruise'!V25,Y188)</f>
        <v>204995.99081391998</v>
      </c>
      <c r="Z188" s="102">
        <f ca="1">IF(AND(Energy!$F$11=$A$3,Main!$B$43=$A188),Summary!Z25,Z188)</f>
        <v>151626.21734956946</v>
      </c>
      <c r="AA188" s="102">
        <f ca="1">IF(AND(Energy!$F$11=$A$3,Main!$B$43=$A188),Summary!AA25,AA188)</f>
        <v>151626.21734956946</v>
      </c>
      <c r="AB188" s="103">
        <f ca="1">IF(AND(Energy!$F$11=$A$3,Main!$B$43=$A188),Summary!AB25,AB188)</f>
        <v>4.1462819364978056</v>
      </c>
      <c r="AC188" s="103">
        <f ca="1">IF(AND(Energy!$F$11=$A$3,Main!$B$43=$A188),Summary!AC25,AC188)</f>
        <v>1.9574328190143837</v>
      </c>
      <c r="AD188" s="103">
        <f ca="1">IF(AND(Energy!$F$11=$A$3,Main!$B$43=$A188),Summary!AD25,AD188)</f>
        <v>0.45124123123877963</v>
      </c>
      <c r="AE188" s="103">
        <f ca="1">IF(AND(Energy!$F$11=$A$3,Main!$B$43=$A188),Summary!AE25,AE188)</f>
        <v>1.8526315789473686</v>
      </c>
      <c r="AF188" s="103">
        <f ca="1">IF(AND(Energy!$F$11=$A$3,Main!$B$43=$A188),Summary!AF25,AF188)</f>
        <v>11.578947368421051</v>
      </c>
      <c r="AG188" s="103">
        <f ca="1">IF(AND(Energy!$F$11=$A$3,Main!$B$43=$A188),Summary!AG25,AG188)</f>
        <v>12.296263974573225</v>
      </c>
      <c r="AH188" s="103">
        <f ca="1">IF(AND(Energy!$F$11=$A$3,Main!$B$43=$A188),Summary!AH25,AH188)</f>
        <v>47</v>
      </c>
      <c r="AI188" s="103">
        <f ca="1">IF(AND(Energy!$F$11=$A$3,Main!$B$43=$A188),Summary!AI25,AI188)</f>
        <v>2.8149641221503221</v>
      </c>
      <c r="AJ188" s="103">
        <f ca="1">IF(AND(Energy!$F$11=$A$3,Main!$B$43=$A188),Summary!AJ25,AJ188)</f>
        <v>0.22889312906402945</v>
      </c>
      <c r="AK188" s="103">
        <f ca="1">IF(AND(Energy!$F$11=$A$3,Main!$B$43=$A188),Summary!AK25,AK188)</f>
        <v>0.01</v>
      </c>
      <c r="AL188" s="103">
        <f ca="1">IF(AND(Energy!$F$11=$A$3,Main!$B$43=$A188),Summary!AL25,AL188)</f>
        <v>-0.54610741363838589</v>
      </c>
      <c r="AM188" s="103">
        <f ca="1">IF(AND(Energy!$F$11=$A$3,Main!$B$43=$A188),Summary!AJ205,AM188)</f>
        <v>0</v>
      </c>
    </row>
    <row r="189" spans="1:39">
      <c r="A189">
        <f t="shared" si="12"/>
        <v>10</v>
      </c>
      <c r="D189" s="1">
        <f ca="1">IF(AND(Energy!$F$11=$A$3,Main!$B$43=A189),Main!C26,D189)</f>
        <v>4.7894736842105265</v>
      </c>
      <c r="E189" s="103">
        <f ca="1">IF(AND(Energy!$F$11=$A$3,Main!$B$43=A189),Main!B26,E189)</f>
        <v>0.4</v>
      </c>
      <c r="F189" s="103">
        <f ca="1">IF(Main!$D$6=1,U189,IF(Main!$D$6=2,N189,IF(Main!$D$6=3,K189,IF(Main!$D$6=4,V189,J189))))</f>
        <v>584.57767289230537</v>
      </c>
      <c r="G189" s="103">
        <f ca="1">IF(AND(Energy!$F$11=$A$3,Main!$B$43=A189),Weight!H26,G189)</f>
        <v>15</v>
      </c>
      <c r="H189" s="103">
        <f ca="1">IF(AND(Energy!$F$11=$A$3,Main!$B$43=A189),Weight!U26,H189)</f>
        <v>21.342161177344906</v>
      </c>
      <c r="I189" s="103">
        <f ca="1">IF(AND(Energy!$F$11=$A$3,Main!$B$43=A189),Weight!V26,I189)</f>
        <v>50.770982499193309</v>
      </c>
      <c r="J189" s="103">
        <f ca="1">IF(AND(Energy!$F$11=$A$3,Main!$B$43=A189),Weight!I26,J189)</f>
        <v>24.491173046848402</v>
      </c>
      <c r="K189" s="103">
        <f ca="1">IF(AND(Energy!$F$11=$A$3,Main!$B$43=A189),Weight!W26,K189)</f>
        <v>65.770982451882844</v>
      </c>
      <c r="L189" s="103">
        <f ca="1">IF(AND(Energy!$F$11=$A$3,Main!$B$43=A189),'Aerodynamics-Cruise'!BI26,L189)</f>
        <v>65.770982546853446</v>
      </c>
      <c r="M189" s="103">
        <f ca="1">IF(AND(Energy!$F$11=$A$3,Main!$B$43=A189),'Aerodynamics-Cruise'!BJ26,M189)</f>
        <v>3.3798496748185278</v>
      </c>
      <c r="N189" s="103">
        <f ca="1">IF(AND(Energy!$F$11=$A$3,Main!$B$43=A189),'Aerodynamics-Cruise'!BK26,N189)</f>
        <v>19.45973604591892</v>
      </c>
      <c r="O189" s="103">
        <f t="shared" ca="1" si="9"/>
        <v>157.81711867669108</v>
      </c>
      <c r="P189" s="103">
        <f ca="1">IF(AND(Energy!$F$11=$A$3,Main!$B$43=A189),'Aerodynamics-Cruise'!H26,P189)</f>
        <v>7.9720844731063512</v>
      </c>
      <c r="Q189" s="103">
        <f ca="1">IF(AND(Energy!$F$11=$A$3,Main!$B$43=A189),'Aerodynamics-Cruise'!I26,Q189)</f>
        <v>6.6559064311532339</v>
      </c>
      <c r="R189" s="103">
        <f ca="1">IF(AND(Energy!$F$11=$A$3,Main!$B$43=$A189),Summary!R26,R189)</f>
        <v>4.0632609150838706</v>
      </c>
      <c r="S189" s="103">
        <f ca="1">IF(AND(Energy!$F$11=$A$3,Main!$B$43=A189),'Aerodynamics-Cruise'!W26,S189)</f>
        <v>1</v>
      </c>
      <c r="T189" s="103">
        <f ca="1">IF(AND(Energy!$F$11=$A$3,Main!$B$43=A189),'Aerodynamics-Cruise'!BL26,T189)</f>
        <v>26.944447114054334</v>
      </c>
      <c r="U189" s="103">
        <f ca="1">IF(AND(Energy!$F$11=$A$3,Main!$B$43=A189),'Propulsion-Cruise'!M26,U189)</f>
        <v>60.355670135948408</v>
      </c>
      <c r="V189" s="103">
        <f ca="1">IF(AND(Energy!$F$11=$A$3,Main!$B$43=A189),Endurance!AP26,V189)</f>
        <v>584.57767289230537</v>
      </c>
      <c r="W189" s="103">
        <f ca="1">IF(AND(Energy!$F$11=$A$3,Main!$B$43=$A189),Summary!W26,W189)</f>
        <v>1.9157894736842107</v>
      </c>
      <c r="X189" s="13">
        <f ca="1">IF(AND(Energy!$F$11=$A$3,Main!$B$43=A189),Energy!D26,X189)</f>
        <v>1055.4874666008263</v>
      </c>
      <c r="Y189" s="102">
        <f ca="1">IF(AND(Energy!$F$11=$A$3,Main!$B$43=A189),'Aerodynamics-Cruise'!V26,Y189)</f>
        <v>202244.70521659285</v>
      </c>
      <c r="Z189" s="102">
        <f ca="1">IF(AND(Energy!$F$11=$A$3,Main!$B$43=$A189),Summary!Z26,Z189)</f>
        <v>149671.9076008921</v>
      </c>
      <c r="AA189" s="102">
        <f ca="1">IF(AND(Energy!$F$11=$A$3,Main!$B$43=$A189),Summary!AA26,AA189)</f>
        <v>149671.9076008921</v>
      </c>
      <c r="AB189" s="103">
        <f ca="1">IF(AND(Energy!$F$11=$A$3,Main!$B$43=$A189),Summary!AB26,AB189)</f>
        <v>4.0632609150838706</v>
      </c>
      <c r="AC189" s="103">
        <f ca="1">IF(AND(Energy!$F$11=$A$3,Main!$B$43=$A189),Summary!AC26,AC189)</f>
        <v>1.9273871489721428</v>
      </c>
      <c r="AD189" s="103">
        <f ca="1">IF(AND(Energy!$F$11=$A$3,Main!$B$43=$A189),Summary!AD26,AD189)</f>
        <v>0.44756987142961213</v>
      </c>
      <c r="AE189" s="103">
        <f ca="1">IF(AND(Energy!$F$11=$A$3,Main!$B$43=$A189),Summary!AE26,AE189)</f>
        <v>1.9157894736842107</v>
      </c>
      <c r="AF189" s="103">
        <f ca="1">IF(AND(Energy!$F$11=$A$3,Main!$B$43=$A189),Summary!AF26,AF189)</f>
        <v>11.973684210526317</v>
      </c>
      <c r="AG189" s="103">
        <f ca="1">IF(AND(Energy!$F$11=$A$3,Main!$B$43=$A189),Summary!AG26,AG189)</f>
        <v>12.189416232478182</v>
      </c>
      <c r="AH189" s="103">
        <f ca="1">IF(AND(Energy!$F$11=$A$3,Main!$B$43=$A189),Summary!AH26,AH189)</f>
        <v>47</v>
      </c>
      <c r="AI189" s="103">
        <f ca="1">IF(AND(Energy!$F$11=$A$3,Main!$B$43=$A189),Summary!AI26,AI189)</f>
        <v>2.8118065617278578</v>
      </c>
      <c r="AJ189" s="103">
        <f ca="1">IF(AND(Energy!$F$11=$A$3,Main!$B$43=$A189),Summary!AJ26,AJ189)</f>
        <v>0.2277989177480931</v>
      </c>
      <c r="AK189" s="103">
        <f ca="1">IF(AND(Energy!$F$11=$A$3,Main!$B$43=$A189),Summary!AK26,AK189)</f>
        <v>0.01</v>
      </c>
      <c r="AL189" s="103">
        <f ca="1">IF(AND(Energy!$F$11=$A$3,Main!$B$43=$A189),Summary!AL26,AL189)</f>
        <v>-0.5487297040607112</v>
      </c>
      <c r="AM189" s="103">
        <f ca="1">IF(AND(Energy!$F$11=$A$3,Main!$B$43=$A189),Summary!AJ206,AM189)</f>
        <v>0</v>
      </c>
    </row>
    <row r="190" spans="1:39">
      <c r="A190">
        <f t="shared" si="12"/>
        <v>10</v>
      </c>
      <c r="D190" s="1">
        <f ca="1">IF(AND(Energy!$F$11=$A$3,Main!$B$43=A190),Main!C27,D190)</f>
        <v>4.9473684210526319</v>
      </c>
      <c r="E190" s="103">
        <f ca="1">IF(AND(Energy!$F$11=$A$3,Main!$B$43=A190),Main!B27,E190)</f>
        <v>0.4</v>
      </c>
      <c r="F190" s="103">
        <f ca="1">IF(Main!$D$6=1,U190,IF(Main!$D$6=2,N190,IF(Main!$D$6=3,K190,IF(Main!$D$6=4,V190,J190))))</f>
        <v>579.59466981238324</v>
      </c>
      <c r="G190" s="103">
        <f ca="1">IF(AND(Energy!$F$11=$A$3,Main!$B$43=A190),Weight!H27,G190)</f>
        <v>15</v>
      </c>
      <c r="H190" s="103">
        <f ca="1">IF(AND(Energy!$F$11=$A$3,Main!$B$43=A190),Weight!U27,H190)</f>
        <v>22.083785826609443</v>
      </c>
      <c r="I190" s="103">
        <f ca="1">IF(AND(Energy!$F$11=$A$3,Main!$B$43=A190),Weight!V27,I190)</f>
        <v>51.303841711664688</v>
      </c>
      <c r="J190" s="103">
        <f ca="1">IF(AND(Energy!$F$11=$A$3,Main!$B$43=A190),Weight!I27,J190)</f>
        <v>24.282407610055248</v>
      </c>
      <c r="K190" s="103">
        <f ca="1">IF(AND(Energy!$F$11=$A$3,Main!$B$43=A190),Weight!W27,K190)</f>
        <v>66.30384168822917</v>
      </c>
      <c r="L190" s="103">
        <f ca="1">IF(AND(Energy!$F$11=$A$3,Main!$B$43=A190),'Aerodynamics-Cruise'!BI27,L190)</f>
        <v>66.303841735273977</v>
      </c>
      <c r="M190" s="103">
        <f ca="1">IF(AND(Energy!$F$11=$A$3,Main!$B$43=A190),'Aerodynamics-Cruise'!BJ27,M190)</f>
        <v>3.363039422598304</v>
      </c>
      <c r="N190" s="103">
        <f ca="1">IF(AND(Energy!$F$11=$A$3,Main!$B$43=A190),'Aerodynamics-Cruise'!BK27,N190)</f>
        <v>19.715451829002717</v>
      </c>
      <c r="O190" s="103">
        <f t="shared" ca="1" si="9"/>
        <v>160.53734669944112</v>
      </c>
      <c r="P190" s="103">
        <f ca="1">IF(AND(Energy!$F$11=$A$3,Main!$B$43=A190),'Aerodynamics-Cruise'!H27,P190)</f>
        <v>7.8754592935494285</v>
      </c>
      <c r="Q190" s="103">
        <f ca="1">IF(AND(Energy!$F$11=$A$3,Main!$B$43=A190),'Aerodynamics-Cruise'!I27,Q190)</f>
        <v>6.5785649974755653</v>
      </c>
      <c r="R190" s="103">
        <f ca="1">IF(AND(Energy!$F$11=$A$3,Main!$B$43=$A190),Summary!R27,R190)</f>
        <v>3.9987269710963718</v>
      </c>
      <c r="S190" s="103">
        <f ca="1">IF(AND(Energy!$F$11=$A$3,Main!$B$43=A190),'Aerodynamics-Cruise'!W27,S190)</f>
        <v>1</v>
      </c>
      <c r="T190" s="103">
        <f ca="1">IF(AND(Energy!$F$11=$A$3,Main!$B$43=A190),'Aerodynamics-Cruise'!BL27,T190)</f>
        <v>26.485480075274918</v>
      </c>
      <c r="U190" s="103">
        <f ca="1">IF(AND(Energy!$F$11=$A$3,Main!$B$43=A190),'Propulsion-Cruise'!M27,U190)</f>
        <v>59.604653025036718</v>
      </c>
      <c r="V190" s="103">
        <f ca="1">IF(AND(Energy!$F$11=$A$3,Main!$B$43=A190),Endurance!AP27,V190)</f>
        <v>579.59466981238324</v>
      </c>
      <c r="W190" s="103">
        <f ca="1">IF(AND(Energy!$F$11=$A$3,Main!$B$43=$A190),Summary!W27,W190)</f>
        <v>1.9789473684210528</v>
      </c>
      <c r="X190" s="13">
        <f ca="1">IF(AND(Energy!$F$11=$A$3,Main!$B$43=A190),Energy!D27,X190)</f>
        <v>1046.4903768661536</v>
      </c>
      <c r="Y190" s="102">
        <f ca="1">IF(AND(Energy!$F$11=$A$3,Main!$B$43=A190),'Aerodynamics-Cruise'!V27,Y190)</f>
        <v>199793.4101980924</v>
      </c>
      <c r="Z190" s="102">
        <f ca="1">IF(AND(Energy!$F$11=$A$3,Main!$B$43=$A190),Summary!Z27,Z190)</f>
        <v>147929.80133859866</v>
      </c>
      <c r="AA190" s="102">
        <f ca="1">IF(AND(Energy!$F$11=$A$3,Main!$B$43=$A190),Summary!AA27,AA190)</f>
        <v>147929.80133859866</v>
      </c>
      <c r="AB190" s="103">
        <f ca="1">IF(AND(Energy!$F$11=$A$3,Main!$B$43=$A190),Summary!AB27,AB190)</f>
        <v>3.9987269710963718</v>
      </c>
      <c r="AC190" s="103">
        <f ca="1">IF(AND(Energy!$F$11=$A$3,Main!$B$43=$A190),Summary!AC27,AC190)</f>
        <v>1.8958299347410765</v>
      </c>
      <c r="AD190" s="103">
        <f ca="1">IF(AND(Energy!$F$11=$A$3,Main!$B$43=$A190),Summary!AD27,AD190)</f>
        <v>0.44450751198966471</v>
      </c>
      <c r="AE190" s="103">
        <f ca="1">IF(AND(Energy!$F$11=$A$3,Main!$B$43=$A190),Summary!AE27,AE190)</f>
        <v>1.9789473684210528</v>
      </c>
      <c r="AF190" s="103">
        <f ca="1">IF(AND(Energy!$F$11=$A$3,Main!$B$43=$A190),Summary!AF27,AF190)</f>
        <v>12.368421052631581</v>
      </c>
      <c r="AG190" s="103">
        <f ca="1">IF(AND(Energy!$F$11=$A$3,Main!$B$43=$A190),Summary!AG27,AG190)</f>
        <v>12.105905371114508</v>
      </c>
      <c r="AH190" s="103">
        <f ca="1">IF(AND(Energy!$F$11=$A$3,Main!$B$43=$A190),Summary!AH27,AH190)</f>
        <v>47</v>
      </c>
      <c r="AI190" s="103">
        <f ca="1">IF(AND(Energy!$F$11=$A$3,Main!$B$43=$A190),Summary!AI27,AI190)</f>
        <v>2.8089597363295726</v>
      </c>
      <c r="AJ190" s="103">
        <f ca="1">IF(AND(Energy!$F$11=$A$3,Main!$B$43=$A190),Summary!AJ27,AJ190)</f>
        <v>0.22836035937323773</v>
      </c>
      <c r="AK190" s="103">
        <f ca="1">IF(AND(Energy!$F$11=$A$3,Main!$B$43=$A190),Summary!AK27,AK190)</f>
        <v>0.01</v>
      </c>
      <c r="AL190" s="103">
        <f ca="1">IF(AND(Energy!$F$11=$A$3,Main!$B$43=$A190),Summary!AL27,AL190)</f>
        <v>-0.5473805409729201</v>
      </c>
      <c r="AM190" s="103">
        <f ca="1">IF(AND(Energy!$F$11=$A$3,Main!$B$43=$A190),Summary!AJ207,AM190)</f>
        <v>0</v>
      </c>
    </row>
    <row r="191" spans="1:39">
      <c r="A191">
        <f t="shared" si="12"/>
        <v>10</v>
      </c>
      <c r="D191" s="1">
        <f ca="1">IF(AND(Energy!$F$11=$A$3,Main!$B$43=A191),Main!C28,D191)</f>
        <v>5.1052631578947372</v>
      </c>
      <c r="E191" s="103">
        <f ca="1">IF(AND(Energy!$F$11=$A$3,Main!$B$43=A191),Main!B28,E191)</f>
        <v>0.4</v>
      </c>
      <c r="F191" s="103">
        <f ca="1">IF(Main!$D$6=1,U191,IF(Main!$D$6=2,N191,IF(Main!$D$6=3,K191,IF(Main!$D$6=4,V191,J191))))</f>
        <v>576.1355686410725</v>
      </c>
      <c r="G191" s="103">
        <f ca="1">IF(AND(Energy!$F$11=$A$3,Main!$B$43=A191),Weight!H28,G191)</f>
        <v>15</v>
      </c>
      <c r="H191" s="103">
        <f ca="1">IF(AND(Energy!$F$11=$A$3,Main!$B$43=A191),Weight!U28,H191)</f>
        <v>22.853472547345625</v>
      </c>
      <c r="I191" s="103">
        <f ca="1">IF(AND(Energy!$F$11=$A$3,Main!$B$43=A191),Weight!V28,I191)</f>
        <v>51.928607656718569</v>
      </c>
      <c r="J191" s="103">
        <f ca="1">IF(AND(Energy!$F$11=$A$3,Main!$B$43=A191),Weight!I28,J191)</f>
        <v>24.137486834372943</v>
      </c>
      <c r="K191" s="103">
        <f ca="1">IF(AND(Energy!$F$11=$A$3,Main!$B$43=A191),Weight!W28,K191)</f>
        <v>66.928607638137748</v>
      </c>
      <c r="L191" s="103">
        <f ca="1">IF(AND(Energy!$F$11=$A$3,Main!$B$43=A191),'Aerodynamics-Cruise'!BI28,L191)</f>
        <v>66.92860767543732</v>
      </c>
      <c r="M191" s="103">
        <f ca="1">IF(AND(Energy!$F$11=$A$3,Main!$B$43=A191),'Aerodynamics-Cruise'!BJ28,M191)</f>
        <v>3.3525025790989966</v>
      </c>
      <c r="N191" s="103">
        <f ca="1">IF(AND(Energy!$F$11=$A$3,Main!$B$43=A191),'Aerodynamics-Cruise'!BK28,N191)</f>
        <v>19.963775148958945</v>
      </c>
      <c r="O191" s="103">
        <f t="shared" ca="1" si="9"/>
        <v>163.32345741755148</v>
      </c>
      <c r="P191" s="103">
        <f ca="1">IF(AND(Energy!$F$11=$A$3,Main!$B$43=A191),'Aerodynamics-Cruise'!H28,P191)</f>
        <v>7.7890770494993582</v>
      </c>
      <c r="Q191" s="103">
        <f ca="1">IF(AND(Energy!$F$11=$A$3,Main!$B$43=A191),'Aerodynamics-Cruise'!I28,Q191)</f>
        <v>6.5093892466253038</v>
      </c>
      <c r="R191" s="103">
        <f ca="1">IF(AND(Energy!$F$11=$A$3,Main!$B$43=$A191),Summary!R28,R191)</f>
        <v>3.9496868986163696</v>
      </c>
      <c r="S191" s="103">
        <f ca="1">IF(AND(Energy!$F$11=$A$3,Main!$B$43=A191),'Aerodynamics-Cruise'!W28,S191)</f>
        <v>1</v>
      </c>
      <c r="T191" s="103">
        <f ca="1">IF(AND(Energy!$F$11=$A$3,Main!$B$43=A191),'Aerodynamics-Cruise'!BL28,T191)</f>
        <v>26.1129008972474</v>
      </c>
      <c r="U191" s="103">
        <f ca="1">IF(AND(Energy!$F$11=$A$3,Main!$B$43=A191),'Propulsion-Cruise'!M28,U191)</f>
        <v>59.020178766500123</v>
      </c>
      <c r="V191" s="103">
        <f ca="1">IF(AND(Energy!$F$11=$A$3,Main!$B$43=A191),Endurance!AP28,V191)</f>
        <v>576.1355686410725</v>
      </c>
      <c r="W191" s="103">
        <f ca="1">IF(AND(Energy!$F$11=$A$3,Main!$B$43=$A191),Summary!W28,W191)</f>
        <v>2.0421052631578949</v>
      </c>
      <c r="X191" s="13">
        <f ca="1">IF(AND(Energy!$F$11=$A$3,Main!$B$43=A191),Energy!D28,X191)</f>
        <v>1040.2447773566032</v>
      </c>
      <c r="Y191" s="102">
        <f ca="1">IF(AND(Energy!$F$11=$A$3,Main!$B$43=A191),'Aerodynamics-Cruise'!V28,Y191)</f>
        <v>197601.96935940211</v>
      </c>
      <c r="Z191" s="102">
        <f ca="1">IF(AND(Energy!$F$11=$A$3,Main!$B$43=$A191),Summary!Z28,Z191)</f>
        <v>146371.65510861293</v>
      </c>
      <c r="AA191" s="102">
        <f ca="1">IF(AND(Energy!$F$11=$A$3,Main!$B$43=$A191),Summary!AA28,AA191)</f>
        <v>146371.65510861293</v>
      </c>
      <c r="AB191" s="103">
        <f ca="1">IF(AND(Energy!$F$11=$A$3,Main!$B$43=$A191),Summary!AB28,AB191)</f>
        <v>3.9496868986163696</v>
      </c>
      <c r="AC191" s="103">
        <f ca="1">IF(AND(Energy!$F$11=$A$3,Main!$B$43=$A191),Summary!AC28,AC191)</f>
        <v>1.8632415763072929</v>
      </c>
      <c r="AD191" s="103">
        <f ca="1">IF(AND(Energy!$F$11=$A$3,Main!$B$43=$A191),Summary!AD28,AD191)</f>
        <v>0.44196628217518585</v>
      </c>
      <c r="AE191" s="103">
        <f ca="1">IF(AND(Energy!$F$11=$A$3,Main!$B$43=$A191),Summary!AE28,AE191)</f>
        <v>2.0421052631578949</v>
      </c>
      <c r="AF191" s="103">
        <f ca="1">IF(AND(Energy!$F$11=$A$3,Main!$B$43=$A191),Summary!AF28,AF191)</f>
        <v>12.763157894736842</v>
      </c>
      <c r="AG191" s="103">
        <f ca="1">IF(AND(Energy!$F$11=$A$3,Main!$B$43=$A191),Summary!AG28,AG191)</f>
        <v>12.042053954851379</v>
      </c>
      <c r="AH191" s="103">
        <f ca="1">IF(AND(Energy!$F$11=$A$3,Main!$B$43=$A191),Summary!AH28,AH191)</f>
        <v>47</v>
      </c>
      <c r="AI191" s="103">
        <f ca="1">IF(AND(Energy!$F$11=$A$3,Main!$B$43=$A191),Summary!AI28,AI191)</f>
        <v>2.8063871766638822</v>
      </c>
      <c r="AJ191" s="103">
        <f ca="1">IF(AND(Energy!$F$11=$A$3,Main!$B$43=$A191),Summary!AJ28,AJ191)</f>
        <v>0.22897826534472038</v>
      </c>
      <c r="AK191" s="103">
        <f ca="1">IF(AND(Energy!$F$11=$A$3,Main!$B$43=$A191),Summary!AK28,AK191)</f>
        <v>0.01</v>
      </c>
      <c r="AL191" s="103">
        <f ca="1">IF(AND(Energy!$F$11=$A$3,Main!$B$43=$A191),Summary!AL28,AL191)</f>
        <v>-0.545903402034148</v>
      </c>
      <c r="AM191" s="103">
        <f ca="1">IF(AND(Energy!$F$11=$A$3,Main!$B$43=$A191),Summary!AJ208,AM191)</f>
        <v>0</v>
      </c>
    </row>
    <row r="192" spans="1:39">
      <c r="A192">
        <f t="shared" si="12"/>
        <v>10</v>
      </c>
      <c r="D192" s="1">
        <f ca="1">IF(AND(Energy!$F$11=$A$3,Main!$B$43=A192),Main!C29,D192)</f>
        <v>5.2631578947368425</v>
      </c>
      <c r="E192" s="103">
        <f ca="1">IF(AND(Energy!$F$11=$A$3,Main!$B$43=A192),Main!B29,E192)</f>
        <v>0.4</v>
      </c>
      <c r="F192" s="103">
        <f ca="1">IF(Main!$D$6=1,U192,IF(Main!$D$6=2,N192,IF(Main!$D$6=3,K192,IF(Main!$D$6=4,V192,J192))))</f>
        <v>574.00070228767572</v>
      </c>
      <c r="G192" s="103">
        <f ca="1">IF(AND(Energy!$F$11=$A$3,Main!$B$43=A192),Weight!H29,G192)</f>
        <v>15</v>
      </c>
      <c r="H192" s="103">
        <f ca="1">IF(AND(Energy!$F$11=$A$3,Main!$B$43=A192),Weight!U29,H192)</f>
        <v>23.65073328088782</v>
      </c>
      <c r="I192" s="103">
        <f ca="1">IF(AND(Energy!$F$11=$A$3,Main!$B$43=A192),Weight!V29,I192)</f>
        <v>52.636427092831767</v>
      </c>
      <c r="J192" s="103">
        <f ca="1">IF(AND(Energy!$F$11=$A$3,Main!$B$43=A192),Weight!I29,J192)</f>
        <v>24.048045536943945</v>
      </c>
      <c r="K192" s="103">
        <f ca="1">IF(AND(Energy!$F$11=$A$3,Main!$B$43=A192),Weight!W29,K192)</f>
        <v>67.636427078825406</v>
      </c>
      <c r="L192" s="103">
        <f ca="1">IF(AND(Energy!$F$11=$A$3,Main!$B$43=A192),'Aerodynamics-Cruise'!BI29,L192)</f>
        <v>67.636427106942278</v>
      </c>
      <c r="M192" s="103">
        <f ca="1">IF(AND(Energy!$F$11=$A$3,Main!$B$43=A192),'Aerodynamics-Cruise'!BJ29,M192)</f>
        <v>3.3474492586477207</v>
      </c>
      <c r="N192" s="103">
        <f ca="1">IF(AND(Energy!$F$11=$A$3,Main!$B$43=A192),'Aerodynamics-Cruise'!BK29,N192)</f>
        <v>20.205362913929747</v>
      </c>
      <c r="O192" s="103">
        <f t="shared" ca="1" si="9"/>
        <v>166.17166992846893</v>
      </c>
      <c r="P192" s="103">
        <f ca="1">IF(AND(Energy!$F$11=$A$3,Main!$B$43=A192),'Aerodynamics-Cruise'!H29,P192)</f>
        <v>7.7117368169592302</v>
      </c>
      <c r="Q192" s="103">
        <f ca="1">IF(AND(Energy!$F$11=$A$3,Main!$B$43=A192),'Aerodynamics-Cruise'!I29,Q192)</f>
        <v>6.4474278368972451</v>
      </c>
      <c r="R192" s="103">
        <f ca="1">IF(AND(Energy!$F$11=$A$3,Main!$B$43=$A192),Summary!R29,R192)</f>
        <v>3.9140143557671272</v>
      </c>
      <c r="S192" s="103">
        <f ca="1">IF(AND(Energy!$F$11=$A$3,Main!$B$43=A192),'Aerodynamics-Cruise'!W29,S192)</f>
        <v>1</v>
      </c>
      <c r="T192" s="103">
        <f ca="1">IF(AND(Energy!$F$11=$A$3,Main!$B$43=A192),'Aerodynamics-Cruise'!BL29,T192)</f>
        <v>25.814647690816507</v>
      </c>
      <c r="U192" s="103">
        <f ca="1">IF(AND(Energy!$F$11=$A$3,Main!$B$43=A192),'Propulsion-Cruise'!M29,U192)</f>
        <v>58.579661592805152</v>
      </c>
      <c r="V192" s="103">
        <f ca="1">IF(AND(Energy!$F$11=$A$3,Main!$B$43=A192),Endurance!AP29,V192)</f>
        <v>574.00070228767572</v>
      </c>
      <c r="W192" s="103">
        <f ca="1">IF(AND(Energy!$F$11=$A$3,Main!$B$43=$A192),Summary!W29,W192)</f>
        <v>2.1052631578947372</v>
      </c>
      <c r="X192" s="13">
        <f ca="1">IF(AND(Energy!$F$11=$A$3,Main!$B$43=A192),Energy!D29,X192)</f>
        <v>1036.3901573908777</v>
      </c>
      <c r="Y192" s="102">
        <f ca="1">IF(AND(Energy!$F$11=$A$3,Main!$B$43=A192),'Aerodynamics-Cruise'!V29,Y192)</f>
        <v>195639.91632493818</v>
      </c>
      <c r="Z192" s="102">
        <f ca="1">IF(AND(Energy!$F$11=$A$3,Main!$B$43=$A192),Summary!Z29,Z192)</f>
        <v>144976.03135148299</v>
      </c>
      <c r="AA192" s="102">
        <f ca="1">IF(AND(Energy!$F$11=$A$3,Main!$B$43=$A192),Summary!AA29,AA192)</f>
        <v>144976.03135148299</v>
      </c>
      <c r="AB192" s="103">
        <f ca="1">IF(AND(Energy!$F$11=$A$3,Main!$B$43=$A192),Summary!AB29,AB192)</f>
        <v>3.9140143557671272</v>
      </c>
      <c r="AC192" s="103">
        <f ca="1">IF(AND(Energy!$F$11=$A$3,Main!$B$43=$A192),Summary!AC29,AC192)</f>
        <v>1.8299508023945992</v>
      </c>
      <c r="AD192" s="103">
        <f ca="1">IF(AND(Energy!$F$11=$A$3,Main!$B$43=$A192),Summary!AD29,AD192)</f>
        <v>0.43988398410393531</v>
      </c>
      <c r="AE192" s="103">
        <f ca="1">IF(AND(Energy!$F$11=$A$3,Main!$B$43=$A192),Summary!AE29,AE192)</f>
        <v>2.1052631578947372</v>
      </c>
      <c r="AF192" s="103">
        <f ca="1">IF(AND(Energy!$F$11=$A$3,Main!$B$43=$A192),Summary!AF29,AF192)</f>
        <v>13.157894736842106</v>
      </c>
      <c r="AG192" s="103">
        <f ca="1">IF(AND(Energy!$F$11=$A$3,Main!$B$43=$A192),Summary!AG29,AG192)</f>
        <v>11.995342702735689</v>
      </c>
      <c r="AH192" s="103">
        <f ca="1">IF(AND(Energy!$F$11=$A$3,Main!$B$43=$A192),Summary!AH29,AH192)</f>
        <v>47</v>
      </c>
      <c r="AI192" s="103">
        <f ca="1">IF(AND(Energy!$F$11=$A$3,Main!$B$43=$A192),Summary!AI29,AI192)</f>
        <v>2.8040612195832564</v>
      </c>
      <c r="AJ192" s="103">
        <f ca="1">IF(AND(Energy!$F$11=$A$3,Main!$B$43=$A192),Summary!AJ29,AJ192)</f>
        <v>0.22953940719426266</v>
      </c>
      <c r="AK192" s="103">
        <f ca="1">IF(AND(Energy!$F$11=$A$3,Main!$B$43=$A192),Summary!AK29,AK192)</f>
        <v>0.01</v>
      </c>
      <c r="AL192" s="103">
        <f ca="1">IF(AND(Energy!$F$11=$A$3,Main!$B$43=$A192),Summary!AL29,AL192)</f>
        <v>-0.54456884953004625</v>
      </c>
      <c r="AM192" s="103">
        <f ca="1">IF(AND(Energy!$F$11=$A$3,Main!$B$43=$A192),Summary!AJ209,AM192)</f>
        <v>0</v>
      </c>
    </row>
    <row r="193" spans="1:39">
      <c r="A193">
        <f t="shared" si="12"/>
        <v>10</v>
      </c>
      <c r="D193" s="1">
        <f ca="1">IF(AND(Energy!$F$11=$A$3,Main!$B$43=A193),Main!C30,D193)</f>
        <v>5.4210526315789478</v>
      </c>
      <c r="E193" s="103">
        <f ca="1">IF(AND(Energy!$F$11=$A$3,Main!$B$43=A193),Main!B30,E193)</f>
        <v>0.4</v>
      </c>
      <c r="F193" s="103">
        <f ca="1">IF(Main!$D$6=1,U193,IF(Main!$D$6=2,N193,IF(Main!$D$6=3,K193,IF(Main!$D$6=4,V193,J193))))</f>
        <v>573.03200380925307</v>
      </c>
      <c r="G193" s="103">
        <f ca="1">IF(AND(Energy!$F$11=$A$3,Main!$B$43=A193),Weight!H30,G193)</f>
        <v>15</v>
      </c>
      <c r="H193" s="103">
        <f ca="1">IF(AND(Energy!$F$11=$A$3,Main!$B$43=A193),Weight!U30,H193)</f>
        <v>24.47526780379772</v>
      </c>
      <c r="I193" s="103">
        <f ca="1">IF(AND(Energy!$F$11=$A$3,Main!$B$43=A193),Weight!V30,I193)</f>
        <v>53.420377503096702</v>
      </c>
      <c r="J193" s="103">
        <f ca="1">IF(AND(Energy!$F$11=$A$3,Main!$B$43=A193),Weight!I30,J193)</f>
        <v>24.007461424298985</v>
      </c>
      <c r="K193" s="103">
        <f ca="1">IF(AND(Energy!$F$11=$A$3,Main!$B$43=A193),Weight!W30,K193)</f>
        <v>68.420377493448342</v>
      </c>
      <c r="L193" s="103">
        <f ca="1">IF(AND(Energy!$F$11=$A$3,Main!$B$43=A193),'Aerodynamics-Cruise'!BI30,L193)</f>
        <v>68.420377512817012</v>
      </c>
      <c r="M193" s="103">
        <f ca="1">IF(AND(Energy!$F$11=$A$3,Main!$B$43=A193),'Aerodynamics-Cruise'!BJ30,M193)</f>
        <v>3.3472462956284441</v>
      </c>
      <c r="N193" s="103">
        <f ca="1">IF(AND(Energy!$F$11=$A$3,Main!$B$43=A193),'Aerodynamics-Cruise'!BK30,N193)</f>
        <v>20.44079564810486</v>
      </c>
      <c r="O193" s="103">
        <f t="shared" ca="1" si="9"/>
        <v>169.0793344126341</v>
      </c>
      <c r="P193" s="103">
        <f ca="1">IF(AND(Energy!$F$11=$A$3,Main!$B$43=A193),'Aerodynamics-Cruise'!H30,P193)</f>
        <v>7.6424436154012731</v>
      </c>
      <c r="Q193" s="103">
        <f ca="1">IF(AND(Energy!$F$11=$A$3,Main!$B$43=A193),'Aerodynamics-Cruise'!I30,Q193)</f>
        <v>6.3918919817125213</v>
      </c>
      <c r="R193" s="103">
        <f ca="1">IF(AND(Energy!$F$11=$A$3,Main!$B$43=$A193),Summary!R30,R193)</f>
        <v>3.8900487110485513</v>
      </c>
      <c r="S193" s="103">
        <f ca="1">IF(AND(Energy!$F$11=$A$3,Main!$B$43=A193),'Aerodynamics-Cruise'!W30,S193)</f>
        <v>1</v>
      </c>
      <c r="T193" s="103">
        <f ca="1">IF(AND(Energy!$F$11=$A$3,Main!$B$43=A193),'Aerodynamics-Cruise'!BL30,T193)</f>
        <v>25.581141081201164</v>
      </c>
      <c r="U193" s="103">
        <f ca="1">IF(AND(Energy!$F$11=$A$3,Main!$B$43=A193),'Propulsion-Cruise'!M30,U193)</f>
        <v>58.265187017673256</v>
      </c>
      <c r="V193" s="103">
        <f ca="1">IF(AND(Energy!$F$11=$A$3,Main!$B$43=A193),Endurance!AP30,V193)</f>
        <v>573.03200380925307</v>
      </c>
      <c r="W193" s="103">
        <f ca="1">IF(AND(Energy!$F$11=$A$3,Main!$B$43=$A193),Summary!W30,W193)</f>
        <v>2.168421052631579</v>
      </c>
      <c r="X193" s="13">
        <f ca="1">IF(AND(Energy!$F$11=$A$3,Main!$B$43=A193),Energy!D30,X193)</f>
        <v>1034.6411183196089</v>
      </c>
      <c r="Y193" s="102">
        <f ca="1">IF(AND(Energy!$F$11=$A$3,Main!$B$43=A193),'Aerodynamics-Cruise'!V30,Y193)</f>
        <v>193882.00932208597</v>
      </c>
      <c r="Z193" s="102">
        <f ca="1">IF(AND(Energy!$F$11=$A$3,Main!$B$43=$A193),Summary!Z30,Z193)</f>
        <v>143725.15604725201</v>
      </c>
      <c r="AA193" s="102">
        <f ca="1">IF(AND(Energy!$F$11=$A$3,Main!$B$43=$A193),Summary!AA30,AA193)</f>
        <v>143725.15604725201</v>
      </c>
      <c r="AB193" s="103">
        <f ca="1">IF(AND(Energy!$F$11=$A$3,Main!$B$43=$A193),Summary!AB30,AB193)</f>
        <v>3.8900487110485513</v>
      </c>
      <c r="AC193" s="103">
        <f ca="1">IF(AND(Energy!$F$11=$A$3,Main!$B$43=$A193),Summary!AC30,AC193)</f>
        <v>1.7962149783047694</v>
      </c>
      <c r="AD193" s="103">
        <f ca="1">IF(AND(Energy!$F$11=$A$3,Main!$B$43=$A193),Summary!AD30,AD193)</f>
        <v>0.43820964767052079</v>
      </c>
      <c r="AE193" s="103">
        <f ca="1">IF(AND(Energy!$F$11=$A$3,Main!$B$43=$A193),Summary!AE30,AE193)</f>
        <v>2.168421052631579</v>
      </c>
      <c r="AF193" s="103">
        <f ca="1">IF(AND(Energy!$F$11=$A$3,Main!$B$43=$A193),Summary!AF30,AF193)</f>
        <v>13.55263157894737</v>
      </c>
      <c r="AG193" s="103">
        <f ca="1">IF(AND(Energy!$F$11=$A$3,Main!$B$43=$A193),Summary!AG30,AG193)</f>
        <v>11.963744702778431</v>
      </c>
      <c r="AH193" s="103">
        <f ca="1">IF(AND(Energy!$F$11=$A$3,Main!$B$43=$A193),Summary!AH30,AH193)</f>
        <v>47</v>
      </c>
      <c r="AI193" s="103">
        <f ca="1">IF(AND(Energy!$F$11=$A$3,Main!$B$43=$A193),Summary!AI30,AI193)</f>
        <v>2.8019585336666499</v>
      </c>
      <c r="AJ193" s="103">
        <f ca="1">IF(AND(Energy!$F$11=$A$3,Main!$B$43=$A193),Summary!AJ30,AJ193)</f>
        <v>0.23004885138693437</v>
      </c>
      <c r="AK193" s="103">
        <f ca="1">IF(AND(Energy!$F$11=$A$3,Main!$B$43=$A193),Summary!AK30,AK193)</f>
        <v>0.01</v>
      </c>
      <c r="AL193" s="103">
        <f ca="1">IF(AND(Energy!$F$11=$A$3,Main!$B$43=$A193),Summary!AL30,AL193)</f>
        <v>-0.54336288528401788</v>
      </c>
      <c r="AM193" s="103">
        <f ca="1">IF(AND(Energy!$F$11=$A$3,Main!$B$43=$A193),Summary!AJ210,AM193)</f>
        <v>0</v>
      </c>
    </row>
    <row r="194" spans="1:39">
      <c r="A194">
        <f t="shared" si="12"/>
        <v>10</v>
      </c>
      <c r="D194" s="1">
        <f ca="1">IF(AND(Energy!$F$11=$A$3,Main!$B$43=A194),Main!C31,D194)</f>
        <v>5.5789473684210531</v>
      </c>
      <c r="E194" s="103">
        <f ca="1">IF(AND(Energy!$F$11=$A$3,Main!$B$43=A194),Main!B31,E194)</f>
        <v>0.4</v>
      </c>
      <c r="F194" s="103">
        <f ca="1">IF(Main!$D$6=1,U194,IF(Main!$D$6=2,N194,IF(Main!$D$6=3,K194,IF(Main!$D$6=4,V194,J194))))</f>
        <v>573.10135147770927</v>
      </c>
      <c r="G194" s="103">
        <f ca="1">IF(AND(Energy!$F$11=$A$3,Main!$B$43=A194),Weight!H31,G194)</f>
        <v>15</v>
      </c>
      <c r="H194" s="103">
        <f ca="1">IF(AND(Energy!$F$11=$A$3,Main!$B$43=A194),Weight!U31,H194)</f>
        <v>25.326905903438757</v>
      </c>
      <c r="I194" s="103">
        <f ca="1">IF(AND(Energy!$F$11=$A$3,Main!$B$43=A194),Weight!V31,I194)</f>
        <v>54.274920951119441</v>
      </c>
      <c r="J194" s="103">
        <f ca="1">IF(AND(Energy!$F$11=$A$3,Main!$B$43=A194),Weight!I31,J194)</f>
        <v>24.010366772680683</v>
      </c>
      <c r="K194" s="103">
        <f ca="1">IF(AND(Energy!$F$11=$A$3,Main!$B$43=A194),Weight!W31,K194)</f>
        <v>69.274920945671198</v>
      </c>
      <c r="L194" s="103">
        <f ca="1">IF(AND(Energy!$F$11=$A$3,Main!$B$43=A194),'Aerodynamics-Cruise'!BI31,L194)</f>
        <v>69.274920956608568</v>
      </c>
      <c r="M194" s="103">
        <f ca="1">IF(AND(Energy!$F$11=$A$3,Main!$B$43=A194),'Aerodynamics-Cruise'!BJ31,M194)</f>
        <v>3.3513719597978997</v>
      </c>
      <c r="N194" s="103">
        <f ca="1">IF(AND(Energy!$F$11=$A$3,Main!$B$43=A194),'Aerodynamics-Cruise'!BK31,N194)</f>
        <v>20.670615433801657</v>
      </c>
      <c r="O194" s="103">
        <f t="shared" ca="1" si="9"/>
        <v>172.04475085682347</v>
      </c>
      <c r="P194" s="103">
        <f ca="1">IF(AND(Energy!$F$11=$A$3,Main!$B$43=A194),'Aerodynamics-Cruise'!H31,P194)</f>
        <v>7.580359013380475</v>
      </c>
      <c r="Q194" s="103">
        <f ca="1">IF(AND(Energy!$F$11=$A$3,Main!$B$43=A194),'Aerodynamics-Cruise'!I31,Q194)</f>
        <v>6.3421164659035538</v>
      </c>
      <c r="R194" s="103">
        <f ca="1">IF(AND(Energy!$F$11=$A$3,Main!$B$43=$A194),Summary!R31,R194)</f>
        <v>3.8764694361228469</v>
      </c>
      <c r="S194" s="103">
        <f ca="1">IF(AND(Energy!$F$11=$A$3,Main!$B$43=A194),'Aerodynamics-Cruise'!W31,S194)</f>
        <v>1</v>
      </c>
      <c r="T194" s="103">
        <f ca="1">IF(AND(Energy!$F$11=$A$3,Main!$B$43=A194),'Aerodynamics-Cruise'!BL31,T194)</f>
        <v>25.404602642644598</v>
      </c>
      <c r="U194" s="103">
        <f ca="1">IF(AND(Energy!$F$11=$A$3,Main!$B$43=A194),'Propulsion-Cruise'!M31,U194)</f>
        <v>58.062206944900275</v>
      </c>
      <c r="V194" s="103">
        <f ca="1">IF(AND(Energy!$F$11=$A$3,Main!$B$43=A194),Endurance!AP31,V194)</f>
        <v>573.10135147770927</v>
      </c>
      <c r="W194" s="103">
        <f ca="1">IF(AND(Energy!$F$11=$A$3,Main!$B$43=$A194),Summary!W31,W194)</f>
        <v>2.2315789473684213</v>
      </c>
      <c r="X194" s="13">
        <f ca="1">IF(AND(Energy!$F$11=$A$3,Main!$B$43=A194),Energy!D31,X194)</f>
        <v>1034.7663292426864</v>
      </c>
      <c r="Y194" s="102">
        <f ca="1">IF(AND(Energy!$F$11=$A$3,Main!$B$43=A194),'Aerodynamics-Cruise'!V31,Y194)</f>
        <v>192306.9780894712</v>
      </c>
      <c r="Z194" s="102">
        <f ca="1">IF(AND(Energy!$F$11=$A$3,Main!$B$43=$A194),Summary!Z31,Z194)</f>
        <v>142604.04012848577</v>
      </c>
      <c r="AA194" s="102">
        <f ca="1">IF(AND(Energy!$F$11=$A$3,Main!$B$43=$A194),Summary!AA31,AA194)</f>
        <v>142604.04012848577</v>
      </c>
      <c r="AB194" s="103">
        <f ca="1">IF(AND(Energy!$F$11=$A$3,Main!$B$43=$A194),Summary!AB31,AB194)</f>
        <v>3.8764694361228469</v>
      </c>
      <c r="AC194" s="103">
        <f ca="1">IF(AND(Energy!$F$11=$A$3,Main!$B$43=$A194),Summary!AC31,AC194)</f>
        <v>1.7622391278987692</v>
      </c>
      <c r="AD194" s="103">
        <f ca="1">IF(AND(Energy!$F$11=$A$3,Main!$B$43=$A194),Summary!AD31,AD194)</f>
        <v>0.43690053625608943</v>
      </c>
      <c r="AE194" s="103">
        <f ca="1">IF(AND(Energy!$F$11=$A$3,Main!$B$43=$A194),Summary!AE31,AE194)</f>
        <v>2.2315789473684213</v>
      </c>
      <c r="AF194" s="103">
        <f ca="1">IF(AND(Energy!$F$11=$A$3,Main!$B$43=$A194),Summary!AF31,AF194)</f>
        <v>13.947368421052632</v>
      </c>
      <c r="AG194" s="103">
        <f ca="1">IF(AND(Energy!$F$11=$A$3,Main!$B$43=$A194),Summary!AG31,AG194)</f>
        <v>11.945588229407145</v>
      </c>
      <c r="AH194" s="103">
        <f ca="1">IF(AND(Energy!$F$11=$A$3,Main!$B$43=$A194),Summary!AH31,AH194)</f>
        <v>47</v>
      </c>
      <c r="AI194" s="103">
        <f ca="1">IF(AND(Energy!$F$11=$A$3,Main!$B$43=$A194),Summary!AI31,AI194)</f>
        <v>2.8000590792611706</v>
      </c>
      <c r="AJ194" s="103">
        <f ca="1">IF(AND(Energy!$F$11=$A$3,Main!$B$43=$A194),Summary!AJ31,AJ194)</f>
        <v>0.23051102500223039</v>
      </c>
      <c r="AK194" s="103">
        <f ca="1">IF(AND(Energy!$F$11=$A$3,Main!$B$43=$A194),Summary!AK31,AK194)</f>
        <v>0.01</v>
      </c>
      <c r="AL194" s="103">
        <f ca="1">IF(AND(Energy!$F$11=$A$3,Main!$B$43=$A194),Summary!AL31,AL194)</f>
        <v>-0.54227343057985833</v>
      </c>
      <c r="AM194" s="103">
        <f ca="1">IF(AND(Energy!$F$11=$A$3,Main!$B$43=$A194),Summary!AJ211,AM194)</f>
        <v>0</v>
      </c>
    </row>
    <row r="195" spans="1:39">
      <c r="A195">
        <f t="shared" si="12"/>
        <v>10</v>
      </c>
      <c r="D195" s="1">
        <f ca="1">IF(AND(Energy!$F$11=$A$3,Main!$B$43=A195),Main!C32,D195)</f>
        <v>5.7368421052631584</v>
      </c>
      <c r="E195" s="103">
        <f ca="1">IF(AND(Energy!$F$11=$A$3,Main!$B$43=A195),Main!B32,E195)</f>
        <v>0.4</v>
      </c>
      <c r="F195" s="103">
        <f ca="1">IF(Main!$D$6=1,U195,IF(Main!$D$6=2,N195,IF(Main!$D$6=3,K195,IF(Main!$D$6=4,V195,J195))))</f>
        <v>574.1039160881777</v>
      </c>
      <c r="G195" s="103">
        <f ca="1">IF(AND(Energy!$F$11=$A$3,Main!$B$43=A195),Weight!H32,G195)</f>
        <v>15</v>
      </c>
      <c r="H195" s="103">
        <f ca="1">IF(AND(Energy!$F$11=$A$3,Main!$B$43=A195),Weight!U32,H195)</f>
        <v>26.205580086951088</v>
      </c>
      <c r="I195" s="103">
        <f ca="1">IF(AND(Energy!$F$11=$A$3,Main!$B$43=A195),Weight!V32,I195)</f>
        <v>55.195598072162923</v>
      </c>
      <c r="J195" s="103">
        <f ca="1">IF(AND(Energy!$F$11=$A$3,Main!$B$43=A195),Weight!I32,J195)</f>
        <v>24.052369710211835</v>
      </c>
      <c r="K195" s="103">
        <f ca="1">IF(AND(Energy!$F$11=$A$3,Main!$B$43=A195),Weight!W32,K195)</f>
        <v>70.195598070810433</v>
      </c>
      <c r="L195" s="103">
        <f ca="1">IF(AND(Energy!$F$11=$A$3,Main!$B$43=A195),'Aerodynamics-Cruise'!BI32,L195)</f>
        <v>70.195598073526</v>
      </c>
      <c r="M195" s="103">
        <f ca="1">IF(AND(Energy!$F$11=$A$3,Main!$B$43=A195),'Aerodynamics-Cruise'!BJ32,M195)</f>
        <v>3.3593922430841463</v>
      </c>
      <c r="N195" s="103">
        <f ca="1">IF(AND(Energy!$F$11=$A$3,Main!$B$43=A195),'Aerodynamics-Cruise'!BK32,N195)</f>
        <v>20.895326593086896</v>
      </c>
      <c r="O195" s="103">
        <f t="shared" ca="1" si="9"/>
        <v>175.06692471514987</v>
      </c>
      <c r="P195" s="103">
        <f ca="1">IF(AND(Energy!$F$11=$A$3,Main!$B$43=A195),'Aerodynamics-Cruise'!H32,P195)</f>
        <v>7.5247698817088882</v>
      </c>
      <c r="Q195" s="103">
        <f ca="1">IF(AND(Energy!$F$11=$A$3,Main!$B$43=A195),'Aerodynamics-Cruise'!I32,Q195)</f>
        <v>6.2975350406029555</v>
      </c>
      <c r="R195" s="103">
        <f ca="1">IF(AND(Energy!$F$11=$A$3,Main!$B$43=$A195),Summary!R32,R195)</f>
        <v>3.8722172081585478</v>
      </c>
      <c r="S195" s="103">
        <f ca="1">IF(AND(Energy!$F$11=$A$3,Main!$B$43=A195),'Aerodynamics-Cruise'!W32,S195)</f>
        <v>1</v>
      </c>
      <c r="T195" s="103">
        <f ca="1">IF(AND(Energy!$F$11=$A$3,Main!$B$43=A195),'Aerodynamics-Cruise'!BL32,T195)</f>
        <v>25.278653571606046</v>
      </c>
      <c r="U195" s="103">
        <f ca="1">IF(AND(Energy!$F$11=$A$3,Main!$B$43=A195),'Propulsion-Cruise'!M32,U195)</f>
        <v>57.958791479268193</v>
      </c>
      <c r="V195" s="103">
        <f ca="1">IF(AND(Energy!$F$11=$A$3,Main!$B$43=A195),Endurance!AP32,V195)</f>
        <v>574.1039160881777</v>
      </c>
      <c r="W195" s="103">
        <f ca="1">IF(AND(Energy!$F$11=$A$3,Main!$B$43=$A195),Summary!W32,W195)</f>
        <v>2.2947368421052636</v>
      </c>
      <c r="X195" s="13">
        <f ca="1">IF(AND(Energy!$F$11=$A$3,Main!$B$43=A195),Energy!D32,X195)</f>
        <v>1036.5765152049337</v>
      </c>
      <c r="Y195" s="102">
        <f ca="1">IF(AND(Energy!$F$11=$A$3,Main!$B$43=A195),'Aerodynamics-Cruise'!V32,Y195)</f>
        <v>190896.73117273406</v>
      </c>
      <c r="Z195" s="102">
        <f ca="1">IF(AND(Energy!$F$11=$A$3,Main!$B$43=$A195),Summary!Z32,Z195)</f>
        <v>141599.92489802427</v>
      </c>
      <c r="AA195" s="102">
        <f ca="1">IF(AND(Energy!$F$11=$A$3,Main!$B$43=$A195),Summary!AA32,AA195)</f>
        <v>141599.92489802427</v>
      </c>
      <c r="AB195" s="103">
        <f ca="1">IF(AND(Energy!$F$11=$A$3,Main!$B$43=$A195),Summary!AB32,AB195)</f>
        <v>3.8722172081585478</v>
      </c>
      <c r="AC195" s="103">
        <f ca="1">IF(AND(Energy!$F$11=$A$3,Main!$B$43=$A195),Summary!AC32,AC195)</f>
        <v>1.7281872612941582</v>
      </c>
      <c r="AD195" s="103">
        <f ca="1">IF(AND(Energy!$F$11=$A$3,Main!$B$43=$A195),Summary!AD32,AD195)</f>
        <v>0.43592047884037743</v>
      </c>
      <c r="AE195" s="103">
        <f ca="1">IF(AND(Energy!$F$11=$A$3,Main!$B$43=$A195),Summary!AE32,AE195)</f>
        <v>2.2947368421052636</v>
      </c>
      <c r="AF195" s="103">
        <f ca="1">IF(AND(Energy!$F$11=$A$3,Main!$B$43=$A195),Summary!AF32,AF195)</f>
        <v>14.342105263157896</v>
      </c>
      <c r="AG195" s="103">
        <f ca="1">IF(AND(Energy!$F$11=$A$3,Main!$B$43=$A195),Summary!AG32,AG195)</f>
        <v>11.939481226517326</v>
      </c>
      <c r="AH195" s="103">
        <f ca="1">IF(AND(Energy!$F$11=$A$3,Main!$B$43=$A195),Summary!AH32,AH195)</f>
        <v>47</v>
      </c>
      <c r="AI195" s="103">
        <f ca="1">IF(AND(Energy!$F$11=$A$3,Main!$B$43=$A195),Summary!AI32,AI195)</f>
        <v>2.79834548901845</v>
      </c>
      <c r="AJ195" s="103">
        <f ca="1">IF(AND(Energy!$F$11=$A$3,Main!$B$43=$A195),Summary!AJ32,AJ195)</f>
        <v>0.23092982223330441</v>
      </c>
      <c r="AK195" s="103">
        <f ca="1">IF(AND(Energy!$F$11=$A$3,Main!$B$43=$A195),Summary!AK32,AK195)</f>
        <v>0.01</v>
      </c>
      <c r="AL195" s="103">
        <f ca="1">IF(AND(Energy!$F$11=$A$3,Main!$B$43=$A195),Summary!AL32,AL195)</f>
        <v>-0.54128998894533642</v>
      </c>
      <c r="AM195" s="103">
        <f ca="1">IF(AND(Energy!$F$11=$A$3,Main!$B$43=$A195),Summary!AJ212,AM195)</f>
        <v>0</v>
      </c>
    </row>
    <row r="196" spans="1:39">
      <c r="A196">
        <f t="shared" si="12"/>
        <v>10</v>
      </c>
      <c r="D196" s="1">
        <f ca="1">IF(AND(Energy!$F$11=$A$3,Main!$B$43=A196),Main!C33,D196)</f>
        <v>5.8947368421052637</v>
      </c>
      <c r="E196" s="103">
        <f ca="1">IF(AND(Energy!$F$11=$A$3,Main!$B$43=A196),Main!B33,E196)</f>
        <v>0.4</v>
      </c>
      <c r="F196" s="103">
        <f ca="1">IF(Main!$D$6=1,U196,IF(Main!$D$6=2,N196,IF(Main!$D$6=3,K196,IF(Main!$D$6=4,V196,J196))))</f>
        <v>575.95322730867304</v>
      </c>
      <c r="G196" s="103">
        <f ca="1">IF(AND(Energy!$F$11=$A$3,Main!$B$43=A196),Weight!H33,G196)</f>
        <v>15</v>
      </c>
      <c r="H196" s="103">
        <f ca="1">IF(AND(Energy!$F$11=$A$3,Main!$B$43=A196),Weight!U33,H196)</f>
        <v>27.111305156327333</v>
      </c>
      <c r="I196" s="103">
        <f ca="1">IF(AND(Energy!$F$11=$A$3,Main!$B$43=A196),Weight!V33,I196)</f>
        <v>56.178800950481332</v>
      </c>
      <c r="J196" s="103">
        <f ca="1">IF(AND(Energy!$F$11=$A$3,Main!$B$43=A196),Weight!I33,J196)</f>
        <v>24.129847519153998</v>
      </c>
      <c r="K196" s="103">
        <f ca="1">IF(AND(Energy!$F$11=$A$3,Main!$B$43=A196),Weight!W33,K196)</f>
        <v>71.178800953169244</v>
      </c>
      <c r="L196" s="103">
        <f ca="1">IF(AND(Energy!$F$11=$A$3,Main!$B$43=A196),'Aerodynamics-Cruise'!BI33,L196)</f>
        <v>71.178800947774093</v>
      </c>
      <c r="M196" s="103">
        <f ca="1">IF(AND(Energy!$F$11=$A$3,Main!$B$43=A196),'Aerodynamics-Cruise'!BJ33,M196)</f>
        <v>3.3709430592574683</v>
      </c>
      <c r="N196" s="103">
        <f ca="1">IF(AND(Energy!$F$11=$A$3,Main!$B$43=A196),'Aerodynamics-Cruise'!BK33,N196)</f>
        <v>21.11539699619042</v>
      </c>
      <c r="O196" s="103">
        <f t="shared" ca="1" si="9"/>
        <v>178.14538865942902</v>
      </c>
      <c r="P196" s="103">
        <f ca="1">IF(AND(Energy!$F$11=$A$3,Main!$B$43=A196),'Aerodynamics-Cruise'!H33,P196)</f>
        <v>7.4750645995301905</v>
      </c>
      <c r="Q196" s="103">
        <f ca="1">IF(AND(Energy!$F$11=$A$3,Main!$B$43=A196),'Aerodynamics-Cruise'!I33,Q196)</f>
        <v>6.2576616780146361</v>
      </c>
      <c r="R196" s="103">
        <f ca="1">IF(AND(Energy!$F$11=$A$3,Main!$B$43=$A196),Summary!R33,R196)</f>
        <v>3.8764362826249661</v>
      </c>
      <c r="S196" s="103">
        <f ca="1">IF(AND(Energy!$F$11=$A$3,Main!$B$43=A196),'Aerodynamics-Cruise'!W33,S196)</f>
        <v>1</v>
      </c>
      <c r="T196" s="103">
        <f ca="1">IF(AND(Energy!$F$11=$A$3,Main!$B$43=A196),'Aerodynamics-Cruise'!BL33,T196)</f>
        <v>25.198017129287503</v>
      </c>
      <c r="U196" s="103">
        <f ca="1">IF(AND(Energy!$F$11=$A$3,Main!$B$43=A196),'Propulsion-Cruise'!M33,U196)</f>
        <v>57.945074054311753</v>
      </c>
      <c r="V196" s="103">
        <f ca="1">IF(AND(Energy!$F$11=$A$3,Main!$B$43=A196),Endurance!AP33,V196)</f>
        <v>575.95322730867304</v>
      </c>
      <c r="W196" s="103">
        <f ca="1">IF(AND(Energy!$F$11=$A$3,Main!$B$43=$A196),Summary!W33,W196)</f>
        <v>2.3578947368421055</v>
      </c>
      <c r="X196" s="13">
        <f ca="1">IF(AND(Energy!$F$11=$A$3,Main!$B$43=A196),Energy!D33,X196)</f>
        <v>1039.9155492162918</v>
      </c>
      <c r="Y196" s="102">
        <f ca="1">IF(AND(Energy!$F$11=$A$3,Main!$B$43=A196),'Aerodynamics-Cruise'!V33,Y196)</f>
        <v>189635.75229376575</v>
      </c>
      <c r="Z196" s="102">
        <f ca="1">IF(AND(Energy!$F$11=$A$3,Main!$B$43=$A196),Summary!Z33,Z196)</f>
        <v>140701.85953216554</v>
      </c>
      <c r="AA196" s="102">
        <f ca="1">IF(AND(Energy!$F$11=$A$3,Main!$B$43=$A196),Summary!AA33,AA196)</f>
        <v>140701.85953216554</v>
      </c>
      <c r="AB196" s="103">
        <f ca="1">IF(AND(Energy!$F$11=$A$3,Main!$B$43=$A196),Summary!AB33,AB196)</f>
        <v>3.8764362826249661</v>
      </c>
      <c r="AC196" s="103">
        <f ca="1">IF(AND(Energy!$F$11=$A$3,Main!$B$43=$A196),Summary!AC33,AC196)</f>
        <v>1.6941909553408843</v>
      </c>
      <c r="AD196" s="103">
        <f ca="1">IF(AND(Energy!$F$11=$A$3,Main!$B$43=$A196),Summary!AD33,AD196)</f>
        <v>0.43523860390900959</v>
      </c>
      <c r="AE196" s="103">
        <f ca="1">IF(AND(Energy!$F$11=$A$3,Main!$B$43=$A196),Summary!AE33,AE196)</f>
        <v>2.3578947368421055</v>
      </c>
      <c r="AF196" s="103">
        <f ca="1">IF(AND(Energy!$F$11=$A$3,Main!$B$43=$A196),Summary!AF33,AF196)</f>
        <v>14.736842105263161</v>
      </c>
      <c r="AG196" s="103">
        <f ca="1">IF(AND(Energy!$F$11=$A$3,Main!$B$43=$A196),Summary!AG33,AG196)</f>
        <v>11.944254606566041</v>
      </c>
      <c r="AH196" s="103">
        <f ca="1">IF(AND(Energy!$F$11=$A$3,Main!$B$43=$A196),Summary!AH33,AH196)</f>
        <v>47</v>
      </c>
      <c r="AI196" s="103">
        <f ca="1">IF(AND(Energy!$F$11=$A$3,Main!$B$43=$A196),Summary!AI33,AI196)</f>
        <v>2.7968025908059353</v>
      </c>
      <c r="AJ196" s="103">
        <f ca="1">IF(AND(Energy!$F$11=$A$3,Main!$B$43=$A196),Summary!AJ33,AJ196)</f>
        <v>0.23130868900233989</v>
      </c>
      <c r="AK196" s="103">
        <f ca="1">IF(AND(Energy!$F$11=$A$3,Main!$B$43=$A196),Summary!AK33,AK196)</f>
        <v>0.01</v>
      </c>
      <c r="AL196" s="103">
        <f ca="1">IF(AND(Energy!$F$11=$A$3,Main!$B$43=$A196),Summary!AL33,AL196)</f>
        <v>-0.54040338056272763</v>
      </c>
      <c r="AM196" s="103">
        <f ca="1">IF(AND(Energy!$F$11=$A$3,Main!$B$43=$A196),Summary!AJ213,AM196)</f>
        <v>0</v>
      </c>
    </row>
    <row r="197" spans="1:39">
      <c r="A197">
        <f t="shared" si="12"/>
        <v>10</v>
      </c>
      <c r="D197" s="1">
        <f ca="1">IF(AND(Energy!$F$11=$A$3,Main!$B$43=A197),Main!C34,D197)</f>
        <v>6.052631578947369</v>
      </c>
      <c r="E197" s="103">
        <f ca="1">IF(AND(Energy!$F$11=$A$3,Main!$B$43=A197),Main!B34,E197)</f>
        <v>0.4</v>
      </c>
      <c r="F197" s="103">
        <f ca="1">IF(Main!$D$6=1,U197,IF(Main!$D$6=2,N197,IF(Main!$D$6=3,K197,IF(Main!$D$6=4,V197,J197))))</f>
        <v>580.59122816737636</v>
      </c>
      <c r="G197" s="103">
        <f ca="1">IF(AND(Energy!$F$11=$A$3,Main!$B$43=A197),Weight!H34,G197)</f>
        <v>15</v>
      </c>
      <c r="H197" s="103">
        <f ca="1">IF(AND(Energy!$F$11=$A$3,Main!$B$43=A197),Weight!U34,H197)</f>
        <v>28.064446810431285</v>
      </c>
      <c r="I197" s="103">
        <f ca="1">IF(AND(Energy!$F$11=$A$3,Main!$B$43=A197),Weight!V34,I197)</f>
        <v>57.326204924348417</v>
      </c>
      <c r="J197" s="103">
        <f ca="1">IF(AND(Energy!$F$11=$A$3,Main!$B$43=A197),Weight!I34,J197)</f>
        <v>24.324109838917131</v>
      </c>
      <c r="K197" s="103">
        <f ca="1">IF(AND(Energy!$F$11=$A$3,Main!$B$43=A197),Weight!W34,K197)</f>
        <v>72.326236153456932</v>
      </c>
      <c r="L197" s="103">
        <f ca="1">IF(AND(Energy!$F$11=$A$3,Main!$B$43=A197),'Aerodynamics-Cruise'!BI34,L197)</f>
        <v>72.32617348337439</v>
      </c>
      <c r="M197" s="103">
        <f ca="1">IF(AND(Energy!$F$11=$A$3,Main!$B$43=A197),'Aerodynamics-Cruise'!BJ34,M197)</f>
        <v>3.3894060130703454</v>
      </c>
      <c r="N197" s="103">
        <f ca="1">IF(AND(Energy!$F$11=$A$3,Main!$B$43=A197),'Aerodynamics-Cruise'!BK34,N197)</f>
        <v>21.338893364934059</v>
      </c>
      <c r="O197" s="103">
        <f t="shared" ref="O197:O242" ca="1" si="13">L197^(3/2)/M197</f>
        <v>181.47618358034401</v>
      </c>
      <c r="P197" s="103">
        <f ca="1">IF(AND(Energy!$F$11=$A$3,Main!$B$43=A197),'Aerodynamics-Cruise'!H34,P197)</f>
        <v>7.4360922860733991</v>
      </c>
      <c r="Q197" s="103">
        <f ca="1">IF(AND(Energy!$F$11=$A$3,Main!$B$43=A197),'Aerodynamics-Cruise'!I34,Q197)</f>
        <v>6.2263962946859746</v>
      </c>
      <c r="R197" s="103">
        <f ca="1">IF(AND(Energy!$F$11=$A$3,Main!$B$43=$A197),Summary!R34,R197)</f>
        <v>3.8997272197553956</v>
      </c>
      <c r="S197" s="103">
        <f ca="1">IF(AND(Energy!$F$11=$A$3,Main!$B$43=A197),'Aerodynamics-Cruise'!W34,S197)</f>
        <v>1</v>
      </c>
      <c r="T197" s="103">
        <f ca="1">IF(AND(Energy!$F$11=$A$3,Main!$B$43=A197),'Aerodynamics-Cruise'!BL34,T197)</f>
        <v>25.203935908163189</v>
      </c>
      <c r="U197" s="103">
        <f ca="1">IF(AND(Energy!$F$11=$A$3,Main!$B$43=A197),'Propulsion-Cruise'!M34,U197)</f>
        <v>58.102836244252543</v>
      </c>
      <c r="V197" s="103">
        <f ca="1">IF(AND(Energy!$F$11=$A$3,Main!$B$43=A197),Endurance!AP34,V197)</f>
        <v>580.59122816737636</v>
      </c>
      <c r="W197" s="103">
        <f ca="1">IF(AND(Energy!$F$11=$A$3,Main!$B$43=$A197),Summary!W34,W197)</f>
        <v>2.4210526315789478</v>
      </c>
      <c r="X197" s="13">
        <f ca="1">IF(AND(Energy!$F$11=$A$3,Main!$B$43=A197),Energy!D34,X197)</f>
        <v>1048.2886643215668</v>
      </c>
      <c r="Y197" s="102">
        <f ca="1">IF(AND(Energy!$F$11=$A$3,Main!$B$43=A197),'Aerodynamics-Cruise'!V34,Y197)</f>
        <v>188647.05930220662</v>
      </c>
      <c r="Z197" s="102">
        <f ca="1">IF(AND(Energy!$F$11=$A$3,Main!$B$43=$A197),Summary!Z34,Z197)</f>
        <v>139997.67253834745</v>
      </c>
      <c r="AA197" s="102">
        <f ca="1">IF(AND(Energy!$F$11=$A$3,Main!$B$43=$A197),Summary!AA34,AA197)</f>
        <v>139997.67253834745</v>
      </c>
      <c r="AB197" s="103">
        <f ca="1">IF(AND(Energy!$F$11=$A$3,Main!$B$43=$A197),Summary!AB34,AB197)</f>
        <v>3.8997272197553956</v>
      </c>
      <c r="AC197" s="103">
        <f ca="1">IF(AND(Energy!$F$11=$A$3,Main!$B$43=$A197),Summary!AC34,AC197)</f>
        <v>1.6585247904676081</v>
      </c>
      <c r="AD197" s="103">
        <f ca="1">IF(AND(Energy!$F$11=$A$3,Main!$B$43=$A197),Summary!AD34,AD197)</f>
        <v>0.4351246676255654</v>
      </c>
      <c r="AE197" s="103">
        <f ca="1">IF(AND(Energy!$F$11=$A$3,Main!$B$43=$A197),Summary!AE34,AE197)</f>
        <v>2.4210526315789478</v>
      </c>
      <c r="AF197" s="103">
        <f ca="1">IF(AND(Energy!$F$11=$A$3,Main!$B$43=$A197),Summary!AF34,AF197)</f>
        <v>15.131578947368421</v>
      </c>
      <c r="AG197" s="103">
        <f ca="1">IF(AND(Energy!$F$11=$A$3,Main!$B$43=$A197),Summary!AG34,AG197)</f>
        <v>11.969962883665712</v>
      </c>
      <c r="AH197" s="103">
        <f ca="1">IF(AND(Energy!$F$11=$A$3,Main!$B$43=$A197),Summary!AH34,AH197)</f>
        <v>47</v>
      </c>
      <c r="AI197" s="103">
        <f ca="1">IF(AND(Energy!$F$11=$A$3,Main!$B$43=$A197),Summary!AI34,AI197)</f>
        <v>2.7955773762816576</v>
      </c>
      <c r="AJ197" s="103">
        <f ca="1">IF(AND(Energy!$F$11=$A$3,Main!$B$43=$A197),Summary!AJ34,AJ197)</f>
        <v>0.23162664945083991</v>
      </c>
      <c r="AK197" s="103">
        <f ca="1">IF(AND(Energy!$F$11=$A$3,Main!$B$43=$A197),Summary!AK34,AK197)</f>
        <v>0.01</v>
      </c>
      <c r="AL197" s="103">
        <f ca="1">IF(AND(Energy!$F$11=$A$3,Main!$B$43=$A197),Summary!AL34,AL197)</f>
        <v>-0.53966147735729597</v>
      </c>
      <c r="AM197" s="103">
        <f ca="1">IF(AND(Energy!$F$11=$A$3,Main!$B$43=$A197),Summary!AJ214,AM197)</f>
        <v>0</v>
      </c>
    </row>
    <row r="198" spans="1:39">
      <c r="A198">
        <f t="shared" si="12"/>
        <v>10</v>
      </c>
      <c r="D198" s="1">
        <f ca="1">IF(AND(Energy!$F$11=$A$3,Main!$B$43=A198),Main!C35,D198)</f>
        <v>6.2105263157894743</v>
      </c>
      <c r="E198" s="103">
        <f ca="1">IF(AND(Energy!$F$11=$A$3,Main!$B$43=A198),Main!B35,E198)</f>
        <v>0.4</v>
      </c>
      <c r="F198" s="103">
        <f ca="1">IF(Main!$D$6=1,U198,IF(Main!$D$6=2,N198,IF(Main!$D$6=3,K198,IF(Main!$D$6=4,V198,J198))))</f>
        <v>591.20843552280371</v>
      </c>
      <c r="G198" s="103">
        <f ca="1">IF(AND(Energy!$F$11=$A$3,Main!$B$43=A198),Weight!H35,G198)</f>
        <v>15</v>
      </c>
      <c r="H198" s="103">
        <f ca="1">IF(AND(Energy!$F$11=$A$3,Main!$B$43=A198),Weight!U35,H198)</f>
        <v>29.100412798999763</v>
      </c>
      <c r="I198" s="103">
        <f ca="1">IF(AND(Energy!$F$11=$A$3,Main!$B$43=A198),Weight!V35,I198)</f>
        <v>58.807033076730619</v>
      </c>
      <c r="J198" s="103">
        <f ca="1">IF(AND(Energy!$F$11=$A$3,Main!$B$43=A198),Weight!I35,J198)</f>
        <v>24.768972002730855</v>
      </c>
      <c r="K198" s="103">
        <f ca="1">IF(AND(Energy!$F$11=$A$3,Main!$B$43=A198),Weight!W35,K198)</f>
        <v>73.807033123015103</v>
      </c>
      <c r="L198" s="103">
        <f ca="1">IF(AND(Energy!$F$11=$A$3,Main!$B$43=A198),'Aerodynamics-Cruise'!BI35,L198)</f>
        <v>73.807033030109196</v>
      </c>
      <c r="M198" s="103">
        <f ca="1">IF(AND(Energy!$F$11=$A$3,Main!$B$43=A198),'Aerodynamics-Cruise'!BJ35,M198)</f>
        <v>3.4203100658792547</v>
      </c>
      <c r="N198" s="103">
        <f ca="1">IF(AND(Energy!$F$11=$A$3,Main!$B$43=A198),'Aerodynamics-Cruise'!BK35,N198)</f>
        <v>21.579047398773103</v>
      </c>
      <c r="O198" s="103">
        <f t="shared" ca="1" si="13"/>
        <v>185.38779658211706</v>
      </c>
      <c r="P198" s="103">
        <f ca="1">IF(AND(Energy!$F$11=$A$3,Main!$B$43=A198),'Aerodynamics-Cruise'!H35,P198)</f>
        <v>7.4156860925020922</v>
      </c>
      <c r="Q198" s="103">
        <f ca="1">IF(AND(Energy!$F$11=$A$3,Main!$B$43=A198),'Aerodynamics-Cruise'!I35,Q198)</f>
        <v>6.2100378208136844</v>
      </c>
      <c r="R198" s="103">
        <f ca="1">IF(AND(Energy!$F$11=$A$3,Main!$B$43=$A198),Summary!R35,R198)</f>
        <v>3.9596555379600238</v>
      </c>
      <c r="S198" s="103">
        <f ca="1">IF(AND(Energy!$F$11=$A$3,Main!$B$43=A198),'Aerodynamics-Cruise'!W35,S198)</f>
        <v>1</v>
      </c>
      <c r="T198" s="103">
        <f ca="1">IF(AND(Energy!$F$11=$A$3,Main!$B$43=A198),'Aerodynamics-Cruise'!BL35,T198)</f>
        <v>25.363945787585703</v>
      </c>
      <c r="U198" s="103">
        <f ca="1">IF(AND(Energy!$F$11=$A$3,Main!$B$43=A198),'Propulsion-Cruise'!M35,U198)</f>
        <v>58.567234179950368</v>
      </c>
      <c r="V198" s="103">
        <f ca="1">IF(AND(Energy!$F$11=$A$3,Main!$B$43=A198),Endurance!AP35,V198)</f>
        <v>591.20843552280371</v>
      </c>
      <c r="W198" s="103">
        <f ca="1">IF(AND(Energy!$F$11=$A$3,Main!$B$43=$A198),Summary!W35,W198)</f>
        <v>2.4842105263157901</v>
      </c>
      <c r="X198" s="13">
        <f ca="1">IF(AND(Energy!$F$11=$A$3,Main!$B$43=A198),Energy!D35,X198)</f>
        <v>1067.4596736981157</v>
      </c>
      <c r="Y198" s="102">
        <f ca="1">IF(AND(Energy!$F$11=$A$3,Main!$B$43=A198),'Aerodynamics-Cruise'!V35,Y198)</f>
        <v>188129.37228855991</v>
      </c>
      <c r="Z198" s="102">
        <f ca="1">IF(AND(Energy!$F$11=$A$3,Main!$B$43=$A198),Summary!Z35,Z198)</f>
        <v>139629.22116637591</v>
      </c>
      <c r="AA198" s="102">
        <f ca="1">IF(AND(Energy!$F$11=$A$3,Main!$B$43=$A198),Summary!AA35,AA198)</f>
        <v>139629.22116637591</v>
      </c>
      <c r="AB198" s="103">
        <f ca="1">IF(AND(Energy!$F$11=$A$3,Main!$B$43=$A198),Summary!AB35,AB198)</f>
        <v>3.9596555379600238</v>
      </c>
      <c r="AC198" s="103">
        <f ca="1">IF(AND(Energy!$F$11=$A$3,Main!$B$43=$A198),Summary!AC35,AC198)</f>
        <v>1.6239005104487336</v>
      </c>
      <c r="AD198" s="103">
        <f ca="1">IF(AND(Energy!$F$11=$A$3,Main!$B$43=$A198),Summary!AD35,AD198)</f>
        <v>0.43601608846609657</v>
      </c>
      <c r="AE198" s="103">
        <f ca="1">IF(AND(Energy!$F$11=$A$3,Main!$B$43=$A198),Summary!AE35,AE198)</f>
        <v>2.4842105263157901</v>
      </c>
      <c r="AF198" s="103">
        <f ca="1">IF(AND(Energy!$F$11=$A$3,Main!$B$43=$A198),Summary!AF35,AF198)</f>
        <v>15.526315789473685</v>
      </c>
      <c r="AG198" s="103">
        <f ca="1">IF(AND(Energy!$F$11=$A$3,Main!$B$43=$A198),Summary!AG35,AG198)</f>
        <v>12.033220158880713</v>
      </c>
      <c r="AH198" s="103">
        <f ca="1">IF(AND(Energy!$F$11=$A$3,Main!$B$43=$A198),Summary!AH35,AH198)</f>
        <v>47</v>
      </c>
      <c r="AI198" s="103">
        <f ca="1">IF(AND(Energy!$F$11=$A$3,Main!$B$43=$A198),Summary!AI35,AI198)</f>
        <v>2.7949256264391602</v>
      </c>
      <c r="AJ198" s="103">
        <f ca="1">IF(AND(Energy!$F$11=$A$3,Main!$B$43=$A198),Summary!AJ35,AJ198)</f>
        <v>0.23184105025226626</v>
      </c>
      <c r="AK198" s="103">
        <f ca="1">IF(AND(Energy!$F$11=$A$3,Main!$B$43=$A198),Summary!AK35,AK198)</f>
        <v>0.01</v>
      </c>
      <c r="AL198" s="103">
        <f ca="1">IF(AND(Energy!$F$11=$A$3,Main!$B$43=$A198),Summary!AL35,AL198)</f>
        <v>-0.53916230255184239</v>
      </c>
      <c r="AM198" s="103">
        <f ca="1">IF(AND(Energy!$F$11=$A$3,Main!$B$43=$A198),Summary!AJ215,AM198)</f>
        <v>0</v>
      </c>
    </row>
    <row r="199" spans="1:39">
      <c r="A199">
        <f t="shared" si="12"/>
        <v>10</v>
      </c>
      <c r="D199" s="1">
        <f ca="1">IF(AND(Energy!$F$11=$A$3,Main!$B$43=A199),Main!C36,D199)</f>
        <v>6.3684210526315796</v>
      </c>
      <c r="E199" s="103">
        <f ca="1">IF(AND(Energy!$F$11=$A$3,Main!$B$43=A199),Main!B36,E199)</f>
        <v>0.4</v>
      </c>
      <c r="F199" s="103">
        <f ca="1">IF(Main!$D$6=1,U199,IF(Main!$D$6=2,N199,IF(Main!$D$6=3,K199,IF(Main!$D$6=4,V199,J199))))</f>
        <v>591.61979284304016</v>
      </c>
      <c r="G199" s="103">
        <f ca="1">IF(AND(Energy!$F$11=$A$3,Main!$B$43=A199),Weight!H36,G199)</f>
        <v>15</v>
      </c>
      <c r="H199" s="103">
        <f ca="1">IF(AND(Energy!$F$11=$A$3,Main!$B$43=A199),Weight!U36,H199)</f>
        <v>30.052185956907962</v>
      </c>
      <c r="I199" s="103">
        <f ca="1">IF(AND(Energy!$F$11=$A$3,Main!$B$43=A199),Weight!V36,I199)</f>
        <v>59.77604028234137</v>
      </c>
      <c r="J199" s="103">
        <f ca="1">IF(AND(Energy!$F$11=$A$3,Main!$B$43=A199),Weight!I36,J199)</f>
        <v>24.786206050433403</v>
      </c>
      <c r="K199" s="103">
        <f ca="1">IF(AND(Energy!$F$11=$A$3,Main!$B$43=A199),Weight!W36,K199)</f>
        <v>74.776040311003612</v>
      </c>
      <c r="L199" s="103">
        <f ca="1">IF(AND(Energy!$F$11=$A$3,Main!$B$43=A199),'Aerodynamics-Cruise'!BI36,L199)</f>
        <v>74.776040253468281</v>
      </c>
      <c r="M199" s="103">
        <f ca="1">IF(AND(Energy!$F$11=$A$3,Main!$B$43=A199),'Aerodynamics-Cruise'!BJ36,M199)</f>
        <v>3.4341609068177732</v>
      </c>
      <c r="N199" s="103">
        <f ca="1">IF(AND(Energy!$F$11=$A$3,Main!$B$43=A199),'Aerodynamics-Cruise'!BK36,N199)</f>
        <v>21.774180733644965</v>
      </c>
      <c r="O199" s="103">
        <f t="shared" ca="1" si="13"/>
        <v>188.28817895273048</v>
      </c>
      <c r="P199" s="103">
        <f ca="1">IF(AND(Energy!$F$11=$A$3,Main!$B$43=A199),'Aerodynamics-Cruise'!H36,P199)</f>
        <v>7.3710561102472871</v>
      </c>
      <c r="Q199" s="103">
        <f ca="1">IF(AND(Energy!$F$11=$A$3,Main!$B$43=A199),'Aerodynamics-Cruise'!I36,Q199)</f>
        <v>6.1742094227150686</v>
      </c>
      <c r="R199" s="103">
        <f ca="1">IF(AND(Energy!$F$11=$A$3,Main!$B$43=$A199),Summary!R36,R199)</f>
        <v>3.96531409341714</v>
      </c>
      <c r="S199" s="103">
        <f ca="1">IF(AND(Energy!$F$11=$A$3,Main!$B$43=A199),'Aerodynamics-Cruise'!W36,S199)</f>
        <v>1</v>
      </c>
      <c r="T199" s="103">
        <f ca="1">IF(AND(Energy!$F$11=$A$3,Main!$B$43=A199),'Aerodynamics-Cruise'!BL36,T199)</f>
        <v>25.313392735771512</v>
      </c>
      <c r="U199" s="103">
        <f ca="1">IF(AND(Energy!$F$11=$A$3,Main!$B$43=A199),'Propulsion-Cruise'!M36,U199)</f>
        <v>58.616134166207431</v>
      </c>
      <c r="V199" s="103">
        <f ca="1">IF(AND(Energy!$F$11=$A$3,Main!$B$43=A199),Endurance!AP36,V199)</f>
        <v>591.61979284304016</v>
      </c>
      <c r="W199" s="103">
        <f ca="1">IF(AND(Energy!$F$11=$A$3,Main!$B$43=$A199),Summary!W36,W199)</f>
        <v>2.5473684210526319</v>
      </c>
      <c r="X199" s="13">
        <f ca="1">IF(AND(Energy!$F$11=$A$3,Main!$B$43=A199),Energy!D36,X199)</f>
        <v>1068.202402788671</v>
      </c>
      <c r="Y199" s="102">
        <f ca="1">IF(AND(Energy!$F$11=$A$3,Main!$B$43=A199),'Aerodynamics-Cruise'!V36,Y199)</f>
        <v>186997.14926265067</v>
      </c>
      <c r="Z199" s="102">
        <f ca="1">IF(AND(Energy!$F$11=$A$3,Main!$B$43=$A199),Summary!Z36,Z199)</f>
        <v>138822.28369972928</v>
      </c>
      <c r="AA199" s="102">
        <f ca="1">IF(AND(Energy!$F$11=$A$3,Main!$B$43=$A199),Summary!AA36,AA199)</f>
        <v>138822.28369972928</v>
      </c>
      <c r="AB199" s="103">
        <f ca="1">IF(AND(Energy!$F$11=$A$3,Main!$B$43=$A199),Summary!AB36,AB199)</f>
        <v>3.96531409341714</v>
      </c>
      <c r="AC199" s="103">
        <f ca="1">IF(AND(Energy!$F$11=$A$3,Main!$B$43=$A199),Summary!AC36,AC199)</f>
        <v>1.5886359989000107</v>
      </c>
      <c r="AD199" s="103">
        <f ca="1">IF(AND(Energy!$F$11=$A$3,Main!$B$43=$A199),Summary!AD36,AD199)</f>
        <v>0.43555110099392758</v>
      </c>
      <c r="AE199" s="103">
        <f ca="1">IF(AND(Energy!$F$11=$A$3,Main!$B$43=$A199),Summary!AE36,AE199)</f>
        <v>2.5473684210526319</v>
      </c>
      <c r="AF199" s="103">
        <f ca="1">IF(AND(Energy!$F$11=$A$3,Main!$B$43=$A199),Summary!AF36,AF199)</f>
        <v>15.921052631578949</v>
      </c>
      <c r="AG199" s="103">
        <f ca="1">IF(AND(Energy!$F$11=$A$3,Main!$B$43=$A199),Summary!AG36,AG199)</f>
        <v>12.045333622143454</v>
      </c>
      <c r="AH199" s="103">
        <f ca="1">IF(AND(Energy!$F$11=$A$3,Main!$B$43=$A199),Summary!AH36,AH199)</f>
        <v>47</v>
      </c>
      <c r="AI199" s="103">
        <f ca="1">IF(AND(Energy!$F$11=$A$3,Main!$B$43=$A199),Summary!AI36,AI199)</f>
        <v>2.7935264821680543</v>
      </c>
      <c r="AJ199" s="103">
        <f ca="1">IF(AND(Energy!$F$11=$A$3,Main!$B$43=$A199),Summary!AJ36,AJ199)</f>
        <v>0.23216145640464408</v>
      </c>
      <c r="AK199" s="103">
        <f ca="1">IF(AND(Energy!$F$11=$A$3,Main!$B$43=$A199),Summary!AK36,AK199)</f>
        <v>0.01</v>
      </c>
      <c r="AL199" s="103">
        <f ca="1">IF(AND(Energy!$F$11=$A$3,Main!$B$43=$A199),Summary!AL36,AL199)</f>
        <v>-0.53841827822956723</v>
      </c>
      <c r="AM199" s="103">
        <f ca="1">IF(AND(Energy!$F$11=$A$3,Main!$B$43=$A199),Summary!AJ216,AM199)</f>
        <v>0</v>
      </c>
    </row>
    <row r="200" spans="1:39">
      <c r="A200">
        <f t="shared" si="12"/>
        <v>10</v>
      </c>
      <c r="D200" s="1">
        <f ca="1">IF(AND(Energy!$F$11=$A$3,Main!$B$43=A200),Main!C37,D200)</f>
        <v>6.526315789473685</v>
      </c>
      <c r="E200" s="103">
        <f ca="1">IF(AND(Energy!$F$11=$A$3,Main!$B$43=A200),Main!B37,E200)</f>
        <v>0.4</v>
      </c>
      <c r="F200" s="103">
        <f ca="1">IF(Main!$D$6=1,U200,IF(Main!$D$6=2,N200,IF(Main!$D$6=3,K200,IF(Main!$D$6=4,V200,J200))))</f>
        <v>592.57042277043104</v>
      </c>
      <c r="G200" s="103">
        <f ca="1">IF(AND(Energy!$F$11=$A$3,Main!$B$43=A200),Weight!H37,G200)</f>
        <v>15</v>
      </c>
      <c r="H200" s="103">
        <f ca="1">IF(AND(Energy!$F$11=$A$3,Main!$B$43=A200),Weight!U37,H200)</f>
        <v>31.029018455157335</v>
      </c>
      <c r="I200" s="103">
        <f ca="1">IF(AND(Energy!$F$11=$A$3,Main!$B$43=A200),Weight!V37,I200)</f>
        <v>60.792699919863111</v>
      </c>
      <c r="J200" s="103">
        <f ca="1">IF(AND(Energy!$F$11=$A$3,Main!$B$43=A200),Weight!I37,J200)</f>
        <v>24.826033189705775</v>
      </c>
      <c r="K200" s="103">
        <f ca="1">IF(AND(Energy!$F$11=$A$3,Main!$B$43=A200),Weight!W37,K200)</f>
        <v>75.792699932714484</v>
      </c>
      <c r="L200" s="103">
        <f ca="1">IF(AND(Energy!$F$11=$A$3,Main!$B$43=A200),'Aerodynamics-Cruise'!BI37,L200)</f>
        <v>75.792699906917079</v>
      </c>
      <c r="M200" s="103">
        <f ca="1">IF(AND(Energy!$F$11=$A$3,Main!$B$43=A200),'Aerodynamics-Cruise'!BJ37,M200)</f>
        <v>3.4505400480128339</v>
      </c>
      <c r="N200" s="103">
        <f ca="1">IF(AND(Energy!$F$11=$A$3,Main!$B$43=A200),'Aerodynamics-Cruise'!BK37,N200)</f>
        <v>21.965460146033109</v>
      </c>
      <c r="O200" s="103">
        <f t="shared" ca="1" si="13"/>
        <v>191.22910591524948</v>
      </c>
      <c r="P200" s="103">
        <f ca="1">IF(AND(Energy!$F$11=$A$3,Main!$B$43=A200),'Aerodynamics-Cruise'!H37,P200)</f>
        <v>7.3306398685688396</v>
      </c>
      <c r="Q200" s="103">
        <f ca="1">IF(AND(Energy!$F$11=$A$3,Main!$B$43=A200),'Aerodynamics-Cruise'!I37,Q200)</f>
        <v>6.1417565696006191</v>
      </c>
      <c r="R200" s="103">
        <f ca="1">IF(AND(Energy!$F$11=$A$3,Main!$B$43=$A200),Summary!R37,R200)</f>
        <v>3.9771290420535976</v>
      </c>
      <c r="S200" s="103">
        <f ca="1">IF(AND(Energy!$F$11=$A$3,Main!$B$43=A200),'Aerodynamics-Cruise'!W37,S200)</f>
        <v>1</v>
      </c>
      <c r="T200" s="103">
        <f ca="1">IF(AND(Energy!$F$11=$A$3,Main!$B$43=A200),'Aerodynamics-Cruise'!BL37,T200)</f>
        <v>25.294666444056318</v>
      </c>
      <c r="U200" s="103">
        <f ca="1">IF(AND(Energy!$F$11=$A$3,Main!$B$43=A200),'Propulsion-Cruise'!M37,U200)</f>
        <v>58.729033012633273</v>
      </c>
      <c r="V200" s="103">
        <f ca="1">IF(AND(Energy!$F$11=$A$3,Main!$B$43=A200),Endurance!AP37,V200)</f>
        <v>592.57042277043104</v>
      </c>
      <c r="W200" s="103">
        <f ca="1">IF(AND(Energy!$F$11=$A$3,Main!$B$43=$A200),Summary!W37,W200)</f>
        <v>2.6105263157894742</v>
      </c>
      <c r="X200" s="13">
        <f ca="1">IF(AND(Energy!$F$11=$A$3,Main!$B$43=A200),Energy!D37,X200)</f>
        <v>1069.9188184646468</v>
      </c>
      <c r="Y200" s="102">
        <f ca="1">IF(AND(Energy!$F$11=$A$3,Main!$B$43=A200),'Aerodynamics-Cruise'!V37,Y200)</f>
        <v>185971.82509407279</v>
      </c>
      <c r="Z200" s="102">
        <f ca="1">IF(AND(Energy!$F$11=$A$3,Main!$B$43=$A200),Summary!Z37,Z200)</f>
        <v>138091.3775273019</v>
      </c>
      <c r="AA200" s="102">
        <f ca="1">IF(AND(Energy!$F$11=$A$3,Main!$B$43=$A200),Summary!AA37,AA200)</f>
        <v>138091.3775273019</v>
      </c>
      <c r="AB200" s="103">
        <f ca="1">IF(AND(Energy!$F$11=$A$3,Main!$B$43=$A200),Summary!AB37,AB200)</f>
        <v>3.9771290420535976</v>
      </c>
      <c r="AC200" s="103">
        <f ca="1">IF(AND(Energy!$F$11=$A$3,Main!$B$43=$A200),Summary!AC37,AC200)</f>
        <v>1.5589144503590664</v>
      </c>
      <c r="AD200" s="103">
        <f ca="1">IF(AND(Energy!$F$11=$A$3,Main!$B$43=$A200),Summary!AD37,AD200)</f>
        <v>0.43529863501317678</v>
      </c>
      <c r="AE200" s="103">
        <f ca="1">IF(AND(Energy!$F$11=$A$3,Main!$B$43=$A200),Summary!AE37,AE200)</f>
        <v>2.6105263157894742</v>
      </c>
      <c r="AF200" s="103">
        <f ca="1">IF(AND(Energy!$F$11=$A$3,Main!$B$43=$A200),Summary!AF37,AF200)</f>
        <v>16.315789473684209</v>
      </c>
      <c r="AG200" s="103">
        <f ca="1">IF(AND(Energy!$F$11=$A$3,Main!$B$43=$A200),Summary!AG37,AG200)</f>
        <v>12.065178217447544</v>
      </c>
      <c r="AH200" s="103">
        <f ca="1">IF(AND(Energy!$F$11=$A$3,Main!$B$43=$A200),Summary!AH37,AH200)</f>
        <v>47</v>
      </c>
      <c r="AI200" s="103">
        <f ca="1">IF(AND(Energy!$F$11=$A$3,Main!$B$43=$A200),Summary!AI37,AI200)</f>
        <v>2.7922522014920488</v>
      </c>
      <c r="AJ200" s="103">
        <f ca="1">IF(AND(Energy!$F$11=$A$3,Main!$B$43=$A200),Summary!AJ37,AJ200)</f>
        <v>0.23245339136837051</v>
      </c>
      <c r="AK200" s="103">
        <f ca="1">IF(AND(Energy!$F$11=$A$3,Main!$B$43=$A200),Summary!AK37,AK200)</f>
        <v>0.01</v>
      </c>
      <c r="AL200" s="103">
        <f ca="1">IF(AND(Energy!$F$11=$A$3,Main!$B$43=$A200),Summary!AL37,AL200)</f>
        <v>-0.53774215308726414</v>
      </c>
      <c r="AM200" s="103">
        <f ca="1">IF(AND(Energy!$F$11=$A$3,Main!$B$43=$A200),Summary!AJ217,AM200)</f>
        <v>0</v>
      </c>
    </row>
    <row r="201" spans="1:39">
      <c r="A201">
        <f t="shared" si="12"/>
        <v>10</v>
      </c>
      <c r="D201" s="1">
        <f ca="1">IF(AND(Energy!$F$11=$A$3,Main!$B$43=A201),Main!C38,D201)</f>
        <v>6.6842105263157903</v>
      </c>
      <c r="E201" s="103">
        <f ca="1">IF(AND(Energy!$F$11=$A$3,Main!$B$43=A201),Main!B38,E201)</f>
        <v>0.4</v>
      </c>
      <c r="F201" s="103">
        <f ca="1">IF(Main!$D$6=1,U201,IF(Main!$D$6=2,N201,IF(Main!$D$6=3,K201,IF(Main!$D$6=4,V201,J201))))</f>
        <v>594.02103436743596</v>
      </c>
      <c r="G201" s="103">
        <f ca="1">IF(AND(Energy!$F$11=$A$3,Main!$B$43=A201),Weight!H38,G201)</f>
        <v>15</v>
      </c>
      <c r="H201" s="103">
        <f ca="1">IF(AND(Energy!$F$11=$A$3,Main!$B$43=A201),Weight!U38,H201)</f>
        <v>32.031091341973479</v>
      </c>
      <c r="I201" s="103">
        <f ca="1">IF(AND(Energy!$F$11=$A$3,Main!$B$43=A201),Weight!V38,I201)</f>
        <v>61.855546916492884</v>
      </c>
      <c r="J201" s="103">
        <f ca="1">IF(AND(Energy!$F$11=$A$3,Main!$B$43=A201),Weight!I38,J201)</f>
        <v>24.886807299519404</v>
      </c>
      <c r="K201" s="103">
        <f ca="1">IF(AND(Energy!$F$11=$A$3,Main!$B$43=A201),Weight!W38,K201)</f>
        <v>76.855546920339123</v>
      </c>
      <c r="L201" s="103">
        <f ca="1">IF(AND(Energy!$F$11=$A$3,Main!$B$43=A201),'Aerodynamics-Cruise'!BI38,L201)</f>
        <v>76.855546912618152</v>
      </c>
      <c r="M201" s="103">
        <f ca="1">IF(AND(Energy!$F$11=$A$3,Main!$B$43=A201),'Aerodynamics-Cruise'!BJ38,M201)</f>
        <v>3.469269721904201</v>
      </c>
      <c r="N201" s="103">
        <f ca="1">IF(AND(Energy!$F$11=$A$3,Main!$B$43=A201),'Aerodynamics-Cruise'!BK38,N201)</f>
        <v>22.15323485152199</v>
      </c>
      <c r="O201" s="103">
        <f t="shared" ca="1" si="13"/>
        <v>194.21141848692994</v>
      </c>
      <c r="P201" s="103">
        <f ca="1">IF(AND(Energy!$F$11=$A$3,Main!$B$43=A201),'Aerodynamics-Cruise'!H38,P201)</f>
        <v>7.2941183085589119</v>
      </c>
      <c r="Q201" s="103">
        <f ca="1">IF(AND(Energy!$F$11=$A$3,Main!$B$43=A201),'Aerodynamics-Cruise'!I38,Q201)</f>
        <v>6.1124252759181923</v>
      </c>
      <c r="R201" s="103">
        <f ca="1">IF(AND(Energy!$F$11=$A$3,Main!$B$43=$A201),Summary!R38,R201)</f>
        <v>3.9947164951502794</v>
      </c>
      <c r="S201" s="103">
        <f ca="1">IF(AND(Energy!$F$11=$A$3,Main!$B$43=A201),'Aerodynamics-Cruise'!W38,S201)</f>
        <v>1</v>
      </c>
      <c r="T201" s="103">
        <f ca="1">IF(AND(Energy!$F$11=$A$3,Main!$B$43=A201),'Aerodynamics-Cruise'!BL38,T201)</f>
        <v>25.305263795870516</v>
      </c>
      <c r="U201" s="103">
        <f ca="1">IF(AND(Energy!$F$11=$A$3,Main!$B$43=A201),'Propulsion-Cruise'!M38,U201)</f>
        <v>58.90126821642307</v>
      </c>
      <c r="V201" s="103">
        <f ca="1">IF(AND(Energy!$F$11=$A$3,Main!$B$43=A201),Endurance!AP38,V201)</f>
        <v>594.02103436743596</v>
      </c>
      <c r="W201" s="103">
        <f ca="1">IF(AND(Energy!$F$11=$A$3,Main!$B$43=$A201),Summary!W38,W201)</f>
        <v>2.6736842105263161</v>
      </c>
      <c r="X201" s="13">
        <f ca="1">IF(AND(Energy!$F$11=$A$3,Main!$B$43=A201),Energy!D38,X201)</f>
        <v>1072.5379785919977</v>
      </c>
      <c r="Y201" s="102">
        <f ca="1">IF(AND(Energy!$F$11=$A$3,Main!$B$43=A201),'Aerodynamics-Cruise'!V38,Y201)</f>
        <v>185045.30554160502</v>
      </c>
      <c r="Z201" s="102">
        <f ca="1">IF(AND(Energy!$F$11=$A$3,Main!$B$43=$A201),Summary!Z38,Z201)</f>
        <v>137430.78042335846</v>
      </c>
      <c r="AA201" s="102">
        <f ca="1">IF(AND(Energy!$F$11=$A$3,Main!$B$43=$A201),Summary!AA38,AA201)</f>
        <v>137430.78042335846</v>
      </c>
      <c r="AB201" s="103">
        <f ca="1">IF(AND(Energy!$F$11=$A$3,Main!$B$43=$A201),Summary!AB38,AB201)</f>
        <v>3.9947164951502794</v>
      </c>
      <c r="AC201" s="103">
        <f ca="1">IF(AND(Energy!$F$11=$A$3,Main!$B$43=$A201),Summary!AC38,AC201)</f>
        <v>1.529486758016406</v>
      </c>
      <c r="AD201" s="103">
        <f ca="1">IF(AND(Energy!$F$11=$A$3,Main!$B$43=$A201),Summary!AD38,AD201)</f>
        <v>0.43524287609799062</v>
      </c>
      <c r="AE201" s="103">
        <f ca="1">IF(AND(Energy!$F$11=$A$3,Main!$B$43=$A201),Summary!AE38,AE201)</f>
        <v>2.6736842105263161</v>
      </c>
      <c r="AF201" s="103">
        <f ca="1">IF(AND(Energy!$F$11=$A$3,Main!$B$43=$A201),Summary!AF38,AF201)</f>
        <v>16.710526315789476</v>
      </c>
      <c r="AG201" s="103">
        <f ca="1">IF(AND(Energy!$F$11=$A$3,Main!$B$43=$A201),Summary!AG38,AG201)</f>
        <v>12.092179807434706</v>
      </c>
      <c r="AH201" s="103">
        <f ca="1">IF(AND(Energy!$F$11=$A$3,Main!$B$43=$A201),Summary!AH38,AH201)</f>
        <v>47</v>
      </c>
      <c r="AI201" s="103">
        <f ca="1">IF(AND(Energy!$F$11=$A$3,Main!$B$43=$A201),Summary!AI38,AI201)</f>
        <v>2.7910945694884148</v>
      </c>
      <c r="AJ201" s="103">
        <f ca="1">IF(AND(Energy!$F$11=$A$3,Main!$B$43=$A201),Summary!AJ38,AJ201)</f>
        <v>0.2327200623586009</v>
      </c>
      <c r="AK201" s="103">
        <f ca="1">IF(AND(Energy!$F$11=$A$3,Main!$B$43=$A201),Summary!AK38,AK201)</f>
        <v>0.01</v>
      </c>
      <c r="AL201" s="103">
        <f ca="1">IF(AND(Energy!$F$11=$A$3,Main!$B$43=$A201),Summary!AL38,AL201)</f>
        <v>-0.53712599926221172</v>
      </c>
      <c r="AM201" s="103">
        <f ca="1">IF(AND(Energy!$F$11=$A$3,Main!$B$43=$A201),Summary!AJ218,AM201)</f>
        <v>0</v>
      </c>
    </row>
    <row r="202" spans="1:39">
      <c r="A202">
        <f t="shared" si="12"/>
        <v>10</v>
      </c>
      <c r="D202" s="1">
        <f ca="1">IF(AND(Energy!$F$11=$A$3,Main!$B$43=A202),Main!C39,D202)</f>
        <v>6.8421052631578956</v>
      </c>
      <c r="E202" s="103">
        <f ca="1">IF(AND(Energy!$F$11=$A$3,Main!$B$43=A202),Main!B39,E202)</f>
        <v>0.4</v>
      </c>
      <c r="F202" s="103">
        <f ca="1">IF(Main!$D$6=1,U202,IF(Main!$D$6=2,N202,IF(Main!$D$6=3,K202,IF(Main!$D$6=4,V202,J202))))</f>
        <v>595.93783948341888</v>
      </c>
      <c r="G202" s="103">
        <f ca="1">IF(AND(Energy!$F$11=$A$3,Main!$B$43=A202),Weight!H39,G202)</f>
        <v>15</v>
      </c>
      <c r="H202" s="103">
        <f ca="1">IF(AND(Energy!$F$11=$A$3,Main!$B$43=A202),Weight!U39,H202)</f>
        <v>33.058612048945349</v>
      </c>
      <c r="I202" s="103">
        <f ca="1">IF(AND(Energy!$F$11=$A$3,Main!$B$43=A202),Weight!V39,I202)</f>
        <v>62.963373125125642</v>
      </c>
      <c r="J202" s="103">
        <f ca="1">IF(AND(Energy!$F$11=$A$3,Main!$B$43=A202),Weight!I39,J202)</f>
        <v>24.967112801180289</v>
      </c>
      <c r="K202" s="103">
        <f ca="1">IF(AND(Energy!$F$11=$A$3,Main!$B$43=A202),Weight!W39,K202)</f>
        <v>77.963373131631243</v>
      </c>
      <c r="L202" s="103">
        <f ca="1">IF(AND(Energy!$F$11=$A$3,Main!$B$43=A202),'Aerodynamics-Cruise'!BI39,L202)</f>
        <v>77.963373118572022</v>
      </c>
      <c r="M202" s="103">
        <f ca="1">IF(AND(Energy!$F$11=$A$3,Main!$B$43=A202),'Aerodynamics-Cruise'!BJ39,M202)</f>
        <v>3.490194945312739</v>
      </c>
      <c r="N202" s="103">
        <f ca="1">IF(AND(Energy!$F$11=$A$3,Main!$B$43=A202),'Aerodynamics-Cruise'!BK39,N202)</f>
        <v>22.337827640050666</v>
      </c>
      <c r="O202" s="103">
        <f t="shared" ca="1" si="13"/>
        <v>197.23602708131546</v>
      </c>
      <c r="P202" s="103">
        <f ca="1">IF(AND(Energy!$F$11=$A$3,Main!$B$43=A202),'Aerodynamics-Cruise'!H39,P202)</f>
        <v>7.2612074013370442</v>
      </c>
      <c r="Q202" s="103">
        <f ca="1">IF(AND(Energy!$F$11=$A$3,Main!$B$43=A202),'Aerodynamics-Cruise'!I39,Q202)</f>
        <v>6.0859892845700898</v>
      </c>
      <c r="R202" s="103">
        <f ca="1">IF(AND(Energy!$F$11=$A$3,Main!$B$43=$A202),Summary!R39,R202)</f>
        <v>4.0177555808015137</v>
      </c>
      <c r="S202" s="103">
        <f ca="1">IF(AND(Energy!$F$11=$A$3,Main!$B$43=A202),'Aerodynamics-Cruise'!W39,S202)</f>
        <v>1</v>
      </c>
      <c r="T202" s="103">
        <f ca="1">IF(AND(Energy!$F$11=$A$3,Main!$B$43=A202),'Aerodynamics-Cruise'!BL39,T202)</f>
        <v>25.343029369014001</v>
      </c>
      <c r="U202" s="103">
        <f ca="1">IF(AND(Energy!$F$11=$A$3,Main!$B$43=A202),'Propulsion-Cruise'!M39,U202)</f>
        <v>59.128830251020297</v>
      </c>
      <c r="V202" s="103">
        <f ca="1">IF(AND(Energy!$F$11=$A$3,Main!$B$43=A202),Endurance!AP39,V202)</f>
        <v>595.93783948341888</v>
      </c>
      <c r="W202" s="103">
        <f ca="1">IF(AND(Energy!$F$11=$A$3,Main!$B$43=$A202),Summary!W39,W202)</f>
        <v>2.7368421052631584</v>
      </c>
      <c r="X202" s="13">
        <f ca="1">IF(AND(Energy!$F$11=$A$3,Main!$B$43=A202),Energy!D39,X202)</f>
        <v>1075.9988766312804</v>
      </c>
      <c r="Y202" s="102">
        <f ca="1">IF(AND(Energy!$F$11=$A$3,Main!$B$43=A202),'Aerodynamics-Cruise'!V39,Y202)</f>
        <v>184210.38504471973</v>
      </c>
      <c r="Z202" s="102">
        <f ca="1">IF(AND(Energy!$F$11=$A$3,Main!$B$43=$A202),Summary!Z39,Z202)</f>
        <v>136835.39501554589</v>
      </c>
      <c r="AA202" s="102">
        <f ca="1">IF(AND(Energy!$F$11=$A$3,Main!$B$43=$A202),Summary!AA39,AA202)</f>
        <v>136835.39501554589</v>
      </c>
      <c r="AB202" s="103">
        <f ca="1">IF(AND(Energy!$F$11=$A$3,Main!$B$43=$A202),Summary!AB39,AB202)</f>
        <v>4.0177555808015137</v>
      </c>
      <c r="AC202" s="103">
        <f ca="1">IF(AND(Energy!$F$11=$A$3,Main!$B$43=$A202),Summary!AC39,AC202)</f>
        <v>1.5003887938127252</v>
      </c>
      <c r="AD202" s="103">
        <f ca="1">IF(AND(Energy!$F$11=$A$3,Main!$B$43=$A202),Summary!AD39,AD202)</f>
        <v>0.43536980993468299</v>
      </c>
      <c r="AE202" s="103">
        <f ca="1">IF(AND(Energy!$F$11=$A$3,Main!$B$43=$A202),Summary!AE39,AE202)</f>
        <v>2.7368421052631584</v>
      </c>
      <c r="AF202" s="103">
        <f ca="1">IF(AND(Energy!$F$11=$A$3,Main!$B$43=$A202),Summary!AF39,AF202)</f>
        <v>17.105263157894736</v>
      </c>
      <c r="AG202" s="103">
        <f ca="1">IF(AND(Energy!$F$11=$A$3,Main!$B$43=$A202),Summary!AG39,AG202)</f>
        <v>12.125837068958351</v>
      </c>
      <c r="AH202" s="103">
        <f ca="1">IF(AND(Energy!$F$11=$A$3,Main!$B$43=$A202),Summary!AH39,AH202)</f>
        <v>47</v>
      </c>
      <c r="AI202" s="103">
        <f ca="1">IF(AND(Energy!$F$11=$A$3,Main!$B$43=$A202),Summary!AI39,AI202)</f>
        <v>2.7900461553760514</v>
      </c>
      <c r="AJ202" s="103">
        <f ca="1">IF(AND(Energy!$F$11=$A$3,Main!$B$43=$A202),Summary!AJ39,AJ202)</f>
        <v>0.23296444127404894</v>
      </c>
      <c r="AK202" s="103">
        <f ca="1">IF(AND(Energy!$F$11=$A$3,Main!$B$43=$A202),Summary!AK39,AK202)</f>
        <v>0.01</v>
      </c>
      <c r="AL202" s="103">
        <f ca="1">IF(AND(Energy!$F$11=$A$3,Main!$B$43=$A202),Summary!AL39,AL202)</f>
        <v>-0.53656254478799237</v>
      </c>
      <c r="AM202" s="103">
        <f ca="1">IF(AND(Energy!$F$11=$A$3,Main!$B$43=$A202),Summary!AJ219,AM202)</f>
        <v>0</v>
      </c>
    </row>
    <row r="203" spans="1:39">
      <c r="A203">
        <f t="shared" si="12"/>
        <v>10</v>
      </c>
      <c r="D203" s="1">
        <f ca="1">IF(AND(Energy!$F$11=$A$3,Main!$B$43=A203),Main!C40,D203)</f>
        <v>7</v>
      </c>
      <c r="E203" s="103">
        <f ca="1">IF(AND(Energy!$F$11=$A$3,Main!$B$43=A203),Main!B40,E203)</f>
        <v>0.4</v>
      </c>
      <c r="F203" s="103">
        <f ca="1">IF(Main!$D$6=1,U203,IF(Main!$D$6=2,N203,IF(Main!$D$6=3,K203,IF(Main!$D$6=4,V203,J203))))</f>
        <v>598.29175122375614</v>
      </c>
      <c r="G203" s="103">
        <f ca="1">IF(AND(Energy!$F$11=$A$3,Main!$B$43=A203),Weight!H40,G203)</f>
        <v>15</v>
      </c>
      <c r="H203" s="103">
        <f ca="1">IF(AND(Energy!$F$11=$A$3,Main!$B$43=A203),Weight!U40,H203)</f>
        <v>34.111811619050087</v>
      </c>
      <c r="I203" s="103">
        <f ca="1">IF(AND(Energy!$F$11=$A$3,Main!$B$43=A203),Weight!V40,I203)</f>
        <v>64.115191014276306</v>
      </c>
      <c r="J203" s="103">
        <f ca="1">IF(AND(Energy!$F$11=$A$3,Main!$B$43=A203),Weight!I40,J203)</f>
        <v>25.065731120226218</v>
      </c>
      <c r="K203" s="103">
        <f ca="1">IF(AND(Energy!$F$11=$A$3,Main!$B$43=A203),Weight!W40,K203)</f>
        <v>79.115191012031758</v>
      </c>
      <c r="L203" s="103">
        <f ca="1">IF(AND(Energy!$F$11=$A$3,Main!$B$43=A203),'Aerodynamics-Cruise'!BI40,L203)</f>
        <v>79.115191016524733</v>
      </c>
      <c r="M203" s="103">
        <f ca="1">IF(AND(Energy!$F$11=$A$3,Main!$B$43=A203),'Aerodynamics-Cruise'!BJ40,M203)</f>
        <v>3.513180338507043</v>
      </c>
      <c r="N203" s="103">
        <f ca="1">IF(AND(Energy!$F$11=$A$3,Main!$B$43=A203),'Aerodynamics-Cruise'!BK40,N203)</f>
        <v>22.519535974104144</v>
      </c>
      <c r="O203" s="103">
        <f t="shared" ca="1" si="13"/>
        <v>200.30388738439319</v>
      </c>
      <c r="P203" s="103">
        <f ca="1">IF(AND(Energy!$F$11=$A$3,Main!$B$43=A203),'Aerodynamics-Cruise'!H40,P203)</f>
        <v>7.2316534071678547</v>
      </c>
      <c r="Q203" s="103">
        <f ca="1">IF(AND(Energy!$F$11=$A$3,Main!$B$43=A203),'Aerodynamics-Cruise'!I40,Q203)</f>
        <v>6.0622463293213862</v>
      </c>
      <c r="R203" s="103">
        <f ca="1">IF(AND(Energy!$F$11=$A$3,Main!$B$43=$A203),Summary!R40,R203)</f>
        <v>4.0459385542675266</v>
      </c>
      <c r="S203" s="103">
        <f ca="1">IF(AND(Energy!$F$11=$A$3,Main!$B$43=A203),'Aerodynamics-Cruise'!W40,S203)</f>
        <v>1</v>
      </c>
      <c r="T203" s="103">
        <f ca="1">IF(AND(Energy!$F$11=$A$3,Main!$B$43=A203),'Aerodynamics-Cruise'!BL40,T203)</f>
        <v>25.406102564959575</v>
      </c>
      <c r="U203" s="103">
        <f ca="1">IF(AND(Energy!$F$11=$A$3,Main!$B$43=A203),'Propulsion-Cruise'!M40,U203)</f>
        <v>59.40826511778787</v>
      </c>
      <c r="V203" s="103">
        <f ca="1">IF(AND(Energy!$F$11=$A$3,Main!$B$43=A203),Endurance!AP40,V203)</f>
        <v>598.29175122375614</v>
      </c>
      <c r="W203" s="103">
        <f ca="1">IF(AND(Energy!$F$11=$A$3,Main!$B$43=$A203),Summary!W40,W203)</f>
        <v>2.8000000000000003</v>
      </c>
      <c r="X203" s="13">
        <f ca="1">IF(AND(Energy!$F$11=$A$3,Main!$B$43=A203),Energy!D40,X203)</f>
        <v>1080.2489953403679</v>
      </c>
      <c r="Y203" s="102">
        <f ca="1">IF(AND(Energy!$F$11=$A$3,Main!$B$43=A203),'Aerodynamics-Cruise'!V40,Y203)</f>
        <v>183460.6264516084</v>
      </c>
      <c r="Z203" s="102">
        <f ca="1">IF(AND(Energy!$F$11=$A$3,Main!$B$43=$A203),Summary!Z40,Z203)</f>
        <v>136300.66454602429</v>
      </c>
      <c r="AA203" s="102">
        <f ca="1">IF(AND(Energy!$F$11=$A$3,Main!$B$43=$A203),Summary!AA40,AA203)</f>
        <v>136300.66454602429</v>
      </c>
      <c r="AB203" s="103">
        <f ca="1">IF(AND(Energy!$F$11=$A$3,Main!$B$43=$A203),Summary!AB40,AB203)</f>
        <v>4.0459385542675266</v>
      </c>
      <c r="AC203" s="103">
        <f ca="1">IF(AND(Energy!$F$11=$A$3,Main!$B$43=$A203),Summary!AC40,AC203)</f>
        <v>1.4716714611318913</v>
      </c>
      <c r="AD203" s="103">
        <f ca="1">IF(AND(Energy!$F$11=$A$3,Main!$B$43=$A203),Summary!AD40,AD203)</f>
        <v>0.43566698136197013</v>
      </c>
      <c r="AE203" s="103">
        <f ca="1">IF(AND(Energy!$F$11=$A$3,Main!$B$43=$A203),Summary!AE40,AE203)</f>
        <v>2.8000000000000003</v>
      </c>
      <c r="AF203" s="103">
        <f ca="1">IF(AND(Energy!$F$11=$A$3,Main!$B$43=$A203),Summary!AF40,AF203)</f>
        <v>17.5</v>
      </c>
      <c r="AG203" s="103">
        <f ca="1">IF(AND(Energy!$F$11=$A$3,Main!$B$43=$A203),Summary!AG40,AG203)</f>
        <v>12.165711235743</v>
      </c>
      <c r="AH203" s="103">
        <f ca="1">IF(AND(Energy!$F$11=$A$3,Main!$B$43=$A203),Summary!AH40,AH203)</f>
        <v>47</v>
      </c>
      <c r="AI203" s="103">
        <f ca="1">IF(AND(Energy!$F$11=$A$3,Main!$B$43=$A203),Summary!AI40,AI203)</f>
        <v>2.7891002194252343</v>
      </c>
      <c r="AJ203" s="103">
        <f ca="1">IF(AND(Energy!$F$11=$A$3,Main!$B$43=$A203),Summary!AJ40,AJ203)</f>
        <v>0.23318503709379557</v>
      </c>
      <c r="AK203" s="103">
        <f ca="1">IF(AND(Energy!$F$11=$A$3,Main!$B$43=$A203),Summary!AK40,AK203)</f>
        <v>0.01</v>
      </c>
      <c r="AL203" s="103">
        <f ca="1">IF(AND(Energy!$F$11=$A$3,Main!$B$43=$A203),Summary!AL40,AL203)</f>
        <v>-0.53605494228560424</v>
      </c>
      <c r="AM203" s="103">
        <f ca="1">IF(AND(Energy!$F$11=$A$3,Main!$B$43=$A203),Summary!AJ220,AM203)</f>
        <v>0</v>
      </c>
    </row>
    <row r="204" spans="1:39">
      <c r="B204" s="100" t="s">
        <v>603</v>
      </c>
      <c r="C204" s="100"/>
      <c r="D204" s="100" t="s">
        <v>607</v>
      </c>
      <c r="E204" s="103"/>
      <c r="F204" s="100"/>
      <c r="H204" s="100" t="s">
        <v>605</v>
      </c>
      <c r="I204" s="100">
        <v>1</v>
      </c>
      <c r="J204" s="100" t="s">
        <v>606</v>
      </c>
      <c r="K204" s="100">
        <v>1</v>
      </c>
      <c r="L204" s="100"/>
      <c r="M204" s="100"/>
      <c r="N204" s="100"/>
      <c r="O204" s="103"/>
      <c r="P204" s="100"/>
      <c r="R204" s="1"/>
      <c r="W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03"/>
    </row>
    <row r="205" spans="1:39">
      <c r="C205" s="100"/>
      <c r="D205" s="1">
        <f ca="1">INDEX(D4:D203,MATCH($F$205,$F$4:$F$203,0),0)</f>
        <v>5.4210526315789478</v>
      </c>
      <c r="E205" s="1">
        <f ca="1">INDEX(E4:E203,MATCH($F$205,$F$4:$F$203,0),0)</f>
        <v>0.26666666666666666</v>
      </c>
      <c r="F205" s="107">
        <f ca="1">MIN(F4:F203)</f>
        <v>485.29020278843302</v>
      </c>
      <c r="G205" s="1">
        <f t="shared" ref="G205:W205" ca="1" si="14">INDEX(G4:G203,MATCH($F$205,$F$4:$F$203,0),0)</f>
        <v>15</v>
      </c>
      <c r="H205" s="1">
        <f t="shared" ca="1" si="14"/>
        <v>16.523196499230686</v>
      </c>
      <c r="I205" s="1">
        <f t="shared" ca="1" si="14"/>
        <v>41.792317421839286</v>
      </c>
      <c r="J205" s="1">
        <f t="shared" ca="1" si="14"/>
        <v>20.331472647608603</v>
      </c>
      <c r="K205" s="1">
        <f t="shared" ca="1" si="14"/>
        <v>56.792318835909434</v>
      </c>
      <c r="L205" s="1">
        <f t="shared" ca="1" si="14"/>
        <v>56.792315982736689</v>
      </c>
      <c r="M205" s="1">
        <f t="shared" ca="1" si="14"/>
        <v>2.7277278687452324</v>
      </c>
      <c r="N205" s="1">
        <f t="shared" ca="1" si="14"/>
        <v>20.820374581156962</v>
      </c>
      <c r="O205" s="103">
        <f t="shared" ca="1" si="13"/>
        <v>156.90375183559013</v>
      </c>
      <c r="P205" s="1">
        <f t="shared" ca="1" si="14"/>
        <v>8.4866674753414095</v>
      </c>
      <c r="Q205" s="1">
        <f t="shared" ca="1" si="14"/>
        <v>7.2198596884502892</v>
      </c>
      <c r="R205" s="1">
        <f t="shared" ca="1" si="14"/>
        <v>4.1468215641676078</v>
      </c>
      <c r="S205" s="1">
        <f t="shared" ca="1" si="14"/>
        <v>1</v>
      </c>
      <c r="T205" s="1">
        <f t="shared" ca="1" si="14"/>
        <v>23.149319385262505</v>
      </c>
      <c r="U205" s="1">
        <f t="shared" ca="1" si="14"/>
        <v>50.66639859909332</v>
      </c>
      <c r="V205" s="1">
        <f t="shared" ca="1" si="14"/>
        <v>485.29020278843302</v>
      </c>
      <c r="W205" s="1">
        <f t="shared" ca="1" si="14"/>
        <v>1.4456140350877194</v>
      </c>
      <c r="X205" s="13">
        <f ca="1">INDEX(X4:X203,MATCH($F$205,$F$4:$F$203,0),0)</f>
        <v>876.21837307242902</v>
      </c>
      <c r="Y205" s="81">
        <f ca="1">INDEX(Y4:Y203,MATCH($F$205,$F$4:$F$203,0),0)</f>
        <v>143532.81274693389</v>
      </c>
      <c r="Z205" s="81">
        <f t="shared" ref="Z205:AL205" ca="1" si="15">INDEX(Z4:Z203,MATCH($F$205,$F$4:$F$203,0),0)</f>
        <v>108156.43641660792</v>
      </c>
      <c r="AA205" s="81">
        <f ca="1">INDEX(AA4:AA203,MATCH($F$205,$F$4:$F$203,0),0)</f>
        <v>108156.43641660792</v>
      </c>
      <c r="AB205" s="1">
        <f t="shared" ca="1" si="15"/>
        <v>4.1468215641676078</v>
      </c>
      <c r="AC205" s="1">
        <f t="shared" ca="1" si="15"/>
        <v>2.4401509875510143</v>
      </c>
      <c r="AD205" s="1">
        <f t="shared" ca="1" si="15"/>
        <v>0.40512609352663947</v>
      </c>
      <c r="AE205" s="1">
        <f t="shared" ca="1" si="15"/>
        <v>1.4456140350877194</v>
      </c>
      <c r="AF205" s="1">
        <f t="shared" ca="1" si="15"/>
        <v>20.328947368421055</v>
      </c>
      <c r="AG205" s="1">
        <f t="shared" ca="1" si="15"/>
        <v>10.815114892743585</v>
      </c>
      <c r="AH205" s="1">
        <f t="shared" ca="1" si="15"/>
        <v>47</v>
      </c>
      <c r="AI205" s="1">
        <f t="shared" ca="1" si="15"/>
        <v>2.7081511139447896</v>
      </c>
      <c r="AJ205" s="1">
        <f t="shared" ca="1" si="15"/>
        <v>0.23202597125136948</v>
      </c>
      <c r="AK205" s="1">
        <f t="shared" ca="1" si="15"/>
        <v>0.01</v>
      </c>
      <c r="AL205" s="1">
        <f t="shared" ca="1" si="15"/>
        <v>-0.53872671747337053</v>
      </c>
      <c r="AM205" s="1">
        <f ca="1">INDEX(AM4:AM203,MATCH($F$205,$F$4:$F$203,0),0)</f>
        <v>0</v>
      </c>
    </row>
    <row r="206" spans="1:39">
      <c r="B206" s="100" t="s">
        <v>603</v>
      </c>
      <c r="C206" s="100"/>
      <c r="D206" s="6" t="s">
        <v>612</v>
      </c>
      <c r="E206" s="103"/>
      <c r="F206" s="103"/>
      <c r="G206" s="1"/>
      <c r="H206" s="100" t="s">
        <v>605</v>
      </c>
      <c r="I206" s="100">
        <v>1</v>
      </c>
      <c r="J206" s="100" t="s">
        <v>606</v>
      </c>
      <c r="K206" s="100">
        <v>1</v>
      </c>
      <c r="L206" s="103"/>
      <c r="M206" s="103"/>
      <c r="N206" s="100"/>
      <c r="O206" s="103"/>
      <c r="P206" s="100"/>
      <c r="R206" s="1"/>
      <c r="W206" s="1"/>
      <c r="X206" s="13"/>
      <c r="Y206" s="81"/>
      <c r="Z206" s="81"/>
      <c r="AA206" s="8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>
      <c r="C207" s="100"/>
      <c r="D207" s="1">
        <f t="shared" ref="D207:S207" ca="1" si="16">INDEX(D4:D203,MATCH($T$207,$T$4:$T$203,0),0)</f>
        <v>6.052631578947369</v>
      </c>
      <c r="E207" s="1">
        <f t="shared" ca="1" si="16"/>
        <v>0.28888888888888886</v>
      </c>
      <c r="F207" s="1">
        <f t="shared" ca="1" si="16"/>
        <v>494.38267092356608</v>
      </c>
      <c r="G207" s="1">
        <f t="shared" ca="1" si="16"/>
        <v>15</v>
      </c>
      <c r="H207" s="1">
        <f t="shared" ca="1" si="16"/>
        <v>20.064798148295864</v>
      </c>
      <c r="I207" s="1">
        <f t="shared" ca="1" si="16"/>
        <v>45.71485390049736</v>
      </c>
      <c r="J207" s="1">
        <f t="shared" ca="1" si="16"/>
        <v>20.712407477201499</v>
      </c>
      <c r="K207" s="1">
        <f t="shared" ca="1" si="16"/>
        <v>60.714854531246012</v>
      </c>
      <c r="L207" s="1">
        <f t="shared" ca="1" si="16"/>
        <v>60.714853248449408</v>
      </c>
      <c r="M207" s="1">
        <f t="shared" ca="1" si="16"/>
        <v>2.8477746278467131</v>
      </c>
      <c r="N207" s="1">
        <f t="shared" ca="1" si="16"/>
        <v>21.320104707287779</v>
      </c>
      <c r="O207" s="103">
        <f t="shared" ca="1" si="13"/>
        <v>166.12569393867827</v>
      </c>
      <c r="P207" s="1">
        <f t="shared" ca="1" si="16"/>
        <v>7.9848848668202601</v>
      </c>
      <c r="Q207" s="1">
        <f t="shared" ca="1" si="16"/>
        <v>6.7823995774450383</v>
      </c>
      <c r="R207" s="1">
        <f t="shared" ca="1" si="16"/>
        <v>3.9015414976115181</v>
      </c>
      <c r="S207" s="1">
        <f t="shared" ca="1" si="16"/>
        <v>1</v>
      </c>
      <c r="T207" s="106">
        <f ca="1">MIN(T4:T203)</f>
        <v>22.739152530007917</v>
      </c>
      <c r="U207" s="1">
        <f ca="1">INDEX(U4:U203,MATCH($T$207,$T$4:$T$203,0),0)</f>
        <v>50.783552670544914</v>
      </c>
      <c r="V207" s="1">
        <f ca="1">INDEX(V4:V203,MATCH($T$207,$T$4:$T$203,0),0)</f>
        <v>494.38267092356608</v>
      </c>
      <c r="W207" s="1">
        <f t="shared" ref="W207" ca="1" si="17">INDEX(W4:W203,MATCH($T$207,$T$4:$T$203,0),0)</f>
        <v>1.7485380116959064</v>
      </c>
      <c r="X207" s="13">
        <f ca="1">INDEX(X4:X203,MATCH($T$207,$T$4:$T$203,0),0)</f>
        <v>892.63535836496328</v>
      </c>
      <c r="Y207" s="81">
        <f ca="1">INDEX(Y4:Y203,MATCH($T$207,$T$4:$T$203,0),0)</f>
        <v>146300.15099593435</v>
      </c>
      <c r="Z207" s="81">
        <f t="shared" ref="Z207:AL207" ca="1" si="18">INDEX(Z4:Z203,MATCH($T$207,$T$4:$T$203,0),0)</f>
        <v>110076.7244809421</v>
      </c>
      <c r="AA207" s="81">
        <f ca="1">INDEX(AA4:AA203,MATCH($T$207,$T$4:$T$203,0),0)</f>
        <v>110076.7244809421</v>
      </c>
      <c r="AB207" s="1">
        <f t="shared" ca="1" si="18"/>
        <v>3.9015414976115181</v>
      </c>
      <c r="AC207" s="1">
        <f t="shared" ca="1" si="18"/>
        <v>2.1608842696728008</v>
      </c>
      <c r="AD207" s="1">
        <f t="shared" ca="1" si="18"/>
        <v>0.40333004831385816</v>
      </c>
      <c r="AE207" s="1">
        <f t="shared" ca="1" si="18"/>
        <v>1.7485380116959064</v>
      </c>
      <c r="AF207" s="1">
        <f t="shared" ca="1" si="18"/>
        <v>20.951417004048587</v>
      </c>
      <c r="AG207" s="1">
        <f t="shared" ca="1" si="18"/>
        <v>10.910648726143284</v>
      </c>
      <c r="AH207" s="1">
        <f t="shared" ca="1" si="18"/>
        <v>47</v>
      </c>
      <c r="AI207" s="1">
        <f t="shared" ca="1" si="18"/>
        <v>2.7166058357813263</v>
      </c>
      <c r="AJ207" s="1">
        <f t="shared" ca="1" si="18"/>
        <v>0.23322284003229088</v>
      </c>
      <c r="AK207" s="1">
        <f t="shared" ca="1" si="18"/>
        <v>0.01</v>
      </c>
      <c r="AL207" s="1">
        <f t="shared" ca="1" si="18"/>
        <v>-0.53596577294999226</v>
      </c>
      <c r="AM207" s="1">
        <f ca="1">INDEX(AM4:AM203,MATCH($T$207,$T$4:$T$203,0),0)</f>
        <v>0</v>
      </c>
    </row>
    <row r="208" spans="1:39">
      <c r="B208" s="100" t="s">
        <v>603</v>
      </c>
      <c r="C208" s="100"/>
      <c r="D208" s="100" t="s">
        <v>608</v>
      </c>
      <c r="E208" s="103"/>
      <c r="F208" s="103"/>
      <c r="G208" s="1"/>
      <c r="H208" s="100" t="s">
        <v>605</v>
      </c>
      <c r="I208" s="100">
        <v>1</v>
      </c>
      <c r="J208" s="100" t="s">
        <v>606</v>
      </c>
      <c r="K208" s="100">
        <v>1</v>
      </c>
      <c r="L208" s="103"/>
      <c r="M208" s="103"/>
      <c r="N208" s="100"/>
      <c r="O208" s="103"/>
      <c r="P208" s="100"/>
      <c r="R208" s="1"/>
      <c r="W208" s="1"/>
      <c r="X208" s="13"/>
      <c r="Y208" s="81"/>
      <c r="Z208" s="81"/>
      <c r="AA208" s="8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2:39">
      <c r="C209" s="100"/>
      <c r="D209" s="1">
        <f t="shared" ref="D209:M209" ca="1" si="19">INDEX(D4:D203,MATCH($N$209,$N$4:$N$203,0),0)</f>
        <v>7</v>
      </c>
      <c r="E209" s="1">
        <f t="shared" ca="1" si="19"/>
        <v>0.37777777777777766</v>
      </c>
      <c r="F209" s="1">
        <f t="shared" ca="1" si="19"/>
        <v>581.60265025472881</v>
      </c>
      <c r="G209" s="1">
        <f t="shared" ca="1" si="19"/>
        <v>15</v>
      </c>
      <c r="H209" s="1">
        <f t="shared" ca="1" si="19"/>
        <v>32.000210174265874</v>
      </c>
      <c r="I209" s="1">
        <f t="shared" ca="1" si="19"/>
        <v>61.304391639086788</v>
      </c>
      <c r="J209" s="1">
        <f t="shared" ca="1" si="19"/>
        <v>24.36653318982091</v>
      </c>
      <c r="K209" s="1">
        <f t="shared" ca="1" si="19"/>
        <v>76.304391460083281</v>
      </c>
      <c r="L209" s="1">
        <f t="shared" ca="1" si="19"/>
        <v>76.304391819157175</v>
      </c>
      <c r="M209" s="1">
        <f t="shared" ca="1" si="19"/>
        <v>3.3849896092804936</v>
      </c>
      <c r="N209" s="106">
        <f ca="1">MAX(N4:N203)</f>
        <v>22.541987015250033</v>
      </c>
      <c r="O209" s="103">
        <f t="shared" ca="1" si="13"/>
        <v>196.90963305794543</v>
      </c>
      <c r="P209" s="1">
        <f t="shared" ref="P209:W209" ca="1" si="20">INDEX(P4:P203,MATCH($N$209,$N$4:$N$203,0),0)</f>
        <v>7.302066371853539</v>
      </c>
      <c r="Q209" s="1">
        <f t="shared" ca="1" si="20"/>
        <v>6.1380038767992167</v>
      </c>
      <c r="R209" s="1">
        <f t="shared" ca="1" si="20"/>
        <v>4.0015529128550158</v>
      </c>
      <c r="S209" s="1">
        <f t="shared" ca="1" si="20"/>
        <v>1</v>
      </c>
      <c r="T209" s="1">
        <f t="shared" ca="1" si="20"/>
        <v>24.717418795000743</v>
      </c>
      <c r="U209" s="1">
        <f t="shared" ca="1" si="20"/>
        <v>57.427438851074392</v>
      </c>
      <c r="V209" s="1">
        <f t="shared" ca="1" si="20"/>
        <v>581.60265025472881</v>
      </c>
      <c r="W209" s="1">
        <f t="shared" ca="1" si="20"/>
        <v>2.6444444444444435</v>
      </c>
      <c r="X209" s="13">
        <f ca="1">INDEX(X4:X203,MATCH($N$209,$N$4:$N$203,0),0)</f>
        <v>1050.1159022300476</v>
      </c>
      <c r="Y209" s="81">
        <f ca="1">INDEX(Y4:Y203,MATCH($N$209,$N$4:$N$203,0),0)</f>
        <v>174955.44413691413</v>
      </c>
      <c r="Z209" s="81">
        <f t="shared" ref="Z209:AL209" ca="1" si="21">INDEX(Z4:Z203,MATCH($N$209,$N$4:$N$203,0),0)</f>
        <v>130323.19552058932</v>
      </c>
      <c r="AA209" s="81">
        <f ca="1">INDEX(AA4:AA203,MATCH($N$209,$N$4:$N$203,0),0)</f>
        <v>130323.19552058932</v>
      </c>
      <c r="AB209" s="1">
        <f t="shared" ca="1" si="21"/>
        <v>4.0015529128550158</v>
      </c>
      <c r="AC209" s="1">
        <f t="shared" ca="1" si="21"/>
        <v>1.5504830967921956</v>
      </c>
      <c r="AD209" s="1">
        <f t="shared" ca="1" si="21"/>
        <v>0.42793584437788984</v>
      </c>
      <c r="AE209" s="1">
        <f t="shared" ca="1" si="21"/>
        <v>2.6444444444444435</v>
      </c>
      <c r="AF209" s="1">
        <f t="shared" ca="1" si="21"/>
        <v>18.529411764705888</v>
      </c>
      <c r="AG209" s="1">
        <f t="shared" ca="1" si="21"/>
        <v>11.898818357986883</v>
      </c>
      <c r="AH209" s="1">
        <f t="shared" ca="1" si="21"/>
        <v>47</v>
      </c>
      <c r="AI209" s="1">
        <f t="shared" ca="1" si="21"/>
        <v>2.7739160279519552</v>
      </c>
      <c r="AJ209" s="1">
        <f t="shared" ca="1" si="21"/>
        <v>0.23319187801056504</v>
      </c>
      <c r="AK209" s="1">
        <f t="shared" ca="1" si="21"/>
        <v>0.01</v>
      </c>
      <c r="AL209" s="1">
        <f t="shared" ca="1" si="21"/>
        <v>-0.53603903655721608</v>
      </c>
      <c r="AM209" s="1">
        <f ca="1">INDEX(AM4:AM203,MATCH($N$209,$N$4:$N$203,0),0)</f>
        <v>0</v>
      </c>
    </row>
    <row r="210" spans="2:39">
      <c r="B210" s="100" t="s">
        <v>603</v>
      </c>
      <c r="C210" s="100"/>
      <c r="D210" s="100" t="s">
        <v>609</v>
      </c>
      <c r="E210" s="103"/>
      <c r="F210" s="103"/>
      <c r="G210" s="1"/>
      <c r="H210" s="100" t="s">
        <v>605</v>
      </c>
      <c r="I210" s="100">
        <f>COUNT([1]Variáveis!E45:E54)</f>
        <v>10</v>
      </c>
      <c r="J210" s="100" t="s">
        <v>606</v>
      </c>
      <c r="K210" s="100">
        <v>1</v>
      </c>
      <c r="L210" s="103"/>
      <c r="M210" s="103"/>
      <c r="N210" s="100"/>
      <c r="O210" s="103"/>
      <c r="P210" s="100"/>
    </row>
    <row r="211" spans="2:39">
      <c r="C211" s="100"/>
      <c r="D211" s="1">
        <f ca="1">IF(AND([1]Variáveis!$E$43=1,[1]Variáveis!$L$43=1),[1]Variáveis!Z$42,D211)</f>
        <v>0.29210526315789481</v>
      </c>
      <c r="E211" s="1">
        <f ca="1">IF(AND([1]Variáveis!$E$43=1,[1]Variáveis!$L$43=1),[1]Variáveis!AA$42,E211)</f>
        <v>2</v>
      </c>
      <c r="F211" s="1">
        <f ca="1">IF(AND([1]Variáveis!$E$43=1,[1]Variáveis!$L$43=1),[1]Variáveis!AB$42,F211)</f>
        <v>74.900702884866675</v>
      </c>
      <c r="G211" s="1">
        <f ca="1">IF(AND([1]Variáveis!$E$43=1,[1]Variáveis!$L$43=1),[1]Variáveis!AC$42,G211)</f>
        <v>51.46347211476445</v>
      </c>
      <c r="H211" s="1">
        <f ca="1">IF(AND([1]Variáveis!$E$43=1,[1]Variáveis!$L$43=1),[1]Variáveis!AD$42,H211)</f>
        <v>51.463472114764464</v>
      </c>
      <c r="I211" s="1">
        <f ca="1">IF(AND([1]Variáveis!$E$43=1,[1]Variáveis!$L$43=1),[1]Variáveis!AE$42,I211)</f>
        <v>3.5632068843550018</v>
      </c>
      <c r="J211" s="1">
        <f ca="1">IF(AND([1]Variáveis!$E$43=1,[1]Variáveis!$L$43=1),[1]Variáveis!AF$42,J211)</f>
        <v>14.443021072036402</v>
      </c>
      <c r="K211" s="1">
        <f ca="1">IF(AND([1]Variáveis!$E$43=1,[1]Variáveis!$L$43=1),[1]Variáveis!AG$42,K211)</f>
        <v>15.259433367753834</v>
      </c>
      <c r="L211" s="1">
        <f ca="1">IF(AND([1]Variáveis!$E$43=1,[1]Variáveis!$L$43=1),[1]Variáveis!AH$42,L211)</f>
        <v>54.372518027336888</v>
      </c>
      <c r="M211" s="1">
        <f ca="1">IF(AND([1]Variáveis!$E$43=1,[1]Variáveis!$L$43=1),[1]Variáveis!AI$42,M211)</f>
        <v>74.900702884866675</v>
      </c>
      <c r="N211" s="1">
        <f ca="1">IF(AND([1]Variáveis!$E$43=1,[1]Variáveis!$L$43=1),[1]Variáveis!AJ$42,N211)</f>
        <v>0.30499999999999999</v>
      </c>
      <c r="O211" s="103">
        <f t="shared" ca="1" si="13"/>
        <v>5.3528278403221483</v>
      </c>
      <c r="P211" s="1">
        <f ca="1">IF(AND([1]Variáveis!$E$43=1,[1]Variáveis!$L$43=1),[1]Variáveis!AK$42,P211)</f>
        <v>0.65</v>
      </c>
      <c r="Q211" s="1">
        <f ca="1">IF(AND([1]Variáveis!$E$43=1,[1]Variáveis!$L$43=1),[1]Variáveis!AL$42,Q211)</f>
        <v>10.683821635968679</v>
      </c>
      <c r="R211" s="1"/>
    </row>
    <row r="212" spans="2:39">
      <c r="D212" s="1">
        <f ca="1">IF(AND([1]Variáveis!$E$43=2,[1]Variáveis!$L$43=1),[1]Variáveis!Z$42,D212)</f>
        <v>0.29210526315789481</v>
      </c>
      <c r="E212" s="1">
        <f ca="1">IF(AND([1]Variáveis!$E$43=2,[1]Variáveis!$L$43=1),[1]Variáveis!AA$42,E212)</f>
        <v>2.1111111111111112</v>
      </c>
      <c r="F212" s="1">
        <f ca="1">IF(AND([1]Variáveis!$E$43=2,[1]Variáveis!$L$43=1),[1]Variáveis!AB$42,F212)</f>
        <v>73.108349321909856</v>
      </c>
      <c r="G212" s="1">
        <f ca="1">IF(AND([1]Variáveis!$E$43=2,[1]Variáveis!$L$43=1),[1]Variáveis!AC$42,G212)</f>
        <v>52.783184195989953</v>
      </c>
      <c r="H212" s="1">
        <f ca="1">IF(AND([1]Variáveis!$E$43=2,[1]Variáveis!$L$43=1),[1]Variáveis!AD$42,H212)</f>
        <v>52.783184195989961</v>
      </c>
      <c r="I212" s="1">
        <f ca="1">IF(AND([1]Variáveis!$E$43=2,[1]Variáveis!$L$43=1),[1]Variáveis!AE$42,I212)</f>
        <v>3.5234796577228411</v>
      </c>
      <c r="J212" s="1">
        <f ca="1">IF(AND([1]Variáveis!$E$43=2,[1]Variáveis!$L$43=1),[1]Variáveis!AF$42,J212)</f>
        <v>14.980414057535029</v>
      </c>
      <c r="K212" s="1">
        <f ca="1">IF(AND([1]Variáveis!$E$43=2,[1]Variáveis!$L$43=1),[1]Variáveis!AG$42,K212)</f>
        <v>15.041262088454628</v>
      </c>
      <c r="L212" s="1">
        <f ca="1">IF(AND([1]Variáveis!$E$43=2,[1]Variáveis!$L$43=1),[1]Variáveis!AH$42,L212)</f>
        <v>52.997580995147658</v>
      </c>
      <c r="M212" s="1">
        <f ca="1">IF(AND([1]Variáveis!$E$43=2,[1]Variáveis!$L$43=1),[1]Variáveis!AI$42,M212)</f>
        <v>73.108349321909856</v>
      </c>
      <c r="N212" s="1">
        <f ca="1">IF(AND([1]Variáveis!$E$43=2,[1]Variáveis!$L$43=1),[1]Variáveis!AJ$42,N212)</f>
        <v>0.30499999999999999</v>
      </c>
      <c r="O212" s="103">
        <f t="shared" ca="1" si="13"/>
        <v>5.2773645155456723</v>
      </c>
      <c r="P212" s="1">
        <f ca="1">IF(AND([1]Variáveis!$E$43=2,[1]Variáveis!$L$43=1),[1]Variáveis!AK$42,P212)</f>
        <v>0.65</v>
      </c>
      <c r="Q212" s="1">
        <f ca="1">IF(AND([1]Variáveis!$E$43=2,[1]Variáveis!$L$43=1),[1]Variáveis!AL$42,Q212)</f>
        <v>10.53135692961634</v>
      </c>
      <c r="R212" s="1"/>
    </row>
    <row r="213" spans="2:39">
      <c r="D213" s="1">
        <f ca="1">IF(AND([1]Variáveis!$E$43=3,[1]Variáveis!$L$43=1),[1]Variáveis!Z$42,D213)</f>
        <v>0.25263157894736837</v>
      </c>
      <c r="E213" s="1">
        <f ca="1">IF(AND([1]Variáveis!$E$43=3,[1]Variáveis!$L$43=1),[1]Variáveis!AA$42,E213)</f>
        <v>2.2222222222222223</v>
      </c>
      <c r="F213" s="1">
        <f ca="1">IF(AND([1]Variáveis!$E$43=3,[1]Variáveis!$L$43=1),[1]Variáveis!AB$42,F213)</f>
        <v>61.812133314457931</v>
      </c>
      <c r="G213" s="1">
        <f ca="1">IF(AND([1]Variáveis!$E$43=3,[1]Variáveis!$L$43=1),[1]Variáveis!AC$42,G213)</f>
        <v>47.74835104265005</v>
      </c>
      <c r="H213" s="1">
        <f ca="1">IF(AND([1]Variáveis!$E$43=3,[1]Variáveis!$L$43=1),[1]Variáveis!AD$42,H213)</f>
        <v>47.74835104265005</v>
      </c>
      <c r="I213" s="1">
        <f ca="1">IF(AND([1]Variáveis!$E$43=3,[1]Variáveis!$L$43=1),[1]Variáveis!AE$42,I213)</f>
        <v>3.0163642945945788</v>
      </c>
      <c r="J213" s="1">
        <f ca="1">IF(AND([1]Variáveis!$E$43=3,[1]Variáveis!$L$43=1),[1]Variáveis!AF$42,J213)</f>
        <v>15.829769344577054</v>
      </c>
      <c r="K213" s="1">
        <f ca="1">IF(AND([1]Variáveis!$E$43=3,[1]Variáveis!$L$43=1),[1]Variáveis!AG$42,K213)</f>
        <v>14.992342535286813</v>
      </c>
      <c r="L213" s="1">
        <f ca="1">IF(AND([1]Variáveis!$E$43=3,[1]Variáveis!$L$43=1),[1]Variáveis!AH$42,L213)</f>
        <v>45.222366715770704</v>
      </c>
      <c r="M213" s="1">
        <f ca="1">IF(AND([1]Variáveis!$E$43=3,[1]Variáveis!$L$43=1),[1]Variáveis!AI$42,M213)</f>
        <v>61.812133314457931</v>
      </c>
      <c r="N213" s="1">
        <f ca="1">IF(AND([1]Variáveis!$E$43=3,[1]Variáveis!$L$43=1),[1]Variáveis!AJ$42,N213)</f>
        <v>0.30499999999999999</v>
      </c>
      <c r="O213" s="103">
        <f t="shared" ca="1" si="13"/>
        <v>4.9198991276961133</v>
      </c>
      <c r="P213" s="1">
        <f ca="1">IF(AND([1]Variáveis!$E$43=3,[1]Variáveis!$L$43=1),[1]Variáveis!AK$42,P213)</f>
        <v>0.65</v>
      </c>
      <c r="Q213" s="1">
        <f ca="1">IF(AND([1]Variáveis!$E$43=3,[1]Variáveis!$L$43=1),[1]Variáveis!AL$42,Q213)</f>
        <v>10.497923502662442</v>
      </c>
      <c r="R213" s="1"/>
    </row>
    <row r="214" spans="2:39">
      <c r="D214" s="1">
        <f ca="1">IF(AND([1]Variáveis!$E$43=4,[1]Variáveis!$L$43=1),[1]Variáveis!Z$42,D214)</f>
        <v>0.23684210526315785</v>
      </c>
      <c r="E214" s="1">
        <f ca="1">IF(AND([1]Variáveis!$E$43=4,[1]Variáveis!$L$43=1),[1]Variáveis!AA$42,E214)</f>
        <v>2.3333333333333335</v>
      </c>
      <c r="F214" s="1">
        <f ca="1">IF(AND([1]Variáveis!$E$43=4,[1]Variáveis!$L$43=1),[1]Variáveis!AB$42,F214)</f>
        <v>58.295816851970471</v>
      </c>
      <c r="G214" s="1">
        <f ca="1">IF(AND([1]Variáveis!$E$43=4,[1]Variáveis!$L$43=1),[1]Variáveis!AC$42,G214)</f>
        <v>46.831797392795394</v>
      </c>
      <c r="H214" s="1">
        <f ca="1">IF(AND([1]Variáveis!$E$43=4,[1]Variáveis!$L$43=1),[1]Variáveis!AD$42,H214)</f>
        <v>46.831797392795387</v>
      </c>
      <c r="I214" s="1">
        <f ca="1">IF(AND([1]Variáveis!$E$43=4,[1]Variáveis!$L$43=1),[1]Variáveis!AE$42,I214)</f>
        <v>2.8577389899261165</v>
      </c>
      <c r="J214" s="1">
        <f ca="1">IF(AND([1]Variáveis!$E$43=4,[1]Variáveis!$L$43=1),[1]Variáveis!AF$42,J214)</f>
        <v>16.387709849599023</v>
      </c>
      <c r="K214" s="1">
        <f ca="1">IF(AND([1]Variáveis!$E$43=4,[1]Variáveis!$L$43=1),[1]Variáveis!AG$42,K214)</f>
        <v>14.964632349778416</v>
      </c>
      <c r="L214" s="1">
        <f ca="1">IF(AND([1]Variáveis!$E$43=4,[1]Variáveis!$L$43=1),[1]Variáveis!AH$42,L214)</f>
        <v>42.765013335871458</v>
      </c>
      <c r="M214" s="1">
        <f ca="1">IF(AND([1]Variáveis!$E$43=4,[1]Variáveis!$L$43=1),[1]Variáveis!AI$42,M214)</f>
        <v>58.295816851970471</v>
      </c>
      <c r="N214" s="1">
        <f ca="1">IF(AND([1]Variáveis!$E$43=4,[1]Variáveis!$L$43=1),[1]Variáveis!AJ$42,N214)</f>
        <v>0.30499999999999999</v>
      </c>
      <c r="O214" s="103">
        <f t="shared" ca="1" si="13"/>
        <v>4.797285061168723</v>
      </c>
      <c r="P214" s="1">
        <f ca="1">IF(AND([1]Variáveis!$E$43=4,[1]Variáveis!$L$43=1),[1]Variáveis!AK$42,P214)</f>
        <v>0.65</v>
      </c>
      <c r="Q214" s="1">
        <f ca="1">IF(AND([1]Variáveis!$E$43=4,[1]Variáveis!$L$43=1),[1]Variáveis!AL$42,Q214)</f>
        <v>10.478867286320245</v>
      </c>
      <c r="R214" s="1"/>
    </row>
    <row r="215" spans="2:39">
      <c r="D215" s="1">
        <f ca="1">IF(AND([1]Variáveis!$E$43=5,[1]Variáveis!$L$43=1),[1]Variáveis!Z$42,D215)</f>
        <v>0.22105263157894733</v>
      </c>
      <c r="E215" s="1">
        <f ca="1">IF(AND([1]Variáveis!$E$43=5,[1]Variáveis!$L$43=1),[1]Variáveis!AA$42,E215)</f>
        <v>2.4444444444444446</v>
      </c>
      <c r="F215" s="1">
        <f ca="1">IF(AND([1]Variáveis!$E$43=5,[1]Variáveis!$L$43=1),[1]Variáveis!AB$42,F215)</f>
        <v>55.611295440776935</v>
      </c>
      <c r="G215" s="1">
        <f ca="1">IF(AND([1]Variáveis!$E$43=5,[1]Variáveis!$L$43=1),[1]Variáveis!AC$42,G215)</f>
        <v>45.997086922676715</v>
      </c>
      <c r="H215" s="1">
        <f ca="1">IF(AND([1]Variáveis!$E$43=5,[1]Variáveis!$L$43=1),[1]Variáveis!AD$42,H215)</f>
        <v>45.997086922676715</v>
      </c>
      <c r="I215" s="1">
        <f ca="1">IF(AND([1]Variáveis!$E$43=5,[1]Variáveis!$L$43=1),[1]Variáveis!AE$42,I215)</f>
        <v>2.7272071677030159</v>
      </c>
      <c r="J215" s="1">
        <f ca="1">IF(AND([1]Variáveis!$E$43=5,[1]Variáveis!$L$43=1),[1]Variáveis!AF$42,J215)</f>
        <v>16.866003971901282</v>
      </c>
      <c r="K215" s="1">
        <f ca="1">IF(AND([1]Variáveis!$E$43=5,[1]Variáveis!$L$43=1),[1]Variáveis!AG$42,K215)</f>
        <v>14.997849229245631</v>
      </c>
      <c r="L215" s="1">
        <f ca="1">IF(AND([1]Variáveis!$E$43=5,[1]Variáveis!$L$43=1),[1]Variáveis!AH$42,L215)</f>
        <v>40.902241918127835</v>
      </c>
      <c r="M215" s="1">
        <f ca="1">IF(AND([1]Variáveis!$E$43=5,[1]Variáveis!$L$43=1),[1]Variáveis!AI$42,M215)</f>
        <v>55.611295440776935</v>
      </c>
      <c r="N215" s="1">
        <f ca="1">IF(AND([1]Variáveis!$E$43=5,[1]Variáveis!$L$43=1),[1]Variáveis!AJ$42,N215)</f>
        <v>0.30499999999999999</v>
      </c>
      <c r="O215" s="103">
        <f t="shared" ca="1" si="13"/>
        <v>4.7038954200785765</v>
      </c>
      <c r="P215" s="1">
        <f ca="1">IF(AND([1]Variáveis!$E$43=5,[1]Variáveis!$L$43=1),[1]Variáveis!AK$42,P215)</f>
        <v>0.65</v>
      </c>
      <c r="Q215" s="1">
        <f ca="1">IF(AND([1]Variáveis!$E$43=5,[1]Variáveis!$L$43=1),[1]Variáveis!AL$42,Q215)</f>
        <v>10.502410992376557</v>
      </c>
      <c r="R215" s="1"/>
    </row>
    <row r="216" spans="2:39">
      <c r="D216" s="1">
        <f ca="1">IF(AND([1]Variáveis!$E$43=6,[1]Variáveis!$L$43=1),[1]Variáveis!Z$42,D216)</f>
        <v>0.21315789473684207</v>
      </c>
      <c r="E216" s="1">
        <f ca="1">IF(AND([1]Variáveis!$E$43=6,[1]Variáveis!$L$43=1),[1]Variáveis!AA$42,E216)</f>
        <v>2.5555555555555558</v>
      </c>
      <c r="F216" s="1">
        <f ca="1">IF(AND([1]Variáveis!$E$43=6,[1]Variáveis!$L$43=1),[1]Variáveis!AB$42,F216)</f>
        <v>54.336917026825311</v>
      </c>
      <c r="G216" s="1">
        <f ca="1">IF(AND([1]Variáveis!$E$43=6,[1]Variáveis!$L$43=1),[1]Variáveis!AC$42,G216)</f>
        <v>46.198814299955345</v>
      </c>
      <c r="H216" s="1">
        <f ca="1">IF(AND([1]Variáveis!$E$43=6,[1]Variáveis!$L$43=1),[1]Variáveis!AD$42,H216)</f>
        <v>46.198814299955338</v>
      </c>
      <c r="I216" s="1">
        <f ca="1">IF(AND([1]Variáveis!$E$43=6,[1]Variáveis!$L$43=1),[1]Variáveis!AE$42,I216)</f>
        <v>2.6715631350485132</v>
      </c>
      <c r="J216" s="1">
        <f ca="1">IF(AND([1]Variáveis!$E$43=6,[1]Variáveis!$L$43=1),[1]Variáveis!AF$42,J216)</f>
        <v>17.292802739290835</v>
      </c>
      <c r="K216" s="1">
        <f ca="1">IF(AND([1]Variáveis!$E$43=6,[1]Variáveis!$L$43=1),[1]Variáveis!AG$42,K216)</f>
        <v>14.96983479240455</v>
      </c>
      <c r="L216" s="1">
        <f ca="1">IF(AND([1]Variáveis!$E$43=6,[1]Variáveis!$L$43=1),[1]Variáveis!AH$42,L216)</f>
        <v>39.992858769154608</v>
      </c>
      <c r="M216" s="1">
        <f ca="1">IF(AND([1]Variáveis!$E$43=6,[1]Variáveis!$L$43=1),[1]Variáveis!AI$42,M216)</f>
        <v>54.336917026825311</v>
      </c>
      <c r="N216" s="1">
        <f ca="1">IF(AND([1]Variáveis!$E$43=6,[1]Variáveis!$L$43=1),[1]Variáveis!AJ$42,N216)</f>
        <v>0.30499999999999999</v>
      </c>
      <c r="O216" s="103">
        <f t="shared" ca="1" si="13"/>
        <v>4.654560508984261</v>
      </c>
      <c r="P216" s="1">
        <f ca="1">IF(AND([1]Variáveis!$E$43=6,[1]Variáveis!$L$43=1),[1]Variáveis!AK$42,P216)</f>
        <v>0.65</v>
      </c>
      <c r="Q216" s="1">
        <f ca="1">IF(AND([1]Variáveis!$E$43=6,[1]Variáveis!$L$43=1),[1]Variáveis!AL$42,Q216)</f>
        <v>10.482957289473127</v>
      </c>
      <c r="R216" s="1"/>
    </row>
    <row r="217" spans="2:39">
      <c r="D217" s="1">
        <f ca="1">IF(AND([1]Variáveis!$E$43=7,[1]Variáveis!$L$43=1),[1]Variáveis!Z$42,D217)</f>
        <v>0.20526315789473681</v>
      </c>
      <c r="E217" s="1">
        <f ca="1">IF(AND([1]Variáveis!$E$43=7,[1]Variáveis!$L$43=1),[1]Variáveis!AA$42,E217)</f>
        <v>2.666666666666667</v>
      </c>
      <c r="F217" s="1">
        <f ca="1">IF(AND([1]Variáveis!$E$43=7,[1]Variáveis!$L$43=1),[1]Variáveis!AB$42,F217)</f>
        <v>53.337517865067021</v>
      </c>
      <c r="G217" s="1">
        <f ca="1">IF(AND([1]Variáveis!$E$43=7,[1]Variáveis!$L$43=1),[1]Variáveis!AC$42,G217)</f>
        <v>46.401169262385892</v>
      </c>
      <c r="H217" s="1">
        <f ca="1">IF(AND([1]Variáveis!$E$43=7,[1]Variáveis!$L$43=1),[1]Variáveis!AD$42,H217)</f>
        <v>46.401169262385885</v>
      </c>
      <c r="I217" s="1">
        <f ca="1">IF(AND([1]Variáveis!$E$43=7,[1]Variáveis!$L$43=1),[1]Variáveis!AE$42,I217)</f>
        <v>2.6248859904588975</v>
      </c>
      <c r="J217" s="1">
        <f ca="1">IF(AND([1]Variáveis!$E$43=7,[1]Variáveis!$L$43=1),[1]Variáveis!AF$42,J217)</f>
        <v>17.677403678120804</v>
      </c>
      <c r="K217" s="1">
        <f ca="1">IF(AND([1]Variáveis!$E$43=7,[1]Variáveis!$L$43=1),[1]Variáveis!AG$42,K217)</f>
        <v>14.966277479327641</v>
      </c>
      <c r="L217" s="1">
        <f ca="1">IF(AND([1]Variáveis!$E$43=7,[1]Variáveis!$L$43=1),[1]Variáveis!AH$42,L217)</f>
        <v>39.284772084807628</v>
      </c>
      <c r="M217" s="1">
        <f ca="1">IF(AND([1]Variáveis!$E$43=7,[1]Variáveis!$L$43=1),[1]Variáveis!AI$42,M217)</f>
        <v>53.337517865067021</v>
      </c>
      <c r="N217" s="1">
        <f ca="1">IF(AND([1]Variáveis!$E$43=7,[1]Variáveis!$L$43=1),[1]Variáveis!AJ$42,N217)</f>
        <v>0.30499999999999999</v>
      </c>
      <c r="O217" s="103">
        <f t="shared" ca="1" si="13"/>
        <v>4.6164013088407962</v>
      </c>
      <c r="P217" s="1">
        <f ca="1">IF(AND([1]Variáveis!$E$43=7,[1]Variáveis!$L$43=1),[1]Variáveis!AK$42,P217)</f>
        <v>0.65</v>
      </c>
      <c r="Q217" s="1">
        <f ca="1">IF(AND([1]Variáveis!$E$43=7,[1]Variáveis!$L$43=1),[1]Variáveis!AL$42,Q217)</f>
        <v>10.48060538132806</v>
      </c>
      <c r="R217" s="1"/>
    </row>
    <row r="218" spans="2:39">
      <c r="D218" s="1">
        <f ca="1">IF(AND([1]Variáveis!$E$43=8,[1]Variáveis!$L$43=1),[1]Variáveis!Z$42,D218)</f>
        <v>0.19736842105263155</v>
      </c>
      <c r="E218" s="1">
        <f ca="1">IF(AND([1]Variáveis!$E$43=8,[1]Variáveis!$L$43=1),[1]Variáveis!AA$42,E218)</f>
        <v>2.7777777777777781</v>
      </c>
      <c r="F218" s="1">
        <f ca="1">IF(AND([1]Variáveis!$E$43=8,[1]Variáveis!$L$43=1),[1]Variáveis!AB$42,F218)</f>
        <v>52.579106454717142</v>
      </c>
      <c r="G218" s="1">
        <f ca="1">IF(AND([1]Variáveis!$E$43=8,[1]Variáveis!$L$43=1),[1]Variáveis!AC$42,G218)</f>
        <v>46.595082105882923</v>
      </c>
      <c r="H218" s="1">
        <f ca="1">IF(AND([1]Variáveis!$E$43=8,[1]Variáveis!$L$43=1),[1]Variáveis!AD$42,H218)</f>
        <v>46.595082105882923</v>
      </c>
      <c r="I218" s="1">
        <f ca="1">IF(AND([1]Variáveis!$E$43=8,[1]Variáveis!$L$43=1),[1]Variáveis!AE$42,I218)</f>
        <v>2.5860792007471516</v>
      </c>
      <c r="J218" s="1">
        <f ca="1">IF(AND([1]Variáveis!$E$43=8,[1]Variáveis!$L$43=1),[1]Variáveis!AF$42,J218)</f>
        <v>18.01765471545535</v>
      </c>
      <c r="K218" s="1">
        <f ca="1">IF(AND([1]Variáveis!$E$43=8,[1]Variáveis!$L$43=1),[1]Variáveis!AG$42,K218)</f>
        <v>14.985344526386626</v>
      </c>
      <c r="L218" s="1">
        <f ca="1">IF(AND([1]Variáveis!$E$43=8,[1]Variáveis!$L$43=1),[1]Variáveis!AH$42,L218)</f>
        <v>38.753287795718627</v>
      </c>
      <c r="M218" s="1">
        <f ca="1">IF(AND([1]Variáveis!$E$43=8,[1]Variáveis!$L$43=1),[1]Variáveis!AI$42,M218)</f>
        <v>52.579106454717142</v>
      </c>
      <c r="N218" s="1">
        <f ca="1">IF(AND([1]Variáveis!$E$43=8,[1]Variáveis!$L$43=1),[1]Variáveis!AJ$42,N218)</f>
        <v>0.30499999999999999</v>
      </c>
      <c r="O218" s="103">
        <f t="shared" ca="1" si="13"/>
        <v>4.5882770015295993</v>
      </c>
      <c r="P218" s="1">
        <f ca="1">IF(AND([1]Variáveis!$E$43=8,[1]Variáveis!$L$43=1),[1]Variáveis!AK$42,P218)</f>
        <v>0.65</v>
      </c>
      <c r="Q218" s="1">
        <f ca="1">IF(AND([1]Variáveis!$E$43=8,[1]Variáveis!$L$43=1),[1]Variáveis!AL$42,Q218)</f>
        <v>10.494076691270317</v>
      </c>
      <c r="R218" s="1"/>
    </row>
    <row r="219" spans="2:39">
      <c r="D219" s="1">
        <f ca="1">IF(AND([1]Variáveis!$E$43=9,[1]Variáveis!$L$43=1),[1]Variáveis!Z$42,D219)</f>
        <v>0.18947368421052629</v>
      </c>
      <c r="E219" s="1">
        <f ca="1">IF(AND([1]Variáveis!$E$43=9,[1]Variáveis!$L$43=1),[1]Variáveis!AA$42,E219)</f>
        <v>2.8888888888888893</v>
      </c>
      <c r="F219" s="1">
        <f ca="1">IF(AND([1]Variáveis!$E$43=9,[1]Variáveis!$L$43=1),[1]Variáveis!AB$42,F219)</f>
        <v>52.038860817562281</v>
      </c>
      <c r="G219" s="1">
        <f ca="1">IF(AND([1]Variáveis!$E$43=9,[1]Variáveis!$L$43=1),[1]Variáveis!AC$42,G219)</f>
        <v>46.773909369556115</v>
      </c>
      <c r="H219" s="1">
        <f ca="1">IF(AND([1]Variáveis!$E$43=9,[1]Variáveis!$L$43=1),[1]Variáveis!AD$42,H219)</f>
        <v>46.773909369556122</v>
      </c>
      <c r="I219" s="1">
        <f ca="1">IF(AND([1]Variáveis!$E$43=9,[1]Variáveis!$L$43=1),[1]Variáveis!AE$42,I219)</f>
        <v>2.5543735989879512</v>
      </c>
      <c r="J219" s="1">
        <f ca="1">IF(AND([1]Variáveis!$E$43=9,[1]Variáveis!$L$43=1),[1]Variáveis!AF$42,J219)</f>
        <v>18.311303165710786</v>
      </c>
      <c r="K219" s="1">
        <f ca="1">IF(AND([1]Variáveis!$E$43=9,[1]Variáveis!$L$43=1),[1]Variáveis!AG$42,K219)</f>
        <v>15.02595271924211</v>
      </c>
      <c r="L219" s="1">
        <f ca="1">IF(AND([1]Variáveis!$E$43=9,[1]Variáveis!$L$43=1),[1]Variáveis!AH$42,L219)</f>
        <v>38.38189692567326</v>
      </c>
      <c r="M219" s="1">
        <f ca="1">IF(AND([1]Variáveis!$E$43=9,[1]Variáveis!$L$43=1),[1]Variáveis!AI$42,M219)</f>
        <v>52.038860817562281</v>
      </c>
      <c r="N219" s="1">
        <f ca="1">IF(AND([1]Variáveis!$E$43=9,[1]Variáveis!$L$43=1),[1]Variáveis!AJ$42,N219)</f>
        <v>0.30499999999999999</v>
      </c>
      <c r="O219" s="103">
        <f t="shared" ca="1" si="13"/>
        <v>4.5694283448178101</v>
      </c>
      <c r="P219" s="1">
        <f ca="1">IF(AND([1]Variáveis!$E$43=9,[1]Variáveis!$L$43=1),[1]Variáveis!AK$42,P219)</f>
        <v>0.65</v>
      </c>
      <c r="Q219" s="1">
        <f ca="1">IF(AND([1]Variáveis!$E$43=9,[1]Variáveis!$L$43=1),[1]Variáveis!AL$42,Q219)</f>
        <v>10.522616478091582</v>
      </c>
      <c r="R219" s="1"/>
    </row>
    <row r="220" spans="2:39">
      <c r="D220" s="1">
        <f ca="1">IF(AND([1]Variáveis!$E$43=10,[1]Variáveis!$L$43=1),[1]Variáveis!Z$42,D220)</f>
        <v>0.18947368421052629</v>
      </c>
      <c r="E220" s="1">
        <f ca="1">IF(AND([1]Variáveis!$E$43=10,[1]Variáveis!$L$43=1),[1]Variáveis!AA$42,E220)</f>
        <v>3</v>
      </c>
      <c r="F220" s="1">
        <f ca="1">IF(AND([1]Variáveis!$E$43=10,[1]Variáveis!$L$43=1),[1]Variáveis!AB$42,F220)</f>
        <v>52.133128869047965</v>
      </c>
      <c r="G220" s="1">
        <f ca="1">IF(AND([1]Variáveis!$E$43=10,[1]Variáveis!$L$43=1),[1]Variáveis!AC$42,G220)</f>
        <v>48.028389869440218</v>
      </c>
      <c r="H220" s="1">
        <f ca="1">IF(AND([1]Variáveis!$E$43=10,[1]Variáveis!$L$43=1),[1]Variáveis!AD$42,H220)</f>
        <v>48.028389869440204</v>
      </c>
      <c r="I220" s="1">
        <f ca="1">IF(AND([1]Variáveis!$E$43=10,[1]Variáveis!$L$43=1),[1]Variáveis!AE$42,I220)</f>
        <v>2.5707603073017595</v>
      </c>
      <c r="J220" s="1">
        <f ca="1">IF(AND([1]Variáveis!$E$43=10,[1]Variáveis!$L$43=1),[1]Variáveis!AF$42,J220)</f>
        <v>18.682562404991483</v>
      </c>
      <c r="K220" s="1">
        <f ca="1">IF(AND([1]Variáveis!$E$43=10,[1]Variáveis!$L$43=1),[1]Variáveis!AG$42,K220)</f>
        <v>14.94143163460426</v>
      </c>
      <c r="L220" s="1">
        <f ca="1">IF(AND([1]Variáveis!$E$43=10,[1]Variáveis!$L$43=1),[1]Variáveis!AH$42,L220)</f>
        <v>38.410839380503482</v>
      </c>
      <c r="M220" s="1">
        <f ca="1">IF(AND([1]Variáveis!$E$43=10,[1]Variáveis!$L$43=1),[1]Variáveis!AI$42,M220)</f>
        <v>52.133128869047965</v>
      </c>
      <c r="N220" s="1">
        <f ca="1">IF(AND([1]Variáveis!$E$43=10,[1]Variáveis!$L$43=1),[1]Variáveis!AJ$42,N220)</f>
        <v>0.30499999999999999</v>
      </c>
      <c r="O220" s="103">
        <f t="shared" ca="1" si="13"/>
        <v>4.5663259206082936</v>
      </c>
      <c r="P220" s="1">
        <f ca="1">IF(AND([1]Variáveis!$E$43=10,[1]Variáveis!$L$43=1),[1]Variáveis!AK$42,P220)</f>
        <v>0.65</v>
      </c>
      <c r="Q220" s="1">
        <f ca="1">IF(AND([1]Variáveis!$E$43=10,[1]Variáveis!$L$43=1),[1]Variáveis!AL$42,Q220)</f>
        <v>10.463469493721</v>
      </c>
      <c r="R220" s="1"/>
    </row>
    <row r="221" spans="2:39">
      <c r="B221" s="100" t="s">
        <v>603</v>
      </c>
      <c r="C221" s="100"/>
      <c r="D221" s="100" t="s">
        <v>610</v>
      </c>
      <c r="E221" s="103"/>
      <c r="F221" s="103"/>
      <c r="G221" s="1"/>
      <c r="H221" s="100" t="s">
        <v>605</v>
      </c>
      <c r="I221" s="100">
        <f>I210</f>
        <v>10</v>
      </c>
      <c r="J221" s="100" t="s">
        <v>606</v>
      </c>
      <c r="K221" s="100">
        <v>1</v>
      </c>
      <c r="L221" s="103"/>
      <c r="M221" s="103"/>
      <c r="N221" s="100"/>
      <c r="O221" s="103"/>
      <c r="P221" s="100"/>
    </row>
    <row r="222" spans="2:39">
      <c r="C222" s="100"/>
      <c r="D222" s="1">
        <f ca="1">IF(AND([1]Variáveis!$E$43=1,[1]Variáveis!$L$43=1),[1]Variáveis!Z$43,D222)</f>
        <v>0.29210526315789481</v>
      </c>
      <c r="E222" s="1">
        <f ca="1">IF(AND([1]Variáveis!$E$43=1,[1]Variáveis!$L$43=1),[1]Variáveis!AA$43,E222)</f>
        <v>2</v>
      </c>
      <c r="F222" s="1">
        <f ca="1">IF(AND([1]Variáveis!$E$43=1,[1]Variáveis!$L$43=1),[1]Variáveis!AB$43,F222)</f>
        <v>74.900702884866675</v>
      </c>
      <c r="G222" s="1">
        <f ca="1">IF(AND([1]Variáveis!$E$43=1,[1]Variáveis!$L$43=1),[1]Variáveis!AC$43,G222)</f>
        <v>51.46347211476445</v>
      </c>
      <c r="H222" s="1">
        <f ca="1">IF(AND([1]Variáveis!$E$43=1,[1]Variáveis!$L$43=1),[1]Variáveis!AD$43,H222)</f>
        <v>51.463472114764464</v>
      </c>
      <c r="I222" s="1">
        <f ca="1">IF(AND([1]Variáveis!$E$43=1,[1]Variáveis!$L$43=1),[1]Variáveis!AE$43,I222)</f>
        <v>3.5632068843550018</v>
      </c>
      <c r="J222" s="1">
        <f ca="1">IF(AND([1]Variáveis!$E$43=1,[1]Variáveis!$L$43=1),[1]Variáveis!AF$43,J222)</f>
        <v>14.443021072036402</v>
      </c>
      <c r="K222" s="1">
        <f ca="1">IF(AND([1]Variáveis!$E$43=1,[1]Variáveis!$L$43=1),[1]Variáveis!AG$43,K222)</f>
        <v>15.259433367753834</v>
      </c>
      <c r="L222" s="1">
        <f ca="1">IF(AND([1]Variáveis!$E$43=1,[1]Variáveis!$L$43=1),[1]Variáveis!AH$43,L222)</f>
        <v>54.372518027336888</v>
      </c>
      <c r="M222" s="1">
        <f ca="1">IF(AND([1]Variáveis!$E$43=1,[1]Variáveis!$L$43=1),[1]Variáveis!AI$43,M222)</f>
        <v>74.900702884866675</v>
      </c>
      <c r="N222" s="1">
        <f ca="1">IF(AND([1]Variáveis!$E$43=1,[1]Variáveis!$L$43=1),[1]Variáveis!AJ$43,N222)</f>
        <v>0.30499999999999999</v>
      </c>
      <c r="O222" s="103">
        <f t="shared" ca="1" si="13"/>
        <v>5.3528278403221483</v>
      </c>
      <c r="P222" s="1">
        <f ca="1">IF(AND([1]Variáveis!$E$43=1,[1]Variáveis!$L$43=1),[1]Variáveis!AK$43,P222)</f>
        <v>0.65</v>
      </c>
      <c r="Q222" s="1">
        <f ca="1">IF(AND([1]Variáveis!$E$43=1,[1]Variáveis!$L$43=1),[1]Variáveis!AL$43,Q222)</f>
        <v>10.683821635968679</v>
      </c>
      <c r="R222" s="1"/>
    </row>
    <row r="223" spans="2:39">
      <c r="D223" s="1">
        <f ca="1">IF(AND([1]Variáveis!$E$43=2,[1]Variáveis!$L$43=1),[1]Variáveis!Z$43,D223)</f>
        <v>0.29210526315789481</v>
      </c>
      <c r="E223" s="1">
        <f ca="1">IF(AND([1]Variáveis!$E$43=2,[1]Variáveis!$L$43=1),[1]Variáveis!AA$43,E223)</f>
        <v>2.1111111111111112</v>
      </c>
      <c r="F223" s="1">
        <f ca="1">IF(AND([1]Variáveis!$E$43=2,[1]Variáveis!$L$43=1),[1]Variáveis!AB$43,F223)</f>
        <v>73.108349321909856</v>
      </c>
      <c r="G223" s="1">
        <f ca="1">IF(AND([1]Variáveis!$E$43=2,[1]Variáveis!$L$43=1),[1]Variáveis!AC$43,G223)</f>
        <v>52.783184195989953</v>
      </c>
      <c r="H223" s="1">
        <f ca="1">IF(AND([1]Variáveis!$E$43=2,[1]Variáveis!$L$43=1),[1]Variáveis!AD$43,H223)</f>
        <v>52.783184195989961</v>
      </c>
      <c r="I223" s="1">
        <f ca="1">IF(AND([1]Variáveis!$E$43=2,[1]Variáveis!$L$43=1),[1]Variáveis!AE$43,I223)</f>
        <v>3.5234796577228411</v>
      </c>
      <c r="J223" s="1">
        <f ca="1">IF(AND([1]Variáveis!$E$43=2,[1]Variáveis!$L$43=1),[1]Variáveis!AF$43,J223)</f>
        <v>14.980414057535029</v>
      </c>
      <c r="K223" s="1">
        <f ca="1">IF(AND([1]Variáveis!$E$43=2,[1]Variáveis!$L$43=1),[1]Variáveis!AG$43,K223)</f>
        <v>15.041262088454628</v>
      </c>
      <c r="L223" s="1">
        <f ca="1">IF(AND([1]Variáveis!$E$43=2,[1]Variáveis!$L$43=1),[1]Variáveis!AH$43,L223)</f>
        <v>52.997580995147658</v>
      </c>
      <c r="M223" s="1">
        <f ca="1">IF(AND([1]Variáveis!$E$43=2,[1]Variáveis!$L$43=1),[1]Variáveis!AI$43,M223)</f>
        <v>73.108349321909856</v>
      </c>
      <c r="N223" s="1">
        <f ca="1">IF(AND([1]Variáveis!$E$43=2,[1]Variáveis!$L$43=1),[1]Variáveis!AJ$43,N223)</f>
        <v>0.30499999999999999</v>
      </c>
      <c r="O223" s="103">
        <f t="shared" ca="1" si="13"/>
        <v>5.2773645155456723</v>
      </c>
      <c r="P223" s="1">
        <f ca="1">IF(AND([1]Variáveis!$E$43=2,[1]Variáveis!$L$43=1),[1]Variáveis!AK$43,P223)</f>
        <v>0.65</v>
      </c>
      <c r="Q223" s="1">
        <f ca="1">IF(AND([1]Variáveis!$E$43=2,[1]Variáveis!$L$43=1),[1]Variáveis!AL$43,Q223)</f>
        <v>10.53135692961634</v>
      </c>
      <c r="R223" s="1"/>
    </row>
    <row r="224" spans="2:39">
      <c r="D224" s="1">
        <f ca="1">IF(AND([1]Variáveis!$E$43=3,[1]Variáveis!$L$43=1),[1]Variáveis!Z$43,D224)</f>
        <v>0.28421052631578952</v>
      </c>
      <c r="E224" s="1">
        <f ca="1">IF(AND([1]Variáveis!$E$43=3,[1]Variáveis!$L$43=1),[1]Variáveis!AA$43,E224)</f>
        <v>2.2222222222222223</v>
      </c>
      <c r="F224" s="1">
        <f ca="1">IF(AND([1]Variáveis!$E$43=3,[1]Variáveis!$L$43=1),[1]Variáveis!AB$43,F224)</f>
        <v>69.426416282923384</v>
      </c>
      <c r="G224" s="1">
        <f ca="1">IF(AND([1]Variáveis!$E$43=3,[1]Variáveis!$L$43=1),[1]Variáveis!AC$43,G224)</f>
        <v>52.800591365676176</v>
      </c>
      <c r="H224" s="1">
        <f ca="1">IF(AND([1]Variáveis!$E$43=3,[1]Variáveis!$L$43=1),[1]Variáveis!AD$43,H224)</f>
        <v>52.800591365676162</v>
      </c>
      <c r="I224" s="1">
        <f ca="1">IF(AND([1]Variáveis!$E$43=3,[1]Variáveis!$L$43=1),[1]Variáveis!AE$43,I224)</f>
        <v>3.3886131893780691</v>
      </c>
      <c r="J224" s="1">
        <f ca="1">IF(AND([1]Variáveis!$E$43=3,[1]Variáveis!$L$43=1),[1]Variáveis!AF$43,J224)</f>
        <v>15.581770008800252</v>
      </c>
      <c r="K224" s="1">
        <f ca="1">IF(AND([1]Variáveis!$E$43=3,[1]Variáveis!$L$43=1),[1]Variáveis!AG$43,K224)</f>
        <v>14.864563497745099</v>
      </c>
      <c r="L224" s="1">
        <f ca="1">IF(AND([1]Variáveis!$E$43=3,[1]Variáveis!$L$43=1),[1]Variáveis!AH$43,L224)</f>
        <v>50.370255922806848</v>
      </c>
      <c r="M224" s="1">
        <f ca="1">IF(AND([1]Variáveis!$E$43=3,[1]Variáveis!$L$43=1),[1]Variáveis!AI$43,M224)</f>
        <v>69.426416282923384</v>
      </c>
      <c r="N224" s="1">
        <f ca="1">IF(AND([1]Variáveis!$E$43=3,[1]Variáveis!$L$43=1),[1]Variáveis!AJ$43,N224)</f>
        <v>0.30499999999999999</v>
      </c>
      <c r="O224" s="103">
        <f t="shared" ca="1" si="13"/>
        <v>5.1491612005605845</v>
      </c>
      <c r="P224" s="1">
        <f ca="1">IF(AND([1]Variáveis!$E$43=3,[1]Variáveis!$L$43=1),[1]Variáveis!AK$43,P224)</f>
        <v>0.65</v>
      </c>
      <c r="Q224" s="1">
        <f ca="1">IF(AND([1]Variáveis!$E$43=3,[1]Variáveis!$L$43=1),[1]Variáveis!AL$43,Q224)</f>
        <v>10.408001516433762</v>
      </c>
      <c r="R224" s="1"/>
    </row>
    <row r="225" spans="2:18">
      <c r="D225" s="1">
        <f ca="1">IF(AND([1]Variáveis!$E$43=4,[1]Variáveis!$L$43=1),[1]Variáveis!Z$43,D225)</f>
        <v>0.28421052631578952</v>
      </c>
      <c r="E225" s="1">
        <f ca="1">IF(AND([1]Variáveis!$E$43=4,[1]Variáveis!$L$43=1),[1]Variáveis!AA$43,E225)</f>
        <v>2.3333333333333335</v>
      </c>
      <c r="F225" s="1">
        <f ca="1">IF(AND([1]Variáveis!$E$43=4,[1]Variáveis!$L$43=1),[1]Variáveis!AB$43,F225)</f>
        <v>68.728502111860209</v>
      </c>
      <c r="G225" s="1">
        <f ca="1">IF(AND([1]Variáveis!$E$43=4,[1]Variáveis!$L$43=1),[1]Variáveis!AC$43,G225)</f>
        <v>54.395439620748689</v>
      </c>
      <c r="H225" s="1">
        <f ca="1">IF(AND([1]Variáveis!$E$43=4,[1]Variáveis!$L$43=1),[1]Variáveis!AD$43,H225)</f>
        <v>54.395439620748689</v>
      </c>
      <c r="I225" s="1">
        <f ca="1">IF(AND([1]Variáveis!$E$43=4,[1]Variáveis!$L$43=1),[1]Variáveis!AE$43,I225)</f>
        <v>3.3821946831572962</v>
      </c>
      <c r="J225" s="1">
        <f ca="1">IF(AND([1]Variáveis!$E$43=4,[1]Variáveis!$L$43=1),[1]Variáveis!AF$43,J225)</f>
        <v>16.082882482084166</v>
      </c>
      <c r="K225" s="1">
        <f ca="1">IF(AND([1]Variáveis!$E$43=4,[1]Variáveis!$L$43=1),[1]Variáveis!AG$43,K225)</f>
        <v>14.723500776580799</v>
      </c>
      <c r="L225" s="1">
        <f ca="1">IF(AND([1]Variáveis!$E$43=4,[1]Variáveis!$L$43=1),[1]Variáveis!AH$43,L225)</f>
        <v>49.797746044013898</v>
      </c>
      <c r="M225" s="1">
        <f ca="1">IF(AND([1]Variáveis!$E$43=4,[1]Variáveis!$L$43=1),[1]Variáveis!AI$43,M225)</f>
        <v>68.728502111860209</v>
      </c>
      <c r="N225" s="1">
        <f ca="1">IF(AND([1]Variáveis!$E$43=4,[1]Variáveis!$L$43=1),[1]Variáveis!AJ$43,N225)</f>
        <v>0.30499999999999999</v>
      </c>
      <c r="O225" s="103">
        <f t="shared" ca="1" si="13"/>
        <v>5.113021868751372</v>
      </c>
      <c r="P225" s="1">
        <f ca="1">IF(AND([1]Variáveis!$E$43=4,[1]Variáveis!$L$43=1),[1]Variáveis!AK$43,P225)</f>
        <v>0.65</v>
      </c>
      <c r="Q225" s="1">
        <f ca="1">IF(AND([1]Variáveis!$E$43=4,[1]Variáveis!$L$43=1),[1]Variáveis!AL$43,Q225)</f>
        <v>10.309427515414971</v>
      </c>
      <c r="R225" s="1"/>
    </row>
    <row r="226" spans="2:18">
      <c r="D226" s="1">
        <f ca="1">IF(AND([1]Variáveis!$E$43=5,[1]Variáveis!$L$43=1),[1]Variáveis!Z$43,D226)</f>
        <v>0.28421052631578952</v>
      </c>
      <c r="E226" s="1">
        <f ca="1">IF(AND([1]Variáveis!$E$43=5,[1]Variáveis!$L$43=1),[1]Variáveis!AA$43,E226)</f>
        <v>2.4444444444444446</v>
      </c>
      <c r="F226" s="1">
        <f ca="1">IF(AND([1]Variáveis!$E$43=5,[1]Variáveis!$L$43=1),[1]Variáveis!AB$43,F226)</f>
        <v>68.420912581174989</v>
      </c>
      <c r="G226" s="1">
        <f ca="1">IF(AND([1]Variáveis!$E$43=5,[1]Variáveis!$L$43=1),[1]Variáveis!AC$43,G226)</f>
        <v>56.131798907432156</v>
      </c>
      <c r="H226" s="1">
        <f ca="1">IF(AND([1]Variáveis!$E$43=5,[1]Variáveis!$L$43=1),[1]Variáveis!AD$43,H226)</f>
        <v>56.131798907432149</v>
      </c>
      <c r="I226" s="1">
        <f ca="1">IF(AND([1]Variáveis!$E$43=5,[1]Variáveis!$L$43=1),[1]Variáveis!AE$43,I226)</f>
        <v>3.3881882360247895</v>
      </c>
      <c r="J226" s="1">
        <f ca="1">IF(AND([1]Variáveis!$E$43=5,[1]Variáveis!$L$43=1),[1]Variáveis!AF$43,J226)</f>
        <v>16.566906853229941</v>
      </c>
      <c r="K226" s="1">
        <f ca="1">IF(AND([1]Variáveis!$E$43=5,[1]Variáveis!$L$43=1),[1]Variáveis!AG$43,K226)</f>
        <v>14.612530540852971</v>
      </c>
      <c r="L226" s="1">
        <f ca="1">IF(AND([1]Variáveis!$E$43=5,[1]Variáveis!$L$43=1),[1]Variáveis!AH$43,L226)</f>
        <v>49.510004077070988</v>
      </c>
      <c r="M226" s="1">
        <f ca="1">IF(AND([1]Variáveis!$E$43=5,[1]Variáveis!$L$43=1),[1]Variáveis!AI$43,M226)</f>
        <v>68.420912581174989</v>
      </c>
      <c r="N226" s="1">
        <f ca="1">IF(AND([1]Variáveis!$E$43=5,[1]Variáveis!$L$43=1),[1]Variáveis!AJ$43,N226)</f>
        <v>0.30499999999999999</v>
      </c>
      <c r="O226" s="103">
        <f t="shared" ca="1" si="13"/>
        <v>5.0915566562996277</v>
      </c>
      <c r="P226" s="1">
        <f ca="1">IF(AND([1]Variáveis!$E$43=5,[1]Variáveis!$L$43=1),[1]Variáveis!AK$43,P226)</f>
        <v>0.65</v>
      </c>
      <c r="Q226" s="1">
        <f ca="1">IF(AND([1]Variáveis!$E$43=5,[1]Variáveis!$L$43=1),[1]Variáveis!AL$43,Q226)</f>
        <v>10.231895389037019</v>
      </c>
      <c r="R226" s="1"/>
    </row>
    <row r="227" spans="2:18">
      <c r="D227" s="1">
        <f ca="1">IF(AND([1]Variáveis!$E$43=6,[1]Variáveis!$L$43=1),[1]Variáveis!Z$43,D227)</f>
        <v>0.27631578947368424</v>
      </c>
      <c r="E227" s="1">
        <f ca="1">IF(AND([1]Variáveis!$E$43=6,[1]Variáveis!$L$43=1),[1]Variáveis!AA$43,E227)</f>
        <v>2.5555555555555558</v>
      </c>
      <c r="F227" s="1">
        <f ca="1">IF(AND([1]Variáveis!$E$43=6,[1]Variáveis!$L$43=1),[1]Variáveis!AB$43,F227)</f>
        <v>66.056218416797819</v>
      </c>
      <c r="G227" s="1">
        <f ca="1">IF(AND([1]Variáveis!$E$43=6,[1]Variáveis!$L$43=1),[1]Variáveis!AC$43,G227)</f>
        <v>56.357485292392546</v>
      </c>
      <c r="H227" s="1">
        <f ca="1">IF(AND([1]Variáveis!$E$43=6,[1]Variáveis!$L$43=1),[1]Variáveis!AD$43,H227)</f>
        <v>56.357485292392539</v>
      </c>
      <c r="I227" s="1">
        <f ca="1">IF(AND([1]Variáveis!$E$43=6,[1]Variáveis!$L$43=1),[1]Variáveis!AE$43,I227)</f>
        <v>3.2942866620378242</v>
      </c>
      <c r="J227" s="1">
        <f ca="1">IF(AND([1]Variáveis!$E$43=6,[1]Variáveis!$L$43=1),[1]Variáveis!AF$43,J227)</f>
        <v>17.107644559848403</v>
      </c>
      <c r="K227" s="1">
        <f ca="1">IF(AND([1]Variáveis!$E$43=6,[1]Variáveis!$L$43=1),[1]Variáveis!AG$43,K227)</f>
        <v>14.522834927441622</v>
      </c>
      <c r="L227" s="1">
        <f ca="1">IF(AND([1]Variáveis!$E$43=6,[1]Variáveis!$L$43=1),[1]Variáveis!AH$43,L227)</f>
        <v>47.842381396447983</v>
      </c>
      <c r="M227" s="1">
        <f ca="1">IF(AND([1]Variáveis!$E$43=6,[1]Variáveis!$L$43=1),[1]Variáveis!AI$43,M227)</f>
        <v>66.056218416797819</v>
      </c>
      <c r="N227" s="1">
        <f ca="1">IF(AND([1]Variáveis!$E$43=6,[1]Variáveis!$L$43=1),[1]Variáveis!AJ$43,N227)</f>
        <v>0.30499999999999999</v>
      </c>
      <c r="O227" s="103">
        <f t="shared" ca="1" si="13"/>
        <v>5.0096279781753505</v>
      </c>
      <c r="P227" s="1">
        <f ca="1">IF(AND([1]Variáveis!$E$43=6,[1]Variáveis!$L$43=1),[1]Variáveis!AK$43,P227)</f>
        <v>0.65</v>
      </c>
      <c r="Q227" s="1">
        <f ca="1">IF(AND([1]Variáveis!$E$43=6,[1]Variáveis!$L$43=1),[1]Variáveis!AL$43,Q227)</f>
        <v>10.169323539055673</v>
      </c>
      <c r="R227" s="1"/>
    </row>
    <row r="228" spans="2:18">
      <c r="D228" s="1">
        <f ca="1">IF(AND([1]Variáveis!$E$43=7,[1]Variáveis!$L$43=1),[1]Variáveis!Z$43,D228)</f>
        <v>0.27631578947368424</v>
      </c>
      <c r="E228" s="1">
        <f ca="1">IF(AND([1]Variáveis!$E$43=7,[1]Variáveis!$L$43=1),[1]Variáveis!AA$43,E228)</f>
        <v>2.666666666666667</v>
      </c>
      <c r="F228" s="1">
        <f ca="1">IF(AND([1]Variáveis!$E$43=7,[1]Variáveis!$L$43=1),[1]Variáveis!AB$43,F228)</f>
        <v>66.291370807141405</v>
      </c>
      <c r="G228" s="1">
        <f ca="1">IF(AND([1]Variáveis!$E$43=7,[1]Variáveis!$L$43=1),[1]Variáveis!AC$43,G228)</f>
        <v>58.252610576682557</v>
      </c>
      <c r="H228" s="1">
        <f ca="1">IF(AND([1]Variáveis!$E$43=7,[1]Variáveis!$L$43=1),[1]Variáveis!AD$43,H228)</f>
        <v>58.252610576682557</v>
      </c>
      <c r="I228" s="1">
        <f ca="1">IF(AND([1]Variáveis!$E$43=7,[1]Variáveis!$L$43=1),[1]Variáveis!AE$43,I228)</f>
        <v>3.3175767914474208</v>
      </c>
      <c r="J228" s="1">
        <f ca="1">IF(AND([1]Variáveis!$E$43=7,[1]Variáveis!$L$43=1),[1]Variáveis!AF$43,J228)</f>
        <v>17.558782882390375</v>
      </c>
      <c r="K228" s="1">
        <f ca="1">IF(AND([1]Variáveis!$E$43=7,[1]Variáveis!$L$43=1),[1]Variáveis!AG$43,K228)</f>
        <v>14.453943506322227</v>
      </c>
      <c r="L228" s="1">
        <f ca="1">IF(AND([1]Variáveis!$E$43=7,[1]Variáveis!$L$43=1),[1]Variáveis!AH$43,L228)</f>
        <v>47.95206752146678</v>
      </c>
      <c r="M228" s="1">
        <f ca="1">IF(AND([1]Variáveis!$E$43=7,[1]Variáveis!$L$43=1),[1]Variáveis!AI$43,M228)</f>
        <v>66.291370807141405</v>
      </c>
      <c r="N228" s="1">
        <f ca="1">IF(AND([1]Variáveis!$E$43=7,[1]Variáveis!$L$43=1),[1]Variáveis!AJ$43,N228)</f>
        <v>0.30499999999999999</v>
      </c>
      <c r="O228" s="103">
        <f t="shared" ca="1" si="13"/>
        <v>5.0090343050546373</v>
      </c>
      <c r="P228" s="1">
        <f ca="1">IF(AND([1]Variáveis!$E$43=7,[1]Variáveis!$L$43=1),[1]Variáveis!AK$43,P228)</f>
        <v>0.65</v>
      </c>
      <c r="Q228" s="1">
        <f ca="1">IF(AND([1]Variáveis!$E$43=7,[1]Variáveis!$L$43=1),[1]Variáveis!AL$43,Q228)</f>
        <v>10.121205787471226</v>
      </c>
      <c r="R228" s="1"/>
    </row>
    <row r="229" spans="2:18">
      <c r="D229" s="1">
        <f ca="1">IF(AND([1]Variáveis!$E$43=8,[1]Variáveis!$L$43=1),[1]Variáveis!Z$43,D229)</f>
        <v>0.26842105263157895</v>
      </c>
      <c r="E229" s="1">
        <f ca="1">IF(AND([1]Variáveis!$E$43=8,[1]Variáveis!$L$43=1),[1]Variáveis!AA$43,E229)</f>
        <v>2.7777777777777781</v>
      </c>
      <c r="F229" s="1">
        <f ca="1">IF(AND([1]Variáveis!$E$43=8,[1]Variáveis!$L$43=1),[1]Variáveis!AB$43,F229)</f>
        <v>64.477508042465232</v>
      </c>
      <c r="G229" s="1">
        <f ca="1">IF(AND([1]Variáveis!$E$43=8,[1]Variáveis!$L$43=1),[1]Variáveis!AC$43,G229)</f>
        <v>58.526847533424437</v>
      </c>
      <c r="H229" s="1">
        <f ca="1">IF(AND([1]Variáveis!$E$43=8,[1]Variáveis!$L$43=1),[1]Variáveis!AD$43,H229)</f>
        <v>58.52684753342443</v>
      </c>
      <c r="I229" s="1">
        <f ca="1">IF(AND([1]Variáveis!$E$43=8,[1]Variáveis!$L$43=1),[1]Variáveis!AE$43,I229)</f>
        <v>3.241440977522057</v>
      </c>
      <c r="J229" s="1">
        <f ca="1">IF(AND([1]Variáveis!$E$43=8,[1]Variáveis!$L$43=1),[1]Variáveis!AF$43,J229)</f>
        <v>18.055811578641084</v>
      </c>
      <c r="K229" s="1">
        <f ca="1">IF(AND([1]Variáveis!$E$43=8,[1]Variáveis!$L$43=1),[1]Variáveis!AG$43,K229)</f>
        <v>14.402195271737025</v>
      </c>
      <c r="L229" s="1">
        <f ca="1">IF(AND([1]Variáveis!$E$43=8,[1]Variáveis!$L$43=1),[1]Variáveis!AH$43,L229)</f>
        <v>46.683865920082809</v>
      </c>
      <c r="M229" s="1">
        <f ca="1">IF(AND([1]Variáveis!$E$43=8,[1]Variáveis!$L$43=1),[1]Variáveis!AI$43,M229)</f>
        <v>64.477508042465232</v>
      </c>
      <c r="N229" s="1">
        <f ca="1">IF(AND([1]Variáveis!$E$43=8,[1]Variáveis!$L$43=1),[1]Variáveis!AJ$43,N229)</f>
        <v>0.30499999999999999</v>
      </c>
      <c r="O229" s="103">
        <f t="shared" ca="1" si="13"/>
        <v>4.9470007395492246</v>
      </c>
      <c r="P229" s="1">
        <f ca="1">IF(AND([1]Variáveis!$E$43=8,[1]Variáveis!$L$43=1),[1]Variáveis!AK$43,P229)</f>
        <v>0.65</v>
      </c>
      <c r="Q229" s="1">
        <f ca="1">IF(AND([1]Variáveis!$E$43=8,[1]Variáveis!$L$43=1),[1]Variáveis!AL$43,Q229)</f>
        <v>10.085148673815072</v>
      </c>
      <c r="R229" s="1"/>
    </row>
    <row r="230" spans="2:18">
      <c r="D230" s="1">
        <f ca="1">IF(AND([1]Variáveis!$E$43=9,[1]Variáveis!$L$43=1),[1]Variáveis!Z$43,D230)</f>
        <v>0.26842105263157895</v>
      </c>
      <c r="E230" s="1">
        <f ca="1">IF(AND([1]Variáveis!$E$43=9,[1]Variáveis!$L$43=1),[1]Variáveis!AA$43,E230)</f>
        <v>2.8888888888888893</v>
      </c>
      <c r="F230" s="1">
        <f ca="1">IF(AND([1]Variáveis!$E$43=9,[1]Variáveis!$L$43=1),[1]Variáveis!AB$43,F230)</f>
        <v>65.088960850776999</v>
      </c>
      <c r="G230" s="1">
        <f ca="1">IF(AND([1]Variáveis!$E$43=9,[1]Variáveis!$L$43=1),[1]Variáveis!AC$43,G230)</f>
        <v>60.544251828914405</v>
      </c>
      <c r="H230" s="1">
        <f ca="1">IF(AND([1]Variáveis!$E$43=9,[1]Variáveis!$L$43=1),[1]Variáveis!AD$43,H230)</f>
        <v>60.544251828914398</v>
      </c>
      <c r="I230" s="1">
        <f ca="1">IF(AND([1]Variáveis!$E$43=9,[1]Variáveis!$L$43=1),[1]Variáveis!AE$43,I230)</f>
        <v>3.2769294850054802</v>
      </c>
      <c r="J230" s="1">
        <f ca="1">IF(AND([1]Variáveis!$E$43=9,[1]Variáveis!$L$43=1),[1]Variáveis!AF$43,J230)</f>
        <v>18.475909263825109</v>
      </c>
      <c r="K230" s="1">
        <f ca="1">IF(AND([1]Variáveis!$E$43=9,[1]Variáveis!$L$43=1),[1]Variáveis!AG$43,K230)</f>
        <v>14.363723092954052</v>
      </c>
      <c r="L230" s="1">
        <f ca="1">IF(AND([1]Variáveis!$E$43=9,[1]Variáveis!$L$43=1),[1]Variáveis!AH$43,L230)</f>
        <v>47.068907717755245</v>
      </c>
      <c r="M230" s="1">
        <f ca="1">IF(AND([1]Variáveis!$E$43=9,[1]Variáveis!$L$43=1),[1]Variáveis!AI$43,M230)</f>
        <v>65.088960850776999</v>
      </c>
      <c r="N230" s="1">
        <f ca="1">IF(AND([1]Variáveis!$E$43=9,[1]Variáveis!$L$43=1),[1]Variáveis!AJ$43,N230)</f>
        <v>0.30499999999999999</v>
      </c>
      <c r="O230" s="103">
        <f t="shared" ca="1" si="13"/>
        <v>4.9612811900882088</v>
      </c>
      <c r="P230" s="1">
        <f ca="1">IF(AND([1]Variáveis!$E$43=9,[1]Variáveis!$L$43=1),[1]Variáveis!AK$43,P230)</f>
        <v>0.65</v>
      </c>
      <c r="Q230" s="1">
        <f ca="1">IF(AND([1]Variáveis!$E$43=9,[1]Variáveis!$L$43=1),[1]Variáveis!AL$43,Q230)</f>
        <v>10.058298675694186</v>
      </c>
      <c r="R230" s="1"/>
    </row>
    <row r="231" spans="2:18">
      <c r="D231" s="1">
        <f ca="1">IF(AND([1]Variáveis!$E$43=10,[1]Variáveis!$L$43=1),[1]Variáveis!Z$43,D231)</f>
        <v>0.26052631578947366</v>
      </c>
      <c r="E231" s="1">
        <f ca="1">IF(AND([1]Variáveis!$E$43=10,[1]Variáveis!$L$43=1),[1]Variáveis!AA$43,E231)</f>
        <v>3</v>
      </c>
      <c r="F231" s="1">
        <f ca="1">IF(AND([1]Variáveis!$E$43=10,[1]Variáveis!$L$43=1),[1]Variáveis!AB$43,F231)</f>
        <v>63.657135914674988</v>
      </c>
      <c r="G231" s="1">
        <f ca="1">IF(AND([1]Variáveis!$E$43=10,[1]Variáveis!$L$43=1),[1]Variáveis!AC$43,G231)</f>
        <v>60.822276736526689</v>
      </c>
      <c r="H231" s="1">
        <f ca="1">IF(AND([1]Variáveis!$E$43=10,[1]Variáveis!$L$43=1),[1]Variáveis!AD$43,H231)</f>
        <v>60.822276736526689</v>
      </c>
      <c r="I231" s="1">
        <f ca="1">IF(AND([1]Variáveis!$E$43=10,[1]Variáveis!$L$43=1),[1]Variáveis!AE$43,I231)</f>
        <v>3.2132853593374131</v>
      </c>
      <c r="J231" s="1">
        <f ca="1">IF(AND([1]Variáveis!$E$43=10,[1]Variáveis!$L$43=1),[1]Variáveis!AF$43,J231)</f>
        <v>18.928377014442436</v>
      </c>
      <c r="K231" s="1">
        <f ca="1">IF(AND([1]Variáveis!$E$43=10,[1]Variáveis!$L$43=1),[1]Variáveis!AG$43,K231)</f>
        <v>14.339801157861276</v>
      </c>
      <c r="L231" s="1">
        <f ca="1">IF(AND([1]Variáveis!$E$43=10,[1]Variáveis!$L$43=1),[1]Variáveis!AH$43,L231)</f>
        <v>46.077873116365325</v>
      </c>
      <c r="M231" s="1">
        <f ca="1">IF(AND([1]Variáveis!$E$43=10,[1]Variáveis!$L$43=1),[1]Variáveis!AI$43,M231)</f>
        <v>63.657135914674988</v>
      </c>
      <c r="N231" s="1">
        <f ca="1">IF(AND([1]Variáveis!$E$43=10,[1]Variáveis!$L$43=1),[1]Variáveis!AJ$43,N231)</f>
        <v>0.30499999999999999</v>
      </c>
      <c r="O231" s="103">
        <f t="shared" ca="1" si="13"/>
        <v>4.913506580028467</v>
      </c>
      <c r="P231" s="1">
        <f ca="1">IF(AND([1]Variáveis!$E$43=10,[1]Variáveis!$L$43=1),[1]Variáveis!AK$43,P231)</f>
        <v>0.65</v>
      </c>
      <c r="Q231" s="1">
        <f ca="1">IF(AND([1]Variáveis!$E$43=10,[1]Variáveis!$L$43=1),[1]Variáveis!AL$43,Q231)</f>
        <v>10.041687135993426</v>
      </c>
      <c r="R231" s="1"/>
    </row>
    <row r="232" spans="2:18">
      <c r="B232" s="100" t="s">
        <v>603</v>
      </c>
      <c r="C232" s="100"/>
      <c r="D232" s="100" t="s">
        <v>611</v>
      </c>
      <c r="E232" s="103"/>
      <c r="F232" s="103"/>
      <c r="G232" s="1"/>
      <c r="H232" s="100" t="s">
        <v>605</v>
      </c>
      <c r="I232" s="100">
        <f>I221</f>
        <v>10</v>
      </c>
      <c r="J232" s="100" t="s">
        <v>606</v>
      </c>
      <c r="K232" s="100">
        <v>1</v>
      </c>
      <c r="L232" s="103"/>
      <c r="M232" s="103"/>
      <c r="N232" s="100"/>
      <c r="O232" s="103"/>
      <c r="P232" s="100"/>
    </row>
    <row r="233" spans="2:18">
      <c r="C233" s="100"/>
      <c r="D233" s="1">
        <f ca="1">IF(AND([1]Variáveis!$E$43=1,[1]Variáveis!$L$43=1),[1]Variáveis!Z$44,D233)</f>
        <v>0.28421052631578952</v>
      </c>
      <c r="E233" s="1">
        <f ca="1">IF(AND([1]Variáveis!$E$43=1,[1]Variáveis!$L$43=1),[1]Variáveis!AA$44,E233)</f>
        <v>2</v>
      </c>
      <c r="F233" s="1">
        <f ca="1">IF(AND([1]Variáveis!$E$43=1,[1]Variáveis!$L$43=1),[1]Variáveis!AB$44,F233)</f>
        <v>72.366082115107801</v>
      </c>
      <c r="G233" s="1">
        <f ca="1">IF(AND([1]Variáveis!$E$43=1,[1]Variáveis!$L$43=1),[1]Variáveis!AC$44,G233)</f>
        <v>50.099124806018018</v>
      </c>
      <c r="H233" s="1">
        <f ca="1">IF(AND([1]Variáveis!$E$43=1,[1]Variáveis!$L$43=1),[1]Variáveis!AD$44,H233)</f>
        <v>50.099124806018018</v>
      </c>
      <c r="I233" s="1">
        <f ca="1">IF(AND([1]Variáveis!$E$43=1,[1]Variáveis!$L$43=1),[1]Variáveis!AE$44,I233)</f>
        <v>3.4492051493651426</v>
      </c>
      <c r="J233" s="1">
        <f ca="1">IF(AND([1]Variáveis!$E$43=1,[1]Variáveis!$L$43=1),[1]Variáveis!AF$44,J233)</f>
        <v>14.524831848647569</v>
      </c>
      <c r="K233" s="1">
        <f ca="1">IF(AND([1]Variáveis!$E$43=1,[1]Variáveis!$L$43=1),[1]Variáveis!AG$44,K233)</f>
        <v>15.263263243585156</v>
      </c>
      <c r="L233" s="1">
        <f ca="1">IF(AND([1]Variáveis!$E$43=1,[1]Variáveis!$L$43=1),[1]Variáveis!AH$44,L233)</f>
        <v>52.646126175889627</v>
      </c>
      <c r="M233" s="1">
        <f ca="1">IF(AND([1]Variáveis!$E$43=1,[1]Variáveis!$L$43=1),[1]Variáveis!AI$44,M233)</f>
        <v>72.366082115107801</v>
      </c>
      <c r="N233" s="1">
        <f ca="1">IF(AND([1]Variáveis!$E$43=1,[1]Variáveis!$L$43=1),[1]Variáveis!AJ$44,N233)</f>
        <v>0.30499999999999999</v>
      </c>
      <c r="O233" s="103">
        <f t="shared" ca="1" si="13"/>
        <v>5.2785491507427587</v>
      </c>
      <c r="P233" s="1">
        <f ca="1">IF(AND([1]Variáveis!$E$43=1,[1]Variáveis!$L$43=1),[1]Variáveis!AK$44,P233)</f>
        <v>0.65</v>
      </c>
      <c r="Q233" s="1">
        <f ca="1">IF(AND([1]Variáveis!$E$43=1,[1]Variáveis!$L$43=1),[1]Variáveis!AL$44,Q233)</f>
        <v>10.686654487554229</v>
      </c>
      <c r="R233" s="1"/>
    </row>
    <row r="234" spans="2:18">
      <c r="D234" s="1">
        <f ca="1">IF(AND([1]Variáveis!$E$43=2,[1]Variáveis!$L$43=1),[1]Variáveis!Z$44,D234)</f>
        <v>0.27631578947368424</v>
      </c>
      <c r="E234" s="1">
        <f ca="1">IF(AND([1]Variáveis!$E$43=2,[1]Variáveis!$L$43=1),[1]Variáveis!AA$44,E234)</f>
        <v>2.1111111111111112</v>
      </c>
      <c r="F234" s="1">
        <f ca="1">IF(AND([1]Variáveis!$E$43=2,[1]Variáveis!$L$43=1),[1]Variáveis!AB$44,F234)</f>
        <v>68.364558369158672</v>
      </c>
      <c r="G234" s="1">
        <f ca="1">IF(AND([1]Variáveis!$E$43=2,[1]Variáveis!$L$43=1),[1]Variáveis!AC$44,G234)</f>
        <v>50.039050109544505</v>
      </c>
      <c r="H234" s="1">
        <f ca="1">IF(AND([1]Variáveis!$E$43=2,[1]Variáveis!$L$43=1),[1]Variáveis!AD$44,H234)</f>
        <v>50.039050109544505</v>
      </c>
      <c r="I234" s="1">
        <f ca="1">IF(AND([1]Variáveis!$E$43=2,[1]Variáveis!$L$43=1),[1]Variáveis!AE$44,I234)</f>
        <v>3.3055725737772228</v>
      </c>
      <c r="J234" s="1">
        <f ca="1">IF(AND([1]Variáveis!$E$43=2,[1]Variáveis!$L$43=1),[1]Variáveis!AF$44,J234)</f>
        <v>15.137785963768968</v>
      </c>
      <c r="K234" s="1">
        <f ca="1">IF(AND([1]Variáveis!$E$43=2,[1]Variáveis!$L$43=1),[1]Variáveis!AG$44,K234)</f>
        <v>15.05729395939105</v>
      </c>
      <c r="L234" s="1">
        <f ca="1">IF(AND([1]Variáveis!$E$43=2,[1]Variáveis!$L$43=1),[1]Variáveis!AH$44,L234)</f>
        <v>49.772977947464504</v>
      </c>
      <c r="M234" s="1">
        <f ca="1">IF(AND([1]Variáveis!$E$43=2,[1]Variáveis!$L$43=1),[1]Variáveis!AI$44,M234)</f>
        <v>68.364558369158672</v>
      </c>
      <c r="N234" s="1">
        <f ca="1">IF(AND([1]Variáveis!$E$43=2,[1]Variáveis!$L$43=1),[1]Variáveis!AJ$44,N234)</f>
        <v>0.30499999999999999</v>
      </c>
      <c r="O234" s="103">
        <f t="shared" ca="1" si="13"/>
        <v>5.1364069602484879</v>
      </c>
      <c r="P234" s="1">
        <f ca="1">IF(AND([1]Variáveis!$E$43=2,[1]Variáveis!$L$43=1),[1]Variáveis!AK$44,P234)</f>
        <v>0.65</v>
      </c>
      <c r="Q234" s="1">
        <f ca="1">IF(AND([1]Variáveis!$E$43=2,[1]Variáveis!$L$43=1),[1]Variáveis!AL$44,Q234)</f>
        <v>10.542847085549022</v>
      </c>
      <c r="R234" s="1"/>
    </row>
    <row r="235" spans="2:18">
      <c r="D235" s="1">
        <f ca="1">IF(AND([1]Variáveis!$E$43=3,[1]Variáveis!$L$43=1),[1]Variáveis!Z$44,D235)</f>
        <v>0.26842105263157895</v>
      </c>
      <c r="E235" s="1">
        <f ca="1">IF(AND([1]Variáveis!$E$43=3,[1]Variáveis!$L$43=1),[1]Variáveis!AA$44,E235)</f>
        <v>2.2222222222222223</v>
      </c>
      <c r="F235" s="1">
        <f ca="1">IF(AND([1]Variáveis!$E$43=3,[1]Variáveis!$L$43=1),[1]Variáveis!AB$44,F235)</f>
        <v>65.179297291572524</v>
      </c>
      <c r="G235" s="1">
        <f ca="1">IF(AND([1]Variáveis!$E$43=3,[1]Variáveis!$L$43=1),[1]Variáveis!AC$44,G235)</f>
        <v>50.112959658665687</v>
      </c>
      <c r="H235" s="1">
        <f ca="1">IF(AND([1]Variáveis!$E$43=3,[1]Variáveis!$L$43=1),[1]Variáveis!AD$44,H235)</f>
        <v>50.112959658665694</v>
      </c>
      <c r="I235" s="1">
        <f ca="1">IF(AND([1]Variáveis!$E$43=3,[1]Variáveis!$L$43=1),[1]Variáveis!AE$44,I235)</f>
        <v>3.1871403438639314</v>
      </c>
      <c r="J235" s="1">
        <f ca="1">IF(AND([1]Variáveis!$E$43=3,[1]Variáveis!$L$43=1),[1]Variáveis!AF$44,J235)</f>
        <v>15.723486966975297</v>
      </c>
      <c r="K235" s="1">
        <f ca="1">IF(AND([1]Variáveis!$E$43=3,[1]Variáveis!$L$43=1),[1]Variáveis!AG$44,K235)</f>
        <v>14.900812958254297</v>
      </c>
      <c r="L235" s="1">
        <f ca="1">IF(AND([1]Variáveis!$E$43=3,[1]Variáveis!$L$43=1),[1]Variáveis!AH$44,L235)</f>
        <v>47.49098213562273</v>
      </c>
      <c r="M235" s="1">
        <f ca="1">IF(AND([1]Variáveis!$E$43=3,[1]Variáveis!$L$43=1),[1]Variáveis!AI$44,M235)</f>
        <v>65.179297291572524</v>
      </c>
      <c r="N235" s="1">
        <f ca="1">IF(AND([1]Variáveis!$E$43=3,[1]Variáveis!$L$43=1),[1]Variáveis!AJ$44,N235)</f>
        <v>0.30499999999999999</v>
      </c>
      <c r="O235" s="103">
        <f t="shared" ca="1" si="13"/>
        <v>5.0211945951390122</v>
      </c>
      <c r="P235" s="1">
        <f ca="1">IF(AND([1]Variáveis!$E$43=3,[1]Variáveis!$L$43=1),[1]Variáveis!AK$44,P235)</f>
        <v>0.65</v>
      </c>
      <c r="Q235" s="1">
        <f ca="1">IF(AND([1]Variáveis!$E$43=3,[1]Variáveis!$L$43=1),[1]Variáveis!AL$44,Q235)</f>
        <v>10.433614148227488</v>
      </c>
      <c r="R235" s="1"/>
    </row>
    <row r="236" spans="2:18">
      <c r="D236" s="1">
        <f ca="1">IF(AND([1]Variáveis!$E$43=4,[1]Variáveis!$L$43=1),[1]Variáveis!Z$44,D236)</f>
        <v>0.26052631578947366</v>
      </c>
      <c r="E236" s="1">
        <f ca="1">IF(AND([1]Variáveis!$E$43=4,[1]Variáveis!$L$43=1),[1]Variáveis!AA$44,E236)</f>
        <v>2.3333333333333335</v>
      </c>
      <c r="F236" s="1">
        <f ca="1">IF(AND([1]Variáveis!$E$43=4,[1]Variáveis!$L$43=1),[1]Variáveis!AB$44,F236)</f>
        <v>62.601549157528467</v>
      </c>
      <c r="G236" s="1">
        <f ca="1">IF(AND([1]Variáveis!$E$43=4,[1]Variáveis!$L$43=1),[1]Variáveis!AC$44,G236)</f>
        <v>50.271557389396584</v>
      </c>
      <c r="H236" s="1">
        <f ca="1">IF(AND([1]Variáveis!$E$43=4,[1]Variáveis!$L$43=1),[1]Variáveis!AD$44,H236)</f>
        <v>50.271557389396577</v>
      </c>
      <c r="I236" s="1">
        <f ca="1">IF(AND([1]Variáveis!$E$43=4,[1]Variáveis!$L$43=1),[1]Variáveis!AE$44,I236)</f>
        <v>3.087864213231978</v>
      </c>
      <c r="J236" s="1">
        <f ca="1">IF(AND([1]Variáveis!$E$43=4,[1]Variáveis!$L$43=1),[1]Variáveis!AF$44,J236)</f>
        <v>16.280365300383075</v>
      </c>
      <c r="K236" s="1">
        <f ca="1">IF(AND([1]Variáveis!$E$43=4,[1]Variáveis!$L$43=1),[1]Variáveis!AG$44,K236)</f>
        <v>14.783332431453612</v>
      </c>
      <c r="L236" s="1">
        <f ca="1">IF(AND([1]Variáveis!$E$43=4,[1]Variáveis!$L$43=1),[1]Variáveis!AH$44,L236)</f>
        <v>45.648923167397292</v>
      </c>
      <c r="M236" s="1">
        <f ca="1">IF(AND([1]Variáveis!$E$43=4,[1]Variáveis!$L$43=1),[1]Variáveis!AI$44,M236)</f>
        <v>62.601549157528467</v>
      </c>
      <c r="N236" s="1">
        <f ca="1">IF(AND([1]Variáveis!$E$43=4,[1]Variáveis!$L$43=1),[1]Variáveis!AJ$44,N236)</f>
        <v>0.30499999999999999</v>
      </c>
      <c r="O236" s="103">
        <f t="shared" ca="1" si="13"/>
        <v>4.9267522694230212</v>
      </c>
      <c r="P236" s="1">
        <f ca="1">IF(AND([1]Variáveis!$E$43=4,[1]Variáveis!$L$43=1),[1]Variáveis!AK$44,P236)</f>
        <v>0.65</v>
      </c>
      <c r="Q236" s="1">
        <f ca="1">IF(AND([1]Variáveis!$E$43=4,[1]Variáveis!$L$43=1),[1]Variáveis!AL$44,Q236)</f>
        <v>10.351630326753623</v>
      </c>
      <c r="R236" s="1"/>
    </row>
    <row r="237" spans="2:18">
      <c r="D237" s="1">
        <f ca="1">IF(AND([1]Variáveis!$E$43=5,[1]Variáveis!$L$43=1),[1]Variáveis!Z$44,D237)</f>
        <v>0.25263157894736837</v>
      </c>
      <c r="E237" s="1">
        <f ca="1">IF(AND([1]Variáveis!$E$43=5,[1]Variáveis!$L$43=1),[1]Variáveis!AA$44,E237)</f>
        <v>2.4444444444444446</v>
      </c>
      <c r="F237" s="1">
        <f ca="1">IF(AND([1]Variáveis!$E$43=5,[1]Variáveis!$L$43=1),[1]Variáveis!AB$44,F237)</f>
        <v>60.492640063040703</v>
      </c>
      <c r="G237" s="1">
        <f ca="1">IF(AND([1]Variáveis!$E$43=5,[1]Variáveis!$L$43=1),[1]Variáveis!AC$44,G237)</f>
        <v>50.48157309822691</v>
      </c>
      <c r="H237" s="1">
        <f ca="1">IF(AND([1]Variáveis!$E$43=5,[1]Variáveis!$L$43=1),[1]Variáveis!AD$44,H237)</f>
        <v>50.48157309822691</v>
      </c>
      <c r="I237" s="1">
        <f ca="1">IF(AND([1]Variáveis!$E$43=5,[1]Variáveis!$L$43=1),[1]Variáveis!AE$44,I237)</f>
        <v>3.0036352720792268</v>
      </c>
      <c r="J237" s="1">
        <f ca="1">IF(AND([1]Variáveis!$E$43=5,[1]Variáveis!$L$43=1),[1]Variáveis!AF$44,J237)</f>
        <v>16.806825238565569</v>
      </c>
      <c r="K237" s="1">
        <f ca="1">IF(AND([1]Variáveis!$E$43=5,[1]Variáveis!$L$43=1),[1]Variáveis!AG$44,K237)</f>
        <v>14.697656849664892</v>
      </c>
      <c r="L237" s="1">
        <f ca="1">IF(AND([1]Variáveis!$E$43=5,[1]Variáveis!$L$43=1),[1]Variáveis!AH$44,L237)</f>
        <v>44.146400530570318</v>
      </c>
      <c r="M237" s="1">
        <f ca="1">IF(AND([1]Variáveis!$E$43=5,[1]Variáveis!$L$43=1),[1]Variáveis!AI$44,M237)</f>
        <v>60.492640063040703</v>
      </c>
      <c r="N237" s="1">
        <f ca="1">IF(AND([1]Variáveis!$E$43=5,[1]Variáveis!$L$43=1),[1]Variáveis!AJ$44,N237)</f>
        <v>0.30499999999999999</v>
      </c>
      <c r="O237" s="103">
        <f t="shared" ca="1" si="13"/>
        <v>4.8488685424858859</v>
      </c>
      <c r="P237" s="1">
        <f ca="1">IF(AND([1]Variáveis!$E$43=5,[1]Variáveis!$L$43=1),[1]Variáveis!AK$44,P237)</f>
        <v>0.65</v>
      </c>
      <c r="Q237" s="1">
        <f ca="1">IF(AND([1]Variáveis!$E$43=5,[1]Variáveis!$L$43=1),[1]Variáveis!AL$44,Q237)</f>
        <v>10.291870479202119</v>
      </c>
      <c r="R237" s="1"/>
    </row>
    <row r="238" spans="2:18">
      <c r="D238" s="1">
        <f ca="1">IF(AND([1]Variáveis!$E$43=6,[1]Variáveis!$L$43=1),[1]Variáveis!Z$44,D238)</f>
        <v>0.23684210526315785</v>
      </c>
      <c r="E238" s="1">
        <f ca="1">IF(AND([1]Variáveis!$E$43=6,[1]Variáveis!$L$43=1),[1]Variáveis!AA$44,E238)</f>
        <v>2.5555555555555558</v>
      </c>
      <c r="F238" s="1">
        <f ca="1">IF(AND([1]Variáveis!$E$43=6,[1]Variáveis!$L$43=1),[1]Variáveis!AB$44,F238)</f>
        <v>57.404629908691412</v>
      </c>
      <c r="G238" s="1">
        <f ca="1">IF(AND([1]Variáveis!$E$43=6,[1]Variáveis!$L$43=1),[1]Variáveis!AC$44,G238)</f>
        <v>49.49860711491371</v>
      </c>
      <c r="H238" s="1">
        <f ca="1">IF(AND([1]Variáveis!$E$43=6,[1]Variáveis!$L$43=1),[1]Variáveis!AD$44,H238)</f>
        <v>49.49860711491371</v>
      </c>
      <c r="I238" s="1">
        <f ca="1">IF(AND([1]Variáveis!$E$43=6,[1]Variáveis!$L$43=1),[1]Variáveis!AE$44,I238)</f>
        <v>2.8577560737893357</v>
      </c>
      <c r="J238" s="1">
        <f ca="1">IF(AND([1]Variáveis!$E$43=6,[1]Variáveis!$L$43=1),[1]Variáveis!AF$44,J238)</f>
        <v>17.320795000281255</v>
      </c>
      <c r="K238" s="1">
        <f ca="1">IF(AND([1]Variáveis!$E$43=6,[1]Variáveis!$L$43=1),[1]Variáveis!AG$44,K238)</f>
        <v>14.700374467891619</v>
      </c>
      <c r="L238" s="1">
        <f ca="1">IF(AND([1]Variáveis!$E$43=6,[1]Variáveis!$L$43=1),[1]Variáveis!AH$44,L238)</f>
        <v>42.01008442259495</v>
      </c>
      <c r="M238" s="1">
        <f ca="1">IF(AND([1]Variáveis!$E$43=6,[1]Variáveis!$L$43=1),[1]Variáveis!AI$44,M238)</f>
        <v>57.404629908691412</v>
      </c>
      <c r="N238" s="1">
        <f ca="1">IF(AND([1]Variáveis!$E$43=6,[1]Variáveis!$L$43=1),[1]Variáveis!AJ$44,N238)</f>
        <v>0.30499999999999999</v>
      </c>
      <c r="O238" s="103">
        <f t="shared" ca="1" si="13"/>
        <v>4.743330763431211</v>
      </c>
      <c r="P238" s="1">
        <f ca="1">IF(AND([1]Variáveis!$E$43=6,[1]Variáveis!$L$43=1),[1]Variáveis!AK$44,P238)</f>
        <v>0.65</v>
      </c>
      <c r="Q238" s="1">
        <f ca="1">IF(AND([1]Variáveis!$E$43=6,[1]Variáveis!$L$43=1),[1]Variáveis!AL$44,Q238)</f>
        <v>10.294046967021886</v>
      </c>
      <c r="R238" s="1"/>
    </row>
    <row r="239" spans="2:18">
      <c r="D239" s="1">
        <f ca="1">IF(AND([1]Variáveis!$E$43=7,[1]Variáveis!$L$43=1),[1]Variáveis!Z$44,D239)</f>
        <v>0.22894736842105259</v>
      </c>
      <c r="E239" s="1">
        <f ca="1">IF(AND([1]Variáveis!$E$43=7,[1]Variáveis!$L$43=1),[1]Variáveis!AA$44,E239)</f>
        <v>2.666666666666667</v>
      </c>
      <c r="F239" s="1">
        <f ca="1">IF(AND([1]Variáveis!$E$43=7,[1]Variáveis!$L$43=1),[1]Variáveis!AB$44,F239)</f>
        <v>56.086828231393902</v>
      </c>
      <c r="G239" s="1">
        <f ca="1">IF(AND([1]Variáveis!$E$43=7,[1]Variáveis!$L$43=1),[1]Variáveis!AC$44,G239)</f>
        <v>49.737375010373526</v>
      </c>
      <c r="H239" s="1">
        <f ca="1">IF(AND([1]Variáveis!$E$43=7,[1]Variáveis!$L$43=1),[1]Variáveis!AD$44,H239)</f>
        <v>49.737375010373533</v>
      </c>
      <c r="I239" s="1">
        <f ca="1">IF(AND([1]Variáveis!$E$43=7,[1]Variáveis!$L$43=1),[1]Variáveis!AE$44,I239)</f>
        <v>2.7997535378882383</v>
      </c>
      <c r="J239" s="1">
        <f ca="1">IF(AND([1]Variáveis!$E$43=7,[1]Variáveis!$L$43=1),[1]Variáveis!AF$44,J239)</f>
        <v>17.76491192431488</v>
      </c>
      <c r="K239" s="1">
        <f ca="1">IF(AND([1]Variáveis!$E$43=7,[1]Variáveis!$L$43=1),[1]Variáveis!AG$44,K239)</f>
        <v>14.671905054923158</v>
      </c>
      <c r="L239" s="1">
        <f ca="1">IF(AND([1]Variáveis!$E$43=7,[1]Variáveis!$L$43=1),[1]Variáveis!AH$44,L239)</f>
        <v>41.077718085081443</v>
      </c>
      <c r="M239" s="1">
        <f ca="1">IF(AND([1]Variáveis!$E$43=7,[1]Variáveis!$L$43=1),[1]Variáveis!AI$44,M239)</f>
        <v>56.086828231393902</v>
      </c>
      <c r="N239" s="1">
        <f ca="1">IF(AND([1]Variáveis!$E$43=7,[1]Variáveis!$L$43=1),[1]Variáveis!AJ$44,N239)</f>
        <v>0.30499999999999999</v>
      </c>
      <c r="O239" s="103">
        <f t="shared" ca="1" si="13"/>
        <v>4.6940594342003505</v>
      </c>
      <c r="P239" s="1">
        <f ca="1">IF(AND([1]Variáveis!$E$43=7,[1]Variáveis!$L$43=1),[1]Variáveis!AK$44,P239)</f>
        <v>0.65</v>
      </c>
      <c r="Q239" s="1">
        <f ca="1">IF(AND([1]Variáveis!$E$43=7,[1]Variáveis!$L$43=1),[1]Variáveis!AL$44,Q239)</f>
        <v>10.274270895102715</v>
      </c>
      <c r="R239" s="1"/>
    </row>
    <row r="240" spans="2:18">
      <c r="D240" s="1">
        <f ca="1">IF(AND([1]Variáveis!$E$43=8,[1]Variáveis!$L$43=1),[1]Variáveis!Z$44,D240)</f>
        <v>0.22105263157894733</v>
      </c>
      <c r="E240" s="1">
        <f ca="1">IF(AND([1]Variáveis!$E$43=8,[1]Variáveis!$L$43=1),[1]Variáveis!AA$44,E240)</f>
        <v>2.7777777777777781</v>
      </c>
      <c r="F240" s="1">
        <f ca="1">IF(AND([1]Variáveis!$E$43=8,[1]Variáveis!$L$43=1),[1]Variáveis!AB$44,F240)</f>
        <v>55.018150059277282</v>
      </c>
      <c r="G240" s="1">
        <f ca="1">IF(AND([1]Variáveis!$E$43=8,[1]Variáveis!$L$43=1),[1]Variáveis!AC$44,G240)</f>
        <v>49.971721322394714</v>
      </c>
      <c r="H240" s="1">
        <f ca="1">IF(AND([1]Variáveis!$E$43=8,[1]Variáveis!$L$43=1),[1]Variáveis!AD$44,H240)</f>
        <v>49.971721322394707</v>
      </c>
      <c r="I240" s="1">
        <f ca="1">IF(AND([1]Variáveis!$E$43=8,[1]Variáveis!$L$43=1),[1]Variáveis!AE$44,I240)</f>
        <v>2.7500037895111635</v>
      </c>
      <c r="J240" s="1">
        <f ca="1">IF(AND([1]Variáveis!$E$43=8,[1]Variáveis!$L$43=1),[1]Variáveis!AF$44,J240)</f>
        <v>18.17150998591082</v>
      </c>
      <c r="K240" s="1">
        <f ca="1">IF(AND([1]Variáveis!$E$43=8,[1]Variáveis!$L$43=1),[1]Variáveis!AG$44,K240)</f>
        <v>14.66415501514974</v>
      </c>
      <c r="L240" s="1">
        <f ca="1">IF(AND([1]Variáveis!$E$43=8,[1]Variáveis!$L$43=1),[1]Variáveis!AH$44,L240)</f>
        <v>40.326481861640922</v>
      </c>
      <c r="M240" s="1">
        <f ca="1">IF(AND([1]Variáveis!$E$43=8,[1]Variáveis!$L$43=1),[1]Variáveis!AI$44,M240)</f>
        <v>55.018150059277282</v>
      </c>
      <c r="N240" s="1">
        <f ca="1">IF(AND([1]Variáveis!$E$43=8,[1]Variáveis!$L$43=1),[1]Variáveis!AJ$44,N240)</f>
        <v>0.30499999999999999</v>
      </c>
      <c r="O240" s="103">
        <f t="shared" ca="1" si="13"/>
        <v>4.6545694992022835</v>
      </c>
      <c r="P240" s="1">
        <f ca="1">IF(AND([1]Variáveis!$E$43=8,[1]Variáveis!$L$43=1),[1]Variáveis!AK$44,P240)</f>
        <v>0.65</v>
      </c>
      <c r="Q240" s="1">
        <f ca="1">IF(AND([1]Variáveis!$E$43=8,[1]Variáveis!$L$43=1),[1]Variáveis!AL$44,Q240)</f>
        <v>10.268980671061929</v>
      </c>
      <c r="R240" s="1"/>
    </row>
    <row r="241" spans="4:18">
      <c r="D241" s="1">
        <f ca="1">IF(AND([1]Variáveis!$E$43=9,[1]Variáveis!$L$43=1),[1]Variáveis!Z$44,D241)</f>
        <v>0.21315789473684207</v>
      </c>
      <c r="E241" s="1">
        <f ca="1">IF(AND([1]Variáveis!$E$43=9,[1]Variáveis!$L$43=1),[1]Variáveis!AA$44,E241)</f>
        <v>2.8888888888888893</v>
      </c>
      <c r="F241" s="1">
        <f ca="1">IF(AND([1]Variáveis!$E$43=9,[1]Variáveis!$L$43=1),[1]Variáveis!AB$44,F241)</f>
        <v>54.166456761013485</v>
      </c>
      <c r="G241" s="1">
        <f ca="1">IF(AND([1]Variáveis!$E$43=9,[1]Variáveis!$L$43=1),[1]Variáveis!AC$44,G241)</f>
        <v>50.192742759270743</v>
      </c>
      <c r="H241" s="1">
        <f ca="1">IF(AND([1]Variáveis!$E$43=9,[1]Variáveis!$L$43=1),[1]Variáveis!AD$44,H241)</f>
        <v>50.192742759270743</v>
      </c>
      <c r="I241" s="1">
        <f ca="1">IF(AND([1]Variáveis!$E$43=9,[1]Variáveis!$L$43=1),[1]Variáveis!AE$44,I241)</f>
        <v>2.7074621047155367</v>
      </c>
      <c r="J241" s="1">
        <f ca="1">IF(AND([1]Variáveis!$E$43=9,[1]Variáveis!$L$43=1),[1]Variáveis!AF$44,J241)</f>
        <v>18.538668619535237</v>
      </c>
      <c r="K241" s="1">
        <f ca="1">IF(AND([1]Variáveis!$E$43=9,[1]Variáveis!$L$43=1),[1]Variáveis!AG$44,K241)</f>
        <v>14.675430029158761</v>
      </c>
      <c r="L241" s="1">
        <f ca="1">IF(AND([1]Variáveis!$E$43=9,[1]Variáveis!$L$43=1),[1]Variáveis!AH$44,L241)</f>
        <v>39.733170674351769</v>
      </c>
      <c r="M241" s="1">
        <f ca="1">IF(AND([1]Variáveis!$E$43=9,[1]Variáveis!$L$43=1),[1]Variáveis!AI$44,M241)</f>
        <v>54.166456761013485</v>
      </c>
      <c r="N241" s="1">
        <f ca="1">IF(AND([1]Variáveis!$E$43=9,[1]Variáveis!$L$43=1),[1]Variáveis!AJ$44,N241)</f>
        <v>0.30499999999999999</v>
      </c>
      <c r="O241" s="103">
        <f t="shared" ca="1" si="13"/>
        <v>4.6238038956931682</v>
      </c>
      <c r="P241" s="1">
        <f ca="1">IF(AND([1]Variáveis!$E$43=9,[1]Variáveis!$L$43=1),[1]Variáveis!AK$44,P241)</f>
        <v>0.65</v>
      </c>
      <c r="Q241" s="1">
        <f ca="1">IF(AND([1]Variáveis!$E$43=9,[1]Variáveis!$L$43=1),[1]Variáveis!AL$44,Q241)</f>
        <v>10.276994159880967</v>
      </c>
      <c r="R241" s="1"/>
    </row>
    <row r="242" spans="4:18">
      <c r="D242" s="1">
        <f ca="1">IF(AND([1]Variáveis!$E$43=10,[1]Variáveis!$L$43=1),[1]Variáveis!Z$44,D242)</f>
        <v>0.20526315789473681</v>
      </c>
      <c r="E242" s="1">
        <f ca="1">IF(AND([1]Variáveis!$E$43=10,[1]Variáveis!$L$43=1),[1]Variáveis!AA$44,E242)</f>
        <v>3</v>
      </c>
      <c r="F242" s="1">
        <f ca="1">IF(AND([1]Variáveis!$E$43=10,[1]Variáveis!$L$43=1),[1]Variáveis!AB$44,F242)</f>
        <v>53.50902762232608</v>
      </c>
      <c r="G242" s="1">
        <f ca="1">IF(AND([1]Variáveis!$E$43=10,[1]Variáveis!$L$43=1),[1]Variáveis!AC$44,G242)</f>
        <v>50.393660665178245</v>
      </c>
      <c r="H242" s="1">
        <f ca="1">IF(AND([1]Variáveis!$E$43=10,[1]Variáveis!$L$43=1),[1]Variáveis!AD$44,H242)</f>
        <v>50.393660665178245</v>
      </c>
      <c r="I242" s="1">
        <f ca="1">IF(AND([1]Variáveis!$E$43=10,[1]Variáveis!$L$43=1),[1]Variáveis!AE$44,I242)</f>
        <v>2.6713654735997494</v>
      </c>
      <c r="J242" s="1">
        <f ca="1">IF(AND([1]Variáveis!$E$43=10,[1]Variáveis!$L$43=1),[1]Variáveis!AF$44,J242)</f>
        <v>18.864382714833546</v>
      </c>
      <c r="K242" s="1">
        <f ca="1">IF(AND([1]Variáveis!$E$43=10,[1]Variáveis!$L$43=1),[1]Variáveis!AG$44,K242)</f>
        <v>14.704627451671238</v>
      </c>
      <c r="L242" s="1">
        <f ca="1">IF(AND([1]Variáveis!$E$43=10,[1]Variáveis!$L$43=1),[1]Variáveis!AH$44,L242)</f>
        <v>39.281434076541615</v>
      </c>
      <c r="M242" s="1">
        <f ca="1">IF(AND([1]Variáveis!$E$43=10,[1]Variáveis!$L$43=1),[1]Variáveis!AI$44,M242)</f>
        <v>53.50902762232608</v>
      </c>
      <c r="N242" s="1">
        <f ca="1">IF(AND([1]Variáveis!$E$43=10,[1]Variáveis!$L$43=1),[1]Variáveis!AJ$44,N242)</f>
        <v>0.30499999999999999</v>
      </c>
      <c r="O242" s="103">
        <f t="shared" ca="1" si="13"/>
        <v>4.6010181114152733</v>
      </c>
      <c r="P242" s="1">
        <f ca="1">IF(AND([1]Variáveis!$E$43=10,[1]Variáveis!$L$43=1),[1]Variáveis!AK$44,P242)</f>
        <v>0.65</v>
      </c>
      <c r="Q242" s="1">
        <f ca="1">IF(AND([1]Variáveis!$E$43=10,[1]Variáveis!$L$43=1),[1]Variáveis!AL$44,Q242)</f>
        <v>10.297542647713302</v>
      </c>
      <c r="R242" s="1"/>
    </row>
  </sheetData>
  <phoneticPr fontId="32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CX63"/>
  <sheetViews>
    <sheetView zoomScale="90" workbookViewId="0">
      <selection activeCell="V21" sqref="V21:V40"/>
    </sheetView>
  </sheetViews>
  <sheetFormatPr defaultRowHeight="12.75"/>
  <cols>
    <col min="42" max="42" width="9.42578125" customWidth="1"/>
  </cols>
  <sheetData>
    <row r="1" spans="1:69">
      <c r="A1" s="17" t="s">
        <v>781</v>
      </c>
    </row>
    <row r="3" spans="1:69">
      <c r="A3" t="s">
        <v>270</v>
      </c>
      <c r="C3" s="6"/>
      <c r="D3" s="6"/>
      <c r="E3" s="6"/>
    </row>
    <row r="4" spans="1:69">
      <c r="A4" s="17"/>
      <c r="C4" s="6"/>
      <c r="D4" s="6"/>
      <c r="E4" s="6"/>
    </row>
    <row r="5" spans="1:69">
      <c r="A5" s="17"/>
      <c r="C5" s="6"/>
      <c r="D5" s="6"/>
      <c r="E5" s="6"/>
      <c r="F5" s="6"/>
      <c r="G5" s="6"/>
      <c r="H5" s="6"/>
    </row>
    <row r="6" spans="1:69">
      <c r="A6" s="17"/>
      <c r="C6" s="67"/>
      <c r="D6" s="16"/>
      <c r="E6" s="16"/>
      <c r="F6" s="6"/>
      <c r="G6" s="16"/>
      <c r="H6" s="6"/>
    </row>
    <row r="7" spans="1:69">
      <c r="A7" s="17"/>
      <c r="C7" s="6"/>
      <c r="D7" s="6"/>
      <c r="E7" s="6"/>
    </row>
    <row r="8" spans="1:69">
      <c r="A8" s="17"/>
    </row>
    <row r="9" spans="1:69">
      <c r="A9" s="17"/>
    </row>
    <row r="15" spans="1:69">
      <c r="B15" t="s">
        <v>279</v>
      </c>
      <c r="D15" t="s">
        <v>273</v>
      </c>
      <c r="G15" t="s">
        <v>278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</row>
    <row r="16" spans="1:69"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42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</row>
    <row r="17" spans="2:102"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</row>
    <row r="18" spans="2:102" ht="14.25">
      <c r="B18" s="9" t="s">
        <v>281</v>
      </c>
      <c r="D18" s="9" t="s">
        <v>29</v>
      </c>
      <c r="E18" s="9" t="s">
        <v>31</v>
      </c>
      <c r="G18" s="9" t="s">
        <v>40</v>
      </c>
      <c r="H18" s="9" t="s">
        <v>50</v>
      </c>
      <c r="I18" s="9" t="s">
        <v>335</v>
      </c>
      <c r="J18" s="9" t="s">
        <v>163</v>
      </c>
      <c r="K18" s="47" t="s">
        <v>336</v>
      </c>
      <c r="L18" s="9" t="s">
        <v>52</v>
      </c>
      <c r="M18" s="9" t="s">
        <v>337</v>
      </c>
      <c r="N18" s="23" t="s">
        <v>338</v>
      </c>
      <c r="O18" s="23" t="s">
        <v>339</v>
      </c>
      <c r="P18" s="23" t="s">
        <v>348</v>
      </c>
      <c r="Q18" s="23" t="s">
        <v>349</v>
      </c>
      <c r="R18" s="23" t="s">
        <v>350</v>
      </c>
      <c r="S18" s="9" t="s">
        <v>351</v>
      </c>
      <c r="T18" s="23" t="s">
        <v>100</v>
      </c>
      <c r="U18" s="23" t="s">
        <v>361</v>
      </c>
      <c r="V18" s="23" t="s">
        <v>366</v>
      </c>
      <c r="W18" s="9" t="s">
        <v>387</v>
      </c>
      <c r="X18" s="23" t="s">
        <v>388</v>
      </c>
      <c r="Y18" s="23" t="s">
        <v>389</v>
      </c>
      <c r="Z18" s="23" t="s">
        <v>348</v>
      </c>
      <c r="AA18" s="23" t="s">
        <v>349</v>
      </c>
      <c r="AB18" s="23" t="s">
        <v>350</v>
      </c>
      <c r="AC18" s="9" t="s">
        <v>351</v>
      </c>
      <c r="AD18" s="23" t="s">
        <v>100</v>
      </c>
      <c r="AE18" s="23" t="s">
        <v>361</v>
      </c>
      <c r="AF18" s="23" t="s">
        <v>53</v>
      </c>
      <c r="AG18" s="23"/>
      <c r="AH18" s="23"/>
      <c r="AI18" s="68" t="s">
        <v>792</v>
      </c>
      <c r="AJ18" s="23"/>
      <c r="AK18" s="68"/>
      <c r="AL18" s="68"/>
      <c r="AM18" s="68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68" t="s">
        <v>795</v>
      </c>
      <c r="BD18" s="68" t="s">
        <v>337</v>
      </c>
      <c r="BE18" s="6"/>
      <c r="BF18" s="68" t="s">
        <v>793</v>
      </c>
      <c r="BG18" s="23"/>
      <c r="BH18" s="68"/>
      <c r="BI18" s="68"/>
      <c r="BJ18" s="68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68" t="s">
        <v>794</v>
      </c>
      <c r="CA18" s="68" t="s">
        <v>338</v>
      </c>
      <c r="CC18" s="68" t="s">
        <v>796</v>
      </c>
      <c r="CD18" s="23"/>
      <c r="CE18" s="68"/>
      <c r="CF18" s="68"/>
      <c r="CG18" s="68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68" t="s">
        <v>797</v>
      </c>
      <c r="CX18" s="68" t="s">
        <v>339</v>
      </c>
    </row>
    <row r="19" spans="2:102">
      <c r="B19" s="9" t="s">
        <v>4</v>
      </c>
      <c r="D19" s="9" t="s">
        <v>30</v>
      </c>
      <c r="E19" s="9" t="s">
        <v>2</v>
      </c>
      <c r="G19" s="9" t="s">
        <v>1</v>
      </c>
      <c r="H19" s="9"/>
      <c r="I19" s="9"/>
      <c r="J19" s="9" t="s">
        <v>364</v>
      </c>
      <c r="K19" s="9" t="s">
        <v>303</v>
      </c>
      <c r="L19" s="9"/>
      <c r="N19" s="23"/>
      <c r="O19" s="23"/>
      <c r="P19" s="23" t="s">
        <v>352</v>
      </c>
      <c r="Q19" s="23" t="s">
        <v>365</v>
      </c>
      <c r="R19" s="6"/>
      <c r="T19" s="23"/>
      <c r="U19" s="23"/>
      <c r="V19" s="6"/>
      <c r="X19" s="23"/>
      <c r="Y19" s="23"/>
      <c r="Z19" s="23" t="s">
        <v>352</v>
      </c>
      <c r="AA19" s="23" t="s">
        <v>390</v>
      </c>
      <c r="AB19" s="6"/>
      <c r="AD19" s="23"/>
      <c r="AE19" s="23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23"/>
      <c r="BA19" s="23"/>
      <c r="BB19" s="23"/>
      <c r="BC19" s="23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23"/>
      <c r="BX19" s="23"/>
      <c r="BY19" s="23"/>
      <c r="BZ19" s="23"/>
      <c r="CA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23"/>
      <c r="CU19" s="23"/>
      <c r="CV19" s="23"/>
      <c r="CW19" s="23"/>
      <c r="CX19" s="6"/>
    </row>
    <row r="20" spans="2:102">
      <c r="N20" s="6"/>
      <c r="O20" s="6"/>
      <c r="P20" s="6"/>
      <c r="Q20" s="6"/>
      <c r="R20" s="6"/>
      <c r="S20" s="6"/>
      <c r="T20" s="6"/>
      <c r="U20" s="6"/>
      <c r="V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</row>
    <row r="21" spans="2:102">
      <c r="B21" s="31">
        <f>Main!B21</f>
        <v>0.33333333333333326</v>
      </c>
      <c r="D21" s="1">
        <f>Cruise!F21</f>
        <v>0.65969672852566186</v>
      </c>
      <c r="E21" s="4">
        <f>ISA!$R$10</f>
        <v>1.5987591530356481E-5</v>
      </c>
      <c r="G21" s="20">
        <f ca="1">'Aerodynamics-Speed'!H21</f>
        <v>29.912886947212638</v>
      </c>
      <c r="H21" s="5">
        <f t="shared" ref="H21:H40" ca="1" si="0">D21*G21*B21/E21</f>
        <v>411432.27905560873</v>
      </c>
      <c r="I21" s="16">
        <f ca="1">'Airfoil 2'!$K$14*H21^'Airfoil 2'!$L$13</f>
        <v>1.5864532889565381</v>
      </c>
      <c r="J21" s="1">
        <f ca="1">'Airfoil 2'!$K$33*H21^'Airfoil 2'!$L$32</f>
        <v>4.7670310826752447</v>
      </c>
      <c r="K21" s="13">
        <f ca="1">'Airfoil 2'!$K$52*H21^'Airfoil 2'!$L$51</f>
        <v>-10.21402378087387</v>
      </c>
      <c r="L21" s="16">
        <f ca="1">'Aerodynamics-Speed'!W21</f>
        <v>0.89999999999845259</v>
      </c>
      <c r="M21" s="10">
        <f ca="1">('Airfoil 1'!$B$21+'Airfoil 1'!$B$22*L21+'Airfoil 1'!$B$23*L21^2+'Airfoil 1'!$B$24*L21^3+'Airfoil 1'!$B$25*L21^4+'Airfoil 1'!$B$26*L21^5+'Airfoil 1'!$B$27*L21^6)*0+BD21</f>
        <v>2.4489313868616552E-2</v>
      </c>
      <c r="N21" s="42">
        <f ca="1">('Airfoil 1'!$B$29+'Airfoil 1'!$B$30*L21+'Airfoil 1'!$B$31*L21^2+'Airfoil 1'!$B$32*L21^3+'Airfoil 1'!$B$33*L21^4+'Airfoil 1'!$B$34*L21^5+'Airfoil 1'!$B$35*L21^6)*0+CA21</f>
        <v>1.7370857855347453E-2</v>
      </c>
      <c r="O21" s="42">
        <f ca="1">('Airfoil 1'!$B$37+'Airfoil 1'!$B$38*L21+'Airfoil 1'!$B$39*L21^2+'Airfoil 1'!$B$40*L21^3+'Airfoil 1'!$B$41*L21^4+'Airfoil 1'!$B$42*L21^5+'Airfoil 1'!$B$43*L21^6)*0+CX21</f>
        <v>1.1110331491700223E-2</v>
      </c>
      <c r="P21" s="16">
        <f>LOG('Airfoil 1'!$F$10)+LOG('Airfoil 1'!$G$10)+LOG('Airfoil 1'!$H$10)</f>
        <v>15.176091259055681</v>
      </c>
      <c r="Q21" s="16">
        <f t="shared" ref="Q21:Q40" ca="1" si="1">LOG(M21)+LOG(N21)+LOG(O21)</f>
        <v>-5.3254750991936932</v>
      </c>
      <c r="R21" s="16">
        <f>LOG('Airfoil 1'!$F$10)^2+LOG('Airfoil 1'!$G$10)^2+LOG('Airfoil 1'!$H$10)^2</f>
        <v>76.867141336751558</v>
      </c>
      <c r="S21" s="16">
        <f ca="1">LOG('Airfoil 1'!$F$10)*LOG(M21)+LOG('Airfoil 1'!$G$10)*LOG(N21)+LOG('Airfoil 1'!$H$10)*LOG(O21)</f>
        <v>-27.014391057532066</v>
      </c>
      <c r="T21" s="16">
        <f t="shared" ref="T21:T40" ca="1" si="2">POWER(10,(S21/R21-Q21/P21)/(P21/R21-3/P21))</f>
        <v>141.6034646925973</v>
      </c>
      <c r="U21" s="16">
        <f t="shared" ref="U21:U40" ca="1" si="3">(Q21-3*LOG(T21))/P21</f>
        <v>-0.77613507569069329</v>
      </c>
      <c r="V21" s="42">
        <f ca="1">MAX(IF(Energy!$F$11=1,Energy!$T$13,1)*T21*H21^U21,O21)</f>
        <v>1.1110331491700223E-2</v>
      </c>
      <c r="W21" s="10">
        <f ca="1">'Airfoil 1'!$B$48+'Airfoil 1'!$B$49*L21+'Airfoil 1'!$B$50*L21^2+'Airfoil 1'!$B$51*L21^3+'Airfoil 1'!$B$52*L21^4+'Airfoil 1'!$B$53*L21^5+'Airfoil 1'!$B$54*L21^6</f>
        <v>-0.155</v>
      </c>
      <c r="X21" s="42">
        <f ca="1">'Airfoil 1'!$B$56+'Airfoil 1'!$B$57*L21+'Airfoil 1'!$B$58*L21^2+'Airfoil 1'!$B$59*L21^3+'Airfoil 1'!$B$60*L21^4+'Airfoil 1'!$B$61*L21^5+'Airfoil 1'!$B$62*L21^6</f>
        <v>-0.155</v>
      </c>
      <c r="Y21" s="42">
        <f ca="1">'Airfoil 1'!$B$64+'Airfoil 1'!$B$65*L21+'Airfoil 1'!$B$66*L21^2+'Airfoil 1'!$B$67*L21^3+'Airfoil 1'!$B$681*L21^4+'Airfoil 1'!$B$69*L21^5+'Airfoil 1'!$B$70*L21^6</f>
        <v>-0.155</v>
      </c>
      <c r="Z21" s="16">
        <f>LOG('Airfoil 1'!$F$10)+LOG('Airfoil 1'!$G$10)+LOG('Airfoil 1'!$H$10)</f>
        <v>15.176091259055681</v>
      </c>
      <c r="AA21" s="16">
        <f t="shared" ref="AA21:AA40" ca="1" si="4">LOG(ABS(W21))+LOG(ABS(X21))+LOG(ABS(Y21))</f>
        <v>-2.4290049054891254</v>
      </c>
      <c r="AB21" s="16">
        <f>LOG('Airfoil 1'!$F$10)^2+LOG('Airfoil 1'!$G$10)^2+LOG('Airfoil 1'!$H$10)^2</f>
        <v>76.867141336751558</v>
      </c>
      <c r="AC21" s="16">
        <f ca="1">LOG('Airfoil 1'!$F$10)*LOG(ABS(W21))+LOG('Airfoil 1'!$G$10)*LOG(ABS(X21))+LOG('Airfoil 1'!$H$10)*LOG(ABS(Y21))</f>
        <v>-12.287600038132297</v>
      </c>
      <c r="AD21" s="16">
        <f t="shared" ref="AD21:AD40" ca="1" si="5">POWER(10,(AC21/AB21-AA21/Z21)/(Z21/AB21-3/Z21))</f>
        <v>0.1550000000000121</v>
      </c>
      <c r="AE21" s="16">
        <f t="shared" ref="AE21:AE40" ca="1" si="6">(AA21-3*LOG(AD21))/Z21</f>
        <v>-6.6718325633022456E-15</v>
      </c>
      <c r="AF21" s="42">
        <f t="shared" ref="AF21:AF40" ca="1" si="7">W21/ABS(W21)*AD21*H21^AE21</f>
        <v>-0.15499999999999875</v>
      </c>
      <c r="AG21" s="16"/>
      <c r="AH21" s="42"/>
      <c r="AI21" s="16">
        <f ca="1">(L21-'Airfoil 1'!$Z$22)/ABS(L21-'Airfoil 1'!$Z$22)</f>
        <v>1</v>
      </c>
      <c r="AJ21" s="16">
        <f ca="1">(L21-'Airfoil 1'!$Z$23)/ABS(L21-'Airfoil 1'!$Z$23)</f>
        <v>1</v>
      </c>
      <c r="AK21" s="16">
        <f ca="1">(L21-'Airfoil 1'!$Z$24)/ABS(L21-'Airfoil 1'!$Z$24)</f>
        <v>1</v>
      </c>
      <c r="AL21" s="16">
        <f ca="1">(L21-'Airfoil 1'!$Z$25)/ABS(L21-'Airfoil 1'!$Z$25)</f>
        <v>1</v>
      </c>
      <c r="AM21" s="16">
        <f ca="1">(L21-'Airfoil 1'!$Z$26)/ABS(L21-'Airfoil 1'!$Z$26)</f>
        <v>1</v>
      </c>
      <c r="AN21" s="16">
        <f ca="1">(L21-'Airfoil 1'!$Z$27)/ABS(L21-'Airfoil 1'!$Z$27)</f>
        <v>1</v>
      </c>
      <c r="AO21" s="16">
        <f ca="1">(L21-'Airfoil 1'!$Z$28)/ABS(L21-'Airfoil 1'!$Z$28)</f>
        <v>1</v>
      </c>
      <c r="AP21" s="16">
        <f ca="1">(L21-'Airfoil 1'!$Z$29)/ABS(L21-'Airfoil 1'!$Z$29)</f>
        <v>-1</v>
      </c>
      <c r="AQ21" s="16">
        <f ca="1">(L21-'Airfoil 1'!$Z$30)/ABS(L21-'Airfoil 1'!$Z$30)</f>
        <v>-1</v>
      </c>
      <c r="AR21" s="16">
        <f ca="1">(L21-'Airfoil 1'!$Z$31)/ABS(L21-'Airfoil 1'!$Z$31)</f>
        <v>-1</v>
      </c>
      <c r="AS21" s="16">
        <f ca="1">(L21-'Airfoil 1'!$Z$32)/ABS(L21-'Airfoil 1'!$Z$32)</f>
        <v>-1</v>
      </c>
      <c r="AT21" s="16">
        <f ca="1">(L21-'Airfoil 1'!$Z$33)/ABS(L21-'Airfoil 1'!$Z$33)</f>
        <v>-1</v>
      </c>
      <c r="AU21" s="16">
        <f ca="1">(L21-'Airfoil 1'!$Z$34)/ABS(L21-'Airfoil 1'!$Z$34)</f>
        <v>-1</v>
      </c>
      <c r="AV21" s="16">
        <f ca="1">(L21-'Airfoil 1'!$Z$35)/ABS(L21-'Airfoil 1'!$Z$35)</f>
        <v>-1</v>
      </c>
      <c r="AW21" s="16">
        <f ca="1">(L21-'Airfoil 1'!$Z$36)/ABS(L21-'Airfoil 1'!$Z$36)</f>
        <v>-1</v>
      </c>
      <c r="AX21" s="16">
        <f ca="1">(L21-'Airfoil 1'!$Z$37)/ABS(L21-'Airfoil 1'!$Z$37)</f>
        <v>-1</v>
      </c>
      <c r="AY21" s="16">
        <f ca="1">(L21-'Airfoil 1'!$Z$38)/ABS(L21-'Airfoil 1'!$Z$38)</f>
        <v>-1</v>
      </c>
      <c r="AZ21" s="16">
        <f ca="1">(L21-'Airfoil 1'!$Z$39)/ABS(L21-'Airfoil 1'!$Z$39)</f>
        <v>-1</v>
      </c>
      <c r="BA21" s="16">
        <f ca="1">(L21-'Airfoil 1'!$Z$40)/ABS(L21-'Airfoil 1'!$Z$40)</f>
        <v>-1</v>
      </c>
      <c r="BB21" s="16">
        <f ca="1">(L21-'Airfoil 1'!$Z$41)/ABS(L21-'Airfoil 1'!$Z$41)</f>
        <v>-1</v>
      </c>
      <c r="BC21" s="5">
        <f ca="1">MAX(1,MATCH(-1,AI21:BB21,0)-1)</f>
        <v>7</v>
      </c>
      <c r="BD21" s="42">
        <f ca="1">INDEX('Airfoil 1'!$AA$22:$AA$41,BC21,1)+INDEX('Airfoil 1'!$AB$22:$AB$41,BC21,1)*(L21-INDEX('Airfoil 1'!$Z$22:$Z$41,BC21,1))</f>
        <v>2.4489313868616528E-2</v>
      </c>
      <c r="BE21" s="6"/>
      <c r="BF21" s="16">
        <f ca="1">(L21-'Airfoil 1'!$Z$47)/ABS(L21-'Airfoil 1'!$Z$47)</f>
        <v>1</v>
      </c>
      <c r="BG21" s="16">
        <f ca="1">(L21-'Airfoil 1'!$Z$48)/ABS(L21-'Airfoil 1'!$Z$48)</f>
        <v>1</v>
      </c>
      <c r="BH21" s="16">
        <f ca="1">(L21-'Airfoil 1'!$Z$49)/ABS(L21-'Airfoil 1'!$Z$49)</f>
        <v>1</v>
      </c>
      <c r="BI21" s="16">
        <f ca="1">(L21-'Airfoil 1'!$Z$50)/ABS(L21-'Airfoil 1'!$Z$50)</f>
        <v>1</v>
      </c>
      <c r="BJ21" s="16">
        <f ca="1">(L21-'Airfoil 1'!$Z$51)/ABS(L21-'Airfoil 1'!$Z$51)</f>
        <v>1</v>
      </c>
      <c r="BK21" s="16">
        <f ca="1">(L21-'Airfoil 1'!$Z$52)/ABS(L21-'Airfoil 1'!$Z$52)</f>
        <v>1</v>
      </c>
      <c r="BL21" s="16">
        <f ca="1">(L21-'Airfoil 1'!$Z$53)/ABS(L21-'Airfoil 1'!$Z$53)</f>
        <v>-1</v>
      </c>
      <c r="BM21" s="16">
        <f ca="1">(L21-'Airfoil 1'!$Z$54)/ABS(L21-'Airfoil 1'!$Z$54)</f>
        <v>-1</v>
      </c>
      <c r="BN21" s="16">
        <f ca="1">(L21-'Airfoil 1'!$Z$55)/ABS(L21-'Airfoil 1'!$Z$55)</f>
        <v>-1</v>
      </c>
      <c r="BO21" s="16">
        <f ca="1">(L21-'Airfoil 1'!$Z$56)/ABS(L21-'Airfoil 1'!$Z$56)</f>
        <v>-1</v>
      </c>
      <c r="BP21" s="16">
        <f ca="1">(L21-'Airfoil 1'!$Z$57)/ABS(L21-'Airfoil 1'!$Z$57)</f>
        <v>-1</v>
      </c>
      <c r="BQ21" s="16">
        <f ca="1">(L21-'Airfoil 1'!$Z$58)/ABS(L21-'Airfoil 1'!$Z$58)</f>
        <v>-1</v>
      </c>
      <c r="BR21" s="16">
        <f ca="1">(L21-'Airfoil 1'!$Z$59)/ABS(L21-'Airfoil 1'!$Z$59)</f>
        <v>-1</v>
      </c>
      <c r="BS21" s="16">
        <f ca="1">(L21-'Airfoil 1'!$Z$60)/ABS(L21-'Airfoil 1'!$Z$60)</f>
        <v>-1</v>
      </c>
      <c r="BT21" s="16">
        <f ca="1">(L21-'Airfoil 1'!$Z$61)/ABS(L21-'Airfoil 1'!$Z$61)</f>
        <v>-1</v>
      </c>
      <c r="BU21" s="16">
        <f ca="1">(L21-'Airfoil 1'!$Z$62)/ABS(L21-'Airfoil 1'!$Z$62)</f>
        <v>-1</v>
      </c>
      <c r="BV21" s="16">
        <f ca="1">(L21-'Airfoil 1'!$Z$63)/ABS(L21-'Airfoil 1'!$Z$63)</f>
        <v>-1</v>
      </c>
      <c r="BW21" s="16">
        <f ca="1">(L21-'Airfoil 1'!$Z$64)/ABS(L21-'Airfoil 1'!$Z$64)</f>
        <v>-1</v>
      </c>
      <c r="BX21" s="16">
        <f ca="1">(L21-'Airfoil 1'!$Z$65)/ABS(L21-'Airfoil 1'!$Z$65)</f>
        <v>-1</v>
      </c>
      <c r="BY21" s="16">
        <f ca="1">(L21-'Airfoil 1'!$Z$66)/ABS(L21-'Airfoil 1'!$Z$66)</f>
        <v>-1</v>
      </c>
      <c r="BZ21" s="5">
        <f ca="1">MAX(1,MATCH(-1,BF21:BY21,0)-1)</f>
        <v>6</v>
      </c>
      <c r="CA21" s="42">
        <f ca="1">INDEX('Airfoil 1'!$AA$47:$AA$66,BZ21,1)+INDEX('Airfoil 1'!$AB$47:$AB$66,BZ21,1)*(L21-INDEX('Airfoil 1'!$Z$47:$Z$66,BZ21,1))</f>
        <v>1.737085785534755E-2</v>
      </c>
      <c r="CC21" s="16">
        <f ca="1">(L21-'Airfoil 1'!$Z$72)/ABS(L21-'Airfoil 1'!$Z$72)</f>
        <v>1</v>
      </c>
      <c r="CD21" s="16">
        <f ca="1">(L21-'Airfoil 1'!$Z$73)/ABS(L21-'Airfoil 1'!$Z$73)</f>
        <v>1</v>
      </c>
      <c r="CE21" s="16">
        <f ca="1">(L21-'Airfoil 1'!$Z$74)/ABS(L21-'Airfoil 1'!$Z$74)</f>
        <v>1</v>
      </c>
      <c r="CF21" s="16">
        <f ca="1">(L21-'Airfoil 1'!$Z$75)/ABS(L21-'Airfoil 1'!$Z$75)</f>
        <v>1</v>
      </c>
      <c r="CG21" s="16">
        <f ca="1">(L21-'Airfoil 1'!$Z$76)/ABS(L21-'Airfoil 1'!$Z$76)</f>
        <v>-1</v>
      </c>
      <c r="CH21" s="16">
        <f ca="1">(L21-'Airfoil 1'!$Z$77)/ABS(L21-'Airfoil 1'!$Z$77)</f>
        <v>-1</v>
      </c>
      <c r="CI21" s="16">
        <f ca="1">(L21-'Airfoil 1'!$Z$78)/ABS(L21-'Airfoil 1'!$Z$78)</f>
        <v>-1</v>
      </c>
      <c r="CJ21" s="16">
        <f ca="1">(L21-'Airfoil 1'!$Z$79)/ABS(L21-'Airfoil 1'!$Z$79)</f>
        <v>-1</v>
      </c>
      <c r="CK21" s="16">
        <f ca="1">(L21-'Airfoil 1'!$Z$80)/ABS(L21-'Airfoil 1'!$Z$80)</f>
        <v>-1</v>
      </c>
      <c r="CL21" s="16">
        <f ca="1">(L21-'Airfoil 1'!$Z$81)/ABS(L21-'Airfoil 1'!$Z$81)</f>
        <v>-1</v>
      </c>
      <c r="CM21" s="16">
        <f ca="1">(L21-'Airfoil 1'!$Z$82)/ABS(L21-'Airfoil 1'!$Z$82)</f>
        <v>-1</v>
      </c>
      <c r="CN21" s="16">
        <f ca="1">(L21-'Airfoil 1'!$Z$83)/ABS(L21-'Airfoil 1'!$Z$83)</f>
        <v>-1</v>
      </c>
      <c r="CO21" s="16">
        <f ca="1">(L21-'Airfoil 1'!$Z$84)/ABS(L21-'Airfoil 1'!$Z$84)</f>
        <v>-1</v>
      </c>
      <c r="CP21" s="16">
        <f ca="1">(L21-'Airfoil 1'!$Z$85)/ABS(L21-'Airfoil 1'!$Z$85)</f>
        <v>-1</v>
      </c>
      <c r="CQ21" s="16">
        <f ca="1">(L21-'Airfoil 1'!$Z$86)/ABS(L21-'Airfoil 1'!$Z$86)</f>
        <v>-1</v>
      </c>
      <c r="CR21" s="16">
        <f ca="1">(L21-'Airfoil 1'!$Z$87)/ABS(L21-'Airfoil 1'!$Z$87)</f>
        <v>-1</v>
      </c>
      <c r="CS21" s="16">
        <f ca="1">(L21-'Airfoil 1'!$Z$88)/ABS(L21-'Airfoil 1'!$Z$88)</f>
        <v>-1</v>
      </c>
      <c r="CT21" s="16">
        <f ca="1">(L21-'Airfoil 1'!$Z$89)/ABS(L21-'Airfoil 1'!$Z$89)</f>
        <v>-1</v>
      </c>
      <c r="CU21" s="16">
        <f ca="1">(L21-'Airfoil 1'!$Z$90)/ABS(L21-'Airfoil 1'!$Z$90)</f>
        <v>-1</v>
      </c>
      <c r="CV21" s="16">
        <f ca="1">(L21-'Airfoil 1'!$Z$91)/ABS(L21-'Airfoil 1'!$Z$91)</f>
        <v>-1</v>
      </c>
      <c r="CW21" s="5">
        <f ca="1">MAX(1,MATCH(-1,CC21:CV21,0)-1)</f>
        <v>4</v>
      </c>
      <c r="CX21" s="42">
        <f ca="1">INDEX('Airfoil 1'!$AA$72:$AA$91,CW21,1)+INDEX('Airfoil 1'!$AB$72:$AB$91,CW21,1)*(L21-INDEX('Airfoil 1'!$Z$72:$Z$91,CW21,1))</f>
        <v>1.111033149170031E-2</v>
      </c>
    </row>
    <row r="22" spans="2:102">
      <c r="B22" s="31">
        <f>Main!B22</f>
        <v>0.33333333333333326</v>
      </c>
      <c r="D22" s="1">
        <f>Cruise!F22</f>
        <v>0.65969672852566186</v>
      </c>
      <c r="E22" s="4">
        <f>ISA!$R$10</f>
        <v>1.5987591530356481E-5</v>
      </c>
      <c r="G22" s="20">
        <f ca="1">'Aerodynamics-Speed'!H22</f>
        <v>29.4215195992047</v>
      </c>
      <c r="H22" s="5">
        <f t="shared" ca="1" si="0"/>
        <v>404673.84118897363</v>
      </c>
      <c r="I22" s="16">
        <f ca="1">'Airfoil 2'!$K$14*H22^'Airfoil 2'!$L$13</f>
        <v>1.5860880524618457</v>
      </c>
      <c r="J22" s="1">
        <f ca="1">'Airfoil 2'!$K$33*H22^'Airfoil 2'!$L$32</f>
        <v>4.7936617964996069</v>
      </c>
      <c r="K22" s="13">
        <f ca="1">'Airfoil 2'!$K$52*H22^'Airfoil 2'!$L$51</f>
        <v>-10.101512127330897</v>
      </c>
      <c r="L22" s="16">
        <f ca="1">'Aerodynamics-Speed'!W22</f>
        <v>0.89999999999820712</v>
      </c>
      <c r="M22" s="10">
        <f ca="1">('Airfoil 1'!$B$21+'Airfoil 1'!$B$22*L22+'Airfoil 1'!$B$23*L22^2+'Airfoil 1'!$B$24*L22^3+'Airfoil 1'!$B$25*L22^4+'Airfoil 1'!$B$26*L22^5+'Airfoil 1'!$B$27*L22^6)*0+BD22</f>
        <v>2.4489313868617094E-2</v>
      </c>
      <c r="N22" s="42">
        <f ca="1">('Airfoil 1'!$B$29+'Airfoil 1'!$B$30*L22+'Airfoil 1'!$B$31*L22^2+'Airfoil 1'!$B$32*L22^3+'Airfoil 1'!$B$33*L22^4+'Airfoil 1'!$B$34*L22^5+'Airfoil 1'!$B$35*L22^6)*0+CA22</f>
        <v>1.7370857855345208E-2</v>
      </c>
      <c r="O22" s="42">
        <f ca="1">('Airfoil 1'!$B$37+'Airfoil 1'!$B$38*L22+'Airfoil 1'!$B$39*L22^2+'Airfoil 1'!$B$40*L22^3+'Airfoil 1'!$B$41*L22^4+'Airfoil 1'!$B$42*L22^5+'Airfoil 1'!$B$43*L22^6)*0+CX22</f>
        <v>1.1110331491698244E-2</v>
      </c>
      <c r="P22" s="16">
        <f>LOG('Airfoil 1'!$F$10)+LOG('Airfoil 1'!$G$10)+LOG('Airfoil 1'!$H$10)</f>
        <v>15.176091259055681</v>
      </c>
      <c r="Q22" s="16">
        <f t="shared" ca="1" si="1"/>
        <v>-5.3254750991938185</v>
      </c>
      <c r="R22" s="16">
        <f>LOG('Airfoil 1'!$F$10)^2+LOG('Airfoil 1'!$G$10)^2+LOG('Airfoil 1'!$H$10)^2</f>
        <v>76.867141336751558</v>
      </c>
      <c r="S22" s="16">
        <f ca="1">LOG('Airfoil 1'!$F$10)*LOG(M22)+LOG('Airfoil 1'!$G$10)*LOG(N22)+LOG('Airfoil 1'!$H$10)*LOG(O22)</f>
        <v>-27.014391057532709</v>
      </c>
      <c r="T22" s="16">
        <f t="shared" ca="1" si="2"/>
        <v>141.60346469274396</v>
      </c>
      <c r="U22" s="16">
        <f t="shared" ca="1" si="3"/>
        <v>-0.77613507569079043</v>
      </c>
      <c r="V22" s="42">
        <f ca="1">MAX(IF(Energy!$F$11=1,Energy!$T$13,1)*T22*H22^U22,O22)</f>
        <v>1.1110331491698244E-2</v>
      </c>
      <c r="W22" s="10">
        <f ca="1">'Airfoil 1'!$B$48+'Airfoil 1'!$B$49*L22+'Airfoil 1'!$B$50*L22^2+'Airfoil 1'!$B$51*L22^3+'Airfoil 1'!$B$52*L22^4+'Airfoil 1'!$B$53*L22^5+'Airfoil 1'!$B$54*L22^6</f>
        <v>-0.155</v>
      </c>
      <c r="X22" s="42">
        <f ca="1">'Airfoil 1'!$B$56+'Airfoil 1'!$B$57*L22+'Airfoil 1'!$B$58*L22^2+'Airfoil 1'!$B$59*L22^3+'Airfoil 1'!$B$60*L22^4+'Airfoil 1'!$B$61*L22^5+'Airfoil 1'!$B$62*L22^6</f>
        <v>-0.155</v>
      </c>
      <c r="Y22" s="42">
        <f ca="1">'Airfoil 1'!$B$64+'Airfoil 1'!$B$65*L22+'Airfoil 1'!$B$66*L22^2+'Airfoil 1'!$B$67*L22^3+'Airfoil 1'!$B$681*L22^4+'Airfoil 1'!$B$69*L22^5+'Airfoil 1'!$B$70*L22^6</f>
        <v>-0.155</v>
      </c>
      <c r="Z22" s="16">
        <f>LOG('Airfoil 1'!$F$10)+LOG('Airfoil 1'!$G$10)+LOG('Airfoil 1'!$H$10)</f>
        <v>15.176091259055681</v>
      </c>
      <c r="AA22" s="16">
        <f t="shared" ca="1" si="4"/>
        <v>-2.4290049054891254</v>
      </c>
      <c r="AB22" s="16">
        <f>LOG('Airfoil 1'!$F$10)^2+LOG('Airfoil 1'!$G$10)^2+LOG('Airfoil 1'!$H$10)^2</f>
        <v>76.867141336751558</v>
      </c>
      <c r="AC22" s="16">
        <f ca="1">LOG('Airfoil 1'!$F$10)*LOG(ABS(W22))+LOG('Airfoil 1'!$G$10)*LOG(ABS(X22))+LOG('Airfoil 1'!$H$10)*LOG(ABS(Y22))</f>
        <v>-12.287600038132297</v>
      </c>
      <c r="AD22" s="16">
        <f t="shared" ca="1" si="5"/>
        <v>0.1550000000000121</v>
      </c>
      <c r="AE22" s="16">
        <f t="shared" ca="1" si="6"/>
        <v>-6.6718325633022456E-15</v>
      </c>
      <c r="AF22" s="42">
        <f t="shared" ca="1" si="7"/>
        <v>-0.15499999999999875</v>
      </c>
      <c r="AG22" s="16"/>
      <c r="AH22" s="42"/>
      <c r="AI22" s="16">
        <f ca="1">(L22-'Airfoil 1'!$Z$22)/ABS(L22-'Airfoil 1'!$Z$22)</f>
        <v>1</v>
      </c>
      <c r="AJ22" s="16">
        <f ca="1">(L22-'Airfoil 1'!$Z$23)/ABS(L22-'Airfoil 1'!$Z$23)</f>
        <v>1</v>
      </c>
      <c r="AK22" s="16">
        <f ca="1">(L22-'Airfoil 1'!$Z$24)/ABS(L22-'Airfoil 1'!$Z$24)</f>
        <v>1</v>
      </c>
      <c r="AL22" s="16">
        <f ca="1">(L22-'Airfoil 1'!$Z$25)/ABS(L22-'Airfoil 1'!$Z$25)</f>
        <v>1</v>
      </c>
      <c r="AM22" s="16">
        <f ca="1">(L22-'Airfoil 1'!$Z$26)/ABS(L22-'Airfoil 1'!$Z$26)</f>
        <v>1</v>
      </c>
      <c r="AN22" s="16">
        <f ca="1">(L22-'Airfoil 1'!$Z$27)/ABS(L22-'Airfoil 1'!$Z$27)</f>
        <v>1</v>
      </c>
      <c r="AO22" s="16">
        <f ca="1">(L22-'Airfoil 1'!$Z$28)/ABS(L22-'Airfoil 1'!$Z$28)</f>
        <v>1</v>
      </c>
      <c r="AP22" s="16">
        <f ca="1">(L22-'Airfoil 1'!$Z$29)/ABS(L22-'Airfoil 1'!$Z$29)</f>
        <v>-1</v>
      </c>
      <c r="AQ22" s="16">
        <f ca="1">(L22-'Airfoil 1'!$Z$30)/ABS(L22-'Airfoil 1'!$Z$30)</f>
        <v>-1</v>
      </c>
      <c r="AR22" s="16">
        <f ca="1">(L22-'Airfoil 1'!$Z$31)/ABS(L22-'Airfoil 1'!$Z$31)</f>
        <v>-1</v>
      </c>
      <c r="AS22" s="16">
        <f ca="1">(L22-'Airfoil 1'!$Z$32)/ABS(L22-'Airfoil 1'!$Z$32)</f>
        <v>-1</v>
      </c>
      <c r="AT22" s="16">
        <f ca="1">(L22-'Airfoil 1'!$Z$33)/ABS(L22-'Airfoil 1'!$Z$33)</f>
        <v>-1</v>
      </c>
      <c r="AU22" s="16">
        <f ca="1">(L22-'Airfoil 1'!$Z$34)/ABS(L22-'Airfoil 1'!$Z$34)</f>
        <v>-1</v>
      </c>
      <c r="AV22" s="16">
        <f ca="1">(L22-'Airfoil 1'!$Z$35)/ABS(L22-'Airfoil 1'!$Z$35)</f>
        <v>-1</v>
      </c>
      <c r="AW22" s="16">
        <f ca="1">(L22-'Airfoil 1'!$Z$36)/ABS(L22-'Airfoil 1'!$Z$36)</f>
        <v>-1</v>
      </c>
      <c r="AX22" s="16">
        <f ca="1">(L22-'Airfoil 1'!$Z$37)/ABS(L22-'Airfoil 1'!$Z$37)</f>
        <v>-1</v>
      </c>
      <c r="AY22" s="16">
        <f ca="1">(L22-'Airfoil 1'!$Z$38)/ABS(L22-'Airfoil 1'!$Z$38)</f>
        <v>-1</v>
      </c>
      <c r="AZ22" s="16">
        <f ca="1">(L22-'Airfoil 1'!$Z$39)/ABS(L22-'Airfoil 1'!$Z$39)</f>
        <v>-1</v>
      </c>
      <c r="BA22" s="16">
        <f ca="1">(L22-'Airfoil 1'!$Z$40)/ABS(L22-'Airfoil 1'!$Z$40)</f>
        <v>-1</v>
      </c>
      <c r="BB22" s="16">
        <f ca="1">(L22-'Airfoil 1'!$Z$41)/ABS(L22-'Airfoil 1'!$Z$41)</f>
        <v>-1</v>
      </c>
      <c r="BC22" s="5">
        <f t="shared" ref="BC22:BC40" ca="1" si="8">MAX(1,MATCH(-1,AI22:BB22,0)-1)</f>
        <v>7</v>
      </c>
      <c r="BD22" s="42">
        <f ca="1">INDEX('Airfoil 1'!$AA$22:$AA$41,BC22,1)+INDEX('Airfoil 1'!$AB$22:$AB$41,BC22,1)*(L22-INDEX('Airfoil 1'!$Z$22:$Z$41,BC22,1))</f>
        <v>2.4489313868617066E-2</v>
      </c>
      <c r="BE22" s="6"/>
      <c r="BF22" s="16">
        <f ca="1">(L22-'Airfoil 1'!$Z$47)/ABS(L22-'Airfoil 1'!$Z$47)</f>
        <v>1</v>
      </c>
      <c r="BG22" s="16">
        <f ca="1">(L22-'Airfoil 1'!$Z$48)/ABS(L22-'Airfoil 1'!$Z$48)</f>
        <v>1</v>
      </c>
      <c r="BH22" s="16">
        <f ca="1">(L22-'Airfoil 1'!$Z$49)/ABS(L22-'Airfoil 1'!$Z$49)</f>
        <v>1</v>
      </c>
      <c r="BI22" s="16">
        <f ca="1">(L22-'Airfoil 1'!$Z$50)/ABS(L22-'Airfoil 1'!$Z$50)</f>
        <v>1</v>
      </c>
      <c r="BJ22" s="16">
        <f ca="1">(L22-'Airfoil 1'!$Z$51)/ABS(L22-'Airfoil 1'!$Z$51)</f>
        <v>1</v>
      </c>
      <c r="BK22" s="16">
        <f ca="1">(L22-'Airfoil 1'!$Z$52)/ABS(L22-'Airfoil 1'!$Z$52)</f>
        <v>1</v>
      </c>
      <c r="BL22" s="16">
        <f ca="1">(L22-'Airfoil 1'!$Z$53)/ABS(L22-'Airfoil 1'!$Z$53)</f>
        <v>-1</v>
      </c>
      <c r="BM22" s="16">
        <f ca="1">(L22-'Airfoil 1'!$Z$54)/ABS(L22-'Airfoil 1'!$Z$54)</f>
        <v>-1</v>
      </c>
      <c r="BN22" s="16">
        <f ca="1">(L22-'Airfoil 1'!$Z$55)/ABS(L22-'Airfoil 1'!$Z$55)</f>
        <v>-1</v>
      </c>
      <c r="BO22" s="16">
        <f ca="1">(L22-'Airfoil 1'!$Z$56)/ABS(L22-'Airfoil 1'!$Z$56)</f>
        <v>-1</v>
      </c>
      <c r="BP22" s="16">
        <f ca="1">(L22-'Airfoil 1'!$Z$57)/ABS(L22-'Airfoil 1'!$Z$57)</f>
        <v>-1</v>
      </c>
      <c r="BQ22" s="16">
        <f ca="1">(L22-'Airfoil 1'!$Z$58)/ABS(L22-'Airfoil 1'!$Z$58)</f>
        <v>-1</v>
      </c>
      <c r="BR22" s="16">
        <f ca="1">(L22-'Airfoil 1'!$Z$59)/ABS(L22-'Airfoil 1'!$Z$59)</f>
        <v>-1</v>
      </c>
      <c r="BS22" s="16">
        <f ca="1">(L22-'Airfoil 1'!$Z$60)/ABS(L22-'Airfoil 1'!$Z$60)</f>
        <v>-1</v>
      </c>
      <c r="BT22" s="16">
        <f ca="1">(L22-'Airfoil 1'!$Z$61)/ABS(L22-'Airfoil 1'!$Z$61)</f>
        <v>-1</v>
      </c>
      <c r="BU22" s="16">
        <f ca="1">(L22-'Airfoil 1'!$Z$62)/ABS(L22-'Airfoil 1'!$Z$62)</f>
        <v>-1</v>
      </c>
      <c r="BV22" s="16">
        <f ca="1">(L22-'Airfoil 1'!$Z$63)/ABS(L22-'Airfoil 1'!$Z$63)</f>
        <v>-1</v>
      </c>
      <c r="BW22" s="16">
        <f ca="1">(L22-'Airfoil 1'!$Z$64)/ABS(L22-'Airfoil 1'!$Z$64)</f>
        <v>-1</v>
      </c>
      <c r="BX22" s="16">
        <f ca="1">(L22-'Airfoil 1'!$Z$65)/ABS(L22-'Airfoil 1'!$Z$65)</f>
        <v>-1</v>
      </c>
      <c r="BY22" s="16">
        <f ca="1">(L22-'Airfoil 1'!$Z$66)/ABS(L22-'Airfoil 1'!$Z$66)</f>
        <v>-1</v>
      </c>
      <c r="BZ22" s="5">
        <f t="shared" ref="BZ22:BZ40" ca="1" si="9">MAX(1,MATCH(-1,BF22:BY22,0)-1)</f>
        <v>6</v>
      </c>
      <c r="CA22" s="42">
        <f ca="1">INDEX('Airfoil 1'!$AA$47:$AA$66,BZ22,1)+INDEX('Airfoil 1'!$AB$47:$AB$66,BZ22,1)*(L22-INDEX('Airfoil 1'!$Z$47:$Z$66,BZ22,1))</f>
        <v>1.7370857855345322E-2</v>
      </c>
      <c r="CC22" s="16">
        <f ca="1">(L22-'Airfoil 1'!$Z$72)/ABS(L22-'Airfoil 1'!$Z$72)</f>
        <v>1</v>
      </c>
      <c r="CD22" s="16">
        <f ca="1">(L22-'Airfoil 1'!$Z$73)/ABS(L22-'Airfoil 1'!$Z$73)</f>
        <v>1</v>
      </c>
      <c r="CE22" s="16">
        <f ca="1">(L22-'Airfoil 1'!$Z$74)/ABS(L22-'Airfoil 1'!$Z$74)</f>
        <v>1</v>
      </c>
      <c r="CF22" s="16">
        <f ca="1">(L22-'Airfoil 1'!$Z$75)/ABS(L22-'Airfoil 1'!$Z$75)</f>
        <v>1</v>
      </c>
      <c r="CG22" s="16">
        <f ca="1">(L22-'Airfoil 1'!$Z$76)/ABS(L22-'Airfoil 1'!$Z$76)</f>
        <v>-1</v>
      </c>
      <c r="CH22" s="16">
        <f ca="1">(L22-'Airfoil 1'!$Z$77)/ABS(L22-'Airfoil 1'!$Z$77)</f>
        <v>-1</v>
      </c>
      <c r="CI22" s="16">
        <f ca="1">(L22-'Airfoil 1'!$Z$78)/ABS(L22-'Airfoil 1'!$Z$78)</f>
        <v>-1</v>
      </c>
      <c r="CJ22" s="16">
        <f ca="1">(L22-'Airfoil 1'!$Z$79)/ABS(L22-'Airfoil 1'!$Z$79)</f>
        <v>-1</v>
      </c>
      <c r="CK22" s="16">
        <f ca="1">(L22-'Airfoil 1'!$Z$80)/ABS(L22-'Airfoil 1'!$Z$80)</f>
        <v>-1</v>
      </c>
      <c r="CL22" s="16">
        <f ca="1">(L22-'Airfoil 1'!$Z$81)/ABS(L22-'Airfoil 1'!$Z$81)</f>
        <v>-1</v>
      </c>
      <c r="CM22" s="16">
        <f ca="1">(L22-'Airfoil 1'!$Z$82)/ABS(L22-'Airfoil 1'!$Z$82)</f>
        <v>-1</v>
      </c>
      <c r="CN22" s="16">
        <f ca="1">(L22-'Airfoil 1'!$Z$83)/ABS(L22-'Airfoil 1'!$Z$83)</f>
        <v>-1</v>
      </c>
      <c r="CO22" s="16">
        <f ca="1">(L22-'Airfoil 1'!$Z$84)/ABS(L22-'Airfoil 1'!$Z$84)</f>
        <v>-1</v>
      </c>
      <c r="CP22" s="16">
        <f ca="1">(L22-'Airfoil 1'!$Z$85)/ABS(L22-'Airfoil 1'!$Z$85)</f>
        <v>-1</v>
      </c>
      <c r="CQ22" s="16">
        <f ca="1">(L22-'Airfoil 1'!$Z$86)/ABS(L22-'Airfoil 1'!$Z$86)</f>
        <v>-1</v>
      </c>
      <c r="CR22" s="16">
        <f ca="1">(L22-'Airfoil 1'!$Z$87)/ABS(L22-'Airfoil 1'!$Z$87)</f>
        <v>-1</v>
      </c>
      <c r="CS22" s="16">
        <f ca="1">(L22-'Airfoil 1'!$Z$88)/ABS(L22-'Airfoil 1'!$Z$88)</f>
        <v>-1</v>
      </c>
      <c r="CT22" s="16">
        <f ca="1">(L22-'Airfoil 1'!$Z$89)/ABS(L22-'Airfoil 1'!$Z$89)</f>
        <v>-1</v>
      </c>
      <c r="CU22" s="16">
        <f ca="1">(L22-'Airfoil 1'!$Z$90)/ABS(L22-'Airfoil 1'!$Z$90)</f>
        <v>-1</v>
      </c>
      <c r="CV22" s="16">
        <f ca="1">(L22-'Airfoil 1'!$Z$91)/ABS(L22-'Airfoil 1'!$Z$91)</f>
        <v>-1</v>
      </c>
      <c r="CW22" s="5">
        <f t="shared" ref="CW22:CW40" ca="1" si="10">MAX(1,MATCH(-1,CC22:CV22,0)-1)</f>
        <v>4</v>
      </c>
      <c r="CX22" s="42">
        <f ca="1">INDEX('Airfoil 1'!$AA$72:$AA$91,CW22,1)+INDEX('Airfoil 1'!$AB$72:$AB$91,CW22,1)*(L22-INDEX('Airfoil 1'!$Z$72:$Z$91,CW22,1))</f>
        <v>1.1110331491698345E-2</v>
      </c>
    </row>
    <row r="23" spans="2:102">
      <c r="B23" s="31">
        <f>Main!B23</f>
        <v>0.33333333333333326</v>
      </c>
      <c r="D23" s="1">
        <f>Cruise!F23</f>
        <v>0.65969672852566186</v>
      </c>
      <c r="E23" s="4">
        <f>ISA!$R$10</f>
        <v>1.5987591530356481E-5</v>
      </c>
      <c r="G23" s="20">
        <f ca="1">'Aerodynamics-Speed'!H23</f>
        <v>28.954278467517241</v>
      </c>
      <c r="H23" s="5">
        <f t="shared" ca="1" si="0"/>
        <v>398247.24371551903</v>
      </c>
      <c r="I23" s="16">
        <f ca="1">'Airfoil 2'!$K$14*H23^'Airfoil 2'!$L$13</f>
        <v>1.5857351263949202</v>
      </c>
      <c r="J23" s="1">
        <f ca="1">'Airfoil 2'!$K$33*H23^'Airfoil 2'!$L$32</f>
        <v>4.8195421116327051</v>
      </c>
      <c r="K23" s="13">
        <f ca="1">'Airfoil 2'!$K$52*H23^'Airfoil 2'!$L$51</f>
        <v>-9.9939460525470487</v>
      </c>
      <c r="L23" s="16">
        <f ca="1">'Aerodynamics-Speed'!W23</f>
        <v>0.89999999999795866</v>
      </c>
      <c r="M23" s="10">
        <f ca="1">('Airfoil 1'!$B$21+'Airfoil 1'!$B$22*L23+'Airfoil 1'!$B$23*L23^2+'Airfoil 1'!$B$24*L23^3+'Airfoil 1'!$B$25*L23^4+'Airfoil 1'!$B$26*L23^5+'Airfoil 1'!$B$27*L23^6)*0+BD23</f>
        <v>2.4489313868617642E-2</v>
      </c>
      <c r="N23" s="42">
        <f ca="1">('Airfoil 1'!$B$29+'Airfoil 1'!$B$30*L23+'Airfoil 1'!$B$31*L23^2+'Airfoil 1'!$B$32*L23^3+'Airfoil 1'!$B$33*L23^4+'Airfoil 1'!$B$34*L23^5+'Airfoil 1'!$B$35*L23^6)*0+CA23</f>
        <v>1.7370857855342939E-2</v>
      </c>
      <c r="O23" s="42">
        <f ca="1">('Airfoil 1'!$B$37+'Airfoil 1'!$B$38*L23+'Airfoil 1'!$B$39*L23^2+'Airfoil 1'!$B$40*L23^3+'Airfoil 1'!$B$41*L23^4+'Airfoil 1'!$B$42*L23^5+'Airfoil 1'!$B$43*L23^6)*0+CX23</f>
        <v>1.111033149169624E-2</v>
      </c>
      <c r="P23" s="16">
        <f>LOG('Airfoil 1'!$F$10)+LOG('Airfoil 1'!$G$10)+LOG('Airfoil 1'!$H$10)</f>
        <v>15.176091259055681</v>
      </c>
      <c r="Q23" s="16">
        <f t="shared" ca="1" si="1"/>
        <v>-5.3254750991939428</v>
      </c>
      <c r="R23" s="16">
        <f>LOG('Airfoil 1'!$F$10)^2+LOG('Airfoil 1'!$G$10)^2+LOG('Airfoil 1'!$H$10)^2</f>
        <v>76.867141336751558</v>
      </c>
      <c r="S23" s="16">
        <f ca="1">LOG('Airfoil 1'!$F$10)*LOG(M23)+LOG('Airfoil 1'!$G$10)*LOG(N23)+LOG('Airfoil 1'!$H$10)*LOG(O23)</f>
        <v>-27.014391057533363</v>
      </c>
      <c r="T23" s="16">
        <f t="shared" ca="1" si="2"/>
        <v>141.60346469318438</v>
      </c>
      <c r="U23" s="16">
        <f t="shared" ca="1" si="3"/>
        <v>-0.77613507569106566</v>
      </c>
      <c r="V23" s="42">
        <f ca="1">MAX(IF(Energy!$F$11=1,Energy!$T$13,1)*T23*H23^U23,O23)</f>
        <v>1.111033149169624E-2</v>
      </c>
      <c r="W23" s="10">
        <f ca="1">'Airfoil 1'!$B$48+'Airfoil 1'!$B$49*L23+'Airfoil 1'!$B$50*L23^2+'Airfoil 1'!$B$51*L23^3+'Airfoil 1'!$B$52*L23^4+'Airfoil 1'!$B$53*L23^5+'Airfoil 1'!$B$54*L23^6</f>
        <v>-0.155</v>
      </c>
      <c r="X23" s="42">
        <f ca="1">'Airfoil 1'!$B$56+'Airfoil 1'!$B$57*L23+'Airfoil 1'!$B$58*L23^2+'Airfoil 1'!$B$59*L23^3+'Airfoil 1'!$B$60*L23^4+'Airfoil 1'!$B$61*L23^5+'Airfoil 1'!$B$62*L23^6</f>
        <v>-0.155</v>
      </c>
      <c r="Y23" s="42">
        <f ca="1">'Airfoil 1'!$B$64+'Airfoil 1'!$B$65*L23+'Airfoil 1'!$B$66*L23^2+'Airfoil 1'!$B$67*L23^3+'Airfoil 1'!$B$681*L23^4+'Airfoil 1'!$B$69*L23^5+'Airfoil 1'!$B$70*L23^6</f>
        <v>-0.155</v>
      </c>
      <c r="Z23" s="16">
        <f>LOG('Airfoil 1'!$F$10)+LOG('Airfoil 1'!$G$10)+LOG('Airfoil 1'!$H$10)</f>
        <v>15.176091259055681</v>
      </c>
      <c r="AA23" s="16">
        <f t="shared" ca="1" si="4"/>
        <v>-2.4290049054891254</v>
      </c>
      <c r="AB23" s="16">
        <f>LOG('Airfoil 1'!$F$10)^2+LOG('Airfoil 1'!$G$10)^2+LOG('Airfoil 1'!$H$10)^2</f>
        <v>76.867141336751558</v>
      </c>
      <c r="AC23" s="16">
        <f ca="1">LOG('Airfoil 1'!$F$10)*LOG(ABS(W23))+LOG('Airfoil 1'!$G$10)*LOG(ABS(X23))+LOG('Airfoil 1'!$H$10)*LOG(ABS(Y23))</f>
        <v>-12.287600038132297</v>
      </c>
      <c r="AD23" s="16">
        <f t="shared" ca="1" si="5"/>
        <v>0.1550000000000121</v>
      </c>
      <c r="AE23" s="16">
        <f t="shared" ca="1" si="6"/>
        <v>-6.6718325633022456E-15</v>
      </c>
      <c r="AF23" s="42">
        <f t="shared" ca="1" si="7"/>
        <v>-0.15499999999999878</v>
      </c>
      <c r="AG23" s="16"/>
      <c r="AH23" s="42"/>
      <c r="AI23" s="16">
        <f ca="1">(L23-'Airfoil 1'!$Z$22)/ABS(L23-'Airfoil 1'!$Z$22)</f>
        <v>1</v>
      </c>
      <c r="AJ23" s="16">
        <f ca="1">(L23-'Airfoil 1'!$Z$23)/ABS(L23-'Airfoil 1'!$Z$23)</f>
        <v>1</v>
      </c>
      <c r="AK23" s="16">
        <f ca="1">(L23-'Airfoil 1'!$Z$24)/ABS(L23-'Airfoil 1'!$Z$24)</f>
        <v>1</v>
      </c>
      <c r="AL23" s="16">
        <f ca="1">(L23-'Airfoil 1'!$Z$25)/ABS(L23-'Airfoil 1'!$Z$25)</f>
        <v>1</v>
      </c>
      <c r="AM23" s="16">
        <f ca="1">(L23-'Airfoil 1'!$Z$26)/ABS(L23-'Airfoil 1'!$Z$26)</f>
        <v>1</v>
      </c>
      <c r="AN23" s="16">
        <f ca="1">(L23-'Airfoil 1'!$Z$27)/ABS(L23-'Airfoil 1'!$Z$27)</f>
        <v>1</v>
      </c>
      <c r="AO23" s="16">
        <f ca="1">(L23-'Airfoil 1'!$Z$28)/ABS(L23-'Airfoil 1'!$Z$28)</f>
        <v>1</v>
      </c>
      <c r="AP23" s="16">
        <f ca="1">(L23-'Airfoil 1'!$Z$29)/ABS(L23-'Airfoil 1'!$Z$29)</f>
        <v>-1</v>
      </c>
      <c r="AQ23" s="16">
        <f ca="1">(L23-'Airfoil 1'!$Z$30)/ABS(L23-'Airfoil 1'!$Z$30)</f>
        <v>-1</v>
      </c>
      <c r="AR23" s="16">
        <f ca="1">(L23-'Airfoil 1'!$Z$31)/ABS(L23-'Airfoil 1'!$Z$31)</f>
        <v>-1</v>
      </c>
      <c r="AS23" s="16">
        <f ca="1">(L23-'Airfoil 1'!$Z$32)/ABS(L23-'Airfoil 1'!$Z$32)</f>
        <v>-1</v>
      </c>
      <c r="AT23" s="16">
        <f ca="1">(L23-'Airfoil 1'!$Z$33)/ABS(L23-'Airfoil 1'!$Z$33)</f>
        <v>-1</v>
      </c>
      <c r="AU23" s="16">
        <f ca="1">(L23-'Airfoil 1'!$Z$34)/ABS(L23-'Airfoil 1'!$Z$34)</f>
        <v>-1</v>
      </c>
      <c r="AV23" s="16">
        <f ca="1">(L23-'Airfoil 1'!$Z$35)/ABS(L23-'Airfoil 1'!$Z$35)</f>
        <v>-1</v>
      </c>
      <c r="AW23" s="16">
        <f ca="1">(L23-'Airfoil 1'!$Z$36)/ABS(L23-'Airfoil 1'!$Z$36)</f>
        <v>-1</v>
      </c>
      <c r="AX23" s="16">
        <f ca="1">(L23-'Airfoil 1'!$Z$37)/ABS(L23-'Airfoil 1'!$Z$37)</f>
        <v>-1</v>
      </c>
      <c r="AY23" s="16">
        <f ca="1">(L23-'Airfoil 1'!$Z$38)/ABS(L23-'Airfoil 1'!$Z$38)</f>
        <v>-1</v>
      </c>
      <c r="AZ23" s="16">
        <f ca="1">(L23-'Airfoil 1'!$Z$39)/ABS(L23-'Airfoil 1'!$Z$39)</f>
        <v>-1</v>
      </c>
      <c r="BA23" s="16">
        <f ca="1">(L23-'Airfoil 1'!$Z$40)/ABS(L23-'Airfoil 1'!$Z$40)</f>
        <v>-1</v>
      </c>
      <c r="BB23" s="16">
        <f ca="1">(L23-'Airfoil 1'!$Z$41)/ABS(L23-'Airfoil 1'!$Z$41)</f>
        <v>-1</v>
      </c>
      <c r="BC23" s="5">
        <f t="shared" ca="1" si="8"/>
        <v>7</v>
      </c>
      <c r="BD23" s="42">
        <f ca="1">INDEX('Airfoil 1'!$AA$22:$AA$41,BC23,1)+INDEX('Airfoil 1'!$AB$22:$AB$41,BC23,1)*(L23-INDEX('Airfoil 1'!$Z$22:$Z$41,BC23,1))</f>
        <v>2.4489313868617611E-2</v>
      </c>
      <c r="BE23" s="6"/>
      <c r="BF23" s="16">
        <f ca="1">(L23-'Airfoil 1'!$Z$47)/ABS(L23-'Airfoil 1'!$Z$47)</f>
        <v>1</v>
      </c>
      <c r="BG23" s="16">
        <f ca="1">(L23-'Airfoil 1'!$Z$48)/ABS(L23-'Airfoil 1'!$Z$48)</f>
        <v>1</v>
      </c>
      <c r="BH23" s="16">
        <f ca="1">(L23-'Airfoil 1'!$Z$49)/ABS(L23-'Airfoil 1'!$Z$49)</f>
        <v>1</v>
      </c>
      <c r="BI23" s="16">
        <f ca="1">(L23-'Airfoil 1'!$Z$50)/ABS(L23-'Airfoil 1'!$Z$50)</f>
        <v>1</v>
      </c>
      <c r="BJ23" s="16">
        <f ca="1">(L23-'Airfoil 1'!$Z$51)/ABS(L23-'Airfoil 1'!$Z$51)</f>
        <v>1</v>
      </c>
      <c r="BK23" s="16">
        <f ca="1">(L23-'Airfoil 1'!$Z$52)/ABS(L23-'Airfoil 1'!$Z$52)</f>
        <v>1</v>
      </c>
      <c r="BL23" s="16">
        <f ca="1">(L23-'Airfoil 1'!$Z$53)/ABS(L23-'Airfoil 1'!$Z$53)</f>
        <v>-1</v>
      </c>
      <c r="BM23" s="16">
        <f ca="1">(L23-'Airfoil 1'!$Z$54)/ABS(L23-'Airfoil 1'!$Z$54)</f>
        <v>-1</v>
      </c>
      <c r="BN23" s="16">
        <f ca="1">(L23-'Airfoil 1'!$Z$55)/ABS(L23-'Airfoil 1'!$Z$55)</f>
        <v>-1</v>
      </c>
      <c r="BO23" s="16">
        <f ca="1">(L23-'Airfoil 1'!$Z$56)/ABS(L23-'Airfoil 1'!$Z$56)</f>
        <v>-1</v>
      </c>
      <c r="BP23" s="16">
        <f ca="1">(L23-'Airfoil 1'!$Z$57)/ABS(L23-'Airfoil 1'!$Z$57)</f>
        <v>-1</v>
      </c>
      <c r="BQ23" s="16">
        <f ca="1">(L23-'Airfoil 1'!$Z$58)/ABS(L23-'Airfoil 1'!$Z$58)</f>
        <v>-1</v>
      </c>
      <c r="BR23" s="16">
        <f ca="1">(L23-'Airfoil 1'!$Z$59)/ABS(L23-'Airfoil 1'!$Z$59)</f>
        <v>-1</v>
      </c>
      <c r="BS23" s="16">
        <f ca="1">(L23-'Airfoil 1'!$Z$60)/ABS(L23-'Airfoil 1'!$Z$60)</f>
        <v>-1</v>
      </c>
      <c r="BT23" s="16">
        <f ca="1">(L23-'Airfoil 1'!$Z$61)/ABS(L23-'Airfoil 1'!$Z$61)</f>
        <v>-1</v>
      </c>
      <c r="BU23" s="16">
        <f ca="1">(L23-'Airfoil 1'!$Z$62)/ABS(L23-'Airfoil 1'!$Z$62)</f>
        <v>-1</v>
      </c>
      <c r="BV23" s="16">
        <f ca="1">(L23-'Airfoil 1'!$Z$63)/ABS(L23-'Airfoil 1'!$Z$63)</f>
        <v>-1</v>
      </c>
      <c r="BW23" s="16">
        <f ca="1">(L23-'Airfoil 1'!$Z$64)/ABS(L23-'Airfoil 1'!$Z$64)</f>
        <v>-1</v>
      </c>
      <c r="BX23" s="16">
        <f ca="1">(L23-'Airfoil 1'!$Z$65)/ABS(L23-'Airfoil 1'!$Z$65)</f>
        <v>-1</v>
      </c>
      <c r="BY23" s="16">
        <f ca="1">(L23-'Airfoil 1'!$Z$66)/ABS(L23-'Airfoil 1'!$Z$66)</f>
        <v>-1</v>
      </c>
      <c r="BZ23" s="5">
        <f t="shared" ca="1" si="9"/>
        <v>6</v>
      </c>
      <c r="CA23" s="42">
        <f ca="1">INDEX('Airfoil 1'!$AA$47:$AA$66,BZ23,1)+INDEX('Airfoil 1'!$AB$47:$AB$66,BZ23,1)*(L23-INDEX('Airfoil 1'!$Z$47:$Z$66,BZ23,1))</f>
        <v>1.7370857855343067E-2</v>
      </c>
      <c r="CC23" s="16">
        <f ca="1">(L23-'Airfoil 1'!$Z$72)/ABS(L23-'Airfoil 1'!$Z$72)</f>
        <v>1</v>
      </c>
      <c r="CD23" s="16">
        <f ca="1">(L23-'Airfoil 1'!$Z$73)/ABS(L23-'Airfoil 1'!$Z$73)</f>
        <v>1</v>
      </c>
      <c r="CE23" s="16">
        <f ca="1">(L23-'Airfoil 1'!$Z$74)/ABS(L23-'Airfoil 1'!$Z$74)</f>
        <v>1</v>
      </c>
      <c r="CF23" s="16">
        <f ca="1">(L23-'Airfoil 1'!$Z$75)/ABS(L23-'Airfoil 1'!$Z$75)</f>
        <v>1</v>
      </c>
      <c r="CG23" s="16">
        <f ca="1">(L23-'Airfoil 1'!$Z$76)/ABS(L23-'Airfoil 1'!$Z$76)</f>
        <v>-1</v>
      </c>
      <c r="CH23" s="16">
        <f ca="1">(L23-'Airfoil 1'!$Z$77)/ABS(L23-'Airfoil 1'!$Z$77)</f>
        <v>-1</v>
      </c>
      <c r="CI23" s="16">
        <f ca="1">(L23-'Airfoil 1'!$Z$78)/ABS(L23-'Airfoil 1'!$Z$78)</f>
        <v>-1</v>
      </c>
      <c r="CJ23" s="16">
        <f ca="1">(L23-'Airfoil 1'!$Z$79)/ABS(L23-'Airfoil 1'!$Z$79)</f>
        <v>-1</v>
      </c>
      <c r="CK23" s="16">
        <f ca="1">(L23-'Airfoil 1'!$Z$80)/ABS(L23-'Airfoil 1'!$Z$80)</f>
        <v>-1</v>
      </c>
      <c r="CL23" s="16">
        <f ca="1">(L23-'Airfoil 1'!$Z$81)/ABS(L23-'Airfoil 1'!$Z$81)</f>
        <v>-1</v>
      </c>
      <c r="CM23" s="16">
        <f ca="1">(L23-'Airfoil 1'!$Z$82)/ABS(L23-'Airfoil 1'!$Z$82)</f>
        <v>-1</v>
      </c>
      <c r="CN23" s="16">
        <f ca="1">(L23-'Airfoil 1'!$Z$83)/ABS(L23-'Airfoil 1'!$Z$83)</f>
        <v>-1</v>
      </c>
      <c r="CO23" s="16">
        <f ca="1">(L23-'Airfoil 1'!$Z$84)/ABS(L23-'Airfoil 1'!$Z$84)</f>
        <v>-1</v>
      </c>
      <c r="CP23" s="16">
        <f ca="1">(L23-'Airfoil 1'!$Z$85)/ABS(L23-'Airfoil 1'!$Z$85)</f>
        <v>-1</v>
      </c>
      <c r="CQ23" s="16">
        <f ca="1">(L23-'Airfoil 1'!$Z$86)/ABS(L23-'Airfoil 1'!$Z$86)</f>
        <v>-1</v>
      </c>
      <c r="CR23" s="16">
        <f ca="1">(L23-'Airfoil 1'!$Z$87)/ABS(L23-'Airfoil 1'!$Z$87)</f>
        <v>-1</v>
      </c>
      <c r="CS23" s="16">
        <f ca="1">(L23-'Airfoil 1'!$Z$88)/ABS(L23-'Airfoil 1'!$Z$88)</f>
        <v>-1</v>
      </c>
      <c r="CT23" s="16">
        <f ca="1">(L23-'Airfoil 1'!$Z$89)/ABS(L23-'Airfoil 1'!$Z$89)</f>
        <v>-1</v>
      </c>
      <c r="CU23" s="16">
        <f ca="1">(L23-'Airfoil 1'!$Z$90)/ABS(L23-'Airfoil 1'!$Z$90)</f>
        <v>-1</v>
      </c>
      <c r="CV23" s="16">
        <f ca="1">(L23-'Airfoil 1'!$Z$91)/ABS(L23-'Airfoil 1'!$Z$91)</f>
        <v>-1</v>
      </c>
      <c r="CW23" s="5">
        <f t="shared" ca="1" si="10"/>
        <v>4</v>
      </c>
      <c r="CX23" s="42">
        <f ca="1">INDEX('Airfoil 1'!$AA$72:$AA$91,CW23,1)+INDEX('Airfoil 1'!$AB$72:$AB$91,CW23,1)*(L23-INDEX('Airfoil 1'!$Z$72:$Z$91,CW23,1))</f>
        <v>1.1110331491696353E-2</v>
      </c>
    </row>
    <row r="24" spans="2:102">
      <c r="B24" s="31">
        <f>Main!B24</f>
        <v>0.33333333333333326</v>
      </c>
      <c r="D24" s="1">
        <f>Cruise!F24</f>
        <v>0.65969672852566186</v>
      </c>
      <c r="E24" s="4">
        <f>ISA!$R$10</f>
        <v>1.5987591530356481E-5</v>
      </c>
      <c r="G24" s="20">
        <f ca="1">'Aerodynamics-Speed'!H24</f>
        <v>27.449674188602877</v>
      </c>
      <c r="H24" s="5">
        <f t="shared" ca="1" si="0"/>
        <v>377552.39173941303</v>
      </c>
      <c r="I24" s="16">
        <f ca="1">'Airfoil 2'!$K$14*H24^'Airfoil 2'!$L$13</f>
        <v>1.5845592203515857</v>
      </c>
      <c r="J24" s="1">
        <f ca="1">'Airfoil 2'!$K$33*H24^'Airfoil 2'!$L$32</f>
        <v>4.9068271558897125</v>
      </c>
      <c r="K24" s="13">
        <f ca="1">'Airfoil 2'!$K$52*H24^'Airfoil 2'!$L$51</f>
        <v>-9.6435811822448603</v>
      </c>
      <c r="L24" s="16">
        <f ca="1">'Aerodynamics-Speed'!W24</f>
        <v>0.8999999999973155</v>
      </c>
      <c r="M24" s="10">
        <f ca="1">('Airfoil 1'!$B$21+'Airfoil 1'!$B$22*L24+'Airfoil 1'!$B$23*L24^2+'Airfoil 1'!$B$24*L24^3+'Airfoil 1'!$B$25*L24^4+'Airfoil 1'!$B$26*L24^5+'Airfoil 1'!$B$27*L24^6)*0+BD24</f>
        <v>2.4489313868619057E-2</v>
      </c>
      <c r="N24" s="42">
        <f ca="1">('Airfoil 1'!$B$29+'Airfoil 1'!$B$30*L24+'Airfoil 1'!$B$31*L24^2+'Airfoil 1'!$B$32*L24^3+'Airfoil 1'!$B$33*L24^4+'Airfoil 1'!$B$34*L24^5+'Airfoil 1'!$B$35*L24^6)*0+CA24</f>
        <v>1.7370857855337062E-2</v>
      </c>
      <c r="O24" s="42">
        <f ca="1">('Airfoil 1'!$B$37+'Airfoil 1'!$B$38*L24+'Airfoil 1'!$B$39*L24^2+'Airfoil 1'!$B$40*L24^3+'Airfoil 1'!$B$41*L24^4+'Airfoil 1'!$B$42*L24^5+'Airfoil 1'!$B$43*L24^6)*0+CX24</f>
        <v>1.1110331491691055E-2</v>
      </c>
      <c r="P24" s="16">
        <f>LOG('Airfoil 1'!$F$10)+LOG('Airfoil 1'!$G$10)+LOG('Airfoil 1'!$H$10)</f>
        <v>15.176091259055681</v>
      </c>
      <c r="Q24" s="16">
        <f t="shared" ca="1" si="1"/>
        <v>-5.3254750991942679</v>
      </c>
      <c r="R24" s="16">
        <f>LOG('Airfoil 1'!$F$10)^2+LOG('Airfoil 1'!$G$10)^2+LOG('Airfoil 1'!$H$10)^2</f>
        <v>76.867141336751558</v>
      </c>
      <c r="S24" s="16">
        <f ca="1">LOG('Airfoil 1'!$F$10)*LOG(M24)+LOG('Airfoil 1'!$G$10)*LOG(N24)+LOG('Airfoil 1'!$H$10)*LOG(O24)</f>
        <v>-27.01439105753505</v>
      </c>
      <c r="T24" s="16">
        <f t="shared" ca="1" si="2"/>
        <v>141.60346469384507</v>
      </c>
      <c r="U24" s="16">
        <f t="shared" ca="1" si="3"/>
        <v>-0.77613507569148754</v>
      </c>
      <c r="V24" s="42">
        <f ca="1">MAX(IF(Energy!$F$11=1,Energy!$T$13,1)*T24*H24^U24,O24)</f>
        <v>1.1110331491691055E-2</v>
      </c>
      <c r="W24" s="10">
        <f ca="1">'Airfoil 1'!$B$48+'Airfoil 1'!$B$49*L24+'Airfoil 1'!$B$50*L24^2+'Airfoil 1'!$B$51*L24^3+'Airfoil 1'!$B$52*L24^4+'Airfoil 1'!$B$53*L24^5+'Airfoil 1'!$B$54*L24^6</f>
        <v>-0.155</v>
      </c>
      <c r="X24" s="42">
        <f ca="1">'Airfoil 1'!$B$56+'Airfoil 1'!$B$57*L24+'Airfoil 1'!$B$58*L24^2+'Airfoil 1'!$B$59*L24^3+'Airfoil 1'!$B$60*L24^4+'Airfoil 1'!$B$61*L24^5+'Airfoil 1'!$B$62*L24^6</f>
        <v>-0.155</v>
      </c>
      <c r="Y24" s="42">
        <f ca="1">'Airfoil 1'!$B$64+'Airfoil 1'!$B$65*L24+'Airfoil 1'!$B$66*L24^2+'Airfoil 1'!$B$67*L24^3+'Airfoil 1'!$B$681*L24^4+'Airfoil 1'!$B$69*L24^5+'Airfoil 1'!$B$70*L24^6</f>
        <v>-0.155</v>
      </c>
      <c r="Z24" s="16">
        <f>LOG('Airfoil 1'!$F$10)+LOG('Airfoil 1'!$G$10)+LOG('Airfoil 1'!$H$10)</f>
        <v>15.176091259055681</v>
      </c>
      <c r="AA24" s="16">
        <f t="shared" ca="1" si="4"/>
        <v>-2.4290049054891254</v>
      </c>
      <c r="AB24" s="16">
        <f>LOG('Airfoil 1'!$F$10)^2+LOG('Airfoil 1'!$G$10)^2+LOG('Airfoil 1'!$H$10)^2</f>
        <v>76.867141336751558</v>
      </c>
      <c r="AC24" s="16">
        <f ca="1">LOG('Airfoil 1'!$F$10)*LOG(ABS(W24))+LOG('Airfoil 1'!$G$10)*LOG(ABS(X24))+LOG('Airfoil 1'!$H$10)*LOG(ABS(Y24))</f>
        <v>-12.287600038132297</v>
      </c>
      <c r="AD24" s="16">
        <f t="shared" ca="1" si="5"/>
        <v>0.1550000000000121</v>
      </c>
      <c r="AE24" s="16">
        <f t="shared" ca="1" si="6"/>
        <v>-6.6718325633022456E-15</v>
      </c>
      <c r="AF24" s="42">
        <f t="shared" ca="1" si="7"/>
        <v>-0.15499999999999881</v>
      </c>
      <c r="AG24" s="16"/>
      <c r="AH24" s="42"/>
      <c r="AI24" s="16">
        <f ca="1">(L24-'Airfoil 1'!$Z$22)/ABS(L24-'Airfoil 1'!$Z$22)</f>
        <v>1</v>
      </c>
      <c r="AJ24" s="16">
        <f ca="1">(L24-'Airfoil 1'!$Z$23)/ABS(L24-'Airfoil 1'!$Z$23)</f>
        <v>1</v>
      </c>
      <c r="AK24" s="16">
        <f ca="1">(L24-'Airfoil 1'!$Z$24)/ABS(L24-'Airfoil 1'!$Z$24)</f>
        <v>1</v>
      </c>
      <c r="AL24" s="16">
        <f ca="1">(L24-'Airfoil 1'!$Z$25)/ABS(L24-'Airfoil 1'!$Z$25)</f>
        <v>1</v>
      </c>
      <c r="AM24" s="16">
        <f ca="1">(L24-'Airfoil 1'!$Z$26)/ABS(L24-'Airfoil 1'!$Z$26)</f>
        <v>1</v>
      </c>
      <c r="AN24" s="16">
        <f ca="1">(L24-'Airfoil 1'!$Z$27)/ABS(L24-'Airfoil 1'!$Z$27)</f>
        <v>1</v>
      </c>
      <c r="AO24" s="16">
        <f ca="1">(L24-'Airfoil 1'!$Z$28)/ABS(L24-'Airfoil 1'!$Z$28)</f>
        <v>1</v>
      </c>
      <c r="AP24" s="16">
        <f ca="1">(L24-'Airfoil 1'!$Z$29)/ABS(L24-'Airfoil 1'!$Z$29)</f>
        <v>-1</v>
      </c>
      <c r="AQ24" s="16">
        <f ca="1">(L24-'Airfoil 1'!$Z$30)/ABS(L24-'Airfoil 1'!$Z$30)</f>
        <v>-1</v>
      </c>
      <c r="AR24" s="16">
        <f ca="1">(L24-'Airfoil 1'!$Z$31)/ABS(L24-'Airfoil 1'!$Z$31)</f>
        <v>-1</v>
      </c>
      <c r="AS24" s="16">
        <f ca="1">(L24-'Airfoil 1'!$Z$32)/ABS(L24-'Airfoil 1'!$Z$32)</f>
        <v>-1</v>
      </c>
      <c r="AT24" s="16">
        <f ca="1">(L24-'Airfoil 1'!$Z$33)/ABS(L24-'Airfoil 1'!$Z$33)</f>
        <v>-1</v>
      </c>
      <c r="AU24" s="16">
        <f ca="1">(L24-'Airfoil 1'!$Z$34)/ABS(L24-'Airfoil 1'!$Z$34)</f>
        <v>-1</v>
      </c>
      <c r="AV24" s="16">
        <f ca="1">(L24-'Airfoil 1'!$Z$35)/ABS(L24-'Airfoil 1'!$Z$35)</f>
        <v>-1</v>
      </c>
      <c r="AW24" s="16">
        <f ca="1">(L24-'Airfoil 1'!$Z$36)/ABS(L24-'Airfoil 1'!$Z$36)</f>
        <v>-1</v>
      </c>
      <c r="AX24" s="16">
        <f ca="1">(L24-'Airfoil 1'!$Z$37)/ABS(L24-'Airfoil 1'!$Z$37)</f>
        <v>-1</v>
      </c>
      <c r="AY24" s="16">
        <f ca="1">(L24-'Airfoil 1'!$Z$38)/ABS(L24-'Airfoil 1'!$Z$38)</f>
        <v>-1</v>
      </c>
      <c r="AZ24" s="16">
        <f ca="1">(L24-'Airfoil 1'!$Z$39)/ABS(L24-'Airfoil 1'!$Z$39)</f>
        <v>-1</v>
      </c>
      <c r="BA24" s="16">
        <f ca="1">(L24-'Airfoil 1'!$Z$40)/ABS(L24-'Airfoil 1'!$Z$40)</f>
        <v>-1</v>
      </c>
      <c r="BB24" s="16">
        <f ca="1">(L24-'Airfoil 1'!$Z$41)/ABS(L24-'Airfoil 1'!$Z$41)</f>
        <v>-1</v>
      </c>
      <c r="BC24" s="5">
        <f t="shared" ca="1" si="8"/>
        <v>7</v>
      </c>
      <c r="BD24" s="42">
        <f ca="1">INDEX('Airfoil 1'!$AA$22:$AA$41,BC24,1)+INDEX('Airfoil 1'!$AB$22:$AB$41,BC24,1)*(L24-INDEX('Airfoil 1'!$Z$22:$Z$41,BC24,1))</f>
        <v>2.4489313868619019E-2</v>
      </c>
      <c r="BE24" s="6"/>
      <c r="BF24" s="16">
        <f ca="1">(L24-'Airfoil 1'!$Z$47)/ABS(L24-'Airfoil 1'!$Z$47)</f>
        <v>1</v>
      </c>
      <c r="BG24" s="16">
        <f ca="1">(L24-'Airfoil 1'!$Z$48)/ABS(L24-'Airfoil 1'!$Z$48)</f>
        <v>1</v>
      </c>
      <c r="BH24" s="16">
        <f ca="1">(L24-'Airfoil 1'!$Z$49)/ABS(L24-'Airfoil 1'!$Z$49)</f>
        <v>1</v>
      </c>
      <c r="BI24" s="16">
        <f ca="1">(L24-'Airfoil 1'!$Z$50)/ABS(L24-'Airfoil 1'!$Z$50)</f>
        <v>1</v>
      </c>
      <c r="BJ24" s="16">
        <f ca="1">(L24-'Airfoil 1'!$Z$51)/ABS(L24-'Airfoil 1'!$Z$51)</f>
        <v>1</v>
      </c>
      <c r="BK24" s="16">
        <f ca="1">(L24-'Airfoil 1'!$Z$52)/ABS(L24-'Airfoil 1'!$Z$52)</f>
        <v>1</v>
      </c>
      <c r="BL24" s="16">
        <f ca="1">(L24-'Airfoil 1'!$Z$53)/ABS(L24-'Airfoil 1'!$Z$53)</f>
        <v>-1</v>
      </c>
      <c r="BM24" s="16">
        <f ca="1">(L24-'Airfoil 1'!$Z$54)/ABS(L24-'Airfoil 1'!$Z$54)</f>
        <v>-1</v>
      </c>
      <c r="BN24" s="16">
        <f ca="1">(L24-'Airfoil 1'!$Z$55)/ABS(L24-'Airfoil 1'!$Z$55)</f>
        <v>-1</v>
      </c>
      <c r="BO24" s="16">
        <f ca="1">(L24-'Airfoil 1'!$Z$56)/ABS(L24-'Airfoil 1'!$Z$56)</f>
        <v>-1</v>
      </c>
      <c r="BP24" s="16">
        <f ca="1">(L24-'Airfoil 1'!$Z$57)/ABS(L24-'Airfoil 1'!$Z$57)</f>
        <v>-1</v>
      </c>
      <c r="BQ24" s="16">
        <f ca="1">(L24-'Airfoil 1'!$Z$58)/ABS(L24-'Airfoil 1'!$Z$58)</f>
        <v>-1</v>
      </c>
      <c r="BR24" s="16">
        <f ca="1">(L24-'Airfoil 1'!$Z$59)/ABS(L24-'Airfoil 1'!$Z$59)</f>
        <v>-1</v>
      </c>
      <c r="BS24" s="16">
        <f ca="1">(L24-'Airfoil 1'!$Z$60)/ABS(L24-'Airfoil 1'!$Z$60)</f>
        <v>-1</v>
      </c>
      <c r="BT24" s="16">
        <f ca="1">(L24-'Airfoil 1'!$Z$61)/ABS(L24-'Airfoil 1'!$Z$61)</f>
        <v>-1</v>
      </c>
      <c r="BU24" s="16">
        <f ca="1">(L24-'Airfoil 1'!$Z$62)/ABS(L24-'Airfoil 1'!$Z$62)</f>
        <v>-1</v>
      </c>
      <c r="BV24" s="16">
        <f ca="1">(L24-'Airfoil 1'!$Z$63)/ABS(L24-'Airfoil 1'!$Z$63)</f>
        <v>-1</v>
      </c>
      <c r="BW24" s="16">
        <f ca="1">(L24-'Airfoil 1'!$Z$64)/ABS(L24-'Airfoil 1'!$Z$64)</f>
        <v>-1</v>
      </c>
      <c r="BX24" s="16">
        <f ca="1">(L24-'Airfoil 1'!$Z$65)/ABS(L24-'Airfoil 1'!$Z$65)</f>
        <v>-1</v>
      </c>
      <c r="BY24" s="16">
        <f ca="1">(L24-'Airfoil 1'!$Z$66)/ABS(L24-'Airfoil 1'!$Z$66)</f>
        <v>-1</v>
      </c>
      <c r="BZ24" s="5">
        <f t="shared" ca="1" si="9"/>
        <v>6</v>
      </c>
      <c r="CA24" s="42">
        <f ca="1">INDEX('Airfoil 1'!$AA$47:$AA$66,BZ24,1)+INDEX('Airfoil 1'!$AB$47:$AB$66,BZ24,1)*(L24-INDEX('Airfoil 1'!$Z$47:$Z$66,BZ24,1))</f>
        <v>1.7370857855337228E-2</v>
      </c>
      <c r="CC24" s="16">
        <f ca="1">(L24-'Airfoil 1'!$Z$72)/ABS(L24-'Airfoil 1'!$Z$72)</f>
        <v>1</v>
      </c>
      <c r="CD24" s="16">
        <f ca="1">(L24-'Airfoil 1'!$Z$73)/ABS(L24-'Airfoil 1'!$Z$73)</f>
        <v>1</v>
      </c>
      <c r="CE24" s="16">
        <f ca="1">(L24-'Airfoil 1'!$Z$74)/ABS(L24-'Airfoil 1'!$Z$74)</f>
        <v>1</v>
      </c>
      <c r="CF24" s="16">
        <f ca="1">(L24-'Airfoil 1'!$Z$75)/ABS(L24-'Airfoil 1'!$Z$75)</f>
        <v>1</v>
      </c>
      <c r="CG24" s="16">
        <f ca="1">(L24-'Airfoil 1'!$Z$76)/ABS(L24-'Airfoil 1'!$Z$76)</f>
        <v>-1</v>
      </c>
      <c r="CH24" s="16">
        <f ca="1">(L24-'Airfoil 1'!$Z$77)/ABS(L24-'Airfoil 1'!$Z$77)</f>
        <v>-1</v>
      </c>
      <c r="CI24" s="16">
        <f ca="1">(L24-'Airfoil 1'!$Z$78)/ABS(L24-'Airfoil 1'!$Z$78)</f>
        <v>-1</v>
      </c>
      <c r="CJ24" s="16">
        <f ca="1">(L24-'Airfoil 1'!$Z$79)/ABS(L24-'Airfoil 1'!$Z$79)</f>
        <v>-1</v>
      </c>
      <c r="CK24" s="16">
        <f ca="1">(L24-'Airfoil 1'!$Z$80)/ABS(L24-'Airfoil 1'!$Z$80)</f>
        <v>-1</v>
      </c>
      <c r="CL24" s="16">
        <f ca="1">(L24-'Airfoil 1'!$Z$81)/ABS(L24-'Airfoil 1'!$Z$81)</f>
        <v>-1</v>
      </c>
      <c r="CM24" s="16">
        <f ca="1">(L24-'Airfoil 1'!$Z$82)/ABS(L24-'Airfoil 1'!$Z$82)</f>
        <v>-1</v>
      </c>
      <c r="CN24" s="16">
        <f ca="1">(L24-'Airfoil 1'!$Z$83)/ABS(L24-'Airfoil 1'!$Z$83)</f>
        <v>-1</v>
      </c>
      <c r="CO24" s="16">
        <f ca="1">(L24-'Airfoil 1'!$Z$84)/ABS(L24-'Airfoil 1'!$Z$84)</f>
        <v>-1</v>
      </c>
      <c r="CP24" s="16">
        <f ca="1">(L24-'Airfoil 1'!$Z$85)/ABS(L24-'Airfoil 1'!$Z$85)</f>
        <v>-1</v>
      </c>
      <c r="CQ24" s="16">
        <f ca="1">(L24-'Airfoil 1'!$Z$86)/ABS(L24-'Airfoil 1'!$Z$86)</f>
        <v>-1</v>
      </c>
      <c r="CR24" s="16">
        <f ca="1">(L24-'Airfoil 1'!$Z$87)/ABS(L24-'Airfoil 1'!$Z$87)</f>
        <v>-1</v>
      </c>
      <c r="CS24" s="16">
        <f ca="1">(L24-'Airfoil 1'!$Z$88)/ABS(L24-'Airfoil 1'!$Z$88)</f>
        <v>-1</v>
      </c>
      <c r="CT24" s="16">
        <f ca="1">(L24-'Airfoil 1'!$Z$89)/ABS(L24-'Airfoil 1'!$Z$89)</f>
        <v>-1</v>
      </c>
      <c r="CU24" s="16">
        <f ca="1">(L24-'Airfoil 1'!$Z$90)/ABS(L24-'Airfoil 1'!$Z$90)</f>
        <v>-1</v>
      </c>
      <c r="CV24" s="16">
        <f ca="1">(L24-'Airfoil 1'!$Z$91)/ABS(L24-'Airfoil 1'!$Z$91)</f>
        <v>-1</v>
      </c>
      <c r="CW24" s="5">
        <f t="shared" ca="1" si="10"/>
        <v>4</v>
      </c>
      <c r="CX24" s="42">
        <f ca="1">INDEX('Airfoil 1'!$AA$72:$AA$91,CW24,1)+INDEX('Airfoil 1'!$AB$72:$AB$91,CW24,1)*(L24-INDEX('Airfoil 1'!$Z$72:$Z$91,CW24,1))</f>
        <v>1.1110331491691201E-2</v>
      </c>
    </row>
    <row r="25" spans="2:102">
      <c r="B25" s="31">
        <f>Main!B25</f>
        <v>0.33333333333333326</v>
      </c>
      <c r="D25" s="1">
        <f>Cruise!F25</f>
        <v>0.65969672852566186</v>
      </c>
      <c r="E25" s="4">
        <f>ISA!$R$10</f>
        <v>1.5987591530356481E-5</v>
      </c>
      <c r="G25" s="20">
        <f ca="1">'Aerodynamics-Speed'!H25</f>
        <v>27.03883277587974</v>
      </c>
      <c r="H25" s="5">
        <f t="shared" ca="1" si="0"/>
        <v>371901.53566973982</v>
      </c>
      <c r="I25" s="16">
        <f ca="1">'Airfoil 2'!$K$14*H25^'Airfoil 2'!$L$13</f>
        <v>1.5842270753320886</v>
      </c>
      <c r="J25" s="1">
        <f ca="1">'Airfoil 2'!$K$33*H25^'Airfoil 2'!$L$32</f>
        <v>4.9317785666755762</v>
      </c>
      <c r="K25" s="13">
        <f ca="1">'Airfoil 2'!$K$52*H25^'Airfoil 2'!$L$51</f>
        <v>-9.5468153913818838</v>
      </c>
      <c r="L25" s="16">
        <f ca="1">'Aerodynamics-Speed'!W25</f>
        <v>0.89999999999702407</v>
      </c>
      <c r="M25" s="10">
        <f ca="1">('Airfoil 1'!$B$21+'Airfoil 1'!$B$22*L25+'Airfoil 1'!$B$23*L25^2+'Airfoil 1'!$B$24*L25^3+'Airfoil 1'!$B$25*L25^4+'Airfoil 1'!$B$26*L25^5+'Airfoil 1'!$B$27*L25^6)*0+BD25</f>
        <v>2.4489313868619699E-2</v>
      </c>
      <c r="N25" s="42">
        <f ca="1">('Airfoil 1'!$B$29+'Airfoil 1'!$B$30*L25+'Airfoil 1'!$B$31*L25^2+'Airfoil 1'!$B$32*L25^3+'Airfoil 1'!$B$33*L25^4+'Airfoil 1'!$B$34*L25^5+'Airfoil 1'!$B$35*L25^6)*0+CA25</f>
        <v>1.73708578553344E-2</v>
      </c>
      <c r="O25" s="42">
        <f ca="1">('Airfoil 1'!$B$37+'Airfoil 1'!$B$38*L25+'Airfoil 1'!$B$39*L25^2+'Airfoil 1'!$B$40*L25^3+'Airfoil 1'!$B$41*L25^4+'Airfoil 1'!$B$42*L25^5+'Airfoil 1'!$B$43*L25^6)*0+CX25</f>
        <v>1.1110331491688705E-2</v>
      </c>
      <c r="P25" s="16">
        <f>LOG('Airfoil 1'!$F$10)+LOG('Airfoil 1'!$G$10)+LOG('Airfoil 1'!$H$10)</f>
        <v>15.176091259055681</v>
      </c>
      <c r="Q25" s="16">
        <f t="shared" ca="1" si="1"/>
        <v>-5.3254750991944144</v>
      </c>
      <c r="R25" s="16">
        <f>LOG('Airfoil 1'!$F$10)^2+LOG('Airfoil 1'!$G$10)^2+LOG('Airfoil 1'!$H$10)^2</f>
        <v>76.867141336751558</v>
      </c>
      <c r="S25" s="16">
        <f ca="1">LOG('Airfoil 1'!$F$10)*LOG(M25)+LOG('Airfoil 1'!$G$10)*LOG(N25)+LOG('Airfoil 1'!$H$10)*LOG(O25)</f>
        <v>-27.014391057535811</v>
      </c>
      <c r="T25" s="16">
        <f t="shared" ca="1" si="2"/>
        <v>141.60346469413847</v>
      </c>
      <c r="U25" s="16">
        <f t="shared" ca="1" si="3"/>
        <v>-0.77613507569167506</v>
      </c>
      <c r="V25" s="42">
        <f ca="1">MAX(IF(Energy!$F$11=1,Energy!$T$13,1)*T25*H25^U25,O25)</f>
        <v>1.1110331491688705E-2</v>
      </c>
      <c r="W25" s="10">
        <f ca="1">'Airfoil 1'!$B$48+'Airfoil 1'!$B$49*L25+'Airfoil 1'!$B$50*L25^2+'Airfoil 1'!$B$51*L25^3+'Airfoil 1'!$B$52*L25^4+'Airfoil 1'!$B$53*L25^5+'Airfoil 1'!$B$54*L25^6</f>
        <v>-0.155</v>
      </c>
      <c r="X25" s="42">
        <f ca="1">'Airfoil 1'!$B$56+'Airfoil 1'!$B$57*L25+'Airfoil 1'!$B$58*L25^2+'Airfoil 1'!$B$59*L25^3+'Airfoil 1'!$B$60*L25^4+'Airfoil 1'!$B$61*L25^5+'Airfoil 1'!$B$62*L25^6</f>
        <v>-0.155</v>
      </c>
      <c r="Y25" s="42">
        <f ca="1">'Airfoil 1'!$B$64+'Airfoil 1'!$B$65*L25+'Airfoil 1'!$B$66*L25^2+'Airfoil 1'!$B$67*L25^3+'Airfoil 1'!$B$681*L25^4+'Airfoil 1'!$B$69*L25^5+'Airfoil 1'!$B$70*L25^6</f>
        <v>-0.155</v>
      </c>
      <c r="Z25" s="16">
        <f>LOG('Airfoil 1'!$F$10)+LOG('Airfoil 1'!$G$10)+LOG('Airfoil 1'!$H$10)</f>
        <v>15.176091259055681</v>
      </c>
      <c r="AA25" s="16">
        <f t="shared" ca="1" si="4"/>
        <v>-2.4290049054891254</v>
      </c>
      <c r="AB25" s="16">
        <f>LOG('Airfoil 1'!$F$10)^2+LOG('Airfoil 1'!$G$10)^2+LOG('Airfoil 1'!$H$10)^2</f>
        <v>76.867141336751558</v>
      </c>
      <c r="AC25" s="16">
        <f ca="1">LOG('Airfoil 1'!$F$10)*LOG(ABS(W25))+LOG('Airfoil 1'!$G$10)*LOG(ABS(X25))+LOG('Airfoil 1'!$H$10)*LOG(ABS(Y25))</f>
        <v>-12.287600038132297</v>
      </c>
      <c r="AD25" s="16">
        <f t="shared" ca="1" si="5"/>
        <v>0.1550000000000121</v>
      </c>
      <c r="AE25" s="16">
        <f t="shared" ca="1" si="6"/>
        <v>-6.6718325633022456E-15</v>
      </c>
      <c r="AF25" s="42">
        <f t="shared" ca="1" si="7"/>
        <v>-0.15499999999999886</v>
      </c>
      <c r="AG25" s="16"/>
      <c r="AH25" s="42"/>
      <c r="AI25" s="16">
        <f ca="1">(L25-'Airfoil 1'!$Z$22)/ABS(L25-'Airfoil 1'!$Z$22)</f>
        <v>1</v>
      </c>
      <c r="AJ25" s="16">
        <f ca="1">(L25-'Airfoil 1'!$Z$23)/ABS(L25-'Airfoil 1'!$Z$23)</f>
        <v>1</v>
      </c>
      <c r="AK25" s="16">
        <f ca="1">(L25-'Airfoil 1'!$Z$24)/ABS(L25-'Airfoil 1'!$Z$24)</f>
        <v>1</v>
      </c>
      <c r="AL25" s="16">
        <f ca="1">(L25-'Airfoil 1'!$Z$25)/ABS(L25-'Airfoil 1'!$Z$25)</f>
        <v>1</v>
      </c>
      <c r="AM25" s="16">
        <f ca="1">(L25-'Airfoil 1'!$Z$26)/ABS(L25-'Airfoil 1'!$Z$26)</f>
        <v>1</v>
      </c>
      <c r="AN25" s="16">
        <f ca="1">(L25-'Airfoil 1'!$Z$27)/ABS(L25-'Airfoil 1'!$Z$27)</f>
        <v>1</v>
      </c>
      <c r="AO25" s="16">
        <f ca="1">(L25-'Airfoil 1'!$Z$28)/ABS(L25-'Airfoil 1'!$Z$28)</f>
        <v>1</v>
      </c>
      <c r="AP25" s="16">
        <f ca="1">(L25-'Airfoil 1'!$Z$29)/ABS(L25-'Airfoil 1'!$Z$29)</f>
        <v>-1</v>
      </c>
      <c r="AQ25" s="16">
        <f ca="1">(L25-'Airfoil 1'!$Z$30)/ABS(L25-'Airfoil 1'!$Z$30)</f>
        <v>-1</v>
      </c>
      <c r="AR25" s="16">
        <f ca="1">(L25-'Airfoil 1'!$Z$31)/ABS(L25-'Airfoil 1'!$Z$31)</f>
        <v>-1</v>
      </c>
      <c r="AS25" s="16">
        <f ca="1">(L25-'Airfoil 1'!$Z$32)/ABS(L25-'Airfoil 1'!$Z$32)</f>
        <v>-1</v>
      </c>
      <c r="AT25" s="16">
        <f ca="1">(L25-'Airfoil 1'!$Z$33)/ABS(L25-'Airfoil 1'!$Z$33)</f>
        <v>-1</v>
      </c>
      <c r="AU25" s="16">
        <f ca="1">(L25-'Airfoil 1'!$Z$34)/ABS(L25-'Airfoil 1'!$Z$34)</f>
        <v>-1</v>
      </c>
      <c r="AV25" s="16">
        <f ca="1">(L25-'Airfoil 1'!$Z$35)/ABS(L25-'Airfoil 1'!$Z$35)</f>
        <v>-1</v>
      </c>
      <c r="AW25" s="16">
        <f ca="1">(L25-'Airfoil 1'!$Z$36)/ABS(L25-'Airfoil 1'!$Z$36)</f>
        <v>-1</v>
      </c>
      <c r="AX25" s="16">
        <f ca="1">(L25-'Airfoil 1'!$Z$37)/ABS(L25-'Airfoil 1'!$Z$37)</f>
        <v>-1</v>
      </c>
      <c r="AY25" s="16">
        <f ca="1">(L25-'Airfoil 1'!$Z$38)/ABS(L25-'Airfoil 1'!$Z$38)</f>
        <v>-1</v>
      </c>
      <c r="AZ25" s="16">
        <f ca="1">(L25-'Airfoil 1'!$Z$39)/ABS(L25-'Airfoil 1'!$Z$39)</f>
        <v>-1</v>
      </c>
      <c r="BA25" s="16">
        <f ca="1">(L25-'Airfoil 1'!$Z$40)/ABS(L25-'Airfoil 1'!$Z$40)</f>
        <v>-1</v>
      </c>
      <c r="BB25" s="16">
        <f ca="1">(L25-'Airfoil 1'!$Z$41)/ABS(L25-'Airfoil 1'!$Z$41)</f>
        <v>-1</v>
      </c>
      <c r="BC25" s="5">
        <f t="shared" ca="1" si="8"/>
        <v>7</v>
      </c>
      <c r="BD25" s="42">
        <f ca="1">INDEX('Airfoil 1'!$AA$22:$AA$41,BC25,1)+INDEX('Airfoil 1'!$AB$22:$AB$41,BC25,1)*(L25-INDEX('Airfoil 1'!$Z$22:$Z$41,BC25,1))</f>
        <v>2.4489313868619658E-2</v>
      </c>
      <c r="BE25" s="6"/>
      <c r="BF25" s="16">
        <f ca="1">(L25-'Airfoil 1'!$Z$47)/ABS(L25-'Airfoil 1'!$Z$47)</f>
        <v>1</v>
      </c>
      <c r="BG25" s="16">
        <f ca="1">(L25-'Airfoil 1'!$Z$48)/ABS(L25-'Airfoil 1'!$Z$48)</f>
        <v>1</v>
      </c>
      <c r="BH25" s="16">
        <f ca="1">(L25-'Airfoil 1'!$Z$49)/ABS(L25-'Airfoil 1'!$Z$49)</f>
        <v>1</v>
      </c>
      <c r="BI25" s="16">
        <f ca="1">(L25-'Airfoil 1'!$Z$50)/ABS(L25-'Airfoil 1'!$Z$50)</f>
        <v>1</v>
      </c>
      <c r="BJ25" s="16">
        <f ca="1">(L25-'Airfoil 1'!$Z$51)/ABS(L25-'Airfoil 1'!$Z$51)</f>
        <v>1</v>
      </c>
      <c r="BK25" s="16">
        <f ca="1">(L25-'Airfoil 1'!$Z$52)/ABS(L25-'Airfoil 1'!$Z$52)</f>
        <v>1</v>
      </c>
      <c r="BL25" s="16">
        <f ca="1">(L25-'Airfoil 1'!$Z$53)/ABS(L25-'Airfoil 1'!$Z$53)</f>
        <v>-1</v>
      </c>
      <c r="BM25" s="16">
        <f ca="1">(L25-'Airfoil 1'!$Z$54)/ABS(L25-'Airfoil 1'!$Z$54)</f>
        <v>-1</v>
      </c>
      <c r="BN25" s="16">
        <f ca="1">(L25-'Airfoil 1'!$Z$55)/ABS(L25-'Airfoil 1'!$Z$55)</f>
        <v>-1</v>
      </c>
      <c r="BO25" s="16">
        <f ca="1">(L25-'Airfoil 1'!$Z$56)/ABS(L25-'Airfoil 1'!$Z$56)</f>
        <v>-1</v>
      </c>
      <c r="BP25" s="16">
        <f ca="1">(L25-'Airfoil 1'!$Z$57)/ABS(L25-'Airfoil 1'!$Z$57)</f>
        <v>-1</v>
      </c>
      <c r="BQ25" s="16">
        <f ca="1">(L25-'Airfoil 1'!$Z$58)/ABS(L25-'Airfoil 1'!$Z$58)</f>
        <v>-1</v>
      </c>
      <c r="BR25" s="16">
        <f ca="1">(L25-'Airfoil 1'!$Z$59)/ABS(L25-'Airfoil 1'!$Z$59)</f>
        <v>-1</v>
      </c>
      <c r="BS25" s="16">
        <f ca="1">(L25-'Airfoil 1'!$Z$60)/ABS(L25-'Airfoil 1'!$Z$60)</f>
        <v>-1</v>
      </c>
      <c r="BT25" s="16">
        <f ca="1">(L25-'Airfoil 1'!$Z$61)/ABS(L25-'Airfoil 1'!$Z$61)</f>
        <v>-1</v>
      </c>
      <c r="BU25" s="16">
        <f ca="1">(L25-'Airfoil 1'!$Z$62)/ABS(L25-'Airfoil 1'!$Z$62)</f>
        <v>-1</v>
      </c>
      <c r="BV25" s="16">
        <f ca="1">(L25-'Airfoil 1'!$Z$63)/ABS(L25-'Airfoil 1'!$Z$63)</f>
        <v>-1</v>
      </c>
      <c r="BW25" s="16">
        <f ca="1">(L25-'Airfoil 1'!$Z$64)/ABS(L25-'Airfoil 1'!$Z$64)</f>
        <v>-1</v>
      </c>
      <c r="BX25" s="16">
        <f ca="1">(L25-'Airfoil 1'!$Z$65)/ABS(L25-'Airfoil 1'!$Z$65)</f>
        <v>-1</v>
      </c>
      <c r="BY25" s="16">
        <f ca="1">(L25-'Airfoil 1'!$Z$66)/ABS(L25-'Airfoil 1'!$Z$66)</f>
        <v>-1</v>
      </c>
      <c r="BZ25" s="5">
        <f t="shared" ca="1" si="9"/>
        <v>6</v>
      </c>
      <c r="CA25" s="42">
        <f ca="1">INDEX('Airfoil 1'!$AA$47:$AA$66,BZ25,1)+INDEX('Airfoil 1'!$AB$47:$AB$66,BZ25,1)*(L25-INDEX('Airfoil 1'!$Z$47:$Z$66,BZ25,1))</f>
        <v>1.7370857855334584E-2</v>
      </c>
      <c r="CC25" s="16">
        <f ca="1">(L25-'Airfoil 1'!$Z$72)/ABS(L25-'Airfoil 1'!$Z$72)</f>
        <v>1</v>
      </c>
      <c r="CD25" s="16">
        <f ca="1">(L25-'Airfoil 1'!$Z$73)/ABS(L25-'Airfoil 1'!$Z$73)</f>
        <v>1</v>
      </c>
      <c r="CE25" s="16">
        <f ca="1">(L25-'Airfoil 1'!$Z$74)/ABS(L25-'Airfoil 1'!$Z$74)</f>
        <v>1</v>
      </c>
      <c r="CF25" s="16">
        <f ca="1">(L25-'Airfoil 1'!$Z$75)/ABS(L25-'Airfoil 1'!$Z$75)</f>
        <v>1</v>
      </c>
      <c r="CG25" s="16">
        <f ca="1">(L25-'Airfoil 1'!$Z$76)/ABS(L25-'Airfoil 1'!$Z$76)</f>
        <v>-1</v>
      </c>
      <c r="CH25" s="16">
        <f ca="1">(L25-'Airfoil 1'!$Z$77)/ABS(L25-'Airfoil 1'!$Z$77)</f>
        <v>-1</v>
      </c>
      <c r="CI25" s="16">
        <f ca="1">(L25-'Airfoil 1'!$Z$78)/ABS(L25-'Airfoil 1'!$Z$78)</f>
        <v>-1</v>
      </c>
      <c r="CJ25" s="16">
        <f ca="1">(L25-'Airfoil 1'!$Z$79)/ABS(L25-'Airfoil 1'!$Z$79)</f>
        <v>-1</v>
      </c>
      <c r="CK25" s="16">
        <f ca="1">(L25-'Airfoil 1'!$Z$80)/ABS(L25-'Airfoil 1'!$Z$80)</f>
        <v>-1</v>
      </c>
      <c r="CL25" s="16">
        <f ca="1">(L25-'Airfoil 1'!$Z$81)/ABS(L25-'Airfoil 1'!$Z$81)</f>
        <v>-1</v>
      </c>
      <c r="CM25" s="16">
        <f ca="1">(L25-'Airfoil 1'!$Z$82)/ABS(L25-'Airfoil 1'!$Z$82)</f>
        <v>-1</v>
      </c>
      <c r="CN25" s="16">
        <f ca="1">(L25-'Airfoil 1'!$Z$83)/ABS(L25-'Airfoil 1'!$Z$83)</f>
        <v>-1</v>
      </c>
      <c r="CO25" s="16">
        <f ca="1">(L25-'Airfoil 1'!$Z$84)/ABS(L25-'Airfoil 1'!$Z$84)</f>
        <v>-1</v>
      </c>
      <c r="CP25" s="16">
        <f ca="1">(L25-'Airfoil 1'!$Z$85)/ABS(L25-'Airfoil 1'!$Z$85)</f>
        <v>-1</v>
      </c>
      <c r="CQ25" s="16">
        <f ca="1">(L25-'Airfoil 1'!$Z$86)/ABS(L25-'Airfoil 1'!$Z$86)</f>
        <v>-1</v>
      </c>
      <c r="CR25" s="16">
        <f ca="1">(L25-'Airfoil 1'!$Z$87)/ABS(L25-'Airfoil 1'!$Z$87)</f>
        <v>-1</v>
      </c>
      <c r="CS25" s="16">
        <f ca="1">(L25-'Airfoil 1'!$Z$88)/ABS(L25-'Airfoil 1'!$Z$88)</f>
        <v>-1</v>
      </c>
      <c r="CT25" s="16">
        <f ca="1">(L25-'Airfoil 1'!$Z$89)/ABS(L25-'Airfoil 1'!$Z$89)</f>
        <v>-1</v>
      </c>
      <c r="CU25" s="16">
        <f ca="1">(L25-'Airfoil 1'!$Z$90)/ABS(L25-'Airfoil 1'!$Z$90)</f>
        <v>-1</v>
      </c>
      <c r="CV25" s="16">
        <f ca="1">(L25-'Airfoil 1'!$Z$91)/ABS(L25-'Airfoil 1'!$Z$91)</f>
        <v>-1</v>
      </c>
      <c r="CW25" s="5">
        <f t="shared" ca="1" si="10"/>
        <v>4</v>
      </c>
      <c r="CX25" s="42">
        <f ca="1">INDEX('Airfoil 1'!$AA$72:$AA$91,CW25,1)+INDEX('Airfoil 1'!$AB$72:$AB$91,CW25,1)*(L25-INDEX('Airfoil 1'!$Z$72:$Z$91,CW25,1))</f>
        <v>1.1110331491688866E-2</v>
      </c>
    </row>
    <row r="26" spans="2:102">
      <c r="B26" s="31">
        <f>Main!B26</f>
        <v>0.33333333333333326</v>
      </c>
      <c r="D26" s="1">
        <f>Cruise!F26</f>
        <v>0.65969672852566186</v>
      </c>
      <c r="E26" s="4">
        <f>ISA!$R$10</f>
        <v>1.5987591530356481E-5</v>
      </c>
      <c r="G26" s="20">
        <f ca="1">'Aerodynamics-Speed'!H26</f>
        <v>26.646781908910036</v>
      </c>
      <c r="H26" s="5">
        <f t="shared" ca="1" si="0"/>
        <v>366509.13131947682</v>
      </c>
      <c r="I26" s="16">
        <f ca="1">'Airfoil 2'!$K$14*H26^'Airfoil 2'!$L$13</f>
        <v>1.5839054481051589</v>
      </c>
      <c r="J26" s="1">
        <f ca="1">'Airfoil 2'!$K$33*H26^'Airfoil 2'!$L$32</f>
        <v>4.9560657919827387</v>
      </c>
      <c r="K26" s="13">
        <f ca="1">'Airfoil 2'!$K$52*H26^'Airfoil 2'!$L$51</f>
        <v>-9.4540201936187813</v>
      </c>
      <c r="L26" s="16">
        <f ca="1">'Aerodynamics-Speed'!W26</f>
        <v>0.89999999999673908</v>
      </c>
      <c r="M26" s="10">
        <f ca="1">('Airfoil 1'!$B$21+'Airfoil 1'!$B$22*L26+'Airfoil 1'!$B$23*L26^2+'Airfoil 1'!$B$24*L26^3+'Airfoil 1'!$B$25*L26^4+'Airfoil 1'!$B$26*L26^5+'Airfoil 1'!$B$27*L26^6)*0+BD26</f>
        <v>2.4489313868620327E-2</v>
      </c>
      <c r="N26" s="42">
        <f ca="1">('Airfoil 1'!$B$29+'Airfoil 1'!$B$30*L26+'Airfoil 1'!$B$31*L26^2+'Airfoil 1'!$B$32*L26^3+'Airfoil 1'!$B$33*L26^4+'Airfoil 1'!$B$34*L26^5+'Airfoil 1'!$B$35*L26^6)*0+CA26</f>
        <v>1.7370857855331795E-2</v>
      </c>
      <c r="O26" s="42">
        <f ca="1">('Airfoil 1'!$B$37+'Airfoil 1'!$B$38*L26+'Airfoil 1'!$B$39*L26^2+'Airfoil 1'!$B$40*L26^3+'Airfoil 1'!$B$41*L26^4+'Airfoil 1'!$B$42*L26^5+'Airfoil 1'!$B$43*L26^6)*0+CX26</f>
        <v>1.1110331491686406E-2</v>
      </c>
      <c r="P26" s="16">
        <f>LOG('Airfoil 1'!$F$10)+LOG('Airfoil 1'!$G$10)+LOG('Airfoil 1'!$H$10)</f>
        <v>15.176091259055681</v>
      </c>
      <c r="Q26" s="16">
        <f t="shared" ca="1" si="1"/>
        <v>-5.3254750991945592</v>
      </c>
      <c r="R26" s="16">
        <f>LOG('Airfoil 1'!$F$10)^2+LOG('Airfoil 1'!$G$10)^2+LOG('Airfoil 1'!$H$10)^2</f>
        <v>76.867141336751558</v>
      </c>
      <c r="S26" s="16">
        <f ca="1">LOG('Airfoil 1'!$F$10)*LOG(M26)+LOG('Airfoil 1'!$G$10)*LOG(N26)+LOG('Airfoil 1'!$H$10)*LOG(O26)</f>
        <v>-27.014391057536564</v>
      </c>
      <c r="T26" s="16">
        <f t="shared" ca="1" si="2"/>
        <v>141.60346469450559</v>
      </c>
      <c r="U26" s="16">
        <f t="shared" ca="1" si="3"/>
        <v>-0.77613507569190732</v>
      </c>
      <c r="V26" s="42">
        <f ca="1">MAX(IF(Energy!$F$11=1,Energy!$T$13,1)*T26*H26^U26,O26)</f>
        <v>1.1110331491686406E-2</v>
      </c>
      <c r="W26" s="10">
        <f ca="1">'Airfoil 1'!$B$48+'Airfoil 1'!$B$49*L26+'Airfoil 1'!$B$50*L26^2+'Airfoil 1'!$B$51*L26^3+'Airfoil 1'!$B$52*L26^4+'Airfoil 1'!$B$53*L26^5+'Airfoil 1'!$B$54*L26^6</f>
        <v>-0.155</v>
      </c>
      <c r="X26" s="42">
        <f ca="1">'Airfoil 1'!$B$56+'Airfoil 1'!$B$57*L26+'Airfoil 1'!$B$58*L26^2+'Airfoil 1'!$B$59*L26^3+'Airfoil 1'!$B$60*L26^4+'Airfoil 1'!$B$61*L26^5+'Airfoil 1'!$B$62*L26^6</f>
        <v>-0.155</v>
      </c>
      <c r="Y26" s="42">
        <f ca="1">'Airfoil 1'!$B$64+'Airfoil 1'!$B$65*L26+'Airfoil 1'!$B$66*L26^2+'Airfoil 1'!$B$67*L26^3+'Airfoil 1'!$B$681*L26^4+'Airfoil 1'!$B$69*L26^5+'Airfoil 1'!$B$70*L26^6</f>
        <v>-0.155</v>
      </c>
      <c r="Z26" s="16">
        <f>LOG('Airfoil 1'!$F$10)+LOG('Airfoil 1'!$G$10)+LOG('Airfoil 1'!$H$10)</f>
        <v>15.176091259055681</v>
      </c>
      <c r="AA26" s="16">
        <f t="shared" ca="1" si="4"/>
        <v>-2.4290049054891254</v>
      </c>
      <c r="AB26" s="16">
        <f>LOG('Airfoil 1'!$F$10)^2+LOG('Airfoil 1'!$G$10)^2+LOG('Airfoil 1'!$H$10)^2</f>
        <v>76.867141336751558</v>
      </c>
      <c r="AC26" s="16">
        <f ca="1">LOG('Airfoil 1'!$F$10)*LOG(ABS(W26))+LOG('Airfoil 1'!$G$10)*LOG(ABS(X26))+LOG('Airfoil 1'!$H$10)*LOG(ABS(Y26))</f>
        <v>-12.287600038132297</v>
      </c>
      <c r="AD26" s="16">
        <f t="shared" ca="1" si="5"/>
        <v>0.1550000000000121</v>
      </c>
      <c r="AE26" s="16">
        <f t="shared" ca="1" si="6"/>
        <v>-6.6718325633022456E-15</v>
      </c>
      <c r="AF26" s="42">
        <f t="shared" ca="1" si="7"/>
        <v>-0.15499999999999886</v>
      </c>
      <c r="AG26" s="16"/>
      <c r="AH26" s="42"/>
      <c r="AI26" s="16">
        <f ca="1">(L26-'Airfoil 1'!$Z$22)/ABS(L26-'Airfoil 1'!$Z$22)</f>
        <v>1</v>
      </c>
      <c r="AJ26" s="16">
        <f ca="1">(L26-'Airfoil 1'!$Z$23)/ABS(L26-'Airfoil 1'!$Z$23)</f>
        <v>1</v>
      </c>
      <c r="AK26" s="16">
        <f ca="1">(L26-'Airfoil 1'!$Z$24)/ABS(L26-'Airfoil 1'!$Z$24)</f>
        <v>1</v>
      </c>
      <c r="AL26" s="16">
        <f ca="1">(L26-'Airfoil 1'!$Z$25)/ABS(L26-'Airfoil 1'!$Z$25)</f>
        <v>1</v>
      </c>
      <c r="AM26" s="16">
        <f ca="1">(L26-'Airfoil 1'!$Z$26)/ABS(L26-'Airfoil 1'!$Z$26)</f>
        <v>1</v>
      </c>
      <c r="AN26" s="16">
        <f ca="1">(L26-'Airfoil 1'!$Z$27)/ABS(L26-'Airfoil 1'!$Z$27)</f>
        <v>1</v>
      </c>
      <c r="AO26" s="16">
        <f ca="1">(L26-'Airfoil 1'!$Z$28)/ABS(L26-'Airfoil 1'!$Z$28)</f>
        <v>1</v>
      </c>
      <c r="AP26" s="16">
        <f ca="1">(L26-'Airfoil 1'!$Z$29)/ABS(L26-'Airfoil 1'!$Z$29)</f>
        <v>-1</v>
      </c>
      <c r="AQ26" s="16">
        <f ca="1">(L26-'Airfoil 1'!$Z$30)/ABS(L26-'Airfoil 1'!$Z$30)</f>
        <v>-1</v>
      </c>
      <c r="AR26" s="16">
        <f ca="1">(L26-'Airfoil 1'!$Z$31)/ABS(L26-'Airfoil 1'!$Z$31)</f>
        <v>-1</v>
      </c>
      <c r="AS26" s="16">
        <f ca="1">(L26-'Airfoil 1'!$Z$32)/ABS(L26-'Airfoil 1'!$Z$32)</f>
        <v>-1</v>
      </c>
      <c r="AT26" s="16">
        <f ca="1">(L26-'Airfoil 1'!$Z$33)/ABS(L26-'Airfoil 1'!$Z$33)</f>
        <v>-1</v>
      </c>
      <c r="AU26" s="16">
        <f ca="1">(L26-'Airfoil 1'!$Z$34)/ABS(L26-'Airfoil 1'!$Z$34)</f>
        <v>-1</v>
      </c>
      <c r="AV26" s="16">
        <f ca="1">(L26-'Airfoil 1'!$Z$35)/ABS(L26-'Airfoil 1'!$Z$35)</f>
        <v>-1</v>
      </c>
      <c r="AW26" s="16">
        <f ca="1">(L26-'Airfoil 1'!$Z$36)/ABS(L26-'Airfoil 1'!$Z$36)</f>
        <v>-1</v>
      </c>
      <c r="AX26" s="16">
        <f ca="1">(L26-'Airfoil 1'!$Z$37)/ABS(L26-'Airfoil 1'!$Z$37)</f>
        <v>-1</v>
      </c>
      <c r="AY26" s="16">
        <f ca="1">(L26-'Airfoil 1'!$Z$38)/ABS(L26-'Airfoil 1'!$Z$38)</f>
        <v>-1</v>
      </c>
      <c r="AZ26" s="16">
        <f ca="1">(L26-'Airfoil 1'!$Z$39)/ABS(L26-'Airfoil 1'!$Z$39)</f>
        <v>-1</v>
      </c>
      <c r="BA26" s="16">
        <f ca="1">(L26-'Airfoil 1'!$Z$40)/ABS(L26-'Airfoil 1'!$Z$40)</f>
        <v>-1</v>
      </c>
      <c r="BB26" s="16">
        <f ca="1">(L26-'Airfoil 1'!$Z$41)/ABS(L26-'Airfoil 1'!$Z$41)</f>
        <v>-1</v>
      </c>
      <c r="BC26" s="5">
        <f t="shared" ca="1" si="8"/>
        <v>7</v>
      </c>
      <c r="BD26" s="42">
        <f ca="1">INDEX('Airfoil 1'!$AA$22:$AA$41,BC26,1)+INDEX('Airfoil 1'!$AB$22:$AB$41,BC26,1)*(L26-INDEX('Airfoil 1'!$Z$22:$Z$41,BC26,1))</f>
        <v>2.4489313868620279E-2</v>
      </c>
      <c r="BE26" s="6"/>
      <c r="BF26" s="16">
        <f ca="1">(L26-'Airfoil 1'!$Z$47)/ABS(L26-'Airfoil 1'!$Z$47)</f>
        <v>1</v>
      </c>
      <c r="BG26" s="16">
        <f ca="1">(L26-'Airfoil 1'!$Z$48)/ABS(L26-'Airfoil 1'!$Z$48)</f>
        <v>1</v>
      </c>
      <c r="BH26" s="16">
        <f ca="1">(L26-'Airfoil 1'!$Z$49)/ABS(L26-'Airfoil 1'!$Z$49)</f>
        <v>1</v>
      </c>
      <c r="BI26" s="16">
        <f ca="1">(L26-'Airfoil 1'!$Z$50)/ABS(L26-'Airfoil 1'!$Z$50)</f>
        <v>1</v>
      </c>
      <c r="BJ26" s="16">
        <f ca="1">(L26-'Airfoil 1'!$Z$51)/ABS(L26-'Airfoil 1'!$Z$51)</f>
        <v>1</v>
      </c>
      <c r="BK26" s="16">
        <f ca="1">(L26-'Airfoil 1'!$Z$52)/ABS(L26-'Airfoil 1'!$Z$52)</f>
        <v>1</v>
      </c>
      <c r="BL26" s="16">
        <f ca="1">(L26-'Airfoil 1'!$Z$53)/ABS(L26-'Airfoil 1'!$Z$53)</f>
        <v>-1</v>
      </c>
      <c r="BM26" s="16">
        <f ca="1">(L26-'Airfoil 1'!$Z$54)/ABS(L26-'Airfoil 1'!$Z$54)</f>
        <v>-1</v>
      </c>
      <c r="BN26" s="16">
        <f ca="1">(L26-'Airfoil 1'!$Z$55)/ABS(L26-'Airfoil 1'!$Z$55)</f>
        <v>-1</v>
      </c>
      <c r="BO26" s="16">
        <f ca="1">(L26-'Airfoil 1'!$Z$56)/ABS(L26-'Airfoil 1'!$Z$56)</f>
        <v>-1</v>
      </c>
      <c r="BP26" s="16">
        <f ca="1">(L26-'Airfoil 1'!$Z$57)/ABS(L26-'Airfoil 1'!$Z$57)</f>
        <v>-1</v>
      </c>
      <c r="BQ26" s="16">
        <f ca="1">(L26-'Airfoil 1'!$Z$58)/ABS(L26-'Airfoil 1'!$Z$58)</f>
        <v>-1</v>
      </c>
      <c r="BR26" s="16">
        <f ca="1">(L26-'Airfoil 1'!$Z$59)/ABS(L26-'Airfoil 1'!$Z$59)</f>
        <v>-1</v>
      </c>
      <c r="BS26" s="16">
        <f ca="1">(L26-'Airfoil 1'!$Z$60)/ABS(L26-'Airfoil 1'!$Z$60)</f>
        <v>-1</v>
      </c>
      <c r="BT26" s="16">
        <f ca="1">(L26-'Airfoil 1'!$Z$61)/ABS(L26-'Airfoil 1'!$Z$61)</f>
        <v>-1</v>
      </c>
      <c r="BU26" s="16">
        <f ca="1">(L26-'Airfoil 1'!$Z$62)/ABS(L26-'Airfoil 1'!$Z$62)</f>
        <v>-1</v>
      </c>
      <c r="BV26" s="16">
        <f ca="1">(L26-'Airfoil 1'!$Z$63)/ABS(L26-'Airfoil 1'!$Z$63)</f>
        <v>-1</v>
      </c>
      <c r="BW26" s="16">
        <f ca="1">(L26-'Airfoil 1'!$Z$64)/ABS(L26-'Airfoil 1'!$Z$64)</f>
        <v>-1</v>
      </c>
      <c r="BX26" s="16">
        <f ca="1">(L26-'Airfoil 1'!$Z$65)/ABS(L26-'Airfoil 1'!$Z$65)</f>
        <v>-1</v>
      </c>
      <c r="BY26" s="16">
        <f ca="1">(L26-'Airfoil 1'!$Z$66)/ABS(L26-'Airfoil 1'!$Z$66)</f>
        <v>-1</v>
      </c>
      <c r="BZ26" s="5">
        <f t="shared" ca="1" si="9"/>
        <v>6</v>
      </c>
      <c r="CA26" s="42">
        <f ca="1">INDEX('Airfoil 1'!$AA$47:$AA$66,BZ26,1)+INDEX('Airfoil 1'!$AB$47:$AB$66,BZ26,1)*(L26-INDEX('Airfoil 1'!$Z$47:$Z$66,BZ26,1))</f>
        <v>1.7370857855331996E-2</v>
      </c>
      <c r="CC26" s="16">
        <f ca="1">(L26-'Airfoil 1'!$Z$72)/ABS(L26-'Airfoil 1'!$Z$72)</f>
        <v>1</v>
      </c>
      <c r="CD26" s="16">
        <f ca="1">(L26-'Airfoil 1'!$Z$73)/ABS(L26-'Airfoil 1'!$Z$73)</f>
        <v>1</v>
      </c>
      <c r="CE26" s="16">
        <f ca="1">(L26-'Airfoil 1'!$Z$74)/ABS(L26-'Airfoil 1'!$Z$74)</f>
        <v>1</v>
      </c>
      <c r="CF26" s="16">
        <f ca="1">(L26-'Airfoil 1'!$Z$75)/ABS(L26-'Airfoil 1'!$Z$75)</f>
        <v>1</v>
      </c>
      <c r="CG26" s="16">
        <f ca="1">(L26-'Airfoil 1'!$Z$76)/ABS(L26-'Airfoil 1'!$Z$76)</f>
        <v>-1</v>
      </c>
      <c r="CH26" s="16">
        <f ca="1">(L26-'Airfoil 1'!$Z$77)/ABS(L26-'Airfoil 1'!$Z$77)</f>
        <v>-1</v>
      </c>
      <c r="CI26" s="16">
        <f ca="1">(L26-'Airfoil 1'!$Z$78)/ABS(L26-'Airfoil 1'!$Z$78)</f>
        <v>-1</v>
      </c>
      <c r="CJ26" s="16">
        <f ca="1">(L26-'Airfoil 1'!$Z$79)/ABS(L26-'Airfoil 1'!$Z$79)</f>
        <v>-1</v>
      </c>
      <c r="CK26" s="16">
        <f ca="1">(L26-'Airfoil 1'!$Z$80)/ABS(L26-'Airfoil 1'!$Z$80)</f>
        <v>-1</v>
      </c>
      <c r="CL26" s="16">
        <f ca="1">(L26-'Airfoil 1'!$Z$81)/ABS(L26-'Airfoil 1'!$Z$81)</f>
        <v>-1</v>
      </c>
      <c r="CM26" s="16">
        <f ca="1">(L26-'Airfoil 1'!$Z$82)/ABS(L26-'Airfoil 1'!$Z$82)</f>
        <v>-1</v>
      </c>
      <c r="CN26" s="16">
        <f ca="1">(L26-'Airfoil 1'!$Z$83)/ABS(L26-'Airfoil 1'!$Z$83)</f>
        <v>-1</v>
      </c>
      <c r="CO26" s="16">
        <f ca="1">(L26-'Airfoil 1'!$Z$84)/ABS(L26-'Airfoil 1'!$Z$84)</f>
        <v>-1</v>
      </c>
      <c r="CP26" s="16">
        <f ca="1">(L26-'Airfoil 1'!$Z$85)/ABS(L26-'Airfoil 1'!$Z$85)</f>
        <v>-1</v>
      </c>
      <c r="CQ26" s="16">
        <f ca="1">(L26-'Airfoil 1'!$Z$86)/ABS(L26-'Airfoil 1'!$Z$86)</f>
        <v>-1</v>
      </c>
      <c r="CR26" s="16">
        <f ca="1">(L26-'Airfoil 1'!$Z$87)/ABS(L26-'Airfoil 1'!$Z$87)</f>
        <v>-1</v>
      </c>
      <c r="CS26" s="16">
        <f ca="1">(L26-'Airfoil 1'!$Z$88)/ABS(L26-'Airfoil 1'!$Z$88)</f>
        <v>-1</v>
      </c>
      <c r="CT26" s="16">
        <f ca="1">(L26-'Airfoil 1'!$Z$89)/ABS(L26-'Airfoil 1'!$Z$89)</f>
        <v>-1</v>
      </c>
      <c r="CU26" s="16">
        <f ca="1">(L26-'Airfoil 1'!$Z$90)/ABS(L26-'Airfoil 1'!$Z$90)</f>
        <v>-1</v>
      </c>
      <c r="CV26" s="16">
        <f ca="1">(L26-'Airfoil 1'!$Z$91)/ABS(L26-'Airfoil 1'!$Z$91)</f>
        <v>-1</v>
      </c>
      <c r="CW26" s="5">
        <f t="shared" ca="1" si="10"/>
        <v>4</v>
      </c>
      <c r="CX26" s="42">
        <f ca="1">INDEX('Airfoil 1'!$AA$72:$AA$91,CW26,1)+INDEX('Airfoil 1'!$AB$72:$AB$91,CW26,1)*(L26-INDEX('Airfoil 1'!$Z$72:$Z$91,CW26,1))</f>
        <v>1.1110331491686583E-2</v>
      </c>
    </row>
    <row r="27" spans="2:102">
      <c r="B27" s="31">
        <f>Main!B27</f>
        <v>0.33333333333333326</v>
      </c>
      <c r="D27" s="1">
        <f>Cruise!F27</f>
        <v>0.65969672852566186</v>
      </c>
      <c r="E27" s="4">
        <f>ISA!$R$10</f>
        <v>1.5987591530356481E-5</v>
      </c>
      <c r="G27" s="20">
        <f ca="1">'Aerodynamics-Speed'!H27</f>
        <v>26.272229755744029</v>
      </c>
      <c r="H27" s="5">
        <f t="shared" ca="1" si="0"/>
        <v>361357.41038146702</v>
      </c>
      <c r="I27" s="16">
        <f ca="1">'Airfoil 2'!$K$14*H27^'Airfoil 2'!$L$13</f>
        <v>1.5835937877207706</v>
      </c>
      <c r="J27" s="1">
        <f ca="1">'Airfoil 2'!$K$33*H27^'Airfoil 2'!$L$32</f>
        <v>4.9797192224504858</v>
      </c>
      <c r="K27" s="13">
        <f ca="1">'Airfoil 2'!$K$52*H27^'Airfoil 2'!$L$51</f>
        <v>-9.3649434502271305</v>
      </c>
      <c r="L27" s="16">
        <f ca="1">'Aerodynamics-Speed'!W27</f>
        <v>0.89999999999649827</v>
      </c>
      <c r="M27" s="10">
        <f ca="1">('Airfoil 1'!$B$21+'Airfoil 1'!$B$22*L27+'Airfoil 1'!$B$23*L27^2+'Airfoil 1'!$B$24*L27^3+'Airfoil 1'!$B$25*L27^4+'Airfoil 1'!$B$26*L27^5+'Airfoil 1'!$B$27*L27^6)*0+BD27</f>
        <v>2.4489313868620858E-2</v>
      </c>
      <c r="N27" s="42">
        <f ca="1">('Airfoil 1'!$B$29+'Airfoil 1'!$B$30*L27+'Airfoil 1'!$B$31*L27^2+'Airfoil 1'!$B$32*L27^3+'Airfoil 1'!$B$33*L27^4+'Airfoil 1'!$B$34*L27^5+'Airfoil 1'!$B$35*L27^6)*0+CA27</f>
        <v>1.7370857855329595E-2</v>
      </c>
      <c r="O27" s="42">
        <f ca="1">('Airfoil 1'!$B$37+'Airfoil 1'!$B$38*L27+'Airfoil 1'!$B$39*L27^2+'Airfoil 1'!$B$40*L27^3+'Airfoil 1'!$B$41*L27^4+'Airfoil 1'!$B$42*L27^5+'Airfoil 1'!$B$43*L27^6)*0+CX27</f>
        <v>1.1110331491684465E-2</v>
      </c>
      <c r="P27" s="16">
        <f>LOG('Airfoil 1'!$F$10)+LOG('Airfoil 1'!$G$10)+LOG('Airfoil 1'!$H$10)</f>
        <v>15.176091259055681</v>
      </c>
      <c r="Q27" s="16">
        <f t="shared" ca="1" si="1"/>
        <v>-5.32547509919468</v>
      </c>
      <c r="R27" s="16">
        <f>LOG('Airfoil 1'!$F$10)^2+LOG('Airfoil 1'!$G$10)^2+LOG('Airfoil 1'!$H$10)^2</f>
        <v>76.867141336751558</v>
      </c>
      <c r="S27" s="16">
        <f ca="1">LOG('Airfoil 1'!$F$10)*LOG(M27)+LOG('Airfoil 1'!$G$10)*LOG(N27)+LOG('Airfoil 1'!$H$10)*LOG(O27)</f>
        <v>-27.014391057537189</v>
      </c>
      <c r="T27" s="16">
        <f t="shared" ca="1" si="2"/>
        <v>141.60346469472569</v>
      </c>
      <c r="U27" s="16">
        <f t="shared" ca="1" si="3"/>
        <v>-0.77613507569204876</v>
      </c>
      <c r="V27" s="42">
        <f ca="1">MAX(IF(Energy!$F$11=1,Energy!$T$13,1)*T27*H27^U27,O27)</f>
        <v>1.1110331491684465E-2</v>
      </c>
      <c r="W27" s="10">
        <f ca="1">'Airfoil 1'!$B$48+'Airfoil 1'!$B$49*L27+'Airfoil 1'!$B$50*L27^2+'Airfoil 1'!$B$51*L27^3+'Airfoil 1'!$B$52*L27^4+'Airfoil 1'!$B$53*L27^5+'Airfoil 1'!$B$54*L27^6</f>
        <v>-0.155</v>
      </c>
      <c r="X27" s="42">
        <f ca="1">'Airfoil 1'!$B$56+'Airfoil 1'!$B$57*L27+'Airfoil 1'!$B$58*L27^2+'Airfoil 1'!$B$59*L27^3+'Airfoil 1'!$B$60*L27^4+'Airfoil 1'!$B$61*L27^5+'Airfoil 1'!$B$62*L27^6</f>
        <v>-0.155</v>
      </c>
      <c r="Y27" s="42">
        <f ca="1">'Airfoil 1'!$B$64+'Airfoil 1'!$B$65*L27+'Airfoil 1'!$B$66*L27^2+'Airfoil 1'!$B$67*L27^3+'Airfoil 1'!$B$681*L27^4+'Airfoil 1'!$B$69*L27^5+'Airfoil 1'!$B$70*L27^6</f>
        <v>-0.155</v>
      </c>
      <c r="Z27" s="16">
        <f>LOG('Airfoil 1'!$F$10)+LOG('Airfoil 1'!$G$10)+LOG('Airfoil 1'!$H$10)</f>
        <v>15.176091259055681</v>
      </c>
      <c r="AA27" s="16">
        <f t="shared" ca="1" si="4"/>
        <v>-2.4290049054891254</v>
      </c>
      <c r="AB27" s="16">
        <f>LOG('Airfoil 1'!$F$10)^2+LOG('Airfoil 1'!$G$10)^2+LOG('Airfoil 1'!$H$10)^2</f>
        <v>76.867141336751558</v>
      </c>
      <c r="AC27" s="16">
        <f ca="1">LOG('Airfoil 1'!$F$10)*LOG(ABS(W27))+LOG('Airfoil 1'!$G$10)*LOG(ABS(X27))+LOG('Airfoil 1'!$H$10)*LOG(ABS(Y27))</f>
        <v>-12.287600038132297</v>
      </c>
      <c r="AD27" s="16">
        <f t="shared" ca="1" si="5"/>
        <v>0.1550000000000121</v>
      </c>
      <c r="AE27" s="16">
        <f t="shared" ca="1" si="6"/>
        <v>-6.6718325633022456E-15</v>
      </c>
      <c r="AF27" s="42">
        <f t="shared" ca="1" si="7"/>
        <v>-0.15499999999999886</v>
      </c>
      <c r="AG27" s="16"/>
      <c r="AH27" s="42"/>
      <c r="AI27" s="16">
        <f ca="1">(L27-'Airfoil 1'!$Z$22)/ABS(L27-'Airfoil 1'!$Z$22)</f>
        <v>1</v>
      </c>
      <c r="AJ27" s="16">
        <f ca="1">(L27-'Airfoil 1'!$Z$23)/ABS(L27-'Airfoil 1'!$Z$23)</f>
        <v>1</v>
      </c>
      <c r="AK27" s="16">
        <f ca="1">(L27-'Airfoil 1'!$Z$24)/ABS(L27-'Airfoil 1'!$Z$24)</f>
        <v>1</v>
      </c>
      <c r="AL27" s="16">
        <f ca="1">(L27-'Airfoil 1'!$Z$25)/ABS(L27-'Airfoil 1'!$Z$25)</f>
        <v>1</v>
      </c>
      <c r="AM27" s="16">
        <f ca="1">(L27-'Airfoil 1'!$Z$26)/ABS(L27-'Airfoil 1'!$Z$26)</f>
        <v>1</v>
      </c>
      <c r="AN27" s="16">
        <f ca="1">(L27-'Airfoil 1'!$Z$27)/ABS(L27-'Airfoil 1'!$Z$27)</f>
        <v>1</v>
      </c>
      <c r="AO27" s="16">
        <f ca="1">(L27-'Airfoil 1'!$Z$28)/ABS(L27-'Airfoil 1'!$Z$28)</f>
        <v>1</v>
      </c>
      <c r="AP27" s="16">
        <f ca="1">(L27-'Airfoil 1'!$Z$29)/ABS(L27-'Airfoil 1'!$Z$29)</f>
        <v>-1</v>
      </c>
      <c r="AQ27" s="16">
        <f ca="1">(L27-'Airfoil 1'!$Z$30)/ABS(L27-'Airfoil 1'!$Z$30)</f>
        <v>-1</v>
      </c>
      <c r="AR27" s="16">
        <f ca="1">(L27-'Airfoil 1'!$Z$31)/ABS(L27-'Airfoil 1'!$Z$31)</f>
        <v>-1</v>
      </c>
      <c r="AS27" s="16">
        <f ca="1">(L27-'Airfoil 1'!$Z$32)/ABS(L27-'Airfoil 1'!$Z$32)</f>
        <v>-1</v>
      </c>
      <c r="AT27" s="16">
        <f ca="1">(L27-'Airfoil 1'!$Z$33)/ABS(L27-'Airfoil 1'!$Z$33)</f>
        <v>-1</v>
      </c>
      <c r="AU27" s="16">
        <f ca="1">(L27-'Airfoil 1'!$Z$34)/ABS(L27-'Airfoil 1'!$Z$34)</f>
        <v>-1</v>
      </c>
      <c r="AV27" s="16">
        <f ca="1">(L27-'Airfoil 1'!$Z$35)/ABS(L27-'Airfoil 1'!$Z$35)</f>
        <v>-1</v>
      </c>
      <c r="AW27" s="16">
        <f ca="1">(L27-'Airfoil 1'!$Z$36)/ABS(L27-'Airfoil 1'!$Z$36)</f>
        <v>-1</v>
      </c>
      <c r="AX27" s="16">
        <f ca="1">(L27-'Airfoil 1'!$Z$37)/ABS(L27-'Airfoil 1'!$Z$37)</f>
        <v>-1</v>
      </c>
      <c r="AY27" s="16">
        <f ca="1">(L27-'Airfoil 1'!$Z$38)/ABS(L27-'Airfoil 1'!$Z$38)</f>
        <v>-1</v>
      </c>
      <c r="AZ27" s="16">
        <f ca="1">(L27-'Airfoil 1'!$Z$39)/ABS(L27-'Airfoil 1'!$Z$39)</f>
        <v>-1</v>
      </c>
      <c r="BA27" s="16">
        <f ca="1">(L27-'Airfoil 1'!$Z$40)/ABS(L27-'Airfoil 1'!$Z$40)</f>
        <v>-1</v>
      </c>
      <c r="BB27" s="16">
        <f ca="1">(L27-'Airfoil 1'!$Z$41)/ABS(L27-'Airfoil 1'!$Z$41)</f>
        <v>-1</v>
      </c>
      <c r="BC27" s="5">
        <f t="shared" ca="1" si="8"/>
        <v>7</v>
      </c>
      <c r="BD27" s="42">
        <f ca="1">INDEX('Airfoil 1'!$AA$22:$AA$41,BC27,1)+INDEX('Airfoil 1'!$AB$22:$AB$41,BC27,1)*(L27-INDEX('Airfoil 1'!$Z$22:$Z$41,BC27,1))</f>
        <v>2.4489313868620806E-2</v>
      </c>
      <c r="BE27" s="6"/>
      <c r="BF27" s="16">
        <f ca="1">(L27-'Airfoil 1'!$Z$47)/ABS(L27-'Airfoil 1'!$Z$47)</f>
        <v>1</v>
      </c>
      <c r="BG27" s="16">
        <f ca="1">(L27-'Airfoil 1'!$Z$48)/ABS(L27-'Airfoil 1'!$Z$48)</f>
        <v>1</v>
      </c>
      <c r="BH27" s="16">
        <f ca="1">(L27-'Airfoil 1'!$Z$49)/ABS(L27-'Airfoil 1'!$Z$49)</f>
        <v>1</v>
      </c>
      <c r="BI27" s="16">
        <f ca="1">(L27-'Airfoil 1'!$Z$50)/ABS(L27-'Airfoil 1'!$Z$50)</f>
        <v>1</v>
      </c>
      <c r="BJ27" s="16">
        <f ca="1">(L27-'Airfoil 1'!$Z$51)/ABS(L27-'Airfoil 1'!$Z$51)</f>
        <v>1</v>
      </c>
      <c r="BK27" s="16">
        <f ca="1">(L27-'Airfoil 1'!$Z$52)/ABS(L27-'Airfoil 1'!$Z$52)</f>
        <v>1</v>
      </c>
      <c r="BL27" s="16">
        <f ca="1">(L27-'Airfoil 1'!$Z$53)/ABS(L27-'Airfoil 1'!$Z$53)</f>
        <v>-1</v>
      </c>
      <c r="BM27" s="16">
        <f ca="1">(L27-'Airfoil 1'!$Z$54)/ABS(L27-'Airfoil 1'!$Z$54)</f>
        <v>-1</v>
      </c>
      <c r="BN27" s="16">
        <f ca="1">(L27-'Airfoil 1'!$Z$55)/ABS(L27-'Airfoil 1'!$Z$55)</f>
        <v>-1</v>
      </c>
      <c r="BO27" s="16">
        <f ca="1">(L27-'Airfoil 1'!$Z$56)/ABS(L27-'Airfoil 1'!$Z$56)</f>
        <v>-1</v>
      </c>
      <c r="BP27" s="16">
        <f ca="1">(L27-'Airfoil 1'!$Z$57)/ABS(L27-'Airfoil 1'!$Z$57)</f>
        <v>-1</v>
      </c>
      <c r="BQ27" s="16">
        <f ca="1">(L27-'Airfoil 1'!$Z$58)/ABS(L27-'Airfoil 1'!$Z$58)</f>
        <v>-1</v>
      </c>
      <c r="BR27" s="16">
        <f ca="1">(L27-'Airfoil 1'!$Z$59)/ABS(L27-'Airfoil 1'!$Z$59)</f>
        <v>-1</v>
      </c>
      <c r="BS27" s="16">
        <f ca="1">(L27-'Airfoil 1'!$Z$60)/ABS(L27-'Airfoil 1'!$Z$60)</f>
        <v>-1</v>
      </c>
      <c r="BT27" s="16">
        <f ca="1">(L27-'Airfoil 1'!$Z$61)/ABS(L27-'Airfoil 1'!$Z$61)</f>
        <v>-1</v>
      </c>
      <c r="BU27" s="16">
        <f ca="1">(L27-'Airfoil 1'!$Z$62)/ABS(L27-'Airfoil 1'!$Z$62)</f>
        <v>-1</v>
      </c>
      <c r="BV27" s="16">
        <f ca="1">(L27-'Airfoil 1'!$Z$63)/ABS(L27-'Airfoil 1'!$Z$63)</f>
        <v>-1</v>
      </c>
      <c r="BW27" s="16">
        <f ca="1">(L27-'Airfoil 1'!$Z$64)/ABS(L27-'Airfoil 1'!$Z$64)</f>
        <v>-1</v>
      </c>
      <c r="BX27" s="16">
        <f ca="1">(L27-'Airfoil 1'!$Z$65)/ABS(L27-'Airfoil 1'!$Z$65)</f>
        <v>-1</v>
      </c>
      <c r="BY27" s="16">
        <f ca="1">(L27-'Airfoil 1'!$Z$66)/ABS(L27-'Airfoil 1'!$Z$66)</f>
        <v>-1</v>
      </c>
      <c r="BZ27" s="5">
        <f t="shared" ca="1" si="9"/>
        <v>6</v>
      </c>
      <c r="CA27" s="42">
        <f ca="1">INDEX('Airfoil 1'!$AA$47:$AA$66,BZ27,1)+INDEX('Airfoil 1'!$AB$47:$AB$66,BZ27,1)*(L27-INDEX('Airfoil 1'!$Z$47:$Z$66,BZ27,1))</f>
        <v>1.737085785532981E-2</v>
      </c>
      <c r="CC27" s="16">
        <f ca="1">(L27-'Airfoil 1'!$Z$72)/ABS(L27-'Airfoil 1'!$Z$72)</f>
        <v>1</v>
      </c>
      <c r="CD27" s="16">
        <f ca="1">(L27-'Airfoil 1'!$Z$73)/ABS(L27-'Airfoil 1'!$Z$73)</f>
        <v>1</v>
      </c>
      <c r="CE27" s="16">
        <f ca="1">(L27-'Airfoil 1'!$Z$74)/ABS(L27-'Airfoil 1'!$Z$74)</f>
        <v>1</v>
      </c>
      <c r="CF27" s="16">
        <f ca="1">(L27-'Airfoil 1'!$Z$75)/ABS(L27-'Airfoil 1'!$Z$75)</f>
        <v>1</v>
      </c>
      <c r="CG27" s="16">
        <f ca="1">(L27-'Airfoil 1'!$Z$76)/ABS(L27-'Airfoil 1'!$Z$76)</f>
        <v>-1</v>
      </c>
      <c r="CH27" s="16">
        <f ca="1">(L27-'Airfoil 1'!$Z$77)/ABS(L27-'Airfoil 1'!$Z$77)</f>
        <v>-1</v>
      </c>
      <c r="CI27" s="16">
        <f ca="1">(L27-'Airfoil 1'!$Z$78)/ABS(L27-'Airfoil 1'!$Z$78)</f>
        <v>-1</v>
      </c>
      <c r="CJ27" s="16">
        <f ca="1">(L27-'Airfoil 1'!$Z$79)/ABS(L27-'Airfoil 1'!$Z$79)</f>
        <v>-1</v>
      </c>
      <c r="CK27" s="16">
        <f ca="1">(L27-'Airfoil 1'!$Z$80)/ABS(L27-'Airfoil 1'!$Z$80)</f>
        <v>-1</v>
      </c>
      <c r="CL27" s="16">
        <f ca="1">(L27-'Airfoil 1'!$Z$81)/ABS(L27-'Airfoil 1'!$Z$81)</f>
        <v>-1</v>
      </c>
      <c r="CM27" s="16">
        <f ca="1">(L27-'Airfoil 1'!$Z$82)/ABS(L27-'Airfoil 1'!$Z$82)</f>
        <v>-1</v>
      </c>
      <c r="CN27" s="16">
        <f ca="1">(L27-'Airfoil 1'!$Z$83)/ABS(L27-'Airfoil 1'!$Z$83)</f>
        <v>-1</v>
      </c>
      <c r="CO27" s="16">
        <f ca="1">(L27-'Airfoil 1'!$Z$84)/ABS(L27-'Airfoil 1'!$Z$84)</f>
        <v>-1</v>
      </c>
      <c r="CP27" s="16">
        <f ca="1">(L27-'Airfoil 1'!$Z$85)/ABS(L27-'Airfoil 1'!$Z$85)</f>
        <v>-1</v>
      </c>
      <c r="CQ27" s="16">
        <f ca="1">(L27-'Airfoil 1'!$Z$86)/ABS(L27-'Airfoil 1'!$Z$86)</f>
        <v>-1</v>
      </c>
      <c r="CR27" s="16">
        <f ca="1">(L27-'Airfoil 1'!$Z$87)/ABS(L27-'Airfoil 1'!$Z$87)</f>
        <v>-1</v>
      </c>
      <c r="CS27" s="16">
        <f ca="1">(L27-'Airfoil 1'!$Z$88)/ABS(L27-'Airfoil 1'!$Z$88)</f>
        <v>-1</v>
      </c>
      <c r="CT27" s="16">
        <f ca="1">(L27-'Airfoil 1'!$Z$89)/ABS(L27-'Airfoil 1'!$Z$89)</f>
        <v>-1</v>
      </c>
      <c r="CU27" s="16">
        <f ca="1">(L27-'Airfoil 1'!$Z$90)/ABS(L27-'Airfoil 1'!$Z$90)</f>
        <v>-1</v>
      </c>
      <c r="CV27" s="16">
        <f ca="1">(L27-'Airfoil 1'!$Z$91)/ABS(L27-'Airfoil 1'!$Z$91)</f>
        <v>-1</v>
      </c>
      <c r="CW27" s="5">
        <f t="shared" ca="1" si="10"/>
        <v>4</v>
      </c>
      <c r="CX27" s="42">
        <f ca="1">INDEX('Airfoil 1'!$AA$72:$AA$91,CW27,1)+INDEX('Airfoil 1'!$AB$72:$AB$91,CW27,1)*(L27-INDEX('Airfoil 1'!$Z$72:$Z$91,CW27,1))</f>
        <v>1.1110331491684654E-2</v>
      </c>
    </row>
    <row r="28" spans="2:102">
      <c r="B28" s="31">
        <f>Main!B28</f>
        <v>0.33333333333333326</v>
      </c>
      <c r="D28" s="1">
        <f>Cruise!F28</f>
        <v>0.65969672852566186</v>
      </c>
      <c r="E28" s="4">
        <f>ISA!$R$10</f>
        <v>1.5987591530356481E-5</v>
      </c>
      <c r="G28" s="20">
        <f ca="1">'Aerodynamics-Speed'!H28</f>
        <v>25.850372383044267</v>
      </c>
      <c r="H28" s="5">
        <f t="shared" ca="1" si="0"/>
        <v>355555.03695650923</v>
      </c>
      <c r="I28" s="16">
        <f ca="1">'Airfoil 2'!$K$14*H28^'Airfoil 2'!$L$13</f>
        <v>1.583237475089492</v>
      </c>
      <c r="J28" s="1">
        <f ca="1">'Airfoil 2'!$K$33*H28^'Airfoil 2'!$L$32</f>
        <v>5.0069056188325991</v>
      </c>
      <c r="K28" s="13">
        <f ca="1">'Airfoil 2'!$K$52*H28^'Airfoil 2'!$L$51</f>
        <v>-9.2641111539276828</v>
      </c>
      <c r="L28" s="16">
        <f ca="1">'Aerodynamics-Speed'!W28</f>
        <v>0.89999999998517588</v>
      </c>
      <c r="M28" s="10">
        <f ca="1">('Airfoil 1'!$B$21+'Airfoil 1'!$B$22*L28+'Airfoil 1'!$B$23*L28^2+'Airfoil 1'!$B$24*L28^3+'Airfoil 1'!$B$25*L28^4+'Airfoil 1'!$B$26*L28^5+'Airfoil 1'!$B$27*L28^6)*0+BD28</f>
        <v>2.4489313868645869E-2</v>
      </c>
      <c r="N28" s="42">
        <f ca="1">('Airfoil 1'!$B$29+'Airfoil 1'!$B$30*L28+'Airfoil 1'!$B$31*L28^2+'Airfoil 1'!$B$32*L28^3+'Airfoil 1'!$B$33*L28^4+'Airfoil 1'!$B$34*L28^5+'Airfoil 1'!$B$35*L28^6)*0+CA28</f>
        <v>1.7370857855225921E-2</v>
      </c>
      <c r="O28" s="42">
        <f ca="1">('Airfoil 1'!$B$37+'Airfoil 1'!$B$38*L28+'Airfoil 1'!$B$39*L28^2+'Airfoil 1'!$B$40*L28^3+'Airfoil 1'!$B$41*L28^4+'Airfoil 1'!$B$42*L28^5+'Airfoil 1'!$B$43*L28^6)*0+CX28</f>
        <v>1.1110331491592967E-2</v>
      </c>
      <c r="P28" s="16">
        <f>LOG('Airfoil 1'!$F$10)+LOG('Airfoil 1'!$G$10)+LOG('Airfoil 1'!$H$10)</f>
        <v>15.176091259055681</v>
      </c>
      <c r="Q28" s="16">
        <f t="shared" ca="1" si="1"/>
        <v>-5.3254750992004052</v>
      </c>
      <c r="R28" s="16">
        <f>LOG('Airfoil 1'!$F$10)^2+LOG('Airfoil 1'!$G$10)^2+LOG('Airfoil 1'!$H$10)^2</f>
        <v>76.867141336751558</v>
      </c>
      <c r="S28" s="16">
        <f ca="1">LOG('Airfoil 1'!$F$10)*LOG(M28)+LOG('Airfoil 1'!$G$10)*LOG(N28)+LOG('Airfoil 1'!$H$10)*LOG(O28)</f>
        <v>-27.01439105756695</v>
      </c>
      <c r="T28" s="16">
        <f t="shared" ca="1" si="2"/>
        <v>141.60346470786328</v>
      </c>
      <c r="U28" s="16">
        <f t="shared" ca="1" si="3"/>
        <v>-0.77613507570039098</v>
      </c>
      <c r="V28" s="42">
        <f ca="1">MAX(IF(Energy!$F$11=1,Energy!$T$13,1)*T28*H28^U28,O28)</f>
        <v>1.1110331491592967E-2</v>
      </c>
      <c r="W28" s="10">
        <f ca="1">'Airfoil 1'!$B$48+'Airfoil 1'!$B$49*L28+'Airfoil 1'!$B$50*L28^2+'Airfoil 1'!$B$51*L28^3+'Airfoil 1'!$B$52*L28^4+'Airfoil 1'!$B$53*L28^5+'Airfoil 1'!$B$54*L28^6</f>
        <v>-0.155</v>
      </c>
      <c r="X28" s="42">
        <f ca="1">'Airfoil 1'!$B$56+'Airfoil 1'!$B$57*L28+'Airfoil 1'!$B$58*L28^2+'Airfoil 1'!$B$59*L28^3+'Airfoil 1'!$B$60*L28^4+'Airfoil 1'!$B$61*L28^5+'Airfoil 1'!$B$62*L28^6</f>
        <v>-0.155</v>
      </c>
      <c r="Y28" s="42">
        <f ca="1">'Airfoil 1'!$B$64+'Airfoil 1'!$B$65*L28+'Airfoil 1'!$B$66*L28^2+'Airfoil 1'!$B$67*L28^3+'Airfoil 1'!$B$681*L28^4+'Airfoil 1'!$B$69*L28^5+'Airfoil 1'!$B$70*L28^6</f>
        <v>-0.155</v>
      </c>
      <c r="Z28" s="16">
        <f>LOG('Airfoil 1'!$F$10)+LOG('Airfoil 1'!$G$10)+LOG('Airfoil 1'!$H$10)</f>
        <v>15.176091259055681</v>
      </c>
      <c r="AA28" s="16">
        <f t="shared" ca="1" si="4"/>
        <v>-2.4290049054891254</v>
      </c>
      <c r="AB28" s="16">
        <f>LOG('Airfoil 1'!$F$10)^2+LOG('Airfoil 1'!$G$10)^2+LOG('Airfoil 1'!$H$10)^2</f>
        <v>76.867141336751558</v>
      </c>
      <c r="AC28" s="16">
        <f ca="1">LOG('Airfoil 1'!$F$10)*LOG(ABS(W28))+LOG('Airfoil 1'!$G$10)*LOG(ABS(X28))+LOG('Airfoil 1'!$H$10)*LOG(ABS(Y28))</f>
        <v>-12.287600038132297</v>
      </c>
      <c r="AD28" s="16">
        <f t="shared" ca="1" si="5"/>
        <v>0.1550000000000121</v>
      </c>
      <c r="AE28" s="16">
        <f t="shared" ca="1" si="6"/>
        <v>-6.6718325633022456E-15</v>
      </c>
      <c r="AF28" s="42">
        <f t="shared" ca="1" si="7"/>
        <v>-0.15499999999999889</v>
      </c>
      <c r="AG28" s="16"/>
      <c r="AH28" s="42"/>
      <c r="AI28" s="16">
        <f ca="1">(L28-'Airfoil 1'!$Z$22)/ABS(L28-'Airfoil 1'!$Z$22)</f>
        <v>1</v>
      </c>
      <c r="AJ28" s="16">
        <f ca="1">(L28-'Airfoil 1'!$Z$23)/ABS(L28-'Airfoil 1'!$Z$23)</f>
        <v>1</v>
      </c>
      <c r="AK28" s="16">
        <f ca="1">(L28-'Airfoil 1'!$Z$24)/ABS(L28-'Airfoil 1'!$Z$24)</f>
        <v>1</v>
      </c>
      <c r="AL28" s="16">
        <f ca="1">(L28-'Airfoil 1'!$Z$25)/ABS(L28-'Airfoil 1'!$Z$25)</f>
        <v>1</v>
      </c>
      <c r="AM28" s="16">
        <f ca="1">(L28-'Airfoil 1'!$Z$26)/ABS(L28-'Airfoil 1'!$Z$26)</f>
        <v>1</v>
      </c>
      <c r="AN28" s="16">
        <f ca="1">(L28-'Airfoil 1'!$Z$27)/ABS(L28-'Airfoil 1'!$Z$27)</f>
        <v>1</v>
      </c>
      <c r="AO28" s="16">
        <f ca="1">(L28-'Airfoil 1'!$Z$28)/ABS(L28-'Airfoil 1'!$Z$28)</f>
        <v>1</v>
      </c>
      <c r="AP28" s="16">
        <f ca="1">(L28-'Airfoil 1'!$Z$29)/ABS(L28-'Airfoil 1'!$Z$29)</f>
        <v>-1</v>
      </c>
      <c r="AQ28" s="16">
        <f ca="1">(L28-'Airfoil 1'!$Z$30)/ABS(L28-'Airfoil 1'!$Z$30)</f>
        <v>-1</v>
      </c>
      <c r="AR28" s="16">
        <f ca="1">(L28-'Airfoil 1'!$Z$31)/ABS(L28-'Airfoil 1'!$Z$31)</f>
        <v>-1</v>
      </c>
      <c r="AS28" s="16">
        <f ca="1">(L28-'Airfoil 1'!$Z$32)/ABS(L28-'Airfoil 1'!$Z$32)</f>
        <v>-1</v>
      </c>
      <c r="AT28" s="16">
        <f ca="1">(L28-'Airfoil 1'!$Z$33)/ABS(L28-'Airfoil 1'!$Z$33)</f>
        <v>-1</v>
      </c>
      <c r="AU28" s="16">
        <f ca="1">(L28-'Airfoil 1'!$Z$34)/ABS(L28-'Airfoil 1'!$Z$34)</f>
        <v>-1</v>
      </c>
      <c r="AV28" s="16">
        <f ca="1">(L28-'Airfoil 1'!$Z$35)/ABS(L28-'Airfoil 1'!$Z$35)</f>
        <v>-1</v>
      </c>
      <c r="AW28" s="16">
        <f ca="1">(L28-'Airfoil 1'!$Z$36)/ABS(L28-'Airfoil 1'!$Z$36)</f>
        <v>-1</v>
      </c>
      <c r="AX28" s="16">
        <f ca="1">(L28-'Airfoil 1'!$Z$37)/ABS(L28-'Airfoil 1'!$Z$37)</f>
        <v>-1</v>
      </c>
      <c r="AY28" s="16">
        <f ca="1">(L28-'Airfoil 1'!$Z$38)/ABS(L28-'Airfoil 1'!$Z$38)</f>
        <v>-1</v>
      </c>
      <c r="AZ28" s="16">
        <f ca="1">(L28-'Airfoil 1'!$Z$39)/ABS(L28-'Airfoil 1'!$Z$39)</f>
        <v>-1</v>
      </c>
      <c r="BA28" s="16">
        <f ca="1">(L28-'Airfoil 1'!$Z$40)/ABS(L28-'Airfoil 1'!$Z$40)</f>
        <v>-1</v>
      </c>
      <c r="BB28" s="16">
        <f ca="1">(L28-'Airfoil 1'!$Z$41)/ABS(L28-'Airfoil 1'!$Z$41)</f>
        <v>-1</v>
      </c>
      <c r="BC28" s="5">
        <f t="shared" ca="1" si="8"/>
        <v>7</v>
      </c>
      <c r="BD28" s="42">
        <f ca="1">INDEX('Airfoil 1'!$AA$22:$AA$41,BC28,1)+INDEX('Airfoil 1'!$AB$22:$AB$41,BC28,1)*(L28-INDEX('Airfoil 1'!$Z$22:$Z$41,BC28,1))</f>
        <v>2.4489313868645602E-2</v>
      </c>
      <c r="BE28" s="6"/>
      <c r="BF28" s="16">
        <f ca="1">(L28-'Airfoil 1'!$Z$47)/ABS(L28-'Airfoil 1'!$Z$47)</f>
        <v>1</v>
      </c>
      <c r="BG28" s="16">
        <f ca="1">(L28-'Airfoil 1'!$Z$48)/ABS(L28-'Airfoil 1'!$Z$48)</f>
        <v>1</v>
      </c>
      <c r="BH28" s="16">
        <f ca="1">(L28-'Airfoil 1'!$Z$49)/ABS(L28-'Airfoil 1'!$Z$49)</f>
        <v>1</v>
      </c>
      <c r="BI28" s="16">
        <f ca="1">(L28-'Airfoil 1'!$Z$50)/ABS(L28-'Airfoil 1'!$Z$50)</f>
        <v>1</v>
      </c>
      <c r="BJ28" s="16">
        <f ca="1">(L28-'Airfoil 1'!$Z$51)/ABS(L28-'Airfoil 1'!$Z$51)</f>
        <v>1</v>
      </c>
      <c r="BK28" s="16">
        <f ca="1">(L28-'Airfoil 1'!$Z$52)/ABS(L28-'Airfoil 1'!$Z$52)</f>
        <v>1</v>
      </c>
      <c r="BL28" s="16">
        <f ca="1">(L28-'Airfoil 1'!$Z$53)/ABS(L28-'Airfoil 1'!$Z$53)</f>
        <v>-1</v>
      </c>
      <c r="BM28" s="16">
        <f ca="1">(L28-'Airfoil 1'!$Z$54)/ABS(L28-'Airfoil 1'!$Z$54)</f>
        <v>-1</v>
      </c>
      <c r="BN28" s="16">
        <f ca="1">(L28-'Airfoil 1'!$Z$55)/ABS(L28-'Airfoil 1'!$Z$55)</f>
        <v>-1</v>
      </c>
      <c r="BO28" s="16">
        <f ca="1">(L28-'Airfoil 1'!$Z$56)/ABS(L28-'Airfoil 1'!$Z$56)</f>
        <v>-1</v>
      </c>
      <c r="BP28" s="16">
        <f ca="1">(L28-'Airfoil 1'!$Z$57)/ABS(L28-'Airfoil 1'!$Z$57)</f>
        <v>-1</v>
      </c>
      <c r="BQ28" s="16">
        <f ca="1">(L28-'Airfoil 1'!$Z$58)/ABS(L28-'Airfoil 1'!$Z$58)</f>
        <v>-1</v>
      </c>
      <c r="BR28" s="16">
        <f ca="1">(L28-'Airfoil 1'!$Z$59)/ABS(L28-'Airfoil 1'!$Z$59)</f>
        <v>-1</v>
      </c>
      <c r="BS28" s="16">
        <f ca="1">(L28-'Airfoil 1'!$Z$60)/ABS(L28-'Airfoil 1'!$Z$60)</f>
        <v>-1</v>
      </c>
      <c r="BT28" s="16">
        <f ca="1">(L28-'Airfoil 1'!$Z$61)/ABS(L28-'Airfoil 1'!$Z$61)</f>
        <v>-1</v>
      </c>
      <c r="BU28" s="16">
        <f ca="1">(L28-'Airfoil 1'!$Z$62)/ABS(L28-'Airfoil 1'!$Z$62)</f>
        <v>-1</v>
      </c>
      <c r="BV28" s="16">
        <f ca="1">(L28-'Airfoil 1'!$Z$63)/ABS(L28-'Airfoil 1'!$Z$63)</f>
        <v>-1</v>
      </c>
      <c r="BW28" s="16">
        <f ca="1">(L28-'Airfoil 1'!$Z$64)/ABS(L28-'Airfoil 1'!$Z$64)</f>
        <v>-1</v>
      </c>
      <c r="BX28" s="16">
        <f ca="1">(L28-'Airfoil 1'!$Z$65)/ABS(L28-'Airfoil 1'!$Z$65)</f>
        <v>-1</v>
      </c>
      <c r="BY28" s="16">
        <f ca="1">(L28-'Airfoil 1'!$Z$66)/ABS(L28-'Airfoil 1'!$Z$66)</f>
        <v>-1</v>
      </c>
      <c r="BZ28" s="5">
        <f t="shared" ca="1" si="9"/>
        <v>6</v>
      </c>
      <c r="CA28" s="42">
        <f ca="1">INDEX('Airfoil 1'!$AA$47:$AA$66,BZ28,1)+INDEX('Airfoil 1'!$AB$47:$AB$66,BZ28,1)*(L28-INDEX('Airfoil 1'!$Z$47:$Z$66,BZ28,1))</f>
        <v>1.7370857855227035E-2</v>
      </c>
      <c r="CC28" s="16">
        <f ca="1">(L28-'Airfoil 1'!$Z$72)/ABS(L28-'Airfoil 1'!$Z$72)</f>
        <v>1</v>
      </c>
      <c r="CD28" s="16">
        <f ca="1">(L28-'Airfoil 1'!$Z$73)/ABS(L28-'Airfoil 1'!$Z$73)</f>
        <v>1</v>
      </c>
      <c r="CE28" s="16">
        <f ca="1">(L28-'Airfoil 1'!$Z$74)/ABS(L28-'Airfoil 1'!$Z$74)</f>
        <v>1</v>
      </c>
      <c r="CF28" s="16">
        <f ca="1">(L28-'Airfoil 1'!$Z$75)/ABS(L28-'Airfoil 1'!$Z$75)</f>
        <v>1</v>
      </c>
      <c r="CG28" s="16">
        <f ca="1">(L28-'Airfoil 1'!$Z$76)/ABS(L28-'Airfoil 1'!$Z$76)</f>
        <v>-1</v>
      </c>
      <c r="CH28" s="16">
        <f ca="1">(L28-'Airfoil 1'!$Z$77)/ABS(L28-'Airfoil 1'!$Z$77)</f>
        <v>-1</v>
      </c>
      <c r="CI28" s="16">
        <f ca="1">(L28-'Airfoil 1'!$Z$78)/ABS(L28-'Airfoil 1'!$Z$78)</f>
        <v>-1</v>
      </c>
      <c r="CJ28" s="16">
        <f ca="1">(L28-'Airfoil 1'!$Z$79)/ABS(L28-'Airfoil 1'!$Z$79)</f>
        <v>-1</v>
      </c>
      <c r="CK28" s="16">
        <f ca="1">(L28-'Airfoil 1'!$Z$80)/ABS(L28-'Airfoil 1'!$Z$80)</f>
        <v>-1</v>
      </c>
      <c r="CL28" s="16">
        <f ca="1">(L28-'Airfoil 1'!$Z$81)/ABS(L28-'Airfoil 1'!$Z$81)</f>
        <v>-1</v>
      </c>
      <c r="CM28" s="16">
        <f ca="1">(L28-'Airfoil 1'!$Z$82)/ABS(L28-'Airfoil 1'!$Z$82)</f>
        <v>-1</v>
      </c>
      <c r="CN28" s="16">
        <f ca="1">(L28-'Airfoil 1'!$Z$83)/ABS(L28-'Airfoil 1'!$Z$83)</f>
        <v>-1</v>
      </c>
      <c r="CO28" s="16">
        <f ca="1">(L28-'Airfoil 1'!$Z$84)/ABS(L28-'Airfoil 1'!$Z$84)</f>
        <v>-1</v>
      </c>
      <c r="CP28" s="16">
        <f ca="1">(L28-'Airfoil 1'!$Z$85)/ABS(L28-'Airfoil 1'!$Z$85)</f>
        <v>-1</v>
      </c>
      <c r="CQ28" s="16">
        <f ca="1">(L28-'Airfoil 1'!$Z$86)/ABS(L28-'Airfoil 1'!$Z$86)</f>
        <v>-1</v>
      </c>
      <c r="CR28" s="16">
        <f ca="1">(L28-'Airfoil 1'!$Z$87)/ABS(L28-'Airfoil 1'!$Z$87)</f>
        <v>-1</v>
      </c>
      <c r="CS28" s="16">
        <f ca="1">(L28-'Airfoil 1'!$Z$88)/ABS(L28-'Airfoil 1'!$Z$88)</f>
        <v>-1</v>
      </c>
      <c r="CT28" s="16">
        <f ca="1">(L28-'Airfoil 1'!$Z$89)/ABS(L28-'Airfoil 1'!$Z$89)</f>
        <v>-1</v>
      </c>
      <c r="CU28" s="16">
        <f ca="1">(L28-'Airfoil 1'!$Z$90)/ABS(L28-'Airfoil 1'!$Z$90)</f>
        <v>-1</v>
      </c>
      <c r="CV28" s="16">
        <f ca="1">(L28-'Airfoil 1'!$Z$91)/ABS(L28-'Airfoil 1'!$Z$91)</f>
        <v>-1</v>
      </c>
      <c r="CW28" s="5">
        <f t="shared" ca="1" si="10"/>
        <v>4</v>
      </c>
      <c r="CX28" s="42">
        <f ca="1">INDEX('Airfoil 1'!$AA$72:$AA$91,CW28,1)+INDEX('Airfoil 1'!$AB$72:$AB$91,CW28,1)*(L28-INDEX('Airfoil 1'!$Z$72:$Z$91,CW28,1))</f>
        <v>1.1110331491593951E-2</v>
      </c>
    </row>
    <row r="29" spans="2:102">
      <c r="B29" s="31">
        <f>Main!B29</f>
        <v>0.33333333333333326</v>
      </c>
      <c r="D29" s="1">
        <f>Cruise!F29</f>
        <v>0.65969672852566186</v>
      </c>
      <c r="E29" s="4">
        <f>ISA!$R$10</f>
        <v>1.5987591530356481E-5</v>
      </c>
      <c r="G29" s="20">
        <f ca="1">'Aerodynamics-Speed'!H29</f>
        <v>25.337550160906257</v>
      </c>
      <c r="H29" s="5">
        <f t="shared" ca="1" si="0"/>
        <v>348501.50126879907</v>
      </c>
      <c r="I29" s="16">
        <f ca="1">'Airfoil 2'!$K$14*H29^'Airfoil 2'!$L$13</f>
        <v>1.5827965277836125</v>
      </c>
      <c r="J29" s="1">
        <f ca="1">'Airfoil 2'!$K$33*H29^'Airfoil 2'!$L$32</f>
        <v>5.040763712111108</v>
      </c>
      <c r="K29" s="13">
        <f ca="1">'Airfoil 2'!$K$52*H29^'Airfoil 2'!$L$51</f>
        <v>-9.140799217878202</v>
      </c>
      <c r="L29" s="16">
        <f ca="1">'Aerodynamics-Speed'!W29</f>
        <v>0.89999999998480085</v>
      </c>
      <c r="M29" s="10">
        <f ca="1">('Airfoil 1'!$B$21+'Airfoil 1'!$B$22*L29+'Airfoil 1'!$B$23*L29^2+'Airfoil 1'!$B$24*L29^3+'Airfoil 1'!$B$25*L29^4+'Airfoil 1'!$B$26*L29^5+'Airfoil 1'!$B$27*L29^6)*0+BD29</f>
        <v>2.4489313868646691E-2</v>
      </c>
      <c r="N29" s="42">
        <f ca="1">('Airfoil 1'!$B$29+'Airfoil 1'!$B$30*L29+'Airfoil 1'!$B$31*L29^2+'Airfoil 1'!$B$32*L29^3+'Airfoil 1'!$B$33*L29^4+'Airfoil 1'!$B$34*L29^5+'Airfoil 1'!$B$35*L29^6)*0+CA29</f>
        <v>1.7370857855222514E-2</v>
      </c>
      <c r="O29" s="42">
        <f ca="1">('Airfoil 1'!$B$37+'Airfoil 1'!$B$38*L29+'Airfoil 1'!$B$39*L29^2+'Airfoil 1'!$B$40*L29^3+'Airfoil 1'!$B$41*L29^4+'Airfoil 1'!$B$42*L29^5+'Airfoil 1'!$B$43*L29^6)*0+CX29</f>
        <v>1.1110331491589963E-2</v>
      </c>
      <c r="P29" s="16">
        <f>LOG('Airfoil 1'!$F$10)+LOG('Airfoil 1'!$G$10)+LOG('Airfoil 1'!$H$10)</f>
        <v>15.176091259055681</v>
      </c>
      <c r="Q29" s="16">
        <f t="shared" ca="1" si="1"/>
        <v>-5.3254750992005926</v>
      </c>
      <c r="R29" s="16">
        <f>LOG('Airfoil 1'!$F$10)^2+LOG('Airfoil 1'!$G$10)^2+LOG('Airfoil 1'!$H$10)^2</f>
        <v>76.867141336751558</v>
      </c>
      <c r="S29" s="16">
        <f ca="1">LOG('Airfoil 1'!$F$10)*LOG(M29)+LOG('Airfoil 1'!$G$10)*LOG(N29)+LOG('Airfoil 1'!$H$10)*LOG(O29)</f>
        <v>-27.014391057567927</v>
      </c>
      <c r="T29" s="16">
        <f t="shared" ca="1" si="2"/>
        <v>141.60346470837717</v>
      </c>
      <c r="U29" s="16">
        <f t="shared" ca="1" si="3"/>
        <v>-0.77613507570071483</v>
      </c>
      <c r="V29" s="42">
        <f ca="1">MAX(IF(Energy!$F$11=1,Energy!$T$13,1)*T29*H29^U29,O29)</f>
        <v>1.1110331491589963E-2</v>
      </c>
      <c r="W29" s="10">
        <f ca="1">'Airfoil 1'!$B$48+'Airfoil 1'!$B$49*L29+'Airfoil 1'!$B$50*L29^2+'Airfoil 1'!$B$51*L29^3+'Airfoil 1'!$B$52*L29^4+'Airfoil 1'!$B$53*L29^5+'Airfoil 1'!$B$54*L29^6</f>
        <v>-0.155</v>
      </c>
      <c r="X29" s="42">
        <f ca="1">'Airfoil 1'!$B$56+'Airfoil 1'!$B$57*L29+'Airfoil 1'!$B$58*L29^2+'Airfoil 1'!$B$59*L29^3+'Airfoil 1'!$B$60*L29^4+'Airfoil 1'!$B$61*L29^5+'Airfoil 1'!$B$62*L29^6</f>
        <v>-0.155</v>
      </c>
      <c r="Y29" s="42">
        <f ca="1">'Airfoil 1'!$B$64+'Airfoil 1'!$B$65*L29+'Airfoil 1'!$B$66*L29^2+'Airfoil 1'!$B$67*L29^3+'Airfoil 1'!$B$681*L29^4+'Airfoil 1'!$B$69*L29^5+'Airfoil 1'!$B$70*L29^6</f>
        <v>-0.155</v>
      </c>
      <c r="Z29" s="16">
        <f>LOG('Airfoil 1'!$F$10)+LOG('Airfoil 1'!$G$10)+LOG('Airfoil 1'!$H$10)</f>
        <v>15.176091259055681</v>
      </c>
      <c r="AA29" s="16">
        <f t="shared" ca="1" si="4"/>
        <v>-2.4290049054891254</v>
      </c>
      <c r="AB29" s="16">
        <f>LOG('Airfoil 1'!$F$10)^2+LOG('Airfoil 1'!$G$10)^2+LOG('Airfoil 1'!$H$10)^2</f>
        <v>76.867141336751558</v>
      </c>
      <c r="AC29" s="16">
        <f ca="1">LOG('Airfoil 1'!$F$10)*LOG(ABS(W29))+LOG('Airfoil 1'!$G$10)*LOG(ABS(X29))+LOG('Airfoil 1'!$H$10)*LOG(ABS(Y29))</f>
        <v>-12.287600038132297</v>
      </c>
      <c r="AD29" s="16">
        <f t="shared" ca="1" si="5"/>
        <v>0.1550000000000121</v>
      </c>
      <c r="AE29" s="16">
        <f t="shared" ca="1" si="6"/>
        <v>-6.6718325633022456E-15</v>
      </c>
      <c r="AF29" s="42">
        <f t="shared" ca="1" si="7"/>
        <v>-0.15499999999999892</v>
      </c>
      <c r="AG29" s="16"/>
      <c r="AH29" s="42"/>
      <c r="AI29" s="16">
        <f ca="1">(L29-'Airfoil 1'!$Z$22)/ABS(L29-'Airfoil 1'!$Z$22)</f>
        <v>1</v>
      </c>
      <c r="AJ29" s="16">
        <f ca="1">(L29-'Airfoil 1'!$Z$23)/ABS(L29-'Airfoil 1'!$Z$23)</f>
        <v>1</v>
      </c>
      <c r="AK29" s="16">
        <f ca="1">(L29-'Airfoil 1'!$Z$24)/ABS(L29-'Airfoil 1'!$Z$24)</f>
        <v>1</v>
      </c>
      <c r="AL29" s="16">
        <f ca="1">(L29-'Airfoil 1'!$Z$25)/ABS(L29-'Airfoil 1'!$Z$25)</f>
        <v>1</v>
      </c>
      <c r="AM29" s="16">
        <f ca="1">(L29-'Airfoil 1'!$Z$26)/ABS(L29-'Airfoil 1'!$Z$26)</f>
        <v>1</v>
      </c>
      <c r="AN29" s="16">
        <f ca="1">(L29-'Airfoil 1'!$Z$27)/ABS(L29-'Airfoil 1'!$Z$27)</f>
        <v>1</v>
      </c>
      <c r="AO29" s="16">
        <f ca="1">(L29-'Airfoil 1'!$Z$28)/ABS(L29-'Airfoil 1'!$Z$28)</f>
        <v>1</v>
      </c>
      <c r="AP29" s="16">
        <f ca="1">(L29-'Airfoil 1'!$Z$29)/ABS(L29-'Airfoil 1'!$Z$29)</f>
        <v>-1</v>
      </c>
      <c r="AQ29" s="16">
        <f ca="1">(L29-'Airfoil 1'!$Z$30)/ABS(L29-'Airfoil 1'!$Z$30)</f>
        <v>-1</v>
      </c>
      <c r="AR29" s="16">
        <f ca="1">(L29-'Airfoil 1'!$Z$31)/ABS(L29-'Airfoil 1'!$Z$31)</f>
        <v>-1</v>
      </c>
      <c r="AS29" s="16">
        <f ca="1">(L29-'Airfoil 1'!$Z$32)/ABS(L29-'Airfoil 1'!$Z$32)</f>
        <v>-1</v>
      </c>
      <c r="AT29" s="16">
        <f ca="1">(L29-'Airfoil 1'!$Z$33)/ABS(L29-'Airfoil 1'!$Z$33)</f>
        <v>-1</v>
      </c>
      <c r="AU29" s="16">
        <f ca="1">(L29-'Airfoil 1'!$Z$34)/ABS(L29-'Airfoil 1'!$Z$34)</f>
        <v>-1</v>
      </c>
      <c r="AV29" s="16">
        <f ca="1">(L29-'Airfoil 1'!$Z$35)/ABS(L29-'Airfoil 1'!$Z$35)</f>
        <v>-1</v>
      </c>
      <c r="AW29" s="16">
        <f ca="1">(L29-'Airfoil 1'!$Z$36)/ABS(L29-'Airfoil 1'!$Z$36)</f>
        <v>-1</v>
      </c>
      <c r="AX29" s="16">
        <f ca="1">(L29-'Airfoil 1'!$Z$37)/ABS(L29-'Airfoil 1'!$Z$37)</f>
        <v>-1</v>
      </c>
      <c r="AY29" s="16">
        <f ca="1">(L29-'Airfoil 1'!$Z$38)/ABS(L29-'Airfoil 1'!$Z$38)</f>
        <v>-1</v>
      </c>
      <c r="AZ29" s="16">
        <f ca="1">(L29-'Airfoil 1'!$Z$39)/ABS(L29-'Airfoil 1'!$Z$39)</f>
        <v>-1</v>
      </c>
      <c r="BA29" s="16">
        <f ca="1">(L29-'Airfoil 1'!$Z$40)/ABS(L29-'Airfoil 1'!$Z$40)</f>
        <v>-1</v>
      </c>
      <c r="BB29" s="16">
        <f ca="1">(L29-'Airfoil 1'!$Z$41)/ABS(L29-'Airfoil 1'!$Z$41)</f>
        <v>-1</v>
      </c>
      <c r="BC29" s="5">
        <f t="shared" ca="1" si="8"/>
        <v>7</v>
      </c>
      <c r="BD29" s="42">
        <f ca="1">INDEX('Airfoil 1'!$AA$22:$AA$41,BC29,1)+INDEX('Airfoil 1'!$AB$22:$AB$41,BC29,1)*(L29-INDEX('Airfoil 1'!$Z$22:$Z$41,BC29,1))</f>
        <v>2.4489313868646421E-2</v>
      </c>
      <c r="BE29" s="6"/>
      <c r="BF29" s="16">
        <f ca="1">(L29-'Airfoil 1'!$Z$47)/ABS(L29-'Airfoil 1'!$Z$47)</f>
        <v>1</v>
      </c>
      <c r="BG29" s="16">
        <f ca="1">(L29-'Airfoil 1'!$Z$48)/ABS(L29-'Airfoil 1'!$Z$48)</f>
        <v>1</v>
      </c>
      <c r="BH29" s="16">
        <f ca="1">(L29-'Airfoil 1'!$Z$49)/ABS(L29-'Airfoil 1'!$Z$49)</f>
        <v>1</v>
      </c>
      <c r="BI29" s="16">
        <f ca="1">(L29-'Airfoil 1'!$Z$50)/ABS(L29-'Airfoil 1'!$Z$50)</f>
        <v>1</v>
      </c>
      <c r="BJ29" s="16">
        <f ca="1">(L29-'Airfoil 1'!$Z$51)/ABS(L29-'Airfoil 1'!$Z$51)</f>
        <v>1</v>
      </c>
      <c r="BK29" s="16">
        <f ca="1">(L29-'Airfoil 1'!$Z$52)/ABS(L29-'Airfoil 1'!$Z$52)</f>
        <v>1</v>
      </c>
      <c r="BL29" s="16">
        <f ca="1">(L29-'Airfoil 1'!$Z$53)/ABS(L29-'Airfoil 1'!$Z$53)</f>
        <v>-1</v>
      </c>
      <c r="BM29" s="16">
        <f ca="1">(L29-'Airfoil 1'!$Z$54)/ABS(L29-'Airfoil 1'!$Z$54)</f>
        <v>-1</v>
      </c>
      <c r="BN29" s="16">
        <f ca="1">(L29-'Airfoil 1'!$Z$55)/ABS(L29-'Airfoil 1'!$Z$55)</f>
        <v>-1</v>
      </c>
      <c r="BO29" s="16">
        <f ca="1">(L29-'Airfoil 1'!$Z$56)/ABS(L29-'Airfoil 1'!$Z$56)</f>
        <v>-1</v>
      </c>
      <c r="BP29" s="16">
        <f ca="1">(L29-'Airfoil 1'!$Z$57)/ABS(L29-'Airfoil 1'!$Z$57)</f>
        <v>-1</v>
      </c>
      <c r="BQ29" s="16">
        <f ca="1">(L29-'Airfoil 1'!$Z$58)/ABS(L29-'Airfoil 1'!$Z$58)</f>
        <v>-1</v>
      </c>
      <c r="BR29" s="16">
        <f ca="1">(L29-'Airfoil 1'!$Z$59)/ABS(L29-'Airfoil 1'!$Z$59)</f>
        <v>-1</v>
      </c>
      <c r="BS29" s="16">
        <f ca="1">(L29-'Airfoil 1'!$Z$60)/ABS(L29-'Airfoil 1'!$Z$60)</f>
        <v>-1</v>
      </c>
      <c r="BT29" s="16">
        <f ca="1">(L29-'Airfoil 1'!$Z$61)/ABS(L29-'Airfoil 1'!$Z$61)</f>
        <v>-1</v>
      </c>
      <c r="BU29" s="16">
        <f ca="1">(L29-'Airfoil 1'!$Z$62)/ABS(L29-'Airfoil 1'!$Z$62)</f>
        <v>-1</v>
      </c>
      <c r="BV29" s="16">
        <f ca="1">(L29-'Airfoil 1'!$Z$63)/ABS(L29-'Airfoil 1'!$Z$63)</f>
        <v>-1</v>
      </c>
      <c r="BW29" s="16">
        <f ca="1">(L29-'Airfoil 1'!$Z$64)/ABS(L29-'Airfoil 1'!$Z$64)</f>
        <v>-1</v>
      </c>
      <c r="BX29" s="16">
        <f ca="1">(L29-'Airfoil 1'!$Z$65)/ABS(L29-'Airfoil 1'!$Z$65)</f>
        <v>-1</v>
      </c>
      <c r="BY29" s="16">
        <f ca="1">(L29-'Airfoil 1'!$Z$66)/ABS(L29-'Airfoil 1'!$Z$66)</f>
        <v>-1</v>
      </c>
      <c r="BZ29" s="5">
        <f t="shared" ca="1" si="9"/>
        <v>6</v>
      </c>
      <c r="CA29" s="42">
        <f ca="1">INDEX('Airfoil 1'!$AA$47:$AA$66,BZ29,1)+INDEX('Airfoil 1'!$AB$47:$AB$66,BZ29,1)*(L29-INDEX('Airfoil 1'!$Z$47:$Z$66,BZ29,1))</f>
        <v>1.7370857855223628E-2</v>
      </c>
      <c r="CC29" s="16">
        <f ca="1">(L29-'Airfoil 1'!$Z$72)/ABS(L29-'Airfoil 1'!$Z$72)</f>
        <v>1</v>
      </c>
      <c r="CD29" s="16">
        <f ca="1">(L29-'Airfoil 1'!$Z$73)/ABS(L29-'Airfoil 1'!$Z$73)</f>
        <v>1</v>
      </c>
      <c r="CE29" s="16">
        <f ca="1">(L29-'Airfoil 1'!$Z$74)/ABS(L29-'Airfoil 1'!$Z$74)</f>
        <v>1</v>
      </c>
      <c r="CF29" s="16">
        <f ca="1">(L29-'Airfoil 1'!$Z$75)/ABS(L29-'Airfoil 1'!$Z$75)</f>
        <v>1</v>
      </c>
      <c r="CG29" s="16">
        <f ca="1">(L29-'Airfoil 1'!$Z$76)/ABS(L29-'Airfoil 1'!$Z$76)</f>
        <v>-1</v>
      </c>
      <c r="CH29" s="16">
        <f ca="1">(L29-'Airfoil 1'!$Z$77)/ABS(L29-'Airfoil 1'!$Z$77)</f>
        <v>-1</v>
      </c>
      <c r="CI29" s="16">
        <f ca="1">(L29-'Airfoil 1'!$Z$78)/ABS(L29-'Airfoil 1'!$Z$78)</f>
        <v>-1</v>
      </c>
      <c r="CJ29" s="16">
        <f ca="1">(L29-'Airfoil 1'!$Z$79)/ABS(L29-'Airfoil 1'!$Z$79)</f>
        <v>-1</v>
      </c>
      <c r="CK29" s="16">
        <f ca="1">(L29-'Airfoil 1'!$Z$80)/ABS(L29-'Airfoil 1'!$Z$80)</f>
        <v>-1</v>
      </c>
      <c r="CL29" s="16">
        <f ca="1">(L29-'Airfoil 1'!$Z$81)/ABS(L29-'Airfoil 1'!$Z$81)</f>
        <v>-1</v>
      </c>
      <c r="CM29" s="16">
        <f ca="1">(L29-'Airfoil 1'!$Z$82)/ABS(L29-'Airfoil 1'!$Z$82)</f>
        <v>-1</v>
      </c>
      <c r="CN29" s="16">
        <f ca="1">(L29-'Airfoil 1'!$Z$83)/ABS(L29-'Airfoil 1'!$Z$83)</f>
        <v>-1</v>
      </c>
      <c r="CO29" s="16">
        <f ca="1">(L29-'Airfoil 1'!$Z$84)/ABS(L29-'Airfoil 1'!$Z$84)</f>
        <v>-1</v>
      </c>
      <c r="CP29" s="16">
        <f ca="1">(L29-'Airfoil 1'!$Z$85)/ABS(L29-'Airfoil 1'!$Z$85)</f>
        <v>-1</v>
      </c>
      <c r="CQ29" s="16">
        <f ca="1">(L29-'Airfoil 1'!$Z$86)/ABS(L29-'Airfoil 1'!$Z$86)</f>
        <v>-1</v>
      </c>
      <c r="CR29" s="16">
        <f ca="1">(L29-'Airfoil 1'!$Z$87)/ABS(L29-'Airfoil 1'!$Z$87)</f>
        <v>-1</v>
      </c>
      <c r="CS29" s="16">
        <f ca="1">(L29-'Airfoil 1'!$Z$88)/ABS(L29-'Airfoil 1'!$Z$88)</f>
        <v>-1</v>
      </c>
      <c r="CT29" s="16">
        <f ca="1">(L29-'Airfoil 1'!$Z$89)/ABS(L29-'Airfoil 1'!$Z$89)</f>
        <v>-1</v>
      </c>
      <c r="CU29" s="16">
        <f ca="1">(L29-'Airfoil 1'!$Z$90)/ABS(L29-'Airfoil 1'!$Z$90)</f>
        <v>-1</v>
      </c>
      <c r="CV29" s="16">
        <f ca="1">(L29-'Airfoil 1'!$Z$91)/ABS(L29-'Airfoil 1'!$Z$91)</f>
        <v>-1</v>
      </c>
      <c r="CW29" s="5">
        <f t="shared" ca="1" si="10"/>
        <v>4</v>
      </c>
      <c r="CX29" s="42">
        <f ca="1">INDEX('Airfoil 1'!$AA$72:$AA$91,CW29,1)+INDEX('Airfoil 1'!$AB$72:$AB$91,CW29,1)*(L29-INDEX('Airfoil 1'!$Z$72:$Z$91,CW29,1))</f>
        <v>1.1110331491590946E-2</v>
      </c>
    </row>
    <row r="30" spans="2:102">
      <c r="B30" s="31">
        <f>Main!B30</f>
        <v>0.33333333333333326</v>
      </c>
      <c r="D30" s="1">
        <f>Cruise!F30</f>
        <v>0.65969672852566186</v>
      </c>
      <c r="E30" s="4">
        <f>ISA!$R$10</f>
        <v>1.5987591530356481E-5</v>
      </c>
      <c r="G30" s="20">
        <f ca="1">'Aerodynamics-Speed'!H30</f>
        <v>24.858990723467461</v>
      </c>
      <c r="H30" s="5">
        <f t="shared" ca="1" si="0"/>
        <v>341919.22787083266</v>
      </c>
      <c r="I30" s="16">
        <f ca="1">'Airfoil 2'!$K$14*H30^'Airfoil 2'!$L$13</f>
        <v>1.5823770296446702</v>
      </c>
      <c r="J30" s="1">
        <f ca="1">'Airfoil 2'!$K$33*H30^'Airfoil 2'!$L$32</f>
        <v>5.073196175455708</v>
      </c>
      <c r="K30" s="13">
        <f ca="1">'Airfoil 2'!$K$52*H30^'Airfoil 2'!$L$51</f>
        <v>-9.0249781933575264</v>
      </c>
      <c r="L30" s="16">
        <f ca="1">'Aerodynamics-Speed'!W30</f>
        <v>0.8999999999844428</v>
      </c>
      <c r="M30" s="10">
        <f ca="1">('Airfoil 1'!$B$21+'Airfoil 1'!$B$22*L30+'Airfoil 1'!$B$23*L30^2+'Airfoil 1'!$B$24*L30^3+'Airfoil 1'!$B$25*L30^4+'Airfoil 1'!$B$26*L30^5+'Airfoil 1'!$B$27*L30^6)*0+BD30</f>
        <v>2.4489313868647476E-2</v>
      </c>
      <c r="N30" s="42">
        <f ca="1">('Airfoil 1'!$B$29+'Airfoil 1'!$B$30*L30+'Airfoil 1'!$B$31*L30^2+'Airfoil 1'!$B$32*L30^3+'Airfoil 1'!$B$33*L30^4+'Airfoil 1'!$B$34*L30^5+'Airfoil 1'!$B$35*L30^6)*0+CA30</f>
        <v>1.7370857855219267E-2</v>
      </c>
      <c r="O30" s="42">
        <f ca="1">('Airfoil 1'!$B$37+'Airfoil 1'!$B$38*L30+'Airfoil 1'!$B$39*L30^2+'Airfoil 1'!$B$40*L30^3+'Airfoil 1'!$B$41*L30^4+'Airfoil 1'!$B$42*L30^5+'Airfoil 1'!$B$43*L30^6)*0+CX30</f>
        <v>1.1110331491587095E-2</v>
      </c>
      <c r="P30" s="16">
        <f>LOG('Airfoil 1'!$F$10)+LOG('Airfoil 1'!$G$10)+LOG('Airfoil 1'!$H$10)</f>
        <v>15.176091259055681</v>
      </c>
      <c r="Q30" s="16">
        <f t="shared" ca="1" si="1"/>
        <v>-5.325475099200772</v>
      </c>
      <c r="R30" s="16">
        <f>LOG('Airfoil 1'!$F$10)^2+LOG('Airfoil 1'!$G$10)^2+LOG('Airfoil 1'!$H$10)^2</f>
        <v>76.867141336751558</v>
      </c>
      <c r="S30" s="16">
        <f ca="1">LOG('Airfoil 1'!$F$10)*LOG(M30)+LOG('Airfoil 1'!$G$10)*LOG(N30)+LOG('Airfoil 1'!$H$10)*LOG(O30)</f>
        <v>-27.014391057568858</v>
      </c>
      <c r="T30" s="16">
        <f t="shared" ca="1" si="2"/>
        <v>141.60346470874404</v>
      </c>
      <c r="U30" s="16">
        <f t="shared" ca="1" si="3"/>
        <v>-0.7761350757009492</v>
      </c>
      <c r="V30" s="42">
        <f ca="1">MAX(IF(Energy!$F$11=1,Energy!$T$13,1)*T30*H30^U30,O30)</f>
        <v>1.1110331491587095E-2</v>
      </c>
      <c r="W30" s="10">
        <f ca="1">'Airfoil 1'!$B$48+'Airfoil 1'!$B$49*L30+'Airfoil 1'!$B$50*L30^2+'Airfoil 1'!$B$51*L30^3+'Airfoil 1'!$B$52*L30^4+'Airfoil 1'!$B$53*L30^5+'Airfoil 1'!$B$54*L30^6</f>
        <v>-0.155</v>
      </c>
      <c r="X30" s="42">
        <f ca="1">'Airfoil 1'!$B$56+'Airfoil 1'!$B$57*L30+'Airfoil 1'!$B$58*L30^2+'Airfoil 1'!$B$59*L30^3+'Airfoil 1'!$B$60*L30^4+'Airfoil 1'!$B$61*L30^5+'Airfoil 1'!$B$62*L30^6</f>
        <v>-0.155</v>
      </c>
      <c r="Y30" s="42">
        <f ca="1">'Airfoil 1'!$B$64+'Airfoil 1'!$B$65*L30+'Airfoil 1'!$B$66*L30^2+'Airfoil 1'!$B$67*L30^3+'Airfoil 1'!$B$681*L30^4+'Airfoil 1'!$B$69*L30^5+'Airfoil 1'!$B$70*L30^6</f>
        <v>-0.155</v>
      </c>
      <c r="Z30" s="16">
        <f>LOG('Airfoil 1'!$F$10)+LOG('Airfoil 1'!$G$10)+LOG('Airfoil 1'!$H$10)</f>
        <v>15.176091259055681</v>
      </c>
      <c r="AA30" s="16">
        <f t="shared" ca="1" si="4"/>
        <v>-2.4290049054891254</v>
      </c>
      <c r="AB30" s="16">
        <f>LOG('Airfoil 1'!$F$10)^2+LOG('Airfoil 1'!$G$10)^2+LOG('Airfoil 1'!$H$10)^2</f>
        <v>76.867141336751558</v>
      </c>
      <c r="AC30" s="16">
        <f ca="1">LOG('Airfoil 1'!$F$10)*LOG(ABS(W30))+LOG('Airfoil 1'!$G$10)*LOG(ABS(X30))+LOG('Airfoil 1'!$H$10)*LOG(ABS(Y30))</f>
        <v>-12.287600038132297</v>
      </c>
      <c r="AD30" s="16">
        <f t="shared" ca="1" si="5"/>
        <v>0.1550000000000121</v>
      </c>
      <c r="AE30" s="16">
        <f t="shared" ca="1" si="6"/>
        <v>-6.6718325633022456E-15</v>
      </c>
      <c r="AF30" s="42">
        <f t="shared" ca="1" si="7"/>
        <v>-0.15499999999999892</v>
      </c>
      <c r="AG30" s="16"/>
      <c r="AH30" s="42"/>
      <c r="AI30" s="16">
        <f ca="1">(L30-'Airfoil 1'!$Z$22)/ABS(L30-'Airfoil 1'!$Z$22)</f>
        <v>1</v>
      </c>
      <c r="AJ30" s="16">
        <f ca="1">(L30-'Airfoil 1'!$Z$23)/ABS(L30-'Airfoil 1'!$Z$23)</f>
        <v>1</v>
      </c>
      <c r="AK30" s="16">
        <f ca="1">(L30-'Airfoil 1'!$Z$24)/ABS(L30-'Airfoil 1'!$Z$24)</f>
        <v>1</v>
      </c>
      <c r="AL30" s="16">
        <f ca="1">(L30-'Airfoil 1'!$Z$25)/ABS(L30-'Airfoil 1'!$Z$25)</f>
        <v>1</v>
      </c>
      <c r="AM30" s="16">
        <f ca="1">(L30-'Airfoil 1'!$Z$26)/ABS(L30-'Airfoil 1'!$Z$26)</f>
        <v>1</v>
      </c>
      <c r="AN30" s="16">
        <f ca="1">(L30-'Airfoil 1'!$Z$27)/ABS(L30-'Airfoil 1'!$Z$27)</f>
        <v>1</v>
      </c>
      <c r="AO30" s="16">
        <f ca="1">(L30-'Airfoil 1'!$Z$28)/ABS(L30-'Airfoil 1'!$Z$28)</f>
        <v>1</v>
      </c>
      <c r="AP30" s="16">
        <f ca="1">(L30-'Airfoil 1'!$Z$29)/ABS(L30-'Airfoil 1'!$Z$29)</f>
        <v>-1</v>
      </c>
      <c r="AQ30" s="16">
        <f ca="1">(L30-'Airfoil 1'!$Z$30)/ABS(L30-'Airfoil 1'!$Z$30)</f>
        <v>-1</v>
      </c>
      <c r="AR30" s="16">
        <f ca="1">(L30-'Airfoil 1'!$Z$31)/ABS(L30-'Airfoil 1'!$Z$31)</f>
        <v>-1</v>
      </c>
      <c r="AS30" s="16">
        <f ca="1">(L30-'Airfoil 1'!$Z$32)/ABS(L30-'Airfoil 1'!$Z$32)</f>
        <v>-1</v>
      </c>
      <c r="AT30" s="16">
        <f ca="1">(L30-'Airfoil 1'!$Z$33)/ABS(L30-'Airfoil 1'!$Z$33)</f>
        <v>-1</v>
      </c>
      <c r="AU30" s="16">
        <f ca="1">(L30-'Airfoil 1'!$Z$34)/ABS(L30-'Airfoil 1'!$Z$34)</f>
        <v>-1</v>
      </c>
      <c r="AV30" s="16">
        <f ca="1">(L30-'Airfoil 1'!$Z$35)/ABS(L30-'Airfoil 1'!$Z$35)</f>
        <v>-1</v>
      </c>
      <c r="AW30" s="16">
        <f ca="1">(L30-'Airfoil 1'!$Z$36)/ABS(L30-'Airfoil 1'!$Z$36)</f>
        <v>-1</v>
      </c>
      <c r="AX30" s="16">
        <f ca="1">(L30-'Airfoil 1'!$Z$37)/ABS(L30-'Airfoil 1'!$Z$37)</f>
        <v>-1</v>
      </c>
      <c r="AY30" s="16">
        <f ca="1">(L30-'Airfoil 1'!$Z$38)/ABS(L30-'Airfoil 1'!$Z$38)</f>
        <v>-1</v>
      </c>
      <c r="AZ30" s="16">
        <f ca="1">(L30-'Airfoil 1'!$Z$39)/ABS(L30-'Airfoil 1'!$Z$39)</f>
        <v>-1</v>
      </c>
      <c r="BA30" s="16">
        <f ca="1">(L30-'Airfoil 1'!$Z$40)/ABS(L30-'Airfoil 1'!$Z$40)</f>
        <v>-1</v>
      </c>
      <c r="BB30" s="16">
        <f ca="1">(L30-'Airfoil 1'!$Z$41)/ABS(L30-'Airfoil 1'!$Z$41)</f>
        <v>-1</v>
      </c>
      <c r="BC30" s="5">
        <f t="shared" ca="1" si="8"/>
        <v>7</v>
      </c>
      <c r="BD30" s="42">
        <f ca="1">INDEX('Airfoil 1'!$AA$22:$AA$41,BC30,1)+INDEX('Airfoil 1'!$AB$22:$AB$41,BC30,1)*(L30-INDEX('Airfoil 1'!$Z$22:$Z$41,BC30,1))</f>
        <v>2.4489313868647205E-2</v>
      </c>
      <c r="BE30" s="6"/>
      <c r="BF30" s="16">
        <f ca="1">(L30-'Airfoil 1'!$Z$47)/ABS(L30-'Airfoil 1'!$Z$47)</f>
        <v>1</v>
      </c>
      <c r="BG30" s="16">
        <f ca="1">(L30-'Airfoil 1'!$Z$48)/ABS(L30-'Airfoil 1'!$Z$48)</f>
        <v>1</v>
      </c>
      <c r="BH30" s="16">
        <f ca="1">(L30-'Airfoil 1'!$Z$49)/ABS(L30-'Airfoil 1'!$Z$49)</f>
        <v>1</v>
      </c>
      <c r="BI30" s="16">
        <f ca="1">(L30-'Airfoil 1'!$Z$50)/ABS(L30-'Airfoil 1'!$Z$50)</f>
        <v>1</v>
      </c>
      <c r="BJ30" s="16">
        <f ca="1">(L30-'Airfoil 1'!$Z$51)/ABS(L30-'Airfoil 1'!$Z$51)</f>
        <v>1</v>
      </c>
      <c r="BK30" s="16">
        <f ca="1">(L30-'Airfoil 1'!$Z$52)/ABS(L30-'Airfoil 1'!$Z$52)</f>
        <v>1</v>
      </c>
      <c r="BL30" s="16">
        <f ca="1">(L30-'Airfoil 1'!$Z$53)/ABS(L30-'Airfoil 1'!$Z$53)</f>
        <v>-1</v>
      </c>
      <c r="BM30" s="16">
        <f ca="1">(L30-'Airfoil 1'!$Z$54)/ABS(L30-'Airfoil 1'!$Z$54)</f>
        <v>-1</v>
      </c>
      <c r="BN30" s="16">
        <f ca="1">(L30-'Airfoil 1'!$Z$55)/ABS(L30-'Airfoil 1'!$Z$55)</f>
        <v>-1</v>
      </c>
      <c r="BO30" s="16">
        <f ca="1">(L30-'Airfoil 1'!$Z$56)/ABS(L30-'Airfoil 1'!$Z$56)</f>
        <v>-1</v>
      </c>
      <c r="BP30" s="16">
        <f ca="1">(L30-'Airfoil 1'!$Z$57)/ABS(L30-'Airfoil 1'!$Z$57)</f>
        <v>-1</v>
      </c>
      <c r="BQ30" s="16">
        <f ca="1">(L30-'Airfoil 1'!$Z$58)/ABS(L30-'Airfoil 1'!$Z$58)</f>
        <v>-1</v>
      </c>
      <c r="BR30" s="16">
        <f ca="1">(L30-'Airfoil 1'!$Z$59)/ABS(L30-'Airfoil 1'!$Z$59)</f>
        <v>-1</v>
      </c>
      <c r="BS30" s="16">
        <f ca="1">(L30-'Airfoil 1'!$Z$60)/ABS(L30-'Airfoil 1'!$Z$60)</f>
        <v>-1</v>
      </c>
      <c r="BT30" s="16">
        <f ca="1">(L30-'Airfoil 1'!$Z$61)/ABS(L30-'Airfoil 1'!$Z$61)</f>
        <v>-1</v>
      </c>
      <c r="BU30" s="16">
        <f ca="1">(L30-'Airfoil 1'!$Z$62)/ABS(L30-'Airfoil 1'!$Z$62)</f>
        <v>-1</v>
      </c>
      <c r="BV30" s="16">
        <f ca="1">(L30-'Airfoil 1'!$Z$63)/ABS(L30-'Airfoil 1'!$Z$63)</f>
        <v>-1</v>
      </c>
      <c r="BW30" s="16">
        <f ca="1">(L30-'Airfoil 1'!$Z$64)/ABS(L30-'Airfoil 1'!$Z$64)</f>
        <v>-1</v>
      </c>
      <c r="BX30" s="16">
        <f ca="1">(L30-'Airfoil 1'!$Z$65)/ABS(L30-'Airfoil 1'!$Z$65)</f>
        <v>-1</v>
      </c>
      <c r="BY30" s="16">
        <f ca="1">(L30-'Airfoil 1'!$Z$66)/ABS(L30-'Airfoil 1'!$Z$66)</f>
        <v>-1</v>
      </c>
      <c r="BZ30" s="5">
        <f t="shared" ca="1" si="9"/>
        <v>6</v>
      </c>
      <c r="CA30" s="42">
        <f ca="1">INDEX('Airfoil 1'!$AA$47:$AA$66,BZ30,1)+INDEX('Airfoil 1'!$AB$47:$AB$66,BZ30,1)*(L30-INDEX('Airfoil 1'!$Z$47:$Z$66,BZ30,1))</f>
        <v>1.7370857855220381E-2</v>
      </c>
      <c r="CC30" s="16">
        <f ca="1">(L30-'Airfoil 1'!$Z$72)/ABS(L30-'Airfoil 1'!$Z$72)</f>
        <v>1</v>
      </c>
      <c r="CD30" s="16">
        <f ca="1">(L30-'Airfoil 1'!$Z$73)/ABS(L30-'Airfoil 1'!$Z$73)</f>
        <v>1</v>
      </c>
      <c r="CE30" s="16">
        <f ca="1">(L30-'Airfoil 1'!$Z$74)/ABS(L30-'Airfoil 1'!$Z$74)</f>
        <v>1</v>
      </c>
      <c r="CF30" s="16">
        <f ca="1">(L30-'Airfoil 1'!$Z$75)/ABS(L30-'Airfoil 1'!$Z$75)</f>
        <v>1</v>
      </c>
      <c r="CG30" s="16">
        <f ca="1">(L30-'Airfoil 1'!$Z$76)/ABS(L30-'Airfoil 1'!$Z$76)</f>
        <v>-1</v>
      </c>
      <c r="CH30" s="16">
        <f ca="1">(L30-'Airfoil 1'!$Z$77)/ABS(L30-'Airfoil 1'!$Z$77)</f>
        <v>-1</v>
      </c>
      <c r="CI30" s="16">
        <f ca="1">(L30-'Airfoil 1'!$Z$78)/ABS(L30-'Airfoil 1'!$Z$78)</f>
        <v>-1</v>
      </c>
      <c r="CJ30" s="16">
        <f ca="1">(L30-'Airfoil 1'!$Z$79)/ABS(L30-'Airfoil 1'!$Z$79)</f>
        <v>-1</v>
      </c>
      <c r="CK30" s="16">
        <f ca="1">(L30-'Airfoil 1'!$Z$80)/ABS(L30-'Airfoil 1'!$Z$80)</f>
        <v>-1</v>
      </c>
      <c r="CL30" s="16">
        <f ca="1">(L30-'Airfoil 1'!$Z$81)/ABS(L30-'Airfoil 1'!$Z$81)</f>
        <v>-1</v>
      </c>
      <c r="CM30" s="16">
        <f ca="1">(L30-'Airfoil 1'!$Z$82)/ABS(L30-'Airfoil 1'!$Z$82)</f>
        <v>-1</v>
      </c>
      <c r="CN30" s="16">
        <f ca="1">(L30-'Airfoil 1'!$Z$83)/ABS(L30-'Airfoil 1'!$Z$83)</f>
        <v>-1</v>
      </c>
      <c r="CO30" s="16">
        <f ca="1">(L30-'Airfoil 1'!$Z$84)/ABS(L30-'Airfoil 1'!$Z$84)</f>
        <v>-1</v>
      </c>
      <c r="CP30" s="16">
        <f ca="1">(L30-'Airfoil 1'!$Z$85)/ABS(L30-'Airfoil 1'!$Z$85)</f>
        <v>-1</v>
      </c>
      <c r="CQ30" s="16">
        <f ca="1">(L30-'Airfoil 1'!$Z$86)/ABS(L30-'Airfoil 1'!$Z$86)</f>
        <v>-1</v>
      </c>
      <c r="CR30" s="16">
        <f ca="1">(L30-'Airfoil 1'!$Z$87)/ABS(L30-'Airfoil 1'!$Z$87)</f>
        <v>-1</v>
      </c>
      <c r="CS30" s="16">
        <f ca="1">(L30-'Airfoil 1'!$Z$88)/ABS(L30-'Airfoil 1'!$Z$88)</f>
        <v>-1</v>
      </c>
      <c r="CT30" s="16">
        <f ca="1">(L30-'Airfoil 1'!$Z$89)/ABS(L30-'Airfoil 1'!$Z$89)</f>
        <v>-1</v>
      </c>
      <c r="CU30" s="16">
        <f ca="1">(L30-'Airfoil 1'!$Z$90)/ABS(L30-'Airfoil 1'!$Z$90)</f>
        <v>-1</v>
      </c>
      <c r="CV30" s="16">
        <f ca="1">(L30-'Airfoil 1'!$Z$91)/ABS(L30-'Airfoil 1'!$Z$91)</f>
        <v>-1</v>
      </c>
      <c r="CW30" s="5">
        <f t="shared" ca="1" si="10"/>
        <v>4</v>
      </c>
      <c r="CX30" s="42">
        <f ca="1">INDEX('Airfoil 1'!$AA$72:$AA$91,CW30,1)+INDEX('Airfoil 1'!$AB$72:$AB$91,CW30,1)*(L30-INDEX('Airfoil 1'!$Z$72:$Z$91,CW30,1))</f>
        <v>1.1110331491588077E-2</v>
      </c>
    </row>
    <row r="31" spans="2:102">
      <c r="B31" s="31">
        <f>Main!B31</f>
        <v>0.33333333333333326</v>
      </c>
      <c r="D31" s="1">
        <f>Cruise!F31</f>
        <v>0.65969672852566186</v>
      </c>
      <c r="E31" s="4">
        <f>ISA!$R$10</f>
        <v>1.5987591530356481E-5</v>
      </c>
      <c r="G31" s="20">
        <f ca="1">'Aerodynamics-Speed'!H31</f>
        <v>25.272738494934266</v>
      </c>
      <c r="H31" s="5">
        <f t="shared" ca="1" si="0"/>
        <v>347610.05901224585</v>
      </c>
      <c r="I31" s="16">
        <f ca="1">'Airfoil 2'!$K$14*H31^'Airfoil 2'!$L$13</f>
        <v>1.5827401745008487</v>
      </c>
      <c r="J31" s="1">
        <f ca="1">'Airfoil 2'!$K$33*H31^'Airfoil 2'!$L$32</f>
        <v>5.0451079436384179</v>
      </c>
      <c r="K31" s="13">
        <f ca="1">'Airfoil 2'!$K$52*H31^'Airfoil 2'!$L$51</f>
        <v>-9.1251561856364845</v>
      </c>
      <c r="L31" s="16">
        <f ca="1">'Aerodynamics-Speed'!W31</f>
        <v>0.84152894855101168</v>
      </c>
      <c r="M31" s="10">
        <f ca="1">('Airfoil 1'!$B$21+'Airfoil 1'!$B$22*L31+'Airfoil 1'!$B$23*L31^2+'Airfoil 1'!$B$24*L31^3+'Airfoil 1'!$B$25*L31^4+'Airfoil 1'!$B$26*L31^5+'Airfoil 1'!$B$27*L31^6)*0+BD31</f>
        <v>2.4617352667267549E-2</v>
      </c>
      <c r="N31" s="42">
        <f ca="1">('Airfoil 1'!$B$29+'Airfoil 1'!$B$30*L31+'Airfoil 1'!$B$31*L31^2+'Airfoil 1'!$B$32*L31^3+'Airfoil 1'!$B$33*L31^4+'Airfoil 1'!$B$34*L31^5+'Airfoil 1'!$B$35*L31^6)*0+CA31</f>
        <v>1.710755222331467E-2</v>
      </c>
      <c r="O31" s="42">
        <f ca="1">('Airfoil 1'!$B$37+'Airfoil 1'!$B$38*L31+'Airfoil 1'!$B$39*L31^2+'Airfoil 1'!$B$40*L31^3+'Airfoil 1'!$B$41*L31^4+'Airfoil 1'!$B$42*L31^5+'Airfoil 1'!$B$43*L31^6)*0+CX31</f>
        <v>1.0641916991663015E-2</v>
      </c>
      <c r="P31" s="16">
        <f>LOG('Airfoil 1'!$F$10)+LOG('Airfoil 1'!$G$10)+LOG('Airfoil 1'!$H$10)</f>
        <v>15.176091259055681</v>
      </c>
      <c r="Q31" s="16">
        <f t="shared" ca="1" si="1"/>
        <v>-5.3485509111492329</v>
      </c>
      <c r="R31" s="16">
        <f>LOG('Airfoil 1'!$F$10)^2+LOG('Airfoil 1'!$G$10)^2+LOG('Airfoil 1'!$H$10)^2</f>
        <v>76.867141336751558</v>
      </c>
      <c r="S31" s="16">
        <f ca="1">LOG('Airfoil 1'!$F$10)*LOG(M31)+LOG('Airfoil 1'!$G$10)*LOG(N31)+LOG('Airfoil 1'!$H$10)*LOG(O31)</f>
        <v>-27.135684483048209</v>
      </c>
      <c r="T31" s="16">
        <f t="shared" ca="1" si="2"/>
        <v>242.06541175490048</v>
      </c>
      <c r="U31" s="16">
        <f t="shared" ca="1" si="3"/>
        <v>-0.82368700299499742</v>
      </c>
      <c r="V31" s="42">
        <f ca="1">MAX(IF(Energy!$F$11=1,Energy!$T$13,1)*T31*H31^U31,O31)</f>
        <v>1.0641916991663015E-2</v>
      </c>
      <c r="W31" s="10">
        <f ca="1">'Airfoil 1'!$B$48+'Airfoil 1'!$B$49*L31+'Airfoil 1'!$B$50*L31^2+'Airfoil 1'!$B$51*L31^3+'Airfoil 1'!$B$52*L31^4+'Airfoil 1'!$B$53*L31^5+'Airfoil 1'!$B$54*L31^6</f>
        <v>-0.155</v>
      </c>
      <c r="X31" s="42">
        <f ca="1">'Airfoil 1'!$B$56+'Airfoil 1'!$B$57*L31+'Airfoil 1'!$B$58*L31^2+'Airfoil 1'!$B$59*L31^3+'Airfoil 1'!$B$60*L31^4+'Airfoil 1'!$B$61*L31^5+'Airfoil 1'!$B$62*L31^6</f>
        <v>-0.155</v>
      </c>
      <c r="Y31" s="42">
        <f ca="1">'Airfoil 1'!$B$64+'Airfoil 1'!$B$65*L31+'Airfoil 1'!$B$66*L31^2+'Airfoil 1'!$B$67*L31^3+'Airfoil 1'!$B$681*L31^4+'Airfoil 1'!$B$69*L31^5+'Airfoil 1'!$B$70*L31^6</f>
        <v>-0.155</v>
      </c>
      <c r="Z31" s="16">
        <f>LOG('Airfoil 1'!$F$10)+LOG('Airfoil 1'!$G$10)+LOG('Airfoil 1'!$H$10)</f>
        <v>15.176091259055681</v>
      </c>
      <c r="AA31" s="16">
        <f t="shared" ca="1" si="4"/>
        <v>-2.4290049054891254</v>
      </c>
      <c r="AB31" s="16">
        <f>LOG('Airfoil 1'!$F$10)^2+LOG('Airfoil 1'!$G$10)^2+LOG('Airfoil 1'!$H$10)^2</f>
        <v>76.867141336751558</v>
      </c>
      <c r="AC31" s="16">
        <f ca="1">LOG('Airfoil 1'!$F$10)*LOG(ABS(W31))+LOG('Airfoil 1'!$G$10)*LOG(ABS(X31))+LOG('Airfoil 1'!$H$10)*LOG(ABS(Y31))</f>
        <v>-12.287600038132297</v>
      </c>
      <c r="AD31" s="16">
        <f t="shared" ca="1" si="5"/>
        <v>0.1550000000000121</v>
      </c>
      <c r="AE31" s="16">
        <f t="shared" ca="1" si="6"/>
        <v>-6.6718325633022456E-15</v>
      </c>
      <c r="AF31" s="42">
        <f t="shared" ca="1" si="7"/>
        <v>-0.15499999999999892</v>
      </c>
      <c r="AG31" s="16"/>
      <c r="AH31" s="42"/>
      <c r="AI31" s="16">
        <f ca="1">(L31-'Airfoil 1'!$Z$22)/ABS(L31-'Airfoil 1'!$Z$22)</f>
        <v>1</v>
      </c>
      <c r="AJ31" s="16">
        <f ca="1">(L31-'Airfoil 1'!$Z$23)/ABS(L31-'Airfoil 1'!$Z$23)</f>
        <v>1</v>
      </c>
      <c r="AK31" s="16">
        <f ca="1">(L31-'Airfoil 1'!$Z$24)/ABS(L31-'Airfoil 1'!$Z$24)</f>
        <v>1</v>
      </c>
      <c r="AL31" s="16">
        <f ca="1">(L31-'Airfoil 1'!$Z$25)/ABS(L31-'Airfoil 1'!$Z$25)</f>
        <v>1</v>
      </c>
      <c r="AM31" s="16">
        <f ca="1">(L31-'Airfoil 1'!$Z$26)/ABS(L31-'Airfoil 1'!$Z$26)</f>
        <v>1</v>
      </c>
      <c r="AN31" s="16">
        <f ca="1">(L31-'Airfoil 1'!$Z$27)/ABS(L31-'Airfoil 1'!$Z$27)</f>
        <v>1</v>
      </c>
      <c r="AO31" s="16">
        <f ca="1">(L31-'Airfoil 1'!$Z$28)/ABS(L31-'Airfoil 1'!$Z$28)</f>
        <v>1</v>
      </c>
      <c r="AP31" s="16">
        <f ca="1">(L31-'Airfoil 1'!$Z$29)/ABS(L31-'Airfoil 1'!$Z$29)</f>
        <v>-1</v>
      </c>
      <c r="AQ31" s="16">
        <f ca="1">(L31-'Airfoil 1'!$Z$30)/ABS(L31-'Airfoil 1'!$Z$30)</f>
        <v>-1</v>
      </c>
      <c r="AR31" s="16">
        <f ca="1">(L31-'Airfoil 1'!$Z$31)/ABS(L31-'Airfoil 1'!$Z$31)</f>
        <v>-1</v>
      </c>
      <c r="AS31" s="16">
        <f ca="1">(L31-'Airfoil 1'!$Z$32)/ABS(L31-'Airfoil 1'!$Z$32)</f>
        <v>-1</v>
      </c>
      <c r="AT31" s="16">
        <f ca="1">(L31-'Airfoil 1'!$Z$33)/ABS(L31-'Airfoil 1'!$Z$33)</f>
        <v>-1</v>
      </c>
      <c r="AU31" s="16">
        <f ca="1">(L31-'Airfoil 1'!$Z$34)/ABS(L31-'Airfoil 1'!$Z$34)</f>
        <v>-1</v>
      </c>
      <c r="AV31" s="16">
        <f ca="1">(L31-'Airfoil 1'!$Z$35)/ABS(L31-'Airfoil 1'!$Z$35)</f>
        <v>-1</v>
      </c>
      <c r="AW31" s="16">
        <f ca="1">(L31-'Airfoil 1'!$Z$36)/ABS(L31-'Airfoil 1'!$Z$36)</f>
        <v>-1</v>
      </c>
      <c r="AX31" s="16">
        <f ca="1">(L31-'Airfoil 1'!$Z$37)/ABS(L31-'Airfoil 1'!$Z$37)</f>
        <v>-1</v>
      </c>
      <c r="AY31" s="16">
        <f ca="1">(L31-'Airfoil 1'!$Z$38)/ABS(L31-'Airfoil 1'!$Z$38)</f>
        <v>-1</v>
      </c>
      <c r="AZ31" s="16">
        <f ca="1">(L31-'Airfoil 1'!$Z$39)/ABS(L31-'Airfoil 1'!$Z$39)</f>
        <v>-1</v>
      </c>
      <c r="BA31" s="16">
        <f ca="1">(L31-'Airfoil 1'!$Z$40)/ABS(L31-'Airfoil 1'!$Z$40)</f>
        <v>-1</v>
      </c>
      <c r="BB31" s="16">
        <f ca="1">(L31-'Airfoil 1'!$Z$41)/ABS(L31-'Airfoil 1'!$Z$41)</f>
        <v>-1</v>
      </c>
      <c r="BC31" s="5">
        <f t="shared" ca="1" si="8"/>
        <v>7</v>
      </c>
      <c r="BD31" s="42">
        <f ca="1">INDEX('Airfoil 1'!$AA$22:$AA$41,BC31,1)+INDEX('Airfoil 1'!$AB$22:$AB$41,BC31,1)*(L31-INDEX('Airfoil 1'!$Z$22:$Z$41,BC31,1))</f>
        <v>2.4617352667406545E-2</v>
      </c>
      <c r="BE31" s="6"/>
      <c r="BF31" s="16">
        <f ca="1">(L31-'Airfoil 1'!$Z$47)/ABS(L31-'Airfoil 1'!$Z$47)</f>
        <v>1</v>
      </c>
      <c r="BG31" s="16">
        <f ca="1">(L31-'Airfoil 1'!$Z$48)/ABS(L31-'Airfoil 1'!$Z$48)</f>
        <v>1</v>
      </c>
      <c r="BH31" s="16">
        <f ca="1">(L31-'Airfoil 1'!$Z$49)/ABS(L31-'Airfoil 1'!$Z$49)</f>
        <v>1</v>
      </c>
      <c r="BI31" s="16">
        <f ca="1">(L31-'Airfoil 1'!$Z$50)/ABS(L31-'Airfoil 1'!$Z$50)</f>
        <v>1</v>
      </c>
      <c r="BJ31" s="16">
        <f ca="1">(L31-'Airfoil 1'!$Z$51)/ABS(L31-'Airfoil 1'!$Z$51)</f>
        <v>1</v>
      </c>
      <c r="BK31" s="16">
        <f ca="1">(L31-'Airfoil 1'!$Z$52)/ABS(L31-'Airfoil 1'!$Z$52)</f>
        <v>-1</v>
      </c>
      <c r="BL31" s="16">
        <f ca="1">(L31-'Airfoil 1'!$Z$53)/ABS(L31-'Airfoil 1'!$Z$53)</f>
        <v>-1</v>
      </c>
      <c r="BM31" s="16">
        <f ca="1">(L31-'Airfoil 1'!$Z$54)/ABS(L31-'Airfoil 1'!$Z$54)</f>
        <v>-1</v>
      </c>
      <c r="BN31" s="16">
        <f ca="1">(L31-'Airfoil 1'!$Z$55)/ABS(L31-'Airfoil 1'!$Z$55)</f>
        <v>-1</v>
      </c>
      <c r="BO31" s="16">
        <f ca="1">(L31-'Airfoil 1'!$Z$56)/ABS(L31-'Airfoil 1'!$Z$56)</f>
        <v>-1</v>
      </c>
      <c r="BP31" s="16">
        <f ca="1">(L31-'Airfoil 1'!$Z$57)/ABS(L31-'Airfoil 1'!$Z$57)</f>
        <v>-1</v>
      </c>
      <c r="BQ31" s="16">
        <f ca="1">(L31-'Airfoil 1'!$Z$58)/ABS(L31-'Airfoil 1'!$Z$58)</f>
        <v>-1</v>
      </c>
      <c r="BR31" s="16">
        <f ca="1">(L31-'Airfoil 1'!$Z$59)/ABS(L31-'Airfoil 1'!$Z$59)</f>
        <v>-1</v>
      </c>
      <c r="BS31" s="16">
        <f ca="1">(L31-'Airfoil 1'!$Z$60)/ABS(L31-'Airfoil 1'!$Z$60)</f>
        <v>-1</v>
      </c>
      <c r="BT31" s="16">
        <f ca="1">(L31-'Airfoil 1'!$Z$61)/ABS(L31-'Airfoil 1'!$Z$61)</f>
        <v>-1</v>
      </c>
      <c r="BU31" s="16">
        <f ca="1">(L31-'Airfoil 1'!$Z$62)/ABS(L31-'Airfoil 1'!$Z$62)</f>
        <v>-1</v>
      </c>
      <c r="BV31" s="16">
        <f ca="1">(L31-'Airfoil 1'!$Z$63)/ABS(L31-'Airfoil 1'!$Z$63)</f>
        <v>-1</v>
      </c>
      <c r="BW31" s="16">
        <f ca="1">(L31-'Airfoil 1'!$Z$64)/ABS(L31-'Airfoil 1'!$Z$64)</f>
        <v>-1</v>
      </c>
      <c r="BX31" s="16">
        <f ca="1">(L31-'Airfoil 1'!$Z$65)/ABS(L31-'Airfoil 1'!$Z$65)</f>
        <v>-1</v>
      </c>
      <c r="BY31" s="16">
        <f ca="1">(L31-'Airfoil 1'!$Z$66)/ABS(L31-'Airfoil 1'!$Z$66)</f>
        <v>-1</v>
      </c>
      <c r="BZ31" s="5">
        <f t="shared" ca="1" si="9"/>
        <v>5</v>
      </c>
      <c r="CA31" s="42">
        <f ca="1">INDEX('Airfoil 1'!$AA$47:$AA$66,BZ31,1)+INDEX('Airfoil 1'!$AB$47:$AB$66,BZ31,1)*(L31-INDEX('Airfoil 1'!$Z$47:$Z$66,BZ31,1))</f>
        <v>1.7107552223345424E-2</v>
      </c>
      <c r="CC31" s="16">
        <f ca="1">(L31-'Airfoil 1'!$Z$72)/ABS(L31-'Airfoil 1'!$Z$72)</f>
        <v>1</v>
      </c>
      <c r="CD31" s="16">
        <f ca="1">(L31-'Airfoil 1'!$Z$73)/ABS(L31-'Airfoil 1'!$Z$73)</f>
        <v>1</v>
      </c>
      <c r="CE31" s="16">
        <f ca="1">(L31-'Airfoil 1'!$Z$74)/ABS(L31-'Airfoil 1'!$Z$74)</f>
        <v>1</v>
      </c>
      <c r="CF31" s="16">
        <f ca="1">(L31-'Airfoil 1'!$Z$75)/ABS(L31-'Airfoil 1'!$Z$75)</f>
        <v>1</v>
      </c>
      <c r="CG31" s="16">
        <f ca="1">(L31-'Airfoil 1'!$Z$76)/ABS(L31-'Airfoil 1'!$Z$76)</f>
        <v>-1</v>
      </c>
      <c r="CH31" s="16">
        <f ca="1">(L31-'Airfoil 1'!$Z$77)/ABS(L31-'Airfoil 1'!$Z$77)</f>
        <v>-1</v>
      </c>
      <c r="CI31" s="16">
        <f ca="1">(L31-'Airfoil 1'!$Z$78)/ABS(L31-'Airfoil 1'!$Z$78)</f>
        <v>-1</v>
      </c>
      <c r="CJ31" s="16">
        <f ca="1">(L31-'Airfoil 1'!$Z$79)/ABS(L31-'Airfoil 1'!$Z$79)</f>
        <v>-1</v>
      </c>
      <c r="CK31" s="16">
        <f ca="1">(L31-'Airfoil 1'!$Z$80)/ABS(L31-'Airfoil 1'!$Z$80)</f>
        <v>-1</v>
      </c>
      <c r="CL31" s="16">
        <f ca="1">(L31-'Airfoil 1'!$Z$81)/ABS(L31-'Airfoil 1'!$Z$81)</f>
        <v>-1</v>
      </c>
      <c r="CM31" s="16">
        <f ca="1">(L31-'Airfoil 1'!$Z$82)/ABS(L31-'Airfoil 1'!$Z$82)</f>
        <v>-1</v>
      </c>
      <c r="CN31" s="16">
        <f ca="1">(L31-'Airfoil 1'!$Z$83)/ABS(L31-'Airfoil 1'!$Z$83)</f>
        <v>-1</v>
      </c>
      <c r="CO31" s="16">
        <f ca="1">(L31-'Airfoil 1'!$Z$84)/ABS(L31-'Airfoil 1'!$Z$84)</f>
        <v>-1</v>
      </c>
      <c r="CP31" s="16">
        <f ca="1">(L31-'Airfoil 1'!$Z$85)/ABS(L31-'Airfoil 1'!$Z$85)</f>
        <v>-1</v>
      </c>
      <c r="CQ31" s="16">
        <f ca="1">(L31-'Airfoil 1'!$Z$86)/ABS(L31-'Airfoil 1'!$Z$86)</f>
        <v>-1</v>
      </c>
      <c r="CR31" s="16">
        <f ca="1">(L31-'Airfoil 1'!$Z$87)/ABS(L31-'Airfoil 1'!$Z$87)</f>
        <v>-1</v>
      </c>
      <c r="CS31" s="16">
        <f ca="1">(L31-'Airfoil 1'!$Z$88)/ABS(L31-'Airfoil 1'!$Z$88)</f>
        <v>-1</v>
      </c>
      <c r="CT31" s="16">
        <f ca="1">(L31-'Airfoil 1'!$Z$89)/ABS(L31-'Airfoil 1'!$Z$89)</f>
        <v>-1</v>
      </c>
      <c r="CU31" s="16">
        <f ca="1">(L31-'Airfoil 1'!$Z$90)/ABS(L31-'Airfoil 1'!$Z$90)</f>
        <v>-1</v>
      </c>
      <c r="CV31" s="16">
        <f ca="1">(L31-'Airfoil 1'!$Z$91)/ABS(L31-'Airfoil 1'!$Z$91)</f>
        <v>-1</v>
      </c>
      <c r="CW31" s="5">
        <f t="shared" ca="1" si="10"/>
        <v>4</v>
      </c>
      <c r="CX31" s="42">
        <f ca="1">INDEX('Airfoil 1'!$AA$72:$AA$91,CW31,1)+INDEX('Airfoil 1'!$AB$72:$AB$91,CW31,1)*(L31-INDEX('Airfoil 1'!$Z$72:$Z$91,CW31,1))</f>
        <v>1.0641916991154514E-2</v>
      </c>
    </row>
    <row r="32" spans="2:102">
      <c r="B32" s="31">
        <f>Main!B32</f>
        <v>0.33333333333333326</v>
      </c>
      <c r="D32" s="1">
        <f>Cruise!F32</f>
        <v>0.65969672852566186</v>
      </c>
      <c r="E32" s="4">
        <f>ISA!$R$10</f>
        <v>1.5987591530356481E-5</v>
      </c>
      <c r="G32" s="20">
        <f ca="1">'Aerodynamics-Speed'!H32</f>
        <v>25.81753184746562</v>
      </c>
      <c r="H32" s="5">
        <f t="shared" ca="1" si="0"/>
        <v>355103.33677717269</v>
      </c>
      <c r="I32" s="16">
        <f ca="1">'Airfoil 2'!$K$14*H32^'Airfoil 2'!$L$13</f>
        <v>1.5832094969441484</v>
      </c>
      <c r="J32" s="1">
        <f ca="1">'Airfoil 2'!$K$33*H32^'Airfoil 2'!$L$32</f>
        <v>5.0090468651895739</v>
      </c>
      <c r="K32" s="13">
        <f ca="1">'Airfoil 2'!$K$52*H32^'Airfoil 2'!$L$51</f>
        <v>-9.2562388354995804</v>
      </c>
      <c r="L32" s="16">
        <f ca="1">'Aerodynamics-Speed'!W32</f>
        <v>0.78092931825710532</v>
      </c>
      <c r="M32" s="10">
        <f ca="1">('Airfoil 1'!$B$21+'Airfoil 1'!$B$22*L32+'Airfoil 1'!$B$23*L32^2+'Airfoil 1'!$B$24*L32^3+'Airfoil 1'!$B$25*L32^4+'Airfoil 1'!$B$26*L32^5+'Airfoil 1'!$B$27*L32^6)*0+BD32</f>
        <v>2.482916957100683E-2</v>
      </c>
      <c r="N32" s="42">
        <f ca="1">('Airfoil 1'!$B$29+'Airfoil 1'!$B$30*L32+'Airfoil 1'!$B$31*L32^2+'Airfoil 1'!$B$32*L32^3+'Airfoil 1'!$B$33*L32^4+'Airfoil 1'!$B$34*L32^5+'Airfoil 1'!$B$35*L32^6)*0+CA32</f>
        <v>1.7136913283492077E-2</v>
      </c>
      <c r="O32" s="42">
        <f ca="1">('Airfoil 1'!$B$37+'Airfoil 1'!$B$38*L32+'Airfoil 1'!$B$39*L32^2+'Airfoil 1'!$B$40*L32^3+'Airfoil 1'!$B$41*L32^4+'Airfoil 1'!$B$42*L32^5+'Airfoil 1'!$B$43*L32^6)*0+CX32</f>
        <v>1.0184133130614335E-2</v>
      </c>
      <c r="P32" s="16">
        <f>LOG('Airfoil 1'!$F$10)+LOG('Airfoil 1'!$G$10)+LOG('Airfoil 1'!$H$10)</f>
        <v>15.176091259055681</v>
      </c>
      <c r="Q32" s="16">
        <f t="shared" ca="1" si="1"/>
        <v>-5.363181138439602</v>
      </c>
      <c r="R32" s="16">
        <f>LOG('Airfoil 1'!$F$10)^2+LOG('Airfoil 1'!$G$10)^2+LOG('Airfoil 1'!$H$10)^2</f>
        <v>76.867141336751558</v>
      </c>
      <c r="S32" s="16">
        <f ca="1">LOG('Airfoil 1'!$F$10)*LOG(M32)+LOG('Airfoil 1'!$G$10)*LOG(N32)+LOG('Airfoil 1'!$H$10)*LOG(O32)</f>
        <v>-27.215048905763922</v>
      </c>
      <c r="T32" s="16">
        <f t="shared" ca="1" si="2"/>
        <v>458.69882745170707</v>
      </c>
      <c r="U32" s="16">
        <f t="shared" ca="1" si="3"/>
        <v>-0.87952581468439395</v>
      </c>
      <c r="V32" s="42">
        <f ca="1">MAX(IF(Energy!$F$11=1,Energy!$T$13,1)*T32*H32^U32,O32)</f>
        <v>1.0184133130614335E-2</v>
      </c>
      <c r="W32" s="10">
        <f ca="1">'Airfoil 1'!$B$48+'Airfoil 1'!$B$49*L32+'Airfoil 1'!$B$50*L32^2+'Airfoil 1'!$B$51*L32^3+'Airfoil 1'!$B$52*L32^4+'Airfoil 1'!$B$53*L32^5+'Airfoil 1'!$B$54*L32^6</f>
        <v>-0.155</v>
      </c>
      <c r="X32" s="42">
        <f ca="1">'Airfoil 1'!$B$56+'Airfoil 1'!$B$57*L32+'Airfoil 1'!$B$58*L32^2+'Airfoil 1'!$B$59*L32^3+'Airfoil 1'!$B$60*L32^4+'Airfoil 1'!$B$61*L32^5+'Airfoil 1'!$B$62*L32^6</f>
        <v>-0.155</v>
      </c>
      <c r="Y32" s="42">
        <f ca="1">'Airfoil 1'!$B$64+'Airfoil 1'!$B$65*L32+'Airfoil 1'!$B$66*L32^2+'Airfoil 1'!$B$67*L32^3+'Airfoil 1'!$B$681*L32^4+'Airfoil 1'!$B$69*L32^5+'Airfoil 1'!$B$70*L32^6</f>
        <v>-0.155</v>
      </c>
      <c r="Z32" s="16">
        <f>LOG('Airfoil 1'!$F$10)+LOG('Airfoil 1'!$G$10)+LOG('Airfoil 1'!$H$10)</f>
        <v>15.176091259055681</v>
      </c>
      <c r="AA32" s="16">
        <f t="shared" ca="1" si="4"/>
        <v>-2.4290049054891254</v>
      </c>
      <c r="AB32" s="16">
        <f>LOG('Airfoil 1'!$F$10)^2+LOG('Airfoil 1'!$G$10)^2+LOG('Airfoil 1'!$H$10)^2</f>
        <v>76.867141336751558</v>
      </c>
      <c r="AC32" s="16">
        <f ca="1">LOG('Airfoil 1'!$F$10)*LOG(ABS(W32))+LOG('Airfoil 1'!$G$10)*LOG(ABS(X32))+LOG('Airfoil 1'!$H$10)*LOG(ABS(Y32))</f>
        <v>-12.287600038132297</v>
      </c>
      <c r="AD32" s="16">
        <f t="shared" ca="1" si="5"/>
        <v>0.1550000000000121</v>
      </c>
      <c r="AE32" s="16">
        <f t="shared" ca="1" si="6"/>
        <v>-6.6718325633022456E-15</v>
      </c>
      <c r="AF32" s="42">
        <f t="shared" ca="1" si="7"/>
        <v>-0.15499999999999889</v>
      </c>
      <c r="AG32" s="16"/>
      <c r="AH32" s="42"/>
      <c r="AI32" s="16">
        <f ca="1">(L32-'Airfoil 1'!$Z$22)/ABS(L32-'Airfoil 1'!$Z$22)</f>
        <v>1</v>
      </c>
      <c r="AJ32" s="16">
        <f ca="1">(L32-'Airfoil 1'!$Z$23)/ABS(L32-'Airfoil 1'!$Z$23)</f>
        <v>1</v>
      </c>
      <c r="AK32" s="16">
        <f ca="1">(L32-'Airfoil 1'!$Z$24)/ABS(L32-'Airfoil 1'!$Z$24)</f>
        <v>1</v>
      </c>
      <c r="AL32" s="16">
        <f ca="1">(L32-'Airfoil 1'!$Z$25)/ABS(L32-'Airfoil 1'!$Z$25)</f>
        <v>1</v>
      </c>
      <c r="AM32" s="16">
        <f ca="1">(L32-'Airfoil 1'!$Z$26)/ABS(L32-'Airfoil 1'!$Z$26)</f>
        <v>1</v>
      </c>
      <c r="AN32" s="16">
        <f ca="1">(L32-'Airfoil 1'!$Z$27)/ABS(L32-'Airfoil 1'!$Z$27)</f>
        <v>1</v>
      </c>
      <c r="AO32" s="16">
        <f ca="1">(L32-'Airfoil 1'!$Z$28)/ABS(L32-'Airfoil 1'!$Z$28)</f>
        <v>-1</v>
      </c>
      <c r="AP32" s="16">
        <f ca="1">(L32-'Airfoil 1'!$Z$29)/ABS(L32-'Airfoil 1'!$Z$29)</f>
        <v>-1</v>
      </c>
      <c r="AQ32" s="16">
        <f ca="1">(L32-'Airfoil 1'!$Z$30)/ABS(L32-'Airfoil 1'!$Z$30)</f>
        <v>-1</v>
      </c>
      <c r="AR32" s="16">
        <f ca="1">(L32-'Airfoil 1'!$Z$31)/ABS(L32-'Airfoil 1'!$Z$31)</f>
        <v>-1</v>
      </c>
      <c r="AS32" s="16">
        <f ca="1">(L32-'Airfoil 1'!$Z$32)/ABS(L32-'Airfoil 1'!$Z$32)</f>
        <v>-1</v>
      </c>
      <c r="AT32" s="16">
        <f ca="1">(L32-'Airfoil 1'!$Z$33)/ABS(L32-'Airfoil 1'!$Z$33)</f>
        <v>-1</v>
      </c>
      <c r="AU32" s="16">
        <f ca="1">(L32-'Airfoil 1'!$Z$34)/ABS(L32-'Airfoil 1'!$Z$34)</f>
        <v>-1</v>
      </c>
      <c r="AV32" s="16">
        <f ca="1">(L32-'Airfoil 1'!$Z$35)/ABS(L32-'Airfoil 1'!$Z$35)</f>
        <v>-1</v>
      </c>
      <c r="AW32" s="16">
        <f ca="1">(L32-'Airfoil 1'!$Z$36)/ABS(L32-'Airfoil 1'!$Z$36)</f>
        <v>-1</v>
      </c>
      <c r="AX32" s="16">
        <f ca="1">(L32-'Airfoil 1'!$Z$37)/ABS(L32-'Airfoil 1'!$Z$37)</f>
        <v>-1</v>
      </c>
      <c r="AY32" s="16">
        <f ca="1">(L32-'Airfoil 1'!$Z$38)/ABS(L32-'Airfoil 1'!$Z$38)</f>
        <v>-1</v>
      </c>
      <c r="AZ32" s="16">
        <f ca="1">(L32-'Airfoil 1'!$Z$39)/ABS(L32-'Airfoil 1'!$Z$39)</f>
        <v>-1</v>
      </c>
      <c r="BA32" s="16">
        <f ca="1">(L32-'Airfoil 1'!$Z$40)/ABS(L32-'Airfoil 1'!$Z$40)</f>
        <v>-1</v>
      </c>
      <c r="BB32" s="16">
        <f ca="1">(L32-'Airfoil 1'!$Z$41)/ABS(L32-'Airfoil 1'!$Z$41)</f>
        <v>-1</v>
      </c>
      <c r="BC32" s="5">
        <f t="shared" ca="1" si="8"/>
        <v>6</v>
      </c>
      <c r="BD32" s="42">
        <f ca="1">INDEX('Airfoil 1'!$AA$22:$AA$41,BC32,1)+INDEX('Airfoil 1'!$AB$22:$AB$41,BC32,1)*(L32-INDEX('Airfoil 1'!$Z$22:$Z$41,BC32,1))</f>
        <v>2.482916957132868E-2</v>
      </c>
      <c r="BE32" s="6"/>
      <c r="BF32" s="16">
        <f ca="1">(L32-'Airfoil 1'!$Z$47)/ABS(L32-'Airfoil 1'!$Z$47)</f>
        <v>1</v>
      </c>
      <c r="BG32" s="16">
        <f ca="1">(L32-'Airfoil 1'!$Z$48)/ABS(L32-'Airfoil 1'!$Z$48)</f>
        <v>1</v>
      </c>
      <c r="BH32" s="16">
        <f ca="1">(L32-'Airfoil 1'!$Z$49)/ABS(L32-'Airfoil 1'!$Z$49)</f>
        <v>1</v>
      </c>
      <c r="BI32" s="16">
        <f ca="1">(L32-'Airfoil 1'!$Z$50)/ABS(L32-'Airfoil 1'!$Z$50)</f>
        <v>1</v>
      </c>
      <c r="BJ32" s="16">
        <f ca="1">(L32-'Airfoil 1'!$Z$51)/ABS(L32-'Airfoil 1'!$Z$51)</f>
        <v>1</v>
      </c>
      <c r="BK32" s="16">
        <f ca="1">(L32-'Airfoil 1'!$Z$52)/ABS(L32-'Airfoil 1'!$Z$52)</f>
        <v>-1</v>
      </c>
      <c r="BL32" s="16">
        <f ca="1">(L32-'Airfoil 1'!$Z$53)/ABS(L32-'Airfoil 1'!$Z$53)</f>
        <v>-1</v>
      </c>
      <c r="BM32" s="16">
        <f ca="1">(L32-'Airfoil 1'!$Z$54)/ABS(L32-'Airfoil 1'!$Z$54)</f>
        <v>-1</v>
      </c>
      <c r="BN32" s="16">
        <f ca="1">(L32-'Airfoil 1'!$Z$55)/ABS(L32-'Airfoil 1'!$Z$55)</f>
        <v>-1</v>
      </c>
      <c r="BO32" s="16">
        <f ca="1">(L32-'Airfoil 1'!$Z$56)/ABS(L32-'Airfoil 1'!$Z$56)</f>
        <v>-1</v>
      </c>
      <c r="BP32" s="16">
        <f ca="1">(L32-'Airfoil 1'!$Z$57)/ABS(L32-'Airfoil 1'!$Z$57)</f>
        <v>-1</v>
      </c>
      <c r="BQ32" s="16">
        <f ca="1">(L32-'Airfoil 1'!$Z$58)/ABS(L32-'Airfoil 1'!$Z$58)</f>
        <v>-1</v>
      </c>
      <c r="BR32" s="16">
        <f ca="1">(L32-'Airfoil 1'!$Z$59)/ABS(L32-'Airfoil 1'!$Z$59)</f>
        <v>-1</v>
      </c>
      <c r="BS32" s="16">
        <f ca="1">(L32-'Airfoil 1'!$Z$60)/ABS(L32-'Airfoil 1'!$Z$60)</f>
        <v>-1</v>
      </c>
      <c r="BT32" s="16">
        <f ca="1">(L32-'Airfoil 1'!$Z$61)/ABS(L32-'Airfoil 1'!$Z$61)</f>
        <v>-1</v>
      </c>
      <c r="BU32" s="16">
        <f ca="1">(L32-'Airfoil 1'!$Z$62)/ABS(L32-'Airfoil 1'!$Z$62)</f>
        <v>-1</v>
      </c>
      <c r="BV32" s="16">
        <f ca="1">(L32-'Airfoil 1'!$Z$63)/ABS(L32-'Airfoil 1'!$Z$63)</f>
        <v>-1</v>
      </c>
      <c r="BW32" s="16">
        <f ca="1">(L32-'Airfoil 1'!$Z$64)/ABS(L32-'Airfoil 1'!$Z$64)</f>
        <v>-1</v>
      </c>
      <c r="BX32" s="16">
        <f ca="1">(L32-'Airfoil 1'!$Z$65)/ABS(L32-'Airfoil 1'!$Z$65)</f>
        <v>-1</v>
      </c>
      <c r="BY32" s="16">
        <f ca="1">(L32-'Airfoil 1'!$Z$66)/ABS(L32-'Airfoil 1'!$Z$66)</f>
        <v>-1</v>
      </c>
      <c r="BZ32" s="5">
        <f t="shared" ca="1" si="9"/>
        <v>5</v>
      </c>
      <c r="CA32" s="42">
        <f ca="1">INDEX('Airfoil 1'!$AA$47:$AA$66,BZ32,1)+INDEX('Airfoil 1'!$AB$47:$AB$66,BZ32,1)*(L32-INDEX('Airfoil 1'!$Z$47:$Z$66,BZ32,1))</f>
        <v>1.7136913283507599E-2</v>
      </c>
      <c r="CC32" s="16">
        <f ca="1">(L32-'Airfoil 1'!$Z$72)/ABS(L32-'Airfoil 1'!$Z$72)</f>
        <v>1</v>
      </c>
      <c r="CD32" s="16">
        <f ca="1">(L32-'Airfoil 1'!$Z$73)/ABS(L32-'Airfoil 1'!$Z$73)</f>
        <v>1</v>
      </c>
      <c r="CE32" s="16">
        <f ca="1">(L32-'Airfoil 1'!$Z$74)/ABS(L32-'Airfoil 1'!$Z$74)</f>
        <v>1</v>
      </c>
      <c r="CF32" s="16">
        <f ca="1">(L32-'Airfoil 1'!$Z$75)/ABS(L32-'Airfoil 1'!$Z$75)</f>
        <v>-1</v>
      </c>
      <c r="CG32" s="16">
        <f ca="1">(L32-'Airfoil 1'!$Z$76)/ABS(L32-'Airfoil 1'!$Z$76)</f>
        <v>-1</v>
      </c>
      <c r="CH32" s="16">
        <f ca="1">(L32-'Airfoil 1'!$Z$77)/ABS(L32-'Airfoil 1'!$Z$77)</f>
        <v>-1</v>
      </c>
      <c r="CI32" s="16">
        <f ca="1">(L32-'Airfoil 1'!$Z$78)/ABS(L32-'Airfoil 1'!$Z$78)</f>
        <v>-1</v>
      </c>
      <c r="CJ32" s="16">
        <f ca="1">(L32-'Airfoil 1'!$Z$79)/ABS(L32-'Airfoil 1'!$Z$79)</f>
        <v>-1</v>
      </c>
      <c r="CK32" s="16">
        <f ca="1">(L32-'Airfoil 1'!$Z$80)/ABS(L32-'Airfoil 1'!$Z$80)</f>
        <v>-1</v>
      </c>
      <c r="CL32" s="16">
        <f ca="1">(L32-'Airfoil 1'!$Z$81)/ABS(L32-'Airfoil 1'!$Z$81)</f>
        <v>-1</v>
      </c>
      <c r="CM32" s="16">
        <f ca="1">(L32-'Airfoil 1'!$Z$82)/ABS(L32-'Airfoil 1'!$Z$82)</f>
        <v>-1</v>
      </c>
      <c r="CN32" s="16">
        <f ca="1">(L32-'Airfoil 1'!$Z$83)/ABS(L32-'Airfoil 1'!$Z$83)</f>
        <v>-1</v>
      </c>
      <c r="CO32" s="16">
        <f ca="1">(L32-'Airfoil 1'!$Z$84)/ABS(L32-'Airfoil 1'!$Z$84)</f>
        <v>-1</v>
      </c>
      <c r="CP32" s="16">
        <f ca="1">(L32-'Airfoil 1'!$Z$85)/ABS(L32-'Airfoil 1'!$Z$85)</f>
        <v>-1</v>
      </c>
      <c r="CQ32" s="16">
        <f ca="1">(L32-'Airfoil 1'!$Z$86)/ABS(L32-'Airfoil 1'!$Z$86)</f>
        <v>-1</v>
      </c>
      <c r="CR32" s="16">
        <f ca="1">(L32-'Airfoil 1'!$Z$87)/ABS(L32-'Airfoil 1'!$Z$87)</f>
        <v>-1</v>
      </c>
      <c r="CS32" s="16">
        <f ca="1">(L32-'Airfoil 1'!$Z$88)/ABS(L32-'Airfoil 1'!$Z$88)</f>
        <v>-1</v>
      </c>
      <c r="CT32" s="16">
        <f ca="1">(L32-'Airfoil 1'!$Z$89)/ABS(L32-'Airfoil 1'!$Z$89)</f>
        <v>-1</v>
      </c>
      <c r="CU32" s="16">
        <f ca="1">(L32-'Airfoil 1'!$Z$90)/ABS(L32-'Airfoil 1'!$Z$90)</f>
        <v>-1</v>
      </c>
      <c r="CV32" s="16">
        <f ca="1">(L32-'Airfoil 1'!$Z$91)/ABS(L32-'Airfoil 1'!$Z$91)</f>
        <v>-1</v>
      </c>
      <c r="CW32" s="5">
        <f t="shared" ca="1" si="10"/>
        <v>3</v>
      </c>
      <c r="CX32" s="42">
        <f ca="1">INDEX('Airfoil 1'!$AA$72:$AA$91,CW32,1)+INDEX('Airfoil 1'!$AB$72:$AB$91,CW32,1)*(L32-INDEX('Airfoil 1'!$Z$72:$Z$91,CW32,1))</f>
        <v>1.0184133130410878E-2</v>
      </c>
    </row>
    <row r="33" spans="2:102">
      <c r="B33" s="31">
        <f>Main!B33</f>
        <v>0.33333333333333326</v>
      </c>
      <c r="D33" s="1">
        <f>Cruise!F33</f>
        <v>0.65969672852566186</v>
      </c>
      <c r="E33" s="4">
        <f>ISA!$R$10</f>
        <v>1.5987591530356481E-5</v>
      </c>
      <c r="G33" s="20">
        <f ca="1">'Aerodynamics-Speed'!H33</f>
        <v>26.185424695057158</v>
      </c>
      <c r="H33" s="5">
        <f t="shared" ca="1" si="0"/>
        <v>360163.46330390859</v>
      </c>
      <c r="I33" s="16">
        <f ca="1">'Airfoil 2'!$K$14*H33^'Airfoil 2'!$L$13</f>
        <v>1.5835209330118958</v>
      </c>
      <c r="J33" s="1">
        <f ca="1">'Airfoil 2'!$K$33*H33^'Airfoil 2'!$L$32</f>
        <v>4.985265455421179</v>
      </c>
      <c r="K33" s="13">
        <f ca="1">'Airfoil 2'!$K$52*H33^'Airfoil 2'!$L$51</f>
        <v>-9.3442394024494462</v>
      </c>
      <c r="L33" s="16">
        <f ca="1">'Aerodynamics-Speed'!W33</f>
        <v>0.73598487891950481</v>
      </c>
      <c r="M33" s="10">
        <f ca="1">('Airfoil 1'!$B$21+'Airfoil 1'!$B$22*L33+'Airfoil 1'!$B$23*L33^2+'Airfoil 1'!$B$24*L33^3+'Airfoil 1'!$B$25*L33^4+'Airfoil 1'!$B$26*L33^5+'Airfoil 1'!$B$27*L33^6)*0+BD33</f>
        <v>2.5280679188551571E-2</v>
      </c>
      <c r="N33" s="42">
        <f ca="1">('Airfoil 1'!$B$29+'Airfoil 1'!$B$30*L33+'Airfoil 1'!$B$31*L33^2+'Airfoil 1'!$B$32*L33^3+'Airfoil 1'!$B$33*L33^4+'Airfoil 1'!$B$34*L33^5+'Airfoil 1'!$B$35*L33^6)*0+CA33</f>
        <v>1.7158689264321764E-2</v>
      </c>
      <c r="O33" s="42">
        <f ca="1">('Airfoil 1'!$B$37+'Airfoil 1'!$B$38*L33+'Airfoil 1'!$B$39*L33^2+'Airfoil 1'!$B$40*L33^3+'Airfoil 1'!$B$41*L33^4+'Airfoil 1'!$B$42*L33^5+'Airfoil 1'!$B$43*L33^6)*0+CX33</f>
        <v>9.8987142633907756E-3</v>
      </c>
      <c r="P33" s="16">
        <f>LOG('Airfoil 1'!$F$10)+LOG('Airfoil 1'!$G$10)+LOG('Airfoil 1'!$H$10)</f>
        <v>15.176091259055681</v>
      </c>
      <c r="Q33" s="16">
        <f t="shared" ca="1" si="1"/>
        <v>-5.3671483649958667</v>
      </c>
      <c r="R33" s="16">
        <f>LOG('Airfoil 1'!$F$10)^2+LOG('Airfoil 1'!$G$10)^2+LOG('Airfoil 1'!$H$10)^2</f>
        <v>76.867141336751558</v>
      </c>
      <c r="S33" s="16">
        <f ca="1">LOG('Airfoil 1'!$F$10)*LOG(M33)+LOG('Airfoil 1'!$G$10)*LOG(N33)+LOG('Airfoil 1'!$H$10)*LOG(O33)</f>
        <v>-27.239579176478898</v>
      </c>
      <c r="T33" s="16">
        <f t="shared" ca="1" si="2"/>
        <v>786.2379419906199</v>
      </c>
      <c r="U33" s="16">
        <f t="shared" ca="1" si="3"/>
        <v>-0.92604941016446207</v>
      </c>
      <c r="V33" s="42">
        <f ca="1">MAX(IF(Energy!$F$11=1,Energy!$T$13,1)*T33*H33^U33,O33)</f>
        <v>9.8987142633907756E-3</v>
      </c>
      <c r="W33" s="10">
        <f ca="1">'Airfoil 1'!$B$48+'Airfoil 1'!$B$49*L33+'Airfoil 1'!$B$50*L33^2+'Airfoil 1'!$B$51*L33^3+'Airfoil 1'!$B$52*L33^4+'Airfoil 1'!$B$53*L33^5+'Airfoil 1'!$B$54*L33^6</f>
        <v>-0.155</v>
      </c>
      <c r="X33" s="42">
        <f ca="1">'Airfoil 1'!$B$56+'Airfoil 1'!$B$57*L33+'Airfoil 1'!$B$58*L33^2+'Airfoil 1'!$B$59*L33^3+'Airfoil 1'!$B$60*L33^4+'Airfoil 1'!$B$61*L33^5+'Airfoil 1'!$B$62*L33^6</f>
        <v>-0.155</v>
      </c>
      <c r="Y33" s="42">
        <f ca="1">'Airfoil 1'!$B$64+'Airfoil 1'!$B$65*L33+'Airfoil 1'!$B$66*L33^2+'Airfoil 1'!$B$67*L33^3+'Airfoil 1'!$B$681*L33^4+'Airfoil 1'!$B$69*L33^5+'Airfoil 1'!$B$70*L33^6</f>
        <v>-0.155</v>
      </c>
      <c r="Z33" s="16">
        <f>LOG('Airfoil 1'!$F$10)+LOG('Airfoil 1'!$G$10)+LOG('Airfoil 1'!$H$10)</f>
        <v>15.176091259055681</v>
      </c>
      <c r="AA33" s="16">
        <f t="shared" ca="1" si="4"/>
        <v>-2.4290049054891254</v>
      </c>
      <c r="AB33" s="16">
        <f>LOG('Airfoil 1'!$F$10)^2+LOG('Airfoil 1'!$G$10)^2+LOG('Airfoil 1'!$H$10)^2</f>
        <v>76.867141336751558</v>
      </c>
      <c r="AC33" s="16">
        <f ca="1">LOG('Airfoil 1'!$F$10)*LOG(ABS(W33))+LOG('Airfoil 1'!$G$10)*LOG(ABS(X33))+LOG('Airfoil 1'!$H$10)*LOG(ABS(Y33))</f>
        <v>-12.287600038132297</v>
      </c>
      <c r="AD33" s="16">
        <f t="shared" ca="1" si="5"/>
        <v>0.1550000000000121</v>
      </c>
      <c r="AE33" s="16">
        <f t="shared" ca="1" si="6"/>
        <v>-6.6718325633022456E-15</v>
      </c>
      <c r="AF33" s="42">
        <f t="shared" ca="1" si="7"/>
        <v>-0.15499999999999889</v>
      </c>
      <c r="AG33" s="16"/>
      <c r="AH33" s="42"/>
      <c r="AI33" s="16">
        <f ca="1">(L33-'Airfoil 1'!$Z$22)/ABS(L33-'Airfoil 1'!$Z$22)</f>
        <v>1</v>
      </c>
      <c r="AJ33" s="16">
        <f ca="1">(L33-'Airfoil 1'!$Z$23)/ABS(L33-'Airfoil 1'!$Z$23)</f>
        <v>1</v>
      </c>
      <c r="AK33" s="16">
        <f ca="1">(L33-'Airfoil 1'!$Z$24)/ABS(L33-'Airfoil 1'!$Z$24)</f>
        <v>1</v>
      </c>
      <c r="AL33" s="16">
        <f ca="1">(L33-'Airfoil 1'!$Z$25)/ABS(L33-'Airfoil 1'!$Z$25)</f>
        <v>1</v>
      </c>
      <c r="AM33" s="16">
        <f ca="1">(L33-'Airfoil 1'!$Z$26)/ABS(L33-'Airfoil 1'!$Z$26)</f>
        <v>1</v>
      </c>
      <c r="AN33" s="16">
        <f ca="1">(L33-'Airfoil 1'!$Z$27)/ABS(L33-'Airfoil 1'!$Z$27)</f>
        <v>1</v>
      </c>
      <c r="AO33" s="16">
        <f ca="1">(L33-'Airfoil 1'!$Z$28)/ABS(L33-'Airfoil 1'!$Z$28)</f>
        <v>-1</v>
      </c>
      <c r="AP33" s="16">
        <f ca="1">(L33-'Airfoil 1'!$Z$29)/ABS(L33-'Airfoil 1'!$Z$29)</f>
        <v>-1</v>
      </c>
      <c r="AQ33" s="16">
        <f ca="1">(L33-'Airfoil 1'!$Z$30)/ABS(L33-'Airfoil 1'!$Z$30)</f>
        <v>-1</v>
      </c>
      <c r="AR33" s="16">
        <f ca="1">(L33-'Airfoil 1'!$Z$31)/ABS(L33-'Airfoil 1'!$Z$31)</f>
        <v>-1</v>
      </c>
      <c r="AS33" s="16">
        <f ca="1">(L33-'Airfoil 1'!$Z$32)/ABS(L33-'Airfoil 1'!$Z$32)</f>
        <v>-1</v>
      </c>
      <c r="AT33" s="16">
        <f ca="1">(L33-'Airfoil 1'!$Z$33)/ABS(L33-'Airfoil 1'!$Z$33)</f>
        <v>-1</v>
      </c>
      <c r="AU33" s="16">
        <f ca="1">(L33-'Airfoil 1'!$Z$34)/ABS(L33-'Airfoil 1'!$Z$34)</f>
        <v>-1</v>
      </c>
      <c r="AV33" s="16">
        <f ca="1">(L33-'Airfoil 1'!$Z$35)/ABS(L33-'Airfoil 1'!$Z$35)</f>
        <v>-1</v>
      </c>
      <c r="AW33" s="16">
        <f ca="1">(L33-'Airfoil 1'!$Z$36)/ABS(L33-'Airfoil 1'!$Z$36)</f>
        <v>-1</v>
      </c>
      <c r="AX33" s="16">
        <f ca="1">(L33-'Airfoil 1'!$Z$37)/ABS(L33-'Airfoil 1'!$Z$37)</f>
        <v>-1</v>
      </c>
      <c r="AY33" s="16">
        <f ca="1">(L33-'Airfoil 1'!$Z$38)/ABS(L33-'Airfoil 1'!$Z$38)</f>
        <v>-1</v>
      </c>
      <c r="AZ33" s="16">
        <f ca="1">(L33-'Airfoil 1'!$Z$39)/ABS(L33-'Airfoil 1'!$Z$39)</f>
        <v>-1</v>
      </c>
      <c r="BA33" s="16">
        <f ca="1">(L33-'Airfoil 1'!$Z$40)/ABS(L33-'Airfoil 1'!$Z$40)</f>
        <v>-1</v>
      </c>
      <c r="BB33" s="16">
        <f ca="1">(L33-'Airfoil 1'!$Z$41)/ABS(L33-'Airfoil 1'!$Z$41)</f>
        <v>-1</v>
      </c>
      <c r="BC33" s="5">
        <f t="shared" ca="1" si="8"/>
        <v>6</v>
      </c>
      <c r="BD33" s="42">
        <f ca="1">INDEX('Airfoil 1'!$AA$22:$AA$41,BC33,1)+INDEX('Airfoil 1'!$AB$22:$AB$41,BC33,1)*(L33-INDEX('Airfoil 1'!$Z$22:$Z$41,BC33,1))</f>
        <v>2.5280679188798314E-2</v>
      </c>
      <c r="BE33" s="6"/>
      <c r="BF33" s="16">
        <f ca="1">(L33-'Airfoil 1'!$Z$47)/ABS(L33-'Airfoil 1'!$Z$47)</f>
        <v>1</v>
      </c>
      <c r="BG33" s="16">
        <f ca="1">(L33-'Airfoil 1'!$Z$48)/ABS(L33-'Airfoil 1'!$Z$48)</f>
        <v>1</v>
      </c>
      <c r="BH33" s="16">
        <f ca="1">(L33-'Airfoil 1'!$Z$49)/ABS(L33-'Airfoil 1'!$Z$49)</f>
        <v>1</v>
      </c>
      <c r="BI33" s="16">
        <f ca="1">(L33-'Airfoil 1'!$Z$50)/ABS(L33-'Airfoil 1'!$Z$50)</f>
        <v>1</v>
      </c>
      <c r="BJ33" s="16">
        <f ca="1">(L33-'Airfoil 1'!$Z$51)/ABS(L33-'Airfoil 1'!$Z$51)</f>
        <v>1</v>
      </c>
      <c r="BK33" s="16">
        <f ca="1">(L33-'Airfoil 1'!$Z$52)/ABS(L33-'Airfoil 1'!$Z$52)</f>
        <v>-1</v>
      </c>
      <c r="BL33" s="16">
        <f ca="1">(L33-'Airfoil 1'!$Z$53)/ABS(L33-'Airfoil 1'!$Z$53)</f>
        <v>-1</v>
      </c>
      <c r="BM33" s="16">
        <f ca="1">(L33-'Airfoil 1'!$Z$54)/ABS(L33-'Airfoil 1'!$Z$54)</f>
        <v>-1</v>
      </c>
      <c r="BN33" s="16">
        <f ca="1">(L33-'Airfoil 1'!$Z$55)/ABS(L33-'Airfoil 1'!$Z$55)</f>
        <v>-1</v>
      </c>
      <c r="BO33" s="16">
        <f ca="1">(L33-'Airfoil 1'!$Z$56)/ABS(L33-'Airfoil 1'!$Z$56)</f>
        <v>-1</v>
      </c>
      <c r="BP33" s="16">
        <f ca="1">(L33-'Airfoil 1'!$Z$57)/ABS(L33-'Airfoil 1'!$Z$57)</f>
        <v>-1</v>
      </c>
      <c r="BQ33" s="16">
        <f ca="1">(L33-'Airfoil 1'!$Z$58)/ABS(L33-'Airfoil 1'!$Z$58)</f>
        <v>-1</v>
      </c>
      <c r="BR33" s="16">
        <f ca="1">(L33-'Airfoil 1'!$Z$59)/ABS(L33-'Airfoil 1'!$Z$59)</f>
        <v>-1</v>
      </c>
      <c r="BS33" s="16">
        <f ca="1">(L33-'Airfoil 1'!$Z$60)/ABS(L33-'Airfoil 1'!$Z$60)</f>
        <v>-1</v>
      </c>
      <c r="BT33" s="16">
        <f ca="1">(L33-'Airfoil 1'!$Z$61)/ABS(L33-'Airfoil 1'!$Z$61)</f>
        <v>-1</v>
      </c>
      <c r="BU33" s="16">
        <f ca="1">(L33-'Airfoil 1'!$Z$62)/ABS(L33-'Airfoil 1'!$Z$62)</f>
        <v>-1</v>
      </c>
      <c r="BV33" s="16">
        <f ca="1">(L33-'Airfoil 1'!$Z$63)/ABS(L33-'Airfoil 1'!$Z$63)</f>
        <v>-1</v>
      </c>
      <c r="BW33" s="16">
        <f ca="1">(L33-'Airfoil 1'!$Z$64)/ABS(L33-'Airfoil 1'!$Z$64)</f>
        <v>-1</v>
      </c>
      <c r="BX33" s="16">
        <f ca="1">(L33-'Airfoil 1'!$Z$65)/ABS(L33-'Airfoil 1'!$Z$65)</f>
        <v>-1</v>
      </c>
      <c r="BY33" s="16">
        <f ca="1">(L33-'Airfoil 1'!$Z$66)/ABS(L33-'Airfoil 1'!$Z$66)</f>
        <v>-1</v>
      </c>
      <c r="BZ33" s="5">
        <f t="shared" ca="1" si="9"/>
        <v>5</v>
      </c>
      <c r="CA33" s="42">
        <f ca="1">INDEX('Airfoil 1'!$AA$47:$AA$66,BZ33,1)+INDEX('Airfoil 1'!$AB$47:$AB$66,BZ33,1)*(L33-INDEX('Airfoil 1'!$Z$47:$Z$66,BZ33,1))</f>
        <v>1.7158689264333664E-2</v>
      </c>
      <c r="CC33" s="16">
        <f ca="1">(L33-'Airfoil 1'!$Z$72)/ABS(L33-'Airfoil 1'!$Z$72)</f>
        <v>1</v>
      </c>
      <c r="CD33" s="16">
        <f ca="1">(L33-'Airfoil 1'!$Z$73)/ABS(L33-'Airfoil 1'!$Z$73)</f>
        <v>1</v>
      </c>
      <c r="CE33" s="16">
        <f ca="1">(L33-'Airfoil 1'!$Z$74)/ABS(L33-'Airfoil 1'!$Z$74)</f>
        <v>1</v>
      </c>
      <c r="CF33" s="16">
        <f ca="1">(L33-'Airfoil 1'!$Z$75)/ABS(L33-'Airfoil 1'!$Z$75)</f>
        <v>-1</v>
      </c>
      <c r="CG33" s="16">
        <f ca="1">(L33-'Airfoil 1'!$Z$76)/ABS(L33-'Airfoil 1'!$Z$76)</f>
        <v>-1</v>
      </c>
      <c r="CH33" s="16">
        <f ca="1">(L33-'Airfoil 1'!$Z$77)/ABS(L33-'Airfoil 1'!$Z$77)</f>
        <v>-1</v>
      </c>
      <c r="CI33" s="16">
        <f ca="1">(L33-'Airfoil 1'!$Z$78)/ABS(L33-'Airfoil 1'!$Z$78)</f>
        <v>-1</v>
      </c>
      <c r="CJ33" s="16">
        <f ca="1">(L33-'Airfoil 1'!$Z$79)/ABS(L33-'Airfoil 1'!$Z$79)</f>
        <v>-1</v>
      </c>
      <c r="CK33" s="16">
        <f ca="1">(L33-'Airfoil 1'!$Z$80)/ABS(L33-'Airfoil 1'!$Z$80)</f>
        <v>-1</v>
      </c>
      <c r="CL33" s="16">
        <f ca="1">(L33-'Airfoil 1'!$Z$81)/ABS(L33-'Airfoil 1'!$Z$81)</f>
        <v>-1</v>
      </c>
      <c r="CM33" s="16">
        <f ca="1">(L33-'Airfoil 1'!$Z$82)/ABS(L33-'Airfoil 1'!$Z$82)</f>
        <v>-1</v>
      </c>
      <c r="CN33" s="16">
        <f ca="1">(L33-'Airfoil 1'!$Z$83)/ABS(L33-'Airfoil 1'!$Z$83)</f>
        <v>-1</v>
      </c>
      <c r="CO33" s="16">
        <f ca="1">(L33-'Airfoil 1'!$Z$84)/ABS(L33-'Airfoil 1'!$Z$84)</f>
        <v>-1</v>
      </c>
      <c r="CP33" s="16">
        <f ca="1">(L33-'Airfoil 1'!$Z$85)/ABS(L33-'Airfoil 1'!$Z$85)</f>
        <v>-1</v>
      </c>
      <c r="CQ33" s="16">
        <f ca="1">(L33-'Airfoil 1'!$Z$86)/ABS(L33-'Airfoil 1'!$Z$86)</f>
        <v>-1</v>
      </c>
      <c r="CR33" s="16">
        <f ca="1">(L33-'Airfoil 1'!$Z$87)/ABS(L33-'Airfoil 1'!$Z$87)</f>
        <v>-1</v>
      </c>
      <c r="CS33" s="16">
        <f ca="1">(L33-'Airfoil 1'!$Z$88)/ABS(L33-'Airfoil 1'!$Z$88)</f>
        <v>-1</v>
      </c>
      <c r="CT33" s="16">
        <f ca="1">(L33-'Airfoil 1'!$Z$89)/ABS(L33-'Airfoil 1'!$Z$89)</f>
        <v>-1</v>
      </c>
      <c r="CU33" s="16">
        <f ca="1">(L33-'Airfoil 1'!$Z$90)/ABS(L33-'Airfoil 1'!$Z$90)</f>
        <v>-1</v>
      </c>
      <c r="CV33" s="16">
        <f ca="1">(L33-'Airfoil 1'!$Z$91)/ABS(L33-'Airfoil 1'!$Z$91)</f>
        <v>-1</v>
      </c>
      <c r="CW33" s="5">
        <f t="shared" ca="1" si="10"/>
        <v>3</v>
      </c>
      <c r="CX33" s="42">
        <f ca="1">INDEX('Airfoil 1'!$AA$72:$AA$91,CW33,1)+INDEX('Airfoil 1'!$AB$72:$AB$91,CW33,1)*(L33-INDEX('Airfoil 1'!$Z$72:$Z$91,CW33,1))</f>
        <v>9.898714263234798E-3</v>
      </c>
    </row>
    <row r="34" spans="2:102">
      <c r="B34" s="31">
        <f>Main!B34</f>
        <v>0.33333333333333326</v>
      </c>
      <c r="D34" s="1">
        <f>Cruise!F34</f>
        <v>0.65969672852566186</v>
      </c>
      <c r="E34" s="4">
        <f>ISA!$R$10</f>
        <v>1.5987591530356481E-5</v>
      </c>
      <c r="G34" s="20">
        <f ca="1">'Aerodynamics-Speed'!H34</f>
        <v>26.46159793226753</v>
      </c>
      <c r="H34" s="5">
        <f t="shared" ca="1" si="0"/>
        <v>363962.0463226639</v>
      </c>
      <c r="I34" s="16">
        <f ca="1">'Airfoil 2'!$K$14*H34^'Airfoil 2'!$L$13</f>
        <v>1.5837519024368298</v>
      </c>
      <c r="J34" s="1">
        <f ca="1">'Airfoil 2'!$K$33*H34^'Airfoil 2'!$L$32</f>
        <v>4.9677044674937028</v>
      </c>
      <c r="K34" s="13">
        <f ca="1">'Airfoil 2'!$K$52*H34^'Airfoil 2'!$L$51</f>
        <v>-9.4100315722522812</v>
      </c>
      <c r="L34" s="16">
        <f ca="1">'Aerodynamics-Speed'!W34</f>
        <v>0.69953201934120568</v>
      </c>
      <c r="M34" s="10">
        <f ca="1">('Airfoil 1'!$B$21+'Airfoil 1'!$B$22*L34+'Airfoil 1'!$B$23*L34^2+'Airfoil 1'!$B$24*L34^3+'Airfoil 1'!$B$25*L34^4+'Airfoil 1'!$B$26*L34^5+'Airfoil 1'!$B$27*L34^6)*0+BD34</f>
        <v>2.5646882815257545E-2</v>
      </c>
      <c r="N34" s="42">
        <f ca="1">('Airfoil 1'!$B$29+'Airfoil 1'!$B$30*L34+'Airfoil 1'!$B$31*L34^2+'Airfoil 1'!$B$32*L34^3+'Airfoil 1'!$B$33*L34^4+'Airfoil 1'!$B$34*L34^5+'Airfoil 1'!$B$35*L34^6)*0+CA34</f>
        <v>1.7336556227601638E-2</v>
      </c>
      <c r="O34" s="42">
        <f ca="1">('Airfoil 1'!$B$37+'Airfoil 1'!$B$38*L34+'Airfoil 1'!$B$39*L34^2+'Airfoil 1'!$B$40*L34^3+'Airfoil 1'!$B$41*L34^4+'Airfoil 1'!$B$42*L34^5+'Airfoil 1'!$B$43*L34^6)*0+CX34</f>
        <v>9.6672210232778538E-3</v>
      </c>
      <c r="P34" s="16">
        <f>LOG('Airfoil 1'!$F$10)+LOG('Airfoil 1'!$G$10)+LOG('Airfoil 1'!$H$10)</f>
        <v>15.176091259055681</v>
      </c>
      <c r="Q34" s="16">
        <f t="shared" ca="1" si="1"/>
        <v>-5.3667009320250649</v>
      </c>
      <c r="R34" s="16">
        <f>LOG('Airfoil 1'!$F$10)^2+LOG('Airfoil 1'!$G$10)^2+LOG('Airfoil 1'!$H$10)^2</f>
        <v>76.867141336751558</v>
      </c>
      <c r="S34" s="16">
        <f ca="1">LOG('Airfoil 1'!$F$10)*LOG(M34)+LOG('Airfoil 1'!$G$10)*LOG(N34)+LOG('Airfoil 1'!$H$10)*LOG(O34)</f>
        <v>-27.241216087643846</v>
      </c>
      <c r="T34" s="16">
        <f t="shared" ca="1" si="2"/>
        <v>1263.1663515272464</v>
      </c>
      <c r="U34" s="16">
        <f t="shared" ca="1" si="3"/>
        <v>-0.96672340239580468</v>
      </c>
      <c r="V34" s="42">
        <f ca="1">MAX(IF(Energy!$F$11=1,Energy!$T$13,1)*T34*H34^U34,O34)</f>
        <v>9.6672210232778538E-3</v>
      </c>
      <c r="W34" s="10">
        <f ca="1">'Airfoil 1'!$B$48+'Airfoil 1'!$B$49*L34+'Airfoil 1'!$B$50*L34^2+'Airfoil 1'!$B$51*L34^3+'Airfoil 1'!$B$52*L34^4+'Airfoil 1'!$B$53*L34^5+'Airfoil 1'!$B$54*L34^6</f>
        <v>-0.155</v>
      </c>
      <c r="X34" s="42">
        <f ca="1">'Airfoil 1'!$B$56+'Airfoil 1'!$B$57*L34+'Airfoil 1'!$B$58*L34^2+'Airfoil 1'!$B$59*L34^3+'Airfoil 1'!$B$60*L34^4+'Airfoil 1'!$B$61*L34^5+'Airfoil 1'!$B$62*L34^6</f>
        <v>-0.155</v>
      </c>
      <c r="Y34" s="42">
        <f ca="1">'Airfoil 1'!$B$64+'Airfoil 1'!$B$65*L34+'Airfoil 1'!$B$66*L34^2+'Airfoil 1'!$B$67*L34^3+'Airfoil 1'!$B$681*L34^4+'Airfoil 1'!$B$69*L34^5+'Airfoil 1'!$B$70*L34^6</f>
        <v>-0.155</v>
      </c>
      <c r="Z34" s="16">
        <f>LOG('Airfoil 1'!$F$10)+LOG('Airfoil 1'!$G$10)+LOG('Airfoil 1'!$H$10)</f>
        <v>15.176091259055681</v>
      </c>
      <c r="AA34" s="16">
        <f t="shared" ca="1" si="4"/>
        <v>-2.4290049054891254</v>
      </c>
      <c r="AB34" s="16">
        <f>LOG('Airfoil 1'!$F$10)^2+LOG('Airfoil 1'!$G$10)^2+LOG('Airfoil 1'!$H$10)^2</f>
        <v>76.867141336751558</v>
      </c>
      <c r="AC34" s="16">
        <f ca="1">LOG('Airfoil 1'!$F$10)*LOG(ABS(W34))+LOG('Airfoil 1'!$G$10)*LOG(ABS(X34))+LOG('Airfoil 1'!$H$10)*LOG(ABS(Y34))</f>
        <v>-12.287600038132297</v>
      </c>
      <c r="AD34" s="16">
        <f t="shared" ca="1" si="5"/>
        <v>0.1550000000000121</v>
      </c>
      <c r="AE34" s="16">
        <f t="shared" ca="1" si="6"/>
        <v>-6.6718325633022456E-15</v>
      </c>
      <c r="AF34" s="42">
        <f t="shared" ca="1" si="7"/>
        <v>-0.15499999999999886</v>
      </c>
      <c r="AG34" s="16"/>
      <c r="AH34" s="42"/>
      <c r="AI34" s="16">
        <f ca="1">(L34-'Airfoil 1'!$Z$22)/ABS(L34-'Airfoil 1'!$Z$22)</f>
        <v>1</v>
      </c>
      <c r="AJ34" s="16">
        <f ca="1">(L34-'Airfoil 1'!$Z$23)/ABS(L34-'Airfoil 1'!$Z$23)</f>
        <v>1</v>
      </c>
      <c r="AK34" s="16">
        <f ca="1">(L34-'Airfoil 1'!$Z$24)/ABS(L34-'Airfoil 1'!$Z$24)</f>
        <v>1</v>
      </c>
      <c r="AL34" s="16">
        <f ca="1">(L34-'Airfoil 1'!$Z$25)/ABS(L34-'Airfoil 1'!$Z$25)</f>
        <v>1</v>
      </c>
      <c r="AM34" s="16">
        <f ca="1">(L34-'Airfoil 1'!$Z$26)/ABS(L34-'Airfoil 1'!$Z$26)</f>
        <v>1</v>
      </c>
      <c r="AN34" s="16">
        <f ca="1">(L34-'Airfoil 1'!$Z$27)/ABS(L34-'Airfoil 1'!$Z$27)</f>
        <v>1</v>
      </c>
      <c r="AO34" s="16">
        <f ca="1">(L34-'Airfoil 1'!$Z$28)/ABS(L34-'Airfoil 1'!$Z$28)</f>
        <v>-1</v>
      </c>
      <c r="AP34" s="16">
        <f ca="1">(L34-'Airfoil 1'!$Z$29)/ABS(L34-'Airfoil 1'!$Z$29)</f>
        <v>-1</v>
      </c>
      <c r="AQ34" s="16">
        <f ca="1">(L34-'Airfoil 1'!$Z$30)/ABS(L34-'Airfoil 1'!$Z$30)</f>
        <v>-1</v>
      </c>
      <c r="AR34" s="16">
        <f ca="1">(L34-'Airfoil 1'!$Z$31)/ABS(L34-'Airfoil 1'!$Z$31)</f>
        <v>-1</v>
      </c>
      <c r="AS34" s="16">
        <f ca="1">(L34-'Airfoil 1'!$Z$32)/ABS(L34-'Airfoil 1'!$Z$32)</f>
        <v>-1</v>
      </c>
      <c r="AT34" s="16">
        <f ca="1">(L34-'Airfoil 1'!$Z$33)/ABS(L34-'Airfoil 1'!$Z$33)</f>
        <v>-1</v>
      </c>
      <c r="AU34" s="16">
        <f ca="1">(L34-'Airfoil 1'!$Z$34)/ABS(L34-'Airfoil 1'!$Z$34)</f>
        <v>-1</v>
      </c>
      <c r="AV34" s="16">
        <f ca="1">(L34-'Airfoil 1'!$Z$35)/ABS(L34-'Airfoil 1'!$Z$35)</f>
        <v>-1</v>
      </c>
      <c r="AW34" s="16">
        <f ca="1">(L34-'Airfoil 1'!$Z$36)/ABS(L34-'Airfoil 1'!$Z$36)</f>
        <v>-1</v>
      </c>
      <c r="AX34" s="16">
        <f ca="1">(L34-'Airfoil 1'!$Z$37)/ABS(L34-'Airfoil 1'!$Z$37)</f>
        <v>-1</v>
      </c>
      <c r="AY34" s="16">
        <f ca="1">(L34-'Airfoil 1'!$Z$38)/ABS(L34-'Airfoil 1'!$Z$38)</f>
        <v>-1</v>
      </c>
      <c r="AZ34" s="16">
        <f ca="1">(L34-'Airfoil 1'!$Z$39)/ABS(L34-'Airfoil 1'!$Z$39)</f>
        <v>-1</v>
      </c>
      <c r="BA34" s="16">
        <f ca="1">(L34-'Airfoil 1'!$Z$40)/ABS(L34-'Airfoil 1'!$Z$40)</f>
        <v>-1</v>
      </c>
      <c r="BB34" s="16">
        <f ca="1">(L34-'Airfoil 1'!$Z$41)/ABS(L34-'Airfoil 1'!$Z$41)</f>
        <v>-1</v>
      </c>
      <c r="BC34" s="5">
        <f t="shared" ca="1" si="8"/>
        <v>6</v>
      </c>
      <c r="BD34" s="42">
        <f ca="1">INDEX('Airfoil 1'!$AA$22:$AA$41,BC34,1)+INDEX('Airfoil 1'!$AB$22:$AB$41,BC34,1)*(L34-INDEX('Airfoil 1'!$Z$22:$Z$41,BC34,1))</f>
        <v>2.564688281546371E-2</v>
      </c>
      <c r="BE34" s="6"/>
      <c r="BF34" s="16">
        <f ca="1">(L34-'Airfoil 1'!$Z$47)/ABS(L34-'Airfoil 1'!$Z$47)</f>
        <v>1</v>
      </c>
      <c r="BG34" s="16">
        <f ca="1">(L34-'Airfoil 1'!$Z$48)/ABS(L34-'Airfoil 1'!$Z$48)</f>
        <v>1</v>
      </c>
      <c r="BH34" s="16">
        <f ca="1">(L34-'Airfoil 1'!$Z$49)/ABS(L34-'Airfoil 1'!$Z$49)</f>
        <v>1</v>
      </c>
      <c r="BI34" s="16">
        <f ca="1">(L34-'Airfoil 1'!$Z$50)/ABS(L34-'Airfoil 1'!$Z$50)</f>
        <v>1</v>
      </c>
      <c r="BJ34" s="16">
        <f ca="1">(L34-'Airfoil 1'!$Z$51)/ABS(L34-'Airfoil 1'!$Z$51)</f>
        <v>-1</v>
      </c>
      <c r="BK34" s="16">
        <f ca="1">(L34-'Airfoil 1'!$Z$52)/ABS(L34-'Airfoil 1'!$Z$52)</f>
        <v>-1</v>
      </c>
      <c r="BL34" s="16">
        <f ca="1">(L34-'Airfoil 1'!$Z$53)/ABS(L34-'Airfoil 1'!$Z$53)</f>
        <v>-1</v>
      </c>
      <c r="BM34" s="16">
        <f ca="1">(L34-'Airfoil 1'!$Z$54)/ABS(L34-'Airfoil 1'!$Z$54)</f>
        <v>-1</v>
      </c>
      <c r="BN34" s="16">
        <f ca="1">(L34-'Airfoil 1'!$Z$55)/ABS(L34-'Airfoil 1'!$Z$55)</f>
        <v>-1</v>
      </c>
      <c r="BO34" s="16">
        <f ca="1">(L34-'Airfoil 1'!$Z$56)/ABS(L34-'Airfoil 1'!$Z$56)</f>
        <v>-1</v>
      </c>
      <c r="BP34" s="16">
        <f ca="1">(L34-'Airfoil 1'!$Z$57)/ABS(L34-'Airfoil 1'!$Z$57)</f>
        <v>-1</v>
      </c>
      <c r="BQ34" s="16">
        <f ca="1">(L34-'Airfoil 1'!$Z$58)/ABS(L34-'Airfoil 1'!$Z$58)</f>
        <v>-1</v>
      </c>
      <c r="BR34" s="16">
        <f ca="1">(L34-'Airfoil 1'!$Z$59)/ABS(L34-'Airfoil 1'!$Z$59)</f>
        <v>-1</v>
      </c>
      <c r="BS34" s="16">
        <f ca="1">(L34-'Airfoil 1'!$Z$60)/ABS(L34-'Airfoil 1'!$Z$60)</f>
        <v>-1</v>
      </c>
      <c r="BT34" s="16">
        <f ca="1">(L34-'Airfoil 1'!$Z$61)/ABS(L34-'Airfoil 1'!$Z$61)</f>
        <v>-1</v>
      </c>
      <c r="BU34" s="16">
        <f ca="1">(L34-'Airfoil 1'!$Z$62)/ABS(L34-'Airfoil 1'!$Z$62)</f>
        <v>-1</v>
      </c>
      <c r="BV34" s="16">
        <f ca="1">(L34-'Airfoil 1'!$Z$63)/ABS(L34-'Airfoil 1'!$Z$63)</f>
        <v>-1</v>
      </c>
      <c r="BW34" s="16">
        <f ca="1">(L34-'Airfoil 1'!$Z$64)/ABS(L34-'Airfoil 1'!$Z$64)</f>
        <v>-1</v>
      </c>
      <c r="BX34" s="16">
        <f ca="1">(L34-'Airfoil 1'!$Z$65)/ABS(L34-'Airfoil 1'!$Z$65)</f>
        <v>-1</v>
      </c>
      <c r="BY34" s="16">
        <f ca="1">(L34-'Airfoil 1'!$Z$66)/ABS(L34-'Airfoil 1'!$Z$66)</f>
        <v>-1</v>
      </c>
      <c r="BZ34" s="5">
        <f t="shared" ca="1" si="9"/>
        <v>4</v>
      </c>
      <c r="CA34" s="42">
        <f ca="1">INDEX('Airfoil 1'!$AA$47:$AA$66,BZ34,1)+INDEX('Airfoil 1'!$AB$47:$AB$66,BZ34,1)*(L34-INDEX('Airfoil 1'!$Z$47:$Z$66,BZ34,1))</f>
        <v>1.7336556227791556E-2</v>
      </c>
      <c r="CC34" s="16">
        <f ca="1">(L34-'Airfoil 1'!$Z$72)/ABS(L34-'Airfoil 1'!$Z$72)</f>
        <v>1</v>
      </c>
      <c r="CD34" s="16">
        <f ca="1">(L34-'Airfoil 1'!$Z$73)/ABS(L34-'Airfoil 1'!$Z$73)</f>
        <v>1</v>
      </c>
      <c r="CE34" s="16">
        <f ca="1">(L34-'Airfoil 1'!$Z$74)/ABS(L34-'Airfoil 1'!$Z$74)</f>
        <v>1</v>
      </c>
      <c r="CF34" s="16">
        <f ca="1">(L34-'Airfoil 1'!$Z$75)/ABS(L34-'Airfoil 1'!$Z$75)</f>
        <v>-1</v>
      </c>
      <c r="CG34" s="16">
        <f ca="1">(L34-'Airfoil 1'!$Z$76)/ABS(L34-'Airfoil 1'!$Z$76)</f>
        <v>-1</v>
      </c>
      <c r="CH34" s="16">
        <f ca="1">(L34-'Airfoil 1'!$Z$77)/ABS(L34-'Airfoil 1'!$Z$77)</f>
        <v>-1</v>
      </c>
      <c r="CI34" s="16">
        <f ca="1">(L34-'Airfoil 1'!$Z$78)/ABS(L34-'Airfoil 1'!$Z$78)</f>
        <v>-1</v>
      </c>
      <c r="CJ34" s="16">
        <f ca="1">(L34-'Airfoil 1'!$Z$79)/ABS(L34-'Airfoil 1'!$Z$79)</f>
        <v>-1</v>
      </c>
      <c r="CK34" s="16">
        <f ca="1">(L34-'Airfoil 1'!$Z$80)/ABS(L34-'Airfoil 1'!$Z$80)</f>
        <v>-1</v>
      </c>
      <c r="CL34" s="16">
        <f ca="1">(L34-'Airfoil 1'!$Z$81)/ABS(L34-'Airfoil 1'!$Z$81)</f>
        <v>-1</v>
      </c>
      <c r="CM34" s="16">
        <f ca="1">(L34-'Airfoil 1'!$Z$82)/ABS(L34-'Airfoil 1'!$Z$82)</f>
        <v>-1</v>
      </c>
      <c r="CN34" s="16">
        <f ca="1">(L34-'Airfoil 1'!$Z$83)/ABS(L34-'Airfoil 1'!$Z$83)</f>
        <v>-1</v>
      </c>
      <c r="CO34" s="16">
        <f ca="1">(L34-'Airfoil 1'!$Z$84)/ABS(L34-'Airfoil 1'!$Z$84)</f>
        <v>-1</v>
      </c>
      <c r="CP34" s="16">
        <f ca="1">(L34-'Airfoil 1'!$Z$85)/ABS(L34-'Airfoil 1'!$Z$85)</f>
        <v>-1</v>
      </c>
      <c r="CQ34" s="16">
        <f ca="1">(L34-'Airfoil 1'!$Z$86)/ABS(L34-'Airfoil 1'!$Z$86)</f>
        <v>-1</v>
      </c>
      <c r="CR34" s="16">
        <f ca="1">(L34-'Airfoil 1'!$Z$87)/ABS(L34-'Airfoil 1'!$Z$87)</f>
        <v>-1</v>
      </c>
      <c r="CS34" s="16">
        <f ca="1">(L34-'Airfoil 1'!$Z$88)/ABS(L34-'Airfoil 1'!$Z$88)</f>
        <v>-1</v>
      </c>
      <c r="CT34" s="16">
        <f ca="1">(L34-'Airfoil 1'!$Z$89)/ABS(L34-'Airfoil 1'!$Z$89)</f>
        <v>-1</v>
      </c>
      <c r="CU34" s="16">
        <f ca="1">(L34-'Airfoil 1'!$Z$90)/ABS(L34-'Airfoil 1'!$Z$90)</f>
        <v>-1</v>
      </c>
      <c r="CV34" s="16">
        <f ca="1">(L34-'Airfoil 1'!$Z$91)/ABS(L34-'Airfoil 1'!$Z$91)</f>
        <v>-1</v>
      </c>
      <c r="CW34" s="5">
        <f t="shared" ca="1" si="10"/>
        <v>3</v>
      </c>
      <c r="CX34" s="42">
        <f ca="1">INDEX('Airfoil 1'!$AA$72:$AA$91,CW34,1)+INDEX('Airfoil 1'!$AB$72:$AB$91,CW34,1)*(L34-INDEX('Airfoil 1'!$Z$72:$Z$91,CW34,1))</f>
        <v>9.6672210231475274E-3</v>
      </c>
    </row>
    <row r="35" spans="2:102">
      <c r="B35" s="31">
        <f>Main!B35</f>
        <v>0.33333333333333326</v>
      </c>
      <c r="D35" s="1">
        <f>Cruise!F35</f>
        <v>0.65969672852566186</v>
      </c>
      <c r="E35" s="4">
        <f>ISA!$R$10</f>
        <v>1.5987591530356481E-5</v>
      </c>
      <c r="G35" s="20">
        <f ca="1">'Aerodynamics-Speed'!H35</f>
        <v>26.65013237561713</v>
      </c>
      <c r="H35" s="5">
        <f t="shared" ca="1" si="0"/>
        <v>366555.21480702626</v>
      </c>
      <c r="I35" s="16">
        <f ca="1">'Airfoil 2'!$K$14*H35^'Airfoil 2'!$L$13</f>
        <v>1.5839082164496245</v>
      </c>
      <c r="J35" s="1">
        <f ca="1">'Airfoil 2'!$K$33*H35^'Airfoil 2'!$L$32</f>
        <v>4.9558562138038926</v>
      </c>
      <c r="K35" s="13">
        <f ca="1">'Airfoil 2'!$K$52*H35^'Airfoil 2'!$L$51</f>
        <v>-9.4548151294384191</v>
      </c>
      <c r="L35" s="16">
        <f ca="1">'Aerodynamics-Speed'!W35</f>
        <v>0.67008232855750216</v>
      </c>
      <c r="M35" s="10">
        <f ca="1">('Airfoil 1'!$B$21+'Airfoil 1'!$B$22*L35+'Airfoil 1'!$B$23*L35^2+'Airfoil 1'!$B$24*L35^3+'Airfoil 1'!$B$25*L35^4+'Airfoil 1'!$B$26*L35^5+'Airfoil 1'!$B$27*L35^6)*0+BD35</f>
        <v>2.5942732954236481E-2</v>
      </c>
      <c r="N35" s="42">
        <f ca="1">('Airfoil 1'!$B$29+'Airfoil 1'!$B$30*L35+'Airfoil 1'!$B$31*L35^2+'Airfoil 1'!$B$32*L35^3+'Airfoil 1'!$B$33*L35^4+'Airfoil 1'!$B$34*L35^5+'Airfoil 1'!$B$35*L35^6)*0+CA35</f>
        <v>1.760909065425845E-2</v>
      </c>
      <c r="O35" s="42">
        <f ca="1">('Airfoil 1'!$B$37+'Airfoil 1'!$B$38*L35+'Airfoil 1'!$B$39*L35^2+'Airfoil 1'!$B$40*L35^3+'Airfoil 1'!$B$41*L35^4+'Airfoil 1'!$B$42*L35^5+'Airfoil 1'!$B$43*L35^6)*0+CX35</f>
        <v>9.5317428284464774E-3</v>
      </c>
      <c r="P35" s="16">
        <f>LOG('Airfoil 1'!$F$10)+LOG('Airfoil 1'!$G$10)+LOG('Airfoil 1'!$H$10)</f>
        <v>15.176091259055681</v>
      </c>
      <c r="Q35" s="16">
        <f t="shared" ca="1" si="1"/>
        <v>-5.3610750291951206</v>
      </c>
      <c r="R35" s="16">
        <f>LOG('Airfoil 1'!$F$10)^2+LOG('Airfoil 1'!$G$10)^2+LOG('Airfoil 1'!$H$10)^2</f>
        <v>76.867141336751558</v>
      </c>
      <c r="S35" s="16">
        <f ca="1">LOG('Airfoil 1'!$F$10)*LOG(M35)+LOG('Airfoil 1'!$G$10)*LOG(N35)+LOG('Airfoil 1'!$H$10)*LOG(O35)</f>
        <v>-27.215554023252658</v>
      </c>
      <c r="T35" s="16">
        <f t="shared" ca="1" si="2"/>
        <v>1782.0650879243663</v>
      </c>
      <c r="U35" s="16">
        <f t="shared" ca="1" si="3"/>
        <v>-0.99589844694045671</v>
      </c>
      <c r="V35" s="42">
        <f ca="1">MAX(IF(Energy!$F$11=1,Energy!$T$13,1)*T35*H35^U35,O35)</f>
        <v>9.5317428284464774E-3</v>
      </c>
      <c r="W35" s="10">
        <f ca="1">'Airfoil 1'!$B$48+'Airfoil 1'!$B$49*L35+'Airfoil 1'!$B$50*L35^2+'Airfoil 1'!$B$51*L35^3+'Airfoil 1'!$B$52*L35^4+'Airfoil 1'!$B$53*L35^5+'Airfoil 1'!$B$54*L35^6</f>
        <v>-0.155</v>
      </c>
      <c r="X35" s="42">
        <f ca="1">'Airfoil 1'!$B$56+'Airfoil 1'!$B$57*L35+'Airfoil 1'!$B$58*L35^2+'Airfoil 1'!$B$59*L35^3+'Airfoil 1'!$B$60*L35^4+'Airfoil 1'!$B$61*L35^5+'Airfoil 1'!$B$62*L35^6</f>
        <v>-0.155</v>
      </c>
      <c r="Y35" s="42">
        <f ca="1">'Airfoil 1'!$B$64+'Airfoil 1'!$B$65*L35+'Airfoil 1'!$B$66*L35^2+'Airfoil 1'!$B$67*L35^3+'Airfoil 1'!$B$681*L35^4+'Airfoil 1'!$B$69*L35^5+'Airfoil 1'!$B$70*L35^6</f>
        <v>-0.155</v>
      </c>
      <c r="Z35" s="16">
        <f>LOG('Airfoil 1'!$F$10)+LOG('Airfoil 1'!$G$10)+LOG('Airfoil 1'!$H$10)</f>
        <v>15.176091259055681</v>
      </c>
      <c r="AA35" s="16">
        <f t="shared" ca="1" si="4"/>
        <v>-2.4290049054891254</v>
      </c>
      <c r="AB35" s="16">
        <f>LOG('Airfoil 1'!$F$10)^2+LOG('Airfoil 1'!$G$10)^2+LOG('Airfoil 1'!$H$10)^2</f>
        <v>76.867141336751558</v>
      </c>
      <c r="AC35" s="16">
        <f ca="1">LOG('Airfoil 1'!$F$10)*LOG(ABS(W35))+LOG('Airfoil 1'!$G$10)*LOG(ABS(X35))+LOG('Airfoil 1'!$H$10)*LOG(ABS(Y35))</f>
        <v>-12.287600038132297</v>
      </c>
      <c r="AD35" s="16">
        <f t="shared" ca="1" si="5"/>
        <v>0.1550000000000121</v>
      </c>
      <c r="AE35" s="16">
        <f t="shared" ca="1" si="6"/>
        <v>-6.6718325633022456E-15</v>
      </c>
      <c r="AF35" s="42">
        <f t="shared" ca="1" si="7"/>
        <v>-0.15499999999999886</v>
      </c>
      <c r="AG35" s="16"/>
      <c r="AH35" s="42"/>
      <c r="AI35" s="16">
        <f ca="1">(L35-'Airfoil 1'!$Z$22)/ABS(L35-'Airfoil 1'!$Z$22)</f>
        <v>1</v>
      </c>
      <c r="AJ35" s="16">
        <f ca="1">(L35-'Airfoil 1'!$Z$23)/ABS(L35-'Airfoil 1'!$Z$23)</f>
        <v>1</v>
      </c>
      <c r="AK35" s="16">
        <f ca="1">(L35-'Airfoil 1'!$Z$24)/ABS(L35-'Airfoil 1'!$Z$24)</f>
        <v>1</v>
      </c>
      <c r="AL35" s="16">
        <f ca="1">(L35-'Airfoil 1'!$Z$25)/ABS(L35-'Airfoil 1'!$Z$25)</f>
        <v>1</v>
      </c>
      <c r="AM35" s="16">
        <f ca="1">(L35-'Airfoil 1'!$Z$26)/ABS(L35-'Airfoil 1'!$Z$26)</f>
        <v>1</v>
      </c>
      <c r="AN35" s="16">
        <f ca="1">(L35-'Airfoil 1'!$Z$27)/ABS(L35-'Airfoil 1'!$Z$27)</f>
        <v>1</v>
      </c>
      <c r="AO35" s="16">
        <f ca="1">(L35-'Airfoil 1'!$Z$28)/ABS(L35-'Airfoil 1'!$Z$28)</f>
        <v>-1</v>
      </c>
      <c r="AP35" s="16">
        <f ca="1">(L35-'Airfoil 1'!$Z$29)/ABS(L35-'Airfoil 1'!$Z$29)</f>
        <v>-1</v>
      </c>
      <c r="AQ35" s="16">
        <f ca="1">(L35-'Airfoil 1'!$Z$30)/ABS(L35-'Airfoil 1'!$Z$30)</f>
        <v>-1</v>
      </c>
      <c r="AR35" s="16">
        <f ca="1">(L35-'Airfoil 1'!$Z$31)/ABS(L35-'Airfoil 1'!$Z$31)</f>
        <v>-1</v>
      </c>
      <c r="AS35" s="16">
        <f ca="1">(L35-'Airfoil 1'!$Z$32)/ABS(L35-'Airfoil 1'!$Z$32)</f>
        <v>-1</v>
      </c>
      <c r="AT35" s="16">
        <f ca="1">(L35-'Airfoil 1'!$Z$33)/ABS(L35-'Airfoil 1'!$Z$33)</f>
        <v>-1</v>
      </c>
      <c r="AU35" s="16">
        <f ca="1">(L35-'Airfoil 1'!$Z$34)/ABS(L35-'Airfoil 1'!$Z$34)</f>
        <v>-1</v>
      </c>
      <c r="AV35" s="16">
        <f ca="1">(L35-'Airfoil 1'!$Z$35)/ABS(L35-'Airfoil 1'!$Z$35)</f>
        <v>-1</v>
      </c>
      <c r="AW35" s="16">
        <f ca="1">(L35-'Airfoil 1'!$Z$36)/ABS(L35-'Airfoil 1'!$Z$36)</f>
        <v>-1</v>
      </c>
      <c r="AX35" s="16">
        <f ca="1">(L35-'Airfoil 1'!$Z$37)/ABS(L35-'Airfoil 1'!$Z$37)</f>
        <v>-1</v>
      </c>
      <c r="AY35" s="16">
        <f ca="1">(L35-'Airfoil 1'!$Z$38)/ABS(L35-'Airfoil 1'!$Z$38)</f>
        <v>-1</v>
      </c>
      <c r="AZ35" s="16">
        <f ca="1">(L35-'Airfoil 1'!$Z$39)/ABS(L35-'Airfoil 1'!$Z$39)</f>
        <v>-1</v>
      </c>
      <c r="BA35" s="16">
        <f ca="1">(L35-'Airfoil 1'!$Z$40)/ABS(L35-'Airfoil 1'!$Z$40)</f>
        <v>-1</v>
      </c>
      <c r="BB35" s="16">
        <f ca="1">(L35-'Airfoil 1'!$Z$41)/ABS(L35-'Airfoil 1'!$Z$41)</f>
        <v>-1</v>
      </c>
      <c r="BC35" s="5">
        <f t="shared" ca="1" si="8"/>
        <v>6</v>
      </c>
      <c r="BD35" s="42">
        <f ca="1">INDEX('Airfoil 1'!$AA$22:$AA$41,BC35,1)+INDEX('Airfoil 1'!$AB$22:$AB$41,BC35,1)*(L35-INDEX('Airfoil 1'!$Z$22:$Z$41,BC35,1))</f>
        <v>2.5942732954353415E-2</v>
      </c>
      <c r="BE35" s="6"/>
      <c r="BF35" s="16">
        <f ca="1">(L35-'Airfoil 1'!$Z$47)/ABS(L35-'Airfoil 1'!$Z$47)</f>
        <v>1</v>
      </c>
      <c r="BG35" s="16">
        <f ca="1">(L35-'Airfoil 1'!$Z$48)/ABS(L35-'Airfoil 1'!$Z$48)</f>
        <v>1</v>
      </c>
      <c r="BH35" s="16">
        <f ca="1">(L35-'Airfoil 1'!$Z$49)/ABS(L35-'Airfoil 1'!$Z$49)</f>
        <v>1</v>
      </c>
      <c r="BI35" s="16">
        <f ca="1">(L35-'Airfoil 1'!$Z$50)/ABS(L35-'Airfoil 1'!$Z$50)</f>
        <v>1</v>
      </c>
      <c r="BJ35" s="16">
        <f ca="1">(L35-'Airfoil 1'!$Z$51)/ABS(L35-'Airfoil 1'!$Z$51)</f>
        <v>-1</v>
      </c>
      <c r="BK35" s="16">
        <f ca="1">(L35-'Airfoil 1'!$Z$52)/ABS(L35-'Airfoil 1'!$Z$52)</f>
        <v>-1</v>
      </c>
      <c r="BL35" s="16">
        <f ca="1">(L35-'Airfoil 1'!$Z$53)/ABS(L35-'Airfoil 1'!$Z$53)</f>
        <v>-1</v>
      </c>
      <c r="BM35" s="16">
        <f ca="1">(L35-'Airfoil 1'!$Z$54)/ABS(L35-'Airfoil 1'!$Z$54)</f>
        <v>-1</v>
      </c>
      <c r="BN35" s="16">
        <f ca="1">(L35-'Airfoil 1'!$Z$55)/ABS(L35-'Airfoil 1'!$Z$55)</f>
        <v>-1</v>
      </c>
      <c r="BO35" s="16">
        <f ca="1">(L35-'Airfoil 1'!$Z$56)/ABS(L35-'Airfoil 1'!$Z$56)</f>
        <v>-1</v>
      </c>
      <c r="BP35" s="16">
        <f ca="1">(L35-'Airfoil 1'!$Z$57)/ABS(L35-'Airfoil 1'!$Z$57)</f>
        <v>-1</v>
      </c>
      <c r="BQ35" s="16">
        <f ca="1">(L35-'Airfoil 1'!$Z$58)/ABS(L35-'Airfoil 1'!$Z$58)</f>
        <v>-1</v>
      </c>
      <c r="BR35" s="16">
        <f ca="1">(L35-'Airfoil 1'!$Z$59)/ABS(L35-'Airfoil 1'!$Z$59)</f>
        <v>-1</v>
      </c>
      <c r="BS35" s="16">
        <f ca="1">(L35-'Airfoil 1'!$Z$60)/ABS(L35-'Airfoil 1'!$Z$60)</f>
        <v>-1</v>
      </c>
      <c r="BT35" s="16">
        <f ca="1">(L35-'Airfoil 1'!$Z$61)/ABS(L35-'Airfoil 1'!$Z$61)</f>
        <v>-1</v>
      </c>
      <c r="BU35" s="16">
        <f ca="1">(L35-'Airfoil 1'!$Z$62)/ABS(L35-'Airfoil 1'!$Z$62)</f>
        <v>-1</v>
      </c>
      <c r="BV35" s="16">
        <f ca="1">(L35-'Airfoil 1'!$Z$63)/ABS(L35-'Airfoil 1'!$Z$63)</f>
        <v>-1</v>
      </c>
      <c r="BW35" s="16">
        <f ca="1">(L35-'Airfoil 1'!$Z$64)/ABS(L35-'Airfoil 1'!$Z$64)</f>
        <v>-1</v>
      </c>
      <c r="BX35" s="16">
        <f ca="1">(L35-'Airfoil 1'!$Z$65)/ABS(L35-'Airfoil 1'!$Z$65)</f>
        <v>-1</v>
      </c>
      <c r="BY35" s="16">
        <f ca="1">(L35-'Airfoil 1'!$Z$66)/ABS(L35-'Airfoil 1'!$Z$66)</f>
        <v>-1</v>
      </c>
      <c r="BZ35" s="5">
        <f t="shared" ca="1" si="9"/>
        <v>4</v>
      </c>
      <c r="CA35" s="42">
        <f ca="1">INDEX('Airfoil 1'!$AA$47:$AA$66,BZ35,1)+INDEX('Airfoil 1'!$AB$47:$AB$66,BZ35,1)*(L35-INDEX('Airfoil 1'!$Z$47:$Z$66,BZ35,1))</f>
        <v>1.7609090654366166E-2</v>
      </c>
      <c r="CC35" s="16">
        <f ca="1">(L35-'Airfoil 1'!$Z$72)/ABS(L35-'Airfoil 1'!$Z$72)</f>
        <v>1</v>
      </c>
      <c r="CD35" s="16">
        <f ca="1">(L35-'Airfoil 1'!$Z$73)/ABS(L35-'Airfoil 1'!$Z$73)</f>
        <v>1</v>
      </c>
      <c r="CE35" s="16">
        <f ca="1">(L35-'Airfoil 1'!$Z$74)/ABS(L35-'Airfoil 1'!$Z$74)</f>
        <v>-1</v>
      </c>
      <c r="CF35" s="16">
        <f ca="1">(L35-'Airfoil 1'!$Z$75)/ABS(L35-'Airfoil 1'!$Z$75)</f>
        <v>-1</v>
      </c>
      <c r="CG35" s="16">
        <f ca="1">(L35-'Airfoil 1'!$Z$76)/ABS(L35-'Airfoil 1'!$Z$76)</f>
        <v>-1</v>
      </c>
      <c r="CH35" s="16">
        <f ca="1">(L35-'Airfoil 1'!$Z$77)/ABS(L35-'Airfoil 1'!$Z$77)</f>
        <v>-1</v>
      </c>
      <c r="CI35" s="16">
        <f ca="1">(L35-'Airfoil 1'!$Z$78)/ABS(L35-'Airfoil 1'!$Z$78)</f>
        <v>-1</v>
      </c>
      <c r="CJ35" s="16">
        <f ca="1">(L35-'Airfoil 1'!$Z$79)/ABS(L35-'Airfoil 1'!$Z$79)</f>
        <v>-1</v>
      </c>
      <c r="CK35" s="16">
        <f ca="1">(L35-'Airfoil 1'!$Z$80)/ABS(L35-'Airfoil 1'!$Z$80)</f>
        <v>-1</v>
      </c>
      <c r="CL35" s="16">
        <f ca="1">(L35-'Airfoil 1'!$Z$81)/ABS(L35-'Airfoil 1'!$Z$81)</f>
        <v>-1</v>
      </c>
      <c r="CM35" s="16">
        <f ca="1">(L35-'Airfoil 1'!$Z$82)/ABS(L35-'Airfoil 1'!$Z$82)</f>
        <v>-1</v>
      </c>
      <c r="CN35" s="16">
        <f ca="1">(L35-'Airfoil 1'!$Z$83)/ABS(L35-'Airfoil 1'!$Z$83)</f>
        <v>-1</v>
      </c>
      <c r="CO35" s="16">
        <f ca="1">(L35-'Airfoil 1'!$Z$84)/ABS(L35-'Airfoil 1'!$Z$84)</f>
        <v>-1</v>
      </c>
      <c r="CP35" s="16">
        <f ca="1">(L35-'Airfoil 1'!$Z$85)/ABS(L35-'Airfoil 1'!$Z$85)</f>
        <v>-1</v>
      </c>
      <c r="CQ35" s="16">
        <f ca="1">(L35-'Airfoil 1'!$Z$86)/ABS(L35-'Airfoil 1'!$Z$86)</f>
        <v>-1</v>
      </c>
      <c r="CR35" s="16">
        <f ca="1">(L35-'Airfoil 1'!$Z$87)/ABS(L35-'Airfoil 1'!$Z$87)</f>
        <v>-1</v>
      </c>
      <c r="CS35" s="16">
        <f ca="1">(L35-'Airfoil 1'!$Z$88)/ABS(L35-'Airfoil 1'!$Z$88)</f>
        <v>-1</v>
      </c>
      <c r="CT35" s="16">
        <f ca="1">(L35-'Airfoil 1'!$Z$89)/ABS(L35-'Airfoil 1'!$Z$89)</f>
        <v>-1</v>
      </c>
      <c r="CU35" s="16">
        <f ca="1">(L35-'Airfoil 1'!$Z$90)/ABS(L35-'Airfoil 1'!$Z$90)</f>
        <v>-1</v>
      </c>
      <c r="CV35" s="16">
        <f ca="1">(L35-'Airfoil 1'!$Z$91)/ABS(L35-'Airfoil 1'!$Z$91)</f>
        <v>-1</v>
      </c>
      <c r="CW35" s="5">
        <f t="shared" ca="1" si="10"/>
        <v>2</v>
      </c>
      <c r="CX35" s="42">
        <f ca="1">INDEX('Airfoil 1'!$AA$72:$AA$91,CW35,1)+INDEX('Airfoil 1'!$AB$72:$AB$91,CW35,1)*(L35-INDEX('Airfoil 1'!$Z$72:$Z$91,CW35,1))</f>
        <v>9.5317428285649902E-3</v>
      </c>
    </row>
    <row r="36" spans="2:102">
      <c r="B36" s="31">
        <f>Main!B36</f>
        <v>0.33333333333333326</v>
      </c>
      <c r="D36" s="1">
        <f>Cruise!F36</f>
        <v>0.65969672852566186</v>
      </c>
      <c r="E36" s="4">
        <f>ISA!$R$10</f>
        <v>1.5987591530356481E-5</v>
      </c>
      <c r="G36" s="20">
        <f ca="1">'Aerodynamics-Speed'!H36</f>
        <v>26.669668141824815</v>
      </c>
      <c r="H36" s="5">
        <f t="shared" ca="1" si="0"/>
        <v>366823.91654845665</v>
      </c>
      <c r="I36" s="16">
        <f ca="1">'Airfoil 2'!$K$14*H36^'Airfoil 2'!$L$13</f>
        <v>1.5839243511695444</v>
      </c>
      <c r="J36" s="1">
        <f ca="1">'Airfoil 2'!$K$33*H36^'Airfoil 2'!$L$32</f>
        <v>4.9546349146055455</v>
      </c>
      <c r="K36" s="13">
        <f ca="1">'Airfoil 2'!$K$52*H36^'Airfoil 2'!$L$51</f>
        <v>-9.4594495500992473</v>
      </c>
      <c r="L36" s="16">
        <f ca="1">'Aerodynamics-Speed'!W36</f>
        <v>0.65052906091067253</v>
      </c>
      <c r="M36" s="10">
        <f ca="1">('Airfoil 1'!$B$21+'Airfoil 1'!$B$22*L36+'Airfoil 1'!$B$23*L36^2+'Airfoil 1'!$B$24*L36^3+'Airfoil 1'!$B$25*L36^4+'Airfoil 1'!$B$26*L36^5+'Airfoil 1'!$B$27*L36^6)*0+BD36</f>
        <v>2.6139164115152502E-2</v>
      </c>
      <c r="N36" s="42">
        <f ca="1">('Airfoil 1'!$B$29+'Airfoil 1'!$B$30*L36+'Airfoil 1'!$B$31*L36^2+'Airfoil 1'!$B$32*L36^3+'Airfoil 1'!$B$33*L36^4+'Airfoil 1'!$B$34*L36^5+'Airfoil 1'!$B$35*L36^6)*0+CA36</f>
        <v>1.7790041232826848E-2</v>
      </c>
      <c r="O36" s="42">
        <f ca="1">('Airfoil 1'!$B$37+'Airfoil 1'!$B$38*L36+'Airfoil 1'!$B$39*L36^2+'Airfoil 1'!$B$40*L36^3+'Airfoil 1'!$B$41*L36^4+'Airfoil 1'!$B$42*L36^5+'Airfoil 1'!$B$43*L36^6)*0+CX36</f>
        <v>9.7308260334177908E-3</v>
      </c>
      <c r="P36" s="16">
        <f>LOG('Airfoil 1'!$F$10)+LOG('Airfoil 1'!$G$10)+LOG('Airfoil 1'!$H$10)</f>
        <v>15.176091259055681</v>
      </c>
      <c r="Q36" s="16">
        <f t="shared" ca="1" si="1"/>
        <v>-5.3443816414832099</v>
      </c>
      <c r="R36" s="16">
        <f>LOG('Airfoil 1'!$F$10)^2+LOG('Airfoil 1'!$G$10)^2+LOG('Airfoil 1'!$H$10)^2</f>
        <v>76.867141336751558</v>
      </c>
      <c r="S36" s="16">
        <f ca="1">LOG('Airfoil 1'!$F$10)*LOG(M36)+LOG('Airfoil 1'!$G$10)*LOG(N36)+LOG('Airfoil 1'!$H$10)*LOG(O36)</f>
        <v>-27.129793915999805</v>
      </c>
      <c r="T36" s="16">
        <f t="shared" ca="1" si="2"/>
        <v>1538.8835016161452</v>
      </c>
      <c r="U36" s="16">
        <f t="shared" ca="1" si="3"/>
        <v>-0.9822027699911593</v>
      </c>
      <c r="V36" s="42">
        <f ca="1">MAX(IF(Energy!$F$11=1,Energy!$T$13,1)*T36*H36^U36,O36)</f>
        <v>9.7308260334177908E-3</v>
      </c>
      <c r="W36" s="10">
        <f ca="1">'Airfoil 1'!$B$48+'Airfoil 1'!$B$49*L36+'Airfoil 1'!$B$50*L36^2+'Airfoil 1'!$B$51*L36^3+'Airfoil 1'!$B$52*L36^4+'Airfoil 1'!$B$53*L36^5+'Airfoil 1'!$B$54*L36^6</f>
        <v>-0.155</v>
      </c>
      <c r="X36" s="42">
        <f ca="1">'Airfoil 1'!$B$56+'Airfoil 1'!$B$57*L36+'Airfoil 1'!$B$58*L36^2+'Airfoil 1'!$B$59*L36^3+'Airfoil 1'!$B$60*L36^4+'Airfoil 1'!$B$61*L36^5+'Airfoil 1'!$B$62*L36^6</f>
        <v>-0.155</v>
      </c>
      <c r="Y36" s="42">
        <f ca="1">'Airfoil 1'!$B$64+'Airfoil 1'!$B$65*L36+'Airfoil 1'!$B$66*L36^2+'Airfoil 1'!$B$67*L36^3+'Airfoil 1'!$B$681*L36^4+'Airfoil 1'!$B$69*L36^5+'Airfoil 1'!$B$70*L36^6</f>
        <v>-0.155</v>
      </c>
      <c r="Z36" s="16">
        <f>LOG('Airfoil 1'!$F$10)+LOG('Airfoil 1'!$G$10)+LOG('Airfoil 1'!$H$10)</f>
        <v>15.176091259055681</v>
      </c>
      <c r="AA36" s="16">
        <f t="shared" ca="1" si="4"/>
        <v>-2.4290049054891254</v>
      </c>
      <c r="AB36" s="16">
        <f>LOG('Airfoil 1'!$F$10)^2+LOG('Airfoil 1'!$G$10)^2+LOG('Airfoil 1'!$H$10)^2</f>
        <v>76.867141336751558</v>
      </c>
      <c r="AC36" s="16">
        <f ca="1">LOG('Airfoil 1'!$F$10)*LOG(ABS(W36))+LOG('Airfoil 1'!$G$10)*LOG(ABS(X36))+LOG('Airfoil 1'!$H$10)*LOG(ABS(Y36))</f>
        <v>-12.287600038132297</v>
      </c>
      <c r="AD36" s="16">
        <f t="shared" ca="1" si="5"/>
        <v>0.1550000000000121</v>
      </c>
      <c r="AE36" s="16">
        <f t="shared" ca="1" si="6"/>
        <v>-6.6718325633022456E-15</v>
      </c>
      <c r="AF36" s="42">
        <f t="shared" ca="1" si="7"/>
        <v>-0.15499999999999886</v>
      </c>
      <c r="AG36" s="16"/>
      <c r="AH36" s="42"/>
      <c r="AI36" s="16">
        <f ca="1">(L36-'Airfoil 1'!$Z$22)/ABS(L36-'Airfoil 1'!$Z$22)</f>
        <v>1</v>
      </c>
      <c r="AJ36" s="16">
        <f ca="1">(L36-'Airfoil 1'!$Z$23)/ABS(L36-'Airfoil 1'!$Z$23)</f>
        <v>1</v>
      </c>
      <c r="AK36" s="16">
        <f ca="1">(L36-'Airfoil 1'!$Z$24)/ABS(L36-'Airfoil 1'!$Z$24)</f>
        <v>1</v>
      </c>
      <c r="AL36" s="16">
        <f ca="1">(L36-'Airfoil 1'!$Z$25)/ABS(L36-'Airfoil 1'!$Z$25)</f>
        <v>1</v>
      </c>
      <c r="AM36" s="16">
        <f ca="1">(L36-'Airfoil 1'!$Z$26)/ABS(L36-'Airfoil 1'!$Z$26)</f>
        <v>1</v>
      </c>
      <c r="AN36" s="16">
        <f ca="1">(L36-'Airfoil 1'!$Z$27)/ABS(L36-'Airfoil 1'!$Z$27)</f>
        <v>1</v>
      </c>
      <c r="AO36" s="16">
        <f ca="1">(L36-'Airfoil 1'!$Z$28)/ABS(L36-'Airfoil 1'!$Z$28)</f>
        <v>-1</v>
      </c>
      <c r="AP36" s="16">
        <f ca="1">(L36-'Airfoil 1'!$Z$29)/ABS(L36-'Airfoil 1'!$Z$29)</f>
        <v>-1</v>
      </c>
      <c r="AQ36" s="16">
        <f ca="1">(L36-'Airfoil 1'!$Z$30)/ABS(L36-'Airfoil 1'!$Z$30)</f>
        <v>-1</v>
      </c>
      <c r="AR36" s="16">
        <f ca="1">(L36-'Airfoil 1'!$Z$31)/ABS(L36-'Airfoil 1'!$Z$31)</f>
        <v>-1</v>
      </c>
      <c r="AS36" s="16">
        <f ca="1">(L36-'Airfoil 1'!$Z$32)/ABS(L36-'Airfoil 1'!$Z$32)</f>
        <v>-1</v>
      </c>
      <c r="AT36" s="16">
        <f ca="1">(L36-'Airfoil 1'!$Z$33)/ABS(L36-'Airfoil 1'!$Z$33)</f>
        <v>-1</v>
      </c>
      <c r="AU36" s="16">
        <f ca="1">(L36-'Airfoil 1'!$Z$34)/ABS(L36-'Airfoil 1'!$Z$34)</f>
        <v>-1</v>
      </c>
      <c r="AV36" s="16">
        <f ca="1">(L36-'Airfoil 1'!$Z$35)/ABS(L36-'Airfoil 1'!$Z$35)</f>
        <v>-1</v>
      </c>
      <c r="AW36" s="16">
        <f ca="1">(L36-'Airfoil 1'!$Z$36)/ABS(L36-'Airfoil 1'!$Z$36)</f>
        <v>-1</v>
      </c>
      <c r="AX36" s="16">
        <f ca="1">(L36-'Airfoil 1'!$Z$37)/ABS(L36-'Airfoil 1'!$Z$37)</f>
        <v>-1</v>
      </c>
      <c r="AY36" s="16">
        <f ca="1">(L36-'Airfoil 1'!$Z$38)/ABS(L36-'Airfoil 1'!$Z$38)</f>
        <v>-1</v>
      </c>
      <c r="AZ36" s="16">
        <f ca="1">(L36-'Airfoil 1'!$Z$39)/ABS(L36-'Airfoil 1'!$Z$39)</f>
        <v>-1</v>
      </c>
      <c r="BA36" s="16">
        <f ca="1">(L36-'Airfoil 1'!$Z$40)/ABS(L36-'Airfoil 1'!$Z$40)</f>
        <v>-1</v>
      </c>
      <c r="BB36" s="16">
        <f ca="1">(L36-'Airfoil 1'!$Z$41)/ABS(L36-'Airfoil 1'!$Z$41)</f>
        <v>-1</v>
      </c>
      <c r="BC36" s="5">
        <f t="shared" ca="1" si="8"/>
        <v>6</v>
      </c>
      <c r="BD36" s="42">
        <f ca="1">INDEX('Airfoil 1'!$AA$22:$AA$41,BC36,1)+INDEX('Airfoil 1'!$AB$22:$AB$41,BC36,1)*(L36-INDEX('Airfoil 1'!$Z$22:$Z$41,BC36,1))</f>
        <v>2.6139164115262691E-2</v>
      </c>
      <c r="BE36" s="6"/>
      <c r="BF36" s="16">
        <f ca="1">(L36-'Airfoil 1'!$Z$47)/ABS(L36-'Airfoil 1'!$Z$47)</f>
        <v>1</v>
      </c>
      <c r="BG36" s="16">
        <f ca="1">(L36-'Airfoil 1'!$Z$48)/ABS(L36-'Airfoil 1'!$Z$48)</f>
        <v>1</v>
      </c>
      <c r="BH36" s="16">
        <f ca="1">(L36-'Airfoil 1'!$Z$49)/ABS(L36-'Airfoil 1'!$Z$49)</f>
        <v>1</v>
      </c>
      <c r="BI36" s="16">
        <f ca="1">(L36-'Airfoil 1'!$Z$50)/ABS(L36-'Airfoil 1'!$Z$50)</f>
        <v>1</v>
      </c>
      <c r="BJ36" s="16">
        <f ca="1">(L36-'Airfoil 1'!$Z$51)/ABS(L36-'Airfoil 1'!$Z$51)</f>
        <v>-1</v>
      </c>
      <c r="BK36" s="16">
        <f ca="1">(L36-'Airfoil 1'!$Z$52)/ABS(L36-'Airfoil 1'!$Z$52)</f>
        <v>-1</v>
      </c>
      <c r="BL36" s="16">
        <f ca="1">(L36-'Airfoil 1'!$Z$53)/ABS(L36-'Airfoil 1'!$Z$53)</f>
        <v>-1</v>
      </c>
      <c r="BM36" s="16">
        <f ca="1">(L36-'Airfoil 1'!$Z$54)/ABS(L36-'Airfoil 1'!$Z$54)</f>
        <v>-1</v>
      </c>
      <c r="BN36" s="16">
        <f ca="1">(L36-'Airfoil 1'!$Z$55)/ABS(L36-'Airfoil 1'!$Z$55)</f>
        <v>-1</v>
      </c>
      <c r="BO36" s="16">
        <f ca="1">(L36-'Airfoil 1'!$Z$56)/ABS(L36-'Airfoil 1'!$Z$56)</f>
        <v>-1</v>
      </c>
      <c r="BP36" s="16">
        <f ca="1">(L36-'Airfoil 1'!$Z$57)/ABS(L36-'Airfoil 1'!$Z$57)</f>
        <v>-1</v>
      </c>
      <c r="BQ36" s="16">
        <f ca="1">(L36-'Airfoil 1'!$Z$58)/ABS(L36-'Airfoil 1'!$Z$58)</f>
        <v>-1</v>
      </c>
      <c r="BR36" s="16">
        <f ca="1">(L36-'Airfoil 1'!$Z$59)/ABS(L36-'Airfoil 1'!$Z$59)</f>
        <v>-1</v>
      </c>
      <c r="BS36" s="16">
        <f ca="1">(L36-'Airfoil 1'!$Z$60)/ABS(L36-'Airfoil 1'!$Z$60)</f>
        <v>-1</v>
      </c>
      <c r="BT36" s="16">
        <f ca="1">(L36-'Airfoil 1'!$Z$61)/ABS(L36-'Airfoil 1'!$Z$61)</f>
        <v>-1</v>
      </c>
      <c r="BU36" s="16">
        <f ca="1">(L36-'Airfoil 1'!$Z$62)/ABS(L36-'Airfoil 1'!$Z$62)</f>
        <v>-1</v>
      </c>
      <c r="BV36" s="16">
        <f ca="1">(L36-'Airfoil 1'!$Z$63)/ABS(L36-'Airfoil 1'!$Z$63)</f>
        <v>-1</v>
      </c>
      <c r="BW36" s="16">
        <f ca="1">(L36-'Airfoil 1'!$Z$64)/ABS(L36-'Airfoil 1'!$Z$64)</f>
        <v>-1</v>
      </c>
      <c r="BX36" s="16">
        <f ca="1">(L36-'Airfoil 1'!$Z$65)/ABS(L36-'Airfoil 1'!$Z$65)</f>
        <v>-1</v>
      </c>
      <c r="BY36" s="16">
        <f ca="1">(L36-'Airfoil 1'!$Z$66)/ABS(L36-'Airfoil 1'!$Z$66)</f>
        <v>-1</v>
      </c>
      <c r="BZ36" s="5">
        <f t="shared" ca="1" si="9"/>
        <v>4</v>
      </c>
      <c r="CA36" s="42">
        <f ca="1">INDEX('Airfoil 1'!$AA$47:$AA$66,BZ36,1)+INDEX('Airfoil 1'!$AB$47:$AB$66,BZ36,1)*(L36-INDEX('Airfoil 1'!$Z$47:$Z$66,BZ36,1))</f>
        <v>1.7790041232928353E-2</v>
      </c>
      <c r="CC36" s="16">
        <f ca="1">(L36-'Airfoil 1'!$Z$72)/ABS(L36-'Airfoil 1'!$Z$72)</f>
        <v>1</v>
      </c>
      <c r="CD36" s="16">
        <f ca="1">(L36-'Airfoil 1'!$Z$73)/ABS(L36-'Airfoil 1'!$Z$73)</f>
        <v>1</v>
      </c>
      <c r="CE36" s="16">
        <f ca="1">(L36-'Airfoil 1'!$Z$74)/ABS(L36-'Airfoil 1'!$Z$74)</f>
        <v>-1</v>
      </c>
      <c r="CF36" s="16">
        <f ca="1">(L36-'Airfoil 1'!$Z$75)/ABS(L36-'Airfoil 1'!$Z$75)</f>
        <v>-1</v>
      </c>
      <c r="CG36" s="16">
        <f ca="1">(L36-'Airfoil 1'!$Z$76)/ABS(L36-'Airfoil 1'!$Z$76)</f>
        <v>-1</v>
      </c>
      <c r="CH36" s="16">
        <f ca="1">(L36-'Airfoil 1'!$Z$77)/ABS(L36-'Airfoil 1'!$Z$77)</f>
        <v>-1</v>
      </c>
      <c r="CI36" s="16">
        <f ca="1">(L36-'Airfoil 1'!$Z$78)/ABS(L36-'Airfoil 1'!$Z$78)</f>
        <v>-1</v>
      </c>
      <c r="CJ36" s="16">
        <f ca="1">(L36-'Airfoil 1'!$Z$79)/ABS(L36-'Airfoil 1'!$Z$79)</f>
        <v>-1</v>
      </c>
      <c r="CK36" s="16">
        <f ca="1">(L36-'Airfoil 1'!$Z$80)/ABS(L36-'Airfoil 1'!$Z$80)</f>
        <v>-1</v>
      </c>
      <c r="CL36" s="16">
        <f ca="1">(L36-'Airfoil 1'!$Z$81)/ABS(L36-'Airfoil 1'!$Z$81)</f>
        <v>-1</v>
      </c>
      <c r="CM36" s="16">
        <f ca="1">(L36-'Airfoil 1'!$Z$82)/ABS(L36-'Airfoil 1'!$Z$82)</f>
        <v>-1</v>
      </c>
      <c r="CN36" s="16">
        <f ca="1">(L36-'Airfoil 1'!$Z$83)/ABS(L36-'Airfoil 1'!$Z$83)</f>
        <v>-1</v>
      </c>
      <c r="CO36" s="16">
        <f ca="1">(L36-'Airfoil 1'!$Z$84)/ABS(L36-'Airfoil 1'!$Z$84)</f>
        <v>-1</v>
      </c>
      <c r="CP36" s="16">
        <f ca="1">(L36-'Airfoil 1'!$Z$85)/ABS(L36-'Airfoil 1'!$Z$85)</f>
        <v>-1</v>
      </c>
      <c r="CQ36" s="16">
        <f ca="1">(L36-'Airfoil 1'!$Z$86)/ABS(L36-'Airfoil 1'!$Z$86)</f>
        <v>-1</v>
      </c>
      <c r="CR36" s="16">
        <f ca="1">(L36-'Airfoil 1'!$Z$87)/ABS(L36-'Airfoil 1'!$Z$87)</f>
        <v>-1</v>
      </c>
      <c r="CS36" s="16">
        <f ca="1">(L36-'Airfoil 1'!$Z$88)/ABS(L36-'Airfoil 1'!$Z$88)</f>
        <v>-1</v>
      </c>
      <c r="CT36" s="16">
        <f ca="1">(L36-'Airfoil 1'!$Z$89)/ABS(L36-'Airfoil 1'!$Z$89)</f>
        <v>-1</v>
      </c>
      <c r="CU36" s="16">
        <f ca="1">(L36-'Airfoil 1'!$Z$90)/ABS(L36-'Airfoil 1'!$Z$90)</f>
        <v>-1</v>
      </c>
      <c r="CV36" s="16">
        <f ca="1">(L36-'Airfoil 1'!$Z$91)/ABS(L36-'Airfoil 1'!$Z$91)</f>
        <v>-1</v>
      </c>
      <c r="CW36" s="5">
        <f t="shared" ca="1" si="10"/>
        <v>2</v>
      </c>
      <c r="CX36" s="42">
        <f ca="1">INDEX('Airfoil 1'!$AA$72:$AA$91,CW36,1)+INDEX('Airfoil 1'!$AB$72:$AB$91,CW36,1)*(L36-INDEX('Airfoil 1'!$Z$72:$Z$91,CW36,1))</f>
        <v>9.7308260335294688E-3</v>
      </c>
    </row>
    <row r="37" spans="2:102">
      <c r="B37" s="31">
        <f>Main!B37</f>
        <v>0.33333333333333326</v>
      </c>
      <c r="D37" s="1">
        <f>Cruise!F37</f>
        <v>0.65969672852566186</v>
      </c>
      <c r="E37" s="4">
        <f>ISA!$R$10</f>
        <v>1.5987591530356481E-5</v>
      </c>
      <c r="G37" s="20">
        <f ca="1">'Aerodynamics-Speed'!H37</f>
        <v>26.668804211361664</v>
      </c>
      <c r="H37" s="5">
        <f t="shared" ca="1" si="0"/>
        <v>366812.03374757461</v>
      </c>
      <c r="I37" s="16">
        <f ca="1">'Airfoil 2'!$K$14*H37^'Airfoil 2'!$L$13</f>
        <v>1.583923637889938</v>
      </c>
      <c r="J37" s="1">
        <f ca="1">'Airfoil 2'!$K$33*H37^'Airfoil 2'!$L$32</f>
        <v>4.9546888988689171</v>
      </c>
      <c r="K37" s="13">
        <f ca="1">'Airfoil 2'!$K$52*H37^'Airfoil 2'!$L$51</f>
        <v>-9.4592446258195562</v>
      </c>
      <c r="L37" s="16">
        <f ca="1">'Aerodynamics-Speed'!W37</f>
        <v>0.63316611484281349</v>
      </c>
      <c r="M37" s="10">
        <f ca="1">('Airfoil 1'!$B$21+'Airfoil 1'!$B$22*L37+'Airfoil 1'!$B$23*L37^2+'Airfoil 1'!$B$24*L37^3+'Airfoil 1'!$B$25*L37^4+'Airfoil 1'!$B$26*L37^5+'Airfoil 1'!$B$27*L37^6)*0+BD37</f>
        <v>2.631359141367981E-2</v>
      </c>
      <c r="N37" s="42">
        <f ca="1">('Airfoil 1'!$B$29+'Airfoil 1'!$B$30*L37+'Airfoil 1'!$B$31*L37^2+'Airfoil 1'!$B$32*L37^3+'Airfoil 1'!$B$33*L37^4+'Airfoil 1'!$B$34*L37^5+'Airfoil 1'!$B$35*L37^6)*0+CA37</f>
        <v>1.7950722055764777E-2</v>
      </c>
      <c r="O37" s="42">
        <f ca="1">('Airfoil 1'!$B$37+'Airfoil 1'!$B$38*L37+'Airfoil 1'!$B$39*L37^2+'Airfoil 1'!$B$40*L37^3+'Airfoil 1'!$B$41*L37^4+'Airfoil 1'!$B$42*L37^5+'Airfoil 1'!$B$43*L37^6)*0+CX37</f>
        <v>9.9076082988351945E-3</v>
      </c>
      <c r="P37" s="16">
        <f>LOG('Airfoil 1'!$F$10)+LOG('Airfoil 1'!$G$10)+LOG('Airfoil 1'!$H$10)</f>
        <v>15.176091259055681</v>
      </c>
      <c r="Q37" s="16">
        <f t="shared" ca="1" si="1"/>
        <v>-5.3297691224130563</v>
      </c>
      <c r="R37" s="16">
        <f>LOG('Airfoil 1'!$F$10)^2+LOG('Airfoil 1'!$G$10)^2+LOG('Airfoil 1'!$H$10)^2</f>
        <v>76.867141336751558</v>
      </c>
      <c r="S37" s="16">
        <f ca="1">LOG('Airfoil 1'!$F$10)*LOG(M37)+LOG('Airfoil 1'!$G$10)*LOG(N37)+LOG('Airfoil 1'!$H$10)*LOG(O37)</f>
        <v>-27.054738407989213</v>
      </c>
      <c r="T37" s="16">
        <f t="shared" ca="1" si="2"/>
        <v>1355.7841027653039</v>
      </c>
      <c r="U37" s="16">
        <f t="shared" ca="1" si="3"/>
        <v>-0.97036453477354234</v>
      </c>
      <c r="V37" s="42">
        <f ca="1">MAX(IF(Energy!$F$11=1,Energy!$T$13,1)*T37*H37^U37,O37)</f>
        <v>9.9076082988351945E-3</v>
      </c>
      <c r="W37" s="10">
        <f ca="1">'Airfoil 1'!$B$48+'Airfoil 1'!$B$49*L37+'Airfoil 1'!$B$50*L37^2+'Airfoil 1'!$B$51*L37^3+'Airfoil 1'!$B$52*L37^4+'Airfoil 1'!$B$53*L37^5+'Airfoil 1'!$B$54*L37^6</f>
        <v>-0.155</v>
      </c>
      <c r="X37" s="42">
        <f ca="1">'Airfoil 1'!$B$56+'Airfoil 1'!$B$57*L37+'Airfoil 1'!$B$58*L37^2+'Airfoil 1'!$B$59*L37^3+'Airfoil 1'!$B$60*L37^4+'Airfoil 1'!$B$61*L37^5+'Airfoil 1'!$B$62*L37^6</f>
        <v>-0.155</v>
      </c>
      <c r="Y37" s="42">
        <f ca="1">'Airfoil 1'!$B$64+'Airfoil 1'!$B$65*L37+'Airfoil 1'!$B$66*L37^2+'Airfoil 1'!$B$67*L37^3+'Airfoil 1'!$B$681*L37^4+'Airfoil 1'!$B$69*L37^5+'Airfoil 1'!$B$70*L37^6</f>
        <v>-0.155</v>
      </c>
      <c r="Z37" s="16">
        <f>LOG('Airfoil 1'!$F$10)+LOG('Airfoil 1'!$G$10)+LOG('Airfoil 1'!$H$10)</f>
        <v>15.176091259055681</v>
      </c>
      <c r="AA37" s="16">
        <f t="shared" ca="1" si="4"/>
        <v>-2.4290049054891254</v>
      </c>
      <c r="AB37" s="16">
        <f>LOG('Airfoil 1'!$F$10)^2+LOG('Airfoil 1'!$G$10)^2+LOG('Airfoil 1'!$H$10)^2</f>
        <v>76.867141336751558</v>
      </c>
      <c r="AC37" s="16">
        <f ca="1">LOG('Airfoil 1'!$F$10)*LOG(ABS(W37))+LOG('Airfoil 1'!$G$10)*LOG(ABS(X37))+LOG('Airfoil 1'!$H$10)*LOG(ABS(Y37))</f>
        <v>-12.287600038132297</v>
      </c>
      <c r="AD37" s="16">
        <f t="shared" ca="1" si="5"/>
        <v>0.1550000000000121</v>
      </c>
      <c r="AE37" s="16">
        <f t="shared" ca="1" si="6"/>
        <v>-6.6718325633022456E-15</v>
      </c>
      <c r="AF37" s="42">
        <f t="shared" ca="1" si="7"/>
        <v>-0.15499999999999886</v>
      </c>
      <c r="AG37" s="16"/>
      <c r="AH37" s="42"/>
      <c r="AI37" s="16">
        <f ca="1">(L37-'Airfoil 1'!$Z$22)/ABS(L37-'Airfoil 1'!$Z$22)</f>
        <v>1</v>
      </c>
      <c r="AJ37" s="16">
        <f ca="1">(L37-'Airfoil 1'!$Z$23)/ABS(L37-'Airfoil 1'!$Z$23)</f>
        <v>1</v>
      </c>
      <c r="AK37" s="16">
        <f ca="1">(L37-'Airfoil 1'!$Z$24)/ABS(L37-'Airfoil 1'!$Z$24)</f>
        <v>1</v>
      </c>
      <c r="AL37" s="16">
        <f ca="1">(L37-'Airfoil 1'!$Z$25)/ABS(L37-'Airfoil 1'!$Z$25)</f>
        <v>1</v>
      </c>
      <c r="AM37" s="16">
        <f ca="1">(L37-'Airfoil 1'!$Z$26)/ABS(L37-'Airfoil 1'!$Z$26)</f>
        <v>1</v>
      </c>
      <c r="AN37" s="16">
        <f ca="1">(L37-'Airfoil 1'!$Z$27)/ABS(L37-'Airfoil 1'!$Z$27)</f>
        <v>1</v>
      </c>
      <c r="AO37" s="16">
        <f ca="1">(L37-'Airfoil 1'!$Z$28)/ABS(L37-'Airfoil 1'!$Z$28)</f>
        <v>-1</v>
      </c>
      <c r="AP37" s="16">
        <f ca="1">(L37-'Airfoil 1'!$Z$29)/ABS(L37-'Airfoil 1'!$Z$29)</f>
        <v>-1</v>
      </c>
      <c r="AQ37" s="16">
        <f ca="1">(L37-'Airfoil 1'!$Z$30)/ABS(L37-'Airfoil 1'!$Z$30)</f>
        <v>-1</v>
      </c>
      <c r="AR37" s="16">
        <f ca="1">(L37-'Airfoil 1'!$Z$31)/ABS(L37-'Airfoil 1'!$Z$31)</f>
        <v>-1</v>
      </c>
      <c r="AS37" s="16">
        <f ca="1">(L37-'Airfoil 1'!$Z$32)/ABS(L37-'Airfoil 1'!$Z$32)</f>
        <v>-1</v>
      </c>
      <c r="AT37" s="16">
        <f ca="1">(L37-'Airfoil 1'!$Z$33)/ABS(L37-'Airfoil 1'!$Z$33)</f>
        <v>-1</v>
      </c>
      <c r="AU37" s="16">
        <f ca="1">(L37-'Airfoil 1'!$Z$34)/ABS(L37-'Airfoil 1'!$Z$34)</f>
        <v>-1</v>
      </c>
      <c r="AV37" s="16">
        <f ca="1">(L37-'Airfoil 1'!$Z$35)/ABS(L37-'Airfoil 1'!$Z$35)</f>
        <v>-1</v>
      </c>
      <c r="AW37" s="16">
        <f ca="1">(L37-'Airfoil 1'!$Z$36)/ABS(L37-'Airfoil 1'!$Z$36)</f>
        <v>-1</v>
      </c>
      <c r="AX37" s="16">
        <f ca="1">(L37-'Airfoil 1'!$Z$37)/ABS(L37-'Airfoil 1'!$Z$37)</f>
        <v>-1</v>
      </c>
      <c r="AY37" s="16">
        <f ca="1">(L37-'Airfoil 1'!$Z$38)/ABS(L37-'Airfoil 1'!$Z$38)</f>
        <v>-1</v>
      </c>
      <c r="AZ37" s="16">
        <f ca="1">(L37-'Airfoil 1'!$Z$39)/ABS(L37-'Airfoil 1'!$Z$39)</f>
        <v>-1</v>
      </c>
      <c r="BA37" s="16">
        <f ca="1">(L37-'Airfoil 1'!$Z$40)/ABS(L37-'Airfoil 1'!$Z$40)</f>
        <v>-1</v>
      </c>
      <c r="BB37" s="16">
        <f ca="1">(L37-'Airfoil 1'!$Z$41)/ABS(L37-'Airfoil 1'!$Z$41)</f>
        <v>-1</v>
      </c>
      <c r="BC37" s="5">
        <f t="shared" ca="1" si="8"/>
        <v>6</v>
      </c>
      <c r="BD37" s="42">
        <f ca="1">INDEX('Airfoil 1'!$AA$22:$AA$41,BC37,1)+INDEX('Airfoil 1'!$AB$22:$AB$41,BC37,1)*(L37-INDEX('Airfoil 1'!$Z$22:$Z$41,BC37,1))</f>
        <v>2.6313591413784723E-2</v>
      </c>
      <c r="BE37" s="6"/>
      <c r="BF37" s="16">
        <f ca="1">(L37-'Airfoil 1'!$Z$47)/ABS(L37-'Airfoil 1'!$Z$47)</f>
        <v>1</v>
      </c>
      <c r="BG37" s="16">
        <f ca="1">(L37-'Airfoil 1'!$Z$48)/ABS(L37-'Airfoil 1'!$Z$48)</f>
        <v>1</v>
      </c>
      <c r="BH37" s="16">
        <f ca="1">(L37-'Airfoil 1'!$Z$49)/ABS(L37-'Airfoil 1'!$Z$49)</f>
        <v>1</v>
      </c>
      <c r="BI37" s="16">
        <f ca="1">(L37-'Airfoil 1'!$Z$50)/ABS(L37-'Airfoil 1'!$Z$50)</f>
        <v>1</v>
      </c>
      <c r="BJ37" s="16">
        <f ca="1">(L37-'Airfoil 1'!$Z$51)/ABS(L37-'Airfoil 1'!$Z$51)</f>
        <v>-1</v>
      </c>
      <c r="BK37" s="16">
        <f ca="1">(L37-'Airfoil 1'!$Z$52)/ABS(L37-'Airfoil 1'!$Z$52)</f>
        <v>-1</v>
      </c>
      <c r="BL37" s="16">
        <f ca="1">(L37-'Airfoil 1'!$Z$53)/ABS(L37-'Airfoil 1'!$Z$53)</f>
        <v>-1</v>
      </c>
      <c r="BM37" s="16">
        <f ca="1">(L37-'Airfoil 1'!$Z$54)/ABS(L37-'Airfoil 1'!$Z$54)</f>
        <v>-1</v>
      </c>
      <c r="BN37" s="16">
        <f ca="1">(L37-'Airfoil 1'!$Z$55)/ABS(L37-'Airfoil 1'!$Z$55)</f>
        <v>-1</v>
      </c>
      <c r="BO37" s="16">
        <f ca="1">(L37-'Airfoil 1'!$Z$56)/ABS(L37-'Airfoil 1'!$Z$56)</f>
        <v>-1</v>
      </c>
      <c r="BP37" s="16">
        <f ca="1">(L37-'Airfoil 1'!$Z$57)/ABS(L37-'Airfoil 1'!$Z$57)</f>
        <v>-1</v>
      </c>
      <c r="BQ37" s="16">
        <f ca="1">(L37-'Airfoil 1'!$Z$58)/ABS(L37-'Airfoil 1'!$Z$58)</f>
        <v>-1</v>
      </c>
      <c r="BR37" s="16">
        <f ca="1">(L37-'Airfoil 1'!$Z$59)/ABS(L37-'Airfoil 1'!$Z$59)</f>
        <v>-1</v>
      </c>
      <c r="BS37" s="16">
        <f ca="1">(L37-'Airfoil 1'!$Z$60)/ABS(L37-'Airfoil 1'!$Z$60)</f>
        <v>-1</v>
      </c>
      <c r="BT37" s="16">
        <f ca="1">(L37-'Airfoil 1'!$Z$61)/ABS(L37-'Airfoil 1'!$Z$61)</f>
        <v>-1</v>
      </c>
      <c r="BU37" s="16">
        <f ca="1">(L37-'Airfoil 1'!$Z$62)/ABS(L37-'Airfoil 1'!$Z$62)</f>
        <v>-1</v>
      </c>
      <c r="BV37" s="16">
        <f ca="1">(L37-'Airfoil 1'!$Z$63)/ABS(L37-'Airfoil 1'!$Z$63)</f>
        <v>-1</v>
      </c>
      <c r="BW37" s="16">
        <f ca="1">(L37-'Airfoil 1'!$Z$64)/ABS(L37-'Airfoil 1'!$Z$64)</f>
        <v>-1</v>
      </c>
      <c r="BX37" s="16">
        <f ca="1">(L37-'Airfoil 1'!$Z$65)/ABS(L37-'Airfoil 1'!$Z$65)</f>
        <v>-1</v>
      </c>
      <c r="BY37" s="16">
        <f ca="1">(L37-'Airfoil 1'!$Z$66)/ABS(L37-'Airfoil 1'!$Z$66)</f>
        <v>-1</v>
      </c>
      <c r="BZ37" s="5">
        <f t="shared" ca="1" si="9"/>
        <v>4</v>
      </c>
      <c r="CA37" s="42">
        <f ca="1">INDEX('Airfoil 1'!$AA$47:$AA$66,BZ37,1)+INDEX('Airfoil 1'!$AB$47:$AB$66,BZ37,1)*(L37-INDEX('Airfoil 1'!$Z$47:$Z$66,BZ37,1))</f>
        <v>1.7950722055861422E-2</v>
      </c>
      <c r="CC37" s="16">
        <f ca="1">(L37-'Airfoil 1'!$Z$72)/ABS(L37-'Airfoil 1'!$Z$72)</f>
        <v>1</v>
      </c>
      <c r="CD37" s="16">
        <f ca="1">(L37-'Airfoil 1'!$Z$73)/ABS(L37-'Airfoil 1'!$Z$73)</f>
        <v>1</v>
      </c>
      <c r="CE37" s="16">
        <f ca="1">(L37-'Airfoil 1'!$Z$74)/ABS(L37-'Airfoil 1'!$Z$74)</f>
        <v>-1</v>
      </c>
      <c r="CF37" s="16">
        <f ca="1">(L37-'Airfoil 1'!$Z$75)/ABS(L37-'Airfoil 1'!$Z$75)</f>
        <v>-1</v>
      </c>
      <c r="CG37" s="16">
        <f ca="1">(L37-'Airfoil 1'!$Z$76)/ABS(L37-'Airfoil 1'!$Z$76)</f>
        <v>-1</v>
      </c>
      <c r="CH37" s="16">
        <f ca="1">(L37-'Airfoil 1'!$Z$77)/ABS(L37-'Airfoil 1'!$Z$77)</f>
        <v>-1</v>
      </c>
      <c r="CI37" s="16">
        <f ca="1">(L37-'Airfoil 1'!$Z$78)/ABS(L37-'Airfoil 1'!$Z$78)</f>
        <v>-1</v>
      </c>
      <c r="CJ37" s="16">
        <f ca="1">(L37-'Airfoil 1'!$Z$79)/ABS(L37-'Airfoil 1'!$Z$79)</f>
        <v>-1</v>
      </c>
      <c r="CK37" s="16">
        <f ca="1">(L37-'Airfoil 1'!$Z$80)/ABS(L37-'Airfoil 1'!$Z$80)</f>
        <v>-1</v>
      </c>
      <c r="CL37" s="16">
        <f ca="1">(L37-'Airfoil 1'!$Z$81)/ABS(L37-'Airfoil 1'!$Z$81)</f>
        <v>-1</v>
      </c>
      <c r="CM37" s="16">
        <f ca="1">(L37-'Airfoil 1'!$Z$82)/ABS(L37-'Airfoil 1'!$Z$82)</f>
        <v>-1</v>
      </c>
      <c r="CN37" s="16">
        <f ca="1">(L37-'Airfoil 1'!$Z$83)/ABS(L37-'Airfoil 1'!$Z$83)</f>
        <v>-1</v>
      </c>
      <c r="CO37" s="16">
        <f ca="1">(L37-'Airfoil 1'!$Z$84)/ABS(L37-'Airfoil 1'!$Z$84)</f>
        <v>-1</v>
      </c>
      <c r="CP37" s="16">
        <f ca="1">(L37-'Airfoil 1'!$Z$85)/ABS(L37-'Airfoil 1'!$Z$85)</f>
        <v>-1</v>
      </c>
      <c r="CQ37" s="16">
        <f ca="1">(L37-'Airfoil 1'!$Z$86)/ABS(L37-'Airfoil 1'!$Z$86)</f>
        <v>-1</v>
      </c>
      <c r="CR37" s="16">
        <f ca="1">(L37-'Airfoil 1'!$Z$87)/ABS(L37-'Airfoil 1'!$Z$87)</f>
        <v>-1</v>
      </c>
      <c r="CS37" s="16">
        <f ca="1">(L37-'Airfoil 1'!$Z$88)/ABS(L37-'Airfoil 1'!$Z$88)</f>
        <v>-1</v>
      </c>
      <c r="CT37" s="16">
        <f ca="1">(L37-'Airfoil 1'!$Z$89)/ABS(L37-'Airfoil 1'!$Z$89)</f>
        <v>-1</v>
      </c>
      <c r="CU37" s="16">
        <f ca="1">(L37-'Airfoil 1'!$Z$90)/ABS(L37-'Airfoil 1'!$Z$90)</f>
        <v>-1</v>
      </c>
      <c r="CV37" s="16">
        <f ca="1">(L37-'Airfoil 1'!$Z$91)/ABS(L37-'Airfoil 1'!$Z$91)</f>
        <v>-1</v>
      </c>
      <c r="CW37" s="5">
        <f t="shared" ca="1" si="10"/>
        <v>2</v>
      </c>
      <c r="CX37" s="42">
        <f ca="1">INDEX('Airfoil 1'!$AA$72:$AA$91,CW37,1)+INDEX('Airfoil 1'!$AB$72:$AB$91,CW37,1)*(L37-INDEX('Airfoil 1'!$Z$72:$Z$91,CW37,1))</f>
        <v>9.9076082989415226E-3</v>
      </c>
    </row>
    <row r="38" spans="2:102">
      <c r="B38" s="31">
        <f>Main!B38</f>
        <v>0.33333333333333326</v>
      </c>
      <c r="D38" s="1">
        <f>Cruise!F38</f>
        <v>0.65969672852566186</v>
      </c>
      <c r="E38" s="4">
        <f>ISA!$R$10</f>
        <v>1.5987591530356481E-5</v>
      </c>
      <c r="G38" s="20">
        <f ca="1">'Aerodynamics-Speed'!H38</f>
        <v>26.651513055261361</v>
      </c>
      <c r="H38" s="5">
        <f t="shared" ca="1" si="0"/>
        <v>366574.20515635883</v>
      </c>
      <c r="I38" s="16">
        <f ca="1">'Airfoil 2'!$K$14*H38^'Airfoil 2'!$L$13</f>
        <v>1.5839093571451255</v>
      </c>
      <c r="J38" s="1">
        <f ca="1">'Airfoil 2'!$K$33*H38^'Airfoil 2'!$L$32</f>
        <v>4.9557698598634197</v>
      </c>
      <c r="K38" s="13">
        <f ca="1">'Airfoil 2'!$K$52*H38^'Airfoil 2'!$L$51</f>
        <v>-9.4551427015436875</v>
      </c>
      <c r="L38" s="16">
        <f ca="1">'Aerodynamics-Speed'!W38</f>
        <v>0.61762335718754735</v>
      </c>
      <c r="M38" s="10">
        <f ca="1">('Airfoil 1'!$B$21+'Airfoil 1'!$B$22*L38+'Airfoil 1'!$B$23*L38^2+'Airfoil 1'!$B$24*L38^3+'Airfoil 1'!$B$25*L38^4+'Airfoil 1'!$B$26*L38^5+'Airfoil 1'!$B$27*L38^6)*0+BD38</f>
        <v>2.6469733189324839E-2</v>
      </c>
      <c r="N38" s="42">
        <f ca="1">('Airfoil 1'!$B$29+'Airfoil 1'!$B$30*L38+'Airfoil 1'!$B$31*L38^2+'Airfoil 1'!$B$32*L38^3+'Airfoil 1'!$B$33*L38^4+'Airfoil 1'!$B$34*L38^5+'Airfoil 1'!$B$35*L38^6)*0+CA38</f>
        <v>1.8094558423222509E-2</v>
      </c>
      <c r="O38" s="42">
        <f ca="1">('Airfoil 1'!$B$37+'Airfoil 1'!$B$38*L38+'Airfoil 1'!$B$39*L38^2+'Airfoil 1'!$B$40*L38^3+'Airfoil 1'!$B$41*L38^4+'Airfoil 1'!$B$42*L38^5+'Airfoil 1'!$B$43*L38^6)*0+CX38</f>
        <v>1.006585816601698E-2</v>
      </c>
      <c r="P38" s="16">
        <f>LOG('Airfoil 1'!$F$10)+LOG('Airfoil 1'!$G$10)+LOG('Airfoil 1'!$H$10)</f>
        <v>15.176091259055681</v>
      </c>
      <c r="Q38" s="16">
        <f t="shared" ca="1" si="1"/>
        <v>-5.3168516405423167</v>
      </c>
      <c r="R38" s="16">
        <f>LOG('Airfoil 1'!$F$10)^2+LOG('Airfoil 1'!$G$10)^2+LOG('Airfoil 1'!$H$10)^2</f>
        <v>76.867141336751558</v>
      </c>
      <c r="S38" s="16">
        <f ca="1">LOG('Airfoil 1'!$F$10)*LOG(M38)+LOG('Airfoil 1'!$G$10)*LOG(N38)+LOG('Airfoil 1'!$H$10)*LOG(O38)</f>
        <v>-26.98840033890513</v>
      </c>
      <c r="T38" s="16">
        <f t="shared" ca="1" si="2"/>
        <v>1213.7839685232927</v>
      </c>
      <c r="U38" s="16">
        <f t="shared" ca="1" si="3"/>
        <v>-0.96001503833448998</v>
      </c>
      <c r="V38" s="42">
        <f ca="1">MAX(IF(Energy!$F$11=1,Energy!$T$13,1)*T38*H38^U38,O38)</f>
        <v>1.006585816601698E-2</v>
      </c>
      <c r="W38" s="10">
        <f ca="1">'Airfoil 1'!$B$48+'Airfoil 1'!$B$49*L38+'Airfoil 1'!$B$50*L38^2+'Airfoil 1'!$B$51*L38^3+'Airfoil 1'!$B$52*L38^4+'Airfoil 1'!$B$53*L38^5+'Airfoil 1'!$B$54*L38^6</f>
        <v>-0.155</v>
      </c>
      <c r="X38" s="42">
        <f ca="1">'Airfoil 1'!$B$56+'Airfoil 1'!$B$57*L38+'Airfoil 1'!$B$58*L38^2+'Airfoil 1'!$B$59*L38^3+'Airfoil 1'!$B$60*L38^4+'Airfoil 1'!$B$61*L38^5+'Airfoil 1'!$B$62*L38^6</f>
        <v>-0.155</v>
      </c>
      <c r="Y38" s="42">
        <f ca="1">'Airfoil 1'!$B$64+'Airfoil 1'!$B$65*L38+'Airfoil 1'!$B$66*L38^2+'Airfoil 1'!$B$67*L38^3+'Airfoil 1'!$B$681*L38^4+'Airfoil 1'!$B$69*L38^5+'Airfoil 1'!$B$70*L38^6</f>
        <v>-0.155</v>
      </c>
      <c r="Z38" s="16">
        <f>LOG('Airfoil 1'!$F$10)+LOG('Airfoil 1'!$G$10)+LOG('Airfoil 1'!$H$10)</f>
        <v>15.176091259055681</v>
      </c>
      <c r="AA38" s="16">
        <f t="shared" ca="1" si="4"/>
        <v>-2.4290049054891254</v>
      </c>
      <c r="AB38" s="16">
        <f>LOG('Airfoil 1'!$F$10)^2+LOG('Airfoil 1'!$G$10)^2+LOG('Airfoil 1'!$H$10)^2</f>
        <v>76.867141336751558</v>
      </c>
      <c r="AC38" s="16">
        <f ca="1">LOG('Airfoil 1'!$F$10)*LOG(ABS(W38))+LOG('Airfoil 1'!$G$10)*LOG(ABS(X38))+LOG('Airfoil 1'!$H$10)*LOG(ABS(Y38))</f>
        <v>-12.287600038132297</v>
      </c>
      <c r="AD38" s="16">
        <f t="shared" ca="1" si="5"/>
        <v>0.1550000000000121</v>
      </c>
      <c r="AE38" s="16">
        <f t="shared" ca="1" si="6"/>
        <v>-6.6718325633022456E-15</v>
      </c>
      <c r="AF38" s="42">
        <f t="shared" ca="1" si="7"/>
        <v>-0.15499999999999886</v>
      </c>
      <c r="AG38" s="16"/>
      <c r="AH38" s="42"/>
      <c r="AI38" s="16">
        <f ca="1">(L38-'Airfoil 1'!$Z$22)/ABS(L38-'Airfoil 1'!$Z$22)</f>
        <v>1</v>
      </c>
      <c r="AJ38" s="16">
        <f ca="1">(L38-'Airfoil 1'!$Z$23)/ABS(L38-'Airfoil 1'!$Z$23)</f>
        <v>1</v>
      </c>
      <c r="AK38" s="16">
        <f ca="1">(L38-'Airfoil 1'!$Z$24)/ABS(L38-'Airfoil 1'!$Z$24)</f>
        <v>1</v>
      </c>
      <c r="AL38" s="16">
        <f ca="1">(L38-'Airfoil 1'!$Z$25)/ABS(L38-'Airfoil 1'!$Z$25)</f>
        <v>1</v>
      </c>
      <c r="AM38" s="16">
        <f ca="1">(L38-'Airfoil 1'!$Z$26)/ABS(L38-'Airfoil 1'!$Z$26)</f>
        <v>1</v>
      </c>
      <c r="AN38" s="16">
        <f ca="1">(L38-'Airfoil 1'!$Z$27)/ABS(L38-'Airfoil 1'!$Z$27)</f>
        <v>1</v>
      </c>
      <c r="AO38" s="16">
        <f ca="1">(L38-'Airfoil 1'!$Z$28)/ABS(L38-'Airfoil 1'!$Z$28)</f>
        <v>-1</v>
      </c>
      <c r="AP38" s="16">
        <f ca="1">(L38-'Airfoil 1'!$Z$29)/ABS(L38-'Airfoil 1'!$Z$29)</f>
        <v>-1</v>
      </c>
      <c r="AQ38" s="16">
        <f ca="1">(L38-'Airfoil 1'!$Z$30)/ABS(L38-'Airfoil 1'!$Z$30)</f>
        <v>-1</v>
      </c>
      <c r="AR38" s="16">
        <f ca="1">(L38-'Airfoil 1'!$Z$31)/ABS(L38-'Airfoil 1'!$Z$31)</f>
        <v>-1</v>
      </c>
      <c r="AS38" s="16">
        <f ca="1">(L38-'Airfoil 1'!$Z$32)/ABS(L38-'Airfoil 1'!$Z$32)</f>
        <v>-1</v>
      </c>
      <c r="AT38" s="16">
        <f ca="1">(L38-'Airfoil 1'!$Z$33)/ABS(L38-'Airfoil 1'!$Z$33)</f>
        <v>-1</v>
      </c>
      <c r="AU38" s="16">
        <f ca="1">(L38-'Airfoil 1'!$Z$34)/ABS(L38-'Airfoil 1'!$Z$34)</f>
        <v>-1</v>
      </c>
      <c r="AV38" s="16">
        <f ca="1">(L38-'Airfoil 1'!$Z$35)/ABS(L38-'Airfoil 1'!$Z$35)</f>
        <v>-1</v>
      </c>
      <c r="AW38" s="16">
        <f ca="1">(L38-'Airfoil 1'!$Z$36)/ABS(L38-'Airfoil 1'!$Z$36)</f>
        <v>-1</v>
      </c>
      <c r="AX38" s="16">
        <f ca="1">(L38-'Airfoil 1'!$Z$37)/ABS(L38-'Airfoil 1'!$Z$37)</f>
        <v>-1</v>
      </c>
      <c r="AY38" s="16">
        <f ca="1">(L38-'Airfoil 1'!$Z$38)/ABS(L38-'Airfoil 1'!$Z$38)</f>
        <v>-1</v>
      </c>
      <c r="AZ38" s="16">
        <f ca="1">(L38-'Airfoil 1'!$Z$39)/ABS(L38-'Airfoil 1'!$Z$39)</f>
        <v>-1</v>
      </c>
      <c r="BA38" s="16">
        <f ca="1">(L38-'Airfoil 1'!$Z$40)/ABS(L38-'Airfoil 1'!$Z$40)</f>
        <v>-1</v>
      </c>
      <c r="BB38" s="16">
        <f ca="1">(L38-'Airfoil 1'!$Z$41)/ABS(L38-'Airfoil 1'!$Z$41)</f>
        <v>-1</v>
      </c>
      <c r="BC38" s="5">
        <f t="shared" ca="1" si="8"/>
        <v>6</v>
      </c>
      <c r="BD38" s="42">
        <f ca="1">INDEX('Airfoil 1'!$AA$22:$AA$41,BC38,1)+INDEX('Airfoil 1'!$AB$22:$AB$41,BC38,1)*(L38-INDEX('Airfoil 1'!$Z$22:$Z$41,BC38,1))</f>
        <v>2.6469733189425505E-2</v>
      </c>
      <c r="BE38" s="6"/>
      <c r="BF38" s="16">
        <f ca="1">(L38-'Airfoil 1'!$Z$47)/ABS(L38-'Airfoil 1'!$Z$47)</f>
        <v>1</v>
      </c>
      <c r="BG38" s="16">
        <f ca="1">(L38-'Airfoil 1'!$Z$48)/ABS(L38-'Airfoil 1'!$Z$48)</f>
        <v>1</v>
      </c>
      <c r="BH38" s="16">
        <f ca="1">(L38-'Airfoil 1'!$Z$49)/ABS(L38-'Airfoil 1'!$Z$49)</f>
        <v>1</v>
      </c>
      <c r="BI38" s="16">
        <f ca="1">(L38-'Airfoil 1'!$Z$50)/ABS(L38-'Airfoil 1'!$Z$50)</f>
        <v>1</v>
      </c>
      <c r="BJ38" s="16">
        <f ca="1">(L38-'Airfoil 1'!$Z$51)/ABS(L38-'Airfoil 1'!$Z$51)</f>
        <v>-1</v>
      </c>
      <c r="BK38" s="16">
        <f ca="1">(L38-'Airfoil 1'!$Z$52)/ABS(L38-'Airfoil 1'!$Z$52)</f>
        <v>-1</v>
      </c>
      <c r="BL38" s="16">
        <f ca="1">(L38-'Airfoil 1'!$Z$53)/ABS(L38-'Airfoil 1'!$Z$53)</f>
        <v>-1</v>
      </c>
      <c r="BM38" s="16">
        <f ca="1">(L38-'Airfoil 1'!$Z$54)/ABS(L38-'Airfoil 1'!$Z$54)</f>
        <v>-1</v>
      </c>
      <c r="BN38" s="16">
        <f ca="1">(L38-'Airfoil 1'!$Z$55)/ABS(L38-'Airfoil 1'!$Z$55)</f>
        <v>-1</v>
      </c>
      <c r="BO38" s="16">
        <f ca="1">(L38-'Airfoil 1'!$Z$56)/ABS(L38-'Airfoil 1'!$Z$56)</f>
        <v>-1</v>
      </c>
      <c r="BP38" s="16">
        <f ca="1">(L38-'Airfoil 1'!$Z$57)/ABS(L38-'Airfoil 1'!$Z$57)</f>
        <v>-1</v>
      </c>
      <c r="BQ38" s="16">
        <f ca="1">(L38-'Airfoil 1'!$Z$58)/ABS(L38-'Airfoil 1'!$Z$58)</f>
        <v>-1</v>
      </c>
      <c r="BR38" s="16">
        <f ca="1">(L38-'Airfoil 1'!$Z$59)/ABS(L38-'Airfoil 1'!$Z$59)</f>
        <v>-1</v>
      </c>
      <c r="BS38" s="16">
        <f ca="1">(L38-'Airfoil 1'!$Z$60)/ABS(L38-'Airfoil 1'!$Z$60)</f>
        <v>-1</v>
      </c>
      <c r="BT38" s="16">
        <f ca="1">(L38-'Airfoil 1'!$Z$61)/ABS(L38-'Airfoil 1'!$Z$61)</f>
        <v>-1</v>
      </c>
      <c r="BU38" s="16">
        <f ca="1">(L38-'Airfoil 1'!$Z$62)/ABS(L38-'Airfoil 1'!$Z$62)</f>
        <v>-1</v>
      </c>
      <c r="BV38" s="16">
        <f ca="1">(L38-'Airfoil 1'!$Z$63)/ABS(L38-'Airfoil 1'!$Z$63)</f>
        <v>-1</v>
      </c>
      <c r="BW38" s="16">
        <f ca="1">(L38-'Airfoil 1'!$Z$64)/ABS(L38-'Airfoil 1'!$Z$64)</f>
        <v>-1</v>
      </c>
      <c r="BX38" s="16">
        <f ca="1">(L38-'Airfoil 1'!$Z$65)/ABS(L38-'Airfoil 1'!$Z$65)</f>
        <v>-1</v>
      </c>
      <c r="BY38" s="16">
        <f ca="1">(L38-'Airfoil 1'!$Z$66)/ABS(L38-'Airfoil 1'!$Z$66)</f>
        <v>-1</v>
      </c>
      <c r="BZ38" s="5">
        <f t="shared" ca="1" si="9"/>
        <v>4</v>
      </c>
      <c r="CA38" s="42">
        <f ca="1">INDEX('Airfoil 1'!$AA$47:$AA$66,BZ38,1)+INDEX('Airfoil 1'!$AB$47:$AB$66,BZ38,1)*(L38-INDEX('Airfoil 1'!$Z$47:$Z$66,BZ38,1))</f>
        <v>1.8094558423315241E-2</v>
      </c>
      <c r="CC38" s="16">
        <f ca="1">(L38-'Airfoil 1'!$Z$72)/ABS(L38-'Airfoil 1'!$Z$72)</f>
        <v>1</v>
      </c>
      <c r="CD38" s="16">
        <f ca="1">(L38-'Airfoil 1'!$Z$73)/ABS(L38-'Airfoil 1'!$Z$73)</f>
        <v>1</v>
      </c>
      <c r="CE38" s="16">
        <f ca="1">(L38-'Airfoil 1'!$Z$74)/ABS(L38-'Airfoil 1'!$Z$74)</f>
        <v>-1</v>
      </c>
      <c r="CF38" s="16">
        <f ca="1">(L38-'Airfoil 1'!$Z$75)/ABS(L38-'Airfoil 1'!$Z$75)</f>
        <v>-1</v>
      </c>
      <c r="CG38" s="16">
        <f ca="1">(L38-'Airfoil 1'!$Z$76)/ABS(L38-'Airfoil 1'!$Z$76)</f>
        <v>-1</v>
      </c>
      <c r="CH38" s="16">
        <f ca="1">(L38-'Airfoil 1'!$Z$77)/ABS(L38-'Airfoil 1'!$Z$77)</f>
        <v>-1</v>
      </c>
      <c r="CI38" s="16">
        <f ca="1">(L38-'Airfoil 1'!$Z$78)/ABS(L38-'Airfoil 1'!$Z$78)</f>
        <v>-1</v>
      </c>
      <c r="CJ38" s="16">
        <f ca="1">(L38-'Airfoil 1'!$Z$79)/ABS(L38-'Airfoil 1'!$Z$79)</f>
        <v>-1</v>
      </c>
      <c r="CK38" s="16">
        <f ca="1">(L38-'Airfoil 1'!$Z$80)/ABS(L38-'Airfoil 1'!$Z$80)</f>
        <v>-1</v>
      </c>
      <c r="CL38" s="16">
        <f ca="1">(L38-'Airfoil 1'!$Z$81)/ABS(L38-'Airfoil 1'!$Z$81)</f>
        <v>-1</v>
      </c>
      <c r="CM38" s="16">
        <f ca="1">(L38-'Airfoil 1'!$Z$82)/ABS(L38-'Airfoil 1'!$Z$82)</f>
        <v>-1</v>
      </c>
      <c r="CN38" s="16">
        <f ca="1">(L38-'Airfoil 1'!$Z$83)/ABS(L38-'Airfoil 1'!$Z$83)</f>
        <v>-1</v>
      </c>
      <c r="CO38" s="16">
        <f ca="1">(L38-'Airfoil 1'!$Z$84)/ABS(L38-'Airfoil 1'!$Z$84)</f>
        <v>-1</v>
      </c>
      <c r="CP38" s="16">
        <f ca="1">(L38-'Airfoil 1'!$Z$85)/ABS(L38-'Airfoil 1'!$Z$85)</f>
        <v>-1</v>
      </c>
      <c r="CQ38" s="16">
        <f ca="1">(L38-'Airfoil 1'!$Z$86)/ABS(L38-'Airfoil 1'!$Z$86)</f>
        <v>-1</v>
      </c>
      <c r="CR38" s="16">
        <f ca="1">(L38-'Airfoil 1'!$Z$87)/ABS(L38-'Airfoil 1'!$Z$87)</f>
        <v>-1</v>
      </c>
      <c r="CS38" s="16">
        <f ca="1">(L38-'Airfoil 1'!$Z$88)/ABS(L38-'Airfoil 1'!$Z$88)</f>
        <v>-1</v>
      </c>
      <c r="CT38" s="16">
        <f ca="1">(L38-'Airfoil 1'!$Z$89)/ABS(L38-'Airfoil 1'!$Z$89)</f>
        <v>-1</v>
      </c>
      <c r="CU38" s="16">
        <f ca="1">(L38-'Airfoil 1'!$Z$90)/ABS(L38-'Airfoil 1'!$Z$90)</f>
        <v>-1</v>
      </c>
      <c r="CV38" s="16">
        <f ca="1">(L38-'Airfoil 1'!$Z$91)/ABS(L38-'Airfoil 1'!$Z$91)</f>
        <v>-1</v>
      </c>
      <c r="CW38" s="5">
        <f t="shared" ca="1" si="10"/>
        <v>2</v>
      </c>
      <c r="CX38" s="42">
        <f ca="1">INDEX('Airfoil 1'!$AA$72:$AA$91,CW38,1)+INDEX('Airfoil 1'!$AB$72:$AB$91,CW38,1)*(L38-INDEX('Airfoil 1'!$Z$72:$Z$91,CW38,1))</f>
        <v>1.0065858166119006E-2</v>
      </c>
    </row>
    <row r="39" spans="2:102">
      <c r="B39" s="31">
        <f>Main!B39</f>
        <v>0.33333333333333326</v>
      </c>
      <c r="D39" s="1">
        <f>Cruise!F39</f>
        <v>0.65969672852566186</v>
      </c>
      <c r="E39" s="4">
        <f>ISA!$R$10</f>
        <v>1.5987591530356481E-5</v>
      </c>
      <c r="G39" s="20">
        <f ca="1">'Aerodynamics-Speed'!H39</f>
        <v>26.620857504710564</v>
      </c>
      <c r="H39" s="5">
        <f t="shared" ca="1" si="0"/>
        <v>366152.55802309891</v>
      </c>
      <c r="I39" s="16">
        <f ca="1">'Airfoil 2'!$K$14*H39^'Airfoil 2'!$L$13</f>
        <v>1.5838840162909307</v>
      </c>
      <c r="J39" s="1">
        <f ca="1">'Airfoil 2'!$K$33*H39^'Airfoil 2'!$L$32</f>
        <v>4.9576886049271982</v>
      </c>
      <c r="K39" s="13">
        <f ca="1">'Airfoil 2'!$K$52*H39^'Airfoil 2'!$L$51</f>
        <v>-9.4478682181885905</v>
      </c>
      <c r="L39" s="16">
        <f ca="1">'Aerodynamics-Speed'!W39</f>
        <v>0.60361568982999714</v>
      </c>
      <c r="M39" s="10">
        <f ca="1">('Airfoil 1'!$B$21+'Airfoil 1'!$B$22*L39+'Airfoil 1'!$B$23*L39^2+'Airfoil 1'!$B$24*L39^3+'Airfoil 1'!$B$25*L39^4+'Airfoil 1'!$B$26*L39^5+'Airfoil 1'!$B$27*L39^6)*0+BD39</f>
        <v>2.6526164362836356E-2</v>
      </c>
      <c r="N39" s="42">
        <f ca="1">('Airfoil 1'!$B$29+'Airfoil 1'!$B$30*L39+'Airfoil 1'!$B$31*L39^2+'Airfoil 1'!$B$32*L39^3+'Airfoil 1'!$B$33*L39^4+'Airfoil 1'!$B$34*L39^5+'Airfoil 1'!$B$35*L39^6)*0+CA39</f>
        <v>1.8224188700805739E-2</v>
      </c>
      <c r="O39" s="42">
        <f ca="1">('Airfoil 1'!$B$37+'Airfoil 1'!$B$38*L39+'Airfoil 1'!$B$39*L39^2+'Airfoil 1'!$B$40*L39^3+'Airfoil 1'!$B$41*L39^4+'Airfoil 1'!$B$42*L39^5+'Airfoil 1'!$B$43*L39^6)*0+CX39</f>
        <v>1.0208478384900865E-2</v>
      </c>
      <c r="P39" s="16">
        <f>LOG('Airfoil 1'!$F$10)+LOG('Airfoil 1'!$G$10)+LOG('Airfoil 1'!$H$10)</f>
        <v>15.176091259055681</v>
      </c>
      <c r="Q39" s="16">
        <f t="shared" ca="1" si="1"/>
        <v>-5.3067163265228432</v>
      </c>
      <c r="R39" s="16">
        <f>LOG('Airfoil 1'!$F$10)^2+LOG('Airfoil 1'!$G$10)^2+LOG('Airfoil 1'!$H$10)^2</f>
        <v>76.867141336751558</v>
      </c>
      <c r="S39" s="16">
        <f ca="1">LOG('Airfoil 1'!$F$10)*LOG(M39)+LOG('Airfoil 1'!$G$10)*LOG(N39)+LOG('Airfoil 1'!$H$10)*LOG(O39)</f>
        <v>-26.935999968156207</v>
      </c>
      <c r="T39" s="16">
        <f t="shared" ca="1" si="2"/>
        <v>1066.5146600098396</v>
      </c>
      <c r="U39" s="16">
        <f t="shared" ca="1" si="3"/>
        <v>-0.94824263833309652</v>
      </c>
      <c r="V39" s="42">
        <f ca="1">MAX(IF(Energy!$F$11=1,Energy!$T$13,1)*T39*H39^U39,O39)</f>
        <v>1.0208478384900865E-2</v>
      </c>
      <c r="W39" s="10">
        <f ca="1">'Airfoil 1'!$B$48+'Airfoil 1'!$B$49*L39+'Airfoil 1'!$B$50*L39^2+'Airfoil 1'!$B$51*L39^3+'Airfoil 1'!$B$52*L39^4+'Airfoil 1'!$B$53*L39^5+'Airfoil 1'!$B$54*L39^6</f>
        <v>-0.155</v>
      </c>
      <c r="X39" s="42">
        <f ca="1">'Airfoil 1'!$B$56+'Airfoil 1'!$B$57*L39+'Airfoil 1'!$B$58*L39^2+'Airfoil 1'!$B$59*L39^3+'Airfoil 1'!$B$60*L39^4+'Airfoil 1'!$B$61*L39^5+'Airfoil 1'!$B$62*L39^6</f>
        <v>-0.155</v>
      </c>
      <c r="Y39" s="42">
        <f ca="1">'Airfoil 1'!$B$64+'Airfoil 1'!$B$65*L39+'Airfoil 1'!$B$66*L39^2+'Airfoil 1'!$B$67*L39^3+'Airfoil 1'!$B$681*L39^4+'Airfoil 1'!$B$69*L39^5+'Airfoil 1'!$B$70*L39^6</f>
        <v>-0.155</v>
      </c>
      <c r="Z39" s="16">
        <f>LOG('Airfoil 1'!$F$10)+LOG('Airfoil 1'!$G$10)+LOG('Airfoil 1'!$H$10)</f>
        <v>15.176091259055681</v>
      </c>
      <c r="AA39" s="16">
        <f t="shared" ca="1" si="4"/>
        <v>-2.4290049054891254</v>
      </c>
      <c r="AB39" s="16">
        <f>LOG('Airfoil 1'!$F$10)^2+LOG('Airfoil 1'!$G$10)^2+LOG('Airfoil 1'!$H$10)^2</f>
        <v>76.867141336751558</v>
      </c>
      <c r="AC39" s="16">
        <f ca="1">LOG('Airfoil 1'!$F$10)*LOG(ABS(W39))+LOG('Airfoil 1'!$G$10)*LOG(ABS(X39))+LOG('Airfoil 1'!$H$10)*LOG(ABS(Y39))</f>
        <v>-12.287600038132297</v>
      </c>
      <c r="AD39" s="16">
        <f t="shared" ca="1" si="5"/>
        <v>0.1550000000000121</v>
      </c>
      <c r="AE39" s="16">
        <f t="shared" ca="1" si="6"/>
        <v>-6.6718325633022456E-15</v>
      </c>
      <c r="AF39" s="42">
        <f t="shared" ca="1" si="7"/>
        <v>-0.15499999999999886</v>
      </c>
      <c r="AG39" s="16"/>
      <c r="AH39" s="42"/>
      <c r="AI39" s="16">
        <f ca="1">(L39-'Airfoil 1'!$Z$22)/ABS(L39-'Airfoil 1'!$Z$22)</f>
        <v>1</v>
      </c>
      <c r="AJ39" s="16">
        <f ca="1">(L39-'Airfoil 1'!$Z$23)/ABS(L39-'Airfoil 1'!$Z$23)</f>
        <v>1</v>
      </c>
      <c r="AK39" s="16">
        <f ca="1">(L39-'Airfoil 1'!$Z$24)/ABS(L39-'Airfoil 1'!$Z$24)</f>
        <v>1</v>
      </c>
      <c r="AL39" s="16">
        <f ca="1">(L39-'Airfoil 1'!$Z$25)/ABS(L39-'Airfoil 1'!$Z$25)</f>
        <v>1</v>
      </c>
      <c r="AM39" s="16">
        <f ca="1">(L39-'Airfoil 1'!$Z$26)/ABS(L39-'Airfoil 1'!$Z$26)</f>
        <v>1</v>
      </c>
      <c r="AN39" s="16">
        <f ca="1">(L39-'Airfoil 1'!$Z$27)/ABS(L39-'Airfoil 1'!$Z$27)</f>
        <v>-1</v>
      </c>
      <c r="AO39" s="16">
        <f ca="1">(L39-'Airfoil 1'!$Z$28)/ABS(L39-'Airfoil 1'!$Z$28)</f>
        <v>-1</v>
      </c>
      <c r="AP39" s="16">
        <f ca="1">(L39-'Airfoil 1'!$Z$29)/ABS(L39-'Airfoil 1'!$Z$29)</f>
        <v>-1</v>
      </c>
      <c r="AQ39" s="16">
        <f ca="1">(L39-'Airfoil 1'!$Z$30)/ABS(L39-'Airfoil 1'!$Z$30)</f>
        <v>-1</v>
      </c>
      <c r="AR39" s="16">
        <f ca="1">(L39-'Airfoil 1'!$Z$31)/ABS(L39-'Airfoil 1'!$Z$31)</f>
        <v>-1</v>
      </c>
      <c r="AS39" s="16">
        <f ca="1">(L39-'Airfoil 1'!$Z$32)/ABS(L39-'Airfoil 1'!$Z$32)</f>
        <v>-1</v>
      </c>
      <c r="AT39" s="16">
        <f ca="1">(L39-'Airfoil 1'!$Z$33)/ABS(L39-'Airfoil 1'!$Z$33)</f>
        <v>-1</v>
      </c>
      <c r="AU39" s="16">
        <f ca="1">(L39-'Airfoil 1'!$Z$34)/ABS(L39-'Airfoil 1'!$Z$34)</f>
        <v>-1</v>
      </c>
      <c r="AV39" s="16">
        <f ca="1">(L39-'Airfoil 1'!$Z$35)/ABS(L39-'Airfoil 1'!$Z$35)</f>
        <v>-1</v>
      </c>
      <c r="AW39" s="16">
        <f ca="1">(L39-'Airfoil 1'!$Z$36)/ABS(L39-'Airfoil 1'!$Z$36)</f>
        <v>-1</v>
      </c>
      <c r="AX39" s="16">
        <f ca="1">(L39-'Airfoil 1'!$Z$37)/ABS(L39-'Airfoil 1'!$Z$37)</f>
        <v>-1</v>
      </c>
      <c r="AY39" s="16">
        <f ca="1">(L39-'Airfoil 1'!$Z$38)/ABS(L39-'Airfoil 1'!$Z$38)</f>
        <v>-1</v>
      </c>
      <c r="AZ39" s="16">
        <f ca="1">(L39-'Airfoil 1'!$Z$39)/ABS(L39-'Airfoil 1'!$Z$39)</f>
        <v>-1</v>
      </c>
      <c r="BA39" s="16">
        <f ca="1">(L39-'Airfoil 1'!$Z$40)/ABS(L39-'Airfoil 1'!$Z$40)</f>
        <v>-1</v>
      </c>
      <c r="BB39" s="16">
        <f ca="1">(L39-'Airfoil 1'!$Z$41)/ABS(L39-'Airfoil 1'!$Z$41)</f>
        <v>-1</v>
      </c>
      <c r="BC39" s="5">
        <f t="shared" ca="1" si="8"/>
        <v>5</v>
      </c>
      <c r="BD39" s="42">
        <f ca="1">INDEX('Airfoil 1'!$AA$22:$AA$41,BC39,1)+INDEX('Airfoil 1'!$AB$22:$AB$41,BC39,1)*(L39-INDEX('Airfoil 1'!$Z$22:$Z$41,BC39,1))</f>
        <v>2.6526164362872164E-2</v>
      </c>
      <c r="BE39" s="6"/>
      <c r="BF39" s="16">
        <f ca="1">(L39-'Airfoil 1'!$Z$47)/ABS(L39-'Airfoil 1'!$Z$47)</f>
        <v>1</v>
      </c>
      <c r="BG39" s="16">
        <f ca="1">(L39-'Airfoil 1'!$Z$48)/ABS(L39-'Airfoil 1'!$Z$48)</f>
        <v>1</v>
      </c>
      <c r="BH39" s="16">
        <f ca="1">(L39-'Airfoil 1'!$Z$49)/ABS(L39-'Airfoil 1'!$Z$49)</f>
        <v>1</v>
      </c>
      <c r="BI39" s="16">
        <f ca="1">(L39-'Airfoil 1'!$Z$50)/ABS(L39-'Airfoil 1'!$Z$50)</f>
        <v>1</v>
      </c>
      <c r="BJ39" s="16">
        <f ca="1">(L39-'Airfoil 1'!$Z$51)/ABS(L39-'Airfoil 1'!$Z$51)</f>
        <v>-1</v>
      </c>
      <c r="BK39" s="16">
        <f ca="1">(L39-'Airfoil 1'!$Z$52)/ABS(L39-'Airfoil 1'!$Z$52)</f>
        <v>-1</v>
      </c>
      <c r="BL39" s="16">
        <f ca="1">(L39-'Airfoil 1'!$Z$53)/ABS(L39-'Airfoil 1'!$Z$53)</f>
        <v>-1</v>
      </c>
      <c r="BM39" s="16">
        <f ca="1">(L39-'Airfoil 1'!$Z$54)/ABS(L39-'Airfoil 1'!$Z$54)</f>
        <v>-1</v>
      </c>
      <c r="BN39" s="16">
        <f ca="1">(L39-'Airfoil 1'!$Z$55)/ABS(L39-'Airfoil 1'!$Z$55)</f>
        <v>-1</v>
      </c>
      <c r="BO39" s="16">
        <f ca="1">(L39-'Airfoil 1'!$Z$56)/ABS(L39-'Airfoil 1'!$Z$56)</f>
        <v>-1</v>
      </c>
      <c r="BP39" s="16">
        <f ca="1">(L39-'Airfoil 1'!$Z$57)/ABS(L39-'Airfoil 1'!$Z$57)</f>
        <v>-1</v>
      </c>
      <c r="BQ39" s="16">
        <f ca="1">(L39-'Airfoil 1'!$Z$58)/ABS(L39-'Airfoil 1'!$Z$58)</f>
        <v>-1</v>
      </c>
      <c r="BR39" s="16">
        <f ca="1">(L39-'Airfoil 1'!$Z$59)/ABS(L39-'Airfoil 1'!$Z$59)</f>
        <v>-1</v>
      </c>
      <c r="BS39" s="16">
        <f ca="1">(L39-'Airfoil 1'!$Z$60)/ABS(L39-'Airfoil 1'!$Z$60)</f>
        <v>-1</v>
      </c>
      <c r="BT39" s="16">
        <f ca="1">(L39-'Airfoil 1'!$Z$61)/ABS(L39-'Airfoil 1'!$Z$61)</f>
        <v>-1</v>
      </c>
      <c r="BU39" s="16">
        <f ca="1">(L39-'Airfoil 1'!$Z$62)/ABS(L39-'Airfoil 1'!$Z$62)</f>
        <v>-1</v>
      </c>
      <c r="BV39" s="16">
        <f ca="1">(L39-'Airfoil 1'!$Z$63)/ABS(L39-'Airfoil 1'!$Z$63)</f>
        <v>-1</v>
      </c>
      <c r="BW39" s="16">
        <f ca="1">(L39-'Airfoil 1'!$Z$64)/ABS(L39-'Airfoil 1'!$Z$64)</f>
        <v>-1</v>
      </c>
      <c r="BX39" s="16">
        <f ca="1">(L39-'Airfoil 1'!$Z$65)/ABS(L39-'Airfoil 1'!$Z$65)</f>
        <v>-1</v>
      </c>
      <c r="BY39" s="16">
        <f ca="1">(L39-'Airfoil 1'!$Z$66)/ABS(L39-'Airfoil 1'!$Z$66)</f>
        <v>-1</v>
      </c>
      <c r="BZ39" s="5">
        <f t="shared" ca="1" si="9"/>
        <v>4</v>
      </c>
      <c r="CA39" s="42">
        <f ca="1">INDEX('Airfoil 1'!$AA$47:$AA$66,BZ39,1)+INDEX('Airfoil 1'!$AB$47:$AB$66,BZ39,1)*(L39-INDEX('Airfoil 1'!$Z$47:$Z$66,BZ39,1))</f>
        <v>1.8224188700895282E-2</v>
      </c>
      <c r="CC39" s="16">
        <f ca="1">(L39-'Airfoil 1'!$Z$72)/ABS(L39-'Airfoil 1'!$Z$72)</f>
        <v>1</v>
      </c>
      <c r="CD39" s="16">
        <f ca="1">(L39-'Airfoil 1'!$Z$73)/ABS(L39-'Airfoil 1'!$Z$73)</f>
        <v>1</v>
      </c>
      <c r="CE39" s="16">
        <f ca="1">(L39-'Airfoil 1'!$Z$74)/ABS(L39-'Airfoil 1'!$Z$74)</f>
        <v>-1</v>
      </c>
      <c r="CF39" s="16">
        <f ca="1">(L39-'Airfoil 1'!$Z$75)/ABS(L39-'Airfoil 1'!$Z$75)</f>
        <v>-1</v>
      </c>
      <c r="CG39" s="16">
        <f ca="1">(L39-'Airfoil 1'!$Z$76)/ABS(L39-'Airfoil 1'!$Z$76)</f>
        <v>-1</v>
      </c>
      <c r="CH39" s="16">
        <f ca="1">(L39-'Airfoil 1'!$Z$77)/ABS(L39-'Airfoil 1'!$Z$77)</f>
        <v>-1</v>
      </c>
      <c r="CI39" s="16">
        <f ca="1">(L39-'Airfoil 1'!$Z$78)/ABS(L39-'Airfoil 1'!$Z$78)</f>
        <v>-1</v>
      </c>
      <c r="CJ39" s="16">
        <f ca="1">(L39-'Airfoil 1'!$Z$79)/ABS(L39-'Airfoil 1'!$Z$79)</f>
        <v>-1</v>
      </c>
      <c r="CK39" s="16">
        <f ca="1">(L39-'Airfoil 1'!$Z$80)/ABS(L39-'Airfoil 1'!$Z$80)</f>
        <v>-1</v>
      </c>
      <c r="CL39" s="16">
        <f ca="1">(L39-'Airfoil 1'!$Z$81)/ABS(L39-'Airfoil 1'!$Z$81)</f>
        <v>-1</v>
      </c>
      <c r="CM39" s="16">
        <f ca="1">(L39-'Airfoil 1'!$Z$82)/ABS(L39-'Airfoil 1'!$Z$82)</f>
        <v>-1</v>
      </c>
      <c r="CN39" s="16">
        <f ca="1">(L39-'Airfoil 1'!$Z$83)/ABS(L39-'Airfoil 1'!$Z$83)</f>
        <v>-1</v>
      </c>
      <c r="CO39" s="16">
        <f ca="1">(L39-'Airfoil 1'!$Z$84)/ABS(L39-'Airfoil 1'!$Z$84)</f>
        <v>-1</v>
      </c>
      <c r="CP39" s="16">
        <f ca="1">(L39-'Airfoil 1'!$Z$85)/ABS(L39-'Airfoil 1'!$Z$85)</f>
        <v>-1</v>
      </c>
      <c r="CQ39" s="16">
        <f ca="1">(L39-'Airfoil 1'!$Z$86)/ABS(L39-'Airfoil 1'!$Z$86)</f>
        <v>-1</v>
      </c>
      <c r="CR39" s="16">
        <f ca="1">(L39-'Airfoil 1'!$Z$87)/ABS(L39-'Airfoil 1'!$Z$87)</f>
        <v>-1</v>
      </c>
      <c r="CS39" s="16">
        <f ca="1">(L39-'Airfoil 1'!$Z$88)/ABS(L39-'Airfoil 1'!$Z$88)</f>
        <v>-1</v>
      </c>
      <c r="CT39" s="16">
        <f ca="1">(L39-'Airfoil 1'!$Z$89)/ABS(L39-'Airfoil 1'!$Z$89)</f>
        <v>-1</v>
      </c>
      <c r="CU39" s="16">
        <f ca="1">(L39-'Airfoil 1'!$Z$90)/ABS(L39-'Airfoil 1'!$Z$90)</f>
        <v>-1</v>
      </c>
      <c r="CV39" s="16">
        <f ca="1">(L39-'Airfoil 1'!$Z$91)/ABS(L39-'Airfoil 1'!$Z$91)</f>
        <v>-1</v>
      </c>
      <c r="CW39" s="5">
        <f t="shared" ca="1" si="10"/>
        <v>2</v>
      </c>
      <c r="CX39" s="42">
        <f ca="1">INDEX('Airfoil 1'!$AA$72:$AA$91,CW39,1)+INDEX('Airfoil 1'!$AB$72:$AB$91,CW39,1)*(L39-INDEX('Airfoil 1'!$Z$72:$Z$91,CW39,1))</f>
        <v>1.0208478384999381E-2</v>
      </c>
    </row>
    <row r="40" spans="2:102">
      <c r="B40" s="31">
        <f>Main!B40</f>
        <v>0.33333333333333326</v>
      </c>
      <c r="D40" s="1">
        <f>Cruise!F40</f>
        <v>0.65969672852566186</v>
      </c>
      <c r="E40" s="4">
        <f>ISA!$R$10</f>
        <v>1.5987591530356481E-5</v>
      </c>
      <c r="G40" s="20">
        <f ca="1">'Aerodynamics-Speed'!H40</f>
        <v>27.017858035551438</v>
      </c>
      <c r="H40" s="5">
        <f t="shared" ca="1" si="0"/>
        <v>371613.04177641874</v>
      </c>
      <c r="I40" s="16">
        <f ca="1">'Airfoil 2'!$K$14*H40^'Airfoil 2'!$L$13</f>
        <v>1.5842099850393405</v>
      </c>
      <c r="J40" s="1">
        <f ca="1">'Airfoil 2'!$K$33*H40^'Airfoil 2'!$L$32</f>
        <v>4.9330659928874656</v>
      </c>
      <c r="K40" s="13">
        <f ca="1">'Airfoil 2'!$K$52*H40^'Airfoil 2'!$L$51</f>
        <v>-9.5418621780100139</v>
      </c>
      <c r="L40" s="16">
        <f ca="1">'Aerodynamics-Speed'!W40</f>
        <v>0.47944118229895433</v>
      </c>
      <c r="M40" s="10">
        <f ca="1">('Airfoil 1'!$B$21+'Airfoil 1'!$B$22*L40+'Airfoil 1'!$B$23*L40^2+'Airfoil 1'!$B$24*L40^3+'Airfoil 1'!$B$25*L40^4+'Airfoil 1'!$B$26*L40^5+'Airfoil 1'!$B$27*L40^6)*0+BD40</f>
        <v>2.6985688979866598E-2</v>
      </c>
      <c r="N40" s="42">
        <f ca="1">('Airfoil 1'!$B$29+'Airfoil 1'!$B$30*L40+'Airfoil 1'!$B$31*L40^2+'Airfoil 1'!$B$32*L40^3+'Airfoil 1'!$B$33*L40^4+'Airfoil 1'!$B$34*L40^5+'Airfoil 1'!$B$35*L40^6)*0+CA40</f>
        <v>2.044367135404988E-2</v>
      </c>
      <c r="O40" s="42">
        <f ca="1">('Airfoil 1'!$B$37+'Airfoil 1'!$B$38*L40+'Airfoil 1'!$B$39*L40^2+'Airfoil 1'!$B$40*L40^3+'Airfoil 1'!$B$41*L40^4+'Airfoil 1'!$B$42*L40^5+'Airfoil 1'!$B$43*L40^6)*0+CX40</f>
        <v>1.2011749690961875E-2</v>
      </c>
      <c r="P40" s="16">
        <f>LOG('Airfoil 1'!$F$10)+LOG('Airfoil 1'!$G$10)+LOG('Airfoil 1'!$H$10)</f>
        <v>15.176091259055681</v>
      </c>
      <c r="Q40" s="16">
        <f t="shared" ca="1" si="1"/>
        <v>-5.1787013250962213</v>
      </c>
      <c r="R40" s="16">
        <f>LOG('Airfoil 1'!$F$10)^2+LOG('Airfoil 1'!$G$10)^2+LOG('Airfoil 1'!$H$10)^2</f>
        <v>76.867141336751558</v>
      </c>
      <c r="S40" s="16">
        <f ca="1">LOG('Airfoil 1'!$F$10)*LOG(M40)+LOG('Airfoil 1'!$G$10)*LOG(N40)+LOG('Airfoil 1'!$H$10)*LOG(O40)</f>
        <v>-26.275590543556859</v>
      </c>
      <c r="T40" s="16">
        <f t="shared" ca="1" si="2"/>
        <v>247.92448343028994</v>
      </c>
      <c r="U40" s="16">
        <f t="shared" ca="1" si="3"/>
        <v>-0.81454831584393228</v>
      </c>
      <c r="V40" s="42">
        <f ca="1">MAX(IF(Energy!$F$11=1,Energy!$T$13,1)*T40*H40^U40,O40)</f>
        <v>1.2011749690961875E-2</v>
      </c>
      <c r="W40" s="10">
        <f ca="1">'Airfoil 1'!$B$48+'Airfoil 1'!$B$49*L40+'Airfoil 1'!$B$50*L40^2+'Airfoil 1'!$B$51*L40^3+'Airfoil 1'!$B$52*L40^4+'Airfoil 1'!$B$53*L40^5+'Airfoil 1'!$B$54*L40^6</f>
        <v>-0.155</v>
      </c>
      <c r="X40" s="42">
        <f ca="1">'Airfoil 1'!$B$56+'Airfoil 1'!$B$57*L40+'Airfoil 1'!$B$58*L40^2+'Airfoil 1'!$B$59*L40^3+'Airfoil 1'!$B$60*L40^4+'Airfoil 1'!$B$61*L40^5+'Airfoil 1'!$B$62*L40^6</f>
        <v>-0.155</v>
      </c>
      <c r="Y40" s="42">
        <f ca="1">'Airfoil 1'!$B$64+'Airfoil 1'!$B$65*L40+'Airfoil 1'!$B$66*L40^2+'Airfoil 1'!$B$67*L40^3+'Airfoil 1'!$B$681*L40^4+'Airfoil 1'!$B$69*L40^5+'Airfoil 1'!$B$70*L40^6</f>
        <v>-0.155</v>
      </c>
      <c r="Z40" s="16">
        <f>LOG('Airfoil 1'!$F$10)+LOG('Airfoil 1'!$G$10)+LOG('Airfoil 1'!$H$10)</f>
        <v>15.176091259055681</v>
      </c>
      <c r="AA40" s="16">
        <f t="shared" ca="1" si="4"/>
        <v>-2.4290049054891254</v>
      </c>
      <c r="AB40" s="16">
        <f>LOG('Airfoil 1'!$F$10)^2+LOG('Airfoil 1'!$G$10)^2+LOG('Airfoil 1'!$H$10)^2</f>
        <v>76.867141336751558</v>
      </c>
      <c r="AC40" s="16">
        <f ca="1">LOG('Airfoil 1'!$F$10)*LOG(ABS(W40))+LOG('Airfoil 1'!$G$10)*LOG(ABS(X40))+LOG('Airfoil 1'!$H$10)*LOG(ABS(Y40))</f>
        <v>-12.287600038132297</v>
      </c>
      <c r="AD40" s="16">
        <f t="shared" ca="1" si="5"/>
        <v>0.1550000000000121</v>
      </c>
      <c r="AE40" s="16">
        <f t="shared" ca="1" si="6"/>
        <v>-6.6718325633022456E-15</v>
      </c>
      <c r="AF40" s="42">
        <f t="shared" ca="1" si="7"/>
        <v>-0.15499999999999886</v>
      </c>
      <c r="AG40" s="16"/>
      <c r="AH40" s="42"/>
      <c r="AI40" s="16">
        <f ca="1">(L40-'Airfoil 1'!$Z$22)/ABS(L40-'Airfoil 1'!$Z$22)</f>
        <v>1</v>
      </c>
      <c r="AJ40" s="16">
        <f ca="1">(L40-'Airfoil 1'!$Z$23)/ABS(L40-'Airfoil 1'!$Z$23)</f>
        <v>1</v>
      </c>
      <c r="AK40" s="16">
        <f ca="1">(L40-'Airfoil 1'!$Z$24)/ABS(L40-'Airfoil 1'!$Z$24)</f>
        <v>1</v>
      </c>
      <c r="AL40" s="16">
        <f ca="1">(L40-'Airfoil 1'!$Z$25)/ABS(L40-'Airfoil 1'!$Z$25)</f>
        <v>1</v>
      </c>
      <c r="AM40" s="16">
        <f ca="1">(L40-'Airfoil 1'!$Z$26)/ABS(L40-'Airfoil 1'!$Z$26)</f>
        <v>1</v>
      </c>
      <c r="AN40" s="16">
        <f ca="1">(L40-'Airfoil 1'!$Z$27)/ABS(L40-'Airfoil 1'!$Z$27)</f>
        <v>-1</v>
      </c>
      <c r="AO40" s="16">
        <f ca="1">(L40-'Airfoil 1'!$Z$28)/ABS(L40-'Airfoil 1'!$Z$28)</f>
        <v>-1</v>
      </c>
      <c r="AP40" s="16">
        <f ca="1">(L40-'Airfoil 1'!$Z$29)/ABS(L40-'Airfoil 1'!$Z$29)</f>
        <v>-1</v>
      </c>
      <c r="AQ40" s="16">
        <f ca="1">(L40-'Airfoil 1'!$Z$30)/ABS(L40-'Airfoil 1'!$Z$30)</f>
        <v>-1</v>
      </c>
      <c r="AR40" s="16">
        <f ca="1">(L40-'Airfoil 1'!$Z$31)/ABS(L40-'Airfoil 1'!$Z$31)</f>
        <v>-1</v>
      </c>
      <c r="AS40" s="16">
        <f ca="1">(L40-'Airfoil 1'!$Z$32)/ABS(L40-'Airfoil 1'!$Z$32)</f>
        <v>-1</v>
      </c>
      <c r="AT40" s="16">
        <f ca="1">(L40-'Airfoil 1'!$Z$33)/ABS(L40-'Airfoil 1'!$Z$33)</f>
        <v>-1</v>
      </c>
      <c r="AU40" s="16">
        <f ca="1">(L40-'Airfoil 1'!$Z$34)/ABS(L40-'Airfoil 1'!$Z$34)</f>
        <v>-1</v>
      </c>
      <c r="AV40" s="16">
        <f ca="1">(L40-'Airfoil 1'!$Z$35)/ABS(L40-'Airfoil 1'!$Z$35)</f>
        <v>-1</v>
      </c>
      <c r="AW40" s="16">
        <f ca="1">(L40-'Airfoil 1'!$Z$36)/ABS(L40-'Airfoil 1'!$Z$36)</f>
        <v>-1</v>
      </c>
      <c r="AX40" s="16">
        <f ca="1">(L40-'Airfoil 1'!$Z$37)/ABS(L40-'Airfoil 1'!$Z$37)</f>
        <v>-1</v>
      </c>
      <c r="AY40" s="16">
        <f ca="1">(L40-'Airfoil 1'!$Z$38)/ABS(L40-'Airfoil 1'!$Z$38)</f>
        <v>-1</v>
      </c>
      <c r="AZ40" s="16">
        <f ca="1">(L40-'Airfoil 1'!$Z$39)/ABS(L40-'Airfoil 1'!$Z$39)</f>
        <v>-1</v>
      </c>
      <c r="BA40" s="16">
        <f ca="1">(L40-'Airfoil 1'!$Z$40)/ABS(L40-'Airfoil 1'!$Z$40)</f>
        <v>-1</v>
      </c>
      <c r="BB40" s="16">
        <f ca="1">(L40-'Airfoil 1'!$Z$41)/ABS(L40-'Airfoil 1'!$Z$41)</f>
        <v>-1</v>
      </c>
      <c r="BC40" s="5">
        <f t="shared" ca="1" si="8"/>
        <v>5</v>
      </c>
      <c r="BD40" s="42">
        <f ca="1">INDEX('Airfoil 1'!$AA$22:$AA$41,BC40,1)+INDEX('Airfoil 1'!$AB$22:$AB$41,BC40,1)*(L40-INDEX('Airfoil 1'!$Z$22:$Z$41,BC40,1))</f>
        <v>2.6985726091678638E-2</v>
      </c>
      <c r="BE40" s="6"/>
      <c r="BF40" s="16">
        <f ca="1">(L40-'Airfoil 1'!$Z$47)/ABS(L40-'Airfoil 1'!$Z$47)</f>
        <v>1</v>
      </c>
      <c r="BG40" s="16">
        <f ca="1">(L40-'Airfoil 1'!$Z$48)/ABS(L40-'Airfoil 1'!$Z$48)</f>
        <v>1</v>
      </c>
      <c r="BH40" s="16">
        <f ca="1">(L40-'Airfoil 1'!$Z$49)/ABS(L40-'Airfoil 1'!$Z$49)</f>
        <v>1</v>
      </c>
      <c r="BI40" s="16">
        <f ca="1">(L40-'Airfoil 1'!$Z$50)/ABS(L40-'Airfoil 1'!$Z$50)</f>
        <v>-1</v>
      </c>
      <c r="BJ40" s="16">
        <f ca="1">(L40-'Airfoil 1'!$Z$51)/ABS(L40-'Airfoil 1'!$Z$51)</f>
        <v>-1</v>
      </c>
      <c r="BK40" s="16">
        <f ca="1">(L40-'Airfoil 1'!$Z$52)/ABS(L40-'Airfoil 1'!$Z$52)</f>
        <v>-1</v>
      </c>
      <c r="BL40" s="16">
        <f ca="1">(L40-'Airfoil 1'!$Z$53)/ABS(L40-'Airfoil 1'!$Z$53)</f>
        <v>-1</v>
      </c>
      <c r="BM40" s="16">
        <f ca="1">(L40-'Airfoil 1'!$Z$54)/ABS(L40-'Airfoil 1'!$Z$54)</f>
        <v>-1</v>
      </c>
      <c r="BN40" s="16">
        <f ca="1">(L40-'Airfoil 1'!$Z$55)/ABS(L40-'Airfoil 1'!$Z$55)</f>
        <v>-1</v>
      </c>
      <c r="BO40" s="16">
        <f ca="1">(L40-'Airfoil 1'!$Z$56)/ABS(L40-'Airfoil 1'!$Z$56)</f>
        <v>-1</v>
      </c>
      <c r="BP40" s="16">
        <f ca="1">(L40-'Airfoil 1'!$Z$57)/ABS(L40-'Airfoil 1'!$Z$57)</f>
        <v>-1</v>
      </c>
      <c r="BQ40" s="16">
        <f ca="1">(L40-'Airfoil 1'!$Z$58)/ABS(L40-'Airfoil 1'!$Z$58)</f>
        <v>-1</v>
      </c>
      <c r="BR40" s="16">
        <f ca="1">(L40-'Airfoil 1'!$Z$59)/ABS(L40-'Airfoil 1'!$Z$59)</f>
        <v>-1</v>
      </c>
      <c r="BS40" s="16">
        <f ca="1">(L40-'Airfoil 1'!$Z$60)/ABS(L40-'Airfoil 1'!$Z$60)</f>
        <v>-1</v>
      </c>
      <c r="BT40" s="16">
        <f ca="1">(L40-'Airfoil 1'!$Z$61)/ABS(L40-'Airfoil 1'!$Z$61)</f>
        <v>-1</v>
      </c>
      <c r="BU40" s="16">
        <f ca="1">(L40-'Airfoil 1'!$Z$62)/ABS(L40-'Airfoil 1'!$Z$62)</f>
        <v>-1</v>
      </c>
      <c r="BV40" s="16">
        <f ca="1">(L40-'Airfoil 1'!$Z$63)/ABS(L40-'Airfoil 1'!$Z$63)</f>
        <v>-1</v>
      </c>
      <c r="BW40" s="16">
        <f ca="1">(L40-'Airfoil 1'!$Z$64)/ABS(L40-'Airfoil 1'!$Z$64)</f>
        <v>-1</v>
      </c>
      <c r="BX40" s="16">
        <f ca="1">(L40-'Airfoil 1'!$Z$65)/ABS(L40-'Airfoil 1'!$Z$65)</f>
        <v>-1</v>
      </c>
      <c r="BY40" s="16">
        <f ca="1">(L40-'Airfoil 1'!$Z$66)/ABS(L40-'Airfoil 1'!$Z$66)</f>
        <v>-1</v>
      </c>
      <c r="BZ40" s="5">
        <f t="shared" ca="1" si="9"/>
        <v>3</v>
      </c>
      <c r="CA40" s="42">
        <f ca="1">INDEX('Airfoil 1'!$AA$47:$AA$66,BZ40,1)+INDEX('Airfoil 1'!$AB$47:$AB$66,BZ40,1)*(L40-INDEX('Airfoil 1'!$Z$47:$Z$66,BZ40,1))</f>
        <v>2.044393911921542E-2</v>
      </c>
      <c r="CC40" s="16">
        <f ca="1">(L40-'Airfoil 1'!$Z$72)/ABS(L40-'Airfoil 1'!$Z$72)</f>
        <v>1</v>
      </c>
      <c r="CD40" s="16">
        <f ca="1">(L40-'Airfoil 1'!$Z$73)/ABS(L40-'Airfoil 1'!$Z$73)</f>
        <v>-1</v>
      </c>
      <c r="CE40" s="16">
        <f ca="1">(L40-'Airfoil 1'!$Z$74)/ABS(L40-'Airfoil 1'!$Z$74)</f>
        <v>-1</v>
      </c>
      <c r="CF40" s="16">
        <f ca="1">(L40-'Airfoil 1'!$Z$75)/ABS(L40-'Airfoil 1'!$Z$75)</f>
        <v>-1</v>
      </c>
      <c r="CG40" s="16">
        <f ca="1">(L40-'Airfoil 1'!$Z$76)/ABS(L40-'Airfoil 1'!$Z$76)</f>
        <v>-1</v>
      </c>
      <c r="CH40" s="16">
        <f ca="1">(L40-'Airfoil 1'!$Z$77)/ABS(L40-'Airfoil 1'!$Z$77)</f>
        <v>-1</v>
      </c>
      <c r="CI40" s="16">
        <f ca="1">(L40-'Airfoil 1'!$Z$78)/ABS(L40-'Airfoil 1'!$Z$78)</f>
        <v>-1</v>
      </c>
      <c r="CJ40" s="16">
        <f ca="1">(L40-'Airfoil 1'!$Z$79)/ABS(L40-'Airfoil 1'!$Z$79)</f>
        <v>-1</v>
      </c>
      <c r="CK40" s="16">
        <f ca="1">(L40-'Airfoil 1'!$Z$80)/ABS(L40-'Airfoil 1'!$Z$80)</f>
        <v>-1</v>
      </c>
      <c r="CL40" s="16">
        <f ca="1">(L40-'Airfoil 1'!$Z$81)/ABS(L40-'Airfoil 1'!$Z$81)</f>
        <v>-1</v>
      </c>
      <c r="CM40" s="16">
        <f ca="1">(L40-'Airfoil 1'!$Z$82)/ABS(L40-'Airfoil 1'!$Z$82)</f>
        <v>-1</v>
      </c>
      <c r="CN40" s="16">
        <f ca="1">(L40-'Airfoil 1'!$Z$83)/ABS(L40-'Airfoil 1'!$Z$83)</f>
        <v>-1</v>
      </c>
      <c r="CO40" s="16">
        <f ca="1">(L40-'Airfoil 1'!$Z$84)/ABS(L40-'Airfoil 1'!$Z$84)</f>
        <v>-1</v>
      </c>
      <c r="CP40" s="16">
        <f ca="1">(L40-'Airfoil 1'!$Z$85)/ABS(L40-'Airfoil 1'!$Z$85)</f>
        <v>-1</v>
      </c>
      <c r="CQ40" s="16">
        <f ca="1">(L40-'Airfoil 1'!$Z$86)/ABS(L40-'Airfoil 1'!$Z$86)</f>
        <v>-1</v>
      </c>
      <c r="CR40" s="16">
        <f ca="1">(L40-'Airfoil 1'!$Z$87)/ABS(L40-'Airfoil 1'!$Z$87)</f>
        <v>-1</v>
      </c>
      <c r="CS40" s="16">
        <f ca="1">(L40-'Airfoil 1'!$Z$88)/ABS(L40-'Airfoil 1'!$Z$88)</f>
        <v>-1</v>
      </c>
      <c r="CT40" s="16">
        <f ca="1">(L40-'Airfoil 1'!$Z$89)/ABS(L40-'Airfoil 1'!$Z$89)</f>
        <v>-1</v>
      </c>
      <c r="CU40" s="16">
        <f ca="1">(L40-'Airfoil 1'!$Z$90)/ABS(L40-'Airfoil 1'!$Z$90)</f>
        <v>-1</v>
      </c>
      <c r="CV40" s="16">
        <f ca="1">(L40-'Airfoil 1'!$Z$91)/ABS(L40-'Airfoil 1'!$Z$91)</f>
        <v>-1</v>
      </c>
      <c r="CW40" s="5">
        <f t="shared" ca="1" si="10"/>
        <v>1</v>
      </c>
      <c r="CX40" s="42">
        <f ca="1">INDEX('Airfoil 1'!$AA$72:$AA$91,CW40,1)+INDEX('Airfoil 1'!$AB$72:$AB$91,CW40,1)*(L40-INDEX('Airfoil 1'!$Z$72:$Z$91,CW40,1))</f>
        <v>1.2011988473760055E-2</v>
      </c>
    </row>
    <row r="41" spans="2:102"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</row>
    <row r="42" spans="2:102">
      <c r="D42" s="4"/>
    </row>
    <row r="44" spans="2:102">
      <c r="I44" s="14"/>
      <c r="M44" s="1"/>
      <c r="N44" s="1"/>
      <c r="O44" s="1"/>
      <c r="P44" s="1"/>
    </row>
    <row r="45" spans="2:102">
      <c r="I45" s="14"/>
    </row>
    <row r="46" spans="2:102">
      <c r="I46" s="14"/>
    </row>
    <row r="47" spans="2:102">
      <c r="I47" s="14"/>
    </row>
    <row r="48" spans="2:102">
      <c r="I48" s="14"/>
    </row>
    <row r="49" spans="9:9">
      <c r="I49" s="14"/>
    </row>
    <row r="50" spans="9:9">
      <c r="I50" s="14"/>
    </row>
    <row r="51" spans="9:9">
      <c r="I51" s="14"/>
    </row>
    <row r="52" spans="9:9">
      <c r="I52" s="14"/>
    </row>
    <row r="53" spans="9:9">
      <c r="I53" s="14"/>
    </row>
    <row r="54" spans="9:9">
      <c r="I54" s="14"/>
    </row>
    <row r="55" spans="9:9">
      <c r="I55" s="14"/>
    </row>
    <row r="56" spans="9:9">
      <c r="I56" s="14"/>
    </row>
    <row r="57" spans="9:9">
      <c r="I57" s="14"/>
    </row>
    <row r="58" spans="9:9">
      <c r="I58" s="14"/>
    </row>
    <row r="59" spans="9:9">
      <c r="I59" s="14"/>
    </row>
    <row r="60" spans="9:9">
      <c r="I60" s="14"/>
    </row>
    <row r="61" spans="9:9">
      <c r="I61" s="14"/>
    </row>
    <row r="62" spans="9:9">
      <c r="I62" s="14"/>
    </row>
    <row r="63" spans="9:9">
      <c r="I63" s="14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CX63"/>
  <sheetViews>
    <sheetView zoomScale="90" workbookViewId="0">
      <selection activeCell="M21" sqref="M21:O40"/>
    </sheetView>
  </sheetViews>
  <sheetFormatPr defaultRowHeight="12.75"/>
  <cols>
    <col min="42" max="42" width="9.42578125" customWidth="1"/>
  </cols>
  <sheetData>
    <row r="1" spans="1:69">
      <c r="A1" s="17" t="s">
        <v>469</v>
      </c>
    </row>
    <row r="3" spans="1:69">
      <c r="A3" t="s">
        <v>270</v>
      </c>
      <c r="C3" s="6"/>
      <c r="D3" s="6"/>
      <c r="E3" s="6"/>
    </row>
    <row r="4" spans="1:69">
      <c r="A4" s="17"/>
      <c r="C4" s="6"/>
      <c r="D4" s="6"/>
      <c r="E4" s="6"/>
    </row>
    <row r="5" spans="1:69">
      <c r="A5" s="17"/>
      <c r="C5" s="6"/>
      <c r="D5" s="6"/>
      <c r="E5" s="6"/>
      <c r="F5" s="6"/>
      <c r="G5" s="6"/>
      <c r="H5" s="6"/>
    </row>
    <row r="6" spans="1:69">
      <c r="A6" s="17"/>
      <c r="C6" s="67"/>
      <c r="D6" s="16"/>
      <c r="E6" s="16"/>
      <c r="F6" s="6"/>
      <c r="G6" s="16"/>
      <c r="H6" s="6"/>
    </row>
    <row r="7" spans="1:69">
      <c r="A7" s="17"/>
      <c r="C7" s="6"/>
      <c r="D7" s="6"/>
      <c r="E7" s="6"/>
    </row>
    <row r="8" spans="1:69">
      <c r="A8" s="17"/>
    </row>
    <row r="9" spans="1:69">
      <c r="A9" s="17"/>
    </row>
    <row r="15" spans="1:69">
      <c r="B15" t="s">
        <v>279</v>
      </c>
      <c r="D15" t="s">
        <v>273</v>
      </c>
      <c r="G15" t="s">
        <v>278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</row>
    <row r="16" spans="1:69"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42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</row>
    <row r="17" spans="2:102"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</row>
    <row r="18" spans="2:102" ht="14.25">
      <c r="B18" s="9" t="s">
        <v>281</v>
      </c>
      <c r="D18" s="9" t="s">
        <v>29</v>
      </c>
      <c r="E18" s="9" t="s">
        <v>31</v>
      </c>
      <c r="G18" s="9" t="s">
        <v>40</v>
      </c>
      <c r="H18" s="9" t="s">
        <v>50</v>
      </c>
      <c r="I18" s="9" t="s">
        <v>335</v>
      </c>
      <c r="J18" s="9" t="s">
        <v>163</v>
      </c>
      <c r="K18" s="47" t="s">
        <v>336</v>
      </c>
      <c r="L18" s="9" t="s">
        <v>52</v>
      </c>
      <c r="M18" s="9" t="s">
        <v>337</v>
      </c>
      <c r="N18" s="23" t="s">
        <v>338</v>
      </c>
      <c r="O18" s="23" t="s">
        <v>339</v>
      </c>
      <c r="P18" s="23" t="s">
        <v>348</v>
      </c>
      <c r="Q18" s="23" t="s">
        <v>349</v>
      </c>
      <c r="R18" s="23" t="s">
        <v>350</v>
      </c>
      <c r="S18" s="9" t="s">
        <v>351</v>
      </c>
      <c r="T18" s="23" t="s">
        <v>100</v>
      </c>
      <c r="U18" s="23" t="s">
        <v>361</v>
      </c>
      <c r="V18" s="23" t="s">
        <v>366</v>
      </c>
      <c r="W18" s="9" t="s">
        <v>387</v>
      </c>
      <c r="X18" s="23" t="s">
        <v>388</v>
      </c>
      <c r="Y18" s="23" t="s">
        <v>389</v>
      </c>
      <c r="Z18" s="23" t="s">
        <v>348</v>
      </c>
      <c r="AA18" s="23" t="s">
        <v>349</v>
      </c>
      <c r="AB18" s="23" t="s">
        <v>350</v>
      </c>
      <c r="AC18" s="9" t="s">
        <v>351</v>
      </c>
      <c r="AD18" s="23" t="s">
        <v>100</v>
      </c>
      <c r="AE18" s="23" t="s">
        <v>361</v>
      </c>
      <c r="AF18" s="23" t="s">
        <v>53</v>
      </c>
      <c r="AG18" s="23"/>
      <c r="AH18" s="23"/>
      <c r="AI18" s="68" t="s">
        <v>792</v>
      </c>
      <c r="AJ18" s="23"/>
      <c r="AK18" s="68"/>
      <c r="AL18" s="68"/>
      <c r="AM18" s="68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68" t="s">
        <v>795</v>
      </c>
      <c r="BD18" s="68" t="s">
        <v>337</v>
      </c>
      <c r="BE18" s="6"/>
      <c r="BF18" s="68" t="s">
        <v>793</v>
      </c>
      <c r="BG18" s="23"/>
      <c r="BH18" s="68"/>
      <c r="BI18" s="68"/>
      <c r="BJ18" s="68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68" t="s">
        <v>794</v>
      </c>
      <c r="CA18" s="68" t="s">
        <v>338</v>
      </c>
      <c r="CC18" s="68" t="s">
        <v>796</v>
      </c>
      <c r="CD18" s="23"/>
      <c r="CE18" s="68"/>
      <c r="CF18" s="68"/>
      <c r="CG18" s="68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68" t="s">
        <v>797</v>
      </c>
      <c r="CX18" s="68" t="s">
        <v>339</v>
      </c>
    </row>
    <row r="19" spans="2:102">
      <c r="B19" s="9" t="s">
        <v>4</v>
      </c>
      <c r="D19" s="9" t="s">
        <v>30</v>
      </c>
      <c r="E19" s="9" t="s">
        <v>2</v>
      </c>
      <c r="G19" s="9" t="s">
        <v>1</v>
      </c>
      <c r="H19" s="9"/>
      <c r="I19" s="9"/>
      <c r="J19" s="9" t="s">
        <v>364</v>
      </c>
      <c r="K19" s="9" t="s">
        <v>303</v>
      </c>
      <c r="L19" s="9"/>
      <c r="N19" s="23"/>
      <c r="O19" s="23"/>
      <c r="P19" s="23" t="s">
        <v>352</v>
      </c>
      <c r="Q19" s="23" t="s">
        <v>365</v>
      </c>
      <c r="R19" s="6"/>
      <c r="T19" s="23"/>
      <c r="U19" s="23"/>
      <c r="V19" s="6"/>
      <c r="X19" s="23"/>
      <c r="Y19" s="23"/>
      <c r="Z19" s="23" t="s">
        <v>352</v>
      </c>
      <c r="AA19" s="23" t="s">
        <v>390</v>
      </c>
      <c r="AB19" s="6"/>
      <c r="AD19" s="23"/>
      <c r="AE19" s="23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23"/>
      <c r="BA19" s="23"/>
      <c r="BB19" s="23"/>
      <c r="BC19" s="23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23"/>
      <c r="BX19" s="23"/>
      <c r="BY19" s="23"/>
      <c r="BZ19" s="23"/>
      <c r="CA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23"/>
      <c r="CU19" s="23"/>
      <c r="CV19" s="23"/>
      <c r="CW19" s="23"/>
      <c r="CX19" s="6"/>
    </row>
    <row r="20" spans="2:102">
      <c r="N20" s="6"/>
      <c r="O20" s="6"/>
      <c r="P20" s="6"/>
      <c r="Q20" s="6"/>
      <c r="R20" s="6"/>
      <c r="S20" s="6"/>
      <c r="T20" s="6"/>
      <c r="U20" s="6"/>
      <c r="V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</row>
    <row r="21" spans="2:102">
      <c r="B21" s="31">
        <f>Main!B21</f>
        <v>0.33333333333333326</v>
      </c>
      <c r="D21" s="1">
        <f>Cruise!F21</f>
        <v>0.65969672852566186</v>
      </c>
      <c r="E21" s="4">
        <f>ISA!$R$10</f>
        <v>1.5987591530356481E-5</v>
      </c>
      <c r="G21" s="13">
        <f ca="1">'Aerodynamics-Descent'!H21</f>
        <v>42.995983090834507</v>
      </c>
      <c r="H21" s="5">
        <f t="shared" ref="H21:H40" ca="1" si="0">D21*G21*B21/E21</f>
        <v>591381.7460854227</v>
      </c>
      <c r="I21" s="16">
        <f ca="1">'Airfoil 2'!$K$14*H21^'Airfoil 2'!$L$13</f>
        <v>1.5944750222407809</v>
      </c>
      <c r="J21" s="1">
        <f ca="1">'Airfoil 2'!$K$33*H21^'Airfoil 2'!$L$32</f>
        <v>4.2193957001312743</v>
      </c>
      <c r="K21" s="13">
        <f ca="1">'Airfoil 2'!$K$52*H21^'Airfoil 2'!$L$51</f>
        <v>-13.018818264967976</v>
      </c>
      <c r="L21" s="16">
        <f ca="1">'Aerodynamics-Descent'!W21</f>
        <v>0.45</v>
      </c>
      <c r="M21" s="10">
        <f ca="1">('Airfoil 1'!$B$21+'Airfoil 1'!$B$22*L21+'Airfoil 1'!$B$23*L21^2+'Airfoil 1'!$B$24*L21^3+'Airfoil 1'!$B$25*L21^4+'Airfoil 1'!$B$26*L21^5+'Airfoil 1'!$B$27*L21^6)*0+BD21</f>
        <v>2.7263130346232178E-2</v>
      </c>
      <c r="N21" s="42">
        <f ca="1">('Airfoil 1'!$B$29+'Airfoil 1'!$B$30*L21+'Airfoil 1'!$B$31*L21^2+'Airfoil 1'!$B$32*L21^3+'Airfoil 1'!$B$33*L21^4+'Airfoil 1'!$B$34*L21^5+'Airfoil 1'!$B$35*L21^6)*0+CA21</f>
        <v>2.1230094827586206E-2</v>
      </c>
      <c r="O21" s="42">
        <f ca="1">('Airfoil 1'!$B$37+'Airfoil 1'!$B$38*L21+'Airfoil 1'!$B$39*L21^2+'Airfoil 1'!$B$40*L21^3+'Airfoil 1'!$B$41*L21^4+'Airfoil 1'!$B$42*L21^5+'Airfoil 1'!$B$43*L21^6)*0+CX21</f>
        <v>1.2713052256532067E-2</v>
      </c>
      <c r="P21" s="16">
        <f>LOG('Airfoil 1'!$F$10)+LOG('Airfoil 1'!$G$10)+LOG('Airfoil 1'!$H$10)</f>
        <v>15.176091259055681</v>
      </c>
      <c r="Q21" s="16">
        <f t="shared" ref="Q21:Q40" ca="1" si="1">LOG(M21)+LOG(N21)+LOG(O21)</f>
        <v>-5.133222513886718</v>
      </c>
      <c r="R21" s="16">
        <f>LOG('Airfoil 1'!$F$10)^2+LOG('Airfoil 1'!$G$10)^2+LOG('Airfoil 1'!$H$10)^2</f>
        <v>76.867141336751558</v>
      </c>
      <c r="S21" s="16">
        <f ca="1">LOG('Airfoil 1'!$F$10)*LOG(M21)+LOG('Airfoil 1'!$G$10)*LOG(N21)+LOG('Airfoil 1'!$H$10)*LOG(O21)</f>
        <v>-26.041333041174283</v>
      </c>
      <c r="T21" s="16">
        <f ca="1">POWER(10,(S21/R21-Q21/P21)/(P21/R21-3/P21))</f>
        <v>154.2521937837034</v>
      </c>
      <c r="U21" s="16">
        <f t="shared" ref="U21:U40" ca="1" si="2">(Q21-3*LOG(T21))/P21</f>
        <v>-0.77081221785869947</v>
      </c>
      <c r="V21" s="42">
        <f ca="1">IF(Energy!$F$11=1,Energy!$T$13,1)*T21*H21^U21</f>
        <v>6.0476080788789792E-3</v>
      </c>
      <c r="W21" s="10">
        <f ca="1">'Airfoil 1'!$B$48+'Airfoil 1'!$B$49*L21+'Airfoil 1'!$B$50*L21^2+'Airfoil 1'!$B$51*L21^3+'Airfoil 1'!$B$52*L21^4+'Airfoil 1'!$B$53*L21^5+'Airfoil 1'!$B$54*L21^6</f>
        <v>-0.155</v>
      </c>
      <c r="X21" s="42">
        <f ca="1">'Airfoil 1'!$B$56+'Airfoil 1'!$B$57*L21+'Airfoil 1'!$B$58*L21^2+'Airfoil 1'!$B$59*L21^3+'Airfoil 1'!$B$60*L21^4+'Airfoil 1'!$B$61*L21^5+'Airfoil 1'!$B$62*L21^6</f>
        <v>-0.155</v>
      </c>
      <c r="Y21" s="42">
        <f ca="1">'Airfoil 1'!$B$64+'Airfoil 1'!$B$65*L21+'Airfoil 1'!$B$66*L21^2+'Airfoil 1'!$B$67*L21^3+'Airfoil 1'!$B$681*L21^4+'Airfoil 1'!$B$69*L21^5+'Airfoil 1'!$B$70*L21^6</f>
        <v>-0.155</v>
      </c>
      <c r="Z21" s="16">
        <f>LOG('Airfoil 1'!$F$10)+LOG('Airfoil 1'!$G$10)+LOG('Airfoil 1'!$H$10)</f>
        <v>15.176091259055681</v>
      </c>
      <c r="AA21" s="16">
        <f t="shared" ref="AA21:AA40" ca="1" si="3">LOG(ABS(W21))+LOG(ABS(X21))+LOG(ABS(Y21))</f>
        <v>-2.4290049054891254</v>
      </c>
      <c r="AB21" s="16">
        <f>LOG('Airfoil 1'!$F$10)^2+LOG('Airfoil 1'!$G$10)^2+LOG('Airfoil 1'!$H$10)^2</f>
        <v>76.867141336751558</v>
      </c>
      <c r="AC21" s="16">
        <f ca="1">LOG('Airfoil 1'!$F$10)*LOG(ABS(W21))+LOG('Airfoil 1'!$G$10)*LOG(ABS(X21))+LOG('Airfoil 1'!$H$10)*LOG(ABS(Y21))</f>
        <v>-12.287600038132297</v>
      </c>
      <c r="AD21" s="16">
        <f t="shared" ref="AD21:AD40" ca="1" si="4">POWER(10,(AC21/AB21-AA21/Z21)/(Z21/AB21-3/Z21))</f>
        <v>0.1550000000000121</v>
      </c>
      <c r="AE21" s="16">
        <f t="shared" ref="AE21:AE40" ca="1" si="5">(AA21-3*LOG(AD21))/Z21</f>
        <v>-6.6718325633022456E-15</v>
      </c>
      <c r="AF21" s="42">
        <f t="shared" ref="AF21:AF40" ca="1" si="6">W21/ABS(W21)*AD21*H21^AE21</f>
        <v>-0.15499999999999836</v>
      </c>
      <c r="AG21" s="16"/>
      <c r="AH21" s="42"/>
      <c r="AI21" s="16">
        <f ca="1">(L21-'Airfoil 1'!$Z$22)/ABS(L21-'Airfoil 1'!$Z$22)</f>
        <v>1</v>
      </c>
      <c r="AJ21" s="16">
        <f ca="1">(L21-'Airfoil 1'!$Z$23)/ABS(L21-'Airfoil 1'!$Z$23)</f>
        <v>1</v>
      </c>
      <c r="AK21" s="16">
        <f ca="1">(L21-'Airfoil 1'!$Z$24)/ABS(L21-'Airfoil 1'!$Z$24)</f>
        <v>1</v>
      </c>
      <c r="AL21" s="16">
        <f ca="1">(L21-'Airfoil 1'!$Z$25)/ABS(L21-'Airfoil 1'!$Z$25)</f>
        <v>1</v>
      </c>
      <c r="AM21" s="16">
        <f ca="1">(L21-'Airfoil 1'!$Z$26)/ABS(L21-'Airfoil 1'!$Z$26)</f>
        <v>-1</v>
      </c>
      <c r="AN21" s="16">
        <f ca="1">(L21-'Airfoil 1'!$Z$27)/ABS(L21-'Airfoil 1'!$Z$27)</f>
        <v>-1</v>
      </c>
      <c r="AO21" s="16">
        <f ca="1">(L21-'Airfoil 1'!$Z$28)/ABS(L21-'Airfoil 1'!$Z$28)</f>
        <v>-1</v>
      </c>
      <c r="AP21" s="16">
        <f ca="1">(L21-'Airfoil 1'!$Z$29)/ABS(L21-'Airfoil 1'!$Z$29)</f>
        <v>-1</v>
      </c>
      <c r="AQ21" s="16">
        <f ca="1">(L21-'Airfoil 1'!$Z$30)/ABS(L21-'Airfoil 1'!$Z$30)</f>
        <v>-1</v>
      </c>
      <c r="AR21" s="16">
        <f ca="1">(L21-'Airfoil 1'!$Z$31)/ABS(L21-'Airfoil 1'!$Z$31)</f>
        <v>-1</v>
      </c>
      <c r="AS21" s="16">
        <f ca="1">(L21-'Airfoil 1'!$Z$32)/ABS(L21-'Airfoil 1'!$Z$32)</f>
        <v>-1</v>
      </c>
      <c r="AT21" s="16">
        <f ca="1">(L21-'Airfoil 1'!$Z$33)/ABS(L21-'Airfoil 1'!$Z$33)</f>
        <v>-1</v>
      </c>
      <c r="AU21" s="16">
        <f ca="1">(L21-'Airfoil 1'!$Z$34)/ABS(L21-'Airfoil 1'!$Z$34)</f>
        <v>-1</v>
      </c>
      <c r="AV21" s="16">
        <f ca="1">(L21-'Airfoil 1'!$Z$35)/ABS(L21-'Airfoil 1'!$Z$35)</f>
        <v>-1</v>
      </c>
      <c r="AW21" s="16">
        <f ca="1">(L21-'Airfoil 1'!$Z$36)/ABS(L21-'Airfoil 1'!$Z$36)</f>
        <v>-1</v>
      </c>
      <c r="AX21" s="16">
        <f ca="1">(L21-'Airfoil 1'!$Z$37)/ABS(L21-'Airfoil 1'!$Z$37)</f>
        <v>-1</v>
      </c>
      <c r="AY21" s="16">
        <f ca="1">(L21-'Airfoil 1'!$Z$38)/ABS(L21-'Airfoil 1'!$Z$38)</f>
        <v>-1</v>
      </c>
      <c r="AZ21" s="16">
        <f ca="1">(L21-'Airfoil 1'!$Z$39)/ABS(L21-'Airfoil 1'!$Z$39)</f>
        <v>-1</v>
      </c>
      <c r="BA21" s="16">
        <f ca="1">(L21-'Airfoil 1'!$Z$40)/ABS(L21-'Airfoil 1'!$Z$40)</f>
        <v>-1</v>
      </c>
      <c r="BB21" s="16">
        <f ca="1">(L21-'Airfoil 1'!$Z$41)/ABS(L21-'Airfoil 1'!$Z$41)</f>
        <v>-1</v>
      </c>
      <c r="BC21" s="5">
        <f ca="1">MAX(1,MATCH(-1,AI21:BB21,0)-1)</f>
        <v>4</v>
      </c>
      <c r="BD21" s="42">
        <f ca="1">INDEX('Airfoil 1'!$AA$22:$AA$41,BC21,1)+INDEX('Airfoil 1'!$AB$22:$AB$41,BC21,1)*(L21-INDEX('Airfoil 1'!$Z$22:$Z$41,BC21,1))</f>
        <v>2.7263130346232178E-2</v>
      </c>
      <c r="BE21" s="6"/>
      <c r="BF21" s="16">
        <f ca="1">(L21-'Airfoil 1'!$Z$47)/ABS(L21-'Airfoil 1'!$Z$47)</f>
        <v>1</v>
      </c>
      <c r="BG21" s="16">
        <f ca="1">(L21-'Airfoil 1'!$Z$48)/ABS(L21-'Airfoil 1'!$Z$48)</f>
        <v>1</v>
      </c>
      <c r="BH21" s="16">
        <f ca="1">(L21-'Airfoil 1'!$Z$49)/ABS(L21-'Airfoil 1'!$Z$49)</f>
        <v>1</v>
      </c>
      <c r="BI21" s="16">
        <f ca="1">(L21-'Airfoil 1'!$Z$50)/ABS(L21-'Airfoil 1'!$Z$50)</f>
        <v>-1</v>
      </c>
      <c r="BJ21" s="16">
        <f ca="1">(L21-'Airfoil 1'!$Z$51)/ABS(L21-'Airfoil 1'!$Z$51)</f>
        <v>-1</v>
      </c>
      <c r="BK21" s="16">
        <f ca="1">(L21-'Airfoil 1'!$Z$52)/ABS(L21-'Airfoil 1'!$Z$52)</f>
        <v>-1</v>
      </c>
      <c r="BL21" s="16">
        <f ca="1">(L21-'Airfoil 1'!$Z$53)/ABS(L21-'Airfoil 1'!$Z$53)</f>
        <v>-1</v>
      </c>
      <c r="BM21" s="16">
        <f ca="1">(L21-'Airfoil 1'!$Z$54)/ABS(L21-'Airfoil 1'!$Z$54)</f>
        <v>-1</v>
      </c>
      <c r="BN21" s="16">
        <f ca="1">(L21-'Airfoil 1'!$Z$55)/ABS(L21-'Airfoil 1'!$Z$55)</f>
        <v>-1</v>
      </c>
      <c r="BO21" s="16">
        <f ca="1">(L21-'Airfoil 1'!$Z$56)/ABS(L21-'Airfoil 1'!$Z$56)</f>
        <v>-1</v>
      </c>
      <c r="BP21" s="16">
        <f ca="1">(L21-'Airfoil 1'!$Z$57)/ABS(L21-'Airfoil 1'!$Z$57)</f>
        <v>-1</v>
      </c>
      <c r="BQ21" s="16">
        <f ca="1">(L21-'Airfoil 1'!$Z$58)/ABS(L21-'Airfoil 1'!$Z$58)</f>
        <v>-1</v>
      </c>
      <c r="BR21" s="16">
        <f ca="1">(L21-'Airfoil 1'!$Z$59)/ABS(L21-'Airfoil 1'!$Z$59)</f>
        <v>-1</v>
      </c>
      <c r="BS21" s="16">
        <f ca="1">(L21-'Airfoil 1'!$Z$60)/ABS(L21-'Airfoil 1'!$Z$60)</f>
        <v>-1</v>
      </c>
      <c r="BT21" s="16">
        <f ca="1">(L21-'Airfoil 1'!$Z$61)/ABS(L21-'Airfoil 1'!$Z$61)</f>
        <v>-1</v>
      </c>
      <c r="BU21" s="16">
        <f ca="1">(L21-'Airfoil 1'!$Z$62)/ABS(L21-'Airfoil 1'!$Z$62)</f>
        <v>-1</v>
      </c>
      <c r="BV21" s="16">
        <f ca="1">(L21-'Airfoil 1'!$Z$63)/ABS(L21-'Airfoil 1'!$Z$63)</f>
        <v>-1</v>
      </c>
      <c r="BW21" s="16">
        <f ca="1">(L21-'Airfoil 1'!$Z$64)/ABS(L21-'Airfoil 1'!$Z$64)</f>
        <v>-1</v>
      </c>
      <c r="BX21" s="16">
        <f ca="1">(L21-'Airfoil 1'!$Z$65)/ABS(L21-'Airfoil 1'!$Z$65)</f>
        <v>-1</v>
      </c>
      <c r="BY21" s="16">
        <f ca="1">(L21-'Airfoil 1'!$Z$66)/ABS(L21-'Airfoil 1'!$Z$66)</f>
        <v>-1</v>
      </c>
      <c r="BZ21" s="5">
        <f ca="1">MAX(1,MATCH(-1,BF21:BY21,0)-1)</f>
        <v>3</v>
      </c>
      <c r="CA21" s="42">
        <f ca="1">INDEX('Airfoil 1'!$AA$47:$AA$66,BZ21,1)+INDEX('Airfoil 1'!$AB$47:$AB$66,BZ21,1)*(L21-INDEX('Airfoil 1'!$Z$47:$Z$66,BZ21,1))</f>
        <v>2.1230094827586206E-2</v>
      </c>
      <c r="CC21" s="16">
        <f ca="1">(L21-'Airfoil 1'!$Z$72)/ABS(L21-'Airfoil 1'!$Z$72)</f>
        <v>1</v>
      </c>
      <c r="CD21" s="16">
        <f ca="1">(L21-'Airfoil 1'!$Z$73)/ABS(L21-'Airfoil 1'!$Z$73)</f>
        <v>-1</v>
      </c>
      <c r="CE21" s="16">
        <f ca="1">(L21-'Airfoil 1'!$Z$74)/ABS(L21-'Airfoil 1'!$Z$74)</f>
        <v>-1</v>
      </c>
      <c r="CF21" s="16">
        <f ca="1">(L21-'Airfoil 1'!$Z$75)/ABS(L21-'Airfoil 1'!$Z$75)</f>
        <v>-1</v>
      </c>
      <c r="CG21" s="16">
        <f ca="1">(L21-'Airfoil 1'!$Z$76)/ABS(L21-'Airfoil 1'!$Z$76)</f>
        <v>-1</v>
      </c>
      <c r="CH21" s="16">
        <f ca="1">(L21-'Airfoil 1'!$Z$77)/ABS(L21-'Airfoil 1'!$Z$77)</f>
        <v>-1</v>
      </c>
      <c r="CI21" s="16">
        <f ca="1">(L21-'Airfoil 1'!$Z$78)/ABS(L21-'Airfoil 1'!$Z$78)</f>
        <v>-1</v>
      </c>
      <c r="CJ21" s="16">
        <f ca="1">(L21-'Airfoil 1'!$Z$79)/ABS(L21-'Airfoil 1'!$Z$79)</f>
        <v>-1</v>
      </c>
      <c r="CK21" s="16">
        <f ca="1">(L21-'Airfoil 1'!$Z$80)/ABS(L21-'Airfoil 1'!$Z$80)</f>
        <v>-1</v>
      </c>
      <c r="CL21" s="16">
        <f ca="1">(L21-'Airfoil 1'!$Z$81)/ABS(L21-'Airfoil 1'!$Z$81)</f>
        <v>-1</v>
      </c>
      <c r="CM21" s="16">
        <f ca="1">(L21-'Airfoil 1'!$Z$82)/ABS(L21-'Airfoil 1'!$Z$82)</f>
        <v>-1</v>
      </c>
      <c r="CN21" s="16">
        <f ca="1">(L21-'Airfoil 1'!$Z$83)/ABS(L21-'Airfoil 1'!$Z$83)</f>
        <v>-1</v>
      </c>
      <c r="CO21" s="16">
        <f ca="1">(L21-'Airfoil 1'!$Z$84)/ABS(L21-'Airfoil 1'!$Z$84)</f>
        <v>-1</v>
      </c>
      <c r="CP21" s="16">
        <f ca="1">(L21-'Airfoil 1'!$Z$85)/ABS(L21-'Airfoil 1'!$Z$85)</f>
        <v>-1</v>
      </c>
      <c r="CQ21" s="16">
        <f ca="1">(L21-'Airfoil 1'!$Z$86)/ABS(L21-'Airfoil 1'!$Z$86)</f>
        <v>-1</v>
      </c>
      <c r="CR21" s="16">
        <f ca="1">(L21-'Airfoil 1'!$Z$87)/ABS(L21-'Airfoil 1'!$Z$87)</f>
        <v>-1</v>
      </c>
      <c r="CS21" s="16">
        <f ca="1">(L21-'Airfoil 1'!$Z$88)/ABS(L21-'Airfoil 1'!$Z$88)</f>
        <v>-1</v>
      </c>
      <c r="CT21" s="16">
        <f ca="1">(L21-'Airfoil 1'!$Z$89)/ABS(L21-'Airfoil 1'!$Z$89)</f>
        <v>-1</v>
      </c>
      <c r="CU21" s="16">
        <f ca="1">(L21-'Airfoil 1'!$Z$90)/ABS(L21-'Airfoil 1'!$Z$90)</f>
        <v>-1</v>
      </c>
      <c r="CV21" s="16">
        <f ca="1">(L21-'Airfoil 1'!$Z$91)/ABS(L21-'Airfoil 1'!$Z$91)</f>
        <v>-1</v>
      </c>
      <c r="CW21" s="5">
        <f ca="1">MAX(1,MATCH(-1,CC21:CV21,0)-1)</f>
        <v>1</v>
      </c>
      <c r="CX21" s="42">
        <f ca="1">INDEX('Airfoil 1'!$AA$72:$AA$91,CW21,1)+INDEX('Airfoil 1'!$AB$72:$AB$91,CW21,1)*(L21-INDEX('Airfoil 1'!$Z$72:$Z$91,CW21,1))</f>
        <v>1.2713052256532067E-2</v>
      </c>
    </row>
    <row r="22" spans="2:102">
      <c r="B22" s="31">
        <f>Main!B22</f>
        <v>0.33333333333333326</v>
      </c>
      <c r="D22" s="1">
        <f>Cruise!F22</f>
        <v>0.65969672852566186</v>
      </c>
      <c r="E22" s="4">
        <f>ISA!$R$10</f>
        <v>1.5987591530356481E-5</v>
      </c>
      <c r="G22" s="13">
        <f ca="1">'Aerodynamics-Descent'!H22</f>
        <v>42.291535781602576</v>
      </c>
      <c r="H22" s="5">
        <f t="shared" ca="1" si="0"/>
        <v>581692.53212144284</v>
      </c>
      <c r="I22" s="16">
        <f ca="1">'Airfoil 2'!$K$14*H22^'Airfoil 2'!$L$13</f>
        <v>1.5941088983918135</v>
      </c>
      <c r="J22" s="1">
        <f ca="1">'Airfoil 2'!$K$33*H22^'Airfoil 2'!$L$32</f>
        <v>4.2429052983247066</v>
      </c>
      <c r="K22" s="13">
        <f ca="1">'Airfoil 2'!$K$52*H22^'Airfoil 2'!$L$51</f>
        <v>-12.87578344472395</v>
      </c>
      <c r="L22" s="16">
        <f ca="1">'Aerodynamics-Descent'!W22</f>
        <v>0.45</v>
      </c>
      <c r="M22" s="10">
        <f ca="1">('Airfoil 1'!$B$21+'Airfoil 1'!$B$22*L22+'Airfoil 1'!$B$23*L22^2+'Airfoil 1'!$B$24*L22^3+'Airfoil 1'!$B$25*L22^4+'Airfoil 1'!$B$26*L22^5+'Airfoil 1'!$B$27*L22^6)*0+BD22</f>
        <v>2.7263130346232178E-2</v>
      </c>
      <c r="N22" s="42">
        <f ca="1">('Airfoil 1'!$B$29+'Airfoil 1'!$B$30*L22+'Airfoil 1'!$B$31*L22^2+'Airfoil 1'!$B$32*L22^3+'Airfoil 1'!$B$33*L22^4+'Airfoil 1'!$B$34*L22^5+'Airfoil 1'!$B$35*L22^6)*0+CA22</f>
        <v>2.1230094827586206E-2</v>
      </c>
      <c r="O22" s="42">
        <f ca="1">('Airfoil 1'!$B$37+'Airfoil 1'!$B$38*L22+'Airfoil 1'!$B$39*L22^2+'Airfoil 1'!$B$40*L22^3+'Airfoil 1'!$B$41*L22^4+'Airfoil 1'!$B$42*L22^5+'Airfoil 1'!$B$43*L22^6)*0+CX22</f>
        <v>1.2713052256532067E-2</v>
      </c>
      <c r="P22" s="16">
        <f>LOG('Airfoil 1'!$F$10)+LOG('Airfoil 1'!$G$10)+LOG('Airfoil 1'!$H$10)</f>
        <v>15.176091259055681</v>
      </c>
      <c r="Q22" s="16">
        <f t="shared" ca="1" si="1"/>
        <v>-5.133222513886718</v>
      </c>
      <c r="R22" s="16">
        <f>LOG('Airfoil 1'!$F$10)^2+LOG('Airfoil 1'!$G$10)^2+LOG('Airfoil 1'!$H$10)^2</f>
        <v>76.867141336751558</v>
      </c>
      <c r="S22" s="16">
        <f ca="1">LOG('Airfoil 1'!$F$10)*LOG(M22)+LOG('Airfoil 1'!$G$10)*LOG(N22)+LOG('Airfoil 1'!$H$10)*LOG(O22)</f>
        <v>-26.041333041174283</v>
      </c>
      <c r="T22" s="16">
        <f t="shared" ref="T22:T40" ca="1" si="7">POWER(10,(S22/R22-Q22/P22)/(P22/R22-3/P22))</f>
        <v>154.2521937837034</v>
      </c>
      <c r="U22" s="16">
        <f t="shared" ca="1" si="2"/>
        <v>-0.77081221785869947</v>
      </c>
      <c r="V22" s="42">
        <f ca="1">IF(Energy!$F$11=1,Energy!$T$13,1)*T22*H22^U22</f>
        <v>6.1251083348354647E-3</v>
      </c>
      <c r="W22" s="10">
        <f ca="1">'Airfoil 1'!$B$48+'Airfoil 1'!$B$49*L22+'Airfoil 1'!$B$50*L22^2+'Airfoil 1'!$B$51*L22^3+'Airfoil 1'!$B$52*L22^4+'Airfoil 1'!$B$53*L22^5+'Airfoil 1'!$B$54*L22^6</f>
        <v>-0.155</v>
      </c>
      <c r="X22" s="42">
        <f ca="1">'Airfoil 1'!$B$56+'Airfoil 1'!$B$57*L22+'Airfoil 1'!$B$58*L22^2+'Airfoil 1'!$B$59*L22^3+'Airfoil 1'!$B$60*L22^4+'Airfoil 1'!$B$61*L22^5+'Airfoil 1'!$B$62*L22^6</f>
        <v>-0.155</v>
      </c>
      <c r="Y22" s="42">
        <f ca="1">'Airfoil 1'!$B$64+'Airfoil 1'!$B$65*L22+'Airfoil 1'!$B$66*L22^2+'Airfoil 1'!$B$67*L22^3+'Airfoil 1'!$B$681*L22^4+'Airfoil 1'!$B$69*L22^5+'Airfoil 1'!$B$70*L22^6</f>
        <v>-0.155</v>
      </c>
      <c r="Z22" s="16">
        <f>LOG('Airfoil 1'!$F$10)+LOG('Airfoil 1'!$G$10)+LOG('Airfoil 1'!$H$10)</f>
        <v>15.176091259055681</v>
      </c>
      <c r="AA22" s="16">
        <f t="shared" ca="1" si="3"/>
        <v>-2.4290049054891254</v>
      </c>
      <c r="AB22" s="16">
        <f>LOG('Airfoil 1'!$F$10)^2+LOG('Airfoil 1'!$G$10)^2+LOG('Airfoil 1'!$H$10)^2</f>
        <v>76.867141336751558</v>
      </c>
      <c r="AC22" s="16">
        <f ca="1">LOG('Airfoil 1'!$F$10)*LOG(ABS(W22))+LOG('Airfoil 1'!$G$10)*LOG(ABS(X22))+LOG('Airfoil 1'!$H$10)*LOG(ABS(Y22))</f>
        <v>-12.287600038132297</v>
      </c>
      <c r="AD22" s="16">
        <f t="shared" ca="1" si="4"/>
        <v>0.1550000000000121</v>
      </c>
      <c r="AE22" s="16">
        <f t="shared" ca="1" si="5"/>
        <v>-6.6718325633022456E-15</v>
      </c>
      <c r="AF22" s="42">
        <f t="shared" ca="1" si="6"/>
        <v>-0.15499999999999836</v>
      </c>
      <c r="AG22" s="16"/>
      <c r="AH22" s="42"/>
      <c r="AI22" s="16">
        <f ca="1">(L22-'Airfoil 1'!$Z$22)/ABS(L22-'Airfoil 1'!$Z$22)</f>
        <v>1</v>
      </c>
      <c r="AJ22" s="16">
        <f ca="1">(L22-'Airfoil 1'!$Z$23)/ABS(L22-'Airfoil 1'!$Z$23)</f>
        <v>1</v>
      </c>
      <c r="AK22" s="16">
        <f ca="1">(L22-'Airfoil 1'!$Z$24)/ABS(L22-'Airfoil 1'!$Z$24)</f>
        <v>1</v>
      </c>
      <c r="AL22" s="16">
        <f ca="1">(L22-'Airfoil 1'!$Z$25)/ABS(L22-'Airfoil 1'!$Z$25)</f>
        <v>1</v>
      </c>
      <c r="AM22" s="16">
        <f ca="1">(L22-'Airfoil 1'!$Z$26)/ABS(L22-'Airfoil 1'!$Z$26)</f>
        <v>-1</v>
      </c>
      <c r="AN22" s="16">
        <f ca="1">(L22-'Airfoil 1'!$Z$27)/ABS(L22-'Airfoil 1'!$Z$27)</f>
        <v>-1</v>
      </c>
      <c r="AO22" s="16">
        <f ca="1">(L22-'Airfoil 1'!$Z$28)/ABS(L22-'Airfoil 1'!$Z$28)</f>
        <v>-1</v>
      </c>
      <c r="AP22" s="16">
        <f ca="1">(L22-'Airfoil 1'!$Z$29)/ABS(L22-'Airfoil 1'!$Z$29)</f>
        <v>-1</v>
      </c>
      <c r="AQ22" s="16">
        <f ca="1">(L22-'Airfoil 1'!$Z$30)/ABS(L22-'Airfoil 1'!$Z$30)</f>
        <v>-1</v>
      </c>
      <c r="AR22" s="16">
        <f ca="1">(L22-'Airfoil 1'!$Z$31)/ABS(L22-'Airfoil 1'!$Z$31)</f>
        <v>-1</v>
      </c>
      <c r="AS22" s="16">
        <f ca="1">(L22-'Airfoil 1'!$Z$32)/ABS(L22-'Airfoil 1'!$Z$32)</f>
        <v>-1</v>
      </c>
      <c r="AT22" s="16">
        <f ca="1">(L22-'Airfoil 1'!$Z$33)/ABS(L22-'Airfoil 1'!$Z$33)</f>
        <v>-1</v>
      </c>
      <c r="AU22" s="16">
        <f ca="1">(L22-'Airfoil 1'!$Z$34)/ABS(L22-'Airfoil 1'!$Z$34)</f>
        <v>-1</v>
      </c>
      <c r="AV22" s="16">
        <f ca="1">(L22-'Airfoil 1'!$Z$35)/ABS(L22-'Airfoil 1'!$Z$35)</f>
        <v>-1</v>
      </c>
      <c r="AW22" s="16">
        <f ca="1">(L22-'Airfoil 1'!$Z$36)/ABS(L22-'Airfoil 1'!$Z$36)</f>
        <v>-1</v>
      </c>
      <c r="AX22" s="16">
        <f ca="1">(L22-'Airfoil 1'!$Z$37)/ABS(L22-'Airfoil 1'!$Z$37)</f>
        <v>-1</v>
      </c>
      <c r="AY22" s="16">
        <f ca="1">(L22-'Airfoil 1'!$Z$38)/ABS(L22-'Airfoil 1'!$Z$38)</f>
        <v>-1</v>
      </c>
      <c r="AZ22" s="16">
        <f ca="1">(L22-'Airfoil 1'!$Z$39)/ABS(L22-'Airfoil 1'!$Z$39)</f>
        <v>-1</v>
      </c>
      <c r="BA22" s="16">
        <f ca="1">(L22-'Airfoil 1'!$Z$40)/ABS(L22-'Airfoil 1'!$Z$40)</f>
        <v>-1</v>
      </c>
      <c r="BB22" s="16">
        <f ca="1">(L22-'Airfoil 1'!$Z$41)/ABS(L22-'Airfoil 1'!$Z$41)</f>
        <v>-1</v>
      </c>
      <c r="BC22" s="5">
        <f t="shared" ref="BC22:BC40" ca="1" si="8">MAX(1,MATCH(-1,AI22:BB22,0)-1)</f>
        <v>4</v>
      </c>
      <c r="BD22" s="42">
        <f ca="1">INDEX('Airfoil 1'!$AA$22:$AA$41,BC22,1)+INDEX('Airfoil 1'!$AB$22:$AB$41,BC22,1)*(L22-INDEX('Airfoil 1'!$Z$22:$Z$41,BC22,1))</f>
        <v>2.7263130346232178E-2</v>
      </c>
      <c r="BE22" s="6"/>
      <c r="BF22" s="16">
        <f ca="1">(L22-'Airfoil 1'!$Z$47)/ABS(L22-'Airfoil 1'!$Z$47)</f>
        <v>1</v>
      </c>
      <c r="BG22" s="16">
        <f ca="1">(L22-'Airfoil 1'!$Z$48)/ABS(L22-'Airfoil 1'!$Z$48)</f>
        <v>1</v>
      </c>
      <c r="BH22" s="16">
        <f ca="1">(L22-'Airfoil 1'!$Z$49)/ABS(L22-'Airfoil 1'!$Z$49)</f>
        <v>1</v>
      </c>
      <c r="BI22" s="16">
        <f ca="1">(L22-'Airfoil 1'!$Z$50)/ABS(L22-'Airfoil 1'!$Z$50)</f>
        <v>-1</v>
      </c>
      <c r="BJ22" s="16">
        <f ca="1">(L22-'Airfoil 1'!$Z$51)/ABS(L22-'Airfoil 1'!$Z$51)</f>
        <v>-1</v>
      </c>
      <c r="BK22" s="16">
        <f ca="1">(L22-'Airfoil 1'!$Z$52)/ABS(L22-'Airfoil 1'!$Z$52)</f>
        <v>-1</v>
      </c>
      <c r="BL22" s="16">
        <f ca="1">(L22-'Airfoil 1'!$Z$53)/ABS(L22-'Airfoil 1'!$Z$53)</f>
        <v>-1</v>
      </c>
      <c r="BM22" s="16">
        <f ca="1">(L22-'Airfoil 1'!$Z$54)/ABS(L22-'Airfoil 1'!$Z$54)</f>
        <v>-1</v>
      </c>
      <c r="BN22" s="16">
        <f ca="1">(L22-'Airfoil 1'!$Z$55)/ABS(L22-'Airfoil 1'!$Z$55)</f>
        <v>-1</v>
      </c>
      <c r="BO22" s="16">
        <f ca="1">(L22-'Airfoil 1'!$Z$56)/ABS(L22-'Airfoil 1'!$Z$56)</f>
        <v>-1</v>
      </c>
      <c r="BP22" s="16">
        <f ca="1">(L22-'Airfoil 1'!$Z$57)/ABS(L22-'Airfoil 1'!$Z$57)</f>
        <v>-1</v>
      </c>
      <c r="BQ22" s="16">
        <f ca="1">(L22-'Airfoil 1'!$Z$58)/ABS(L22-'Airfoil 1'!$Z$58)</f>
        <v>-1</v>
      </c>
      <c r="BR22" s="16">
        <f ca="1">(L22-'Airfoil 1'!$Z$59)/ABS(L22-'Airfoil 1'!$Z$59)</f>
        <v>-1</v>
      </c>
      <c r="BS22" s="16">
        <f ca="1">(L22-'Airfoil 1'!$Z$60)/ABS(L22-'Airfoil 1'!$Z$60)</f>
        <v>-1</v>
      </c>
      <c r="BT22" s="16">
        <f ca="1">(L22-'Airfoil 1'!$Z$61)/ABS(L22-'Airfoil 1'!$Z$61)</f>
        <v>-1</v>
      </c>
      <c r="BU22" s="16">
        <f ca="1">(L22-'Airfoil 1'!$Z$62)/ABS(L22-'Airfoil 1'!$Z$62)</f>
        <v>-1</v>
      </c>
      <c r="BV22" s="16">
        <f ca="1">(L22-'Airfoil 1'!$Z$63)/ABS(L22-'Airfoil 1'!$Z$63)</f>
        <v>-1</v>
      </c>
      <c r="BW22" s="16">
        <f ca="1">(L22-'Airfoil 1'!$Z$64)/ABS(L22-'Airfoil 1'!$Z$64)</f>
        <v>-1</v>
      </c>
      <c r="BX22" s="16">
        <f ca="1">(L22-'Airfoil 1'!$Z$65)/ABS(L22-'Airfoil 1'!$Z$65)</f>
        <v>-1</v>
      </c>
      <c r="BY22" s="16">
        <f ca="1">(L22-'Airfoil 1'!$Z$66)/ABS(L22-'Airfoil 1'!$Z$66)</f>
        <v>-1</v>
      </c>
      <c r="BZ22" s="5">
        <f t="shared" ref="BZ22:BZ40" ca="1" si="9">MAX(1,MATCH(-1,BF22:BY22,0)-1)</f>
        <v>3</v>
      </c>
      <c r="CA22" s="42">
        <f ca="1">INDEX('Airfoil 1'!$AA$47:$AA$66,BZ22,1)+INDEX('Airfoil 1'!$AB$47:$AB$66,BZ22,1)*(L22-INDEX('Airfoil 1'!$Z$47:$Z$66,BZ22,1))</f>
        <v>2.1230094827586206E-2</v>
      </c>
      <c r="CC22" s="16">
        <f ca="1">(L22-'Airfoil 1'!$Z$72)/ABS(L22-'Airfoil 1'!$Z$72)</f>
        <v>1</v>
      </c>
      <c r="CD22" s="16">
        <f ca="1">(L22-'Airfoil 1'!$Z$73)/ABS(L22-'Airfoil 1'!$Z$73)</f>
        <v>-1</v>
      </c>
      <c r="CE22" s="16">
        <f ca="1">(L22-'Airfoil 1'!$Z$74)/ABS(L22-'Airfoil 1'!$Z$74)</f>
        <v>-1</v>
      </c>
      <c r="CF22" s="16">
        <f ca="1">(L22-'Airfoil 1'!$Z$75)/ABS(L22-'Airfoil 1'!$Z$75)</f>
        <v>-1</v>
      </c>
      <c r="CG22" s="16">
        <f ca="1">(L22-'Airfoil 1'!$Z$76)/ABS(L22-'Airfoil 1'!$Z$76)</f>
        <v>-1</v>
      </c>
      <c r="CH22" s="16">
        <f ca="1">(L22-'Airfoil 1'!$Z$77)/ABS(L22-'Airfoil 1'!$Z$77)</f>
        <v>-1</v>
      </c>
      <c r="CI22" s="16">
        <f ca="1">(L22-'Airfoil 1'!$Z$78)/ABS(L22-'Airfoil 1'!$Z$78)</f>
        <v>-1</v>
      </c>
      <c r="CJ22" s="16">
        <f ca="1">(L22-'Airfoil 1'!$Z$79)/ABS(L22-'Airfoil 1'!$Z$79)</f>
        <v>-1</v>
      </c>
      <c r="CK22" s="16">
        <f ca="1">(L22-'Airfoil 1'!$Z$80)/ABS(L22-'Airfoil 1'!$Z$80)</f>
        <v>-1</v>
      </c>
      <c r="CL22" s="16">
        <f ca="1">(L22-'Airfoil 1'!$Z$81)/ABS(L22-'Airfoil 1'!$Z$81)</f>
        <v>-1</v>
      </c>
      <c r="CM22" s="16">
        <f ca="1">(L22-'Airfoil 1'!$Z$82)/ABS(L22-'Airfoil 1'!$Z$82)</f>
        <v>-1</v>
      </c>
      <c r="CN22" s="16">
        <f ca="1">(L22-'Airfoil 1'!$Z$83)/ABS(L22-'Airfoil 1'!$Z$83)</f>
        <v>-1</v>
      </c>
      <c r="CO22" s="16">
        <f ca="1">(L22-'Airfoil 1'!$Z$84)/ABS(L22-'Airfoil 1'!$Z$84)</f>
        <v>-1</v>
      </c>
      <c r="CP22" s="16">
        <f ca="1">(L22-'Airfoil 1'!$Z$85)/ABS(L22-'Airfoil 1'!$Z$85)</f>
        <v>-1</v>
      </c>
      <c r="CQ22" s="16">
        <f ca="1">(L22-'Airfoil 1'!$Z$86)/ABS(L22-'Airfoil 1'!$Z$86)</f>
        <v>-1</v>
      </c>
      <c r="CR22" s="16">
        <f ca="1">(L22-'Airfoil 1'!$Z$87)/ABS(L22-'Airfoil 1'!$Z$87)</f>
        <v>-1</v>
      </c>
      <c r="CS22" s="16">
        <f ca="1">(L22-'Airfoil 1'!$Z$88)/ABS(L22-'Airfoil 1'!$Z$88)</f>
        <v>-1</v>
      </c>
      <c r="CT22" s="16">
        <f ca="1">(L22-'Airfoil 1'!$Z$89)/ABS(L22-'Airfoil 1'!$Z$89)</f>
        <v>-1</v>
      </c>
      <c r="CU22" s="16">
        <f ca="1">(L22-'Airfoil 1'!$Z$90)/ABS(L22-'Airfoil 1'!$Z$90)</f>
        <v>-1</v>
      </c>
      <c r="CV22" s="16">
        <f ca="1">(L22-'Airfoil 1'!$Z$91)/ABS(L22-'Airfoil 1'!$Z$91)</f>
        <v>-1</v>
      </c>
      <c r="CW22" s="5">
        <f t="shared" ref="CW22:CW40" ca="1" si="10">MAX(1,MATCH(-1,CC22:CV22,0)-1)</f>
        <v>1</v>
      </c>
      <c r="CX22" s="42">
        <f ca="1">INDEX('Airfoil 1'!$AA$72:$AA$91,CW22,1)+INDEX('Airfoil 1'!$AB$72:$AB$91,CW22,1)*(L22-INDEX('Airfoil 1'!$Z$72:$Z$91,CW22,1))</f>
        <v>1.2713052256532067E-2</v>
      </c>
    </row>
    <row r="23" spans="2:102">
      <c r="B23" s="31">
        <f>Main!B23</f>
        <v>0.33333333333333326</v>
      </c>
      <c r="D23" s="1">
        <f>Cruise!F23</f>
        <v>0.65969672852566186</v>
      </c>
      <c r="E23" s="4">
        <f>ISA!$R$10</f>
        <v>1.5987591530356481E-5</v>
      </c>
      <c r="G23" s="13">
        <f ca="1">'Aerodynamics-Descent'!H23</f>
        <v>41.621468887665337</v>
      </c>
      <c r="H23" s="5">
        <f t="shared" ca="1" si="0"/>
        <v>572476.19837944012</v>
      </c>
      <c r="I23" s="16">
        <f ca="1">'Airfoil 2'!$K$14*H23^'Airfoil 2'!$L$13</f>
        <v>1.5937550190984757</v>
      </c>
      <c r="J23" s="1">
        <f ca="1">'Airfoil 2'!$K$33*H23^'Airfoil 2'!$L$32</f>
        <v>4.2657583064563465</v>
      </c>
      <c r="K23" s="13">
        <f ca="1">'Airfoil 2'!$K$52*H23^'Airfoil 2'!$L$51</f>
        <v>-12.738995241439666</v>
      </c>
      <c r="L23" s="16">
        <f ca="1">'Aerodynamics-Descent'!W23</f>
        <v>0.45</v>
      </c>
      <c r="M23" s="10">
        <f ca="1">('Airfoil 1'!$B$21+'Airfoil 1'!$B$22*L23+'Airfoil 1'!$B$23*L23^2+'Airfoil 1'!$B$24*L23^3+'Airfoil 1'!$B$25*L23^4+'Airfoil 1'!$B$26*L23^5+'Airfoil 1'!$B$27*L23^6)*0+BD23</f>
        <v>2.7263130346232178E-2</v>
      </c>
      <c r="N23" s="42">
        <f ca="1">('Airfoil 1'!$B$29+'Airfoil 1'!$B$30*L23+'Airfoil 1'!$B$31*L23^2+'Airfoil 1'!$B$32*L23^3+'Airfoil 1'!$B$33*L23^4+'Airfoil 1'!$B$34*L23^5+'Airfoil 1'!$B$35*L23^6)*0+CA23</f>
        <v>2.1230094827586206E-2</v>
      </c>
      <c r="O23" s="42">
        <f ca="1">('Airfoil 1'!$B$37+'Airfoil 1'!$B$38*L23+'Airfoil 1'!$B$39*L23^2+'Airfoil 1'!$B$40*L23^3+'Airfoil 1'!$B$41*L23^4+'Airfoil 1'!$B$42*L23^5+'Airfoil 1'!$B$43*L23^6)*0+CX23</f>
        <v>1.2713052256532067E-2</v>
      </c>
      <c r="P23" s="16">
        <f>LOG('Airfoil 1'!$F$10)+LOG('Airfoil 1'!$G$10)+LOG('Airfoil 1'!$H$10)</f>
        <v>15.176091259055681</v>
      </c>
      <c r="Q23" s="16">
        <f t="shared" ca="1" si="1"/>
        <v>-5.133222513886718</v>
      </c>
      <c r="R23" s="16">
        <f>LOG('Airfoil 1'!$F$10)^2+LOG('Airfoil 1'!$G$10)^2+LOG('Airfoil 1'!$H$10)^2</f>
        <v>76.867141336751558</v>
      </c>
      <c r="S23" s="16">
        <f ca="1">LOG('Airfoil 1'!$F$10)*LOG(M23)+LOG('Airfoil 1'!$G$10)*LOG(N23)+LOG('Airfoil 1'!$H$10)*LOG(O23)</f>
        <v>-26.041333041174283</v>
      </c>
      <c r="T23" s="16">
        <f t="shared" ca="1" si="7"/>
        <v>154.2521937837034</v>
      </c>
      <c r="U23" s="16">
        <f t="shared" ca="1" si="2"/>
        <v>-0.77081221785869947</v>
      </c>
      <c r="V23" s="42">
        <f ca="1">IF(Energy!$F$11=1,Energy!$T$13,1)*T23*H23^U23</f>
        <v>6.2009776947229154E-3</v>
      </c>
      <c r="W23" s="10">
        <f ca="1">'Airfoil 1'!$B$48+'Airfoil 1'!$B$49*L23+'Airfoil 1'!$B$50*L23^2+'Airfoil 1'!$B$51*L23^3+'Airfoil 1'!$B$52*L23^4+'Airfoil 1'!$B$53*L23^5+'Airfoil 1'!$B$54*L23^6</f>
        <v>-0.155</v>
      </c>
      <c r="X23" s="42">
        <f ca="1">'Airfoil 1'!$B$56+'Airfoil 1'!$B$57*L23+'Airfoil 1'!$B$58*L23^2+'Airfoil 1'!$B$59*L23^3+'Airfoil 1'!$B$60*L23^4+'Airfoil 1'!$B$61*L23^5+'Airfoil 1'!$B$62*L23^6</f>
        <v>-0.155</v>
      </c>
      <c r="Y23" s="42">
        <f ca="1">'Airfoil 1'!$B$64+'Airfoil 1'!$B$65*L23+'Airfoil 1'!$B$66*L23^2+'Airfoil 1'!$B$67*L23^3+'Airfoil 1'!$B$681*L23^4+'Airfoil 1'!$B$69*L23^5+'Airfoil 1'!$B$70*L23^6</f>
        <v>-0.155</v>
      </c>
      <c r="Z23" s="16">
        <f>LOG('Airfoil 1'!$F$10)+LOG('Airfoil 1'!$G$10)+LOG('Airfoil 1'!$H$10)</f>
        <v>15.176091259055681</v>
      </c>
      <c r="AA23" s="16">
        <f t="shared" ca="1" si="3"/>
        <v>-2.4290049054891254</v>
      </c>
      <c r="AB23" s="16">
        <f>LOG('Airfoil 1'!$F$10)^2+LOG('Airfoil 1'!$G$10)^2+LOG('Airfoil 1'!$H$10)^2</f>
        <v>76.867141336751558</v>
      </c>
      <c r="AC23" s="16">
        <f ca="1">LOG('Airfoil 1'!$F$10)*LOG(ABS(W23))+LOG('Airfoil 1'!$G$10)*LOG(ABS(X23))+LOG('Airfoil 1'!$H$10)*LOG(ABS(Y23))</f>
        <v>-12.287600038132297</v>
      </c>
      <c r="AD23" s="16">
        <f t="shared" ca="1" si="4"/>
        <v>0.1550000000000121</v>
      </c>
      <c r="AE23" s="16">
        <f t="shared" ca="1" si="5"/>
        <v>-6.6718325633022456E-15</v>
      </c>
      <c r="AF23" s="42">
        <f t="shared" ca="1" si="6"/>
        <v>-0.15499999999999839</v>
      </c>
      <c r="AG23" s="16"/>
      <c r="AH23" s="42"/>
      <c r="AI23" s="16">
        <f ca="1">(L23-'Airfoil 1'!$Z$22)/ABS(L23-'Airfoil 1'!$Z$22)</f>
        <v>1</v>
      </c>
      <c r="AJ23" s="16">
        <f ca="1">(L23-'Airfoil 1'!$Z$23)/ABS(L23-'Airfoil 1'!$Z$23)</f>
        <v>1</v>
      </c>
      <c r="AK23" s="16">
        <f ca="1">(L23-'Airfoil 1'!$Z$24)/ABS(L23-'Airfoil 1'!$Z$24)</f>
        <v>1</v>
      </c>
      <c r="AL23" s="16">
        <f ca="1">(L23-'Airfoil 1'!$Z$25)/ABS(L23-'Airfoil 1'!$Z$25)</f>
        <v>1</v>
      </c>
      <c r="AM23" s="16">
        <f ca="1">(L23-'Airfoil 1'!$Z$26)/ABS(L23-'Airfoil 1'!$Z$26)</f>
        <v>-1</v>
      </c>
      <c r="AN23" s="16">
        <f ca="1">(L23-'Airfoil 1'!$Z$27)/ABS(L23-'Airfoil 1'!$Z$27)</f>
        <v>-1</v>
      </c>
      <c r="AO23" s="16">
        <f ca="1">(L23-'Airfoil 1'!$Z$28)/ABS(L23-'Airfoil 1'!$Z$28)</f>
        <v>-1</v>
      </c>
      <c r="AP23" s="16">
        <f ca="1">(L23-'Airfoil 1'!$Z$29)/ABS(L23-'Airfoil 1'!$Z$29)</f>
        <v>-1</v>
      </c>
      <c r="AQ23" s="16">
        <f ca="1">(L23-'Airfoil 1'!$Z$30)/ABS(L23-'Airfoil 1'!$Z$30)</f>
        <v>-1</v>
      </c>
      <c r="AR23" s="16">
        <f ca="1">(L23-'Airfoil 1'!$Z$31)/ABS(L23-'Airfoil 1'!$Z$31)</f>
        <v>-1</v>
      </c>
      <c r="AS23" s="16">
        <f ca="1">(L23-'Airfoil 1'!$Z$32)/ABS(L23-'Airfoil 1'!$Z$32)</f>
        <v>-1</v>
      </c>
      <c r="AT23" s="16">
        <f ca="1">(L23-'Airfoil 1'!$Z$33)/ABS(L23-'Airfoil 1'!$Z$33)</f>
        <v>-1</v>
      </c>
      <c r="AU23" s="16">
        <f ca="1">(L23-'Airfoil 1'!$Z$34)/ABS(L23-'Airfoil 1'!$Z$34)</f>
        <v>-1</v>
      </c>
      <c r="AV23" s="16">
        <f ca="1">(L23-'Airfoil 1'!$Z$35)/ABS(L23-'Airfoil 1'!$Z$35)</f>
        <v>-1</v>
      </c>
      <c r="AW23" s="16">
        <f ca="1">(L23-'Airfoil 1'!$Z$36)/ABS(L23-'Airfoil 1'!$Z$36)</f>
        <v>-1</v>
      </c>
      <c r="AX23" s="16">
        <f ca="1">(L23-'Airfoil 1'!$Z$37)/ABS(L23-'Airfoil 1'!$Z$37)</f>
        <v>-1</v>
      </c>
      <c r="AY23" s="16">
        <f ca="1">(L23-'Airfoil 1'!$Z$38)/ABS(L23-'Airfoil 1'!$Z$38)</f>
        <v>-1</v>
      </c>
      <c r="AZ23" s="16">
        <f ca="1">(L23-'Airfoil 1'!$Z$39)/ABS(L23-'Airfoil 1'!$Z$39)</f>
        <v>-1</v>
      </c>
      <c r="BA23" s="16">
        <f ca="1">(L23-'Airfoil 1'!$Z$40)/ABS(L23-'Airfoil 1'!$Z$40)</f>
        <v>-1</v>
      </c>
      <c r="BB23" s="16">
        <f ca="1">(L23-'Airfoil 1'!$Z$41)/ABS(L23-'Airfoil 1'!$Z$41)</f>
        <v>-1</v>
      </c>
      <c r="BC23" s="5">
        <f t="shared" ca="1" si="8"/>
        <v>4</v>
      </c>
      <c r="BD23" s="42">
        <f ca="1">INDEX('Airfoil 1'!$AA$22:$AA$41,BC23,1)+INDEX('Airfoil 1'!$AB$22:$AB$41,BC23,1)*(L23-INDEX('Airfoil 1'!$Z$22:$Z$41,BC23,1))</f>
        <v>2.7263130346232178E-2</v>
      </c>
      <c r="BE23" s="6"/>
      <c r="BF23" s="16">
        <f ca="1">(L23-'Airfoil 1'!$Z$47)/ABS(L23-'Airfoil 1'!$Z$47)</f>
        <v>1</v>
      </c>
      <c r="BG23" s="16">
        <f ca="1">(L23-'Airfoil 1'!$Z$48)/ABS(L23-'Airfoil 1'!$Z$48)</f>
        <v>1</v>
      </c>
      <c r="BH23" s="16">
        <f ca="1">(L23-'Airfoil 1'!$Z$49)/ABS(L23-'Airfoil 1'!$Z$49)</f>
        <v>1</v>
      </c>
      <c r="BI23" s="16">
        <f ca="1">(L23-'Airfoil 1'!$Z$50)/ABS(L23-'Airfoil 1'!$Z$50)</f>
        <v>-1</v>
      </c>
      <c r="BJ23" s="16">
        <f ca="1">(L23-'Airfoil 1'!$Z$51)/ABS(L23-'Airfoil 1'!$Z$51)</f>
        <v>-1</v>
      </c>
      <c r="BK23" s="16">
        <f ca="1">(L23-'Airfoil 1'!$Z$52)/ABS(L23-'Airfoil 1'!$Z$52)</f>
        <v>-1</v>
      </c>
      <c r="BL23" s="16">
        <f ca="1">(L23-'Airfoil 1'!$Z$53)/ABS(L23-'Airfoil 1'!$Z$53)</f>
        <v>-1</v>
      </c>
      <c r="BM23" s="16">
        <f ca="1">(L23-'Airfoil 1'!$Z$54)/ABS(L23-'Airfoil 1'!$Z$54)</f>
        <v>-1</v>
      </c>
      <c r="BN23" s="16">
        <f ca="1">(L23-'Airfoil 1'!$Z$55)/ABS(L23-'Airfoil 1'!$Z$55)</f>
        <v>-1</v>
      </c>
      <c r="BO23" s="16">
        <f ca="1">(L23-'Airfoil 1'!$Z$56)/ABS(L23-'Airfoil 1'!$Z$56)</f>
        <v>-1</v>
      </c>
      <c r="BP23" s="16">
        <f ca="1">(L23-'Airfoil 1'!$Z$57)/ABS(L23-'Airfoil 1'!$Z$57)</f>
        <v>-1</v>
      </c>
      <c r="BQ23" s="16">
        <f ca="1">(L23-'Airfoil 1'!$Z$58)/ABS(L23-'Airfoil 1'!$Z$58)</f>
        <v>-1</v>
      </c>
      <c r="BR23" s="16">
        <f ca="1">(L23-'Airfoil 1'!$Z$59)/ABS(L23-'Airfoil 1'!$Z$59)</f>
        <v>-1</v>
      </c>
      <c r="BS23" s="16">
        <f ca="1">(L23-'Airfoil 1'!$Z$60)/ABS(L23-'Airfoil 1'!$Z$60)</f>
        <v>-1</v>
      </c>
      <c r="BT23" s="16">
        <f ca="1">(L23-'Airfoil 1'!$Z$61)/ABS(L23-'Airfoil 1'!$Z$61)</f>
        <v>-1</v>
      </c>
      <c r="BU23" s="16">
        <f ca="1">(L23-'Airfoil 1'!$Z$62)/ABS(L23-'Airfoil 1'!$Z$62)</f>
        <v>-1</v>
      </c>
      <c r="BV23" s="16">
        <f ca="1">(L23-'Airfoil 1'!$Z$63)/ABS(L23-'Airfoil 1'!$Z$63)</f>
        <v>-1</v>
      </c>
      <c r="BW23" s="16">
        <f ca="1">(L23-'Airfoil 1'!$Z$64)/ABS(L23-'Airfoil 1'!$Z$64)</f>
        <v>-1</v>
      </c>
      <c r="BX23" s="16">
        <f ca="1">(L23-'Airfoil 1'!$Z$65)/ABS(L23-'Airfoil 1'!$Z$65)</f>
        <v>-1</v>
      </c>
      <c r="BY23" s="16">
        <f ca="1">(L23-'Airfoil 1'!$Z$66)/ABS(L23-'Airfoil 1'!$Z$66)</f>
        <v>-1</v>
      </c>
      <c r="BZ23" s="5">
        <f t="shared" ca="1" si="9"/>
        <v>3</v>
      </c>
      <c r="CA23" s="42">
        <f ca="1">INDEX('Airfoil 1'!$AA$47:$AA$66,BZ23,1)+INDEX('Airfoil 1'!$AB$47:$AB$66,BZ23,1)*(L23-INDEX('Airfoil 1'!$Z$47:$Z$66,BZ23,1))</f>
        <v>2.1230094827586206E-2</v>
      </c>
      <c r="CC23" s="16">
        <f ca="1">(L23-'Airfoil 1'!$Z$72)/ABS(L23-'Airfoil 1'!$Z$72)</f>
        <v>1</v>
      </c>
      <c r="CD23" s="16">
        <f ca="1">(L23-'Airfoil 1'!$Z$73)/ABS(L23-'Airfoil 1'!$Z$73)</f>
        <v>-1</v>
      </c>
      <c r="CE23" s="16">
        <f ca="1">(L23-'Airfoil 1'!$Z$74)/ABS(L23-'Airfoil 1'!$Z$74)</f>
        <v>-1</v>
      </c>
      <c r="CF23" s="16">
        <f ca="1">(L23-'Airfoil 1'!$Z$75)/ABS(L23-'Airfoil 1'!$Z$75)</f>
        <v>-1</v>
      </c>
      <c r="CG23" s="16">
        <f ca="1">(L23-'Airfoil 1'!$Z$76)/ABS(L23-'Airfoil 1'!$Z$76)</f>
        <v>-1</v>
      </c>
      <c r="CH23" s="16">
        <f ca="1">(L23-'Airfoil 1'!$Z$77)/ABS(L23-'Airfoil 1'!$Z$77)</f>
        <v>-1</v>
      </c>
      <c r="CI23" s="16">
        <f ca="1">(L23-'Airfoil 1'!$Z$78)/ABS(L23-'Airfoil 1'!$Z$78)</f>
        <v>-1</v>
      </c>
      <c r="CJ23" s="16">
        <f ca="1">(L23-'Airfoil 1'!$Z$79)/ABS(L23-'Airfoil 1'!$Z$79)</f>
        <v>-1</v>
      </c>
      <c r="CK23" s="16">
        <f ca="1">(L23-'Airfoil 1'!$Z$80)/ABS(L23-'Airfoil 1'!$Z$80)</f>
        <v>-1</v>
      </c>
      <c r="CL23" s="16">
        <f ca="1">(L23-'Airfoil 1'!$Z$81)/ABS(L23-'Airfoil 1'!$Z$81)</f>
        <v>-1</v>
      </c>
      <c r="CM23" s="16">
        <f ca="1">(L23-'Airfoil 1'!$Z$82)/ABS(L23-'Airfoil 1'!$Z$82)</f>
        <v>-1</v>
      </c>
      <c r="CN23" s="16">
        <f ca="1">(L23-'Airfoil 1'!$Z$83)/ABS(L23-'Airfoil 1'!$Z$83)</f>
        <v>-1</v>
      </c>
      <c r="CO23" s="16">
        <f ca="1">(L23-'Airfoil 1'!$Z$84)/ABS(L23-'Airfoil 1'!$Z$84)</f>
        <v>-1</v>
      </c>
      <c r="CP23" s="16">
        <f ca="1">(L23-'Airfoil 1'!$Z$85)/ABS(L23-'Airfoil 1'!$Z$85)</f>
        <v>-1</v>
      </c>
      <c r="CQ23" s="16">
        <f ca="1">(L23-'Airfoil 1'!$Z$86)/ABS(L23-'Airfoil 1'!$Z$86)</f>
        <v>-1</v>
      </c>
      <c r="CR23" s="16">
        <f ca="1">(L23-'Airfoil 1'!$Z$87)/ABS(L23-'Airfoil 1'!$Z$87)</f>
        <v>-1</v>
      </c>
      <c r="CS23" s="16">
        <f ca="1">(L23-'Airfoil 1'!$Z$88)/ABS(L23-'Airfoil 1'!$Z$88)</f>
        <v>-1</v>
      </c>
      <c r="CT23" s="16">
        <f ca="1">(L23-'Airfoil 1'!$Z$89)/ABS(L23-'Airfoil 1'!$Z$89)</f>
        <v>-1</v>
      </c>
      <c r="CU23" s="16">
        <f ca="1">(L23-'Airfoil 1'!$Z$90)/ABS(L23-'Airfoil 1'!$Z$90)</f>
        <v>-1</v>
      </c>
      <c r="CV23" s="16">
        <f ca="1">(L23-'Airfoil 1'!$Z$91)/ABS(L23-'Airfoil 1'!$Z$91)</f>
        <v>-1</v>
      </c>
      <c r="CW23" s="5">
        <f t="shared" ca="1" si="10"/>
        <v>1</v>
      </c>
      <c r="CX23" s="42">
        <f ca="1">INDEX('Airfoil 1'!$AA$72:$AA$91,CW23,1)+INDEX('Airfoil 1'!$AB$72:$AB$91,CW23,1)*(L23-INDEX('Airfoil 1'!$Z$72:$Z$91,CW23,1))</f>
        <v>1.2713052256532067E-2</v>
      </c>
    </row>
    <row r="24" spans="2:102">
      <c r="B24" s="31">
        <f>Main!B24</f>
        <v>0.33333333333333326</v>
      </c>
      <c r="D24" s="1">
        <f>Cruise!F24</f>
        <v>0.65969672852566186</v>
      </c>
      <c r="E24" s="4">
        <f>ISA!$R$10</f>
        <v>1.5987591530356481E-5</v>
      </c>
      <c r="G24" s="13">
        <f ca="1">'Aerodynamics-Descent'!H24</f>
        <v>39.459908951120013</v>
      </c>
      <c r="H24" s="5">
        <f t="shared" ca="1" si="0"/>
        <v>542745.34917797195</v>
      </c>
      <c r="I24" s="16">
        <f ca="1">'Airfoil 2'!$K$14*H24^'Airfoil 2'!$L$13</f>
        <v>1.5925738912139391</v>
      </c>
      <c r="J24" s="1">
        <f ca="1">'Airfoil 2'!$K$33*H24^'Airfoil 2'!$L$32</f>
        <v>4.3429661077155597</v>
      </c>
      <c r="K24" s="13">
        <f ca="1">'Airfoil 2'!$K$52*H24^'Airfoil 2'!$L$51</f>
        <v>-12.292664560733334</v>
      </c>
      <c r="L24" s="16">
        <f ca="1">'Aerodynamics-Descent'!W24</f>
        <v>0.45</v>
      </c>
      <c r="M24" s="10">
        <f ca="1">('Airfoil 1'!$B$21+'Airfoil 1'!$B$22*L24+'Airfoil 1'!$B$23*L24^2+'Airfoil 1'!$B$24*L24^3+'Airfoil 1'!$B$25*L24^4+'Airfoil 1'!$B$26*L24^5+'Airfoil 1'!$B$27*L24^6)*0+BD24</f>
        <v>2.7263130346232178E-2</v>
      </c>
      <c r="N24" s="42">
        <f ca="1">('Airfoil 1'!$B$29+'Airfoil 1'!$B$30*L24+'Airfoil 1'!$B$31*L24^2+'Airfoil 1'!$B$32*L24^3+'Airfoil 1'!$B$33*L24^4+'Airfoil 1'!$B$34*L24^5+'Airfoil 1'!$B$35*L24^6)*0+CA24</f>
        <v>2.1230094827586206E-2</v>
      </c>
      <c r="O24" s="42">
        <f ca="1">('Airfoil 1'!$B$37+'Airfoil 1'!$B$38*L24+'Airfoil 1'!$B$39*L24^2+'Airfoil 1'!$B$40*L24^3+'Airfoil 1'!$B$41*L24^4+'Airfoil 1'!$B$42*L24^5+'Airfoil 1'!$B$43*L24^6)*0+CX24</f>
        <v>1.2713052256532067E-2</v>
      </c>
      <c r="P24" s="16">
        <f>LOG('Airfoil 1'!$F$10)+LOG('Airfoil 1'!$G$10)+LOG('Airfoil 1'!$H$10)</f>
        <v>15.176091259055681</v>
      </c>
      <c r="Q24" s="16">
        <f t="shared" ca="1" si="1"/>
        <v>-5.133222513886718</v>
      </c>
      <c r="R24" s="16">
        <f>LOG('Airfoil 1'!$F$10)^2+LOG('Airfoil 1'!$G$10)^2+LOG('Airfoil 1'!$H$10)^2</f>
        <v>76.867141336751558</v>
      </c>
      <c r="S24" s="16">
        <f ca="1">LOG('Airfoil 1'!$F$10)*LOG(M24)+LOG('Airfoil 1'!$G$10)*LOG(N24)+LOG('Airfoil 1'!$H$10)*LOG(O24)</f>
        <v>-26.041333041174283</v>
      </c>
      <c r="T24" s="16">
        <f t="shared" ca="1" si="7"/>
        <v>154.2521937837034</v>
      </c>
      <c r="U24" s="16">
        <f t="shared" ca="1" si="2"/>
        <v>-0.77081221785869947</v>
      </c>
      <c r="V24" s="42">
        <f ca="1">IF(Energy!$F$11=1,Energy!$T$13,1)*T24*H24^U24</f>
        <v>6.4612002451967399E-3</v>
      </c>
      <c r="W24" s="10">
        <f ca="1">'Airfoil 1'!$B$48+'Airfoil 1'!$B$49*L24+'Airfoil 1'!$B$50*L24^2+'Airfoil 1'!$B$51*L24^3+'Airfoil 1'!$B$52*L24^4+'Airfoil 1'!$B$53*L24^5+'Airfoil 1'!$B$54*L24^6</f>
        <v>-0.155</v>
      </c>
      <c r="X24" s="42">
        <f ca="1">'Airfoil 1'!$B$56+'Airfoil 1'!$B$57*L24+'Airfoil 1'!$B$58*L24^2+'Airfoil 1'!$B$59*L24^3+'Airfoil 1'!$B$60*L24^4+'Airfoil 1'!$B$61*L24^5+'Airfoil 1'!$B$62*L24^6</f>
        <v>-0.155</v>
      </c>
      <c r="Y24" s="42">
        <f ca="1">'Airfoil 1'!$B$64+'Airfoil 1'!$B$65*L24+'Airfoil 1'!$B$66*L24^2+'Airfoil 1'!$B$67*L24^3+'Airfoil 1'!$B$681*L24^4+'Airfoil 1'!$B$69*L24^5+'Airfoil 1'!$B$70*L24^6</f>
        <v>-0.155</v>
      </c>
      <c r="Z24" s="16">
        <f>LOG('Airfoil 1'!$F$10)+LOG('Airfoil 1'!$G$10)+LOG('Airfoil 1'!$H$10)</f>
        <v>15.176091259055681</v>
      </c>
      <c r="AA24" s="16">
        <f t="shared" ca="1" si="3"/>
        <v>-2.4290049054891254</v>
      </c>
      <c r="AB24" s="16">
        <f>LOG('Airfoil 1'!$F$10)^2+LOG('Airfoil 1'!$G$10)^2+LOG('Airfoil 1'!$H$10)^2</f>
        <v>76.867141336751558</v>
      </c>
      <c r="AC24" s="16">
        <f ca="1">LOG('Airfoil 1'!$F$10)*LOG(ABS(W24))+LOG('Airfoil 1'!$G$10)*LOG(ABS(X24))+LOG('Airfoil 1'!$H$10)*LOG(ABS(Y24))</f>
        <v>-12.287600038132297</v>
      </c>
      <c r="AD24" s="16">
        <f t="shared" ca="1" si="4"/>
        <v>0.1550000000000121</v>
      </c>
      <c r="AE24" s="16">
        <f t="shared" ca="1" si="5"/>
        <v>-6.6718325633022456E-15</v>
      </c>
      <c r="AF24" s="42">
        <f t="shared" ca="1" si="6"/>
        <v>-0.15499999999999844</v>
      </c>
      <c r="AG24" s="16"/>
      <c r="AH24" s="42"/>
      <c r="AI24" s="16">
        <f ca="1">(L24-'Airfoil 1'!$Z$22)/ABS(L24-'Airfoil 1'!$Z$22)</f>
        <v>1</v>
      </c>
      <c r="AJ24" s="16">
        <f ca="1">(L24-'Airfoil 1'!$Z$23)/ABS(L24-'Airfoil 1'!$Z$23)</f>
        <v>1</v>
      </c>
      <c r="AK24" s="16">
        <f ca="1">(L24-'Airfoil 1'!$Z$24)/ABS(L24-'Airfoil 1'!$Z$24)</f>
        <v>1</v>
      </c>
      <c r="AL24" s="16">
        <f ca="1">(L24-'Airfoil 1'!$Z$25)/ABS(L24-'Airfoil 1'!$Z$25)</f>
        <v>1</v>
      </c>
      <c r="AM24" s="16">
        <f ca="1">(L24-'Airfoil 1'!$Z$26)/ABS(L24-'Airfoil 1'!$Z$26)</f>
        <v>-1</v>
      </c>
      <c r="AN24" s="16">
        <f ca="1">(L24-'Airfoil 1'!$Z$27)/ABS(L24-'Airfoil 1'!$Z$27)</f>
        <v>-1</v>
      </c>
      <c r="AO24" s="16">
        <f ca="1">(L24-'Airfoil 1'!$Z$28)/ABS(L24-'Airfoil 1'!$Z$28)</f>
        <v>-1</v>
      </c>
      <c r="AP24" s="16">
        <f ca="1">(L24-'Airfoil 1'!$Z$29)/ABS(L24-'Airfoil 1'!$Z$29)</f>
        <v>-1</v>
      </c>
      <c r="AQ24" s="16">
        <f ca="1">(L24-'Airfoil 1'!$Z$30)/ABS(L24-'Airfoil 1'!$Z$30)</f>
        <v>-1</v>
      </c>
      <c r="AR24" s="16">
        <f ca="1">(L24-'Airfoil 1'!$Z$31)/ABS(L24-'Airfoil 1'!$Z$31)</f>
        <v>-1</v>
      </c>
      <c r="AS24" s="16">
        <f ca="1">(L24-'Airfoil 1'!$Z$32)/ABS(L24-'Airfoil 1'!$Z$32)</f>
        <v>-1</v>
      </c>
      <c r="AT24" s="16">
        <f ca="1">(L24-'Airfoil 1'!$Z$33)/ABS(L24-'Airfoil 1'!$Z$33)</f>
        <v>-1</v>
      </c>
      <c r="AU24" s="16">
        <f ca="1">(L24-'Airfoil 1'!$Z$34)/ABS(L24-'Airfoil 1'!$Z$34)</f>
        <v>-1</v>
      </c>
      <c r="AV24" s="16">
        <f ca="1">(L24-'Airfoil 1'!$Z$35)/ABS(L24-'Airfoil 1'!$Z$35)</f>
        <v>-1</v>
      </c>
      <c r="AW24" s="16">
        <f ca="1">(L24-'Airfoil 1'!$Z$36)/ABS(L24-'Airfoil 1'!$Z$36)</f>
        <v>-1</v>
      </c>
      <c r="AX24" s="16">
        <f ca="1">(L24-'Airfoil 1'!$Z$37)/ABS(L24-'Airfoil 1'!$Z$37)</f>
        <v>-1</v>
      </c>
      <c r="AY24" s="16">
        <f ca="1">(L24-'Airfoil 1'!$Z$38)/ABS(L24-'Airfoil 1'!$Z$38)</f>
        <v>-1</v>
      </c>
      <c r="AZ24" s="16">
        <f ca="1">(L24-'Airfoil 1'!$Z$39)/ABS(L24-'Airfoil 1'!$Z$39)</f>
        <v>-1</v>
      </c>
      <c r="BA24" s="16">
        <f ca="1">(L24-'Airfoil 1'!$Z$40)/ABS(L24-'Airfoil 1'!$Z$40)</f>
        <v>-1</v>
      </c>
      <c r="BB24" s="16">
        <f ca="1">(L24-'Airfoil 1'!$Z$41)/ABS(L24-'Airfoil 1'!$Z$41)</f>
        <v>-1</v>
      </c>
      <c r="BC24" s="5">
        <f t="shared" ca="1" si="8"/>
        <v>4</v>
      </c>
      <c r="BD24" s="42">
        <f ca="1">INDEX('Airfoil 1'!$AA$22:$AA$41,BC24,1)+INDEX('Airfoil 1'!$AB$22:$AB$41,BC24,1)*(L24-INDEX('Airfoil 1'!$Z$22:$Z$41,BC24,1))</f>
        <v>2.7263130346232178E-2</v>
      </c>
      <c r="BE24" s="6"/>
      <c r="BF24" s="16">
        <f ca="1">(L24-'Airfoil 1'!$Z$47)/ABS(L24-'Airfoil 1'!$Z$47)</f>
        <v>1</v>
      </c>
      <c r="BG24" s="16">
        <f ca="1">(L24-'Airfoil 1'!$Z$48)/ABS(L24-'Airfoil 1'!$Z$48)</f>
        <v>1</v>
      </c>
      <c r="BH24" s="16">
        <f ca="1">(L24-'Airfoil 1'!$Z$49)/ABS(L24-'Airfoil 1'!$Z$49)</f>
        <v>1</v>
      </c>
      <c r="BI24" s="16">
        <f ca="1">(L24-'Airfoil 1'!$Z$50)/ABS(L24-'Airfoil 1'!$Z$50)</f>
        <v>-1</v>
      </c>
      <c r="BJ24" s="16">
        <f ca="1">(L24-'Airfoil 1'!$Z$51)/ABS(L24-'Airfoil 1'!$Z$51)</f>
        <v>-1</v>
      </c>
      <c r="BK24" s="16">
        <f ca="1">(L24-'Airfoil 1'!$Z$52)/ABS(L24-'Airfoil 1'!$Z$52)</f>
        <v>-1</v>
      </c>
      <c r="BL24" s="16">
        <f ca="1">(L24-'Airfoil 1'!$Z$53)/ABS(L24-'Airfoil 1'!$Z$53)</f>
        <v>-1</v>
      </c>
      <c r="BM24" s="16">
        <f ca="1">(L24-'Airfoil 1'!$Z$54)/ABS(L24-'Airfoil 1'!$Z$54)</f>
        <v>-1</v>
      </c>
      <c r="BN24" s="16">
        <f ca="1">(L24-'Airfoil 1'!$Z$55)/ABS(L24-'Airfoil 1'!$Z$55)</f>
        <v>-1</v>
      </c>
      <c r="BO24" s="16">
        <f ca="1">(L24-'Airfoil 1'!$Z$56)/ABS(L24-'Airfoil 1'!$Z$56)</f>
        <v>-1</v>
      </c>
      <c r="BP24" s="16">
        <f ca="1">(L24-'Airfoil 1'!$Z$57)/ABS(L24-'Airfoil 1'!$Z$57)</f>
        <v>-1</v>
      </c>
      <c r="BQ24" s="16">
        <f ca="1">(L24-'Airfoil 1'!$Z$58)/ABS(L24-'Airfoil 1'!$Z$58)</f>
        <v>-1</v>
      </c>
      <c r="BR24" s="16">
        <f ca="1">(L24-'Airfoil 1'!$Z$59)/ABS(L24-'Airfoil 1'!$Z$59)</f>
        <v>-1</v>
      </c>
      <c r="BS24" s="16">
        <f ca="1">(L24-'Airfoil 1'!$Z$60)/ABS(L24-'Airfoil 1'!$Z$60)</f>
        <v>-1</v>
      </c>
      <c r="BT24" s="16">
        <f ca="1">(L24-'Airfoil 1'!$Z$61)/ABS(L24-'Airfoil 1'!$Z$61)</f>
        <v>-1</v>
      </c>
      <c r="BU24" s="16">
        <f ca="1">(L24-'Airfoil 1'!$Z$62)/ABS(L24-'Airfoil 1'!$Z$62)</f>
        <v>-1</v>
      </c>
      <c r="BV24" s="16">
        <f ca="1">(L24-'Airfoil 1'!$Z$63)/ABS(L24-'Airfoil 1'!$Z$63)</f>
        <v>-1</v>
      </c>
      <c r="BW24" s="16">
        <f ca="1">(L24-'Airfoil 1'!$Z$64)/ABS(L24-'Airfoil 1'!$Z$64)</f>
        <v>-1</v>
      </c>
      <c r="BX24" s="16">
        <f ca="1">(L24-'Airfoil 1'!$Z$65)/ABS(L24-'Airfoil 1'!$Z$65)</f>
        <v>-1</v>
      </c>
      <c r="BY24" s="16">
        <f ca="1">(L24-'Airfoil 1'!$Z$66)/ABS(L24-'Airfoil 1'!$Z$66)</f>
        <v>-1</v>
      </c>
      <c r="BZ24" s="5">
        <f t="shared" ca="1" si="9"/>
        <v>3</v>
      </c>
      <c r="CA24" s="42">
        <f ca="1">INDEX('Airfoil 1'!$AA$47:$AA$66,BZ24,1)+INDEX('Airfoil 1'!$AB$47:$AB$66,BZ24,1)*(L24-INDEX('Airfoil 1'!$Z$47:$Z$66,BZ24,1))</f>
        <v>2.1230094827586206E-2</v>
      </c>
      <c r="CC24" s="16">
        <f ca="1">(L24-'Airfoil 1'!$Z$72)/ABS(L24-'Airfoil 1'!$Z$72)</f>
        <v>1</v>
      </c>
      <c r="CD24" s="16">
        <f ca="1">(L24-'Airfoil 1'!$Z$73)/ABS(L24-'Airfoil 1'!$Z$73)</f>
        <v>-1</v>
      </c>
      <c r="CE24" s="16">
        <f ca="1">(L24-'Airfoil 1'!$Z$74)/ABS(L24-'Airfoil 1'!$Z$74)</f>
        <v>-1</v>
      </c>
      <c r="CF24" s="16">
        <f ca="1">(L24-'Airfoil 1'!$Z$75)/ABS(L24-'Airfoil 1'!$Z$75)</f>
        <v>-1</v>
      </c>
      <c r="CG24" s="16">
        <f ca="1">(L24-'Airfoil 1'!$Z$76)/ABS(L24-'Airfoil 1'!$Z$76)</f>
        <v>-1</v>
      </c>
      <c r="CH24" s="16">
        <f ca="1">(L24-'Airfoil 1'!$Z$77)/ABS(L24-'Airfoil 1'!$Z$77)</f>
        <v>-1</v>
      </c>
      <c r="CI24" s="16">
        <f ca="1">(L24-'Airfoil 1'!$Z$78)/ABS(L24-'Airfoil 1'!$Z$78)</f>
        <v>-1</v>
      </c>
      <c r="CJ24" s="16">
        <f ca="1">(L24-'Airfoil 1'!$Z$79)/ABS(L24-'Airfoil 1'!$Z$79)</f>
        <v>-1</v>
      </c>
      <c r="CK24" s="16">
        <f ca="1">(L24-'Airfoil 1'!$Z$80)/ABS(L24-'Airfoil 1'!$Z$80)</f>
        <v>-1</v>
      </c>
      <c r="CL24" s="16">
        <f ca="1">(L24-'Airfoil 1'!$Z$81)/ABS(L24-'Airfoil 1'!$Z$81)</f>
        <v>-1</v>
      </c>
      <c r="CM24" s="16">
        <f ca="1">(L24-'Airfoil 1'!$Z$82)/ABS(L24-'Airfoil 1'!$Z$82)</f>
        <v>-1</v>
      </c>
      <c r="CN24" s="16">
        <f ca="1">(L24-'Airfoil 1'!$Z$83)/ABS(L24-'Airfoil 1'!$Z$83)</f>
        <v>-1</v>
      </c>
      <c r="CO24" s="16">
        <f ca="1">(L24-'Airfoil 1'!$Z$84)/ABS(L24-'Airfoil 1'!$Z$84)</f>
        <v>-1</v>
      </c>
      <c r="CP24" s="16">
        <f ca="1">(L24-'Airfoil 1'!$Z$85)/ABS(L24-'Airfoil 1'!$Z$85)</f>
        <v>-1</v>
      </c>
      <c r="CQ24" s="16">
        <f ca="1">(L24-'Airfoil 1'!$Z$86)/ABS(L24-'Airfoil 1'!$Z$86)</f>
        <v>-1</v>
      </c>
      <c r="CR24" s="16">
        <f ca="1">(L24-'Airfoil 1'!$Z$87)/ABS(L24-'Airfoil 1'!$Z$87)</f>
        <v>-1</v>
      </c>
      <c r="CS24" s="16">
        <f ca="1">(L24-'Airfoil 1'!$Z$88)/ABS(L24-'Airfoil 1'!$Z$88)</f>
        <v>-1</v>
      </c>
      <c r="CT24" s="16">
        <f ca="1">(L24-'Airfoil 1'!$Z$89)/ABS(L24-'Airfoil 1'!$Z$89)</f>
        <v>-1</v>
      </c>
      <c r="CU24" s="16">
        <f ca="1">(L24-'Airfoil 1'!$Z$90)/ABS(L24-'Airfoil 1'!$Z$90)</f>
        <v>-1</v>
      </c>
      <c r="CV24" s="16">
        <f ca="1">(L24-'Airfoil 1'!$Z$91)/ABS(L24-'Airfoil 1'!$Z$91)</f>
        <v>-1</v>
      </c>
      <c r="CW24" s="5">
        <f t="shared" ca="1" si="10"/>
        <v>1</v>
      </c>
      <c r="CX24" s="42">
        <f ca="1">INDEX('Airfoil 1'!$AA$72:$AA$91,CW24,1)+INDEX('Airfoil 1'!$AB$72:$AB$91,CW24,1)*(L24-INDEX('Airfoil 1'!$Z$72:$Z$91,CW24,1))</f>
        <v>1.2713052256532067E-2</v>
      </c>
    </row>
    <row r="25" spans="2:102">
      <c r="B25" s="31">
        <f>Main!B25</f>
        <v>0.33333333333333326</v>
      </c>
      <c r="D25" s="1">
        <f>Cruise!F25</f>
        <v>0.65969672852566186</v>
      </c>
      <c r="E25" s="4">
        <f>ISA!$R$10</f>
        <v>1.5987591530356481E-5</v>
      </c>
      <c r="G25" s="13">
        <f ca="1">'Aerodynamics-Descent'!H25</f>
        <v>38.870428157415581</v>
      </c>
      <c r="H25" s="5">
        <f t="shared" ca="1" si="0"/>
        <v>534637.42476260813</v>
      </c>
      <c r="I25" s="16">
        <f ca="1">'Airfoil 2'!$K$14*H25^'Airfoil 2'!$L$13</f>
        <v>1.5922407032728096</v>
      </c>
      <c r="J25" s="1">
        <f ca="1">'Airfoil 2'!$K$33*H25^'Airfoil 2'!$L$32</f>
        <v>4.365008006768071</v>
      </c>
      <c r="K25" s="13">
        <f ca="1">'Airfoil 2'!$K$52*H25^'Airfoil 2'!$L$51</f>
        <v>-12.169551525171169</v>
      </c>
      <c r="L25" s="16">
        <f ca="1">'Aerodynamics-Descent'!W25</f>
        <v>0.45</v>
      </c>
      <c r="M25" s="10">
        <f ca="1">('Airfoil 1'!$B$21+'Airfoil 1'!$B$22*L25+'Airfoil 1'!$B$23*L25^2+'Airfoil 1'!$B$24*L25^3+'Airfoil 1'!$B$25*L25^4+'Airfoil 1'!$B$26*L25^5+'Airfoil 1'!$B$27*L25^6)*0+BD25</f>
        <v>2.7263130346232178E-2</v>
      </c>
      <c r="N25" s="42">
        <f ca="1">('Airfoil 1'!$B$29+'Airfoil 1'!$B$30*L25+'Airfoil 1'!$B$31*L25^2+'Airfoil 1'!$B$32*L25^3+'Airfoil 1'!$B$33*L25^4+'Airfoil 1'!$B$34*L25^5+'Airfoil 1'!$B$35*L25^6)*0+CA25</f>
        <v>2.1230094827586206E-2</v>
      </c>
      <c r="O25" s="42">
        <f ca="1">('Airfoil 1'!$B$37+'Airfoil 1'!$B$38*L25+'Airfoil 1'!$B$39*L25^2+'Airfoil 1'!$B$40*L25^3+'Airfoil 1'!$B$41*L25^4+'Airfoil 1'!$B$42*L25^5+'Airfoil 1'!$B$43*L25^6)*0+CX25</f>
        <v>1.2713052256532067E-2</v>
      </c>
      <c r="P25" s="16">
        <f>LOG('Airfoil 1'!$F$10)+LOG('Airfoil 1'!$G$10)+LOG('Airfoil 1'!$H$10)</f>
        <v>15.176091259055681</v>
      </c>
      <c r="Q25" s="16">
        <f t="shared" ca="1" si="1"/>
        <v>-5.133222513886718</v>
      </c>
      <c r="R25" s="16">
        <f>LOG('Airfoil 1'!$F$10)^2+LOG('Airfoil 1'!$G$10)^2+LOG('Airfoil 1'!$H$10)^2</f>
        <v>76.867141336751558</v>
      </c>
      <c r="S25" s="16">
        <f ca="1">LOG('Airfoil 1'!$F$10)*LOG(M25)+LOG('Airfoil 1'!$G$10)*LOG(N25)+LOG('Airfoil 1'!$H$10)*LOG(O25)</f>
        <v>-26.041333041174283</v>
      </c>
      <c r="T25" s="16">
        <f t="shared" ca="1" si="7"/>
        <v>154.2521937837034</v>
      </c>
      <c r="U25" s="16">
        <f t="shared" ca="1" si="2"/>
        <v>-0.77081221785869947</v>
      </c>
      <c r="V25" s="42">
        <f ca="1">IF(Energy!$F$11=1,Energy!$T$13,1)*T25*H25^U25</f>
        <v>6.5365985167407823E-3</v>
      </c>
      <c r="W25" s="10">
        <f ca="1">'Airfoil 1'!$B$48+'Airfoil 1'!$B$49*L25+'Airfoil 1'!$B$50*L25^2+'Airfoil 1'!$B$51*L25^3+'Airfoil 1'!$B$52*L25^4+'Airfoil 1'!$B$53*L25^5+'Airfoil 1'!$B$54*L25^6</f>
        <v>-0.155</v>
      </c>
      <c r="X25" s="42">
        <f ca="1">'Airfoil 1'!$B$56+'Airfoil 1'!$B$57*L25+'Airfoil 1'!$B$58*L25^2+'Airfoil 1'!$B$59*L25^3+'Airfoil 1'!$B$60*L25^4+'Airfoil 1'!$B$61*L25^5+'Airfoil 1'!$B$62*L25^6</f>
        <v>-0.155</v>
      </c>
      <c r="Y25" s="42">
        <f ca="1">'Airfoil 1'!$B$64+'Airfoil 1'!$B$65*L25+'Airfoil 1'!$B$66*L25^2+'Airfoil 1'!$B$67*L25^3+'Airfoil 1'!$B$681*L25^4+'Airfoil 1'!$B$69*L25^5+'Airfoil 1'!$B$70*L25^6</f>
        <v>-0.155</v>
      </c>
      <c r="Z25" s="16">
        <f>LOG('Airfoil 1'!$F$10)+LOG('Airfoil 1'!$G$10)+LOG('Airfoil 1'!$H$10)</f>
        <v>15.176091259055681</v>
      </c>
      <c r="AA25" s="16">
        <f t="shared" ca="1" si="3"/>
        <v>-2.4290049054891254</v>
      </c>
      <c r="AB25" s="16">
        <f>LOG('Airfoil 1'!$F$10)^2+LOG('Airfoil 1'!$G$10)^2+LOG('Airfoil 1'!$H$10)^2</f>
        <v>76.867141336751558</v>
      </c>
      <c r="AC25" s="16">
        <f ca="1">LOG('Airfoil 1'!$F$10)*LOG(ABS(W25))+LOG('Airfoil 1'!$G$10)*LOG(ABS(X25))+LOG('Airfoil 1'!$H$10)*LOG(ABS(Y25))</f>
        <v>-12.287600038132297</v>
      </c>
      <c r="AD25" s="16">
        <f t="shared" ca="1" si="4"/>
        <v>0.1550000000000121</v>
      </c>
      <c r="AE25" s="16">
        <f t="shared" ca="1" si="5"/>
        <v>-6.6718325633022456E-15</v>
      </c>
      <c r="AF25" s="42">
        <f t="shared" ca="1" si="6"/>
        <v>-0.15499999999999847</v>
      </c>
      <c r="AG25" s="16"/>
      <c r="AH25" s="42"/>
      <c r="AI25" s="16">
        <f ca="1">(L25-'Airfoil 1'!$Z$22)/ABS(L25-'Airfoil 1'!$Z$22)</f>
        <v>1</v>
      </c>
      <c r="AJ25" s="16">
        <f ca="1">(L25-'Airfoil 1'!$Z$23)/ABS(L25-'Airfoil 1'!$Z$23)</f>
        <v>1</v>
      </c>
      <c r="AK25" s="16">
        <f ca="1">(L25-'Airfoil 1'!$Z$24)/ABS(L25-'Airfoil 1'!$Z$24)</f>
        <v>1</v>
      </c>
      <c r="AL25" s="16">
        <f ca="1">(L25-'Airfoil 1'!$Z$25)/ABS(L25-'Airfoil 1'!$Z$25)</f>
        <v>1</v>
      </c>
      <c r="AM25" s="16">
        <f ca="1">(L25-'Airfoil 1'!$Z$26)/ABS(L25-'Airfoil 1'!$Z$26)</f>
        <v>-1</v>
      </c>
      <c r="AN25" s="16">
        <f ca="1">(L25-'Airfoil 1'!$Z$27)/ABS(L25-'Airfoil 1'!$Z$27)</f>
        <v>-1</v>
      </c>
      <c r="AO25" s="16">
        <f ca="1">(L25-'Airfoil 1'!$Z$28)/ABS(L25-'Airfoil 1'!$Z$28)</f>
        <v>-1</v>
      </c>
      <c r="AP25" s="16">
        <f ca="1">(L25-'Airfoil 1'!$Z$29)/ABS(L25-'Airfoil 1'!$Z$29)</f>
        <v>-1</v>
      </c>
      <c r="AQ25" s="16">
        <f ca="1">(L25-'Airfoil 1'!$Z$30)/ABS(L25-'Airfoil 1'!$Z$30)</f>
        <v>-1</v>
      </c>
      <c r="AR25" s="16">
        <f ca="1">(L25-'Airfoil 1'!$Z$31)/ABS(L25-'Airfoil 1'!$Z$31)</f>
        <v>-1</v>
      </c>
      <c r="AS25" s="16">
        <f ca="1">(L25-'Airfoil 1'!$Z$32)/ABS(L25-'Airfoil 1'!$Z$32)</f>
        <v>-1</v>
      </c>
      <c r="AT25" s="16">
        <f ca="1">(L25-'Airfoil 1'!$Z$33)/ABS(L25-'Airfoil 1'!$Z$33)</f>
        <v>-1</v>
      </c>
      <c r="AU25" s="16">
        <f ca="1">(L25-'Airfoil 1'!$Z$34)/ABS(L25-'Airfoil 1'!$Z$34)</f>
        <v>-1</v>
      </c>
      <c r="AV25" s="16">
        <f ca="1">(L25-'Airfoil 1'!$Z$35)/ABS(L25-'Airfoil 1'!$Z$35)</f>
        <v>-1</v>
      </c>
      <c r="AW25" s="16">
        <f ca="1">(L25-'Airfoil 1'!$Z$36)/ABS(L25-'Airfoil 1'!$Z$36)</f>
        <v>-1</v>
      </c>
      <c r="AX25" s="16">
        <f ca="1">(L25-'Airfoil 1'!$Z$37)/ABS(L25-'Airfoil 1'!$Z$37)</f>
        <v>-1</v>
      </c>
      <c r="AY25" s="16">
        <f ca="1">(L25-'Airfoil 1'!$Z$38)/ABS(L25-'Airfoil 1'!$Z$38)</f>
        <v>-1</v>
      </c>
      <c r="AZ25" s="16">
        <f ca="1">(L25-'Airfoil 1'!$Z$39)/ABS(L25-'Airfoil 1'!$Z$39)</f>
        <v>-1</v>
      </c>
      <c r="BA25" s="16">
        <f ca="1">(L25-'Airfoil 1'!$Z$40)/ABS(L25-'Airfoil 1'!$Z$40)</f>
        <v>-1</v>
      </c>
      <c r="BB25" s="16">
        <f ca="1">(L25-'Airfoil 1'!$Z$41)/ABS(L25-'Airfoil 1'!$Z$41)</f>
        <v>-1</v>
      </c>
      <c r="BC25" s="5">
        <f t="shared" ca="1" si="8"/>
        <v>4</v>
      </c>
      <c r="BD25" s="42">
        <f ca="1">INDEX('Airfoil 1'!$AA$22:$AA$41,BC25,1)+INDEX('Airfoil 1'!$AB$22:$AB$41,BC25,1)*(L25-INDEX('Airfoil 1'!$Z$22:$Z$41,BC25,1))</f>
        <v>2.7263130346232178E-2</v>
      </c>
      <c r="BE25" s="6"/>
      <c r="BF25" s="16">
        <f ca="1">(L25-'Airfoil 1'!$Z$47)/ABS(L25-'Airfoil 1'!$Z$47)</f>
        <v>1</v>
      </c>
      <c r="BG25" s="16">
        <f ca="1">(L25-'Airfoil 1'!$Z$48)/ABS(L25-'Airfoil 1'!$Z$48)</f>
        <v>1</v>
      </c>
      <c r="BH25" s="16">
        <f ca="1">(L25-'Airfoil 1'!$Z$49)/ABS(L25-'Airfoil 1'!$Z$49)</f>
        <v>1</v>
      </c>
      <c r="BI25" s="16">
        <f ca="1">(L25-'Airfoil 1'!$Z$50)/ABS(L25-'Airfoil 1'!$Z$50)</f>
        <v>-1</v>
      </c>
      <c r="BJ25" s="16">
        <f ca="1">(L25-'Airfoil 1'!$Z$51)/ABS(L25-'Airfoil 1'!$Z$51)</f>
        <v>-1</v>
      </c>
      <c r="BK25" s="16">
        <f ca="1">(L25-'Airfoil 1'!$Z$52)/ABS(L25-'Airfoil 1'!$Z$52)</f>
        <v>-1</v>
      </c>
      <c r="BL25" s="16">
        <f ca="1">(L25-'Airfoil 1'!$Z$53)/ABS(L25-'Airfoil 1'!$Z$53)</f>
        <v>-1</v>
      </c>
      <c r="BM25" s="16">
        <f ca="1">(L25-'Airfoil 1'!$Z$54)/ABS(L25-'Airfoil 1'!$Z$54)</f>
        <v>-1</v>
      </c>
      <c r="BN25" s="16">
        <f ca="1">(L25-'Airfoil 1'!$Z$55)/ABS(L25-'Airfoil 1'!$Z$55)</f>
        <v>-1</v>
      </c>
      <c r="BO25" s="16">
        <f ca="1">(L25-'Airfoil 1'!$Z$56)/ABS(L25-'Airfoil 1'!$Z$56)</f>
        <v>-1</v>
      </c>
      <c r="BP25" s="16">
        <f ca="1">(L25-'Airfoil 1'!$Z$57)/ABS(L25-'Airfoil 1'!$Z$57)</f>
        <v>-1</v>
      </c>
      <c r="BQ25" s="16">
        <f ca="1">(L25-'Airfoil 1'!$Z$58)/ABS(L25-'Airfoil 1'!$Z$58)</f>
        <v>-1</v>
      </c>
      <c r="BR25" s="16">
        <f ca="1">(L25-'Airfoil 1'!$Z$59)/ABS(L25-'Airfoil 1'!$Z$59)</f>
        <v>-1</v>
      </c>
      <c r="BS25" s="16">
        <f ca="1">(L25-'Airfoil 1'!$Z$60)/ABS(L25-'Airfoil 1'!$Z$60)</f>
        <v>-1</v>
      </c>
      <c r="BT25" s="16">
        <f ca="1">(L25-'Airfoil 1'!$Z$61)/ABS(L25-'Airfoil 1'!$Z$61)</f>
        <v>-1</v>
      </c>
      <c r="BU25" s="16">
        <f ca="1">(L25-'Airfoil 1'!$Z$62)/ABS(L25-'Airfoil 1'!$Z$62)</f>
        <v>-1</v>
      </c>
      <c r="BV25" s="16">
        <f ca="1">(L25-'Airfoil 1'!$Z$63)/ABS(L25-'Airfoil 1'!$Z$63)</f>
        <v>-1</v>
      </c>
      <c r="BW25" s="16">
        <f ca="1">(L25-'Airfoil 1'!$Z$64)/ABS(L25-'Airfoil 1'!$Z$64)</f>
        <v>-1</v>
      </c>
      <c r="BX25" s="16">
        <f ca="1">(L25-'Airfoil 1'!$Z$65)/ABS(L25-'Airfoil 1'!$Z$65)</f>
        <v>-1</v>
      </c>
      <c r="BY25" s="16">
        <f ca="1">(L25-'Airfoil 1'!$Z$66)/ABS(L25-'Airfoil 1'!$Z$66)</f>
        <v>-1</v>
      </c>
      <c r="BZ25" s="5">
        <f t="shared" ca="1" si="9"/>
        <v>3</v>
      </c>
      <c r="CA25" s="42">
        <f ca="1">INDEX('Airfoil 1'!$AA$47:$AA$66,BZ25,1)+INDEX('Airfoil 1'!$AB$47:$AB$66,BZ25,1)*(L25-INDEX('Airfoil 1'!$Z$47:$Z$66,BZ25,1))</f>
        <v>2.1230094827586206E-2</v>
      </c>
      <c r="CC25" s="16">
        <f ca="1">(L25-'Airfoil 1'!$Z$72)/ABS(L25-'Airfoil 1'!$Z$72)</f>
        <v>1</v>
      </c>
      <c r="CD25" s="16">
        <f ca="1">(L25-'Airfoil 1'!$Z$73)/ABS(L25-'Airfoil 1'!$Z$73)</f>
        <v>-1</v>
      </c>
      <c r="CE25" s="16">
        <f ca="1">(L25-'Airfoil 1'!$Z$74)/ABS(L25-'Airfoil 1'!$Z$74)</f>
        <v>-1</v>
      </c>
      <c r="CF25" s="16">
        <f ca="1">(L25-'Airfoil 1'!$Z$75)/ABS(L25-'Airfoil 1'!$Z$75)</f>
        <v>-1</v>
      </c>
      <c r="CG25" s="16">
        <f ca="1">(L25-'Airfoil 1'!$Z$76)/ABS(L25-'Airfoil 1'!$Z$76)</f>
        <v>-1</v>
      </c>
      <c r="CH25" s="16">
        <f ca="1">(L25-'Airfoil 1'!$Z$77)/ABS(L25-'Airfoil 1'!$Z$77)</f>
        <v>-1</v>
      </c>
      <c r="CI25" s="16">
        <f ca="1">(L25-'Airfoil 1'!$Z$78)/ABS(L25-'Airfoil 1'!$Z$78)</f>
        <v>-1</v>
      </c>
      <c r="CJ25" s="16">
        <f ca="1">(L25-'Airfoil 1'!$Z$79)/ABS(L25-'Airfoil 1'!$Z$79)</f>
        <v>-1</v>
      </c>
      <c r="CK25" s="16">
        <f ca="1">(L25-'Airfoil 1'!$Z$80)/ABS(L25-'Airfoil 1'!$Z$80)</f>
        <v>-1</v>
      </c>
      <c r="CL25" s="16">
        <f ca="1">(L25-'Airfoil 1'!$Z$81)/ABS(L25-'Airfoil 1'!$Z$81)</f>
        <v>-1</v>
      </c>
      <c r="CM25" s="16">
        <f ca="1">(L25-'Airfoil 1'!$Z$82)/ABS(L25-'Airfoil 1'!$Z$82)</f>
        <v>-1</v>
      </c>
      <c r="CN25" s="16">
        <f ca="1">(L25-'Airfoil 1'!$Z$83)/ABS(L25-'Airfoil 1'!$Z$83)</f>
        <v>-1</v>
      </c>
      <c r="CO25" s="16">
        <f ca="1">(L25-'Airfoil 1'!$Z$84)/ABS(L25-'Airfoil 1'!$Z$84)</f>
        <v>-1</v>
      </c>
      <c r="CP25" s="16">
        <f ca="1">(L25-'Airfoil 1'!$Z$85)/ABS(L25-'Airfoil 1'!$Z$85)</f>
        <v>-1</v>
      </c>
      <c r="CQ25" s="16">
        <f ca="1">(L25-'Airfoil 1'!$Z$86)/ABS(L25-'Airfoil 1'!$Z$86)</f>
        <v>-1</v>
      </c>
      <c r="CR25" s="16">
        <f ca="1">(L25-'Airfoil 1'!$Z$87)/ABS(L25-'Airfoil 1'!$Z$87)</f>
        <v>-1</v>
      </c>
      <c r="CS25" s="16">
        <f ca="1">(L25-'Airfoil 1'!$Z$88)/ABS(L25-'Airfoil 1'!$Z$88)</f>
        <v>-1</v>
      </c>
      <c r="CT25" s="16">
        <f ca="1">(L25-'Airfoil 1'!$Z$89)/ABS(L25-'Airfoil 1'!$Z$89)</f>
        <v>-1</v>
      </c>
      <c r="CU25" s="16">
        <f ca="1">(L25-'Airfoil 1'!$Z$90)/ABS(L25-'Airfoil 1'!$Z$90)</f>
        <v>-1</v>
      </c>
      <c r="CV25" s="16">
        <f ca="1">(L25-'Airfoil 1'!$Z$91)/ABS(L25-'Airfoil 1'!$Z$91)</f>
        <v>-1</v>
      </c>
      <c r="CW25" s="5">
        <f t="shared" ca="1" si="10"/>
        <v>1</v>
      </c>
      <c r="CX25" s="42">
        <f ca="1">INDEX('Airfoil 1'!$AA$72:$AA$91,CW25,1)+INDEX('Airfoil 1'!$AB$72:$AB$91,CW25,1)*(L25-INDEX('Airfoil 1'!$Z$72:$Z$91,CW25,1))</f>
        <v>1.2713052256532067E-2</v>
      </c>
    </row>
    <row r="26" spans="2:102">
      <c r="B26" s="31">
        <f>Main!B26</f>
        <v>0.33333333333333326</v>
      </c>
      <c r="D26" s="1">
        <f>Cruise!F26</f>
        <v>0.65969672852566186</v>
      </c>
      <c r="E26" s="4">
        <f>ISA!$R$10</f>
        <v>1.5987591530356481E-5</v>
      </c>
      <c r="G26" s="13">
        <f ca="1">'Aerodynamics-Descent'!H26</f>
        <v>38.307798687258554</v>
      </c>
      <c r="H26" s="5">
        <f t="shared" ca="1" si="0"/>
        <v>526898.82281559263</v>
      </c>
      <c r="I26" s="16">
        <f ca="1">'Airfoil 2'!$K$14*H26^'Airfoil 2'!$L$13</f>
        <v>1.5919180119123428</v>
      </c>
      <c r="J26" s="1">
        <f ca="1">'Airfoil 2'!$K$33*H26^'Airfoil 2'!$L$32</f>
        <v>4.3864665721218215</v>
      </c>
      <c r="K26" s="13">
        <f ca="1">'Airfoil 2'!$K$52*H26^'Airfoil 2'!$L$51</f>
        <v>-12.051468246705065</v>
      </c>
      <c r="L26" s="16">
        <f ca="1">'Aerodynamics-Descent'!W26</f>
        <v>0.45</v>
      </c>
      <c r="M26" s="10">
        <f ca="1">('Airfoil 1'!$B$21+'Airfoil 1'!$B$22*L26+'Airfoil 1'!$B$23*L26^2+'Airfoil 1'!$B$24*L26^3+'Airfoil 1'!$B$25*L26^4+'Airfoil 1'!$B$26*L26^5+'Airfoil 1'!$B$27*L26^6)*0+BD26</f>
        <v>2.7263130346232178E-2</v>
      </c>
      <c r="N26" s="42">
        <f ca="1">('Airfoil 1'!$B$29+'Airfoil 1'!$B$30*L26+'Airfoil 1'!$B$31*L26^2+'Airfoil 1'!$B$32*L26^3+'Airfoil 1'!$B$33*L26^4+'Airfoil 1'!$B$34*L26^5+'Airfoil 1'!$B$35*L26^6)*0+CA26</f>
        <v>2.1230094827586206E-2</v>
      </c>
      <c r="O26" s="42">
        <f ca="1">('Airfoil 1'!$B$37+'Airfoil 1'!$B$38*L26+'Airfoil 1'!$B$39*L26^2+'Airfoil 1'!$B$40*L26^3+'Airfoil 1'!$B$41*L26^4+'Airfoil 1'!$B$42*L26^5+'Airfoil 1'!$B$43*L26^6)*0+CX26</f>
        <v>1.2713052256532067E-2</v>
      </c>
      <c r="P26" s="16">
        <f>LOG('Airfoil 1'!$F$10)+LOG('Airfoil 1'!$G$10)+LOG('Airfoil 1'!$H$10)</f>
        <v>15.176091259055681</v>
      </c>
      <c r="Q26" s="16">
        <f t="shared" ca="1" si="1"/>
        <v>-5.133222513886718</v>
      </c>
      <c r="R26" s="16">
        <f>LOG('Airfoil 1'!$F$10)^2+LOG('Airfoil 1'!$G$10)^2+LOG('Airfoil 1'!$H$10)^2</f>
        <v>76.867141336751558</v>
      </c>
      <c r="S26" s="16">
        <f ca="1">LOG('Airfoil 1'!$F$10)*LOG(M26)+LOG('Airfoil 1'!$G$10)*LOG(N26)+LOG('Airfoil 1'!$H$10)*LOG(O26)</f>
        <v>-26.041333041174283</v>
      </c>
      <c r="T26" s="16">
        <f t="shared" ca="1" si="7"/>
        <v>154.2521937837034</v>
      </c>
      <c r="U26" s="16">
        <f t="shared" ca="1" si="2"/>
        <v>-0.77081221785869947</v>
      </c>
      <c r="V26" s="42">
        <f ca="1">IF(Energy!$F$11=1,Energy!$T$13,1)*T26*H26^U26</f>
        <v>6.6104753883529524E-3</v>
      </c>
      <c r="W26" s="10">
        <f ca="1">'Airfoil 1'!$B$48+'Airfoil 1'!$B$49*L26+'Airfoil 1'!$B$50*L26^2+'Airfoil 1'!$B$51*L26^3+'Airfoil 1'!$B$52*L26^4+'Airfoil 1'!$B$53*L26^5+'Airfoil 1'!$B$54*L26^6</f>
        <v>-0.155</v>
      </c>
      <c r="X26" s="42">
        <f ca="1">'Airfoil 1'!$B$56+'Airfoil 1'!$B$57*L26+'Airfoil 1'!$B$58*L26^2+'Airfoil 1'!$B$59*L26^3+'Airfoil 1'!$B$60*L26^4+'Airfoil 1'!$B$61*L26^5+'Airfoil 1'!$B$62*L26^6</f>
        <v>-0.155</v>
      </c>
      <c r="Y26" s="42">
        <f ca="1">'Airfoil 1'!$B$64+'Airfoil 1'!$B$65*L26+'Airfoil 1'!$B$66*L26^2+'Airfoil 1'!$B$67*L26^3+'Airfoil 1'!$B$681*L26^4+'Airfoil 1'!$B$69*L26^5+'Airfoil 1'!$B$70*L26^6</f>
        <v>-0.155</v>
      </c>
      <c r="Z26" s="16">
        <f>LOG('Airfoil 1'!$F$10)+LOG('Airfoil 1'!$G$10)+LOG('Airfoil 1'!$H$10)</f>
        <v>15.176091259055681</v>
      </c>
      <c r="AA26" s="16">
        <f t="shared" ca="1" si="3"/>
        <v>-2.4290049054891254</v>
      </c>
      <c r="AB26" s="16">
        <f>LOG('Airfoil 1'!$F$10)^2+LOG('Airfoil 1'!$G$10)^2+LOG('Airfoil 1'!$H$10)^2</f>
        <v>76.867141336751558</v>
      </c>
      <c r="AC26" s="16">
        <f ca="1">LOG('Airfoil 1'!$F$10)*LOG(ABS(W26))+LOG('Airfoil 1'!$G$10)*LOG(ABS(X26))+LOG('Airfoil 1'!$H$10)*LOG(ABS(Y26))</f>
        <v>-12.287600038132297</v>
      </c>
      <c r="AD26" s="16">
        <f t="shared" ca="1" si="4"/>
        <v>0.1550000000000121</v>
      </c>
      <c r="AE26" s="16">
        <f t="shared" ca="1" si="5"/>
        <v>-6.6718325633022456E-15</v>
      </c>
      <c r="AF26" s="42">
        <f t="shared" ca="1" si="6"/>
        <v>-0.15499999999999847</v>
      </c>
      <c r="AG26" s="16"/>
      <c r="AH26" s="42"/>
      <c r="AI26" s="16">
        <f ca="1">(L26-'Airfoil 1'!$Z$22)/ABS(L26-'Airfoil 1'!$Z$22)</f>
        <v>1</v>
      </c>
      <c r="AJ26" s="16">
        <f ca="1">(L26-'Airfoil 1'!$Z$23)/ABS(L26-'Airfoil 1'!$Z$23)</f>
        <v>1</v>
      </c>
      <c r="AK26" s="16">
        <f ca="1">(L26-'Airfoil 1'!$Z$24)/ABS(L26-'Airfoil 1'!$Z$24)</f>
        <v>1</v>
      </c>
      <c r="AL26" s="16">
        <f ca="1">(L26-'Airfoil 1'!$Z$25)/ABS(L26-'Airfoil 1'!$Z$25)</f>
        <v>1</v>
      </c>
      <c r="AM26" s="16">
        <f ca="1">(L26-'Airfoil 1'!$Z$26)/ABS(L26-'Airfoil 1'!$Z$26)</f>
        <v>-1</v>
      </c>
      <c r="AN26" s="16">
        <f ca="1">(L26-'Airfoil 1'!$Z$27)/ABS(L26-'Airfoil 1'!$Z$27)</f>
        <v>-1</v>
      </c>
      <c r="AO26" s="16">
        <f ca="1">(L26-'Airfoil 1'!$Z$28)/ABS(L26-'Airfoil 1'!$Z$28)</f>
        <v>-1</v>
      </c>
      <c r="AP26" s="16">
        <f ca="1">(L26-'Airfoil 1'!$Z$29)/ABS(L26-'Airfoil 1'!$Z$29)</f>
        <v>-1</v>
      </c>
      <c r="AQ26" s="16">
        <f ca="1">(L26-'Airfoil 1'!$Z$30)/ABS(L26-'Airfoil 1'!$Z$30)</f>
        <v>-1</v>
      </c>
      <c r="AR26" s="16">
        <f ca="1">(L26-'Airfoil 1'!$Z$31)/ABS(L26-'Airfoil 1'!$Z$31)</f>
        <v>-1</v>
      </c>
      <c r="AS26" s="16">
        <f ca="1">(L26-'Airfoil 1'!$Z$32)/ABS(L26-'Airfoil 1'!$Z$32)</f>
        <v>-1</v>
      </c>
      <c r="AT26" s="16">
        <f ca="1">(L26-'Airfoil 1'!$Z$33)/ABS(L26-'Airfoil 1'!$Z$33)</f>
        <v>-1</v>
      </c>
      <c r="AU26" s="16">
        <f ca="1">(L26-'Airfoil 1'!$Z$34)/ABS(L26-'Airfoil 1'!$Z$34)</f>
        <v>-1</v>
      </c>
      <c r="AV26" s="16">
        <f ca="1">(L26-'Airfoil 1'!$Z$35)/ABS(L26-'Airfoil 1'!$Z$35)</f>
        <v>-1</v>
      </c>
      <c r="AW26" s="16">
        <f ca="1">(L26-'Airfoil 1'!$Z$36)/ABS(L26-'Airfoil 1'!$Z$36)</f>
        <v>-1</v>
      </c>
      <c r="AX26" s="16">
        <f ca="1">(L26-'Airfoil 1'!$Z$37)/ABS(L26-'Airfoil 1'!$Z$37)</f>
        <v>-1</v>
      </c>
      <c r="AY26" s="16">
        <f ca="1">(L26-'Airfoil 1'!$Z$38)/ABS(L26-'Airfoil 1'!$Z$38)</f>
        <v>-1</v>
      </c>
      <c r="AZ26" s="16">
        <f ca="1">(L26-'Airfoil 1'!$Z$39)/ABS(L26-'Airfoil 1'!$Z$39)</f>
        <v>-1</v>
      </c>
      <c r="BA26" s="16">
        <f ca="1">(L26-'Airfoil 1'!$Z$40)/ABS(L26-'Airfoil 1'!$Z$40)</f>
        <v>-1</v>
      </c>
      <c r="BB26" s="16">
        <f ca="1">(L26-'Airfoil 1'!$Z$41)/ABS(L26-'Airfoil 1'!$Z$41)</f>
        <v>-1</v>
      </c>
      <c r="BC26" s="5">
        <f t="shared" ca="1" si="8"/>
        <v>4</v>
      </c>
      <c r="BD26" s="42">
        <f ca="1">INDEX('Airfoil 1'!$AA$22:$AA$41,BC26,1)+INDEX('Airfoil 1'!$AB$22:$AB$41,BC26,1)*(L26-INDEX('Airfoil 1'!$Z$22:$Z$41,BC26,1))</f>
        <v>2.7263130346232178E-2</v>
      </c>
      <c r="BE26" s="6"/>
      <c r="BF26" s="16">
        <f ca="1">(L26-'Airfoil 1'!$Z$47)/ABS(L26-'Airfoil 1'!$Z$47)</f>
        <v>1</v>
      </c>
      <c r="BG26" s="16">
        <f ca="1">(L26-'Airfoil 1'!$Z$48)/ABS(L26-'Airfoil 1'!$Z$48)</f>
        <v>1</v>
      </c>
      <c r="BH26" s="16">
        <f ca="1">(L26-'Airfoil 1'!$Z$49)/ABS(L26-'Airfoil 1'!$Z$49)</f>
        <v>1</v>
      </c>
      <c r="BI26" s="16">
        <f ca="1">(L26-'Airfoil 1'!$Z$50)/ABS(L26-'Airfoil 1'!$Z$50)</f>
        <v>-1</v>
      </c>
      <c r="BJ26" s="16">
        <f ca="1">(L26-'Airfoil 1'!$Z$51)/ABS(L26-'Airfoil 1'!$Z$51)</f>
        <v>-1</v>
      </c>
      <c r="BK26" s="16">
        <f ca="1">(L26-'Airfoil 1'!$Z$52)/ABS(L26-'Airfoil 1'!$Z$52)</f>
        <v>-1</v>
      </c>
      <c r="BL26" s="16">
        <f ca="1">(L26-'Airfoil 1'!$Z$53)/ABS(L26-'Airfoil 1'!$Z$53)</f>
        <v>-1</v>
      </c>
      <c r="BM26" s="16">
        <f ca="1">(L26-'Airfoil 1'!$Z$54)/ABS(L26-'Airfoil 1'!$Z$54)</f>
        <v>-1</v>
      </c>
      <c r="BN26" s="16">
        <f ca="1">(L26-'Airfoil 1'!$Z$55)/ABS(L26-'Airfoil 1'!$Z$55)</f>
        <v>-1</v>
      </c>
      <c r="BO26" s="16">
        <f ca="1">(L26-'Airfoil 1'!$Z$56)/ABS(L26-'Airfoil 1'!$Z$56)</f>
        <v>-1</v>
      </c>
      <c r="BP26" s="16">
        <f ca="1">(L26-'Airfoil 1'!$Z$57)/ABS(L26-'Airfoil 1'!$Z$57)</f>
        <v>-1</v>
      </c>
      <c r="BQ26" s="16">
        <f ca="1">(L26-'Airfoil 1'!$Z$58)/ABS(L26-'Airfoil 1'!$Z$58)</f>
        <v>-1</v>
      </c>
      <c r="BR26" s="16">
        <f ca="1">(L26-'Airfoil 1'!$Z$59)/ABS(L26-'Airfoil 1'!$Z$59)</f>
        <v>-1</v>
      </c>
      <c r="BS26" s="16">
        <f ca="1">(L26-'Airfoil 1'!$Z$60)/ABS(L26-'Airfoil 1'!$Z$60)</f>
        <v>-1</v>
      </c>
      <c r="BT26" s="16">
        <f ca="1">(L26-'Airfoil 1'!$Z$61)/ABS(L26-'Airfoil 1'!$Z$61)</f>
        <v>-1</v>
      </c>
      <c r="BU26" s="16">
        <f ca="1">(L26-'Airfoil 1'!$Z$62)/ABS(L26-'Airfoil 1'!$Z$62)</f>
        <v>-1</v>
      </c>
      <c r="BV26" s="16">
        <f ca="1">(L26-'Airfoil 1'!$Z$63)/ABS(L26-'Airfoil 1'!$Z$63)</f>
        <v>-1</v>
      </c>
      <c r="BW26" s="16">
        <f ca="1">(L26-'Airfoil 1'!$Z$64)/ABS(L26-'Airfoil 1'!$Z$64)</f>
        <v>-1</v>
      </c>
      <c r="BX26" s="16">
        <f ca="1">(L26-'Airfoil 1'!$Z$65)/ABS(L26-'Airfoil 1'!$Z$65)</f>
        <v>-1</v>
      </c>
      <c r="BY26" s="16">
        <f ca="1">(L26-'Airfoil 1'!$Z$66)/ABS(L26-'Airfoil 1'!$Z$66)</f>
        <v>-1</v>
      </c>
      <c r="BZ26" s="5">
        <f t="shared" ca="1" si="9"/>
        <v>3</v>
      </c>
      <c r="CA26" s="42">
        <f ca="1">INDEX('Airfoil 1'!$AA$47:$AA$66,BZ26,1)+INDEX('Airfoil 1'!$AB$47:$AB$66,BZ26,1)*(L26-INDEX('Airfoil 1'!$Z$47:$Z$66,BZ26,1))</f>
        <v>2.1230094827586206E-2</v>
      </c>
      <c r="CC26" s="16">
        <f ca="1">(L26-'Airfoil 1'!$Z$72)/ABS(L26-'Airfoil 1'!$Z$72)</f>
        <v>1</v>
      </c>
      <c r="CD26" s="16">
        <f ca="1">(L26-'Airfoil 1'!$Z$73)/ABS(L26-'Airfoil 1'!$Z$73)</f>
        <v>-1</v>
      </c>
      <c r="CE26" s="16">
        <f ca="1">(L26-'Airfoil 1'!$Z$74)/ABS(L26-'Airfoil 1'!$Z$74)</f>
        <v>-1</v>
      </c>
      <c r="CF26" s="16">
        <f ca="1">(L26-'Airfoil 1'!$Z$75)/ABS(L26-'Airfoil 1'!$Z$75)</f>
        <v>-1</v>
      </c>
      <c r="CG26" s="16">
        <f ca="1">(L26-'Airfoil 1'!$Z$76)/ABS(L26-'Airfoil 1'!$Z$76)</f>
        <v>-1</v>
      </c>
      <c r="CH26" s="16">
        <f ca="1">(L26-'Airfoil 1'!$Z$77)/ABS(L26-'Airfoil 1'!$Z$77)</f>
        <v>-1</v>
      </c>
      <c r="CI26" s="16">
        <f ca="1">(L26-'Airfoil 1'!$Z$78)/ABS(L26-'Airfoil 1'!$Z$78)</f>
        <v>-1</v>
      </c>
      <c r="CJ26" s="16">
        <f ca="1">(L26-'Airfoil 1'!$Z$79)/ABS(L26-'Airfoil 1'!$Z$79)</f>
        <v>-1</v>
      </c>
      <c r="CK26" s="16">
        <f ca="1">(L26-'Airfoil 1'!$Z$80)/ABS(L26-'Airfoil 1'!$Z$80)</f>
        <v>-1</v>
      </c>
      <c r="CL26" s="16">
        <f ca="1">(L26-'Airfoil 1'!$Z$81)/ABS(L26-'Airfoil 1'!$Z$81)</f>
        <v>-1</v>
      </c>
      <c r="CM26" s="16">
        <f ca="1">(L26-'Airfoil 1'!$Z$82)/ABS(L26-'Airfoil 1'!$Z$82)</f>
        <v>-1</v>
      </c>
      <c r="CN26" s="16">
        <f ca="1">(L26-'Airfoil 1'!$Z$83)/ABS(L26-'Airfoil 1'!$Z$83)</f>
        <v>-1</v>
      </c>
      <c r="CO26" s="16">
        <f ca="1">(L26-'Airfoil 1'!$Z$84)/ABS(L26-'Airfoil 1'!$Z$84)</f>
        <v>-1</v>
      </c>
      <c r="CP26" s="16">
        <f ca="1">(L26-'Airfoil 1'!$Z$85)/ABS(L26-'Airfoil 1'!$Z$85)</f>
        <v>-1</v>
      </c>
      <c r="CQ26" s="16">
        <f ca="1">(L26-'Airfoil 1'!$Z$86)/ABS(L26-'Airfoil 1'!$Z$86)</f>
        <v>-1</v>
      </c>
      <c r="CR26" s="16">
        <f ca="1">(L26-'Airfoil 1'!$Z$87)/ABS(L26-'Airfoil 1'!$Z$87)</f>
        <v>-1</v>
      </c>
      <c r="CS26" s="16">
        <f ca="1">(L26-'Airfoil 1'!$Z$88)/ABS(L26-'Airfoil 1'!$Z$88)</f>
        <v>-1</v>
      </c>
      <c r="CT26" s="16">
        <f ca="1">(L26-'Airfoil 1'!$Z$89)/ABS(L26-'Airfoil 1'!$Z$89)</f>
        <v>-1</v>
      </c>
      <c r="CU26" s="16">
        <f ca="1">(L26-'Airfoil 1'!$Z$90)/ABS(L26-'Airfoil 1'!$Z$90)</f>
        <v>-1</v>
      </c>
      <c r="CV26" s="16">
        <f ca="1">(L26-'Airfoil 1'!$Z$91)/ABS(L26-'Airfoil 1'!$Z$91)</f>
        <v>-1</v>
      </c>
      <c r="CW26" s="5">
        <f t="shared" ca="1" si="10"/>
        <v>1</v>
      </c>
      <c r="CX26" s="42">
        <f ca="1">INDEX('Airfoil 1'!$AA$72:$AA$91,CW26,1)+INDEX('Airfoil 1'!$AB$72:$AB$91,CW26,1)*(L26-INDEX('Airfoil 1'!$Z$72:$Z$91,CW26,1))</f>
        <v>1.2713052256532067E-2</v>
      </c>
    </row>
    <row r="27" spans="2:102">
      <c r="B27" s="31">
        <f>Main!B27</f>
        <v>0.33333333333333326</v>
      </c>
      <c r="D27" s="1">
        <f>Cruise!F27</f>
        <v>0.65969672852566186</v>
      </c>
      <c r="E27" s="4">
        <f>ISA!$R$10</f>
        <v>1.5987591530356481E-5</v>
      </c>
      <c r="G27" s="13">
        <f ca="1">'Aerodynamics-Descent'!H27</f>
        <v>37.770190296835928</v>
      </c>
      <c r="H27" s="5">
        <f t="shared" ca="1" si="0"/>
        <v>519504.36952523206</v>
      </c>
      <c r="I27" s="16">
        <f ca="1">'Airfoil 2'!$K$14*H27^'Airfoil 2'!$L$13</f>
        <v>1.5916052747209588</v>
      </c>
      <c r="J27" s="1">
        <f ca="1">'Airfoil 2'!$K$33*H27^'Airfoil 2'!$L$32</f>
        <v>4.4073680340251098</v>
      </c>
      <c r="K27" s="13">
        <f ca="1">'Airfoil 2'!$K$52*H27^'Airfoil 2'!$L$51</f>
        <v>-11.938098426251862</v>
      </c>
      <c r="L27" s="16">
        <f ca="1">'Aerodynamics-Descent'!W27</f>
        <v>0.45</v>
      </c>
      <c r="M27" s="10">
        <f ca="1">('Airfoil 1'!$B$21+'Airfoil 1'!$B$22*L27+'Airfoil 1'!$B$23*L27^2+'Airfoil 1'!$B$24*L27^3+'Airfoil 1'!$B$25*L27^4+'Airfoil 1'!$B$26*L27^5+'Airfoil 1'!$B$27*L27^6)*0+BD27</f>
        <v>2.7263130346232178E-2</v>
      </c>
      <c r="N27" s="42">
        <f ca="1">('Airfoil 1'!$B$29+'Airfoil 1'!$B$30*L27+'Airfoil 1'!$B$31*L27^2+'Airfoil 1'!$B$32*L27^3+'Airfoil 1'!$B$33*L27^4+'Airfoil 1'!$B$34*L27^5+'Airfoil 1'!$B$35*L27^6)*0+CA27</f>
        <v>2.1230094827586206E-2</v>
      </c>
      <c r="O27" s="42">
        <f ca="1">('Airfoil 1'!$B$37+'Airfoil 1'!$B$38*L27+'Airfoil 1'!$B$39*L27^2+'Airfoil 1'!$B$40*L27^3+'Airfoil 1'!$B$41*L27^4+'Airfoil 1'!$B$42*L27^5+'Airfoil 1'!$B$43*L27^6)*0+CX27</f>
        <v>1.2713052256532067E-2</v>
      </c>
      <c r="P27" s="16">
        <f>LOG('Airfoil 1'!$F$10)+LOG('Airfoil 1'!$G$10)+LOG('Airfoil 1'!$H$10)</f>
        <v>15.176091259055681</v>
      </c>
      <c r="Q27" s="16">
        <f t="shared" ca="1" si="1"/>
        <v>-5.133222513886718</v>
      </c>
      <c r="R27" s="16">
        <f>LOG('Airfoil 1'!$F$10)^2+LOG('Airfoil 1'!$G$10)^2+LOG('Airfoil 1'!$H$10)^2</f>
        <v>76.867141336751558</v>
      </c>
      <c r="S27" s="16">
        <f ca="1">LOG('Airfoil 1'!$F$10)*LOG(M27)+LOG('Airfoil 1'!$G$10)*LOG(N27)+LOG('Airfoil 1'!$H$10)*LOG(O27)</f>
        <v>-26.041333041174283</v>
      </c>
      <c r="T27" s="16">
        <f t="shared" ca="1" si="7"/>
        <v>154.2521937837034</v>
      </c>
      <c r="U27" s="16">
        <f t="shared" ca="1" si="2"/>
        <v>-0.77081221785869947</v>
      </c>
      <c r="V27" s="42">
        <f ca="1">IF(Energy!$F$11=1,Energy!$T$13,1)*T27*H27^U27</f>
        <v>6.6828845135628026E-3</v>
      </c>
      <c r="W27" s="10">
        <f ca="1">'Airfoil 1'!$B$48+'Airfoil 1'!$B$49*L27+'Airfoil 1'!$B$50*L27^2+'Airfoil 1'!$B$51*L27^3+'Airfoil 1'!$B$52*L27^4+'Airfoil 1'!$B$53*L27^5+'Airfoil 1'!$B$54*L27^6</f>
        <v>-0.155</v>
      </c>
      <c r="X27" s="42">
        <f ca="1">'Airfoil 1'!$B$56+'Airfoil 1'!$B$57*L27+'Airfoil 1'!$B$58*L27^2+'Airfoil 1'!$B$59*L27^3+'Airfoil 1'!$B$60*L27^4+'Airfoil 1'!$B$61*L27^5+'Airfoil 1'!$B$62*L27^6</f>
        <v>-0.155</v>
      </c>
      <c r="Y27" s="42">
        <f ca="1">'Airfoil 1'!$B$64+'Airfoil 1'!$B$65*L27+'Airfoil 1'!$B$66*L27^2+'Airfoil 1'!$B$67*L27^3+'Airfoil 1'!$B$681*L27^4+'Airfoil 1'!$B$69*L27^5+'Airfoil 1'!$B$70*L27^6</f>
        <v>-0.155</v>
      </c>
      <c r="Z27" s="16">
        <f>LOG('Airfoil 1'!$F$10)+LOG('Airfoil 1'!$G$10)+LOG('Airfoil 1'!$H$10)</f>
        <v>15.176091259055681</v>
      </c>
      <c r="AA27" s="16">
        <f t="shared" ca="1" si="3"/>
        <v>-2.4290049054891254</v>
      </c>
      <c r="AB27" s="16">
        <f>LOG('Airfoil 1'!$F$10)^2+LOG('Airfoil 1'!$G$10)^2+LOG('Airfoil 1'!$H$10)^2</f>
        <v>76.867141336751558</v>
      </c>
      <c r="AC27" s="16">
        <f ca="1">LOG('Airfoil 1'!$F$10)*LOG(ABS(W27))+LOG('Airfoil 1'!$G$10)*LOG(ABS(X27))+LOG('Airfoil 1'!$H$10)*LOG(ABS(Y27))</f>
        <v>-12.287600038132297</v>
      </c>
      <c r="AD27" s="16">
        <f t="shared" ca="1" si="4"/>
        <v>0.1550000000000121</v>
      </c>
      <c r="AE27" s="16">
        <f t="shared" ca="1" si="5"/>
        <v>-6.6718325633022456E-15</v>
      </c>
      <c r="AF27" s="42">
        <f t="shared" ca="1" si="6"/>
        <v>-0.1549999999999985</v>
      </c>
      <c r="AG27" s="16"/>
      <c r="AH27" s="42"/>
      <c r="AI27" s="16">
        <f ca="1">(L27-'Airfoil 1'!$Z$22)/ABS(L27-'Airfoil 1'!$Z$22)</f>
        <v>1</v>
      </c>
      <c r="AJ27" s="16">
        <f ca="1">(L27-'Airfoil 1'!$Z$23)/ABS(L27-'Airfoil 1'!$Z$23)</f>
        <v>1</v>
      </c>
      <c r="AK27" s="16">
        <f ca="1">(L27-'Airfoil 1'!$Z$24)/ABS(L27-'Airfoil 1'!$Z$24)</f>
        <v>1</v>
      </c>
      <c r="AL27" s="16">
        <f ca="1">(L27-'Airfoil 1'!$Z$25)/ABS(L27-'Airfoil 1'!$Z$25)</f>
        <v>1</v>
      </c>
      <c r="AM27" s="16">
        <f ca="1">(L27-'Airfoil 1'!$Z$26)/ABS(L27-'Airfoil 1'!$Z$26)</f>
        <v>-1</v>
      </c>
      <c r="AN27" s="16">
        <f ca="1">(L27-'Airfoil 1'!$Z$27)/ABS(L27-'Airfoil 1'!$Z$27)</f>
        <v>-1</v>
      </c>
      <c r="AO27" s="16">
        <f ca="1">(L27-'Airfoil 1'!$Z$28)/ABS(L27-'Airfoil 1'!$Z$28)</f>
        <v>-1</v>
      </c>
      <c r="AP27" s="16">
        <f ca="1">(L27-'Airfoil 1'!$Z$29)/ABS(L27-'Airfoil 1'!$Z$29)</f>
        <v>-1</v>
      </c>
      <c r="AQ27" s="16">
        <f ca="1">(L27-'Airfoil 1'!$Z$30)/ABS(L27-'Airfoil 1'!$Z$30)</f>
        <v>-1</v>
      </c>
      <c r="AR27" s="16">
        <f ca="1">(L27-'Airfoil 1'!$Z$31)/ABS(L27-'Airfoil 1'!$Z$31)</f>
        <v>-1</v>
      </c>
      <c r="AS27" s="16">
        <f ca="1">(L27-'Airfoil 1'!$Z$32)/ABS(L27-'Airfoil 1'!$Z$32)</f>
        <v>-1</v>
      </c>
      <c r="AT27" s="16">
        <f ca="1">(L27-'Airfoil 1'!$Z$33)/ABS(L27-'Airfoil 1'!$Z$33)</f>
        <v>-1</v>
      </c>
      <c r="AU27" s="16">
        <f ca="1">(L27-'Airfoil 1'!$Z$34)/ABS(L27-'Airfoil 1'!$Z$34)</f>
        <v>-1</v>
      </c>
      <c r="AV27" s="16">
        <f ca="1">(L27-'Airfoil 1'!$Z$35)/ABS(L27-'Airfoil 1'!$Z$35)</f>
        <v>-1</v>
      </c>
      <c r="AW27" s="16">
        <f ca="1">(L27-'Airfoil 1'!$Z$36)/ABS(L27-'Airfoil 1'!$Z$36)</f>
        <v>-1</v>
      </c>
      <c r="AX27" s="16">
        <f ca="1">(L27-'Airfoil 1'!$Z$37)/ABS(L27-'Airfoil 1'!$Z$37)</f>
        <v>-1</v>
      </c>
      <c r="AY27" s="16">
        <f ca="1">(L27-'Airfoil 1'!$Z$38)/ABS(L27-'Airfoil 1'!$Z$38)</f>
        <v>-1</v>
      </c>
      <c r="AZ27" s="16">
        <f ca="1">(L27-'Airfoil 1'!$Z$39)/ABS(L27-'Airfoil 1'!$Z$39)</f>
        <v>-1</v>
      </c>
      <c r="BA27" s="16">
        <f ca="1">(L27-'Airfoil 1'!$Z$40)/ABS(L27-'Airfoil 1'!$Z$40)</f>
        <v>-1</v>
      </c>
      <c r="BB27" s="16">
        <f ca="1">(L27-'Airfoil 1'!$Z$41)/ABS(L27-'Airfoil 1'!$Z$41)</f>
        <v>-1</v>
      </c>
      <c r="BC27" s="5">
        <f t="shared" ca="1" si="8"/>
        <v>4</v>
      </c>
      <c r="BD27" s="42">
        <f ca="1">INDEX('Airfoil 1'!$AA$22:$AA$41,BC27,1)+INDEX('Airfoil 1'!$AB$22:$AB$41,BC27,1)*(L27-INDEX('Airfoil 1'!$Z$22:$Z$41,BC27,1))</f>
        <v>2.7263130346232178E-2</v>
      </c>
      <c r="BE27" s="6"/>
      <c r="BF27" s="16">
        <f ca="1">(L27-'Airfoil 1'!$Z$47)/ABS(L27-'Airfoil 1'!$Z$47)</f>
        <v>1</v>
      </c>
      <c r="BG27" s="16">
        <f ca="1">(L27-'Airfoil 1'!$Z$48)/ABS(L27-'Airfoil 1'!$Z$48)</f>
        <v>1</v>
      </c>
      <c r="BH27" s="16">
        <f ca="1">(L27-'Airfoil 1'!$Z$49)/ABS(L27-'Airfoil 1'!$Z$49)</f>
        <v>1</v>
      </c>
      <c r="BI27" s="16">
        <f ca="1">(L27-'Airfoil 1'!$Z$50)/ABS(L27-'Airfoil 1'!$Z$50)</f>
        <v>-1</v>
      </c>
      <c r="BJ27" s="16">
        <f ca="1">(L27-'Airfoil 1'!$Z$51)/ABS(L27-'Airfoil 1'!$Z$51)</f>
        <v>-1</v>
      </c>
      <c r="BK27" s="16">
        <f ca="1">(L27-'Airfoil 1'!$Z$52)/ABS(L27-'Airfoil 1'!$Z$52)</f>
        <v>-1</v>
      </c>
      <c r="BL27" s="16">
        <f ca="1">(L27-'Airfoil 1'!$Z$53)/ABS(L27-'Airfoil 1'!$Z$53)</f>
        <v>-1</v>
      </c>
      <c r="BM27" s="16">
        <f ca="1">(L27-'Airfoil 1'!$Z$54)/ABS(L27-'Airfoil 1'!$Z$54)</f>
        <v>-1</v>
      </c>
      <c r="BN27" s="16">
        <f ca="1">(L27-'Airfoil 1'!$Z$55)/ABS(L27-'Airfoil 1'!$Z$55)</f>
        <v>-1</v>
      </c>
      <c r="BO27" s="16">
        <f ca="1">(L27-'Airfoil 1'!$Z$56)/ABS(L27-'Airfoil 1'!$Z$56)</f>
        <v>-1</v>
      </c>
      <c r="BP27" s="16">
        <f ca="1">(L27-'Airfoil 1'!$Z$57)/ABS(L27-'Airfoil 1'!$Z$57)</f>
        <v>-1</v>
      </c>
      <c r="BQ27" s="16">
        <f ca="1">(L27-'Airfoil 1'!$Z$58)/ABS(L27-'Airfoil 1'!$Z$58)</f>
        <v>-1</v>
      </c>
      <c r="BR27" s="16">
        <f ca="1">(L27-'Airfoil 1'!$Z$59)/ABS(L27-'Airfoil 1'!$Z$59)</f>
        <v>-1</v>
      </c>
      <c r="BS27" s="16">
        <f ca="1">(L27-'Airfoil 1'!$Z$60)/ABS(L27-'Airfoil 1'!$Z$60)</f>
        <v>-1</v>
      </c>
      <c r="BT27" s="16">
        <f ca="1">(L27-'Airfoil 1'!$Z$61)/ABS(L27-'Airfoil 1'!$Z$61)</f>
        <v>-1</v>
      </c>
      <c r="BU27" s="16">
        <f ca="1">(L27-'Airfoil 1'!$Z$62)/ABS(L27-'Airfoil 1'!$Z$62)</f>
        <v>-1</v>
      </c>
      <c r="BV27" s="16">
        <f ca="1">(L27-'Airfoil 1'!$Z$63)/ABS(L27-'Airfoil 1'!$Z$63)</f>
        <v>-1</v>
      </c>
      <c r="BW27" s="16">
        <f ca="1">(L27-'Airfoil 1'!$Z$64)/ABS(L27-'Airfoil 1'!$Z$64)</f>
        <v>-1</v>
      </c>
      <c r="BX27" s="16">
        <f ca="1">(L27-'Airfoil 1'!$Z$65)/ABS(L27-'Airfoil 1'!$Z$65)</f>
        <v>-1</v>
      </c>
      <c r="BY27" s="16">
        <f ca="1">(L27-'Airfoil 1'!$Z$66)/ABS(L27-'Airfoil 1'!$Z$66)</f>
        <v>-1</v>
      </c>
      <c r="BZ27" s="5">
        <f t="shared" ca="1" si="9"/>
        <v>3</v>
      </c>
      <c r="CA27" s="42">
        <f ca="1">INDEX('Airfoil 1'!$AA$47:$AA$66,BZ27,1)+INDEX('Airfoil 1'!$AB$47:$AB$66,BZ27,1)*(L27-INDEX('Airfoil 1'!$Z$47:$Z$66,BZ27,1))</f>
        <v>2.1230094827586206E-2</v>
      </c>
      <c r="CC27" s="16">
        <f ca="1">(L27-'Airfoil 1'!$Z$72)/ABS(L27-'Airfoil 1'!$Z$72)</f>
        <v>1</v>
      </c>
      <c r="CD27" s="16">
        <f ca="1">(L27-'Airfoil 1'!$Z$73)/ABS(L27-'Airfoil 1'!$Z$73)</f>
        <v>-1</v>
      </c>
      <c r="CE27" s="16">
        <f ca="1">(L27-'Airfoil 1'!$Z$74)/ABS(L27-'Airfoil 1'!$Z$74)</f>
        <v>-1</v>
      </c>
      <c r="CF27" s="16">
        <f ca="1">(L27-'Airfoil 1'!$Z$75)/ABS(L27-'Airfoil 1'!$Z$75)</f>
        <v>-1</v>
      </c>
      <c r="CG27" s="16">
        <f ca="1">(L27-'Airfoil 1'!$Z$76)/ABS(L27-'Airfoil 1'!$Z$76)</f>
        <v>-1</v>
      </c>
      <c r="CH27" s="16">
        <f ca="1">(L27-'Airfoil 1'!$Z$77)/ABS(L27-'Airfoil 1'!$Z$77)</f>
        <v>-1</v>
      </c>
      <c r="CI27" s="16">
        <f ca="1">(L27-'Airfoil 1'!$Z$78)/ABS(L27-'Airfoil 1'!$Z$78)</f>
        <v>-1</v>
      </c>
      <c r="CJ27" s="16">
        <f ca="1">(L27-'Airfoil 1'!$Z$79)/ABS(L27-'Airfoil 1'!$Z$79)</f>
        <v>-1</v>
      </c>
      <c r="CK27" s="16">
        <f ca="1">(L27-'Airfoil 1'!$Z$80)/ABS(L27-'Airfoil 1'!$Z$80)</f>
        <v>-1</v>
      </c>
      <c r="CL27" s="16">
        <f ca="1">(L27-'Airfoil 1'!$Z$81)/ABS(L27-'Airfoil 1'!$Z$81)</f>
        <v>-1</v>
      </c>
      <c r="CM27" s="16">
        <f ca="1">(L27-'Airfoil 1'!$Z$82)/ABS(L27-'Airfoil 1'!$Z$82)</f>
        <v>-1</v>
      </c>
      <c r="CN27" s="16">
        <f ca="1">(L27-'Airfoil 1'!$Z$83)/ABS(L27-'Airfoil 1'!$Z$83)</f>
        <v>-1</v>
      </c>
      <c r="CO27" s="16">
        <f ca="1">(L27-'Airfoil 1'!$Z$84)/ABS(L27-'Airfoil 1'!$Z$84)</f>
        <v>-1</v>
      </c>
      <c r="CP27" s="16">
        <f ca="1">(L27-'Airfoil 1'!$Z$85)/ABS(L27-'Airfoil 1'!$Z$85)</f>
        <v>-1</v>
      </c>
      <c r="CQ27" s="16">
        <f ca="1">(L27-'Airfoil 1'!$Z$86)/ABS(L27-'Airfoil 1'!$Z$86)</f>
        <v>-1</v>
      </c>
      <c r="CR27" s="16">
        <f ca="1">(L27-'Airfoil 1'!$Z$87)/ABS(L27-'Airfoil 1'!$Z$87)</f>
        <v>-1</v>
      </c>
      <c r="CS27" s="16">
        <f ca="1">(L27-'Airfoil 1'!$Z$88)/ABS(L27-'Airfoil 1'!$Z$88)</f>
        <v>-1</v>
      </c>
      <c r="CT27" s="16">
        <f ca="1">(L27-'Airfoil 1'!$Z$89)/ABS(L27-'Airfoil 1'!$Z$89)</f>
        <v>-1</v>
      </c>
      <c r="CU27" s="16">
        <f ca="1">(L27-'Airfoil 1'!$Z$90)/ABS(L27-'Airfoil 1'!$Z$90)</f>
        <v>-1</v>
      </c>
      <c r="CV27" s="16">
        <f ca="1">(L27-'Airfoil 1'!$Z$91)/ABS(L27-'Airfoil 1'!$Z$91)</f>
        <v>-1</v>
      </c>
      <c r="CW27" s="5">
        <f t="shared" ca="1" si="10"/>
        <v>1</v>
      </c>
      <c r="CX27" s="42">
        <f ca="1">INDEX('Airfoil 1'!$AA$72:$AA$91,CW27,1)+INDEX('Airfoil 1'!$AB$72:$AB$91,CW27,1)*(L27-INDEX('Airfoil 1'!$Z$72:$Z$91,CW27,1))</f>
        <v>1.2713052256532067E-2</v>
      </c>
    </row>
    <row r="28" spans="2:102">
      <c r="B28" s="31">
        <f>Main!B28</f>
        <v>0.33333333333333326</v>
      </c>
      <c r="D28" s="1">
        <f>Cruise!F28</f>
        <v>0.65969672852566186</v>
      </c>
      <c r="E28" s="4">
        <f>ISA!$R$10</f>
        <v>1.5987591530356481E-5</v>
      </c>
      <c r="G28" s="13">
        <f ca="1">'Aerodynamics-Descent'!H28</f>
        <v>37.164457693025206</v>
      </c>
      <c r="H28" s="5">
        <f t="shared" ca="1" si="0"/>
        <v>511172.91204592126</v>
      </c>
      <c r="I28" s="16">
        <f ca="1">'Airfoil 2'!$K$14*H28^'Airfoil 2'!$L$13</f>
        <v>1.5912476055069584</v>
      </c>
      <c r="J28" s="1">
        <f ca="1">'Airfoil 2'!$K$33*H28^'Airfoil 2'!$L$32</f>
        <v>4.4313996697786964</v>
      </c>
      <c r="K28" s="13">
        <f ca="1">'Airfoil 2'!$K$52*H28^'Airfoil 2'!$L$51</f>
        <v>-11.809720227722925</v>
      </c>
      <c r="L28" s="16">
        <f ca="1">'Aerodynamics-Descent'!W28</f>
        <v>0.45</v>
      </c>
      <c r="M28" s="10">
        <f ca="1">('Airfoil 1'!$B$21+'Airfoil 1'!$B$22*L28+'Airfoil 1'!$B$23*L28^2+'Airfoil 1'!$B$24*L28^3+'Airfoil 1'!$B$25*L28^4+'Airfoil 1'!$B$26*L28^5+'Airfoil 1'!$B$27*L28^6)*0+BD28</f>
        <v>2.7263130346232178E-2</v>
      </c>
      <c r="N28" s="42">
        <f ca="1">('Airfoil 1'!$B$29+'Airfoil 1'!$B$30*L28+'Airfoil 1'!$B$31*L28^2+'Airfoil 1'!$B$32*L28^3+'Airfoil 1'!$B$33*L28^4+'Airfoil 1'!$B$34*L28^5+'Airfoil 1'!$B$35*L28^6)*0+CA28</f>
        <v>2.1230094827586206E-2</v>
      </c>
      <c r="O28" s="42">
        <f ca="1">('Airfoil 1'!$B$37+'Airfoil 1'!$B$38*L28+'Airfoil 1'!$B$39*L28^2+'Airfoil 1'!$B$40*L28^3+'Airfoil 1'!$B$41*L28^4+'Airfoil 1'!$B$42*L28^5+'Airfoil 1'!$B$43*L28^6)*0+CX28</f>
        <v>1.2713052256532067E-2</v>
      </c>
      <c r="P28" s="16">
        <f>LOG('Airfoil 1'!$F$10)+LOG('Airfoil 1'!$G$10)+LOG('Airfoil 1'!$H$10)</f>
        <v>15.176091259055681</v>
      </c>
      <c r="Q28" s="16">
        <f t="shared" ca="1" si="1"/>
        <v>-5.133222513886718</v>
      </c>
      <c r="R28" s="16">
        <f>LOG('Airfoil 1'!$F$10)^2+LOG('Airfoil 1'!$G$10)^2+LOG('Airfoil 1'!$H$10)^2</f>
        <v>76.867141336751558</v>
      </c>
      <c r="S28" s="16">
        <f ca="1">LOG('Airfoil 1'!$F$10)*LOG(M28)+LOG('Airfoil 1'!$G$10)*LOG(N28)+LOG('Airfoil 1'!$H$10)*LOG(O28)</f>
        <v>-26.041333041174283</v>
      </c>
      <c r="T28" s="16">
        <f t="shared" ca="1" si="7"/>
        <v>154.2521937837034</v>
      </c>
      <c r="U28" s="16">
        <f t="shared" ca="1" si="2"/>
        <v>-0.77081221785869947</v>
      </c>
      <c r="V28" s="42">
        <f ca="1">IF(Energy!$F$11=1,Energy!$T$13,1)*T28*H28^U28</f>
        <v>6.7666874372585423E-3</v>
      </c>
      <c r="W28" s="10">
        <f ca="1">'Airfoil 1'!$B$48+'Airfoil 1'!$B$49*L28+'Airfoil 1'!$B$50*L28^2+'Airfoil 1'!$B$51*L28^3+'Airfoil 1'!$B$52*L28^4+'Airfoil 1'!$B$53*L28^5+'Airfoil 1'!$B$54*L28^6</f>
        <v>-0.155</v>
      </c>
      <c r="X28" s="42">
        <f ca="1">'Airfoil 1'!$B$56+'Airfoil 1'!$B$57*L28+'Airfoil 1'!$B$58*L28^2+'Airfoil 1'!$B$59*L28^3+'Airfoil 1'!$B$60*L28^4+'Airfoil 1'!$B$61*L28^5+'Airfoil 1'!$B$62*L28^6</f>
        <v>-0.155</v>
      </c>
      <c r="Y28" s="42">
        <f ca="1">'Airfoil 1'!$B$64+'Airfoil 1'!$B$65*L28+'Airfoil 1'!$B$66*L28^2+'Airfoil 1'!$B$67*L28^3+'Airfoil 1'!$B$681*L28^4+'Airfoil 1'!$B$69*L28^5+'Airfoil 1'!$B$70*L28^6</f>
        <v>-0.155</v>
      </c>
      <c r="Z28" s="16">
        <f>LOG('Airfoil 1'!$F$10)+LOG('Airfoil 1'!$G$10)+LOG('Airfoil 1'!$H$10)</f>
        <v>15.176091259055681</v>
      </c>
      <c r="AA28" s="16">
        <f t="shared" ca="1" si="3"/>
        <v>-2.4290049054891254</v>
      </c>
      <c r="AB28" s="16">
        <f>LOG('Airfoil 1'!$F$10)^2+LOG('Airfoil 1'!$G$10)^2+LOG('Airfoil 1'!$H$10)^2</f>
        <v>76.867141336751558</v>
      </c>
      <c r="AC28" s="16">
        <f ca="1">LOG('Airfoil 1'!$F$10)*LOG(ABS(W28))+LOG('Airfoil 1'!$G$10)*LOG(ABS(X28))+LOG('Airfoil 1'!$H$10)*LOG(ABS(Y28))</f>
        <v>-12.287600038132297</v>
      </c>
      <c r="AD28" s="16">
        <f t="shared" ca="1" si="4"/>
        <v>0.1550000000000121</v>
      </c>
      <c r="AE28" s="16">
        <f t="shared" ca="1" si="5"/>
        <v>-6.6718325633022456E-15</v>
      </c>
      <c r="AF28" s="42">
        <f t="shared" ca="1" si="6"/>
        <v>-0.1549999999999985</v>
      </c>
      <c r="AG28" s="16"/>
      <c r="AH28" s="42"/>
      <c r="AI28" s="16">
        <f ca="1">(L28-'Airfoil 1'!$Z$22)/ABS(L28-'Airfoil 1'!$Z$22)</f>
        <v>1</v>
      </c>
      <c r="AJ28" s="16">
        <f ca="1">(L28-'Airfoil 1'!$Z$23)/ABS(L28-'Airfoil 1'!$Z$23)</f>
        <v>1</v>
      </c>
      <c r="AK28" s="16">
        <f ca="1">(L28-'Airfoil 1'!$Z$24)/ABS(L28-'Airfoil 1'!$Z$24)</f>
        <v>1</v>
      </c>
      <c r="AL28" s="16">
        <f ca="1">(L28-'Airfoil 1'!$Z$25)/ABS(L28-'Airfoil 1'!$Z$25)</f>
        <v>1</v>
      </c>
      <c r="AM28" s="16">
        <f ca="1">(L28-'Airfoil 1'!$Z$26)/ABS(L28-'Airfoil 1'!$Z$26)</f>
        <v>-1</v>
      </c>
      <c r="AN28" s="16">
        <f ca="1">(L28-'Airfoil 1'!$Z$27)/ABS(L28-'Airfoil 1'!$Z$27)</f>
        <v>-1</v>
      </c>
      <c r="AO28" s="16">
        <f ca="1">(L28-'Airfoil 1'!$Z$28)/ABS(L28-'Airfoil 1'!$Z$28)</f>
        <v>-1</v>
      </c>
      <c r="AP28" s="16">
        <f ca="1">(L28-'Airfoil 1'!$Z$29)/ABS(L28-'Airfoil 1'!$Z$29)</f>
        <v>-1</v>
      </c>
      <c r="AQ28" s="16">
        <f ca="1">(L28-'Airfoil 1'!$Z$30)/ABS(L28-'Airfoil 1'!$Z$30)</f>
        <v>-1</v>
      </c>
      <c r="AR28" s="16">
        <f ca="1">(L28-'Airfoil 1'!$Z$31)/ABS(L28-'Airfoil 1'!$Z$31)</f>
        <v>-1</v>
      </c>
      <c r="AS28" s="16">
        <f ca="1">(L28-'Airfoil 1'!$Z$32)/ABS(L28-'Airfoil 1'!$Z$32)</f>
        <v>-1</v>
      </c>
      <c r="AT28" s="16">
        <f ca="1">(L28-'Airfoil 1'!$Z$33)/ABS(L28-'Airfoil 1'!$Z$33)</f>
        <v>-1</v>
      </c>
      <c r="AU28" s="16">
        <f ca="1">(L28-'Airfoil 1'!$Z$34)/ABS(L28-'Airfoil 1'!$Z$34)</f>
        <v>-1</v>
      </c>
      <c r="AV28" s="16">
        <f ca="1">(L28-'Airfoil 1'!$Z$35)/ABS(L28-'Airfoil 1'!$Z$35)</f>
        <v>-1</v>
      </c>
      <c r="AW28" s="16">
        <f ca="1">(L28-'Airfoil 1'!$Z$36)/ABS(L28-'Airfoil 1'!$Z$36)</f>
        <v>-1</v>
      </c>
      <c r="AX28" s="16">
        <f ca="1">(L28-'Airfoil 1'!$Z$37)/ABS(L28-'Airfoil 1'!$Z$37)</f>
        <v>-1</v>
      </c>
      <c r="AY28" s="16">
        <f ca="1">(L28-'Airfoil 1'!$Z$38)/ABS(L28-'Airfoil 1'!$Z$38)</f>
        <v>-1</v>
      </c>
      <c r="AZ28" s="16">
        <f ca="1">(L28-'Airfoil 1'!$Z$39)/ABS(L28-'Airfoil 1'!$Z$39)</f>
        <v>-1</v>
      </c>
      <c r="BA28" s="16">
        <f ca="1">(L28-'Airfoil 1'!$Z$40)/ABS(L28-'Airfoil 1'!$Z$40)</f>
        <v>-1</v>
      </c>
      <c r="BB28" s="16">
        <f ca="1">(L28-'Airfoil 1'!$Z$41)/ABS(L28-'Airfoil 1'!$Z$41)</f>
        <v>-1</v>
      </c>
      <c r="BC28" s="5">
        <f t="shared" ca="1" si="8"/>
        <v>4</v>
      </c>
      <c r="BD28" s="42">
        <f ca="1">INDEX('Airfoil 1'!$AA$22:$AA$41,BC28,1)+INDEX('Airfoil 1'!$AB$22:$AB$41,BC28,1)*(L28-INDEX('Airfoil 1'!$Z$22:$Z$41,BC28,1))</f>
        <v>2.7263130346232178E-2</v>
      </c>
      <c r="BE28" s="6"/>
      <c r="BF28" s="16">
        <f ca="1">(L28-'Airfoil 1'!$Z$47)/ABS(L28-'Airfoil 1'!$Z$47)</f>
        <v>1</v>
      </c>
      <c r="BG28" s="16">
        <f ca="1">(L28-'Airfoil 1'!$Z$48)/ABS(L28-'Airfoil 1'!$Z$48)</f>
        <v>1</v>
      </c>
      <c r="BH28" s="16">
        <f ca="1">(L28-'Airfoil 1'!$Z$49)/ABS(L28-'Airfoil 1'!$Z$49)</f>
        <v>1</v>
      </c>
      <c r="BI28" s="16">
        <f ca="1">(L28-'Airfoil 1'!$Z$50)/ABS(L28-'Airfoil 1'!$Z$50)</f>
        <v>-1</v>
      </c>
      <c r="BJ28" s="16">
        <f ca="1">(L28-'Airfoil 1'!$Z$51)/ABS(L28-'Airfoil 1'!$Z$51)</f>
        <v>-1</v>
      </c>
      <c r="BK28" s="16">
        <f ca="1">(L28-'Airfoil 1'!$Z$52)/ABS(L28-'Airfoil 1'!$Z$52)</f>
        <v>-1</v>
      </c>
      <c r="BL28" s="16">
        <f ca="1">(L28-'Airfoil 1'!$Z$53)/ABS(L28-'Airfoil 1'!$Z$53)</f>
        <v>-1</v>
      </c>
      <c r="BM28" s="16">
        <f ca="1">(L28-'Airfoil 1'!$Z$54)/ABS(L28-'Airfoil 1'!$Z$54)</f>
        <v>-1</v>
      </c>
      <c r="BN28" s="16">
        <f ca="1">(L28-'Airfoil 1'!$Z$55)/ABS(L28-'Airfoil 1'!$Z$55)</f>
        <v>-1</v>
      </c>
      <c r="BO28" s="16">
        <f ca="1">(L28-'Airfoil 1'!$Z$56)/ABS(L28-'Airfoil 1'!$Z$56)</f>
        <v>-1</v>
      </c>
      <c r="BP28" s="16">
        <f ca="1">(L28-'Airfoil 1'!$Z$57)/ABS(L28-'Airfoil 1'!$Z$57)</f>
        <v>-1</v>
      </c>
      <c r="BQ28" s="16">
        <f ca="1">(L28-'Airfoil 1'!$Z$58)/ABS(L28-'Airfoil 1'!$Z$58)</f>
        <v>-1</v>
      </c>
      <c r="BR28" s="16">
        <f ca="1">(L28-'Airfoil 1'!$Z$59)/ABS(L28-'Airfoil 1'!$Z$59)</f>
        <v>-1</v>
      </c>
      <c r="BS28" s="16">
        <f ca="1">(L28-'Airfoil 1'!$Z$60)/ABS(L28-'Airfoil 1'!$Z$60)</f>
        <v>-1</v>
      </c>
      <c r="BT28" s="16">
        <f ca="1">(L28-'Airfoil 1'!$Z$61)/ABS(L28-'Airfoil 1'!$Z$61)</f>
        <v>-1</v>
      </c>
      <c r="BU28" s="16">
        <f ca="1">(L28-'Airfoil 1'!$Z$62)/ABS(L28-'Airfoil 1'!$Z$62)</f>
        <v>-1</v>
      </c>
      <c r="BV28" s="16">
        <f ca="1">(L28-'Airfoil 1'!$Z$63)/ABS(L28-'Airfoil 1'!$Z$63)</f>
        <v>-1</v>
      </c>
      <c r="BW28" s="16">
        <f ca="1">(L28-'Airfoil 1'!$Z$64)/ABS(L28-'Airfoil 1'!$Z$64)</f>
        <v>-1</v>
      </c>
      <c r="BX28" s="16">
        <f ca="1">(L28-'Airfoil 1'!$Z$65)/ABS(L28-'Airfoil 1'!$Z$65)</f>
        <v>-1</v>
      </c>
      <c r="BY28" s="16">
        <f ca="1">(L28-'Airfoil 1'!$Z$66)/ABS(L28-'Airfoil 1'!$Z$66)</f>
        <v>-1</v>
      </c>
      <c r="BZ28" s="5">
        <f t="shared" ca="1" si="9"/>
        <v>3</v>
      </c>
      <c r="CA28" s="42">
        <f ca="1">INDEX('Airfoil 1'!$AA$47:$AA$66,BZ28,1)+INDEX('Airfoil 1'!$AB$47:$AB$66,BZ28,1)*(L28-INDEX('Airfoil 1'!$Z$47:$Z$66,BZ28,1))</f>
        <v>2.1230094827586206E-2</v>
      </c>
      <c r="CC28" s="16">
        <f ca="1">(L28-'Airfoil 1'!$Z$72)/ABS(L28-'Airfoil 1'!$Z$72)</f>
        <v>1</v>
      </c>
      <c r="CD28" s="16">
        <f ca="1">(L28-'Airfoil 1'!$Z$73)/ABS(L28-'Airfoil 1'!$Z$73)</f>
        <v>-1</v>
      </c>
      <c r="CE28" s="16">
        <f ca="1">(L28-'Airfoil 1'!$Z$74)/ABS(L28-'Airfoil 1'!$Z$74)</f>
        <v>-1</v>
      </c>
      <c r="CF28" s="16">
        <f ca="1">(L28-'Airfoil 1'!$Z$75)/ABS(L28-'Airfoil 1'!$Z$75)</f>
        <v>-1</v>
      </c>
      <c r="CG28" s="16">
        <f ca="1">(L28-'Airfoil 1'!$Z$76)/ABS(L28-'Airfoil 1'!$Z$76)</f>
        <v>-1</v>
      </c>
      <c r="CH28" s="16">
        <f ca="1">(L28-'Airfoil 1'!$Z$77)/ABS(L28-'Airfoil 1'!$Z$77)</f>
        <v>-1</v>
      </c>
      <c r="CI28" s="16">
        <f ca="1">(L28-'Airfoil 1'!$Z$78)/ABS(L28-'Airfoil 1'!$Z$78)</f>
        <v>-1</v>
      </c>
      <c r="CJ28" s="16">
        <f ca="1">(L28-'Airfoil 1'!$Z$79)/ABS(L28-'Airfoil 1'!$Z$79)</f>
        <v>-1</v>
      </c>
      <c r="CK28" s="16">
        <f ca="1">(L28-'Airfoil 1'!$Z$80)/ABS(L28-'Airfoil 1'!$Z$80)</f>
        <v>-1</v>
      </c>
      <c r="CL28" s="16">
        <f ca="1">(L28-'Airfoil 1'!$Z$81)/ABS(L28-'Airfoil 1'!$Z$81)</f>
        <v>-1</v>
      </c>
      <c r="CM28" s="16">
        <f ca="1">(L28-'Airfoil 1'!$Z$82)/ABS(L28-'Airfoil 1'!$Z$82)</f>
        <v>-1</v>
      </c>
      <c r="CN28" s="16">
        <f ca="1">(L28-'Airfoil 1'!$Z$83)/ABS(L28-'Airfoil 1'!$Z$83)</f>
        <v>-1</v>
      </c>
      <c r="CO28" s="16">
        <f ca="1">(L28-'Airfoil 1'!$Z$84)/ABS(L28-'Airfoil 1'!$Z$84)</f>
        <v>-1</v>
      </c>
      <c r="CP28" s="16">
        <f ca="1">(L28-'Airfoil 1'!$Z$85)/ABS(L28-'Airfoil 1'!$Z$85)</f>
        <v>-1</v>
      </c>
      <c r="CQ28" s="16">
        <f ca="1">(L28-'Airfoil 1'!$Z$86)/ABS(L28-'Airfoil 1'!$Z$86)</f>
        <v>-1</v>
      </c>
      <c r="CR28" s="16">
        <f ca="1">(L28-'Airfoil 1'!$Z$87)/ABS(L28-'Airfoil 1'!$Z$87)</f>
        <v>-1</v>
      </c>
      <c r="CS28" s="16">
        <f ca="1">(L28-'Airfoil 1'!$Z$88)/ABS(L28-'Airfoil 1'!$Z$88)</f>
        <v>-1</v>
      </c>
      <c r="CT28" s="16">
        <f ca="1">(L28-'Airfoil 1'!$Z$89)/ABS(L28-'Airfoil 1'!$Z$89)</f>
        <v>-1</v>
      </c>
      <c r="CU28" s="16">
        <f ca="1">(L28-'Airfoil 1'!$Z$90)/ABS(L28-'Airfoil 1'!$Z$90)</f>
        <v>-1</v>
      </c>
      <c r="CV28" s="16">
        <f ca="1">(L28-'Airfoil 1'!$Z$91)/ABS(L28-'Airfoil 1'!$Z$91)</f>
        <v>-1</v>
      </c>
      <c r="CW28" s="5">
        <f t="shared" ca="1" si="10"/>
        <v>1</v>
      </c>
      <c r="CX28" s="42">
        <f ca="1">INDEX('Airfoil 1'!$AA$72:$AA$91,CW28,1)+INDEX('Airfoil 1'!$AB$72:$AB$91,CW28,1)*(L28-INDEX('Airfoil 1'!$Z$72:$Z$91,CW28,1))</f>
        <v>1.2713052256532067E-2</v>
      </c>
    </row>
    <row r="29" spans="2:102">
      <c r="B29" s="31">
        <f>Main!B29</f>
        <v>0.33333333333333326</v>
      </c>
      <c r="D29" s="1">
        <f>Cruise!F29</f>
        <v>0.65969672852566186</v>
      </c>
      <c r="E29" s="4">
        <f>ISA!$R$10</f>
        <v>1.5987591530356481E-5</v>
      </c>
      <c r="G29" s="13">
        <f ca="1">'Aerodynamics-Descent'!H29</f>
        <v>36.427844098405416</v>
      </c>
      <c r="H29" s="5">
        <f t="shared" ca="1" si="0"/>
        <v>501041.27177487063</v>
      </c>
      <c r="I29" s="16">
        <f ca="1">'Airfoil 2'!$K$14*H29^'Airfoil 2'!$L$13</f>
        <v>1.5908048270986321</v>
      </c>
      <c r="J29" s="1">
        <f ca="1">'Airfoil 2'!$K$33*H29^'Airfoil 2'!$L$32</f>
        <v>4.4613389031758031</v>
      </c>
      <c r="K29" s="13">
        <f ca="1">'Airfoil 2'!$K$52*H29^'Airfoil 2'!$L$51</f>
        <v>-11.652665298088275</v>
      </c>
      <c r="L29" s="16">
        <f ca="1">'Aerodynamics-Descent'!W29</f>
        <v>0.45</v>
      </c>
      <c r="M29" s="10">
        <f ca="1">('Airfoil 1'!$B$21+'Airfoil 1'!$B$22*L29+'Airfoil 1'!$B$23*L29^2+'Airfoil 1'!$B$24*L29^3+'Airfoil 1'!$B$25*L29^4+'Airfoil 1'!$B$26*L29^5+'Airfoil 1'!$B$27*L29^6)*0+BD29</f>
        <v>2.7263130346232178E-2</v>
      </c>
      <c r="N29" s="42">
        <f ca="1">('Airfoil 1'!$B$29+'Airfoil 1'!$B$30*L29+'Airfoil 1'!$B$31*L29^2+'Airfoil 1'!$B$32*L29^3+'Airfoil 1'!$B$33*L29^4+'Airfoil 1'!$B$34*L29^5+'Airfoil 1'!$B$35*L29^6)*0+CA29</f>
        <v>2.1230094827586206E-2</v>
      </c>
      <c r="O29" s="42">
        <f ca="1">('Airfoil 1'!$B$37+'Airfoil 1'!$B$38*L29+'Airfoil 1'!$B$39*L29^2+'Airfoil 1'!$B$40*L29^3+'Airfoil 1'!$B$41*L29^4+'Airfoil 1'!$B$42*L29^5+'Airfoil 1'!$B$43*L29^6)*0+CX29</f>
        <v>1.2713052256532067E-2</v>
      </c>
      <c r="P29" s="16">
        <f>LOG('Airfoil 1'!$F$10)+LOG('Airfoil 1'!$G$10)+LOG('Airfoil 1'!$H$10)</f>
        <v>15.176091259055681</v>
      </c>
      <c r="Q29" s="16">
        <f t="shared" ca="1" si="1"/>
        <v>-5.133222513886718</v>
      </c>
      <c r="R29" s="16">
        <f>LOG('Airfoil 1'!$F$10)^2+LOG('Airfoil 1'!$G$10)^2+LOG('Airfoil 1'!$H$10)^2</f>
        <v>76.867141336751558</v>
      </c>
      <c r="S29" s="16">
        <f ca="1">LOG('Airfoil 1'!$F$10)*LOG(M29)+LOG('Airfoil 1'!$G$10)*LOG(N29)+LOG('Airfoil 1'!$H$10)*LOG(O29)</f>
        <v>-26.041333041174283</v>
      </c>
      <c r="T29" s="16">
        <f t="shared" ca="1" si="7"/>
        <v>154.2521937837034</v>
      </c>
      <c r="U29" s="16">
        <f t="shared" ca="1" si="2"/>
        <v>-0.77081221785869947</v>
      </c>
      <c r="V29" s="42">
        <f ca="1">IF(Energy!$F$11=1,Energy!$T$13,1)*T29*H29^U29</f>
        <v>6.8719155317600372E-3</v>
      </c>
      <c r="W29" s="10">
        <f ca="1">'Airfoil 1'!$B$48+'Airfoil 1'!$B$49*L29+'Airfoil 1'!$B$50*L29^2+'Airfoil 1'!$B$51*L29^3+'Airfoil 1'!$B$52*L29^4+'Airfoil 1'!$B$53*L29^5+'Airfoil 1'!$B$54*L29^6</f>
        <v>-0.155</v>
      </c>
      <c r="X29" s="42">
        <f ca="1">'Airfoil 1'!$B$56+'Airfoil 1'!$B$57*L29+'Airfoil 1'!$B$58*L29^2+'Airfoil 1'!$B$59*L29^3+'Airfoil 1'!$B$60*L29^4+'Airfoil 1'!$B$61*L29^5+'Airfoil 1'!$B$62*L29^6</f>
        <v>-0.155</v>
      </c>
      <c r="Y29" s="42">
        <f ca="1">'Airfoil 1'!$B$64+'Airfoil 1'!$B$65*L29+'Airfoil 1'!$B$66*L29^2+'Airfoil 1'!$B$67*L29^3+'Airfoil 1'!$B$681*L29^4+'Airfoil 1'!$B$69*L29^5+'Airfoil 1'!$B$70*L29^6</f>
        <v>-0.155</v>
      </c>
      <c r="Z29" s="16">
        <f>LOG('Airfoil 1'!$F$10)+LOG('Airfoil 1'!$G$10)+LOG('Airfoil 1'!$H$10)</f>
        <v>15.176091259055681</v>
      </c>
      <c r="AA29" s="16">
        <f t="shared" ca="1" si="3"/>
        <v>-2.4290049054891254</v>
      </c>
      <c r="AB29" s="16">
        <f>LOG('Airfoil 1'!$F$10)^2+LOG('Airfoil 1'!$G$10)^2+LOG('Airfoil 1'!$H$10)^2</f>
        <v>76.867141336751558</v>
      </c>
      <c r="AC29" s="16">
        <f ca="1">LOG('Airfoil 1'!$F$10)*LOG(ABS(W29))+LOG('Airfoil 1'!$G$10)*LOG(ABS(X29))+LOG('Airfoil 1'!$H$10)*LOG(ABS(Y29))</f>
        <v>-12.287600038132297</v>
      </c>
      <c r="AD29" s="16">
        <f t="shared" ca="1" si="4"/>
        <v>0.1550000000000121</v>
      </c>
      <c r="AE29" s="16">
        <f t="shared" ca="1" si="5"/>
        <v>-6.6718325633022456E-15</v>
      </c>
      <c r="AF29" s="42">
        <f t="shared" ca="1" si="6"/>
        <v>-0.15499999999999853</v>
      </c>
      <c r="AG29" s="16"/>
      <c r="AH29" s="42"/>
      <c r="AI29" s="16">
        <f ca="1">(L29-'Airfoil 1'!$Z$22)/ABS(L29-'Airfoil 1'!$Z$22)</f>
        <v>1</v>
      </c>
      <c r="AJ29" s="16">
        <f ca="1">(L29-'Airfoil 1'!$Z$23)/ABS(L29-'Airfoil 1'!$Z$23)</f>
        <v>1</v>
      </c>
      <c r="AK29" s="16">
        <f ca="1">(L29-'Airfoil 1'!$Z$24)/ABS(L29-'Airfoil 1'!$Z$24)</f>
        <v>1</v>
      </c>
      <c r="AL29" s="16">
        <f ca="1">(L29-'Airfoil 1'!$Z$25)/ABS(L29-'Airfoil 1'!$Z$25)</f>
        <v>1</v>
      </c>
      <c r="AM29" s="16">
        <f ca="1">(L29-'Airfoil 1'!$Z$26)/ABS(L29-'Airfoil 1'!$Z$26)</f>
        <v>-1</v>
      </c>
      <c r="AN29" s="16">
        <f ca="1">(L29-'Airfoil 1'!$Z$27)/ABS(L29-'Airfoil 1'!$Z$27)</f>
        <v>-1</v>
      </c>
      <c r="AO29" s="16">
        <f ca="1">(L29-'Airfoil 1'!$Z$28)/ABS(L29-'Airfoil 1'!$Z$28)</f>
        <v>-1</v>
      </c>
      <c r="AP29" s="16">
        <f ca="1">(L29-'Airfoil 1'!$Z$29)/ABS(L29-'Airfoil 1'!$Z$29)</f>
        <v>-1</v>
      </c>
      <c r="AQ29" s="16">
        <f ca="1">(L29-'Airfoil 1'!$Z$30)/ABS(L29-'Airfoil 1'!$Z$30)</f>
        <v>-1</v>
      </c>
      <c r="AR29" s="16">
        <f ca="1">(L29-'Airfoil 1'!$Z$31)/ABS(L29-'Airfoil 1'!$Z$31)</f>
        <v>-1</v>
      </c>
      <c r="AS29" s="16">
        <f ca="1">(L29-'Airfoil 1'!$Z$32)/ABS(L29-'Airfoil 1'!$Z$32)</f>
        <v>-1</v>
      </c>
      <c r="AT29" s="16">
        <f ca="1">(L29-'Airfoil 1'!$Z$33)/ABS(L29-'Airfoil 1'!$Z$33)</f>
        <v>-1</v>
      </c>
      <c r="AU29" s="16">
        <f ca="1">(L29-'Airfoil 1'!$Z$34)/ABS(L29-'Airfoil 1'!$Z$34)</f>
        <v>-1</v>
      </c>
      <c r="AV29" s="16">
        <f ca="1">(L29-'Airfoil 1'!$Z$35)/ABS(L29-'Airfoil 1'!$Z$35)</f>
        <v>-1</v>
      </c>
      <c r="AW29" s="16">
        <f ca="1">(L29-'Airfoil 1'!$Z$36)/ABS(L29-'Airfoil 1'!$Z$36)</f>
        <v>-1</v>
      </c>
      <c r="AX29" s="16">
        <f ca="1">(L29-'Airfoil 1'!$Z$37)/ABS(L29-'Airfoil 1'!$Z$37)</f>
        <v>-1</v>
      </c>
      <c r="AY29" s="16">
        <f ca="1">(L29-'Airfoil 1'!$Z$38)/ABS(L29-'Airfoil 1'!$Z$38)</f>
        <v>-1</v>
      </c>
      <c r="AZ29" s="16">
        <f ca="1">(L29-'Airfoil 1'!$Z$39)/ABS(L29-'Airfoil 1'!$Z$39)</f>
        <v>-1</v>
      </c>
      <c r="BA29" s="16">
        <f ca="1">(L29-'Airfoil 1'!$Z$40)/ABS(L29-'Airfoil 1'!$Z$40)</f>
        <v>-1</v>
      </c>
      <c r="BB29" s="16">
        <f ca="1">(L29-'Airfoil 1'!$Z$41)/ABS(L29-'Airfoil 1'!$Z$41)</f>
        <v>-1</v>
      </c>
      <c r="BC29" s="5">
        <f t="shared" ca="1" si="8"/>
        <v>4</v>
      </c>
      <c r="BD29" s="42">
        <f ca="1">INDEX('Airfoil 1'!$AA$22:$AA$41,BC29,1)+INDEX('Airfoil 1'!$AB$22:$AB$41,BC29,1)*(L29-INDEX('Airfoil 1'!$Z$22:$Z$41,BC29,1))</f>
        <v>2.7263130346232178E-2</v>
      </c>
      <c r="BE29" s="6"/>
      <c r="BF29" s="16">
        <f ca="1">(L29-'Airfoil 1'!$Z$47)/ABS(L29-'Airfoil 1'!$Z$47)</f>
        <v>1</v>
      </c>
      <c r="BG29" s="16">
        <f ca="1">(L29-'Airfoil 1'!$Z$48)/ABS(L29-'Airfoil 1'!$Z$48)</f>
        <v>1</v>
      </c>
      <c r="BH29" s="16">
        <f ca="1">(L29-'Airfoil 1'!$Z$49)/ABS(L29-'Airfoil 1'!$Z$49)</f>
        <v>1</v>
      </c>
      <c r="BI29" s="16">
        <f ca="1">(L29-'Airfoil 1'!$Z$50)/ABS(L29-'Airfoil 1'!$Z$50)</f>
        <v>-1</v>
      </c>
      <c r="BJ29" s="16">
        <f ca="1">(L29-'Airfoil 1'!$Z$51)/ABS(L29-'Airfoil 1'!$Z$51)</f>
        <v>-1</v>
      </c>
      <c r="BK29" s="16">
        <f ca="1">(L29-'Airfoil 1'!$Z$52)/ABS(L29-'Airfoil 1'!$Z$52)</f>
        <v>-1</v>
      </c>
      <c r="BL29" s="16">
        <f ca="1">(L29-'Airfoil 1'!$Z$53)/ABS(L29-'Airfoil 1'!$Z$53)</f>
        <v>-1</v>
      </c>
      <c r="BM29" s="16">
        <f ca="1">(L29-'Airfoil 1'!$Z$54)/ABS(L29-'Airfoil 1'!$Z$54)</f>
        <v>-1</v>
      </c>
      <c r="BN29" s="16">
        <f ca="1">(L29-'Airfoil 1'!$Z$55)/ABS(L29-'Airfoil 1'!$Z$55)</f>
        <v>-1</v>
      </c>
      <c r="BO29" s="16">
        <f ca="1">(L29-'Airfoil 1'!$Z$56)/ABS(L29-'Airfoil 1'!$Z$56)</f>
        <v>-1</v>
      </c>
      <c r="BP29" s="16">
        <f ca="1">(L29-'Airfoil 1'!$Z$57)/ABS(L29-'Airfoil 1'!$Z$57)</f>
        <v>-1</v>
      </c>
      <c r="BQ29" s="16">
        <f ca="1">(L29-'Airfoil 1'!$Z$58)/ABS(L29-'Airfoil 1'!$Z$58)</f>
        <v>-1</v>
      </c>
      <c r="BR29" s="16">
        <f ca="1">(L29-'Airfoil 1'!$Z$59)/ABS(L29-'Airfoil 1'!$Z$59)</f>
        <v>-1</v>
      </c>
      <c r="BS29" s="16">
        <f ca="1">(L29-'Airfoil 1'!$Z$60)/ABS(L29-'Airfoil 1'!$Z$60)</f>
        <v>-1</v>
      </c>
      <c r="BT29" s="16">
        <f ca="1">(L29-'Airfoil 1'!$Z$61)/ABS(L29-'Airfoil 1'!$Z$61)</f>
        <v>-1</v>
      </c>
      <c r="BU29" s="16">
        <f ca="1">(L29-'Airfoil 1'!$Z$62)/ABS(L29-'Airfoil 1'!$Z$62)</f>
        <v>-1</v>
      </c>
      <c r="BV29" s="16">
        <f ca="1">(L29-'Airfoil 1'!$Z$63)/ABS(L29-'Airfoil 1'!$Z$63)</f>
        <v>-1</v>
      </c>
      <c r="BW29" s="16">
        <f ca="1">(L29-'Airfoil 1'!$Z$64)/ABS(L29-'Airfoil 1'!$Z$64)</f>
        <v>-1</v>
      </c>
      <c r="BX29" s="16">
        <f ca="1">(L29-'Airfoil 1'!$Z$65)/ABS(L29-'Airfoil 1'!$Z$65)</f>
        <v>-1</v>
      </c>
      <c r="BY29" s="16">
        <f ca="1">(L29-'Airfoil 1'!$Z$66)/ABS(L29-'Airfoil 1'!$Z$66)</f>
        <v>-1</v>
      </c>
      <c r="BZ29" s="5">
        <f t="shared" ca="1" si="9"/>
        <v>3</v>
      </c>
      <c r="CA29" s="42">
        <f ca="1">INDEX('Airfoil 1'!$AA$47:$AA$66,BZ29,1)+INDEX('Airfoil 1'!$AB$47:$AB$66,BZ29,1)*(L29-INDEX('Airfoil 1'!$Z$47:$Z$66,BZ29,1))</f>
        <v>2.1230094827586206E-2</v>
      </c>
      <c r="CC29" s="16">
        <f ca="1">(L29-'Airfoil 1'!$Z$72)/ABS(L29-'Airfoil 1'!$Z$72)</f>
        <v>1</v>
      </c>
      <c r="CD29" s="16">
        <f ca="1">(L29-'Airfoil 1'!$Z$73)/ABS(L29-'Airfoil 1'!$Z$73)</f>
        <v>-1</v>
      </c>
      <c r="CE29" s="16">
        <f ca="1">(L29-'Airfoil 1'!$Z$74)/ABS(L29-'Airfoil 1'!$Z$74)</f>
        <v>-1</v>
      </c>
      <c r="CF29" s="16">
        <f ca="1">(L29-'Airfoil 1'!$Z$75)/ABS(L29-'Airfoil 1'!$Z$75)</f>
        <v>-1</v>
      </c>
      <c r="CG29" s="16">
        <f ca="1">(L29-'Airfoil 1'!$Z$76)/ABS(L29-'Airfoil 1'!$Z$76)</f>
        <v>-1</v>
      </c>
      <c r="CH29" s="16">
        <f ca="1">(L29-'Airfoil 1'!$Z$77)/ABS(L29-'Airfoil 1'!$Z$77)</f>
        <v>-1</v>
      </c>
      <c r="CI29" s="16">
        <f ca="1">(L29-'Airfoil 1'!$Z$78)/ABS(L29-'Airfoil 1'!$Z$78)</f>
        <v>-1</v>
      </c>
      <c r="CJ29" s="16">
        <f ca="1">(L29-'Airfoil 1'!$Z$79)/ABS(L29-'Airfoil 1'!$Z$79)</f>
        <v>-1</v>
      </c>
      <c r="CK29" s="16">
        <f ca="1">(L29-'Airfoil 1'!$Z$80)/ABS(L29-'Airfoil 1'!$Z$80)</f>
        <v>-1</v>
      </c>
      <c r="CL29" s="16">
        <f ca="1">(L29-'Airfoil 1'!$Z$81)/ABS(L29-'Airfoil 1'!$Z$81)</f>
        <v>-1</v>
      </c>
      <c r="CM29" s="16">
        <f ca="1">(L29-'Airfoil 1'!$Z$82)/ABS(L29-'Airfoil 1'!$Z$82)</f>
        <v>-1</v>
      </c>
      <c r="CN29" s="16">
        <f ca="1">(L29-'Airfoil 1'!$Z$83)/ABS(L29-'Airfoil 1'!$Z$83)</f>
        <v>-1</v>
      </c>
      <c r="CO29" s="16">
        <f ca="1">(L29-'Airfoil 1'!$Z$84)/ABS(L29-'Airfoil 1'!$Z$84)</f>
        <v>-1</v>
      </c>
      <c r="CP29" s="16">
        <f ca="1">(L29-'Airfoil 1'!$Z$85)/ABS(L29-'Airfoil 1'!$Z$85)</f>
        <v>-1</v>
      </c>
      <c r="CQ29" s="16">
        <f ca="1">(L29-'Airfoil 1'!$Z$86)/ABS(L29-'Airfoil 1'!$Z$86)</f>
        <v>-1</v>
      </c>
      <c r="CR29" s="16">
        <f ca="1">(L29-'Airfoil 1'!$Z$87)/ABS(L29-'Airfoil 1'!$Z$87)</f>
        <v>-1</v>
      </c>
      <c r="CS29" s="16">
        <f ca="1">(L29-'Airfoil 1'!$Z$88)/ABS(L29-'Airfoil 1'!$Z$88)</f>
        <v>-1</v>
      </c>
      <c r="CT29" s="16">
        <f ca="1">(L29-'Airfoil 1'!$Z$89)/ABS(L29-'Airfoil 1'!$Z$89)</f>
        <v>-1</v>
      </c>
      <c r="CU29" s="16">
        <f ca="1">(L29-'Airfoil 1'!$Z$90)/ABS(L29-'Airfoil 1'!$Z$90)</f>
        <v>-1</v>
      </c>
      <c r="CV29" s="16">
        <f ca="1">(L29-'Airfoil 1'!$Z$91)/ABS(L29-'Airfoil 1'!$Z$91)</f>
        <v>-1</v>
      </c>
      <c r="CW29" s="5">
        <f t="shared" ca="1" si="10"/>
        <v>1</v>
      </c>
      <c r="CX29" s="42">
        <f ca="1">INDEX('Airfoil 1'!$AA$72:$AA$91,CW29,1)+INDEX('Airfoil 1'!$AB$72:$AB$91,CW29,1)*(L29-INDEX('Airfoil 1'!$Z$72:$Z$91,CW29,1))</f>
        <v>1.2713052256532067E-2</v>
      </c>
    </row>
    <row r="30" spans="2:102">
      <c r="B30" s="31">
        <f>Main!B30</f>
        <v>0.33333333333333326</v>
      </c>
      <c r="D30" s="1">
        <f>Cruise!F30</f>
        <v>0.65969672852566186</v>
      </c>
      <c r="E30" s="4">
        <f>ISA!$R$10</f>
        <v>1.5987591530356481E-5</v>
      </c>
      <c r="G30" s="13">
        <f ca="1">'Aerodynamics-Descent'!H30</f>
        <v>35.74040002514208</v>
      </c>
      <c r="H30" s="5">
        <f t="shared" ca="1" si="0"/>
        <v>491585.9262482042</v>
      </c>
      <c r="I30" s="16">
        <f ca="1">'Airfoil 2'!$K$14*H30^'Airfoil 2'!$L$13</f>
        <v>1.5903835663310557</v>
      </c>
      <c r="J30" s="1">
        <f ca="1">'Airfoil 2'!$K$33*H30^'Airfoil 2'!$L$32</f>
        <v>4.4900187440233204</v>
      </c>
      <c r="K30" s="13">
        <f ca="1">'Airfoil 2'!$K$52*H30^'Airfoil 2'!$L$51</f>
        <v>-11.505142215190212</v>
      </c>
      <c r="L30" s="16">
        <f ca="1">'Aerodynamics-Descent'!W30</f>
        <v>0.45</v>
      </c>
      <c r="M30" s="10">
        <f ca="1">('Airfoil 1'!$B$21+'Airfoil 1'!$B$22*L30+'Airfoil 1'!$B$23*L30^2+'Airfoil 1'!$B$24*L30^3+'Airfoil 1'!$B$25*L30^4+'Airfoil 1'!$B$26*L30^5+'Airfoil 1'!$B$27*L30^6)*0+BD30</f>
        <v>2.7263130346232178E-2</v>
      </c>
      <c r="N30" s="42">
        <f ca="1">('Airfoil 1'!$B$29+'Airfoil 1'!$B$30*L30+'Airfoil 1'!$B$31*L30^2+'Airfoil 1'!$B$32*L30^3+'Airfoil 1'!$B$33*L30^4+'Airfoil 1'!$B$34*L30^5+'Airfoil 1'!$B$35*L30^6)*0+CA30</f>
        <v>2.1230094827586206E-2</v>
      </c>
      <c r="O30" s="42">
        <f ca="1">('Airfoil 1'!$B$37+'Airfoil 1'!$B$38*L30+'Airfoil 1'!$B$39*L30^2+'Airfoil 1'!$B$40*L30^3+'Airfoil 1'!$B$41*L30^4+'Airfoil 1'!$B$42*L30^5+'Airfoil 1'!$B$43*L30^6)*0+CX30</f>
        <v>1.2713052256532067E-2</v>
      </c>
      <c r="P30" s="16">
        <f>LOG('Airfoil 1'!$F$10)+LOG('Airfoil 1'!$G$10)+LOG('Airfoil 1'!$H$10)</f>
        <v>15.176091259055681</v>
      </c>
      <c r="Q30" s="16">
        <f t="shared" ca="1" si="1"/>
        <v>-5.133222513886718</v>
      </c>
      <c r="R30" s="16">
        <f>LOG('Airfoil 1'!$F$10)^2+LOG('Airfoil 1'!$G$10)^2+LOG('Airfoil 1'!$H$10)^2</f>
        <v>76.867141336751558</v>
      </c>
      <c r="S30" s="16">
        <f ca="1">LOG('Airfoil 1'!$F$10)*LOG(M30)+LOG('Airfoil 1'!$G$10)*LOG(N30)+LOG('Airfoil 1'!$H$10)*LOG(O30)</f>
        <v>-26.041333041174283</v>
      </c>
      <c r="T30" s="16">
        <f t="shared" ca="1" si="7"/>
        <v>154.2521937837034</v>
      </c>
      <c r="U30" s="16">
        <f t="shared" ca="1" si="2"/>
        <v>-0.77081221785869947</v>
      </c>
      <c r="V30" s="42">
        <f ca="1">IF(Energy!$F$11=1,Energy!$T$13,1)*T30*H30^U30</f>
        <v>6.9735763364718968E-3</v>
      </c>
      <c r="W30" s="10">
        <f ca="1">'Airfoil 1'!$B$48+'Airfoil 1'!$B$49*L30+'Airfoil 1'!$B$50*L30^2+'Airfoil 1'!$B$51*L30^3+'Airfoil 1'!$B$52*L30^4+'Airfoil 1'!$B$53*L30^5+'Airfoil 1'!$B$54*L30^6</f>
        <v>-0.155</v>
      </c>
      <c r="X30" s="42">
        <f ca="1">'Airfoil 1'!$B$56+'Airfoil 1'!$B$57*L30+'Airfoil 1'!$B$58*L30^2+'Airfoil 1'!$B$59*L30^3+'Airfoil 1'!$B$60*L30^4+'Airfoil 1'!$B$61*L30^5+'Airfoil 1'!$B$62*L30^6</f>
        <v>-0.155</v>
      </c>
      <c r="Y30" s="42">
        <f ca="1">'Airfoil 1'!$B$64+'Airfoil 1'!$B$65*L30+'Airfoil 1'!$B$66*L30^2+'Airfoil 1'!$B$67*L30^3+'Airfoil 1'!$B$681*L30^4+'Airfoil 1'!$B$69*L30^5+'Airfoil 1'!$B$70*L30^6</f>
        <v>-0.155</v>
      </c>
      <c r="Z30" s="16">
        <f>LOG('Airfoil 1'!$F$10)+LOG('Airfoil 1'!$G$10)+LOG('Airfoil 1'!$H$10)</f>
        <v>15.176091259055681</v>
      </c>
      <c r="AA30" s="16">
        <f t="shared" ca="1" si="3"/>
        <v>-2.4290049054891254</v>
      </c>
      <c r="AB30" s="16">
        <f>LOG('Airfoil 1'!$F$10)^2+LOG('Airfoil 1'!$G$10)^2+LOG('Airfoil 1'!$H$10)^2</f>
        <v>76.867141336751558</v>
      </c>
      <c r="AC30" s="16">
        <f ca="1">LOG('Airfoil 1'!$F$10)*LOG(ABS(W30))+LOG('Airfoil 1'!$G$10)*LOG(ABS(X30))+LOG('Airfoil 1'!$H$10)*LOG(ABS(Y30))</f>
        <v>-12.287600038132297</v>
      </c>
      <c r="AD30" s="16">
        <f t="shared" ca="1" si="4"/>
        <v>0.1550000000000121</v>
      </c>
      <c r="AE30" s="16">
        <f t="shared" ca="1" si="5"/>
        <v>-6.6718325633022456E-15</v>
      </c>
      <c r="AF30" s="42">
        <f t="shared" ca="1" si="6"/>
        <v>-0.15499999999999853</v>
      </c>
      <c r="AG30" s="16"/>
      <c r="AH30" s="42"/>
      <c r="AI30" s="16">
        <f ca="1">(L30-'Airfoil 1'!$Z$22)/ABS(L30-'Airfoil 1'!$Z$22)</f>
        <v>1</v>
      </c>
      <c r="AJ30" s="16">
        <f ca="1">(L30-'Airfoil 1'!$Z$23)/ABS(L30-'Airfoil 1'!$Z$23)</f>
        <v>1</v>
      </c>
      <c r="AK30" s="16">
        <f ca="1">(L30-'Airfoil 1'!$Z$24)/ABS(L30-'Airfoil 1'!$Z$24)</f>
        <v>1</v>
      </c>
      <c r="AL30" s="16">
        <f ca="1">(L30-'Airfoil 1'!$Z$25)/ABS(L30-'Airfoil 1'!$Z$25)</f>
        <v>1</v>
      </c>
      <c r="AM30" s="16">
        <f ca="1">(L30-'Airfoil 1'!$Z$26)/ABS(L30-'Airfoil 1'!$Z$26)</f>
        <v>-1</v>
      </c>
      <c r="AN30" s="16">
        <f ca="1">(L30-'Airfoil 1'!$Z$27)/ABS(L30-'Airfoil 1'!$Z$27)</f>
        <v>-1</v>
      </c>
      <c r="AO30" s="16">
        <f ca="1">(L30-'Airfoil 1'!$Z$28)/ABS(L30-'Airfoil 1'!$Z$28)</f>
        <v>-1</v>
      </c>
      <c r="AP30" s="16">
        <f ca="1">(L30-'Airfoil 1'!$Z$29)/ABS(L30-'Airfoil 1'!$Z$29)</f>
        <v>-1</v>
      </c>
      <c r="AQ30" s="16">
        <f ca="1">(L30-'Airfoil 1'!$Z$30)/ABS(L30-'Airfoil 1'!$Z$30)</f>
        <v>-1</v>
      </c>
      <c r="AR30" s="16">
        <f ca="1">(L30-'Airfoil 1'!$Z$31)/ABS(L30-'Airfoil 1'!$Z$31)</f>
        <v>-1</v>
      </c>
      <c r="AS30" s="16">
        <f ca="1">(L30-'Airfoil 1'!$Z$32)/ABS(L30-'Airfoil 1'!$Z$32)</f>
        <v>-1</v>
      </c>
      <c r="AT30" s="16">
        <f ca="1">(L30-'Airfoil 1'!$Z$33)/ABS(L30-'Airfoil 1'!$Z$33)</f>
        <v>-1</v>
      </c>
      <c r="AU30" s="16">
        <f ca="1">(L30-'Airfoil 1'!$Z$34)/ABS(L30-'Airfoil 1'!$Z$34)</f>
        <v>-1</v>
      </c>
      <c r="AV30" s="16">
        <f ca="1">(L30-'Airfoil 1'!$Z$35)/ABS(L30-'Airfoil 1'!$Z$35)</f>
        <v>-1</v>
      </c>
      <c r="AW30" s="16">
        <f ca="1">(L30-'Airfoil 1'!$Z$36)/ABS(L30-'Airfoil 1'!$Z$36)</f>
        <v>-1</v>
      </c>
      <c r="AX30" s="16">
        <f ca="1">(L30-'Airfoil 1'!$Z$37)/ABS(L30-'Airfoil 1'!$Z$37)</f>
        <v>-1</v>
      </c>
      <c r="AY30" s="16">
        <f ca="1">(L30-'Airfoil 1'!$Z$38)/ABS(L30-'Airfoil 1'!$Z$38)</f>
        <v>-1</v>
      </c>
      <c r="AZ30" s="16">
        <f ca="1">(L30-'Airfoil 1'!$Z$39)/ABS(L30-'Airfoil 1'!$Z$39)</f>
        <v>-1</v>
      </c>
      <c r="BA30" s="16">
        <f ca="1">(L30-'Airfoil 1'!$Z$40)/ABS(L30-'Airfoil 1'!$Z$40)</f>
        <v>-1</v>
      </c>
      <c r="BB30" s="16">
        <f ca="1">(L30-'Airfoil 1'!$Z$41)/ABS(L30-'Airfoil 1'!$Z$41)</f>
        <v>-1</v>
      </c>
      <c r="BC30" s="5">
        <f t="shared" ca="1" si="8"/>
        <v>4</v>
      </c>
      <c r="BD30" s="42">
        <f ca="1">INDEX('Airfoil 1'!$AA$22:$AA$41,BC30,1)+INDEX('Airfoil 1'!$AB$22:$AB$41,BC30,1)*(L30-INDEX('Airfoil 1'!$Z$22:$Z$41,BC30,1))</f>
        <v>2.7263130346232178E-2</v>
      </c>
      <c r="BE30" s="6"/>
      <c r="BF30" s="16">
        <f ca="1">(L30-'Airfoil 1'!$Z$47)/ABS(L30-'Airfoil 1'!$Z$47)</f>
        <v>1</v>
      </c>
      <c r="BG30" s="16">
        <f ca="1">(L30-'Airfoil 1'!$Z$48)/ABS(L30-'Airfoil 1'!$Z$48)</f>
        <v>1</v>
      </c>
      <c r="BH30" s="16">
        <f ca="1">(L30-'Airfoil 1'!$Z$49)/ABS(L30-'Airfoil 1'!$Z$49)</f>
        <v>1</v>
      </c>
      <c r="BI30" s="16">
        <f ca="1">(L30-'Airfoil 1'!$Z$50)/ABS(L30-'Airfoil 1'!$Z$50)</f>
        <v>-1</v>
      </c>
      <c r="BJ30" s="16">
        <f ca="1">(L30-'Airfoil 1'!$Z$51)/ABS(L30-'Airfoil 1'!$Z$51)</f>
        <v>-1</v>
      </c>
      <c r="BK30" s="16">
        <f ca="1">(L30-'Airfoil 1'!$Z$52)/ABS(L30-'Airfoil 1'!$Z$52)</f>
        <v>-1</v>
      </c>
      <c r="BL30" s="16">
        <f ca="1">(L30-'Airfoil 1'!$Z$53)/ABS(L30-'Airfoil 1'!$Z$53)</f>
        <v>-1</v>
      </c>
      <c r="BM30" s="16">
        <f ca="1">(L30-'Airfoil 1'!$Z$54)/ABS(L30-'Airfoil 1'!$Z$54)</f>
        <v>-1</v>
      </c>
      <c r="BN30" s="16">
        <f ca="1">(L30-'Airfoil 1'!$Z$55)/ABS(L30-'Airfoil 1'!$Z$55)</f>
        <v>-1</v>
      </c>
      <c r="BO30" s="16">
        <f ca="1">(L30-'Airfoil 1'!$Z$56)/ABS(L30-'Airfoil 1'!$Z$56)</f>
        <v>-1</v>
      </c>
      <c r="BP30" s="16">
        <f ca="1">(L30-'Airfoil 1'!$Z$57)/ABS(L30-'Airfoil 1'!$Z$57)</f>
        <v>-1</v>
      </c>
      <c r="BQ30" s="16">
        <f ca="1">(L30-'Airfoil 1'!$Z$58)/ABS(L30-'Airfoil 1'!$Z$58)</f>
        <v>-1</v>
      </c>
      <c r="BR30" s="16">
        <f ca="1">(L30-'Airfoil 1'!$Z$59)/ABS(L30-'Airfoil 1'!$Z$59)</f>
        <v>-1</v>
      </c>
      <c r="BS30" s="16">
        <f ca="1">(L30-'Airfoil 1'!$Z$60)/ABS(L30-'Airfoil 1'!$Z$60)</f>
        <v>-1</v>
      </c>
      <c r="BT30" s="16">
        <f ca="1">(L30-'Airfoil 1'!$Z$61)/ABS(L30-'Airfoil 1'!$Z$61)</f>
        <v>-1</v>
      </c>
      <c r="BU30" s="16">
        <f ca="1">(L30-'Airfoil 1'!$Z$62)/ABS(L30-'Airfoil 1'!$Z$62)</f>
        <v>-1</v>
      </c>
      <c r="BV30" s="16">
        <f ca="1">(L30-'Airfoil 1'!$Z$63)/ABS(L30-'Airfoil 1'!$Z$63)</f>
        <v>-1</v>
      </c>
      <c r="BW30" s="16">
        <f ca="1">(L30-'Airfoil 1'!$Z$64)/ABS(L30-'Airfoil 1'!$Z$64)</f>
        <v>-1</v>
      </c>
      <c r="BX30" s="16">
        <f ca="1">(L30-'Airfoil 1'!$Z$65)/ABS(L30-'Airfoil 1'!$Z$65)</f>
        <v>-1</v>
      </c>
      <c r="BY30" s="16">
        <f ca="1">(L30-'Airfoil 1'!$Z$66)/ABS(L30-'Airfoil 1'!$Z$66)</f>
        <v>-1</v>
      </c>
      <c r="BZ30" s="5">
        <f t="shared" ca="1" si="9"/>
        <v>3</v>
      </c>
      <c r="CA30" s="42">
        <f ca="1">INDEX('Airfoil 1'!$AA$47:$AA$66,BZ30,1)+INDEX('Airfoil 1'!$AB$47:$AB$66,BZ30,1)*(L30-INDEX('Airfoil 1'!$Z$47:$Z$66,BZ30,1))</f>
        <v>2.1230094827586206E-2</v>
      </c>
      <c r="CC30" s="16">
        <f ca="1">(L30-'Airfoil 1'!$Z$72)/ABS(L30-'Airfoil 1'!$Z$72)</f>
        <v>1</v>
      </c>
      <c r="CD30" s="16">
        <f ca="1">(L30-'Airfoil 1'!$Z$73)/ABS(L30-'Airfoil 1'!$Z$73)</f>
        <v>-1</v>
      </c>
      <c r="CE30" s="16">
        <f ca="1">(L30-'Airfoil 1'!$Z$74)/ABS(L30-'Airfoil 1'!$Z$74)</f>
        <v>-1</v>
      </c>
      <c r="CF30" s="16">
        <f ca="1">(L30-'Airfoil 1'!$Z$75)/ABS(L30-'Airfoil 1'!$Z$75)</f>
        <v>-1</v>
      </c>
      <c r="CG30" s="16">
        <f ca="1">(L30-'Airfoil 1'!$Z$76)/ABS(L30-'Airfoil 1'!$Z$76)</f>
        <v>-1</v>
      </c>
      <c r="CH30" s="16">
        <f ca="1">(L30-'Airfoil 1'!$Z$77)/ABS(L30-'Airfoil 1'!$Z$77)</f>
        <v>-1</v>
      </c>
      <c r="CI30" s="16">
        <f ca="1">(L30-'Airfoil 1'!$Z$78)/ABS(L30-'Airfoil 1'!$Z$78)</f>
        <v>-1</v>
      </c>
      <c r="CJ30" s="16">
        <f ca="1">(L30-'Airfoil 1'!$Z$79)/ABS(L30-'Airfoil 1'!$Z$79)</f>
        <v>-1</v>
      </c>
      <c r="CK30" s="16">
        <f ca="1">(L30-'Airfoil 1'!$Z$80)/ABS(L30-'Airfoil 1'!$Z$80)</f>
        <v>-1</v>
      </c>
      <c r="CL30" s="16">
        <f ca="1">(L30-'Airfoil 1'!$Z$81)/ABS(L30-'Airfoil 1'!$Z$81)</f>
        <v>-1</v>
      </c>
      <c r="CM30" s="16">
        <f ca="1">(L30-'Airfoil 1'!$Z$82)/ABS(L30-'Airfoil 1'!$Z$82)</f>
        <v>-1</v>
      </c>
      <c r="CN30" s="16">
        <f ca="1">(L30-'Airfoil 1'!$Z$83)/ABS(L30-'Airfoil 1'!$Z$83)</f>
        <v>-1</v>
      </c>
      <c r="CO30" s="16">
        <f ca="1">(L30-'Airfoil 1'!$Z$84)/ABS(L30-'Airfoil 1'!$Z$84)</f>
        <v>-1</v>
      </c>
      <c r="CP30" s="16">
        <f ca="1">(L30-'Airfoil 1'!$Z$85)/ABS(L30-'Airfoil 1'!$Z$85)</f>
        <v>-1</v>
      </c>
      <c r="CQ30" s="16">
        <f ca="1">(L30-'Airfoil 1'!$Z$86)/ABS(L30-'Airfoil 1'!$Z$86)</f>
        <v>-1</v>
      </c>
      <c r="CR30" s="16">
        <f ca="1">(L30-'Airfoil 1'!$Z$87)/ABS(L30-'Airfoil 1'!$Z$87)</f>
        <v>-1</v>
      </c>
      <c r="CS30" s="16">
        <f ca="1">(L30-'Airfoil 1'!$Z$88)/ABS(L30-'Airfoil 1'!$Z$88)</f>
        <v>-1</v>
      </c>
      <c r="CT30" s="16">
        <f ca="1">(L30-'Airfoil 1'!$Z$89)/ABS(L30-'Airfoil 1'!$Z$89)</f>
        <v>-1</v>
      </c>
      <c r="CU30" s="16">
        <f ca="1">(L30-'Airfoil 1'!$Z$90)/ABS(L30-'Airfoil 1'!$Z$90)</f>
        <v>-1</v>
      </c>
      <c r="CV30" s="16">
        <f ca="1">(L30-'Airfoil 1'!$Z$91)/ABS(L30-'Airfoil 1'!$Z$91)</f>
        <v>-1</v>
      </c>
      <c r="CW30" s="5">
        <f t="shared" ca="1" si="10"/>
        <v>1</v>
      </c>
      <c r="CX30" s="42">
        <f ca="1">INDEX('Airfoil 1'!$AA$72:$AA$91,CW30,1)+INDEX('Airfoil 1'!$AB$72:$AB$91,CW30,1)*(L30-INDEX('Airfoil 1'!$Z$72:$Z$91,CW30,1))</f>
        <v>1.2713052256532067E-2</v>
      </c>
    </row>
    <row r="31" spans="2:102">
      <c r="B31" s="31">
        <f>Main!B31</f>
        <v>0.33333333333333326</v>
      </c>
      <c r="D31" s="1">
        <f>Cruise!F31</f>
        <v>0.65969672852566186</v>
      </c>
      <c r="E31" s="4">
        <f>ISA!$R$10</f>
        <v>1.5987591530356481E-5</v>
      </c>
      <c r="G31" s="13">
        <f ca="1">'Aerodynamics-Descent'!H31</f>
        <v>35.096844759527272</v>
      </c>
      <c r="H31" s="5">
        <f t="shared" ca="1" si="0"/>
        <v>482734.24268795829</v>
      </c>
      <c r="I31" s="16">
        <f ca="1">'Airfoil 2'!$K$14*H31^'Airfoil 2'!$L$13</f>
        <v>1.5899818953833229</v>
      </c>
      <c r="J31" s="1">
        <f ca="1">'Airfoil 2'!$K$33*H31^'Airfoil 2'!$L$32</f>
        <v>4.5175437239724419</v>
      </c>
      <c r="K31" s="13">
        <f ca="1">'Airfoil 2'!$K$52*H31^'Airfoil 2'!$L$51</f>
        <v>-11.366183377114854</v>
      </c>
      <c r="L31" s="16">
        <f ca="1">'Aerodynamics-Descent'!W31</f>
        <v>0.45</v>
      </c>
      <c r="M31" s="10">
        <f ca="1">('Airfoil 1'!$B$21+'Airfoil 1'!$B$22*L31+'Airfoil 1'!$B$23*L31^2+'Airfoil 1'!$B$24*L31^3+'Airfoil 1'!$B$25*L31^4+'Airfoil 1'!$B$26*L31^5+'Airfoil 1'!$B$27*L31^6)*0+BD31</f>
        <v>2.7263130346232178E-2</v>
      </c>
      <c r="N31" s="42">
        <f ca="1">('Airfoil 1'!$B$29+'Airfoil 1'!$B$30*L31+'Airfoil 1'!$B$31*L31^2+'Airfoil 1'!$B$32*L31^3+'Airfoil 1'!$B$33*L31^4+'Airfoil 1'!$B$34*L31^5+'Airfoil 1'!$B$35*L31^6)*0+CA31</f>
        <v>2.1230094827586206E-2</v>
      </c>
      <c r="O31" s="42">
        <f ca="1">('Airfoil 1'!$B$37+'Airfoil 1'!$B$38*L31+'Airfoil 1'!$B$39*L31^2+'Airfoil 1'!$B$40*L31^3+'Airfoil 1'!$B$41*L31^4+'Airfoil 1'!$B$42*L31^5+'Airfoil 1'!$B$43*L31^6)*0+CX31</f>
        <v>1.2713052256532067E-2</v>
      </c>
      <c r="P31" s="16">
        <f>LOG('Airfoil 1'!$F$10)+LOG('Airfoil 1'!$G$10)+LOG('Airfoil 1'!$H$10)</f>
        <v>15.176091259055681</v>
      </c>
      <c r="Q31" s="16">
        <f t="shared" ca="1" si="1"/>
        <v>-5.133222513886718</v>
      </c>
      <c r="R31" s="16">
        <f>LOG('Airfoil 1'!$F$10)^2+LOG('Airfoil 1'!$G$10)^2+LOG('Airfoil 1'!$H$10)^2</f>
        <v>76.867141336751558</v>
      </c>
      <c r="S31" s="16">
        <f ca="1">LOG('Airfoil 1'!$F$10)*LOG(M31)+LOG('Airfoil 1'!$G$10)*LOG(N31)+LOG('Airfoil 1'!$H$10)*LOG(O31)</f>
        <v>-26.041333041174283</v>
      </c>
      <c r="T31" s="16">
        <f t="shared" ca="1" si="7"/>
        <v>154.2521937837034</v>
      </c>
      <c r="U31" s="16">
        <f t="shared" ca="1" si="2"/>
        <v>-0.77081221785869947</v>
      </c>
      <c r="V31" s="42">
        <f ca="1">IF(Energy!$F$11=1,Energy!$T$13,1)*T31*H31^U31</f>
        <v>7.0719355843270985E-3</v>
      </c>
      <c r="W31" s="10">
        <f ca="1">'Airfoil 1'!$B$48+'Airfoil 1'!$B$49*L31+'Airfoil 1'!$B$50*L31^2+'Airfoil 1'!$B$51*L31^3+'Airfoil 1'!$B$52*L31^4+'Airfoil 1'!$B$53*L31^5+'Airfoil 1'!$B$54*L31^6</f>
        <v>-0.155</v>
      </c>
      <c r="X31" s="42">
        <f ca="1">'Airfoil 1'!$B$56+'Airfoil 1'!$B$57*L31+'Airfoil 1'!$B$58*L31^2+'Airfoil 1'!$B$59*L31^3+'Airfoil 1'!$B$60*L31^4+'Airfoil 1'!$B$61*L31^5+'Airfoil 1'!$B$62*L31^6</f>
        <v>-0.155</v>
      </c>
      <c r="Y31" s="42">
        <f ca="1">'Airfoil 1'!$B$64+'Airfoil 1'!$B$65*L31+'Airfoil 1'!$B$66*L31^2+'Airfoil 1'!$B$67*L31^3+'Airfoil 1'!$B$681*L31^4+'Airfoil 1'!$B$69*L31^5+'Airfoil 1'!$B$70*L31^6</f>
        <v>-0.155</v>
      </c>
      <c r="Z31" s="16">
        <f>LOG('Airfoil 1'!$F$10)+LOG('Airfoil 1'!$G$10)+LOG('Airfoil 1'!$H$10)</f>
        <v>15.176091259055681</v>
      </c>
      <c r="AA31" s="16">
        <f t="shared" ca="1" si="3"/>
        <v>-2.4290049054891254</v>
      </c>
      <c r="AB31" s="16">
        <f>LOG('Airfoil 1'!$F$10)^2+LOG('Airfoil 1'!$G$10)^2+LOG('Airfoil 1'!$H$10)^2</f>
        <v>76.867141336751558</v>
      </c>
      <c r="AC31" s="16">
        <f ca="1">LOG('Airfoil 1'!$F$10)*LOG(ABS(W31))+LOG('Airfoil 1'!$G$10)*LOG(ABS(X31))+LOG('Airfoil 1'!$H$10)*LOG(ABS(Y31))</f>
        <v>-12.287600038132297</v>
      </c>
      <c r="AD31" s="16">
        <f t="shared" ca="1" si="4"/>
        <v>0.1550000000000121</v>
      </c>
      <c r="AE31" s="16">
        <f t="shared" ca="1" si="5"/>
        <v>-6.6718325633022456E-15</v>
      </c>
      <c r="AF31" s="42">
        <f t="shared" ca="1" si="6"/>
        <v>-0.15499999999999858</v>
      </c>
      <c r="AG31" s="16"/>
      <c r="AH31" s="42"/>
      <c r="AI31" s="16">
        <f ca="1">(L31-'Airfoil 1'!$Z$22)/ABS(L31-'Airfoil 1'!$Z$22)</f>
        <v>1</v>
      </c>
      <c r="AJ31" s="16">
        <f ca="1">(L31-'Airfoil 1'!$Z$23)/ABS(L31-'Airfoil 1'!$Z$23)</f>
        <v>1</v>
      </c>
      <c r="AK31" s="16">
        <f ca="1">(L31-'Airfoil 1'!$Z$24)/ABS(L31-'Airfoil 1'!$Z$24)</f>
        <v>1</v>
      </c>
      <c r="AL31" s="16">
        <f ca="1">(L31-'Airfoil 1'!$Z$25)/ABS(L31-'Airfoil 1'!$Z$25)</f>
        <v>1</v>
      </c>
      <c r="AM31" s="16">
        <f ca="1">(L31-'Airfoil 1'!$Z$26)/ABS(L31-'Airfoil 1'!$Z$26)</f>
        <v>-1</v>
      </c>
      <c r="AN31" s="16">
        <f ca="1">(L31-'Airfoil 1'!$Z$27)/ABS(L31-'Airfoil 1'!$Z$27)</f>
        <v>-1</v>
      </c>
      <c r="AO31" s="16">
        <f ca="1">(L31-'Airfoil 1'!$Z$28)/ABS(L31-'Airfoil 1'!$Z$28)</f>
        <v>-1</v>
      </c>
      <c r="AP31" s="16">
        <f ca="1">(L31-'Airfoil 1'!$Z$29)/ABS(L31-'Airfoil 1'!$Z$29)</f>
        <v>-1</v>
      </c>
      <c r="AQ31" s="16">
        <f ca="1">(L31-'Airfoil 1'!$Z$30)/ABS(L31-'Airfoil 1'!$Z$30)</f>
        <v>-1</v>
      </c>
      <c r="AR31" s="16">
        <f ca="1">(L31-'Airfoil 1'!$Z$31)/ABS(L31-'Airfoil 1'!$Z$31)</f>
        <v>-1</v>
      </c>
      <c r="AS31" s="16">
        <f ca="1">(L31-'Airfoil 1'!$Z$32)/ABS(L31-'Airfoil 1'!$Z$32)</f>
        <v>-1</v>
      </c>
      <c r="AT31" s="16">
        <f ca="1">(L31-'Airfoil 1'!$Z$33)/ABS(L31-'Airfoil 1'!$Z$33)</f>
        <v>-1</v>
      </c>
      <c r="AU31" s="16">
        <f ca="1">(L31-'Airfoil 1'!$Z$34)/ABS(L31-'Airfoil 1'!$Z$34)</f>
        <v>-1</v>
      </c>
      <c r="AV31" s="16">
        <f ca="1">(L31-'Airfoil 1'!$Z$35)/ABS(L31-'Airfoil 1'!$Z$35)</f>
        <v>-1</v>
      </c>
      <c r="AW31" s="16">
        <f ca="1">(L31-'Airfoil 1'!$Z$36)/ABS(L31-'Airfoil 1'!$Z$36)</f>
        <v>-1</v>
      </c>
      <c r="AX31" s="16">
        <f ca="1">(L31-'Airfoil 1'!$Z$37)/ABS(L31-'Airfoil 1'!$Z$37)</f>
        <v>-1</v>
      </c>
      <c r="AY31" s="16">
        <f ca="1">(L31-'Airfoil 1'!$Z$38)/ABS(L31-'Airfoil 1'!$Z$38)</f>
        <v>-1</v>
      </c>
      <c r="AZ31" s="16">
        <f ca="1">(L31-'Airfoil 1'!$Z$39)/ABS(L31-'Airfoil 1'!$Z$39)</f>
        <v>-1</v>
      </c>
      <c r="BA31" s="16">
        <f ca="1">(L31-'Airfoil 1'!$Z$40)/ABS(L31-'Airfoil 1'!$Z$40)</f>
        <v>-1</v>
      </c>
      <c r="BB31" s="16">
        <f ca="1">(L31-'Airfoil 1'!$Z$41)/ABS(L31-'Airfoil 1'!$Z$41)</f>
        <v>-1</v>
      </c>
      <c r="BC31" s="5">
        <f t="shared" ca="1" si="8"/>
        <v>4</v>
      </c>
      <c r="BD31" s="42">
        <f ca="1">INDEX('Airfoil 1'!$AA$22:$AA$41,BC31,1)+INDEX('Airfoil 1'!$AB$22:$AB$41,BC31,1)*(L31-INDEX('Airfoil 1'!$Z$22:$Z$41,BC31,1))</f>
        <v>2.7263130346232178E-2</v>
      </c>
      <c r="BE31" s="6"/>
      <c r="BF31" s="16">
        <f ca="1">(L31-'Airfoil 1'!$Z$47)/ABS(L31-'Airfoil 1'!$Z$47)</f>
        <v>1</v>
      </c>
      <c r="BG31" s="16">
        <f ca="1">(L31-'Airfoil 1'!$Z$48)/ABS(L31-'Airfoil 1'!$Z$48)</f>
        <v>1</v>
      </c>
      <c r="BH31" s="16">
        <f ca="1">(L31-'Airfoil 1'!$Z$49)/ABS(L31-'Airfoil 1'!$Z$49)</f>
        <v>1</v>
      </c>
      <c r="BI31" s="16">
        <f ca="1">(L31-'Airfoil 1'!$Z$50)/ABS(L31-'Airfoil 1'!$Z$50)</f>
        <v>-1</v>
      </c>
      <c r="BJ31" s="16">
        <f ca="1">(L31-'Airfoil 1'!$Z$51)/ABS(L31-'Airfoil 1'!$Z$51)</f>
        <v>-1</v>
      </c>
      <c r="BK31" s="16">
        <f ca="1">(L31-'Airfoil 1'!$Z$52)/ABS(L31-'Airfoil 1'!$Z$52)</f>
        <v>-1</v>
      </c>
      <c r="BL31" s="16">
        <f ca="1">(L31-'Airfoil 1'!$Z$53)/ABS(L31-'Airfoil 1'!$Z$53)</f>
        <v>-1</v>
      </c>
      <c r="BM31" s="16">
        <f ca="1">(L31-'Airfoil 1'!$Z$54)/ABS(L31-'Airfoil 1'!$Z$54)</f>
        <v>-1</v>
      </c>
      <c r="BN31" s="16">
        <f ca="1">(L31-'Airfoil 1'!$Z$55)/ABS(L31-'Airfoil 1'!$Z$55)</f>
        <v>-1</v>
      </c>
      <c r="BO31" s="16">
        <f ca="1">(L31-'Airfoil 1'!$Z$56)/ABS(L31-'Airfoil 1'!$Z$56)</f>
        <v>-1</v>
      </c>
      <c r="BP31" s="16">
        <f ca="1">(L31-'Airfoil 1'!$Z$57)/ABS(L31-'Airfoil 1'!$Z$57)</f>
        <v>-1</v>
      </c>
      <c r="BQ31" s="16">
        <f ca="1">(L31-'Airfoil 1'!$Z$58)/ABS(L31-'Airfoil 1'!$Z$58)</f>
        <v>-1</v>
      </c>
      <c r="BR31" s="16">
        <f ca="1">(L31-'Airfoil 1'!$Z$59)/ABS(L31-'Airfoil 1'!$Z$59)</f>
        <v>-1</v>
      </c>
      <c r="BS31" s="16">
        <f ca="1">(L31-'Airfoil 1'!$Z$60)/ABS(L31-'Airfoil 1'!$Z$60)</f>
        <v>-1</v>
      </c>
      <c r="BT31" s="16">
        <f ca="1">(L31-'Airfoil 1'!$Z$61)/ABS(L31-'Airfoil 1'!$Z$61)</f>
        <v>-1</v>
      </c>
      <c r="BU31" s="16">
        <f ca="1">(L31-'Airfoil 1'!$Z$62)/ABS(L31-'Airfoil 1'!$Z$62)</f>
        <v>-1</v>
      </c>
      <c r="BV31" s="16">
        <f ca="1">(L31-'Airfoil 1'!$Z$63)/ABS(L31-'Airfoil 1'!$Z$63)</f>
        <v>-1</v>
      </c>
      <c r="BW31" s="16">
        <f ca="1">(L31-'Airfoil 1'!$Z$64)/ABS(L31-'Airfoil 1'!$Z$64)</f>
        <v>-1</v>
      </c>
      <c r="BX31" s="16">
        <f ca="1">(L31-'Airfoil 1'!$Z$65)/ABS(L31-'Airfoil 1'!$Z$65)</f>
        <v>-1</v>
      </c>
      <c r="BY31" s="16">
        <f ca="1">(L31-'Airfoil 1'!$Z$66)/ABS(L31-'Airfoil 1'!$Z$66)</f>
        <v>-1</v>
      </c>
      <c r="BZ31" s="5">
        <f t="shared" ca="1" si="9"/>
        <v>3</v>
      </c>
      <c r="CA31" s="42">
        <f ca="1">INDEX('Airfoil 1'!$AA$47:$AA$66,BZ31,1)+INDEX('Airfoil 1'!$AB$47:$AB$66,BZ31,1)*(L31-INDEX('Airfoil 1'!$Z$47:$Z$66,BZ31,1))</f>
        <v>2.1230094827586206E-2</v>
      </c>
      <c r="CC31" s="16">
        <f ca="1">(L31-'Airfoil 1'!$Z$72)/ABS(L31-'Airfoil 1'!$Z$72)</f>
        <v>1</v>
      </c>
      <c r="CD31" s="16">
        <f ca="1">(L31-'Airfoil 1'!$Z$73)/ABS(L31-'Airfoil 1'!$Z$73)</f>
        <v>-1</v>
      </c>
      <c r="CE31" s="16">
        <f ca="1">(L31-'Airfoil 1'!$Z$74)/ABS(L31-'Airfoil 1'!$Z$74)</f>
        <v>-1</v>
      </c>
      <c r="CF31" s="16">
        <f ca="1">(L31-'Airfoil 1'!$Z$75)/ABS(L31-'Airfoil 1'!$Z$75)</f>
        <v>-1</v>
      </c>
      <c r="CG31" s="16">
        <f ca="1">(L31-'Airfoil 1'!$Z$76)/ABS(L31-'Airfoil 1'!$Z$76)</f>
        <v>-1</v>
      </c>
      <c r="CH31" s="16">
        <f ca="1">(L31-'Airfoil 1'!$Z$77)/ABS(L31-'Airfoil 1'!$Z$77)</f>
        <v>-1</v>
      </c>
      <c r="CI31" s="16">
        <f ca="1">(L31-'Airfoil 1'!$Z$78)/ABS(L31-'Airfoil 1'!$Z$78)</f>
        <v>-1</v>
      </c>
      <c r="CJ31" s="16">
        <f ca="1">(L31-'Airfoil 1'!$Z$79)/ABS(L31-'Airfoil 1'!$Z$79)</f>
        <v>-1</v>
      </c>
      <c r="CK31" s="16">
        <f ca="1">(L31-'Airfoil 1'!$Z$80)/ABS(L31-'Airfoil 1'!$Z$80)</f>
        <v>-1</v>
      </c>
      <c r="CL31" s="16">
        <f ca="1">(L31-'Airfoil 1'!$Z$81)/ABS(L31-'Airfoil 1'!$Z$81)</f>
        <v>-1</v>
      </c>
      <c r="CM31" s="16">
        <f ca="1">(L31-'Airfoil 1'!$Z$82)/ABS(L31-'Airfoil 1'!$Z$82)</f>
        <v>-1</v>
      </c>
      <c r="CN31" s="16">
        <f ca="1">(L31-'Airfoil 1'!$Z$83)/ABS(L31-'Airfoil 1'!$Z$83)</f>
        <v>-1</v>
      </c>
      <c r="CO31" s="16">
        <f ca="1">(L31-'Airfoil 1'!$Z$84)/ABS(L31-'Airfoil 1'!$Z$84)</f>
        <v>-1</v>
      </c>
      <c r="CP31" s="16">
        <f ca="1">(L31-'Airfoil 1'!$Z$85)/ABS(L31-'Airfoil 1'!$Z$85)</f>
        <v>-1</v>
      </c>
      <c r="CQ31" s="16">
        <f ca="1">(L31-'Airfoil 1'!$Z$86)/ABS(L31-'Airfoil 1'!$Z$86)</f>
        <v>-1</v>
      </c>
      <c r="CR31" s="16">
        <f ca="1">(L31-'Airfoil 1'!$Z$87)/ABS(L31-'Airfoil 1'!$Z$87)</f>
        <v>-1</v>
      </c>
      <c r="CS31" s="16">
        <f ca="1">(L31-'Airfoil 1'!$Z$88)/ABS(L31-'Airfoil 1'!$Z$88)</f>
        <v>-1</v>
      </c>
      <c r="CT31" s="16">
        <f ca="1">(L31-'Airfoil 1'!$Z$89)/ABS(L31-'Airfoil 1'!$Z$89)</f>
        <v>-1</v>
      </c>
      <c r="CU31" s="16">
        <f ca="1">(L31-'Airfoil 1'!$Z$90)/ABS(L31-'Airfoil 1'!$Z$90)</f>
        <v>-1</v>
      </c>
      <c r="CV31" s="16">
        <f ca="1">(L31-'Airfoil 1'!$Z$91)/ABS(L31-'Airfoil 1'!$Z$91)</f>
        <v>-1</v>
      </c>
      <c r="CW31" s="5">
        <f t="shared" ca="1" si="10"/>
        <v>1</v>
      </c>
      <c r="CX31" s="42">
        <f ca="1">INDEX('Airfoil 1'!$AA$72:$AA$91,CW31,1)+INDEX('Airfoil 1'!$AB$72:$AB$91,CW31,1)*(L31-INDEX('Airfoil 1'!$Z$72:$Z$91,CW31,1))</f>
        <v>1.2713052256532067E-2</v>
      </c>
    </row>
    <row r="32" spans="2:102">
      <c r="B32" s="31">
        <f>Main!B32</f>
        <v>0.33333333333333326</v>
      </c>
      <c r="D32" s="1">
        <f>Cruise!F32</f>
        <v>0.65969672852566186</v>
      </c>
      <c r="E32" s="4">
        <f>ISA!$R$10</f>
        <v>1.5987591530356481E-5</v>
      </c>
      <c r="G32" s="13">
        <f ca="1">'Aerodynamics-Descent'!H32</f>
        <v>34.492690747565867</v>
      </c>
      <c r="H32" s="5">
        <f t="shared" ca="1" si="0"/>
        <v>474424.49771146977</v>
      </c>
      <c r="I32" s="16">
        <f ca="1">'Airfoil 2'!$K$14*H32^'Airfoil 2'!$L$13</f>
        <v>1.5895981513310642</v>
      </c>
      <c r="J32" s="1">
        <f ca="1">'Airfoil 2'!$K$33*H32^'Airfoil 2'!$L$32</f>
        <v>4.5440043885925894</v>
      </c>
      <c r="K32" s="13">
        <f ca="1">'Airfoil 2'!$K$52*H32^'Airfoil 2'!$L$51</f>
        <v>-11.234962101911806</v>
      </c>
      <c r="L32" s="16">
        <f ca="1">'Aerodynamics-Descent'!W32</f>
        <v>0.45</v>
      </c>
      <c r="M32" s="10">
        <f ca="1">('Airfoil 1'!$B$21+'Airfoil 1'!$B$22*L32+'Airfoil 1'!$B$23*L32^2+'Airfoil 1'!$B$24*L32^3+'Airfoil 1'!$B$25*L32^4+'Airfoil 1'!$B$26*L32^5+'Airfoil 1'!$B$27*L32^6)*0+BD32</f>
        <v>2.7263130346232178E-2</v>
      </c>
      <c r="N32" s="42">
        <f ca="1">('Airfoil 1'!$B$29+'Airfoil 1'!$B$30*L32+'Airfoil 1'!$B$31*L32^2+'Airfoil 1'!$B$32*L32^3+'Airfoil 1'!$B$33*L32^4+'Airfoil 1'!$B$34*L32^5+'Airfoil 1'!$B$35*L32^6)*0+CA32</f>
        <v>2.1230094827586206E-2</v>
      </c>
      <c r="O32" s="42">
        <f ca="1">('Airfoil 1'!$B$37+'Airfoil 1'!$B$38*L32+'Airfoil 1'!$B$39*L32^2+'Airfoil 1'!$B$40*L32^3+'Airfoil 1'!$B$41*L32^4+'Airfoil 1'!$B$42*L32^5+'Airfoil 1'!$B$43*L32^6)*0+CX32</f>
        <v>1.2713052256532067E-2</v>
      </c>
      <c r="P32" s="16">
        <f>LOG('Airfoil 1'!$F$10)+LOG('Airfoil 1'!$G$10)+LOG('Airfoil 1'!$H$10)</f>
        <v>15.176091259055681</v>
      </c>
      <c r="Q32" s="16">
        <f t="shared" ca="1" si="1"/>
        <v>-5.133222513886718</v>
      </c>
      <c r="R32" s="16">
        <f>LOG('Airfoil 1'!$F$10)^2+LOG('Airfoil 1'!$G$10)^2+LOG('Airfoil 1'!$H$10)^2</f>
        <v>76.867141336751558</v>
      </c>
      <c r="S32" s="16">
        <f ca="1">LOG('Airfoil 1'!$F$10)*LOG(M32)+LOG('Airfoil 1'!$G$10)*LOG(N32)+LOG('Airfoil 1'!$H$10)*LOG(O32)</f>
        <v>-26.041333041174283</v>
      </c>
      <c r="T32" s="16">
        <f t="shared" ca="1" si="7"/>
        <v>154.2521937837034</v>
      </c>
      <c r="U32" s="16">
        <f t="shared" ca="1" si="2"/>
        <v>-0.77081221785869947</v>
      </c>
      <c r="V32" s="42">
        <f ca="1">IF(Energy!$F$11=1,Energy!$T$13,1)*T32*H32^U32</f>
        <v>7.1672242199159932E-3</v>
      </c>
      <c r="W32" s="10">
        <f ca="1">'Airfoil 1'!$B$48+'Airfoil 1'!$B$49*L32+'Airfoil 1'!$B$50*L32^2+'Airfoil 1'!$B$51*L32^3+'Airfoil 1'!$B$52*L32^4+'Airfoil 1'!$B$53*L32^5+'Airfoil 1'!$B$54*L32^6</f>
        <v>-0.155</v>
      </c>
      <c r="X32" s="42">
        <f ca="1">'Airfoil 1'!$B$56+'Airfoil 1'!$B$57*L32+'Airfoil 1'!$B$58*L32^2+'Airfoil 1'!$B$59*L32^3+'Airfoil 1'!$B$60*L32^4+'Airfoil 1'!$B$61*L32^5+'Airfoil 1'!$B$62*L32^6</f>
        <v>-0.155</v>
      </c>
      <c r="Y32" s="42">
        <f ca="1">'Airfoil 1'!$B$64+'Airfoil 1'!$B$65*L32+'Airfoil 1'!$B$66*L32^2+'Airfoil 1'!$B$67*L32^3+'Airfoil 1'!$B$681*L32^4+'Airfoil 1'!$B$69*L32^5+'Airfoil 1'!$B$70*L32^6</f>
        <v>-0.155</v>
      </c>
      <c r="Z32" s="16">
        <f>LOG('Airfoil 1'!$F$10)+LOG('Airfoil 1'!$G$10)+LOG('Airfoil 1'!$H$10)</f>
        <v>15.176091259055681</v>
      </c>
      <c r="AA32" s="16">
        <f t="shared" ca="1" si="3"/>
        <v>-2.4290049054891254</v>
      </c>
      <c r="AB32" s="16">
        <f>LOG('Airfoil 1'!$F$10)^2+LOG('Airfoil 1'!$G$10)^2+LOG('Airfoil 1'!$H$10)^2</f>
        <v>76.867141336751558</v>
      </c>
      <c r="AC32" s="16">
        <f ca="1">LOG('Airfoil 1'!$F$10)*LOG(ABS(W32))+LOG('Airfoil 1'!$G$10)*LOG(ABS(X32))+LOG('Airfoil 1'!$H$10)*LOG(ABS(Y32))</f>
        <v>-12.287600038132297</v>
      </c>
      <c r="AD32" s="16">
        <f t="shared" ca="1" si="4"/>
        <v>0.1550000000000121</v>
      </c>
      <c r="AE32" s="16">
        <f t="shared" ca="1" si="5"/>
        <v>-6.6718325633022456E-15</v>
      </c>
      <c r="AF32" s="42">
        <f t="shared" ca="1" si="6"/>
        <v>-0.15499999999999858</v>
      </c>
      <c r="AG32" s="16"/>
      <c r="AH32" s="42"/>
      <c r="AI32" s="16">
        <f ca="1">(L32-'Airfoil 1'!$Z$22)/ABS(L32-'Airfoil 1'!$Z$22)</f>
        <v>1</v>
      </c>
      <c r="AJ32" s="16">
        <f ca="1">(L32-'Airfoil 1'!$Z$23)/ABS(L32-'Airfoil 1'!$Z$23)</f>
        <v>1</v>
      </c>
      <c r="AK32" s="16">
        <f ca="1">(L32-'Airfoil 1'!$Z$24)/ABS(L32-'Airfoil 1'!$Z$24)</f>
        <v>1</v>
      </c>
      <c r="AL32" s="16">
        <f ca="1">(L32-'Airfoil 1'!$Z$25)/ABS(L32-'Airfoil 1'!$Z$25)</f>
        <v>1</v>
      </c>
      <c r="AM32" s="16">
        <f ca="1">(L32-'Airfoil 1'!$Z$26)/ABS(L32-'Airfoil 1'!$Z$26)</f>
        <v>-1</v>
      </c>
      <c r="AN32" s="16">
        <f ca="1">(L32-'Airfoil 1'!$Z$27)/ABS(L32-'Airfoil 1'!$Z$27)</f>
        <v>-1</v>
      </c>
      <c r="AO32" s="16">
        <f ca="1">(L32-'Airfoil 1'!$Z$28)/ABS(L32-'Airfoil 1'!$Z$28)</f>
        <v>-1</v>
      </c>
      <c r="AP32" s="16">
        <f ca="1">(L32-'Airfoil 1'!$Z$29)/ABS(L32-'Airfoil 1'!$Z$29)</f>
        <v>-1</v>
      </c>
      <c r="AQ32" s="16">
        <f ca="1">(L32-'Airfoil 1'!$Z$30)/ABS(L32-'Airfoil 1'!$Z$30)</f>
        <v>-1</v>
      </c>
      <c r="AR32" s="16">
        <f ca="1">(L32-'Airfoil 1'!$Z$31)/ABS(L32-'Airfoil 1'!$Z$31)</f>
        <v>-1</v>
      </c>
      <c r="AS32" s="16">
        <f ca="1">(L32-'Airfoil 1'!$Z$32)/ABS(L32-'Airfoil 1'!$Z$32)</f>
        <v>-1</v>
      </c>
      <c r="AT32" s="16">
        <f ca="1">(L32-'Airfoil 1'!$Z$33)/ABS(L32-'Airfoil 1'!$Z$33)</f>
        <v>-1</v>
      </c>
      <c r="AU32" s="16">
        <f ca="1">(L32-'Airfoil 1'!$Z$34)/ABS(L32-'Airfoil 1'!$Z$34)</f>
        <v>-1</v>
      </c>
      <c r="AV32" s="16">
        <f ca="1">(L32-'Airfoil 1'!$Z$35)/ABS(L32-'Airfoil 1'!$Z$35)</f>
        <v>-1</v>
      </c>
      <c r="AW32" s="16">
        <f ca="1">(L32-'Airfoil 1'!$Z$36)/ABS(L32-'Airfoil 1'!$Z$36)</f>
        <v>-1</v>
      </c>
      <c r="AX32" s="16">
        <f ca="1">(L32-'Airfoil 1'!$Z$37)/ABS(L32-'Airfoil 1'!$Z$37)</f>
        <v>-1</v>
      </c>
      <c r="AY32" s="16">
        <f ca="1">(L32-'Airfoil 1'!$Z$38)/ABS(L32-'Airfoil 1'!$Z$38)</f>
        <v>-1</v>
      </c>
      <c r="AZ32" s="16">
        <f ca="1">(L32-'Airfoil 1'!$Z$39)/ABS(L32-'Airfoil 1'!$Z$39)</f>
        <v>-1</v>
      </c>
      <c r="BA32" s="16">
        <f ca="1">(L32-'Airfoil 1'!$Z$40)/ABS(L32-'Airfoil 1'!$Z$40)</f>
        <v>-1</v>
      </c>
      <c r="BB32" s="16">
        <f ca="1">(L32-'Airfoil 1'!$Z$41)/ABS(L32-'Airfoil 1'!$Z$41)</f>
        <v>-1</v>
      </c>
      <c r="BC32" s="5">
        <f t="shared" ca="1" si="8"/>
        <v>4</v>
      </c>
      <c r="BD32" s="42">
        <f ca="1">INDEX('Airfoil 1'!$AA$22:$AA$41,BC32,1)+INDEX('Airfoil 1'!$AB$22:$AB$41,BC32,1)*(L32-INDEX('Airfoil 1'!$Z$22:$Z$41,BC32,1))</f>
        <v>2.7263130346232178E-2</v>
      </c>
      <c r="BE32" s="6"/>
      <c r="BF32" s="16">
        <f ca="1">(L32-'Airfoil 1'!$Z$47)/ABS(L32-'Airfoil 1'!$Z$47)</f>
        <v>1</v>
      </c>
      <c r="BG32" s="16">
        <f ca="1">(L32-'Airfoil 1'!$Z$48)/ABS(L32-'Airfoil 1'!$Z$48)</f>
        <v>1</v>
      </c>
      <c r="BH32" s="16">
        <f ca="1">(L32-'Airfoil 1'!$Z$49)/ABS(L32-'Airfoil 1'!$Z$49)</f>
        <v>1</v>
      </c>
      <c r="BI32" s="16">
        <f ca="1">(L32-'Airfoil 1'!$Z$50)/ABS(L32-'Airfoil 1'!$Z$50)</f>
        <v>-1</v>
      </c>
      <c r="BJ32" s="16">
        <f ca="1">(L32-'Airfoil 1'!$Z$51)/ABS(L32-'Airfoil 1'!$Z$51)</f>
        <v>-1</v>
      </c>
      <c r="BK32" s="16">
        <f ca="1">(L32-'Airfoil 1'!$Z$52)/ABS(L32-'Airfoil 1'!$Z$52)</f>
        <v>-1</v>
      </c>
      <c r="BL32" s="16">
        <f ca="1">(L32-'Airfoil 1'!$Z$53)/ABS(L32-'Airfoil 1'!$Z$53)</f>
        <v>-1</v>
      </c>
      <c r="BM32" s="16">
        <f ca="1">(L32-'Airfoil 1'!$Z$54)/ABS(L32-'Airfoil 1'!$Z$54)</f>
        <v>-1</v>
      </c>
      <c r="BN32" s="16">
        <f ca="1">(L32-'Airfoil 1'!$Z$55)/ABS(L32-'Airfoil 1'!$Z$55)</f>
        <v>-1</v>
      </c>
      <c r="BO32" s="16">
        <f ca="1">(L32-'Airfoil 1'!$Z$56)/ABS(L32-'Airfoil 1'!$Z$56)</f>
        <v>-1</v>
      </c>
      <c r="BP32" s="16">
        <f ca="1">(L32-'Airfoil 1'!$Z$57)/ABS(L32-'Airfoil 1'!$Z$57)</f>
        <v>-1</v>
      </c>
      <c r="BQ32" s="16">
        <f ca="1">(L32-'Airfoil 1'!$Z$58)/ABS(L32-'Airfoil 1'!$Z$58)</f>
        <v>-1</v>
      </c>
      <c r="BR32" s="16">
        <f ca="1">(L32-'Airfoil 1'!$Z$59)/ABS(L32-'Airfoil 1'!$Z$59)</f>
        <v>-1</v>
      </c>
      <c r="BS32" s="16">
        <f ca="1">(L32-'Airfoil 1'!$Z$60)/ABS(L32-'Airfoil 1'!$Z$60)</f>
        <v>-1</v>
      </c>
      <c r="BT32" s="16">
        <f ca="1">(L32-'Airfoil 1'!$Z$61)/ABS(L32-'Airfoil 1'!$Z$61)</f>
        <v>-1</v>
      </c>
      <c r="BU32" s="16">
        <f ca="1">(L32-'Airfoil 1'!$Z$62)/ABS(L32-'Airfoil 1'!$Z$62)</f>
        <v>-1</v>
      </c>
      <c r="BV32" s="16">
        <f ca="1">(L32-'Airfoil 1'!$Z$63)/ABS(L32-'Airfoil 1'!$Z$63)</f>
        <v>-1</v>
      </c>
      <c r="BW32" s="16">
        <f ca="1">(L32-'Airfoil 1'!$Z$64)/ABS(L32-'Airfoil 1'!$Z$64)</f>
        <v>-1</v>
      </c>
      <c r="BX32" s="16">
        <f ca="1">(L32-'Airfoil 1'!$Z$65)/ABS(L32-'Airfoil 1'!$Z$65)</f>
        <v>-1</v>
      </c>
      <c r="BY32" s="16">
        <f ca="1">(L32-'Airfoil 1'!$Z$66)/ABS(L32-'Airfoil 1'!$Z$66)</f>
        <v>-1</v>
      </c>
      <c r="BZ32" s="5">
        <f t="shared" ca="1" si="9"/>
        <v>3</v>
      </c>
      <c r="CA32" s="42">
        <f ca="1">INDEX('Airfoil 1'!$AA$47:$AA$66,BZ32,1)+INDEX('Airfoil 1'!$AB$47:$AB$66,BZ32,1)*(L32-INDEX('Airfoil 1'!$Z$47:$Z$66,BZ32,1))</f>
        <v>2.1230094827586206E-2</v>
      </c>
      <c r="CC32" s="16">
        <f ca="1">(L32-'Airfoil 1'!$Z$72)/ABS(L32-'Airfoil 1'!$Z$72)</f>
        <v>1</v>
      </c>
      <c r="CD32" s="16">
        <f ca="1">(L32-'Airfoil 1'!$Z$73)/ABS(L32-'Airfoil 1'!$Z$73)</f>
        <v>-1</v>
      </c>
      <c r="CE32" s="16">
        <f ca="1">(L32-'Airfoil 1'!$Z$74)/ABS(L32-'Airfoil 1'!$Z$74)</f>
        <v>-1</v>
      </c>
      <c r="CF32" s="16">
        <f ca="1">(L32-'Airfoil 1'!$Z$75)/ABS(L32-'Airfoil 1'!$Z$75)</f>
        <v>-1</v>
      </c>
      <c r="CG32" s="16">
        <f ca="1">(L32-'Airfoil 1'!$Z$76)/ABS(L32-'Airfoil 1'!$Z$76)</f>
        <v>-1</v>
      </c>
      <c r="CH32" s="16">
        <f ca="1">(L32-'Airfoil 1'!$Z$77)/ABS(L32-'Airfoil 1'!$Z$77)</f>
        <v>-1</v>
      </c>
      <c r="CI32" s="16">
        <f ca="1">(L32-'Airfoil 1'!$Z$78)/ABS(L32-'Airfoil 1'!$Z$78)</f>
        <v>-1</v>
      </c>
      <c r="CJ32" s="16">
        <f ca="1">(L32-'Airfoil 1'!$Z$79)/ABS(L32-'Airfoil 1'!$Z$79)</f>
        <v>-1</v>
      </c>
      <c r="CK32" s="16">
        <f ca="1">(L32-'Airfoil 1'!$Z$80)/ABS(L32-'Airfoil 1'!$Z$80)</f>
        <v>-1</v>
      </c>
      <c r="CL32" s="16">
        <f ca="1">(L32-'Airfoil 1'!$Z$81)/ABS(L32-'Airfoil 1'!$Z$81)</f>
        <v>-1</v>
      </c>
      <c r="CM32" s="16">
        <f ca="1">(L32-'Airfoil 1'!$Z$82)/ABS(L32-'Airfoil 1'!$Z$82)</f>
        <v>-1</v>
      </c>
      <c r="CN32" s="16">
        <f ca="1">(L32-'Airfoil 1'!$Z$83)/ABS(L32-'Airfoil 1'!$Z$83)</f>
        <v>-1</v>
      </c>
      <c r="CO32" s="16">
        <f ca="1">(L32-'Airfoil 1'!$Z$84)/ABS(L32-'Airfoil 1'!$Z$84)</f>
        <v>-1</v>
      </c>
      <c r="CP32" s="16">
        <f ca="1">(L32-'Airfoil 1'!$Z$85)/ABS(L32-'Airfoil 1'!$Z$85)</f>
        <v>-1</v>
      </c>
      <c r="CQ32" s="16">
        <f ca="1">(L32-'Airfoil 1'!$Z$86)/ABS(L32-'Airfoil 1'!$Z$86)</f>
        <v>-1</v>
      </c>
      <c r="CR32" s="16">
        <f ca="1">(L32-'Airfoil 1'!$Z$87)/ABS(L32-'Airfoil 1'!$Z$87)</f>
        <v>-1</v>
      </c>
      <c r="CS32" s="16">
        <f ca="1">(L32-'Airfoil 1'!$Z$88)/ABS(L32-'Airfoil 1'!$Z$88)</f>
        <v>-1</v>
      </c>
      <c r="CT32" s="16">
        <f ca="1">(L32-'Airfoil 1'!$Z$89)/ABS(L32-'Airfoil 1'!$Z$89)</f>
        <v>-1</v>
      </c>
      <c r="CU32" s="16">
        <f ca="1">(L32-'Airfoil 1'!$Z$90)/ABS(L32-'Airfoil 1'!$Z$90)</f>
        <v>-1</v>
      </c>
      <c r="CV32" s="16">
        <f ca="1">(L32-'Airfoil 1'!$Z$91)/ABS(L32-'Airfoil 1'!$Z$91)</f>
        <v>-1</v>
      </c>
      <c r="CW32" s="5">
        <f t="shared" ca="1" si="10"/>
        <v>1</v>
      </c>
      <c r="CX32" s="42">
        <f ca="1">INDEX('Airfoil 1'!$AA$72:$AA$91,CW32,1)+INDEX('Airfoil 1'!$AB$72:$AB$91,CW32,1)*(L32-INDEX('Airfoil 1'!$Z$72:$Z$91,CW32,1))</f>
        <v>1.2713052256532067E-2</v>
      </c>
    </row>
    <row r="33" spans="2:102">
      <c r="B33" s="31">
        <f>Main!B33</f>
        <v>0.33333333333333326</v>
      </c>
      <c r="D33" s="1">
        <f>Cruise!F33</f>
        <v>0.65969672852566186</v>
      </c>
      <c r="E33" s="4">
        <f>ISA!$R$10</f>
        <v>1.5987591530356481E-5</v>
      </c>
      <c r="G33" s="13">
        <f ca="1">'Aerodynamics-Descent'!H33</f>
        <v>33.924091764732189</v>
      </c>
      <c r="H33" s="5">
        <f t="shared" ca="1" si="0"/>
        <v>466603.78900525911</v>
      </c>
      <c r="I33" s="16">
        <f ca="1">'Airfoil 2'!$K$14*H33^'Airfoil 2'!$L$13</f>
        <v>1.5892308877540366</v>
      </c>
      <c r="J33" s="1">
        <f ca="1">'Airfoil 2'!$K$33*H33^'Airfoil 2'!$L$32</f>
        <v>4.5694798283847593</v>
      </c>
      <c r="K33" s="13">
        <f ca="1">'Airfoil 2'!$K$52*H33^'Airfoil 2'!$L$51</f>
        <v>-11.110766128057442</v>
      </c>
      <c r="L33" s="16">
        <f ca="1">'Aerodynamics-Descent'!W33</f>
        <v>0.45</v>
      </c>
      <c r="M33" s="10">
        <f ca="1">('Airfoil 1'!$B$21+'Airfoil 1'!$B$22*L33+'Airfoil 1'!$B$23*L33^2+'Airfoil 1'!$B$24*L33^3+'Airfoil 1'!$B$25*L33^4+'Airfoil 1'!$B$26*L33^5+'Airfoil 1'!$B$27*L33^6)*0+BD33</f>
        <v>2.7263130346232178E-2</v>
      </c>
      <c r="N33" s="42">
        <f ca="1">('Airfoil 1'!$B$29+'Airfoil 1'!$B$30*L33+'Airfoil 1'!$B$31*L33^2+'Airfoil 1'!$B$32*L33^3+'Airfoil 1'!$B$33*L33^4+'Airfoil 1'!$B$34*L33^5+'Airfoil 1'!$B$35*L33^6)*0+CA33</f>
        <v>2.1230094827586206E-2</v>
      </c>
      <c r="O33" s="42">
        <f ca="1">('Airfoil 1'!$B$37+'Airfoil 1'!$B$38*L33+'Airfoil 1'!$B$39*L33^2+'Airfoil 1'!$B$40*L33^3+'Airfoil 1'!$B$41*L33^4+'Airfoil 1'!$B$42*L33^5+'Airfoil 1'!$B$43*L33^6)*0+CX33</f>
        <v>1.2713052256532067E-2</v>
      </c>
      <c r="P33" s="16">
        <f>LOG('Airfoil 1'!$F$10)+LOG('Airfoil 1'!$G$10)+LOG('Airfoil 1'!$H$10)</f>
        <v>15.176091259055681</v>
      </c>
      <c r="Q33" s="16">
        <f t="shared" ca="1" si="1"/>
        <v>-5.133222513886718</v>
      </c>
      <c r="R33" s="16">
        <f>LOG('Airfoil 1'!$F$10)^2+LOG('Airfoil 1'!$G$10)^2+LOG('Airfoil 1'!$H$10)^2</f>
        <v>76.867141336751558</v>
      </c>
      <c r="S33" s="16">
        <f ca="1">LOG('Airfoil 1'!$F$10)*LOG(M33)+LOG('Airfoil 1'!$G$10)*LOG(N33)+LOG('Airfoil 1'!$H$10)*LOG(O33)</f>
        <v>-26.041333041174283</v>
      </c>
      <c r="T33" s="16">
        <f t="shared" ca="1" si="7"/>
        <v>154.2521937837034</v>
      </c>
      <c r="U33" s="16">
        <f t="shared" ca="1" si="2"/>
        <v>-0.77081221785869947</v>
      </c>
      <c r="V33" s="42">
        <f ca="1">IF(Energy!$F$11=1,Energy!$T$13,1)*T33*H33^U33</f>
        <v>7.259644688373746E-3</v>
      </c>
      <c r="W33" s="10">
        <f ca="1">'Airfoil 1'!$B$48+'Airfoil 1'!$B$49*L33+'Airfoil 1'!$B$50*L33^2+'Airfoil 1'!$B$51*L33^3+'Airfoil 1'!$B$52*L33^4+'Airfoil 1'!$B$53*L33^5+'Airfoil 1'!$B$54*L33^6</f>
        <v>-0.155</v>
      </c>
      <c r="X33" s="42">
        <f ca="1">'Airfoil 1'!$B$56+'Airfoil 1'!$B$57*L33+'Airfoil 1'!$B$58*L33^2+'Airfoil 1'!$B$59*L33^3+'Airfoil 1'!$B$60*L33^4+'Airfoil 1'!$B$61*L33^5+'Airfoil 1'!$B$62*L33^6</f>
        <v>-0.155</v>
      </c>
      <c r="Y33" s="42">
        <f ca="1">'Airfoil 1'!$B$64+'Airfoil 1'!$B$65*L33+'Airfoil 1'!$B$66*L33^2+'Airfoil 1'!$B$67*L33^3+'Airfoil 1'!$B$681*L33^4+'Airfoil 1'!$B$69*L33^5+'Airfoil 1'!$B$70*L33^6</f>
        <v>-0.155</v>
      </c>
      <c r="Z33" s="16">
        <f>LOG('Airfoil 1'!$F$10)+LOG('Airfoil 1'!$G$10)+LOG('Airfoil 1'!$H$10)</f>
        <v>15.176091259055681</v>
      </c>
      <c r="AA33" s="16">
        <f t="shared" ca="1" si="3"/>
        <v>-2.4290049054891254</v>
      </c>
      <c r="AB33" s="16">
        <f>LOG('Airfoil 1'!$F$10)^2+LOG('Airfoil 1'!$G$10)^2+LOG('Airfoil 1'!$H$10)^2</f>
        <v>76.867141336751558</v>
      </c>
      <c r="AC33" s="16">
        <f ca="1">LOG('Airfoil 1'!$F$10)*LOG(ABS(W33))+LOG('Airfoil 1'!$G$10)*LOG(ABS(X33))+LOG('Airfoil 1'!$H$10)*LOG(ABS(Y33))</f>
        <v>-12.287600038132297</v>
      </c>
      <c r="AD33" s="16">
        <f t="shared" ca="1" si="4"/>
        <v>0.1550000000000121</v>
      </c>
      <c r="AE33" s="16">
        <f t="shared" ca="1" si="5"/>
        <v>-6.6718325633022456E-15</v>
      </c>
      <c r="AF33" s="42">
        <f t="shared" ca="1" si="6"/>
        <v>-0.15499999999999861</v>
      </c>
      <c r="AG33" s="16"/>
      <c r="AH33" s="42"/>
      <c r="AI33" s="16">
        <f ca="1">(L33-'Airfoil 1'!$Z$22)/ABS(L33-'Airfoil 1'!$Z$22)</f>
        <v>1</v>
      </c>
      <c r="AJ33" s="16">
        <f ca="1">(L33-'Airfoil 1'!$Z$23)/ABS(L33-'Airfoil 1'!$Z$23)</f>
        <v>1</v>
      </c>
      <c r="AK33" s="16">
        <f ca="1">(L33-'Airfoil 1'!$Z$24)/ABS(L33-'Airfoil 1'!$Z$24)</f>
        <v>1</v>
      </c>
      <c r="AL33" s="16">
        <f ca="1">(L33-'Airfoil 1'!$Z$25)/ABS(L33-'Airfoil 1'!$Z$25)</f>
        <v>1</v>
      </c>
      <c r="AM33" s="16">
        <f ca="1">(L33-'Airfoil 1'!$Z$26)/ABS(L33-'Airfoil 1'!$Z$26)</f>
        <v>-1</v>
      </c>
      <c r="AN33" s="16">
        <f ca="1">(L33-'Airfoil 1'!$Z$27)/ABS(L33-'Airfoil 1'!$Z$27)</f>
        <v>-1</v>
      </c>
      <c r="AO33" s="16">
        <f ca="1">(L33-'Airfoil 1'!$Z$28)/ABS(L33-'Airfoil 1'!$Z$28)</f>
        <v>-1</v>
      </c>
      <c r="AP33" s="16">
        <f ca="1">(L33-'Airfoil 1'!$Z$29)/ABS(L33-'Airfoil 1'!$Z$29)</f>
        <v>-1</v>
      </c>
      <c r="AQ33" s="16">
        <f ca="1">(L33-'Airfoil 1'!$Z$30)/ABS(L33-'Airfoil 1'!$Z$30)</f>
        <v>-1</v>
      </c>
      <c r="AR33" s="16">
        <f ca="1">(L33-'Airfoil 1'!$Z$31)/ABS(L33-'Airfoil 1'!$Z$31)</f>
        <v>-1</v>
      </c>
      <c r="AS33" s="16">
        <f ca="1">(L33-'Airfoil 1'!$Z$32)/ABS(L33-'Airfoil 1'!$Z$32)</f>
        <v>-1</v>
      </c>
      <c r="AT33" s="16">
        <f ca="1">(L33-'Airfoil 1'!$Z$33)/ABS(L33-'Airfoil 1'!$Z$33)</f>
        <v>-1</v>
      </c>
      <c r="AU33" s="16">
        <f ca="1">(L33-'Airfoil 1'!$Z$34)/ABS(L33-'Airfoil 1'!$Z$34)</f>
        <v>-1</v>
      </c>
      <c r="AV33" s="16">
        <f ca="1">(L33-'Airfoil 1'!$Z$35)/ABS(L33-'Airfoil 1'!$Z$35)</f>
        <v>-1</v>
      </c>
      <c r="AW33" s="16">
        <f ca="1">(L33-'Airfoil 1'!$Z$36)/ABS(L33-'Airfoil 1'!$Z$36)</f>
        <v>-1</v>
      </c>
      <c r="AX33" s="16">
        <f ca="1">(L33-'Airfoil 1'!$Z$37)/ABS(L33-'Airfoil 1'!$Z$37)</f>
        <v>-1</v>
      </c>
      <c r="AY33" s="16">
        <f ca="1">(L33-'Airfoil 1'!$Z$38)/ABS(L33-'Airfoil 1'!$Z$38)</f>
        <v>-1</v>
      </c>
      <c r="AZ33" s="16">
        <f ca="1">(L33-'Airfoil 1'!$Z$39)/ABS(L33-'Airfoil 1'!$Z$39)</f>
        <v>-1</v>
      </c>
      <c r="BA33" s="16">
        <f ca="1">(L33-'Airfoil 1'!$Z$40)/ABS(L33-'Airfoil 1'!$Z$40)</f>
        <v>-1</v>
      </c>
      <c r="BB33" s="16">
        <f ca="1">(L33-'Airfoil 1'!$Z$41)/ABS(L33-'Airfoil 1'!$Z$41)</f>
        <v>-1</v>
      </c>
      <c r="BC33" s="5">
        <f t="shared" ca="1" si="8"/>
        <v>4</v>
      </c>
      <c r="BD33" s="42">
        <f ca="1">INDEX('Airfoil 1'!$AA$22:$AA$41,BC33,1)+INDEX('Airfoil 1'!$AB$22:$AB$41,BC33,1)*(L33-INDEX('Airfoil 1'!$Z$22:$Z$41,BC33,1))</f>
        <v>2.7263130346232178E-2</v>
      </c>
      <c r="BE33" s="6"/>
      <c r="BF33" s="16">
        <f ca="1">(L33-'Airfoil 1'!$Z$47)/ABS(L33-'Airfoil 1'!$Z$47)</f>
        <v>1</v>
      </c>
      <c r="BG33" s="16">
        <f ca="1">(L33-'Airfoil 1'!$Z$48)/ABS(L33-'Airfoil 1'!$Z$48)</f>
        <v>1</v>
      </c>
      <c r="BH33" s="16">
        <f ca="1">(L33-'Airfoil 1'!$Z$49)/ABS(L33-'Airfoil 1'!$Z$49)</f>
        <v>1</v>
      </c>
      <c r="BI33" s="16">
        <f ca="1">(L33-'Airfoil 1'!$Z$50)/ABS(L33-'Airfoil 1'!$Z$50)</f>
        <v>-1</v>
      </c>
      <c r="BJ33" s="16">
        <f ca="1">(L33-'Airfoil 1'!$Z$51)/ABS(L33-'Airfoil 1'!$Z$51)</f>
        <v>-1</v>
      </c>
      <c r="BK33" s="16">
        <f ca="1">(L33-'Airfoil 1'!$Z$52)/ABS(L33-'Airfoil 1'!$Z$52)</f>
        <v>-1</v>
      </c>
      <c r="BL33" s="16">
        <f ca="1">(L33-'Airfoil 1'!$Z$53)/ABS(L33-'Airfoil 1'!$Z$53)</f>
        <v>-1</v>
      </c>
      <c r="BM33" s="16">
        <f ca="1">(L33-'Airfoil 1'!$Z$54)/ABS(L33-'Airfoil 1'!$Z$54)</f>
        <v>-1</v>
      </c>
      <c r="BN33" s="16">
        <f ca="1">(L33-'Airfoil 1'!$Z$55)/ABS(L33-'Airfoil 1'!$Z$55)</f>
        <v>-1</v>
      </c>
      <c r="BO33" s="16">
        <f ca="1">(L33-'Airfoil 1'!$Z$56)/ABS(L33-'Airfoil 1'!$Z$56)</f>
        <v>-1</v>
      </c>
      <c r="BP33" s="16">
        <f ca="1">(L33-'Airfoil 1'!$Z$57)/ABS(L33-'Airfoil 1'!$Z$57)</f>
        <v>-1</v>
      </c>
      <c r="BQ33" s="16">
        <f ca="1">(L33-'Airfoil 1'!$Z$58)/ABS(L33-'Airfoil 1'!$Z$58)</f>
        <v>-1</v>
      </c>
      <c r="BR33" s="16">
        <f ca="1">(L33-'Airfoil 1'!$Z$59)/ABS(L33-'Airfoil 1'!$Z$59)</f>
        <v>-1</v>
      </c>
      <c r="BS33" s="16">
        <f ca="1">(L33-'Airfoil 1'!$Z$60)/ABS(L33-'Airfoil 1'!$Z$60)</f>
        <v>-1</v>
      </c>
      <c r="BT33" s="16">
        <f ca="1">(L33-'Airfoil 1'!$Z$61)/ABS(L33-'Airfoil 1'!$Z$61)</f>
        <v>-1</v>
      </c>
      <c r="BU33" s="16">
        <f ca="1">(L33-'Airfoil 1'!$Z$62)/ABS(L33-'Airfoil 1'!$Z$62)</f>
        <v>-1</v>
      </c>
      <c r="BV33" s="16">
        <f ca="1">(L33-'Airfoil 1'!$Z$63)/ABS(L33-'Airfoil 1'!$Z$63)</f>
        <v>-1</v>
      </c>
      <c r="BW33" s="16">
        <f ca="1">(L33-'Airfoil 1'!$Z$64)/ABS(L33-'Airfoil 1'!$Z$64)</f>
        <v>-1</v>
      </c>
      <c r="BX33" s="16">
        <f ca="1">(L33-'Airfoil 1'!$Z$65)/ABS(L33-'Airfoil 1'!$Z$65)</f>
        <v>-1</v>
      </c>
      <c r="BY33" s="16">
        <f ca="1">(L33-'Airfoil 1'!$Z$66)/ABS(L33-'Airfoil 1'!$Z$66)</f>
        <v>-1</v>
      </c>
      <c r="BZ33" s="5">
        <f t="shared" ca="1" si="9"/>
        <v>3</v>
      </c>
      <c r="CA33" s="42">
        <f ca="1">INDEX('Airfoil 1'!$AA$47:$AA$66,BZ33,1)+INDEX('Airfoil 1'!$AB$47:$AB$66,BZ33,1)*(L33-INDEX('Airfoil 1'!$Z$47:$Z$66,BZ33,1))</f>
        <v>2.1230094827586206E-2</v>
      </c>
      <c r="CC33" s="16">
        <f ca="1">(L33-'Airfoil 1'!$Z$72)/ABS(L33-'Airfoil 1'!$Z$72)</f>
        <v>1</v>
      </c>
      <c r="CD33" s="16">
        <f ca="1">(L33-'Airfoil 1'!$Z$73)/ABS(L33-'Airfoil 1'!$Z$73)</f>
        <v>-1</v>
      </c>
      <c r="CE33" s="16">
        <f ca="1">(L33-'Airfoil 1'!$Z$74)/ABS(L33-'Airfoil 1'!$Z$74)</f>
        <v>-1</v>
      </c>
      <c r="CF33" s="16">
        <f ca="1">(L33-'Airfoil 1'!$Z$75)/ABS(L33-'Airfoil 1'!$Z$75)</f>
        <v>-1</v>
      </c>
      <c r="CG33" s="16">
        <f ca="1">(L33-'Airfoil 1'!$Z$76)/ABS(L33-'Airfoil 1'!$Z$76)</f>
        <v>-1</v>
      </c>
      <c r="CH33" s="16">
        <f ca="1">(L33-'Airfoil 1'!$Z$77)/ABS(L33-'Airfoil 1'!$Z$77)</f>
        <v>-1</v>
      </c>
      <c r="CI33" s="16">
        <f ca="1">(L33-'Airfoil 1'!$Z$78)/ABS(L33-'Airfoil 1'!$Z$78)</f>
        <v>-1</v>
      </c>
      <c r="CJ33" s="16">
        <f ca="1">(L33-'Airfoil 1'!$Z$79)/ABS(L33-'Airfoil 1'!$Z$79)</f>
        <v>-1</v>
      </c>
      <c r="CK33" s="16">
        <f ca="1">(L33-'Airfoil 1'!$Z$80)/ABS(L33-'Airfoil 1'!$Z$80)</f>
        <v>-1</v>
      </c>
      <c r="CL33" s="16">
        <f ca="1">(L33-'Airfoil 1'!$Z$81)/ABS(L33-'Airfoil 1'!$Z$81)</f>
        <v>-1</v>
      </c>
      <c r="CM33" s="16">
        <f ca="1">(L33-'Airfoil 1'!$Z$82)/ABS(L33-'Airfoil 1'!$Z$82)</f>
        <v>-1</v>
      </c>
      <c r="CN33" s="16">
        <f ca="1">(L33-'Airfoil 1'!$Z$83)/ABS(L33-'Airfoil 1'!$Z$83)</f>
        <v>-1</v>
      </c>
      <c r="CO33" s="16">
        <f ca="1">(L33-'Airfoil 1'!$Z$84)/ABS(L33-'Airfoil 1'!$Z$84)</f>
        <v>-1</v>
      </c>
      <c r="CP33" s="16">
        <f ca="1">(L33-'Airfoil 1'!$Z$85)/ABS(L33-'Airfoil 1'!$Z$85)</f>
        <v>-1</v>
      </c>
      <c r="CQ33" s="16">
        <f ca="1">(L33-'Airfoil 1'!$Z$86)/ABS(L33-'Airfoil 1'!$Z$86)</f>
        <v>-1</v>
      </c>
      <c r="CR33" s="16">
        <f ca="1">(L33-'Airfoil 1'!$Z$87)/ABS(L33-'Airfoil 1'!$Z$87)</f>
        <v>-1</v>
      </c>
      <c r="CS33" s="16">
        <f ca="1">(L33-'Airfoil 1'!$Z$88)/ABS(L33-'Airfoil 1'!$Z$88)</f>
        <v>-1</v>
      </c>
      <c r="CT33" s="16">
        <f ca="1">(L33-'Airfoil 1'!$Z$89)/ABS(L33-'Airfoil 1'!$Z$89)</f>
        <v>-1</v>
      </c>
      <c r="CU33" s="16">
        <f ca="1">(L33-'Airfoil 1'!$Z$90)/ABS(L33-'Airfoil 1'!$Z$90)</f>
        <v>-1</v>
      </c>
      <c r="CV33" s="16">
        <f ca="1">(L33-'Airfoil 1'!$Z$91)/ABS(L33-'Airfoil 1'!$Z$91)</f>
        <v>-1</v>
      </c>
      <c r="CW33" s="5">
        <f t="shared" ca="1" si="10"/>
        <v>1</v>
      </c>
      <c r="CX33" s="42">
        <f ca="1">INDEX('Airfoil 1'!$AA$72:$AA$91,CW33,1)+INDEX('Airfoil 1'!$AB$72:$AB$91,CW33,1)*(L33-INDEX('Airfoil 1'!$Z$72:$Z$91,CW33,1))</f>
        <v>1.2713052256532067E-2</v>
      </c>
    </row>
    <row r="34" spans="2:102">
      <c r="B34" s="31">
        <f>Main!B34</f>
        <v>0.33333333333333326</v>
      </c>
      <c r="D34" s="1">
        <f>Cruise!F34</f>
        <v>0.65969672852566186</v>
      </c>
      <c r="E34" s="4">
        <f>ISA!$R$10</f>
        <v>1.5987591530356481E-5</v>
      </c>
      <c r="G34" s="13">
        <f ca="1">'Aerodynamics-Descent'!H34</f>
        <v>33.387571929471704</v>
      </c>
      <c r="H34" s="5">
        <f t="shared" ca="1" si="0"/>
        <v>459224.30808222736</v>
      </c>
      <c r="I34" s="16">
        <f ca="1">'Airfoil 2'!$K$14*H34^'Airfoil 2'!$L$13</f>
        <v>1.5888787352462059</v>
      </c>
      <c r="J34" s="1">
        <f ca="1">'Airfoil 2'!$K$33*H34^'Airfoil 2'!$L$32</f>
        <v>4.5940467762456363</v>
      </c>
      <c r="K34" s="13">
        <f ca="1">'Airfoil 2'!$K$52*H34^'Airfoil 2'!$L$51</f>
        <v>-10.992943217073647</v>
      </c>
      <c r="L34" s="16">
        <f ca="1">'Aerodynamics-Descent'!W34</f>
        <v>0.45</v>
      </c>
      <c r="M34" s="10">
        <f ca="1">('Airfoil 1'!$B$21+'Airfoil 1'!$B$22*L34+'Airfoil 1'!$B$23*L34^2+'Airfoil 1'!$B$24*L34^3+'Airfoil 1'!$B$25*L34^4+'Airfoil 1'!$B$26*L34^5+'Airfoil 1'!$B$27*L34^6)*0+BD34</f>
        <v>2.7263130346232178E-2</v>
      </c>
      <c r="N34" s="42">
        <f ca="1">('Airfoil 1'!$B$29+'Airfoil 1'!$B$30*L34+'Airfoil 1'!$B$31*L34^2+'Airfoil 1'!$B$32*L34^3+'Airfoil 1'!$B$33*L34^4+'Airfoil 1'!$B$34*L34^5+'Airfoil 1'!$B$35*L34^6)*0+CA34</f>
        <v>2.1230094827586206E-2</v>
      </c>
      <c r="O34" s="42">
        <f ca="1">('Airfoil 1'!$B$37+'Airfoil 1'!$B$38*L34+'Airfoil 1'!$B$39*L34^2+'Airfoil 1'!$B$40*L34^3+'Airfoil 1'!$B$41*L34^4+'Airfoil 1'!$B$42*L34^5+'Airfoil 1'!$B$43*L34^6)*0+CX34</f>
        <v>1.2713052256532067E-2</v>
      </c>
      <c r="P34" s="16">
        <f>LOG('Airfoil 1'!$F$10)+LOG('Airfoil 1'!$G$10)+LOG('Airfoil 1'!$H$10)</f>
        <v>15.176091259055681</v>
      </c>
      <c r="Q34" s="16">
        <f t="shared" ca="1" si="1"/>
        <v>-5.133222513886718</v>
      </c>
      <c r="R34" s="16">
        <f>LOG('Airfoil 1'!$F$10)^2+LOG('Airfoil 1'!$G$10)^2+LOG('Airfoil 1'!$H$10)^2</f>
        <v>76.867141336751558</v>
      </c>
      <c r="S34" s="16">
        <f ca="1">LOG('Airfoil 1'!$F$10)*LOG(M34)+LOG('Airfoil 1'!$G$10)*LOG(N34)+LOG('Airfoil 1'!$H$10)*LOG(O34)</f>
        <v>-26.041333041174283</v>
      </c>
      <c r="T34" s="16">
        <f t="shared" ca="1" si="7"/>
        <v>154.2521937837034</v>
      </c>
      <c r="U34" s="16">
        <f t="shared" ca="1" si="2"/>
        <v>-0.77081221785869947</v>
      </c>
      <c r="V34" s="42">
        <f ca="1">IF(Energy!$F$11=1,Energy!$T$13,1)*T34*H34^U34</f>
        <v>7.3494019627888783E-3</v>
      </c>
      <c r="W34" s="10">
        <f ca="1">'Airfoil 1'!$B$48+'Airfoil 1'!$B$49*L34+'Airfoil 1'!$B$50*L34^2+'Airfoil 1'!$B$51*L34^3+'Airfoil 1'!$B$52*L34^4+'Airfoil 1'!$B$53*L34^5+'Airfoil 1'!$B$54*L34^6</f>
        <v>-0.155</v>
      </c>
      <c r="X34" s="42">
        <f ca="1">'Airfoil 1'!$B$56+'Airfoil 1'!$B$57*L34+'Airfoil 1'!$B$58*L34^2+'Airfoil 1'!$B$59*L34^3+'Airfoil 1'!$B$60*L34^4+'Airfoil 1'!$B$61*L34^5+'Airfoil 1'!$B$62*L34^6</f>
        <v>-0.155</v>
      </c>
      <c r="Y34" s="42">
        <f ca="1">'Airfoil 1'!$B$64+'Airfoil 1'!$B$65*L34+'Airfoil 1'!$B$66*L34^2+'Airfoil 1'!$B$67*L34^3+'Airfoil 1'!$B$681*L34^4+'Airfoil 1'!$B$69*L34^5+'Airfoil 1'!$B$70*L34^6</f>
        <v>-0.155</v>
      </c>
      <c r="Z34" s="16">
        <f>LOG('Airfoil 1'!$F$10)+LOG('Airfoil 1'!$G$10)+LOG('Airfoil 1'!$H$10)</f>
        <v>15.176091259055681</v>
      </c>
      <c r="AA34" s="16">
        <f t="shared" ca="1" si="3"/>
        <v>-2.4290049054891254</v>
      </c>
      <c r="AB34" s="16">
        <f>LOG('Airfoil 1'!$F$10)^2+LOG('Airfoil 1'!$G$10)^2+LOG('Airfoil 1'!$H$10)^2</f>
        <v>76.867141336751558</v>
      </c>
      <c r="AC34" s="16">
        <f ca="1">LOG('Airfoil 1'!$F$10)*LOG(ABS(W34))+LOG('Airfoil 1'!$G$10)*LOG(ABS(X34))+LOG('Airfoil 1'!$H$10)*LOG(ABS(Y34))</f>
        <v>-12.287600038132297</v>
      </c>
      <c r="AD34" s="16">
        <f t="shared" ca="1" si="4"/>
        <v>0.1550000000000121</v>
      </c>
      <c r="AE34" s="16">
        <f t="shared" ca="1" si="5"/>
        <v>-6.6718325633022456E-15</v>
      </c>
      <c r="AF34" s="42">
        <f t="shared" ca="1" si="6"/>
        <v>-0.15499999999999861</v>
      </c>
      <c r="AG34" s="16"/>
      <c r="AH34" s="42"/>
      <c r="AI34" s="16">
        <f ca="1">(L34-'Airfoil 1'!$Z$22)/ABS(L34-'Airfoil 1'!$Z$22)</f>
        <v>1</v>
      </c>
      <c r="AJ34" s="16">
        <f ca="1">(L34-'Airfoil 1'!$Z$23)/ABS(L34-'Airfoil 1'!$Z$23)</f>
        <v>1</v>
      </c>
      <c r="AK34" s="16">
        <f ca="1">(L34-'Airfoil 1'!$Z$24)/ABS(L34-'Airfoil 1'!$Z$24)</f>
        <v>1</v>
      </c>
      <c r="AL34" s="16">
        <f ca="1">(L34-'Airfoil 1'!$Z$25)/ABS(L34-'Airfoil 1'!$Z$25)</f>
        <v>1</v>
      </c>
      <c r="AM34" s="16">
        <f ca="1">(L34-'Airfoil 1'!$Z$26)/ABS(L34-'Airfoil 1'!$Z$26)</f>
        <v>-1</v>
      </c>
      <c r="AN34" s="16">
        <f ca="1">(L34-'Airfoil 1'!$Z$27)/ABS(L34-'Airfoil 1'!$Z$27)</f>
        <v>-1</v>
      </c>
      <c r="AO34" s="16">
        <f ca="1">(L34-'Airfoil 1'!$Z$28)/ABS(L34-'Airfoil 1'!$Z$28)</f>
        <v>-1</v>
      </c>
      <c r="AP34" s="16">
        <f ca="1">(L34-'Airfoil 1'!$Z$29)/ABS(L34-'Airfoil 1'!$Z$29)</f>
        <v>-1</v>
      </c>
      <c r="AQ34" s="16">
        <f ca="1">(L34-'Airfoil 1'!$Z$30)/ABS(L34-'Airfoil 1'!$Z$30)</f>
        <v>-1</v>
      </c>
      <c r="AR34" s="16">
        <f ca="1">(L34-'Airfoil 1'!$Z$31)/ABS(L34-'Airfoil 1'!$Z$31)</f>
        <v>-1</v>
      </c>
      <c r="AS34" s="16">
        <f ca="1">(L34-'Airfoil 1'!$Z$32)/ABS(L34-'Airfoil 1'!$Z$32)</f>
        <v>-1</v>
      </c>
      <c r="AT34" s="16">
        <f ca="1">(L34-'Airfoil 1'!$Z$33)/ABS(L34-'Airfoil 1'!$Z$33)</f>
        <v>-1</v>
      </c>
      <c r="AU34" s="16">
        <f ca="1">(L34-'Airfoil 1'!$Z$34)/ABS(L34-'Airfoil 1'!$Z$34)</f>
        <v>-1</v>
      </c>
      <c r="AV34" s="16">
        <f ca="1">(L34-'Airfoil 1'!$Z$35)/ABS(L34-'Airfoil 1'!$Z$35)</f>
        <v>-1</v>
      </c>
      <c r="AW34" s="16">
        <f ca="1">(L34-'Airfoil 1'!$Z$36)/ABS(L34-'Airfoil 1'!$Z$36)</f>
        <v>-1</v>
      </c>
      <c r="AX34" s="16">
        <f ca="1">(L34-'Airfoil 1'!$Z$37)/ABS(L34-'Airfoil 1'!$Z$37)</f>
        <v>-1</v>
      </c>
      <c r="AY34" s="16">
        <f ca="1">(L34-'Airfoil 1'!$Z$38)/ABS(L34-'Airfoil 1'!$Z$38)</f>
        <v>-1</v>
      </c>
      <c r="AZ34" s="16">
        <f ca="1">(L34-'Airfoil 1'!$Z$39)/ABS(L34-'Airfoil 1'!$Z$39)</f>
        <v>-1</v>
      </c>
      <c r="BA34" s="16">
        <f ca="1">(L34-'Airfoil 1'!$Z$40)/ABS(L34-'Airfoil 1'!$Z$40)</f>
        <v>-1</v>
      </c>
      <c r="BB34" s="16">
        <f ca="1">(L34-'Airfoil 1'!$Z$41)/ABS(L34-'Airfoil 1'!$Z$41)</f>
        <v>-1</v>
      </c>
      <c r="BC34" s="5">
        <f t="shared" ca="1" si="8"/>
        <v>4</v>
      </c>
      <c r="BD34" s="42">
        <f ca="1">INDEX('Airfoil 1'!$AA$22:$AA$41,BC34,1)+INDEX('Airfoil 1'!$AB$22:$AB$41,BC34,1)*(L34-INDEX('Airfoil 1'!$Z$22:$Z$41,BC34,1))</f>
        <v>2.7263130346232178E-2</v>
      </c>
      <c r="BE34" s="6"/>
      <c r="BF34" s="16">
        <f ca="1">(L34-'Airfoil 1'!$Z$47)/ABS(L34-'Airfoil 1'!$Z$47)</f>
        <v>1</v>
      </c>
      <c r="BG34" s="16">
        <f ca="1">(L34-'Airfoil 1'!$Z$48)/ABS(L34-'Airfoil 1'!$Z$48)</f>
        <v>1</v>
      </c>
      <c r="BH34" s="16">
        <f ca="1">(L34-'Airfoil 1'!$Z$49)/ABS(L34-'Airfoil 1'!$Z$49)</f>
        <v>1</v>
      </c>
      <c r="BI34" s="16">
        <f ca="1">(L34-'Airfoil 1'!$Z$50)/ABS(L34-'Airfoil 1'!$Z$50)</f>
        <v>-1</v>
      </c>
      <c r="BJ34" s="16">
        <f ca="1">(L34-'Airfoil 1'!$Z$51)/ABS(L34-'Airfoil 1'!$Z$51)</f>
        <v>-1</v>
      </c>
      <c r="BK34" s="16">
        <f ca="1">(L34-'Airfoil 1'!$Z$52)/ABS(L34-'Airfoil 1'!$Z$52)</f>
        <v>-1</v>
      </c>
      <c r="BL34" s="16">
        <f ca="1">(L34-'Airfoil 1'!$Z$53)/ABS(L34-'Airfoil 1'!$Z$53)</f>
        <v>-1</v>
      </c>
      <c r="BM34" s="16">
        <f ca="1">(L34-'Airfoil 1'!$Z$54)/ABS(L34-'Airfoil 1'!$Z$54)</f>
        <v>-1</v>
      </c>
      <c r="BN34" s="16">
        <f ca="1">(L34-'Airfoil 1'!$Z$55)/ABS(L34-'Airfoil 1'!$Z$55)</f>
        <v>-1</v>
      </c>
      <c r="BO34" s="16">
        <f ca="1">(L34-'Airfoil 1'!$Z$56)/ABS(L34-'Airfoil 1'!$Z$56)</f>
        <v>-1</v>
      </c>
      <c r="BP34" s="16">
        <f ca="1">(L34-'Airfoil 1'!$Z$57)/ABS(L34-'Airfoil 1'!$Z$57)</f>
        <v>-1</v>
      </c>
      <c r="BQ34" s="16">
        <f ca="1">(L34-'Airfoil 1'!$Z$58)/ABS(L34-'Airfoil 1'!$Z$58)</f>
        <v>-1</v>
      </c>
      <c r="BR34" s="16">
        <f ca="1">(L34-'Airfoil 1'!$Z$59)/ABS(L34-'Airfoil 1'!$Z$59)</f>
        <v>-1</v>
      </c>
      <c r="BS34" s="16">
        <f ca="1">(L34-'Airfoil 1'!$Z$60)/ABS(L34-'Airfoil 1'!$Z$60)</f>
        <v>-1</v>
      </c>
      <c r="BT34" s="16">
        <f ca="1">(L34-'Airfoil 1'!$Z$61)/ABS(L34-'Airfoil 1'!$Z$61)</f>
        <v>-1</v>
      </c>
      <c r="BU34" s="16">
        <f ca="1">(L34-'Airfoil 1'!$Z$62)/ABS(L34-'Airfoil 1'!$Z$62)</f>
        <v>-1</v>
      </c>
      <c r="BV34" s="16">
        <f ca="1">(L34-'Airfoil 1'!$Z$63)/ABS(L34-'Airfoil 1'!$Z$63)</f>
        <v>-1</v>
      </c>
      <c r="BW34" s="16">
        <f ca="1">(L34-'Airfoil 1'!$Z$64)/ABS(L34-'Airfoil 1'!$Z$64)</f>
        <v>-1</v>
      </c>
      <c r="BX34" s="16">
        <f ca="1">(L34-'Airfoil 1'!$Z$65)/ABS(L34-'Airfoil 1'!$Z$65)</f>
        <v>-1</v>
      </c>
      <c r="BY34" s="16">
        <f ca="1">(L34-'Airfoil 1'!$Z$66)/ABS(L34-'Airfoil 1'!$Z$66)</f>
        <v>-1</v>
      </c>
      <c r="BZ34" s="5">
        <f t="shared" ca="1" si="9"/>
        <v>3</v>
      </c>
      <c r="CA34" s="42">
        <f ca="1">INDEX('Airfoil 1'!$AA$47:$AA$66,BZ34,1)+INDEX('Airfoil 1'!$AB$47:$AB$66,BZ34,1)*(L34-INDEX('Airfoil 1'!$Z$47:$Z$66,BZ34,1))</f>
        <v>2.1230094827586206E-2</v>
      </c>
      <c r="CC34" s="16">
        <f ca="1">(L34-'Airfoil 1'!$Z$72)/ABS(L34-'Airfoil 1'!$Z$72)</f>
        <v>1</v>
      </c>
      <c r="CD34" s="16">
        <f ca="1">(L34-'Airfoil 1'!$Z$73)/ABS(L34-'Airfoil 1'!$Z$73)</f>
        <v>-1</v>
      </c>
      <c r="CE34" s="16">
        <f ca="1">(L34-'Airfoil 1'!$Z$74)/ABS(L34-'Airfoil 1'!$Z$74)</f>
        <v>-1</v>
      </c>
      <c r="CF34" s="16">
        <f ca="1">(L34-'Airfoil 1'!$Z$75)/ABS(L34-'Airfoil 1'!$Z$75)</f>
        <v>-1</v>
      </c>
      <c r="CG34" s="16">
        <f ca="1">(L34-'Airfoil 1'!$Z$76)/ABS(L34-'Airfoil 1'!$Z$76)</f>
        <v>-1</v>
      </c>
      <c r="CH34" s="16">
        <f ca="1">(L34-'Airfoil 1'!$Z$77)/ABS(L34-'Airfoil 1'!$Z$77)</f>
        <v>-1</v>
      </c>
      <c r="CI34" s="16">
        <f ca="1">(L34-'Airfoil 1'!$Z$78)/ABS(L34-'Airfoil 1'!$Z$78)</f>
        <v>-1</v>
      </c>
      <c r="CJ34" s="16">
        <f ca="1">(L34-'Airfoil 1'!$Z$79)/ABS(L34-'Airfoil 1'!$Z$79)</f>
        <v>-1</v>
      </c>
      <c r="CK34" s="16">
        <f ca="1">(L34-'Airfoil 1'!$Z$80)/ABS(L34-'Airfoil 1'!$Z$80)</f>
        <v>-1</v>
      </c>
      <c r="CL34" s="16">
        <f ca="1">(L34-'Airfoil 1'!$Z$81)/ABS(L34-'Airfoil 1'!$Z$81)</f>
        <v>-1</v>
      </c>
      <c r="CM34" s="16">
        <f ca="1">(L34-'Airfoil 1'!$Z$82)/ABS(L34-'Airfoil 1'!$Z$82)</f>
        <v>-1</v>
      </c>
      <c r="CN34" s="16">
        <f ca="1">(L34-'Airfoil 1'!$Z$83)/ABS(L34-'Airfoil 1'!$Z$83)</f>
        <v>-1</v>
      </c>
      <c r="CO34" s="16">
        <f ca="1">(L34-'Airfoil 1'!$Z$84)/ABS(L34-'Airfoil 1'!$Z$84)</f>
        <v>-1</v>
      </c>
      <c r="CP34" s="16">
        <f ca="1">(L34-'Airfoil 1'!$Z$85)/ABS(L34-'Airfoil 1'!$Z$85)</f>
        <v>-1</v>
      </c>
      <c r="CQ34" s="16">
        <f ca="1">(L34-'Airfoil 1'!$Z$86)/ABS(L34-'Airfoil 1'!$Z$86)</f>
        <v>-1</v>
      </c>
      <c r="CR34" s="16">
        <f ca="1">(L34-'Airfoil 1'!$Z$87)/ABS(L34-'Airfoil 1'!$Z$87)</f>
        <v>-1</v>
      </c>
      <c r="CS34" s="16">
        <f ca="1">(L34-'Airfoil 1'!$Z$88)/ABS(L34-'Airfoil 1'!$Z$88)</f>
        <v>-1</v>
      </c>
      <c r="CT34" s="16">
        <f ca="1">(L34-'Airfoil 1'!$Z$89)/ABS(L34-'Airfoil 1'!$Z$89)</f>
        <v>-1</v>
      </c>
      <c r="CU34" s="16">
        <f ca="1">(L34-'Airfoil 1'!$Z$90)/ABS(L34-'Airfoil 1'!$Z$90)</f>
        <v>-1</v>
      </c>
      <c r="CV34" s="16">
        <f ca="1">(L34-'Airfoil 1'!$Z$91)/ABS(L34-'Airfoil 1'!$Z$91)</f>
        <v>-1</v>
      </c>
      <c r="CW34" s="5">
        <f t="shared" ca="1" si="10"/>
        <v>1</v>
      </c>
      <c r="CX34" s="42">
        <f ca="1">INDEX('Airfoil 1'!$AA$72:$AA$91,CW34,1)+INDEX('Airfoil 1'!$AB$72:$AB$91,CW34,1)*(L34-INDEX('Airfoil 1'!$Z$72:$Z$91,CW34,1))</f>
        <v>1.2713052256532067E-2</v>
      </c>
    </row>
    <row r="35" spans="2:102">
      <c r="B35" s="31">
        <f>Main!B35</f>
        <v>0.33333333333333326</v>
      </c>
      <c r="D35" s="1">
        <f>Cruise!F35</f>
        <v>0.65969672852566186</v>
      </c>
      <c r="E35" s="4">
        <f>ISA!$R$10</f>
        <v>1.5987591530356481E-5</v>
      </c>
      <c r="G35" s="13">
        <f ca="1">'Aerodynamics-Descent'!H35</f>
        <v>32.879675488360149</v>
      </c>
      <c r="H35" s="5">
        <f t="shared" ca="1" si="0"/>
        <v>452238.52330459887</v>
      </c>
      <c r="I35" s="16">
        <f ca="1">'Airfoil 2'!$K$14*H35^'Airfoil 2'!$L$13</f>
        <v>1.588540190188932</v>
      </c>
      <c r="J35" s="1">
        <f ca="1">'Airfoil 2'!$K$33*H35^'Airfoil 2'!$L$32</f>
        <v>4.6177941262562259</v>
      </c>
      <c r="K35" s="13">
        <f ca="1">'Airfoil 2'!$K$52*H35^'Airfoil 2'!$L$51</f>
        <v>-10.880826950086634</v>
      </c>
      <c r="L35" s="16">
        <f ca="1">'Aerodynamics-Descent'!W35</f>
        <v>0.45</v>
      </c>
      <c r="M35" s="10">
        <f ca="1">('Airfoil 1'!$B$21+'Airfoil 1'!$B$22*L35+'Airfoil 1'!$B$23*L35^2+'Airfoil 1'!$B$24*L35^3+'Airfoil 1'!$B$25*L35^4+'Airfoil 1'!$B$26*L35^5+'Airfoil 1'!$B$27*L35^6)*0+BD35</f>
        <v>2.7263130346232178E-2</v>
      </c>
      <c r="N35" s="42">
        <f ca="1">('Airfoil 1'!$B$29+'Airfoil 1'!$B$30*L35+'Airfoil 1'!$B$31*L35^2+'Airfoil 1'!$B$32*L35^3+'Airfoil 1'!$B$33*L35^4+'Airfoil 1'!$B$34*L35^5+'Airfoil 1'!$B$35*L35^6)*0+CA35</f>
        <v>2.1230094827586206E-2</v>
      </c>
      <c r="O35" s="42">
        <f ca="1">('Airfoil 1'!$B$37+'Airfoil 1'!$B$38*L35+'Airfoil 1'!$B$39*L35^2+'Airfoil 1'!$B$40*L35^3+'Airfoil 1'!$B$41*L35^4+'Airfoil 1'!$B$42*L35^5+'Airfoil 1'!$B$43*L35^6)*0+CX35</f>
        <v>1.2713052256532067E-2</v>
      </c>
      <c r="P35" s="16">
        <f>LOG('Airfoil 1'!$F$10)+LOG('Airfoil 1'!$G$10)+LOG('Airfoil 1'!$H$10)</f>
        <v>15.176091259055681</v>
      </c>
      <c r="Q35" s="16">
        <f t="shared" ca="1" si="1"/>
        <v>-5.133222513886718</v>
      </c>
      <c r="R35" s="16">
        <f>LOG('Airfoil 1'!$F$10)^2+LOG('Airfoil 1'!$G$10)^2+LOG('Airfoil 1'!$H$10)^2</f>
        <v>76.867141336751558</v>
      </c>
      <c r="S35" s="16">
        <f ca="1">LOG('Airfoil 1'!$F$10)*LOG(M35)+LOG('Airfoil 1'!$G$10)*LOG(N35)+LOG('Airfoil 1'!$H$10)*LOG(O35)</f>
        <v>-26.041333041174283</v>
      </c>
      <c r="T35" s="16">
        <f t="shared" ca="1" si="7"/>
        <v>154.2521937837034</v>
      </c>
      <c r="U35" s="16">
        <f t="shared" ca="1" si="2"/>
        <v>-0.77081221785869947</v>
      </c>
      <c r="V35" s="42">
        <f ca="1">IF(Energy!$F$11=1,Energy!$T$13,1)*T35*H35^U35</f>
        <v>7.4367561294109031E-3</v>
      </c>
      <c r="W35" s="10">
        <f ca="1">'Airfoil 1'!$B$48+'Airfoil 1'!$B$49*L35+'Airfoil 1'!$B$50*L35^2+'Airfoil 1'!$B$51*L35^3+'Airfoil 1'!$B$52*L35^4+'Airfoil 1'!$B$53*L35^5+'Airfoil 1'!$B$54*L35^6</f>
        <v>-0.155</v>
      </c>
      <c r="X35" s="42">
        <f ca="1">'Airfoil 1'!$B$56+'Airfoil 1'!$B$57*L35+'Airfoil 1'!$B$58*L35^2+'Airfoil 1'!$B$59*L35^3+'Airfoil 1'!$B$60*L35^4+'Airfoil 1'!$B$61*L35^5+'Airfoil 1'!$B$62*L35^6</f>
        <v>-0.155</v>
      </c>
      <c r="Y35" s="42">
        <f ca="1">'Airfoil 1'!$B$64+'Airfoil 1'!$B$65*L35+'Airfoil 1'!$B$66*L35^2+'Airfoil 1'!$B$67*L35^3+'Airfoil 1'!$B$681*L35^4+'Airfoil 1'!$B$69*L35^5+'Airfoil 1'!$B$70*L35^6</f>
        <v>-0.155</v>
      </c>
      <c r="Z35" s="16">
        <f>LOG('Airfoil 1'!$F$10)+LOG('Airfoil 1'!$G$10)+LOG('Airfoil 1'!$H$10)</f>
        <v>15.176091259055681</v>
      </c>
      <c r="AA35" s="16">
        <f t="shared" ca="1" si="3"/>
        <v>-2.4290049054891254</v>
      </c>
      <c r="AB35" s="16">
        <f>LOG('Airfoil 1'!$F$10)^2+LOG('Airfoil 1'!$G$10)^2+LOG('Airfoil 1'!$H$10)^2</f>
        <v>76.867141336751558</v>
      </c>
      <c r="AC35" s="16">
        <f ca="1">LOG('Airfoil 1'!$F$10)*LOG(ABS(W35))+LOG('Airfoil 1'!$G$10)*LOG(ABS(X35))+LOG('Airfoil 1'!$H$10)*LOG(ABS(Y35))</f>
        <v>-12.287600038132297</v>
      </c>
      <c r="AD35" s="16">
        <f t="shared" ca="1" si="4"/>
        <v>0.1550000000000121</v>
      </c>
      <c r="AE35" s="16">
        <f t="shared" ca="1" si="5"/>
        <v>-6.6718325633022456E-15</v>
      </c>
      <c r="AF35" s="42">
        <f t="shared" ca="1" si="6"/>
        <v>-0.15499999999999864</v>
      </c>
      <c r="AG35" s="16"/>
      <c r="AH35" s="42"/>
      <c r="AI35" s="16">
        <f ca="1">(L35-'Airfoil 1'!$Z$22)/ABS(L35-'Airfoil 1'!$Z$22)</f>
        <v>1</v>
      </c>
      <c r="AJ35" s="16">
        <f ca="1">(L35-'Airfoil 1'!$Z$23)/ABS(L35-'Airfoil 1'!$Z$23)</f>
        <v>1</v>
      </c>
      <c r="AK35" s="16">
        <f ca="1">(L35-'Airfoil 1'!$Z$24)/ABS(L35-'Airfoil 1'!$Z$24)</f>
        <v>1</v>
      </c>
      <c r="AL35" s="16">
        <f ca="1">(L35-'Airfoil 1'!$Z$25)/ABS(L35-'Airfoil 1'!$Z$25)</f>
        <v>1</v>
      </c>
      <c r="AM35" s="16">
        <f ca="1">(L35-'Airfoil 1'!$Z$26)/ABS(L35-'Airfoil 1'!$Z$26)</f>
        <v>-1</v>
      </c>
      <c r="AN35" s="16">
        <f ca="1">(L35-'Airfoil 1'!$Z$27)/ABS(L35-'Airfoil 1'!$Z$27)</f>
        <v>-1</v>
      </c>
      <c r="AO35" s="16">
        <f ca="1">(L35-'Airfoil 1'!$Z$28)/ABS(L35-'Airfoil 1'!$Z$28)</f>
        <v>-1</v>
      </c>
      <c r="AP35" s="16">
        <f ca="1">(L35-'Airfoil 1'!$Z$29)/ABS(L35-'Airfoil 1'!$Z$29)</f>
        <v>-1</v>
      </c>
      <c r="AQ35" s="16">
        <f ca="1">(L35-'Airfoil 1'!$Z$30)/ABS(L35-'Airfoil 1'!$Z$30)</f>
        <v>-1</v>
      </c>
      <c r="AR35" s="16">
        <f ca="1">(L35-'Airfoil 1'!$Z$31)/ABS(L35-'Airfoil 1'!$Z$31)</f>
        <v>-1</v>
      </c>
      <c r="AS35" s="16">
        <f ca="1">(L35-'Airfoil 1'!$Z$32)/ABS(L35-'Airfoil 1'!$Z$32)</f>
        <v>-1</v>
      </c>
      <c r="AT35" s="16">
        <f ca="1">(L35-'Airfoil 1'!$Z$33)/ABS(L35-'Airfoil 1'!$Z$33)</f>
        <v>-1</v>
      </c>
      <c r="AU35" s="16">
        <f ca="1">(L35-'Airfoil 1'!$Z$34)/ABS(L35-'Airfoil 1'!$Z$34)</f>
        <v>-1</v>
      </c>
      <c r="AV35" s="16">
        <f ca="1">(L35-'Airfoil 1'!$Z$35)/ABS(L35-'Airfoil 1'!$Z$35)</f>
        <v>-1</v>
      </c>
      <c r="AW35" s="16">
        <f ca="1">(L35-'Airfoil 1'!$Z$36)/ABS(L35-'Airfoil 1'!$Z$36)</f>
        <v>-1</v>
      </c>
      <c r="AX35" s="16">
        <f ca="1">(L35-'Airfoil 1'!$Z$37)/ABS(L35-'Airfoil 1'!$Z$37)</f>
        <v>-1</v>
      </c>
      <c r="AY35" s="16">
        <f ca="1">(L35-'Airfoil 1'!$Z$38)/ABS(L35-'Airfoil 1'!$Z$38)</f>
        <v>-1</v>
      </c>
      <c r="AZ35" s="16">
        <f ca="1">(L35-'Airfoil 1'!$Z$39)/ABS(L35-'Airfoil 1'!$Z$39)</f>
        <v>-1</v>
      </c>
      <c r="BA35" s="16">
        <f ca="1">(L35-'Airfoil 1'!$Z$40)/ABS(L35-'Airfoil 1'!$Z$40)</f>
        <v>-1</v>
      </c>
      <c r="BB35" s="16">
        <f ca="1">(L35-'Airfoil 1'!$Z$41)/ABS(L35-'Airfoil 1'!$Z$41)</f>
        <v>-1</v>
      </c>
      <c r="BC35" s="5">
        <f t="shared" ca="1" si="8"/>
        <v>4</v>
      </c>
      <c r="BD35" s="42">
        <f ca="1">INDEX('Airfoil 1'!$AA$22:$AA$41,BC35,1)+INDEX('Airfoil 1'!$AB$22:$AB$41,BC35,1)*(L35-INDEX('Airfoil 1'!$Z$22:$Z$41,BC35,1))</f>
        <v>2.7263130346232178E-2</v>
      </c>
      <c r="BE35" s="6"/>
      <c r="BF35" s="16">
        <f ca="1">(L35-'Airfoil 1'!$Z$47)/ABS(L35-'Airfoil 1'!$Z$47)</f>
        <v>1</v>
      </c>
      <c r="BG35" s="16">
        <f ca="1">(L35-'Airfoil 1'!$Z$48)/ABS(L35-'Airfoil 1'!$Z$48)</f>
        <v>1</v>
      </c>
      <c r="BH35" s="16">
        <f ca="1">(L35-'Airfoil 1'!$Z$49)/ABS(L35-'Airfoil 1'!$Z$49)</f>
        <v>1</v>
      </c>
      <c r="BI35" s="16">
        <f ca="1">(L35-'Airfoil 1'!$Z$50)/ABS(L35-'Airfoil 1'!$Z$50)</f>
        <v>-1</v>
      </c>
      <c r="BJ35" s="16">
        <f ca="1">(L35-'Airfoil 1'!$Z$51)/ABS(L35-'Airfoil 1'!$Z$51)</f>
        <v>-1</v>
      </c>
      <c r="BK35" s="16">
        <f ca="1">(L35-'Airfoil 1'!$Z$52)/ABS(L35-'Airfoil 1'!$Z$52)</f>
        <v>-1</v>
      </c>
      <c r="BL35" s="16">
        <f ca="1">(L35-'Airfoil 1'!$Z$53)/ABS(L35-'Airfoil 1'!$Z$53)</f>
        <v>-1</v>
      </c>
      <c r="BM35" s="16">
        <f ca="1">(L35-'Airfoil 1'!$Z$54)/ABS(L35-'Airfoil 1'!$Z$54)</f>
        <v>-1</v>
      </c>
      <c r="BN35" s="16">
        <f ca="1">(L35-'Airfoil 1'!$Z$55)/ABS(L35-'Airfoil 1'!$Z$55)</f>
        <v>-1</v>
      </c>
      <c r="BO35" s="16">
        <f ca="1">(L35-'Airfoil 1'!$Z$56)/ABS(L35-'Airfoil 1'!$Z$56)</f>
        <v>-1</v>
      </c>
      <c r="BP35" s="16">
        <f ca="1">(L35-'Airfoil 1'!$Z$57)/ABS(L35-'Airfoil 1'!$Z$57)</f>
        <v>-1</v>
      </c>
      <c r="BQ35" s="16">
        <f ca="1">(L35-'Airfoil 1'!$Z$58)/ABS(L35-'Airfoil 1'!$Z$58)</f>
        <v>-1</v>
      </c>
      <c r="BR35" s="16">
        <f ca="1">(L35-'Airfoil 1'!$Z$59)/ABS(L35-'Airfoil 1'!$Z$59)</f>
        <v>-1</v>
      </c>
      <c r="BS35" s="16">
        <f ca="1">(L35-'Airfoil 1'!$Z$60)/ABS(L35-'Airfoil 1'!$Z$60)</f>
        <v>-1</v>
      </c>
      <c r="BT35" s="16">
        <f ca="1">(L35-'Airfoil 1'!$Z$61)/ABS(L35-'Airfoil 1'!$Z$61)</f>
        <v>-1</v>
      </c>
      <c r="BU35" s="16">
        <f ca="1">(L35-'Airfoil 1'!$Z$62)/ABS(L35-'Airfoil 1'!$Z$62)</f>
        <v>-1</v>
      </c>
      <c r="BV35" s="16">
        <f ca="1">(L35-'Airfoil 1'!$Z$63)/ABS(L35-'Airfoil 1'!$Z$63)</f>
        <v>-1</v>
      </c>
      <c r="BW35" s="16">
        <f ca="1">(L35-'Airfoil 1'!$Z$64)/ABS(L35-'Airfoil 1'!$Z$64)</f>
        <v>-1</v>
      </c>
      <c r="BX35" s="16">
        <f ca="1">(L35-'Airfoil 1'!$Z$65)/ABS(L35-'Airfoil 1'!$Z$65)</f>
        <v>-1</v>
      </c>
      <c r="BY35" s="16">
        <f ca="1">(L35-'Airfoil 1'!$Z$66)/ABS(L35-'Airfoil 1'!$Z$66)</f>
        <v>-1</v>
      </c>
      <c r="BZ35" s="5">
        <f t="shared" ca="1" si="9"/>
        <v>3</v>
      </c>
      <c r="CA35" s="42">
        <f ca="1">INDEX('Airfoil 1'!$AA$47:$AA$66,BZ35,1)+INDEX('Airfoil 1'!$AB$47:$AB$66,BZ35,1)*(L35-INDEX('Airfoil 1'!$Z$47:$Z$66,BZ35,1))</f>
        <v>2.1230094827586206E-2</v>
      </c>
      <c r="CC35" s="16">
        <f ca="1">(L35-'Airfoil 1'!$Z$72)/ABS(L35-'Airfoil 1'!$Z$72)</f>
        <v>1</v>
      </c>
      <c r="CD35" s="16">
        <f ca="1">(L35-'Airfoil 1'!$Z$73)/ABS(L35-'Airfoil 1'!$Z$73)</f>
        <v>-1</v>
      </c>
      <c r="CE35" s="16">
        <f ca="1">(L35-'Airfoil 1'!$Z$74)/ABS(L35-'Airfoil 1'!$Z$74)</f>
        <v>-1</v>
      </c>
      <c r="CF35" s="16">
        <f ca="1">(L35-'Airfoil 1'!$Z$75)/ABS(L35-'Airfoil 1'!$Z$75)</f>
        <v>-1</v>
      </c>
      <c r="CG35" s="16">
        <f ca="1">(L35-'Airfoil 1'!$Z$76)/ABS(L35-'Airfoil 1'!$Z$76)</f>
        <v>-1</v>
      </c>
      <c r="CH35" s="16">
        <f ca="1">(L35-'Airfoil 1'!$Z$77)/ABS(L35-'Airfoil 1'!$Z$77)</f>
        <v>-1</v>
      </c>
      <c r="CI35" s="16">
        <f ca="1">(L35-'Airfoil 1'!$Z$78)/ABS(L35-'Airfoil 1'!$Z$78)</f>
        <v>-1</v>
      </c>
      <c r="CJ35" s="16">
        <f ca="1">(L35-'Airfoil 1'!$Z$79)/ABS(L35-'Airfoil 1'!$Z$79)</f>
        <v>-1</v>
      </c>
      <c r="CK35" s="16">
        <f ca="1">(L35-'Airfoil 1'!$Z$80)/ABS(L35-'Airfoil 1'!$Z$80)</f>
        <v>-1</v>
      </c>
      <c r="CL35" s="16">
        <f ca="1">(L35-'Airfoil 1'!$Z$81)/ABS(L35-'Airfoil 1'!$Z$81)</f>
        <v>-1</v>
      </c>
      <c r="CM35" s="16">
        <f ca="1">(L35-'Airfoil 1'!$Z$82)/ABS(L35-'Airfoil 1'!$Z$82)</f>
        <v>-1</v>
      </c>
      <c r="CN35" s="16">
        <f ca="1">(L35-'Airfoil 1'!$Z$83)/ABS(L35-'Airfoil 1'!$Z$83)</f>
        <v>-1</v>
      </c>
      <c r="CO35" s="16">
        <f ca="1">(L35-'Airfoil 1'!$Z$84)/ABS(L35-'Airfoil 1'!$Z$84)</f>
        <v>-1</v>
      </c>
      <c r="CP35" s="16">
        <f ca="1">(L35-'Airfoil 1'!$Z$85)/ABS(L35-'Airfoil 1'!$Z$85)</f>
        <v>-1</v>
      </c>
      <c r="CQ35" s="16">
        <f ca="1">(L35-'Airfoil 1'!$Z$86)/ABS(L35-'Airfoil 1'!$Z$86)</f>
        <v>-1</v>
      </c>
      <c r="CR35" s="16">
        <f ca="1">(L35-'Airfoil 1'!$Z$87)/ABS(L35-'Airfoil 1'!$Z$87)</f>
        <v>-1</v>
      </c>
      <c r="CS35" s="16">
        <f ca="1">(L35-'Airfoil 1'!$Z$88)/ABS(L35-'Airfoil 1'!$Z$88)</f>
        <v>-1</v>
      </c>
      <c r="CT35" s="16">
        <f ca="1">(L35-'Airfoil 1'!$Z$89)/ABS(L35-'Airfoil 1'!$Z$89)</f>
        <v>-1</v>
      </c>
      <c r="CU35" s="16">
        <f ca="1">(L35-'Airfoil 1'!$Z$90)/ABS(L35-'Airfoil 1'!$Z$90)</f>
        <v>-1</v>
      </c>
      <c r="CV35" s="16">
        <f ca="1">(L35-'Airfoil 1'!$Z$91)/ABS(L35-'Airfoil 1'!$Z$91)</f>
        <v>-1</v>
      </c>
      <c r="CW35" s="5">
        <f t="shared" ca="1" si="10"/>
        <v>1</v>
      </c>
      <c r="CX35" s="42">
        <f ca="1">INDEX('Airfoil 1'!$AA$72:$AA$91,CW35,1)+INDEX('Airfoil 1'!$AB$72:$AB$91,CW35,1)*(L35-INDEX('Airfoil 1'!$Z$72:$Z$91,CW35,1))</f>
        <v>1.2713052256532067E-2</v>
      </c>
    </row>
    <row r="36" spans="2:102">
      <c r="B36" s="31">
        <f>Main!B36</f>
        <v>0.33333333333333326</v>
      </c>
      <c r="D36" s="1">
        <f>Cruise!F36</f>
        <v>0.65969672852566186</v>
      </c>
      <c r="E36" s="4">
        <f>ISA!$R$10</f>
        <v>1.5987591530356481E-5</v>
      </c>
      <c r="G36" s="13">
        <f ca="1">'Aerodynamics-Descent'!H36</f>
        <v>32.398723136817416</v>
      </c>
      <c r="H36" s="5">
        <f t="shared" ca="1" si="0"/>
        <v>445623.33693152893</v>
      </c>
      <c r="I36" s="16">
        <f ca="1">'Airfoil 2'!$K$14*H36^'Airfoil 2'!$L$13</f>
        <v>1.5882148172729413</v>
      </c>
      <c r="J36" s="1">
        <f ca="1">'Airfoil 2'!$K$33*H36^'Airfoil 2'!$L$32</f>
        <v>4.6407379930122428</v>
      </c>
      <c r="K36" s="13">
        <f ca="1">'Airfoil 2'!$K$52*H36^'Airfoil 2'!$L$51</f>
        <v>-10.774128467326838</v>
      </c>
      <c r="L36" s="16">
        <f ca="1">'Aerodynamics-Descent'!W36</f>
        <v>0.45</v>
      </c>
      <c r="M36" s="10">
        <f ca="1">('Airfoil 1'!$B$21+'Airfoil 1'!$B$22*L36+'Airfoil 1'!$B$23*L36^2+'Airfoil 1'!$B$24*L36^3+'Airfoil 1'!$B$25*L36^4+'Airfoil 1'!$B$26*L36^5+'Airfoil 1'!$B$27*L36^6)*0+BD36</f>
        <v>2.7263130346232178E-2</v>
      </c>
      <c r="N36" s="42">
        <f ca="1">('Airfoil 1'!$B$29+'Airfoil 1'!$B$30*L36+'Airfoil 1'!$B$31*L36^2+'Airfoil 1'!$B$32*L36^3+'Airfoil 1'!$B$33*L36^4+'Airfoil 1'!$B$34*L36^5+'Airfoil 1'!$B$35*L36^6)*0+CA36</f>
        <v>2.1230094827586206E-2</v>
      </c>
      <c r="O36" s="42">
        <f ca="1">('Airfoil 1'!$B$37+'Airfoil 1'!$B$38*L36+'Airfoil 1'!$B$39*L36^2+'Airfoil 1'!$B$40*L36^3+'Airfoil 1'!$B$41*L36^4+'Airfoil 1'!$B$42*L36^5+'Airfoil 1'!$B$43*L36^6)*0+CX36</f>
        <v>1.2713052256532067E-2</v>
      </c>
      <c r="P36" s="16">
        <f>LOG('Airfoil 1'!$F$10)+LOG('Airfoil 1'!$G$10)+LOG('Airfoil 1'!$H$10)</f>
        <v>15.176091259055681</v>
      </c>
      <c r="Q36" s="16">
        <f t="shared" ca="1" si="1"/>
        <v>-5.133222513886718</v>
      </c>
      <c r="R36" s="16">
        <f>LOG('Airfoil 1'!$F$10)^2+LOG('Airfoil 1'!$G$10)^2+LOG('Airfoil 1'!$H$10)^2</f>
        <v>76.867141336751558</v>
      </c>
      <c r="S36" s="16">
        <f ca="1">LOG('Airfoil 1'!$F$10)*LOG(M36)+LOG('Airfoil 1'!$G$10)*LOG(N36)+LOG('Airfoil 1'!$H$10)*LOG(O36)</f>
        <v>-26.041333041174283</v>
      </c>
      <c r="T36" s="16">
        <f t="shared" ca="1" si="7"/>
        <v>154.2521937837034</v>
      </c>
      <c r="U36" s="16">
        <f t="shared" ca="1" si="2"/>
        <v>-0.77081221785869947</v>
      </c>
      <c r="V36" s="42">
        <f ca="1">IF(Energy!$F$11=1,Energy!$T$13,1)*T36*H36^U36</f>
        <v>7.5217076848101807E-3</v>
      </c>
      <c r="W36" s="10">
        <f ca="1">'Airfoil 1'!$B$48+'Airfoil 1'!$B$49*L36+'Airfoil 1'!$B$50*L36^2+'Airfoil 1'!$B$51*L36^3+'Airfoil 1'!$B$52*L36^4+'Airfoil 1'!$B$53*L36^5+'Airfoil 1'!$B$54*L36^6</f>
        <v>-0.155</v>
      </c>
      <c r="X36" s="42">
        <f ca="1">'Airfoil 1'!$B$56+'Airfoil 1'!$B$57*L36+'Airfoil 1'!$B$58*L36^2+'Airfoil 1'!$B$59*L36^3+'Airfoil 1'!$B$60*L36^4+'Airfoil 1'!$B$61*L36^5+'Airfoil 1'!$B$62*L36^6</f>
        <v>-0.155</v>
      </c>
      <c r="Y36" s="42">
        <f ca="1">'Airfoil 1'!$B$64+'Airfoil 1'!$B$65*L36+'Airfoil 1'!$B$66*L36^2+'Airfoil 1'!$B$67*L36^3+'Airfoil 1'!$B$681*L36^4+'Airfoil 1'!$B$69*L36^5+'Airfoil 1'!$B$70*L36^6</f>
        <v>-0.155</v>
      </c>
      <c r="Z36" s="16">
        <f>LOG('Airfoil 1'!$F$10)+LOG('Airfoil 1'!$G$10)+LOG('Airfoil 1'!$H$10)</f>
        <v>15.176091259055681</v>
      </c>
      <c r="AA36" s="16">
        <f t="shared" ca="1" si="3"/>
        <v>-2.4290049054891254</v>
      </c>
      <c r="AB36" s="16">
        <f>LOG('Airfoil 1'!$F$10)^2+LOG('Airfoil 1'!$G$10)^2+LOG('Airfoil 1'!$H$10)^2</f>
        <v>76.867141336751558</v>
      </c>
      <c r="AC36" s="16">
        <f ca="1">LOG('Airfoil 1'!$F$10)*LOG(ABS(W36))+LOG('Airfoil 1'!$G$10)*LOG(ABS(X36))+LOG('Airfoil 1'!$H$10)*LOG(ABS(Y36))</f>
        <v>-12.287600038132297</v>
      </c>
      <c r="AD36" s="16">
        <f t="shared" ca="1" si="4"/>
        <v>0.1550000000000121</v>
      </c>
      <c r="AE36" s="16">
        <f t="shared" ca="1" si="5"/>
        <v>-6.6718325633022456E-15</v>
      </c>
      <c r="AF36" s="42">
        <f t="shared" ca="1" si="6"/>
        <v>-0.15499999999999864</v>
      </c>
      <c r="AG36" s="16"/>
      <c r="AH36" s="42"/>
      <c r="AI36" s="16">
        <f ca="1">(L36-'Airfoil 1'!$Z$22)/ABS(L36-'Airfoil 1'!$Z$22)</f>
        <v>1</v>
      </c>
      <c r="AJ36" s="16">
        <f ca="1">(L36-'Airfoil 1'!$Z$23)/ABS(L36-'Airfoil 1'!$Z$23)</f>
        <v>1</v>
      </c>
      <c r="AK36" s="16">
        <f ca="1">(L36-'Airfoil 1'!$Z$24)/ABS(L36-'Airfoil 1'!$Z$24)</f>
        <v>1</v>
      </c>
      <c r="AL36" s="16">
        <f ca="1">(L36-'Airfoil 1'!$Z$25)/ABS(L36-'Airfoil 1'!$Z$25)</f>
        <v>1</v>
      </c>
      <c r="AM36" s="16">
        <f ca="1">(L36-'Airfoil 1'!$Z$26)/ABS(L36-'Airfoil 1'!$Z$26)</f>
        <v>-1</v>
      </c>
      <c r="AN36" s="16">
        <f ca="1">(L36-'Airfoil 1'!$Z$27)/ABS(L36-'Airfoil 1'!$Z$27)</f>
        <v>-1</v>
      </c>
      <c r="AO36" s="16">
        <f ca="1">(L36-'Airfoil 1'!$Z$28)/ABS(L36-'Airfoil 1'!$Z$28)</f>
        <v>-1</v>
      </c>
      <c r="AP36" s="16">
        <f ca="1">(L36-'Airfoil 1'!$Z$29)/ABS(L36-'Airfoil 1'!$Z$29)</f>
        <v>-1</v>
      </c>
      <c r="AQ36" s="16">
        <f ca="1">(L36-'Airfoil 1'!$Z$30)/ABS(L36-'Airfoil 1'!$Z$30)</f>
        <v>-1</v>
      </c>
      <c r="AR36" s="16">
        <f ca="1">(L36-'Airfoil 1'!$Z$31)/ABS(L36-'Airfoil 1'!$Z$31)</f>
        <v>-1</v>
      </c>
      <c r="AS36" s="16">
        <f ca="1">(L36-'Airfoil 1'!$Z$32)/ABS(L36-'Airfoil 1'!$Z$32)</f>
        <v>-1</v>
      </c>
      <c r="AT36" s="16">
        <f ca="1">(L36-'Airfoil 1'!$Z$33)/ABS(L36-'Airfoil 1'!$Z$33)</f>
        <v>-1</v>
      </c>
      <c r="AU36" s="16">
        <f ca="1">(L36-'Airfoil 1'!$Z$34)/ABS(L36-'Airfoil 1'!$Z$34)</f>
        <v>-1</v>
      </c>
      <c r="AV36" s="16">
        <f ca="1">(L36-'Airfoil 1'!$Z$35)/ABS(L36-'Airfoil 1'!$Z$35)</f>
        <v>-1</v>
      </c>
      <c r="AW36" s="16">
        <f ca="1">(L36-'Airfoil 1'!$Z$36)/ABS(L36-'Airfoil 1'!$Z$36)</f>
        <v>-1</v>
      </c>
      <c r="AX36" s="16">
        <f ca="1">(L36-'Airfoil 1'!$Z$37)/ABS(L36-'Airfoil 1'!$Z$37)</f>
        <v>-1</v>
      </c>
      <c r="AY36" s="16">
        <f ca="1">(L36-'Airfoil 1'!$Z$38)/ABS(L36-'Airfoil 1'!$Z$38)</f>
        <v>-1</v>
      </c>
      <c r="AZ36" s="16">
        <f ca="1">(L36-'Airfoil 1'!$Z$39)/ABS(L36-'Airfoil 1'!$Z$39)</f>
        <v>-1</v>
      </c>
      <c r="BA36" s="16">
        <f ca="1">(L36-'Airfoil 1'!$Z$40)/ABS(L36-'Airfoil 1'!$Z$40)</f>
        <v>-1</v>
      </c>
      <c r="BB36" s="16">
        <f ca="1">(L36-'Airfoil 1'!$Z$41)/ABS(L36-'Airfoil 1'!$Z$41)</f>
        <v>-1</v>
      </c>
      <c r="BC36" s="5">
        <f t="shared" ca="1" si="8"/>
        <v>4</v>
      </c>
      <c r="BD36" s="42">
        <f ca="1">INDEX('Airfoil 1'!$AA$22:$AA$41,BC36,1)+INDEX('Airfoil 1'!$AB$22:$AB$41,BC36,1)*(L36-INDEX('Airfoil 1'!$Z$22:$Z$41,BC36,1))</f>
        <v>2.7263130346232178E-2</v>
      </c>
      <c r="BE36" s="6"/>
      <c r="BF36" s="16">
        <f ca="1">(L36-'Airfoil 1'!$Z$47)/ABS(L36-'Airfoil 1'!$Z$47)</f>
        <v>1</v>
      </c>
      <c r="BG36" s="16">
        <f ca="1">(L36-'Airfoil 1'!$Z$48)/ABS(L36-'Airfoil 1'!$Z$48)</f>
        <v>1</v>
      </c>
      <c r="BH36" s="16">
        <f ca="1">(L36-'Airfoil 1'!$Z$49)/ABS(L36-'Airfoil 1'!$Z$49)</f>
        <v>1</v>
      </c>
      <c r="BI36" s="16">
        <f ca="1">(L36-'Airfoil 1'!$Z$50)/ABS(L36-'Airfoil 1'!$Z$50)</f>
        <v>-1</v>
      </c>
      <c r="BJ36" s="16">
        <f ca="1">(L36-'Airfoil 1'!$Z$51)/ABS(L36-'Airfoil 1'!$Z$51)</f>
        <v>-1</v>
      </c>
      <c r="BK36" s="16">
        <f ca="1">(L36-'Airfoil 1'!$Z$52)/ABS(L36-'Airfoil 1'!$Z$52)</f>
        <v>-1</v>
      </c>
      <c r="BL36" s="16">
        <f ca="1">(L36-'Airfoil 1'!$Z$53)/ABS(L36-'Airfoil 1'!$Z$53)</f>
        <v>-1</v>
      </c>
      <c r="BM36" s="16">
        <f ca="1">(L36-'Airfoil 1'!$Z$54)/ABS(L36-'Airfoil 1'!$Z$54)</f>
        <v>-1</v>
      </c>
      <c r="BN36" s="16">
        <f ca="1">(L36-'Airfoil 1'!$Z$55)/ABS(L36-'Airfoil 1'!$Z$55)</f>
        <v>-1</v>
      </c>
      <c r="BO36" s="16">
        <f ca="1">(L36-'Airfoil 1'!$Z$56)/ABS(L36-'Airfoil 1'!$Z$56)</f>
        <v>-1</v>
      </c>
      <c r="BP36" s="16">
        <f ca="1">(L36-'Airfoil 1'!$Z$57)/ABS(L36-'Airfoil 1'!$Z$57)</f>
        <v>-1</v>
      </c>
      <c r="BQ36" s="16">
        <f ca="1">(L36-'Airfoil 1'!$Z$58)/ABS(L36-'Airfoil 1'!$Z$58)</f>
        <v>-1</v>
      </c>
      <c r="BR36" s="16">
        <f ca="1">(L36-'Airfoil 1'!$Z$59)/ABS(L36-'Airfoil 1'!$Z$59)</f>
        <v>-1</v>
      </c>
      <c r="BS36" s="16">
        <f ca="1">(L36-'Airfoil 1'!$Z$60)/ABS(L36-'Airfoil 1'!$Z$60)</f>
        <v>-1</v>
      </c>
      <c r="BT36" s="16">
        <f ca="1">(L36-'Airfoil 1'!$Z$61)/ABS(L36-'Airfoil 1'!$Z$61)</f>
        <v>-1</v>
      </c>
      <c r="BU36" s="16">
        <f ca="1">(L36-'Airfoil 1'!$Z$62)/ABS(L36-'Airfoil 1'!$Z$62)</f>
        <v>-1</v>
      </c>
      <c r="BV36" s="16">
        <f ca="1">(L36-'Airfoil 1'!$Z$63)/ABS(L36-'Airfoil 1'!$Z$63)</f>
        <v>-1</v>
      </c>
      <c r="BW36" s="16">
        <f ca="1">(L36-'Airfoil 1'!$Z$64)/ABS(L36-'Airfoil 1'!$Z$64)</f>
        <v>-1</v>
      </c>
      <c r="BX36" s="16">
        <f ca="1">(L36-'Airfoil 1'!$Z$65)/ABS(L36-'Airfoil 1'!$Z$65)</f>
        <v>-1</v>
      </c>
      <c r="BY36" s="16">
        <f ca="1">(L36-'Airfoil 1'!$Z$66)/ABS(L36-'Airfoil 1'!$Z$66)</f>
        <v>-1</v>
      </c>
      <c r="BZ36" s="5">
        <f t="shared" ca="1" si="9"/>
        <v>3</v>
      </c>
      <c r="CA36" s="42">
        <f ca="1">INDEX('Airfoil 1'!$AA$47:$AA$66,BZ36,1)+INDEX('Airfoil 1'!$AB$47:$AB$66,BZ36,1)*(L36-INDEX('Airfoil 1'!$Z$47:$Z$66,BZ36,1))</f>
        <v>2.1230094827586206E-2</v>
      </c>
      <c r="CC36" s="16">
        <f ca="1">(L36-'Airfoil 1'!$Z$72)/ABS(L36-'Airfoil 1'!$Z$72)</f>
        <v>1</v>
      </c>
      <c r="CD36" s="16">
        <f ca="1">(L36-'Airfoil 1'!$Z$73)/ABS(L36-'Airfoil 1'!$Z$73)</f>
        <v>-1</v>
      </c>
      <c r="CE36" s="16">
        <f ca="1">(L36-'Airfoil 1'!$Z$74)/ABS(L36-'Airfoil 1'!$Z$74)</f>
        <v>-1</v>
      </c>
      <c r="CF36" s="16">
        <f ca="1">(L36-'Airfoil 1'!$Z$75)/ABS(L36-'Airfoil 1'!$Z$75)</f>
        <v>-1</v>
      </c>
      <c r="CG36" s="16">
        <f ca="1">(L36-'Airfoil 1'!$Z$76)/ABS(L36-'Airfoil 1'!$Z$76)</f>
        <v>-1</v>
      </c>
      <c r="CH36" s="16">
        <f ca="1">(L36-'Airfoil 1'!$Z$77)/ABS(L36-'Airfoil 1'!$Z$77)</f>
        <v>-1</v>
      </c>
      <c r="CI36" s="16">
        <f ca="1">(L36-'Airfoil 1'!$Z$78)/ABS(L36-'Airfoil 1'!$Z$78)</f>
        <v>-1</v>
      </c>
      <c r="CJ36" s="16">
        <f ca="1">(L36-'Airfoil 1'!$Z$79)/ABS(L36-'Airfoil 1'!$Z$79)</f>
        <v>-1</v>
      </c>
      <c r="CK36" s="16">
        <f ca="1">(L36-'Airfoil 1'!$Z$80)/ABS(L36-'Airfoil 1'!$Z$80)</f>
        <v>-1</v>
      </c>
      <c r="CL36" s="16">
        <f ca="1">(L36-'Airfoil 1'!$Z$81)/ABS(L36-'Airfoil 1'!$Z$81)</f>
        <v>-1</v>
      </c>
      <c r="CM36" s="16">
        <f ca="1">(L36-'Airfoil 1'!$Z$82)/ABS(L36-'Airfoil 1'!$Z$82)</f>
        <v>-1</v>
      </c>
      <c r="CN36" s="16">
        <f ca="1">(L36-'Airfoil 1'!$Z$83)/ABS(L36-'Airfoil 1'!$Z$83)</f>
        <v>-1</v>
      </c>
      <c r="CO36" s="16">
        <f ca="1">(L36-'Airfoil 1'!$Z$84)/ABS(L36-'Airfoil 1'!$Z$84)</f>
        <v>-1</v>
      </c>
      <c r="CP36" s="16">
        <f ca="1">(L36-'Airfoil 1'!$Z$85)/ABS(L36-'Airfoil 1'!$Z$85)</f>
        <v>-1</v>
      </c>
      <c r="CQ36" s="16">
        <f ca="1">(L36-'Airfoil 1'!$Z$86)/ABS(L36-'Airfoil 1'!$Z$86)</f>
        <v>-1</v>
      </c>
      <c r="CR36" s="16">
        <f ca="1">(L36-'Airfoil 1'!$Z$87)/ABS(L36-'Airfoil 1'!$Z$87)</f>
        <v>-1</v>
      </c>
      <c r="CS36" s="16">
        <f ca="1">(L36-'Airfoil 1'!$Z$88)/ABS(L36-'Airfoil 1'!$Z$88)</f>
        <v>-1</v>
      </c>
      <c r="CT36" s="16">
        <f ca="1">(L36-'Airfoil 1'!$Z$89)/ABS(L36-'Airfoil 1'!$Z$89)</f>
        <v>-1</v>
      </c>
      <c r="CU36" s="16">
        <f ca="1">(L36-'Airfoil 1'!$Z$90)/ABS(L36-'Airfoil 1'!$Z$90)</f>
        <v>-1</v>
      </c>
      <c r="CV36" s="16">
        <f ca="1">(L36-'Airfoil 1'!$Z$91)/ABS(L36-'Airfoil 1'!$Z$91)</f>
        <v>-1</v>
      </c>
      <c r="CW36" s="5">
        <f t="shared" ca="1" si="10"/>
        <v>1</v>
      </c>
      <c r="CX36" s="42">
        <f ca="1">INDEX('Airfoil 1'!$AA$72:$AA$91,CW36,1)+INDEX('Airfoil 1'!$AB$72:$AB$91,CW36,1)*(L36-INDEX('Airfoil 1'!$Z$72:$Z$91,CW36,1))</f>
        <v>1.2713052256532067E-2</v>
      </c>
    </row>
    <row r="37" spans="2:102">
      <c r="B37" s="31">
        <f>Main!B37</f>
        <v>0.33333333333333326</v>
      </c>
      <c r="D37" s="1">
        <f>Cruise!F37</f>
        <v>0.65969672852566186</v>
      </c>
      <c r="E37" s="4">
        <f>ISA!$R$10</f>
        <v>1.5987591530356481E-5</v>
      </c>
      <c r="G37" s="13">
        <f ca="1">'Aerodynamics-Descent'!H37</f>
        <v>31.942471420245251</v>
      </c>
      <c r="H37" s="5">
        <f t="shared" ca="1" si="0"/>
        <v>439347.89170607866</v>
      </c>
      <c r="I37" s="16">
        <f ca="1">'Airfoil 2'!$K$14*H37^'Airfoil 2'!$L$13</f>
        <v>1.5879017221101122</v>
      </c>
      <c r="J37" s="1">
        <f ca="1">'Airfoil 2'!$K$33*H37^'Airfoil 2'!$L$32</f>
        <v>4.6629281773973377</v>
      </c>
      <c r="K37" s="13">
        <f ca="1">'Airfoil 2'!$K$52*H37^'Airfoil 2'!$L$51</f>
        <v>-10.672423785376235</v>
      </c>
      <c r="L37" s="16">
        <f ca="1">'Aerodynamics-Descent'!W37</f>
        <v>0.45</v>
      </c>
      <c r="M37" s="10">
        <f ca="1">('Airfoil 1'!$B$21+'Airfoil 1'!$B$22*L37+'Airfoil 1'!$B$23*L37^2+'Airfoil 1'!$B$24*L37^3+'Airfoil 1'!$B$25*L37^4+'Airfoil 1'!$B$26*L37^5+'Airfoil 1'!$B$27*L37^6)*0+BD37</f>
        <v>2.7263130346232178E-2</v>
      </c>
      <c r="N37" s="42">
        <f ca="1">('Airfoil 1'!$B$29+'Airfoil 1'!$B$30*L37+'Airfoil 1'!$B$31*L37^2+'Airfoil 1'!$B$32*L37^3+'Airfoil 1'!$B$33*L37^4+'Airfoil 1'!$B$34*L37^5+'Airfoil 1'!$B$35*L37^6)*0+CA37</f>
        <v>2.1230094827586206E-2</v>
      </c>
      <c r="O37" s="42">
        <f ca="1">('Airfoil 1'!$B$37+'Airfoil 1'!$B$38*L37+'Airfoil 1'!$B$39*L37^2+'Airfoil 1'!$B$40*L37^3+'Airfoil 1'!$B$41*L37^4+'Airfoil 1'!$B$42*L37^5+'Airfoil 1'!$B$43*L37^6)*0+CX37</f>
        <v>1.2713052256532067E-2</v>
      </c>
      <c r="P37" s="16">
        <f>LOG('Airfoil 1'!$F$10)+LOG('Airfoil 1'!$G$10)+LOG('Airfoil 1'!$H$10)</f>
        <v>15.176091259055681</v>
      </c>
      <c r="Q37" s="16">
        <f t="shared" ca="1" si="1"/>
        <v>-5.133222513886718</v>
      </c>
      <c r="R37" s="16">
        <f>LOG('Airfoil 1'!$F$10)^2+LOG('Airfoil 1'!$G$10)^2+LOG('Airfoil 1'!$H$10)^2</f>
        <v>76.867141336751558</v>
      </c>
      <c r="S37" s="16">
        <f ca="1">LOG('Airfoil 1'!$F$10)*LOG(M37)+LOG('Airfoil 1'!$G$10)*LOG(N37)+LOG('Airfoil 1'!$H$10)*LOG(O37)</f>
        <v>-26.041333041174283</v>
      </c>
      <c r="T37" s="16">
        <f t="shared" ca="1" si="7"/>
        <v>154.2521937837034</v>
      </c>
      <c r="U37" s="16">
        <f t="shared" ca="1" si="2"/>
        <v>-0.77081221785869947</v>
      </c>
      <c r="V37" s="42">
        <f ca="1">IF(Energy!$F$11=1,Energy!$T$13,1)*T37*H37^U37</f>
        <v>7.6043864027116187E-3</v>
      </c>
      <c r="W37" s="10">
        <f ca="1">'Airfoil 1'!$B$48+'Airfoil 1'!$B$49*L37+'Airfoil 1'!$B$50*L37^2+'Airfoil 1'!$B$51*L37^3+'Airfoil 1'!$B$52*L37^4+'Airfoil 1'!$B$53*L37^5+'Airfoil 1'!$B$54*L37^6</f>
        <v>-0.155</v>
      </c>
      <c r="X37" s="42">
        <f ca="1">'Airfoil 1'!$B$56+'Airfoil 1'!$B$57*L37+'Airfoil 1'!$B$58*L37^2+'Airfoil 1'!$B$59*L37^3+'Airfoil 1'!$B$60*L37^4+'Airfoil 1'!$B$61*L37^5+'Airfoil 1'!$B$62*L37^6</f>
        <v>-0.155</v>
      </c>
      <c r="Y37" s="42">
        <f ca="1">'Airfoil 1'!$B$64+'Airfoil 1'!$B$65*L37+'Airfoil 1'!$B$66*L37^2+'Airfoil 1'!$B$67*L37^3+'Airfoil 1'!$B$681*L37^4+'Airfoil 1'!$B$69*L37^5+'Airfoil 1'!$B$70*L37^6</f>
        <v>-0.155</v>
      </c>
      <c r="Z37" s="16">
        <f>LOG('Airfoil 1'!$F$10)+LOG('Airfoil 1'!$G$10)+LOG('Airfoil 1'!$H$10)</f>
        <v>15.176091259055681</v>
      </c>
      <c r="AA37" s="16">
        <f t="shared" ca="1" si="3"/>
        <v>-2.4290049054891254</v>
      </c>
      <c r="AB37" s="16">
        <f>LOG('Airfoil 1'!$F$10)^2+LOG('Airfoil 1'!$G$10)^2+LOG('Airfoil 1'!$H$10)^2</f>
        <v>76.867141336751558</v>
      </c>
      <c r="AC37" s="16">
        <f ca="1">LOG('Airfoil 1'!$F$10)*LOG(ABS(W37))+LOG('Airfoil 1'!$G$10)*LOG(ABS(X37))+LOG('Airfoil 1'!$H$10)*LOG(ABS(Y37))</f>
        <v>-12.287600038132297</v>
      </c>
      <c r="AD37" s="16">
        <f t="shared" ca="1" si="4"/>
        <v>0.1550000000000121</v>
      </c>
      <c r="AE37" s="16">
        <f t="shared" ca="1" si="5"/>
        <v>-6.6718325633022456E-15</v>
      </c>
      <c r="AF37" s="42">
        <f t="shared" ca="1" si="6"/>
        <v>-0.15499999999999867</v>
      </c>
      <c r="AG37" s="16"/>
      <c r="AH37" s="42"/>
      <c r="AI37" s="16">
        <f ca="1">(L37-'Airfoil 1'!$Z$22)/ABS(L37-'Airfoil 1'!$Z$22)</f>
        <v>1</v>
      </c>
      <c r="AJ37" s="16">
        <f ca="1">(L37-'Airfoil 1'!$Z$23)/ABS(L37-'Airfoil 1'!$Z$23)</f>
        <v>1</v>
      </c>
      <c r="AK37" s="16">
        <f ca="1">(L37-'Airfoil 1'!$Z$24)/ABS(L37-'Airfoil 1'!$Z$24)</f>
        <v>1</v>
      </c>
      <c r="AL37" s="16">
        <f ca="1">(L37-'Airfoil 1'!$Z$25)/ABS(L37-'Airfoil 1'!$Z$25)</f>
        <v>1</v>
      </c>
      <c r="AM37" s="16">
        <f ca="1">(L37-'Airfoil 1'!$Z$26)/ABS(L37-'Airfoil 1'!$Z$26)</f>
        <v>-1</v>
      </c>
      <c r="AN37" s="16">
        <f ca="1">(L37-'Airfoil 1'!$Z$27)/ABS(L37-'Airfoil 1'!$Z$27)</f>
        <v>-1</v>
      </c>
      <c r="AO37" s="16">
        <f ca="1">(L37-'Airfoil 1'!$Z$28)/ABS(L37-'Airfoil 1'!$Z$28)</f>
        <v>-1</v>
      </c>
      <c r="AP37" s="16">
        <f ca="1">(L37-'Airfoil 1'!$Z$29)/ABS(L37-'Airfoil 1'!$Z$29)</f>
        <v>-1</v>
      </c>
      <c r="AQ37" s="16">
        <f ca="1">(L37-'Airfoil 1'!$Z$30)/ABS(L37-'Airfoil 1'!$Z$30)</f>
        <v>-1</v>
      </c>
      <c r="AR37" s="16">
        <f ca="1">(L37-'Airfoil 1'!$Z$31)/ABS(L37-'Airfoil 1'!$Z$31)</f>
        <v>-1</v>
      </c>
      <c r="AS37" s="16">
        <f ca="1">(L37-'Airfoil 1'!$Z$32)/ABS(L37-'Airfoil 1'!$Z$32)</f>
        <v>-1</v>
      </c>
      <c r="AT37" s="16">
        <f ca="1">(L37-'Airfoil 1'!$Z$33)/ABS(L37-'Airfoil 1'!$Z$33)</f>
        <v>-1</v>
      </c>
      <c r="AU37" s="16">
        <f ca="1">(L37-'Airfoil 1'!$Z$34)/ABS(L37-'Airfoil 1'!$Z$34)</f>
        <v>-1</v>
      </c>
      <c r="AV37" s="16">
        <f ca="1">(L37-'Airfoil 1'!$Z$35)/ABS(L37-'Airfoil 1'!$Z$35)</f>
        <v>-1</v>
      </c>
      <c r="AW37" s="16">
        <f ca="1">(L37-'Airfoil 1'!$Z$36)/ABS(L37-'Airfoil 1'!$Z$36)</f>
        <v>-1</v>
      </c>
      <c r="AX37" s="16">
        <f ca="1">(L37-'Airfoil 1'!$Z$37)/ABS(L37-'Airfoil 1'!$Z$37)</f>
        <v>-1</v>
      </c>
      <c r="AY37" s="16">
        <f ca="1">(L37-'Airfoil 1'!$Z$38)/ABS(L37-'Airfoil 1'!$Z$38)</f>
        <v>-1</v>
      </c>
      <c r="AZ37" s="16">
        <f ca="1">(L37-'Airfoil 1'!$Z$39)/ABS(L37-'Airfoil 1'!$Z$39)</f>
        <v>-1</v>
      </c>
      <c r="BA37" s="16">
        <f ca="1">(L37-'Airfoil 1'!$Z$40)/ABS(L37-'Airfoil 1'!$Z$40)</f>
        <v>-1</v>
      </c>
      <c r="BB37" s="16">
        <f ca="1">(L37-'Airfoil 1'!$Z$41)/ABS(L37-'Airfoil 1'!$Z$41)</f>
        <v>-1</v>
      </c>
      <c r="BC37" s="5">
        <f t="shared" ca="1" si="8"/>
        <v>4</v>
      </c>
      <c r="BD37" s="42">
        <f ca="1">INDEX('Airfoil 1'!$AA$22:$AA$41,BC37,1)+INDEX('Airfoil 1'!$AB$22:$AB$41,BC37,1)*(L37-INDEX('Airfoil 1'!$Z$22:$Z$41,BC37,1))</f>
        <v>2.7263130346232178E-2</v>
      </c>
      <c r="BE37" s="6"/>
      <c r="BF37" s="16">
        <f ca="1">(L37-'Airfoil 1'!$Z$47)/ABS(L37-'Airfoil 1'!$Z$47)</f>
        <v>1</v>
      </c>
      <c r="BG37" s="16">
        <f ca="1">(L37-'Airfoil 1'!$Z$48)/ABS(L37-'Airfoil 1'!$Z$48)</f>
        <v>1</v>
      </c>
      <c r="BH37" s="16">
        <f ca="1">(L37-'Airfoil 1'!$Z$49)/ABS(L37-'Airfoil 1'!$Z$49)</f>
        <v>1</v>
      </c>
      <c r="BI37" s="16">
        <f ca="1">(L37-'Airfoil 1'!$Z$50)/ABS(L37-'Airfoil 1'!$Z$50)</f>
        <v>-1</v>
      </c>
      <c r="BJ37" s="16">
        <f ca="1">(L37-'Airfoil 1'!$Z$51)/ABS(L37-'Airfoil 1'!$Z$51)</f>
        <v>-1</v>
      </c>
      <c r="BK37" s="16">
        <f ca="1">(L37-'Airfoil 1'!$Z$52)/ABS(L37-'Airfoil 1'!$Z$52)</f>
        <v>-1</v>
      </c>
      <c r="BL37" s="16">
        <f ca="1">(L37-'Airfoil 1'!$Z$53)/ABS(L37-'Airfoil 1'!$Z$53)</f>
        <v>-1</v>
      </c>
      <c r="BM37" s="16">
        <f ca="1">(L37-'Airfoil 1'!$Z$54)/ABS(L37-'Airfoil 1'!$Z$54)</f>
        <v>-1</v>
      </c>
      <c r="BN37" s="16">
        <f ca="1">(L37-'Airfoil 1'!$Z$55)/ABS(L37-'Airfoil 1'!$Z$55)</f>
        <v>-1</v>
      </c>
      <c r="BO37" s="16">
        <f ca="1">(L37-'Airfoil 1'!$Z$56)/ABS(L37-'Airfoil 1'!$Z$56)</f>
        <v>-1</v>
      </c>
      <c r="BP37" s="16">
        <f ca="1">(L37-'Airfoil 1'!$Z$57)/ABS(L37-'Airfoil 1'!$Z$57)</f>
        <v>-1</v>
      </c>
      <c r="BQ37" s="16">
        <f ca="1">(L37-'Airfoil 1'!$Z$58)/ABS(L37-'Airfoil 1'!$Z$58)</f>
        <v>-1</v>
      </c>
      <c r="BR37" s="16">
        <f ca="1">(L37-'Airfoil 1'!$Z$59)/ABS(L37-'Airfoil 1'!$Z$59)</f>
        <v>-1</v>
      </c>
      <c r="BS37" s="16">
        <f ca="1">(L37-'Airfoil 1'!$Z$60)/ABS(L37-'Airfoil 1'!$Z$60)</f>
        <v>-1</v>
      </c>
      <c r="BT37" s="16">
        <f ca="1">(L37-'Airfoil 1'!$Z$61)/ABS(L37-'Airfoil 1'!$Z$61)</f>
        <v>-1</v>
      </c>
      <c r="BU37" s="16">
        <f ca="1">(L37-'Airfoil 1'!$Z$62)/ABS(L37-'Airfoil 1'!$Z$62)</f>
        <v>-1</v>
      </c>
      <c r="BV37" s="16">
        <f ca="1">(L37-'Airfoil 1'!$Z$63)/ABS(L37-'Airfoil 1'!$Z$63)</f>
        <v>-1</v>
      </c>
      <c r="BW37" s="16">
        <f ca="1">(L37-'Airfoil 1'!$Z$64)/ABS(L37-'Airfoil 1'!$Z$64)</f>
        <v>-1</v>
      </c>
      <c r="BX37" s="16">
        <f ca="1">(L37-'Airfoil 1'!$Z$65)/ABS(L37-'Airfoil 1'!$Z$65)</f>
        <v>-1</v>
      </c>
      <c r="BY37" s="16">
        <f ca="1">(L37-'Airfoil 1'!$Z$66)/ABS(L37-'Airfoil 1'!$Z$66)</f>
        <v>-1</v>
      </c>
      <c r="BZ37" s="5">
        <f t="shared" ca="1" si="9"/>
        <v>3</v>
      </c>
      <c r="CA37" s="42">
        <f ca="1">INDEX('Airfoil 1'!$AA$47:$AA$66,BZ37,1)+INDEX('Airfoil 1'!$AB$47:$AB$66,BZ37,1)*(L37-INDEX('Airfoil 1'!$Z$47:$Z$66,BZ37,1))</f>
        <v>2.1230094827586206E-2</v>
      </c>
      <c r="CC37" s="16">
        <f ca="1">(L37-'Airfoil 1'!$Z$72)/ABS(L37-'Airfoil 1'!$Z$72)</f>
        <v>1</v>
      </c>
      <c r="CD37" s="16">
        <f ca="1">(L37-'Airfoil 1'!$Z$73)/ABS(L37-'Airfoil 1'!$Z$73)</f>
        <v>-1</v>
      </c>
      <c r="CE37" s="16">
        <f ca="1">(L37-'Airfoil 1'!$Z$74)/ABS(L37-'Airfoil 1'!$Z$74)</f>
        <v>-1</v>
      </c>
      <c r="CF37" s="16">
        <f ca="1">(L37-'Airfoil 1'!$Z$75)/ABS(L37-'Airfoil 1'!$Z$75)</f>
        <v>-1</v>
      </c>
      <c r="CG37" s="16">
        <f ca="1">(L37-'Airfoil 1'!$Z$76)/ABS(L37-'Airfoil 1'!$Z$76)</f>
        <v>-1</v>
      </c>
      <c r="CH37" s="16">
        <f ca="1">(L37-'Airfoil 1'!$Z$77)/ABS(L37-'Airfoil 1'!$Z$77)</f>
        <v>-1</v>
      </c>
      <c r="CI37" s="16">
        <f ca="1">(L37-'Airfoil 1'!$Z$78)/ABS(L37-'Airfoil 1'!$Z$78)</f>
        <v>-1</v>
      </c>
      <c r="CJ37" s="16">
        <f ca="1">(L37-'Airfoil 1'!$Z$79)/ABS(L37-'Airfoil 1'!$Z$79)</f>
        <v>-1</v>
      </c>
      <c r="CK37" s="16">
        <f ca="1">(L37-'Airfoil 1'!$Z$80)/ABS(L37-'Airfoil 1'!$Z$80)</f>
        <v>-1</v>
      </c>
      <c r="CL37" s="16">
        <f ca="1">(L37-'Airfoil 1'!$Z$81)/ABS(L37-'Airfoil 1'!$Z$81)</f>
        <v>-1</v>
      </c>
      <c r="CM37" s="16">
        <f ca="1">(L37-'Airfoil 1'!$Z$82)/ABS(L37-'Airfoil 1'!$Z$82)</f>
        <v>-1</v>
      </c>
      <c r="CN37" s="16">
        <f ca="1">(L37-'Airfoil 1'!$Z$83)/ABS(L37-'Airfoil 1'!$Z$83)</f>
        <v>-1</v>
      </c>
      <c r="CO37" s="16">
        <f ca="1">(L37-'Airfoil 1'!$Z$84)/ABS(L37-'Airfoil 1'!$Z$84)</f>
        <v>-1</v>
      </c>
      <c r="CP37" s="16">
        <f ca="1">(L37-'Airfoil 1'!$Z$85)/ABS(L37-'Airfoil 1'!$Z$85)</f>
        <v>-1</v>
      </c>
      <c r="CQ37" s="16">
        <f ca="1">(L37-'Airfoil 1'!$Z$86)/ABS(L37-'Airfoil 1'!$Z$86)</f>
        <v>-1</v>
      </c>
      <c r="CR37" s="16">
        <f ca="1">(L37-'Airfoil 1'!$Z$87)/ABS(L37-'Airfoil 1'!$Z$87)</f>
        <v>-1</v>
      </c>
      <c r="CS37" s="16">
        <f ca="1">(L37-'Airfoil 1'!$Z$88)/ABS(L37-'Airfoil 1'!$Z$88)</f>
        <v>-1</v>
      </c>
      <c r="CT37" s="16">
        <f ca="1">(L37-'Airfoil 1'!$Z$89)/ABS(L37-'Airfoil 1'!$Z$89)</f>
        <v>-1</v>
      </c>
      <c r="CU37" s="16">
        <f ca="1">(L37-'Airfoil 1'!$Z$90)/ABS(L37-'Airfoil 1'!$Z$90)</f>
        <v>-1</v>
      </c>
      <c r="CV37" s="16">
        <f ca="1">(L37-'Airfoil 1'!$Z$91)/ABS(L37-'Airfoil 1'!$Z$91)</f>
        <v>-1</v>
      </c>
      <c r="CW37" s="5">
        <f t="shared" ca="1" si="10"/>
        <v>1</v>
      </c>
      <c r="CX37" s="42">
        <f ca="1">INDEX('Airfoil 1'!$AA$72:$AA$91,CW37,1)+INDEX('Airfoil 1'!$AB$72:$AB$91,CW37,1)*(L37-INDEX('Airfoil 1'!$Z$72:$Z$91,CW37,1))</f>
        <v>1.2713052256532067E-2</v>
      </c>
    </row>
    <row r="38" spans="2:102">
      <c r="B38" s="31">
        <f>Main!B38</f>
        <v>0.33333333333333326</v>
      </c>
      <c r="D38" s="1">
        <f>Cruise!F38</f>
        <v>0.65969672852566186</v>
      </c>
      <c r="E38" s="4">
        <f>ISA!$R$10</f>
        <v>1.5987591530356481E-5</v>
      </c>
      <c r="G38" s="13">
        <f ca="1">'Aerodynamics-Descent'!H38</f>
        <v>31.508937554230929</v>
      </c>
      <c r="H38" s="5">
        <f t="shared" ca="1" si="0"/>
        <v>433384.9157199483</v>
      </c>
      <c r="I38" s="16">
        <f ca="1">'Airfoil 2'!$K$14*H38^'Airfoil 2'!$L$13</f>
        <v>1.5876001034954859</v>
      </c>
      <c r="J38" s="1">
        <f ca="1">'Airfoil 2'!$K$33*H38^'Airfoil 2'!$L$32</f>
        <v>4.6844094807218477</v>
      </c>
      <c r="K38" s="13">
        <f ca="1">'Airfoil 2'!$K$52*H38^'Airfoil 2'!$L$51</f>
        <v>-10.575336424455173</v>
      </c>
      <c r="L38" s="16">
        <f ca="1">'Aerodynamics-Descent'!W38</f>
        <v>0.45</v>
      </c>
      <c r="M38" s="10">
        <f ca="1">('Airfoil 1'!$B$21+'Airfoil 1'!$B$22*L38+'Airfoil 1'!$B$23*L38^2+'Airfoil 1'!$B$24*L38^3+'Airfoil 1'!$B$25*L38^4+'Airfoil 1'!$B$26*L38^5+'Airfoil 1'!$B$27*L38^6)*0+BD38</f>
        <v>2.7263130346232178E-2</v>
      </c>
      <c r="N38" s="42">
        <f ca="1">('Airfoil 1'!$B$29+'Airfoil 1'!$B$30*L38+'Airfoil 1'!$B$31*L38^2+'Airfoil 1'!$B$32*L38^3+'Airfoil 1'!$B$33*L38^4+'Airfoil 1'!$B$34*L38^5+'Airfoil 1'!$B$35*L38^6)*0+CA38</f>
        <v>2.1230094827586206E-2</v>
      </c>
      <c r="O38" s="42">
        <f ca="1">('Airfoil 1'!$B$37+'Airfoil 1'!$B$38*L38+'Airfoil 1'!$B$39*L38^2+'Airfoil 1'!$B$40*L38^3+'Airfoil 1'!$B$41*L38^4+'Airfoil 1'!$B$42*L38^5+'Airfoil 1'!$B$43*L38^6)*0+CX38</f>
        <v>1.2713052256532067E-2</v>
      </c>
      <c r="P38" s="16">
        <f>LOG('Airfoil 1'!$F$10)+LOG('Airfoil 1'!$G$10)+LOG('Airfoil 1'!$H$10)</f>
        <v>15.176091259055681</v>
      </c>
      <c r="Q38" s="16">
        <f t="shared" ca="1" si="1"/>
        <v>-5.133222513886718</v>
      </c>
      <c r="R38" s="16">
        <f>LOG('Airfoil 1'!$F$10)^2+LOG('Airfoil 1'!$G$10)^2+LOG('Airfoil 1'!$H$10)^2</f>
        <v>76.867141336751558</v>
      </c>
      <c r="S38" s="16">
        <f ca="1">LOG('Airfoil 1'!$F$10)*LOG(M38)+LOG('Airfoil 1'!$G$10)*LOG(N38)+LOG('Airfoil 1'!$H$10)*LOG(O38)</f>
        <v>-26.041333041174283</v>
      </c>
      <c r="T38" s="16">
        <f t="shared" ca="1" si="7"/>
        <v>154.2521937837034</v>
      </c>
      <c r="U38" s="16">
        <f t="shared" ca="1" si="2"/>
        <v>-0.77081221785869947</v>
      </c>
      <c r="V38" s="42">
        <f ca="1">IF(Energy!$F$11=1,Energy!$T$13,1)*T38*H38^U38</f>
        <v>7.6849095196393517E-3</v>
      </c>
      <c r="W38" s="10">
        <f ca="1">'Airfoil 1'!$B$48+'Airfoil 1'!$B$49*L38+'Airfoil 1'!$B$50*L38^2+'Airfoil 1'!$B$51*L38^3+'Airfoil 1'!$B$52*L38^4+'Airfoil 1'!$B$53*L38^5+'Airfoil 1'!$B$54*L38^6</f>
        <v>-0.155</v>
      </c>
      <c r="X38" s="42">
        <f ca="1">'Airfoil 1'!$B$56+'Airfoil 1'!$B$57*L38+'Airfoil 1'!$B$58*L38^2+'Airfoil 1'!$B$59*L38^3+'Airfoil 1'!$B$60*L38^4+'Airfoil 1'!$B$61*L38^5+'Airfoil 1'!$B$62*L38^6</f>
        <v>-0.155</v>
      </c>
      <c r="Y38" s="42">
        <f ca="1">'Airfoil 1'!$B$64+'Airfoil 1'!$B$65*L38+'Airfoil 1'!$B$66*L38^2+'Airfoil 1'!$B$67*L38^3+'Airfoil 1'!$B$681*L38^4+'Airfoil 1'!$B$69*L38^5+'Airfoil 1'!$B$70*L38^6</f>
        <v>-0.155</v>
      </c>
      <c r="Z38" s="16">
        <f>LOG('Airfoil 1'!$F$10)+LOG('Airfoil 1'!$G$10)+LOG('Airfoil 1'!$H$10)</f>
        <v>15.176091259055681</v>
      </c>
      <c r="AA38" s="16">
        <f t="shared" ca="1" si="3"/>
        <v>-2.4290049054891254</v>
      </c>
      <c r="AB38" s="16">
        <f>LOG('Airfoil 1'!$F$10)^2+LOG('Airfoil 1'!$G$10)^2+LOG('Airfoil 1'!$H$10)^2</f>
        <v>76.867141336751558</v>
      </c>
      <c r="AC38" s="16">
        <f ca="1">LOG('Airfoil 1'!$F$10)*LOG(ABS(W38))+LOG('Airfoil 1'!$G$10)*LOG(ABS(X38))+LOG('Airfoil 1'!$H$10)*LOG(ABS(Y38))</f>
        <v>-12.287600038132297</v>
      </c>
      <c r="AD38" s="16">
        <f t="shared" ca="1" si="4"/>
        <v>0.1550000000000121</v>
      </c>
      <c r="AE38" s="16">
        <f t="shared" ca="1" si="5"/>
        <v>-6.6718325633022456E-15</v>
      </c>
      <c r="AF38" s="42">
        <f t="shared" ca="1" si="6"/>
        <v>-0.15499999999999867</v>
      </c>
      <c r="AG38" s="16"/>
      <c r="AH38" s="42"/>
      <c r="AI38" s="16">
        <f ca="1">(L38-'Airfoil 1'!$Z$22)/ABS(L38-'Airfoil 1'!$Z$22)</f>
        <v>1</v>
      </c>
      <c r="AJ38" s="16">
        <f ca="1">(L38-'Airfoil 1'!$Z$23)/ABS(L38-'Airfoil 1'!$Z$23)</f>
        <v>1</v>
      </c>
      <c r="AK38" s="16">
        <f ca="1">(L38-'Airfoil 1'!$Z$24)/ABS(L38-'Airfoil 1'!$Z$24)</f>
        <v>1</v>
      </c>
      <c r="AL38" s="16">
        <f ca="1">(L38-'Airfoil 1'!$Z$25)/ABS(L38-'Airfoil 1'!$Z$25)</f>
        <v>1</v>
      </c>
      <c r="AM38" s="16">
        <f ca="1">(L38-'Airfoil 1'!$Z$26)/ABS(L38-'Airfoil 1'!$Z$26)</f>
        <v>-1</v>
      </c>
      <c r="AN38" s="16">
        <f ca="1">(L38-'Airfoil 1'!$Z$27)/ABS(L38-'Airfoil 1'!$Z$27)</f>
        <v>-1</v>
      </c>
      <c r="AO38" s="16">
        <f ca="1">(L38-'Airfoil 1'!$Z$28)/ABS(L38-'Airfoil 1'!$Z$28)</f>
        <v>-1</v>
      </c>
      <c r="AP38" s="16">
        <f ca="1">(L38-'Airfoil 1'!$Z$29)/ABS(L38-'Airfoil 1'!$Z$29)</f>
        <v>-1</v>
      </c>
      <c r="AQ38" s="16">
        <f ca="1">(L38-'Airfoil 1'!$Z$30)/ABS(L38-'Airfoil 1'!$Z$30)</f>
        <v>-1</v>
      </c>
      <c r="AR38" s="16">
        <f ca="1">(L38-'Airfoil 1'!$Z$31)/ABS(L38-'Airfoil 1'!$Z$31)</f>
        <v>-1</v>
      </c>
      <c r="AS38" s="16">
        <f ca="1">(L38-'Airfoil 1'!$Z$32)/ABS(L38-'Airfoil 1'!$Z$32)</f>
        <v>-1</v>
      </c>
      <c r="AT38" s="16">
        <f ca="1">(L38-'Airfoil 1'!$Z$33)/ABS(L38-'Airfoil 1'!$Z$33)</f>
        <v>-1</v>
      </c>
      <c r="AU38" s="16">
        <f ca="1">(L38-'Airfoil 1'!$Z$34)/ABS(L38-'Airfoil 1'!$Z$34)</f>
        <v>-1</v>
      </c>
      <c r="AV38" s="16">
        <f ca="1">(L38-'Airfoil 1'!$Z$35)/ABS(L38-'Airfoil 1'!$Z$35)</f>
        <v>-1</v>
      </c>
      <c r="AW38" s="16">
        <f ca="1">(L38-'Airfoil 1'!$Z$36)/ABS(L38-'Airfoil 1'!$Z$36)</f>
        <v>-1</v>
      </c>
      <c r="AX38" s="16">
        <f ca="1">(L38-'Airfoil 1'!$Z$37)/ABS(L38-'Airfoil 1'!$Z$37)</f>
        <v>-1</v>
      </c>
      <c r="AY38" s="16">
        <f ca="1">(L38-'Airfoil 1'!$Z$38)/ABS(L38-'Airfoil 1'!$Z$38)</f>
        <v>-1</v>
      </c>
      <c r="AZ38" s="16">
        <f ca="1">(L38-'Airfoil 1'!$Z$39)/ABS(L38-'Airfoil 1'!$Z$39)</f>
        <v>-1</v>
      </c>
      <c r="BA38" s="16">
        <f ca="1">(L38-'Airfoil 1'!$Z$40)/ABS(L38-'Airfoil 1'!$Z$40)</f>
        <v>-1</v>
      </c>
      <c r="BB38" s="16">
        <f ca="1">(L38-'Airfoil 1'!$Z$41)/ABS(L38-'Airfoil 1'!$Z$41)</f>
        <v>-1</v>
      </c>
      <c r="BC38" s="5">
        <f t="shared" ca="1" si="8"/>
        <v>4</v>
      </c>
      <c r="BD38" s="42">
        <f ca="1">INDEX('Airfoil 1'!$AA$22:$AA$41,BC38,1)+INDEX('Airfoil 1'!$AB$22:$AB$41,BC38,1)*(L38-INDEX('Airfoil 1'!$Z$22:$Z$41,BC38,1))</f>
        <v>2.7263130346232178E-2</v>
      </c>
      <c r="BE38" s="6"/>
      <c r="BF38" s="16">
        <f ca="1">(L38-'Airfoil 1'!$Z$47)/ABS(L38-'Airfoil 1'!$Z$47)</f>
        <v>1</v>
      </c>
      <c r="BG38" s="16">
        <f ca="1">(L38-'Airfoil 1'!$Z$48)/ABS(L38-'Airfoil 1'!$Z$48)</f>
        <v>1</v>
      </c>
      <c r="BH38" s="16">
        <f ca="1">(L38-'Airfoil 1'!$Z$49)/ABS(L38-'Airfoil 1'!$Z$49)</f>
        <v>1</v>
      </c>
      <c r="BI38" s="16">
        <f ca="1">(L38-'Airfoil 1'!$Z$50)/ABS(L38-'Airfoil 1'!$Z$50)</f>
        <v>-1</v>
      </c>
      <c r="BJ38" s="16">
        <f ca="1">(L38-'Airfoil 1'!$Z$51)/ABS(L38-'Airfoil 1'!$Z$51)</f>
        <v>-1</v>
      </c>
      <c r="BK38" s="16">
        <f ca="1">(L38-'Airfoil 1'!$Z$52)/ABS(L38-'Airfoil 1'!$Z$52)</f>
        <v>-1</v>
      </c>
      <c r="BL38" s="16">
        <f ca="1">(L38-'Airfoil 1'!$Z$53)/ABS(L38-'Airfoil 1'!$Z$53)</f>
        <v>-1</v>
      </c>
      <c r="BM38" s="16">
        <f ca="1">(L38-'Airfoil 1'!$Z$54)/ABS(L38-'Airfoil 1'!$Z$54)</f>
        <v>-1</v>
      </c>
      <c r="BN38" s="16">
        <f ca="1">(L38-'Airfoil 1'!$Z$55)/ABS(L38-'Airfoil 1'!$Z$55)</f>
        <v>-1</v>
      </c>
      <c r="BO38" s="16">
        <f ca="1">(L38-'Airfoil 1'!$Z$56)/ABS(L38-'Airfoil 1'!$Z$56)</f>
        <v>-1</v>
      </c>
      <c r="BP38" s="16">
        <f ca="1">(L38-'Airfoil 1'!$Z$57)/ABS(L38-'Airfoil 1'!$Z$57)</f>
        <v>-1</v>
      </c>
      <c r="BQ38" s="16">
        <f ca="1">(L38-'Airfoil 1'!$Z$58)/ABS(L38-'Airfoil 1'!$Z$58)</f>
        <v>-1</v>
      </c>
      <c r="BR38" s="16">
        <f ca="1">(L38-'Airfoil 1'!$Z$59)/ABS(L38-'Airfoil 1'!$Z$59)</f>
        <v>-1</v>
      </c>
      <c r="BS38" s="16">
        <f ca="1">(L38-'Airfoil 1'!$Z$60)/ABS(L38-'Airfoil 1'!$Z$60)</f>
        <v>-1</v>
      </c>
      <c r="BT38" s="16">
        <f ca="1">(L38-'Airfoil 1'!$Z$61)/ABS(L38-'Airfoil 1'!$Z$61)</f>
        <v>-1</v>
      </c>
      <c r="BU38" s="16">
        <f ca="1">(L38-'Airfoil 1'!$Z$62)/ABS(L38-'Airfoil 1'!$Z$62)</f>
        <v>-1</v>
      </c>
      <c r="BV38" s="16">
        <f ca="1">(L38-'Airfoil 1'!$Z$63)/ABS(L38-'Airfoil 1'!$Z$63)</f>
        <v>-1</v>
      </c>
      <c r="BW38" s="16">
        <f ca="1">(L38-'Airfoil 1'!$Z$64)/ABS(L38-'Airfoil 1'!$Z$64)</f>
        <v>-1</v>
      </c>
      <c r="BX38" s="16">
        <f ca="1">(L38-'Airfoil 1'!$Z$65)/ABS(L38-'Airfoil 1'!$Z$65)</f>
        <v>-1</v>
      </c>
      <c r="BY38" s="16">
        <f ca="1">(L38-'Airfoil 1'!$Z$66)/ABS(L38-'Airfoil 1'!$Z$66)</f>
        <v>-1</v>
      </c>
      <c r="BZ38" s="5">
        <f t="shared" ca="1" si="9"/>
        <v>3</v>
      </c>
      <c r="CA38" s="42">
        <f ca="1">INDEX('Airfoil 1'!$AA$47:$AA$66,BZ38,1)+INDEX('Airfoil 1'!$AB$47:$AB$66,BZ38,1)*(L38-INDEX('Airfoil 1'!$Z$47:$Z$66,BZ38,1))</f>
        <v>2.1230094827586206E-2</v>
      </c>
      <c r="CC38" s="16">
        <f ca="1">(L38-'Airfoil 1'!$Z$72)/ABS(L38-'Airfoil 1'!$Z$72)</f>
        <v>1</v>
      </c>
      <c r="CD38" s="16">
        <f ca="1">(L38-'Airfoil 1'!$Z$73)/ABS(L38-'Airfoil 1'!$Z$73)</f>
        <v>-1</v>
      </c>
      <c r="CE38" s="16">
        <f ca="1">(L38-'Airfoil 1'!$Z$74)/ABS(L38-'Airfoil 1'!$Z$74)</f>
        <v>-1</v>
      </c>
      <c r="CF38" s="16">
        <f ca="1">(L38-'Airfoil 1'!$Z$75)/ABS(L38-'Airfoil 1'!$Z$75)</f>
        <v>-1</v>
      </c>
      <c r="CG38" s="16">
        <f ca="1">(L38-'Airfoil 1'!$Z$76)/ABS(L38-'Airfoil 1'!$Z$76)</f>
        <v>-1</v>
      </c>
      <c r="CH38" s="16">
        <f ca="1">(L38-'Airfoil 1'!$Z$77)/ABS(L38-'Airfoil 1'!$Z$77)</f>
        <v>-1</v>
      </c>
      <c r="CI38" s="16">
        <f ca="1">(L38-'Airfoil 1'!$Z$78)/ABS(L38-'Airfoil 1'!$Z$78)</f>
        <v>-1</v>
      </c>
      <c r="CJ38" s="16">
        <f ca="1">(L38-'Airfoil 1'!$Z$79)/ABS(L38-'Airfoil 1'!$Z$79)</f>
        <v>-1</v>
      </c>
      <c r="CK38" s="16">
        <f ca="1">(L38-'Airfoil 1'!$Z$80)/ABS(L38-'Airfoil 1'!$Z$80)</f>
        <v>-1</v>
      </c>
      <c r="CL38" s="16">
        <f ca="1">(L38-'Airfoil 1'!$Z$81)/ABS(L38-'Airfoil 1'!$Z$81)</f>
        <v>-1</v>
      </c>
      <c r="CM38" s="16">
        <f ca="1">(L38-'Airfoil 1'!$Z$82)/ABS(L38-'Airfoil 1'!$Z$82)</f>
        <v>-1</v>
      </c>
      <c r="CN38" s="16">
        <f ca="1">(L38-'Airfoil 1'!$Z$83)/ABS(L38-'Airfoil 1'!$Z$83)</f>
        <v>-1</v>
      </c>
      <c r="CO38" s="16">
        <f ca="1">(L38-'Airfoil 1'!$Z$84)/ABS(L38-'Airfoil 1'!$Z$84)</f>
        <v>-1</v>
      </c>
      <c r="CP38" s="16">
        <f ca="1">(L38-'Airfoil 1'!$Z$85)/ABS(L38-'Airfoil 1'!$Z$85)</f>
        <v>-1</v>
      </c>
      <c r="CQ38" s="16">
        <f ca="1">(L38-'Airfoil 1'!$Z$86)/ABS(L38-'Airfoil 1'!$Z$86)</f>
        <v>-1</v>
      </c>
      <c r="CR38" s="16">
        <f ca="1">(L38-'Airfoil 1'!$Z$87)/ABS(L38-'Airfoil 1'!$Z$87)</f>
        <v>-1</v>
      </c>
      <c r="CS38" s="16">
        <f ca="1">(L38-'Airfoil 1'!$Z$88)/ABS(L38-'Airfoil 1'!$Z$88)</f>
        <v>-1</v>
      </c>
      <c r="CT38" s="16">
        <f ca="1">(L38-'Airfoil 1'!$Z$89)/ABS(L38-'Airfoil 1'!$Z$89)</f>
        <v>-1</v>
      </c>
      <c r="CU38" s="16">
        <f ca="1">(L38-'Airfoil 1'!$Z$90)/ABS(L38-'Airfoil 1'!$Z$90)</f>
        <v>-1</v>
      </c>
      <c r="CV38" s="16">
        <f ca="1">(L38-'Airfoil 1'!$Z$91)/ABS(L38-'Airfoil 1'!$Z$91)</f>
        <v>-1</v>
      </c>
      <c r="CW38" s="5">
        <f t="shared" ca="1" si="10"/>
        <v>1</v>
      </c>
      <c r="CX38" s="42">
        <f ca="1">INDEX('Airfoil 1'!$AA$72:$AA$91,CW38,1)+INDEX('Airfoil 1'!$AB$72:$AB$91,CW38,1)*(L38-INDEX('Airfoil 1'!$Z$72:$Z$91,CW38,1))</f>
        <v>1.2713052256532067E-2</v>
      </c>
    </row>
    <row r="39" spans="2:102">
      <c r="B39" s="31">
        <f>Main!B39</f>
        <v>0.33333333333333326</v>
      </c>
      <c r="D39" s="1">
        <f>Cruise!F39</f>
        <v>0.65969672852566186</v>
      </c>
      <c r="E39" s="4">
        <f>ISA!$R$10</f>
        <v>1.5987591530356481E-5</v>
      </c>
      <c r="G39" s="13">
        <f ca="1">'Aerodynamics-Descent'!H39</f>
        <v>31.096360783221016</v>
      </c>
      <c r="H39" s="5">
        <f t="shared" ca="1" si="0"/>
        <v>427710.19092720037</v>
      </c>
      <c r="I39" s="16">
        <f ca="1">'Airfoil 2'!$K$14*H39^'Airfoil 2'!$L$13</f>
        <v>1.5873092404433795</v>
      </c>
      <c r="J39" s="1">
        <f ca="1">'Airfoil 2'!$K$33*H39^'Airfoil 2'!$L$32</f>
        <v>4.7052223889414728</v>
      </c>
      <c r="K39" s="13">
        <f ca="1">'Airfoil 2'!$K$52*H39^'Airfoil 2'!$L$51</f>
        <v>-10.482530525609471</v>
      </c>
      <c r="L39" s="16">
        <f ca="1">'Aerodynamics-Descent'!W39</f>
        <v>0.45</v>
      </c>
      <c r="M39" s="10">
        <f ca="1">('Airfoil 1'!$B$21+'Airfoil 1'!$B$22*L39+'Airfoil 1'!$B$23*L39^2+'Airfoil 1'!$B$24*L39^3+'Airfoil 1'!$B$25*L39^4+'Airfoil 1'!$B$26*L39^5+'Airfoil 1'!$B$27*L39^6)*0+BD39</f>
        <v>2.7263130346232178E-2</v>
      </c>
      <c r="N39" s="42">
        <f ca="1">('Airfoil 1'!$B$29+'Airfoil 1'!$B$30*L39+'Airfoil 1'!$B$31*L39^2+'Airfoil 1'!$B$32*L39^3+'Airfoil 1'!$B$33*L39^4+'Airfoil 1'!$B$34*L39^5+'Airfoil 1'!$B$35*L39^6)*0+CA39</f>
        <v>2.1230094827586206E-2</v>
      </c>
      <c r="O39" s="42">
        <f ca="1">('Airfoil 1'!$B$37+'Airfoil 1'!$B$38*L39+'Airfoil 1'!$B$39*L39^2+'Airfoil 1'!$B$40*L39^3+'Airfoil 1'!$B$41*L39^4+'Airfoil 1'!$B$42*L39^5+'Airfoil 1'!$B$43*L39^6)*0+CX39</f>
        <v>1.2713052256532067E-2</v>
      </c>
      <c r="P39" s="16">
        <f>LOG('Airfoil 1'!$F$10)+LOG('Airfoil 1'!$G$10)+LOG('Airfoil 1'!$H$10)</f>
        <v>15.176091259055681</v>
      </c>
      <c r="Q39" s="16">
        <f t="shared" ca="1" si="1"/>
        <v>-5.133222513886718</v>
      </c>
      <c r="R39" s="16">
        <f>LOG('Airfoil 1'!$F$10)^2+LOG('Airfoil 1'!$G$10)^2+LOG('Airfoil 1'!$H$10)^2</f>
        <v>76.867141336751558</v>
      </c>
      <c r="S39" s="16">
        <f ca="1">LOG('Airfoil 1'!$F$10)*LOG(M39)+LOG('Airfoil 1'!$G$10)*LOG(N39)+LOG('Airfoil 1'!$H$10)*LOG(O39)</f>
        <v>-26.041333041174283</v>
      </c>
      <c r="T39" s="16">
        <f t="shared" ca="1" si="7"/>
        <v>154.2521937837034</v>
      </c>
      <c r="U39" s="16">
        <f t="shared" ca="1" si="2"/>
        <v>-0.77081221785869947</v>
      </c>
      <c r="V39" s="42">
        <f ca="1">IF(Energy!$F$11=1,Energy!$T$13,1)*T39*H39^U39</f>
        <v>7.7633834349117208E-3</v>
      </c>
      <c r="W39" s="10">
        <f ca="1">'Airfoil 1'!$B$48+'Airfoil 1'!$B$49*L39+'Airfoil 1'!$B$50*L39^2+'Airfoil 1'!$B$51*L39^3+'Airfoil 1'!$B$52*L39^4+'Airfoil 1'!$B$53*L39^5+'Airfoil 1'!$B$54*L39^6</f>
        <v>-0.155</v>
      </c>
      <c r="X39" s="42">
        <f ca="1">'Airfoil 1'!$B$56+'Airfoil 1'!$B$57*L39+'Airfoil 1'!$B$58*L39^2+'Airfoil 1'!$B$59*L39^3+'Airfoil 1'!$B$60*L39^4+'Airfoil 1'!$B$61*L39^5+'Airfoil 1'!$B$62*L39^6</f>
        <v>-0.155</v>
      </c>
      <c r="Y39" s="42">
        <f ca="1">'Airfoil 1'!$B$64+'Airfoil 1'!$B$65*L39+'Airfoil 1'!$B$66*L39^2+'Airfoil 1'!$B$67*L39^3+'Airfoil 1'!$B$681*L39^4+'Airfoil 1'!$B$69*L39^5+'Airfoil 1'!$B$70*L39^6</f>
        <v>-0.155</v>
      </c>
      <c r="Z39" s="16">
        <f>LOG('Airfoil 1'!$F$10)+LOG('Airfoil 1'!$G$10)+LOG('Airfoil 1'!$H$10)</f>
        <v>15.176091259055681</v>
      </c>
      <c r="AA39" s="16">
        <f t="shared" ca="1" si="3"/>
        <v>-2.4290049054891254</v>
      </c>
      <c r="AB39" s="16">
        <f>LOG('Airfoil 1'!$F$10)^2+LOG('Airfoil 1'!$G$10)^2+LOG('Airfoil 1'!$H$10)^2</f>
        <v>76.867141336751558</v>
      </c>
      <c r="AC39" s="16">
        <f ca="1">LOG('Airfoil 1'!$F$10)*LOG(ABS(W39))+LOG('Airfoil 1'!$G$10)*LOG(ABS(X39))+LOG('Airfoil 1'!$H$10)*LOG(ABS(Y39))</f>
        <v>-12.287600038132297</v>
      </c>
      <c r="AD39" s="16">
        <f t="shared" ca="1" si="4"/>
        <v>0.1550000000000121</v>
      </c>
      <c r="AE39" s="16">
        <f t="shared" ca="1" si="5"/>
        <v>-6.6718325633022456E-15</v>
      </c>
      <c r="AF39" s="42">
        <f t="shared" ca="1" si="6"/>
        <v>-0.15499999999999867</v>
      </c>
      <c r="AG39" s="16"/>
      <c r="AH39" s="42"/>
      <c r="AI39" s="16">
        <f ca="1">(L39-'Airfoil 1'!$Z$22)/ABS(L39-'Airfoil 1'!$Z$22)</f>
        <v>1</v>
      </c>
      <c r="AJ39" s="16">
        <f ca="1">(L39-'Airfoil 1'!$Z$23)/ABS(L39-'Airfoil 1'!$Z$23)</f>
        <v>1</v>
      </c>
      <c r="AK39" s="16">
        <f ca="1">(L39-'Airfoil 1'!$Z$24)/ABS(L39-'Airfoil 1'!$Z$24)</f>
        <v>1</v>
      </c>
      <c r="AL39" s="16">
        <f ca="1">(L39-'Airfoil 1'!$Z$25)/ABS(L39-'Airfoil 1'!$Z$25)</f>
        <v>1</v>
      </c>
      <c r="AM39" s="16">
        <f ca="1">(L39-'Airfoil 1'!$Z$26)/ABS(L39-'Airfoil 1'!$Z$26)</f>
        <v>-1</v>
      </c>
      <c r="AN39" s="16">
        <f ca="1">(L39-'Airfoil 1'!$Z$27)/ABS(L39-'Airfoil 1'!$Z$27)</f>
        <v>-1</v>
      </c>
      <c r="AO39" s="16">
        <f ca="1">(L39-'Airfoil 1'!$Z$28)/ABS(L39-'Airfoil 1'!$Z$28)</f>
        <v>-1</v>
      </c>
      <c r="AP39" s="16">
        <f ca="1">(L39-'Airfoil 1'!$Z$29)/ABS(L39-'Airfoil 1'!$Z$29)</f>
        <v>-1</v>
      </c>
      <c r="AQ39" s="16">
        <f ca="1">(L39-'Airfoil 1'!$Z$30)/ABS(L39-'Airfoil 1'!$Z$30)</f>
        <v>-1</v>
      </c>
      <c r="AR39" s="16">
        <f ca="1">(L39-'Airfoil 1'!$Z$31)/ABS(L39-'Airfoil 1'!$Z$31)</f>
        <v>-1</v>
      </c>
      <c r="AS39" s="16">
        <f ca="1">(L39-'Airfoil 1'!$Z$32)/ABS(L39-'Airfoil 1'!$Z$32)</f>
        <v>-1</v>
      </c>
      <c r="AT39" s="16">
        <f ca="1">(L39-'Airfoil 1'!$Z$33)/ABS(L39-'Airfoil 1'!$Z$33)</f>
        <v>-1</v>
      </c>
      <c r="AU39" s="16">
        <f ca="1">(L39-'Airfoil 1'!$Z$34)/ABS(L39-'Airfoil 1'!$Z$34)</f>
        <v>-1</v>
      </c>
      <c r="AV39" s="16">
        <f ca="1">(L39-'Airfoil 1'!$Z$35)/ABS(L39-'Airfoil 1'!$Z$35)</f>
        <v>-1</v>
      </c>
      <c r="AW39" s="16">
        <f ca="1">(L39-'Airfoil 1'!$Z$36)/ABS(L39-'Airfoil 1'!$Z$36)</f>
        <v>-1</v>
      </c>
      <c r="AX39" s="16">
        <f ca="1">(L39-'Airfoil 1'!$Z$37)/ABS(L39-'Airfoil 1'!$Z$37)</f>
        <v>-1</v>
      </c>
      <c r="AY39" s="16">
        <f ca="1">(L39-'Airfoil 1'!$Z$38)/ABS(L39-'Airfoil 1'!$Z$38)</f>
        <v>-1</v>
      </c>
      <c r="AZ39" s="16">
        <f ca="1">(L39-'Airfoil 1'!$Z$39)/ABS(L39-'Airfoil 1'!$Z$39)</f>
        <v>-1</v>
      </c>
      <c r="BA39" s="16">
        <f ca="1">(L39-'Airfoil 1'!$Z$40)/ABS(L39-'Airfoil 1'!$Z$40)</f>
        <v>-1</v>
      </c>
      <c r="BB39" s="16">
        <f ca="1">(L39-'Airfoil 1'!$Z$41)/ABS(L39-'Airfoil 1'!$Z$41)</f>
        <v>-1</v>
      </c>
      <c r="BC39" s="5">
        <f t="shared" ca="1" si="8"/>
        <v>4</v>
      </c>
      <c r="BD39" s="42">
        <f ca="1">INDEX('Airfoil 1'!$AA$22:$AA$41,BC39,1)+INDEX('Airfoil 1'!$AB$22:$AB$41,BC39,1)*(L39-INDEX('Airfoil 1'!$Z$22:$Z$41,BC39,1))</f>
        <v>2.7263130346232178E-2</v>
      </c>
      <c r="BE39" s="6"/>
      <c r="BF39" s="16">
        <f ca="1">(L39-'Airfoil 1'!$Z$47)/ABS(L39-'Airfoil 1'!$Z$47)</f>
        <v>1</v>
      </c>
      <c r="BG39" s="16">
        <f ca="1">(L39-'Airfoil 1'!$Z$48)/ABS(L39-'Airfoil 1'!$Z$48)</f>
        <v>1</v>
      </c>
      <c r="BH39" s="16">
        <f ca="1">(L39-'Airfoil 1'!$Z$49)/ABS(L39-'Airfoil 1'!$Z$49)</f>
        <v>1</v>
      </c>
      <c r="BI39" s="16">
        <f ca="1">(L39-'Airfoil 1'!$Z$50)/ABS(L39-'Airfoil 1'!$Z$50)</f>
        <v>-1</v>
      </c>
      <c r="BJ39" s="16">
        <f ca="1">(L39-'Airfoil 1'!$Z$51)/ABS(L39-'Airfoil 1'!$Z$51)</f>
        <v>-1</v>
      </c>
      <c r="BK39" s="16">
        <f ca="1">(L39-'Airfoil 1'!$Z$52)/ABS(L39-'Airfoil 1'!$Z$52)</f>
        <v>-1</v>
      </c>
      <c r="BL39" s="16">
        <f ca="1">(L39-'Airfoil 1'!$Z$53)/ABS(L39-'Airfoil 1'!$Z$53)</f>
        <v>-1</v>
      </c>
      <c r="BM39" s="16">
        <f ca="1">(L39-'Airfoil 1'!$Z$54)/ABS(L39-'Airfoil 1'!$Z$54)</f>
        <v>-1</v>
      </c>
      <c r="BN39" s="16">
        <f ca="1">(L39-'Airfoil 1'!$Z$55)/ABS(L39-'Airfoil 1'!$Z$55)</f>
        <v>-1</v>
      </c>
      <c r="BO39" s="16">
        <f ca="1">(L39-'Airfoil 1'!$Z$56)/ABS(L39-'Airfoil 1'!$Z$56)</f>
        <v>-1</v>
      </c>
      <c r="BP39" s="16">
        <f ca="1">(L39-'Airfoil 1'!$Z$57)/ABS(L39-'Airfoil 1'!$Z$57)</f>
        <v>-1</v>
      </c>
      <c r="BQ39" s="16">
        <f ca="1">(L39-'Airfoil 1'!$Z$58)/ABS(L39-'Airfoil 1'!$Z$58)</f>
        <v>-1</v>
      </c>
      <c r="BR39" s="16">
        <f ca="1">(L39-'Airfoil 1'!$Z$59)/ABS(L39-'Airfoil 1'!$Z$59)</f>
        <v>-1</v>
      </c>
      <c r="BS39" s="16">
        <f ca="1">(L39-'Airfoil 1'!$Z$60)/ABS(L39-'Airfoil 1'!$Z$60)</f>
        <v>-1</v>
      </c>
      <c r="BT39" s="16">
        <f ca="1">(L39-'Airfoil 1'!$Z$61)/ABS(L39-'Airfoil 1'!$Z$61)</f>
        <v>-1</v>
      </c>
      <c r="BU39" s="16">
        <f ca="1">(L39-'Airfoil 1'!$Z$62)/ABS(L39-'Airfoil 1'!$Z$62)</f>
        <v>-1</v>
      </c>
      <c r="BV39" s="16">
        <f ca="1">(L39-'Airfoil 1'!$Z$63)/ABS(L39-'Airfoil 1'!$Z$63)</f>
        <v>-1</v>
      </c>
      <c r="BW39" s="16">
        <f ca="1">(L39-'Airfoil 1'!$Z$64)/ABS(L39-'Airfoil 1'!$Z$64)</f>
        <v>-1</v>
      </c>
      <c r="BX39" s="16">
        <f ca="1">(L39-'Airfoil 1'!$Z$65)/ABS(L39-'Airfoil 1'!$Z$65)</f>
        <v>-1</v>
      </c>
      <c r="BY39" s="16">
        <f ca="1">(L39-'Airfoil 1'!$Z$66)/ABS(L39-'Airfoil 1'!$Z$66)</f>
        <v>-1</v>
      </c>
      <c r="BZ39" s="5">
        <f t="shared" ca="1" si="9"/>
        <v>3</v>
      </c>
      <c r="CA39" s="42">
        <f ca="1">INDEX('Airfoil 1'!$AA$47:$AA$66,BZ39,1)+INDEX('Airfoil 1'!$AB$47:$AB$66,BZ39,1)*(L39-INDEX('Airfoil 1'!$Z$47:$Z$66,BZ39,1))</f>
        <v>2.1230094827586206E-2</v>
      </c>
      <c r="CC39" s="16">
        <f ca="1">(L39-'Airfoil 1'!$Z$72)/ABS(L39-'Airfoil 1'!$Z$72)</f>
        <v>1</v>
      </c>
      <c r="CD39" s="16">
        <f ca="1">(L39-'Airfoil 1'!$Z$73)/ABS(L39-'Airfoil 1'!$Z$73)</f>
        <v>-1</v>
      </c>
      <c r="CE39" s="16">
        <f ca="1">(L39-'Airfoil 1'!$Z$74)/ABS(L39-'Airfoil 1'!$Z$74)</f>
        <v>-1</v>
      </c>
      <c r="CF39" s="16">
        <f ca="1">(L39-'Airfoil 1'!$Z$75)/ABS(L39-'Airfoil 1'!$Z$75)</f>
        <v>-1</v>
      </c>
      <c r="CG39" s="16">
        <f ca="1">(L39-'Airfoil 1'!$Z$76)/ABS(L39-'Airfoil 1'!$Z$76)</f>
        <v>-1</v>
      </c>
      <c r="CH39" s="16">
        <f ca="1">(L39-'Airfoil 1'!$Z$77)/ABS(L39-'Airfoil 1'!$Z$77)</f>
        <v>-1</v>
      </c>
      <c r="CI39" s="16">
        <f ca="1">(L39-'Airfoil 1'!$Z$78)/ABS(L39-'Airfoil 1'!$Z$78)</f>
        <v>-1</v>
      </c>
      <c r="CJ39" s="16">
        <f ca="1">(L39-'Airfoil 1'!$Z$79)/ABS(L39-'Airfoil 1'!$Z$79)</f>
        <v>-1</v>
      </c>
      <c r="CK39" s="16">
        <f ca="1">(L39-'Airfoil 1'!$Z$80)/ABS(L39-'Airfoil 1'!$Z$80)</f>
        <v>-1</v>
      </c>
      <c r="CL39" s="16">
        <f ca="1">(L39-'Airfoil 1'!$Z$81)/ABS(L39-'Airfoil 1'!$Z$81)</f>
        <v>-1</v>
      </c>
      <c r="CM39" s="16">
        <f ca="1">(L39-'Airfoil 1'!$Z$82)/ABS(L39-'Airfoil 1'!$Z$82)</f>
        <v>-1</v>
      </c>
      <c r="CN39" s="16">
        <f ca="1">(L39-'Airfoil 1'!$Z$83)/ABS(L39-'Airfoil 1'!$Z$83)</f>
        <v>-1</v>
      </c>
      <c r="CO39" s="16">
        <f ca="1">(L39-'Airfoil 1'!$Z$84)/ABS(L39-'Airfoil 1'!$Z$84)</f>
        <v>-1</v>
      </c>
      <c r="CP39" s="16">
        <f ca="1">(L39-'Airfoil 1'!$Z$85)/ABS(L39-'Airfoil 1'!$Z$85)</f>
        <v>-1</v>
      </c>
      <c r="CQ39" s="16">
        <f ca="1">(L39-'Airfoil 1'!$Z$86)/ABS(L39-'Airfoil 1'!$Z$86)</f>
        <v>-1</v>
      </c>
      <c r="CR39" s="16">
        <f ca="1">(L39-'Airfoil 1'!$Z$87)/ABS(L39-'Airfoil 1'!$Z$87)</f>
        <v>-1</v>
      </c>
      <c r="CS39" s="16">
        <f ca="1">(L39-'Airfoil 1'!$Z$88)/ABS(L39-'Airfoil 1'!$Z$88)</f>
        <v>-1</v>
      </c>
      <c r="CT39" s="16">
        <f ca="1">(L39-'Airfoil 1'!$Z$89)/ABS(L39-'Airfoil 1'!$Z$89)</f>
        <v>-1</v>
      </c>
      <c r="CU39" s="16">
        <f ca="1">(L39-'Airfoil 1'!$Z$90)/ABS(L39-'Airfoil 1'!$Z$90)</f>
        <v>-1</v>
      </c>
      <c r="CV39" s="16">
        <f ca="1">(L39-'Airfoil 1'!$Z$91)/ABS(L39-'Airfoil 1'!$Z$91)</f>
        <v>-1</v>
      </c>
      <c r="CW39" s="5">
        <f t="shared" ca="1" si="10"/>
        <v>1</v>
      </c>
      <c r="CX39" s="42">
        <f ca="1">INDEX('Airfoil 1'!$AA$72:$AA$91,CW39,1)+INDEX('Airfoil 1'!$AB$72:$AB$91,CW39,1)*(L39-INDEX('Airfoil 1'!$Z$72:$Z$91,CW39,1))</f>
        <v>1.2713052256532067E-2</v>
      </c>
    </row>
    <row r="40" spans="2:102">
      <c r="B40" s="31">
        <f>Main!B40</f>
        <v>0.33333333333333326</v>
      </c>
      <c r="D40" s="1">
        <f>Cruise!F40</f>
        <v>0.65969672852566186</v>
      </c>
      <c r="E40" s="4">
        <f>ISA!$R$10</f>
        <v>1.5987591530356481E-5</v>
      </c>
      <c r="G40" s="13">
        <f ca="1">'Aerodynamics-Descent'!H40</f>
        <v>27.939925689210312</v>
      </c>
      <c r="H40" s="5">
        <f t="shared" ca="1" si="0"/>
        <v>384295.48185175488</v>
      </c>
      <c r="I40" s="16">
        <f ca="1">'Airfoil 2'!$K$14*H40^'Airfoil 2'!$L$13</f>
        <v>1.5849492083235193</v>
      </c>
      <c r="J40" s="1">
        <f ca="1">'Airfoil 2'!$K$33*H40^'Airfoil 2'!$L$32</f>
        <v>4.8776981631217238</v>
      </c>
      <c r="K40" s="13">
        <f ca="1">'Airfoil 2'!$K$52*H40^'Airfoil 2'!$L$51</f>
        <v>-9.7584250094701712</v>
      </c>
      <c r="L40" s="16">
        <f ca="1">'Aerodynamics-Descent'!W40</f>
        <v>0.45</v>
      </c>
      <c r="M40" s="10">
        <f ca="1">('Airfoil 1'!$B$21+'Airfoil 1'!$B$22*L40+'Airfoil 1'!$B$23*L40^2+'Airfoil 1'!$B$24*L40^3+'Airfoil 1'!$B$25*L40^4+'Airfoil 1'!$B$26*L40^5+'Airfoil 1'!$B$27*L40^6)*0+BD40</f>
        <v>2.7263130346232178E-2</v>
      </c>
      <c r="N40" s="42">
        <f ca="1">('Airfoil 1'!$B$29+'Airfoil 1'!$B$30*L40+'Airfoil 1'!$B$31*L40^2+'Airfoil 1'!$B$32*L40^3+'Airfoil 1'!$B$33*L40^4+'Airfoil 1'!$B$34*L40^5+'Airfoil 1'!$B$35*L40^6)*0+CA40</f>
        <v>2.1230094827586206E-2</v>
      </c>
      <c r="O40" s="42">
        <f ca="1">('Airfoil 1'!$B$37+'Airfoil 1'!$B$38*L40+'Airfoil 1'!$B$39*L40^2+'Airfoil 1'!$B$40*L40^3+'Airfoil 1'!$B$41*L40^4+'Airfoil 1'!$B$42*L40^5+'Airfoil 1'!$B$43*L40^6)*0+CX40</f>
        <v>1.2713052256532067E-2</v>
      </c>
      <c r="P40" s="16">
        <f>LOG('Airfoil 1'!$F$10)+LOG('Airfoil 1'!$G$10)+LOG('Airfoil 1'!$H$10)</f>
        <v>15.176091259055681</v>
      </c>
      <c r="Q40" s="16">
        <f t="shared" ca="1" si="1"/>
        <v>-5.133222513886718</v>
      </c>
      <c r="R40" s="16">
        <f>LOG('Airfoil 1'!$F$10)^2+LOG('Airfoil 1'!$G$10)^2+LOG('Airfoil 1'!$H$10)^2</f>
        <v>76.867141336751558</v>
      </c>
      <c r="S40" s="16">
        <f ca="1">LOG('Airfoil 1'!$F$10)*LOG(M40)+LOG('Airfoil 1'!$G$10)*LOG(N40)+LOG('Airfoil 1'!$H$10)*LOG(O40)</f>
        <v>-26.041333041174283</v>
      </c>
      <c r="T40" s="16">
        <f t="shared" ca="1" si="7"/>
        <v>154.2521937837034</v>
      </c>
      <c r="U40" s="16">
        <f t="shared" ca="1" si="2"/>
        <v>-0.77081221785869947</v>
      </c>
      <c r="V40" s="42">
        <f ca="1">IF(Energy!$F$11=1,Energy!$T$13,1)*T40*H40^U40</f>
        <v>8.4310510337360107E-3</v>
      </c>
      <c r="W40" s="10">
        <f ca="1">'Airfoil 1'!$B$48+'Airfoil 1'!$B$49*L40+'Airfoil 1'!$B$50*L40^2+'Airfoil 1'!$B$51*L40^3+'Airfoil 1'!$B$52*L40^4+'Airfoil 1'!$B$53*L40^5+'Airfoil 1'!$B$54*L40^6</f>
        <v>-0.155</v>
      </c>
      <c r="X40" s="42">
        <f ca="1">'Airfoil 1'!$B$56+'Airfoil 1'!$B$57*L40+'Airfoil 1'!$B$58*L40^2+'Airfoil 1'!$B$59*L40^3+'Airfoil 1'!$B$60*L40^4+'Airfoil 1'!$B$61*L40^5+'Airfoil 1'!$B$62*L40^6</f>
        <v>-0.155</v>
      </c>
      <c r="Y40" s="42">
        <f ca="1">'Airfoil 1'!$B$64+'Airfoil 1'!$B$65*L40+'Airfoil 1'!$B$66*L40^2+'Airfoil 1'!$B$67*L40^3+'Airfoil 1'!$B$681*L40^4+'Airfoil 1'!$B$69*L40^5+'Airfoil 1'!$B$70*L40^6</f>
        <v>-0.155</v>
      </c>
      <c r="Z40" s="16">
        <f>LOG('Airfoil 1'!$F$10)+LOG('Airfoil 1'!$G$10)+LOG('Airfoil 1'!$H$10)</f>
        <v>15.176091259055681</v>
      </c>
      <c r="AA40" s="16">
        <f t="shared" ca="1" si="3"/>
        <v>-2.4290049054891254</v>
      </c>
      <c r="AB40" s="16">
        <f>LOG('Airfoil 1'!$F$10)^2+LOG('Airfoil 1'!$G$10)^2+LOG('Airfoil 1'!$H$10)^2</f>
        <v>76.867141336751558</v>
      </c>
      <c r="AC40" s="16">
        <f ca="1">LOG('Airfoil 1'!$F$10)*LOG(ABS(W40))+LOG('Airfoil 1'!$G$10)*LOG(ABS(X40))+LOG('Airfoil 1'!$H$10)*LOG(ABS(Y40))</f>
        <v>-12.287600038132297</v>
      </c>
      <c r="AD40" s="16">
        <f t="shared" ca="1" si="4"/>
        <v>0.1550000000000121</v>
      </c>
      <c r="AE40" s="16">
        <f t="shared" ca="1" si="5"/>
        <v>-6.6718325633022456E-15</v>
      </c>
      <c r="AF40" s="42">
        <f t="shared" ca="1" si="6"/>
        <v>-0.15499999999999881</v>
      </c>
      <c r="AG40" s="16"/>
      <c r="AH40" s="42"/>
      <c r="AI40" s="16">
        <f ca="1">(L40-'Airfoil 1'!$Z$22)/ABS(L40-'Airfoil 1'!$Z$22)</f>
        <v>1</v>
      </c>
      <c r="AJ40" s="16">
        <f ca="1">(L40-'Airfoil 1'!$Z$23)/ABS(L40-'Airfoil 1'!$Z$23)</f>
        <v>1</v>
      </c>
      <c r="AK40" s="16">
        <f ca="1">(L40-'Airfoil 1'!$Z$24)/ABS(L40-'Airfoil 1'!$Z$24)</f>
        <v>1</v>
      </c>
      <c r="AL40" s="16">
        <f ca="1">(L40-'Airfoil 1'!$Z$25)/ABS(L40-'Airfoil 1'!$Z$25)</f>
        <v>1</v>
      </c>
      <c r="AM40" s="16">
        <f ca="1">(L40-'Airfoil 1'!$Z$26)/ABS(L40-'Airfoil 1'!$Z$26)</f>
        <v>-1</v>
      </c>
      <c r="AN40" s="16">
        <f ca="1">(L40-'Airfoil 1'!$Z$27)/ABS(L40-'Airfoil 1'!$Z$27)</f>
        <v>-1</v>
      </c>
      <c r="AO40" s="16">
        <f ca="1">(L40-'Airfoil 1'!$Z$28)/ABS(L40-'Airfoil 1'!$Z$28)</f>
        <v>-1</v>
      </c>
      <c r="AP40" s="16">
        <f ca="1">(L40-'Airfoil 1'!$Z$29)/ABS(L40-'Airfoil 1'!$Z$29)</f>
        <v>-1</v>
      </c>
      <c r="AQ40" s="16">
        <f ca="1">(L40-'Airfoil 1'!$Z$30)/ABS(L40-'Airfoil 1'!$Z$30)</f>
        <v>-1</v>
      </c>
      <c r="AR40" s="16">
        <f ca="1">(L40-'Airfoil 1'!$Z$31)/ABS(L40-'Airfoil 1'!$Z$31)</f>
        <v>-1</v>
      </c>
      <c r="AS40" s="16">
        <f ca="1">(L40-'Airfoil 1'!$Z$32)/ABS(L40-'Airfoil 1'!$Z$32)</f>
        <v>-1</v>
      </c>
      <c r="AT40" s="16">
        <f ca="1">(L40-'Airfoil 1'!$Z$33)/ABS(L40-'Airfoil 1'!$Z$33)</f>
        <v>-1</v>
      </c>
      <c r="AU40" s="16">
        <f ca="1">(L40-'Airfoil 1'!$Z$34)/ABS(L40-'Airfoil 1'!$Z$34)</f>
        <v>-1</v>
      </c>
      <c r="AV40" s="16">
        <f ca="1">(L40-'Airfoil 1'!$Z$35)/ABS(L40-'Airfoil 1'!$Z$35)</f>
        <v>-1</v>
      </c>
      <c r="AW40" s="16">
        <f ca="1">(L40-'Airfoil 1'!$Z$36)/ABS(L40-'Airfoil 1'!$Z$36)</f>
        <v>-1</v>
      </c>
      <c r="AX40" s="16">
        <f ca="1">(L40-'Airfoil 1'!$Z$37)/ABS(L40-'Airfoil 1'!$Z$37)</f>
        <v>-1</v>
      </c>
      <c r="AY40" s="16">
        <f ca="1">(L40-'Airfoil 1'!$Z$38)/ABS(L40-'Airfoil 1'!$Z$38)</f>
        <v>-1</v>
      </c>
      <c r="AZ40" s="16">
        <f ca="1">(L40-'Airfoil 1'!$Z$39)/ABS(L40-'Airfoil 1'!$Z$39)</f>
        <v>-1</v>
      </c>
      <c r="BA40" s="16">
        <f ca="1">(L40-'Airfoil 1'!$Z$40)/ABS(L40-'Airfoil 1'!$Z$40)</f>
        <v>-1</v>
      </c>
      <c r="BB40" s="16">
        <f ca="1">(L40-'Airfoil 1'!$Z$41)/ABS(L40-'Airfoil 1'!$Z$41)</f>
        <v>-1</v>
      </c>
      <c r="BC40" s="5">
        <f t="shared" ca="1" si="8"/>
        <v>4</v>
      </c>
      <c r="BD40" s="42">
        <f ca="1">INDEX('Airfoil 1'!$AA$22:$AA$41,BC40,1)+INDEX('Airfoil 1'!$AB$22:$AB$41,BC40,1)*(L40-INDEX('Airfoil 1'!$Z$22:$Z$41,BC40,1))</f>
        <v>2.7263130346232178E-2</v>
      </c>
      <c r="BE40" s="6"/>
      <c r="BF40" s="16">
        <f ca="1">(L40-'Airfoil 1'!$Z$47)/ABS(L40-'Airfoil 1'!$Z$47)</f>
        <v>1</v>
      </c>
      <c r="BG40" s="16">
        <f ca="1">(L40-'Airfoil 1'!$Z$48)/ABS(L40-'Airfoil 1'!$Z$48)</f>
        <v>1</v>
      </c>
      <c r="BH40" s="16">
        <f ca="1">(L40-'Airfoil 1'!$Z$49)/ABS(L40-'Airfoil 1'!$Z$49)</f>
        <v>1</v>
      </c>
      <c r="BI40" s="16">
        <f ca="1">(L40-'Airfoil 1'!$Z$50)/ABS(L40-'Airfoil 1'!$Z$50)</f>
        <v>-1</v>
      </c>
      <c r="BJ40" s="16">
        <f ca="1">(L40-'Airfoil 1'!$Z$51)/ABS(L40-'Airfoil 1'!$Z$51)</f>
        <v>-1</v>
      </c>
      <c r="BK40" s="16">
        <f ca="1">(L40-'Airfoil 1'!$Z$52)/ABS(L40-'Airfoil 1'!$Z$52)</f>
        <v>-1</v>
      </c>
      <c r="BL40" s="16">
        <f ca="1">(L40-'Airfoil 1'!$Z$53)/ABS(L40-'Airfoil 1'!$Z$53)</f>
        <v>-1</v>
      </c>
      <c r="BM40" s="16">
        <f ca="1">(L40-'Airfoil 1'!$Z$54)/ABS(L40-'Airfoil 1'!$Z$54)</f>
        <v>-1</v>
      </c>
      <c r="BN40" s="16">
        <f ca="1">(L40-'Airfoil 1'!$Z$55)/ABS(L40-'Airfoil 1'!$Z$55)</f>
        <v>-1</v>
      </c>
      <c r="BO40" s="16">
        <f ca="1">(L40-'Airfoil 1'!$Z$56)/ABS(L40-'Airfoil 1'!$Z$56)</f>
        <v>-1</v>
      </c>
      <c r="BP40" s="16">
        <f ca="1">(L40-'Airfoil 1'!$Z$57)/ABS(L40-'Airfoil 1'!$Z$57)</f>
        <v>-1</v>
      </c>
      <c r="BQ40" s="16">
        <f ca="1">(L40-'Airfoil 1'!$Z$58)/ABS(L40-'Airfoil 1'!$Z$58)</f>
        <v>-1</v>
      </c>
      <c r="BR40" s="16">
        <f ca="1">(L40-'Airfoil 1'!$Z$59)/ABS(L40-'Airfoil 1'!$Z$59)</f>
        <v>-1</v>
      </c>
      <c r="BS40" s="16">
        <f ca="1">(L40-'Airfoil 1'!$Z$60)/ABS(L40-'Airfoil 1'!$Z$60)</f>
        <v>-1</v>
      </c>
      <c r="BT40" s="16">
        <f ca="1">(L40-'Airfoil 1'!$Z$61)/ABS(L40-'Airfoil 1'!$Z$61)</f>
        <v>-1</v>
      </c>
      <c r="BU40" s="16">
        <f ca="1">(L40-'Airfoil 1'!$Z$62)/ABS(L40-'Airfoil 1'!$Z$62)</f>
        <v>-1</v>
      </c>
      <c r="BV40" s="16">
        <f ca="1">(L40-'Airfoil 1'!$Z$63)/ABS(L40-'Airfoil 1'!$Z$63)</f>
        <v>-1</v>
      </c>
      <c r="BW40" s="16">
        <f ca="1">(L40-'Airfoil 1'!$Z$64)/ABS(L40-'Airfoil 1'!$Z$64)</f>
        <v>-1</v>
      </c>
      <c r="BX40" s="16">
        <f ca="1">(L40-'Airfoil 1'!$Z$65)/ABS(L40-'Airfoil 1'!$Z$65)</f>
        <v>-1</v>
      </c>
      <c r="BY40" s="16">
        <f ca="1">(L40-'Airfoil 1'!$Z$66)/ABS(L40-'Airfoil 1'!$Z$66)</f>
        <v>-1</v>
      </c>
      <c r="BZ40" s="5">
        <f t="shared" ca="1" si="9"/>
        <v>3</v>
      </c>
      <c r="CA40" s="42">
        <f ca="1">INDEX('Airfoil 1'!$AA$47:$AA$66,BZ40,1)+INDEX('Airfoil 1'!$AB$47:$AB$66,BZ40,1)*(L40-INDEX('Airfoil 1'!$Z$47:$Z$66,BZ40,1))</f>
        <v>2.1230094827586206E-2</v>
      </c>
      <c r="CC40" s="16">
        <f ca="1">(L40-'Airfoil 1'!$Z$72)/ABS(L40-'Airfoil 1'!$Z$72)</f>
        <v>1</v>
      </c>
      <c r="CD40" s="16">
        <f ca="1">(L40-'Airfoil 1'!$Z$73)/ABS(L40-'Airfoil 1'!$Z$73)</f>
        <v>-1</v>
      </c>
      <c r="CE40" s="16">
        <f ca="1">(L40-'Airfoil 1'!$Z$74)/ABS(L40-'Airfoil 1'!$Z$74)</f>
        <v>-1</v>
      </c>
      <c r="CF40" s="16">
        <f ca="1">(L40-'Airfoil 1'!$Z$75)/ABS(L40-'Airfoil 1'!$Z$75)</f>
        <v>-1</v>
      </c>
      <c r="CG40" s="16">
        <f ca="1">(L40-'Airfoil 1'!$Z$76)/ABS(L40-'Airfoil 1'!$Z$76)</f>
        <v>-1</v>
      </c>
      <c r="CH40" s="16">
        <f ca="1">(L40-'Airfoil 1'!$Z$77)/ABS(L40-'Airfoil 1'!$Z$77)</f>
        <v>-1</v>
      </c>
      <c r="CI40" s="16">
        <f ca="1">(L40-'Airfoil 1'!$Z$78)/ABS(L40-'Airfoil 1'!$Z$78)</f>
        <v>-1</v>
      </c>
      <c r="CJ40" s="16">
        <f ca="1">(L40-'Airfoil 1'!$Z$79)/ABS(L40-'Airfoil 1'!$Z$79)</f>
        <v>-1</v>
      </c>
      <c r="CK40" s="16">
        <f ca="1">(L40-'Airfoil 1'!$Z$80)/ABS(L40-'Airfoil 1'!$Z$80)</f>
        <v>-1</v>
      </c>
      <c r="CL40" s="16">
        <f ca="1">(L40-'Airfoil 1'!$Z$81)/ABS(L40-'Airfoil 1'!$Z$81)</f>
        <v>-1</v>
      </c>
      <c r="CM40" s="16">
        <f ca="1">(L40-'Airfoil 1'!$Z$82)/ABS(L40-'Airfoil 1'!$Z$82)</f>
        <v>-1</v>
      </c>
      <c r="CN40" s="16">
        <f ca="1">(L40-'Airfoil 1'!$Z$83)/ABS(L40-'Airfoil 1'!$Z$83)</f>
        <v>-1</v>
      </c>
      <c r="CO40" s="16">
        <f ca="1">(L40-'Airfoil 1'!$Z$84)/ABS(L40-'Airfoil 1'!$Z$84)</f>
        <v>-1</v>
      </c>
      <c r="CP40" s="16">
        <f ca="1">(L40-'Airfoil 1'!$Z$85)/ABS(L40-'Airfoil 1'!$Z$85)</f>
        <v>-1</v>
      </c>
      <c r="CQ40" s="16">
        <f ca="1">(L40-'Airfoil 1'!$Z$86)/ABS(L40-'Airfoil 1'!$Z$86)</f>
        <v>-1</v>
      </c>
      <c r="CR40" s="16">
        <f ca="1">(L40-'Airfoil 1'!$Z$87)/ABS(L40-'Airfoil 1'!$Z$87)</f>
        <v>-1</v>
      </c>
      <c r="CS40" s="16">
        <f ca="1">(L40-'Airfoil 1'!$Z$88)/ABS(L40-'Airfoil 1'!$Z$88)</f>
        <v>-1</v>
      </c>
      <c r="CT40" s="16">
        <f ca="1">(L40-'Airfoil 1'!$Z$89)/ABS(L40-'Airfoil 1'!$Z$89)</f>
        <v>-1</v>
      </c>
      <c r="CU40" s="16">
        <f ca="1">(L40-'Airfoil 1'!$Z$90)/ABS(L40-'Airfoil 1'!$Z$90)</f>
        <v>-1</v>
      </c>
      <c r="CV40" s="16">
        <f ca="1">(L40-'Airfoil 1'!$Z$91)/ABS(L40-'Airfoil 1'!$Z$91)</f>
        <v>-1</v>
      </c>
      <c r="CW40" s="5">
        <f t="shared" ca="1" si="10"/>
        <v>1</v>
      </c>
      <c r="CX40" s="42">
        <f ca="1">INDEX('Airfoil 1'!$AA$72:$AA$91,CW40,1)+INDEX('Airfoil 1'!$AB$72:$AB$91,CW40,1)*(L40-INDEX('Airfoil 1'!$Z$72:$Z$91,CW40,1))</f>
        <v>1.2713052256532067E-2</v>
      </c>
    </row>
    <row r="41" spans="2:102"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</row>
    <row r="42" spans="2:102">
      <c r="D42" s="4"/>
    </row>
    <row r="44" spans="2:102">
      <c r="I44" s="14"/>
      <c r="M44" s="1"/>
      <c r="N44" s="1"/>
      <c r="O44" s="1"/>
      <c r="P44" s="1"/>
    </row>
    <row r="45" spans="2:102">
      <c r="I45" s="14"/>
    </row>
    <row r="46" spans="2:102">
      <c r="I46" s="14"/>
    </row>
    <row r="47" spans="2:102">
      <c r="I47" s="14"/>
    </row>
    <row r="48" spans="2:102">
      <c r="I48" s="14"/>
    </row>
    <row r="49" spans="9:9">
      <c r="I49" s="14"/>
    </row>
    <row r="50" spans="9:9">
      <c r="I50" s="14"/>
    </row>
    <row r="51" spans="9:9">
      <c r="I51" s="14"/>
    </row>
    <row r="52" spans="9:9">
      <c r="I52" s="14"/>
    </row>
    <row r="53" spans="9:9">
      <c r="I53" s="14"/>
    </row>
    <row r="54" spans="9:9">
      <c r="I54" s="14"/>
    </row>
    <row r="55" spans="9:9">
      <c r="I55" s="14"/>
    </row>
    <row r="56" spans="9:9">
      <c r="I56" s="14"/>
    </row>
    <row r="57" spans="9:9">
      <c r="I57" s="14"/>
    </row>
    <row r="58" spans="9:9">
      <c r="I58" s="14"/>
    </row>
    <row r="59" spans="9:9">
      <c r="I59" s="14"/>
    </row>
    <row r="60" spans="9:9">
      <c r="I60" s="14"/>
    </row>
    <row r="61" spans="9:9">
      <c r="I61" s="14"/>
    </row>
    <row r="62" spans="9:9">
      <c r="I62" s="14"/>
    </row>
    <row r="63" spans="9:9">
      <c r="I63" s="14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W63"/>
  <sheetViews>
    <sheetView topLeftCell="S4" zoomScale="110" zoomScaleNormal="110" workbookViewId="0">
      <selection activeCell="I21" sqref="I21"/>
    </sheetView>
  </sheetViews>
  <sheetFormatPr defaultRowHeight="12.75"/>
  <cols>
    <col min="25" max="25" width="9.5703125" bestFit="1" customWidth="1"/>
    <col min="44" max="44" width="9.42578125" customWidth="1"/>
  </cols>
  <sheetData>
    <row r="1" spans="1:75">
      <c r="A1" s="17" t="s">
        <v>392</v>
      </c>
    </row>
    <row r="3" spans="1:75">
      <c r="A3" t="s">
        <v>270</v>
      </c>
    </row>
    <row r="4" spans="1:75">
      <c r="A4" s="17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</row>
    <row r="5" spans="1:75">
      <c r="A5" t="s">
        <v>367</v>
      </c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</row>
    <row r="6" spans="1:75">
      <c r="A6" s="3" t="s">
        <v>477</v>
      </c>
      <c r="B6" s="12">
        <v>0</v>
      </c>
      <c r="D6" t="s">
        <v>478</v>
      </c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</row>
    <row r="7" spans="1:75">
      <c r="A7" s="46" t="s">
        <v>480</v>
      </c>
      <c r="B7" s="1">
        <f>1+1.9*B6</f>
        <v>1</v>
      </c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</row>
    <row r="8" spans="1:75">
      <c r="A8" s="46" t="s">
        <v>539</v>
      </c>
      <c r="B8" s="12">
        <v>1.1499999999999999</v>
      </c>
      <c r="D8" t="s">
        <v>540</v>
      </c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</row>
    <row r="9" spans="1:75">
      <c r="A9" s="17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</row>
    <row r="10" spans="1:75"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</row>
    <row r="11" spans="1:75"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</row>
    <row r="12" spans="1:75"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</row>
    <row r="13" spans="1:75"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</row>
    <row r="14" spans="1:75">
      <c r="AA14" s="6"/>
      <c r="AB14" s="6"/>
      <c r="AC14" s="6"/>
      <c r="AD14" s="6"/>
      <c r="AE14" s="6"/>
      <c r="AF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</row>
    <row r="15" spans="1:75">
      <c r="B15" t="s">
        <v>273</v>
      </c>
      <c r="AA15" s="6"/>
      <c r="AB15" s="6"/>
      <c r="AC15" s="6"/>
      <c r="AD15" s="6"/>
      <c r="AE15" s="6"/>
      <c r="AF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</row>
    <row r="16" spans="1:75">
      <c r="E16" t="s">
        <v>367</v>
      </c>
      <c r="N16" t="s">
        <v>393</v>
      </c>
      <c r="AA16" s="6" t="s">
        <v>44</v>
      </c>
      <c r="AB16" s="6"/>
      <c r="AC16" s="6"/>
      <c r="AD16" s="6"/>
      <c r="AE16" s="6"/>
      <c r="AH16" s="6"/>
      <c r="AI16" s="6"/>
      <c r="AJ16" s="6"/>
      <c r="AK16" s="6" t="s">
        <v>46</v>
      </c>
      <c r="AL16" s="6"/>
      <c r="AM16" s="6"/>
      <c r="AN16" s="6"/>
      <c r="AO16" s="6"/>
      <c r="AR16" s="6"/>
      <c r="AS16" s="6"/>
      <c r="AT16" s="6"/>
      <c r="AU16" s="6" t="s">
        <v>417</v>
      </c>
      <c r="AV16" s="6"/>
      <c r="AW16" s="6"/>
      <c r="AX16" s="6"/>
      <c r="AY16" s="6"/>
      <c r="AZ16" s="6"/>
      <c r="BA16" s="6"/>
      <c r="BB16" s="42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</row>
    <row r="17" spans="2:75">
      <c r="AA17" s="6"/>
      <c r="AB17" s="6"/>
      <c r="AC17" s="6"/>
      <c r="AD17" s="6"/>
      <c r="AE17" s="6"/>
      <c r="AH17" s="6"/>
      <c r="AI17" s="6"/>
      <c r="AJ17" s="6"/>
      <c r="AK17" s="6"/>
      <c r="AL17" s="6"/>
      <c r="AM17" s="6"/>
      <c r="AN17" s="6"/>
      <c r="AO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</row>
    <row r="18" spans="2:75">
      <c r="B18" s="9" t="s">
        <v>29</v>
      </c>
      <c r="C18" s="9" t="s">
        <v>31</v>
      </c>
      <c r="E18" s="9" t="s">
        <v>281</v>
      </c>
      <c r="F18" s="9" t="s">
        <v>280</v>
      </c>
      <c r="G18" s="9" t="s">
        <v>282</v>
      </c>
      <c r="H18" s="9" t="s">
        <v>100</v>
      </c>
      <c r="I18" s="9" t="s">
        <v>479</v>
      </c>
      <c r="J18" s="47" t="s">
        <v>481</v>
      </c>
      <c r="K18" s="9" t="s">
        <v>396</v>
      </c>
      <c r="L18" s="47" t="s">
        <v>482</v>
      </c>
      <c r="M18" s="9" t="s">
        <v>402</v>
      </c>
      <c r="N18" s="9" t="s">
        <v>394</v>
      </c>
      <c r="O18" s="9" t="s">
        <v>395</v>
      </c>
      <c r="P18" s="9" t="s">
        <v>397</v>
      </c>
      <c r="Q18" s="9" t="s">
        <v>398</v>
      </c>
      <c r="R18" s="9" t="s">
        <v>110</v>
      </c>
      <c r="S18" s="9" t="s">
        <v>399</v>
      </c>
      <c r="T18" s="9" t="s">
        <v>403</v>
      </c>
      <c r="U18" s="9" t="s">
        <v>396</v>
      </c>
      <c r="V18" s="9" t="s">
        <v>400</v>
      </c>
      <c r="W18" s="9" t="s">
        <v>401</v>
      </c>
      <c r="X18" s="9" t="s">
        <v>402</v>
      </c>
      <c r="Y18" s="9" t="s">
        <v>404</v>
      </c>
      <c r="Z18" s="9" t="s">
        <v>405</v>
      </c>
      <c r="AA18" s="23" t="s">
        <v>407</v>
      </c>
      <c r="AB18" s="23" t="s">
        <v>408</v>
      </c>
      <c r="AC18" s="23" t="s">
        <v>45</v>
      </c>
      <c r="AD18" s="23" t="s">
        <v>69</v>
      </c>
      <c r="AE18" s="23" t="s">
        <v>409</v>
      </c>
      <c r="AF18" s="9" t="s">
        <v>396</v>
      </c>
      <c r="AG18" s="9" t="s">
        <v>415</v>
      </c>
      <c r="AH18" s="9" t="s">
        <v>325</v>
      </c>
      <c r="AI18" s="9" t="s">
        <v>401</v>
      </c>
      <c r="AJ18" s="9" t="s">
        <v>402</v>
      </c>
      <c r="AK18" s="23" t="s">
        <v>412</v>
      </c>
      <c r="AL18" s="23" t="s">
        <v>413</v>
      </c>
      <c r="AM18" s="23" t="s">
        <v>47</v>
      </c>
      <c r="AN18" s="23" t="s">
        <v>173</v>
      </c>
      <c r="AO18" s="23" t="s">
        <v>414</v>
      </c>
      <c r="AP18" s="9" t="s">
        <v>396</v>
      </c>
      <c r="AQ18" s="9" t="s">
        <v>416</v>
      </c>
      <c r="AR18" s="9" t="s">
        <v>325</v>
      </c>
      <c r="AS18" s="9" t="s">
        <v>401</v>
      </c>
      <c r="AT18" s="9" t="s">
        <v>402</v>
      </c>
      <c r="AU18" s="23" t="s">
        <v>418</v>
      </c>
      <c r="AV18" s="6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6"/>
      <c r="BH18" s="6"/>
      <c r="BI18" s="23"/>
      <c r="BJ18" s="23"/>
      <c r="BK18" s="6"/>
      <c r="BL18" s="23"/>
      <c r="BM18" s="23"/>
      <c r="BN18" s="23"/>
      <c r="BO18" s="6"/>
      <c r="BP18" s="23"/>
      <c r="BQ18" s="23"/>
      <c r="BR18" s="23"/>
      <c r="BS18" s="6"/>
      <c r="BT18" s="6"/>
      <c r="BU18" s="6"/>
      <c r="BV18" s="6"/>
      <c r="BW18" s="6"/>
    </row>
    <row r="19" spans="2:75">
      <c r="B19" s="9" t="s">
        <v>30</v>
      </c>
      <c r="C19" s="9" t="s">
        <v>32</v>
      </c>
      <c r="E19" s="9" t="s">
        <v>4</v>
      </c>
      <c r="F19" s="9" t="s">
        <v>4</v>
      </c>
      <c r="G19" s="9" t="s">
        <v>43</v>
      </c>
      <c r="J19" s="48" t="s">
        <v>43</v>
      </c>
      <c r="K19" s="9" t="s">
        <v>4</v>
      </c>
      <c r="L19" s="9"/>
      <c r="M19" s="9"/>
      <c r="N19" s="9" t="s">
        <v>4</v>
      </c>
      <c r="O19" s="9" t="s">
        <v>4</v>
      </c>
      <c r="P19" s="9" t="s">
        <v>4</v>
      </c>
      <c r="Q19" s="9" t="s">
        <v>4</v>
      </c>
      <c r="S19" s="9" t="s">
        <v>43</v>
      </c>
      <c r="T19" s="9" t="s">
        <v>43</v>
      </c>
      <c r="U19" s="9" t="s">
        <v>4</v>
      </c>
      <c r="V19" s="9"/>
      <c r="W19" s="9"/>
      <c r="Y19" s="9" t="s">
        <v>303</v>
      </c>
      <c r="AA19" s="23" t="s">
        <v>4</v>
      </c>
      <c r="AB19" s="23" t="s">
        <v>4</v>
      </c>
      <c r="AC19" s="23" t="s">
        <v>43</v>
      </c>
      <c r="AE19" s="23" t="s">
        <v>43</v>
      </c>
      <c r="AF19" s="9" t="s">
        <v>4</v>
      </c>
      <c r="AG19" s="9"/>
      <c r="AH19" s="9"/>
      <c r="AI19" s="9"/>
      <c r="AK19" s="23" t="s">
        <v>4</v>
      </c>
      <c r="AL19" s="23" t="s">
        <v>4</v>
      </c>
      <c r="AM19" s="23" t="s">
        <v>43</v>
      </c>
      <c r="AO19" s="23" t="s">
        <v>43</v>
      </c>
      <c r="AP19" s="9" t="s">
        <v>4</v>
      </c>
      <c r="AQ19" s="9"/>
      <c r="AR19" s="9"/>
      <c r="AS19" s="9"/>
      <c r="AU19" s="6"/>
      <c r="AV19" s="6"/>
      <c r="AW19" s="6"/>
      <c r="AX19" s="6"/>
      <c r="AY19" s="6"/>
      <c r="AZ19" s="6"/>
      <c r="BA19" s="6"/>
      <c r="BB19" s="6"/>
      <c r="BC19" s="23"/>
      <c r="BD19" s="23"/>
      <c r="BE19" s="23"/>
      <c r="BF19" s="23"/>
      <c r="BG19" s="6"/>
      <c r="BH19" s="6"/>
      <c r="BI19" s="23"/>
      <c r="BJ19" s="23"/>
      <c r="BK19" s="6"/>
      <c r="BL19" s="23"/>
      <c r="BM19" s="23"/>
      <c r="BN19" s="23"/>
      <c r="BO19" s="6"/>
      <c r="BP19" s="23"/>
      <c r="BQ19" s="23"/>
      <c r="BR19" s="23"/>
      <c r="BS19" s="6"/>
      <c r="BT19" s="6"/>
      <c r="BU19" s="6"/>
      <c r="BV19" s="6"/>
      <c r="BW19" s="6"/>
    </row>
    <row r="20" spans="2:75">
      <c r="AA20" s="6"/>
      <c r="AB20" s="6"/>
      <c r="AC20" s="6"/>
      <c r="AK20" s="6"/>
      <c r="AL20" s="6"/>
      <c r="AM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</row>
    <row r="21" spans="2:75">
      <c r="B21" s="16">
        <f>'Airfoil-Takeoff'!D21</f>
        <v>1.2249994633486807</v>
      </c>
      <c r="C21" s="74">
        <f>'Airfoil-Takeoff'!E21</f>
        <v>1.783E-5</v>
      </c>
      <c r="E21" s="31">
        <f>Main!B21</f>
        <v>0.33333333333333326</v>
      </c>
      <c r="F21" s="31">
        <f>Main!C21</f>
        <v>1.5</v>
      </c>
      <c r="G21" s="1">
        <f>E21*F21</f>
        <v>0.49999999999999989</v>
      </c>
      <c r="H21" s="1">
        <f>F21^2/G21</f>
        <v>4.5000000000000009</v>
      </c>
      <c r="I21" s="1">
        <f>H21*(1+1.9*$B$6)</f>
        <v>4.5000000000000009</v>
      </c>
      <c r="J21" s="1">
        <f>E21*$B$8*$B$6*F21*2*2</f>
        <v>0</v>
      </c>
      <c r="K21" s="52">
        <v>6.3400000000000003E-6</v>
      </c>
      <c r="L21" s="56">
        <f>38.21*(E21/K21)^1.053</f>
        <v>3574113.7305968194</v>
      </c>
      <c r="M21" s="12">
        <v>1</v>
      </c>
      <c r="N21" s="63">
        <f>1*F21*0+MAX(Stability!J21,Stability!P21)+2*Stability!D21</f>
        <v>2.5499999999999998</v>
      </c>
      <c r="O21" s="12">
        <f>Stability!$J$8</f>
        <v>0.1</v>
      </c>
      <c r="P21" s="12">
        <f>Stability!$J$7</f>
        <v>0.1</v>
      </c>
      <c r="Q21" s="1">
        <f>(O21+P21)/2*0+SQRT(O21*P21/PI())*2</f>
        <v>0.11283791670955128</v>
      </c>
      <c r="R21" s="16">
        <f>N21/Q21</f>
        <v>22.598786599045326</v>
      </c>
      <c r="S21" s="88">
        <f>PI()*Q21*N21*0.5</f>
        <v>0.45197573198090663</v>
      </c>
      <c r="T21" s="1">
        <f t="shared" ref="T21:T40" si="0">PI()*Q21^2/4</f>
        <v>1.0000000000000002E-2</v>
      </c>
      <c r="U21" s="52">
        <v>6.3400000000000003E-6</v>
      </c>
      <c r="V21" s="56">
        <f>38.21*(N21/U21)^1.053</f>
        <v>30455368.531237673</v>
      </c>
      <c r="W21" s="16">
        <f>1+60/R21^3+R21/400</f>
        <v>1.0616956800313269</v>
      </c>
      <c r="X21" s="12">
        <v>1</v>
      </c>
      <c r="Y21" s="12">
        <v>1</v>
      </c>
      <c r="Z21" s="42">
        <f>3.83*RADIANS(Y21)^2.5*T21/G21</f>
        <v>3.0826355931263322E-6</v>
      </c>
      <c r="AA21" s="16">
        <f ca="1">AC21/AB21</f>
        <v>0.1257213184534772</v>
      </c>
      <c r="AB21" s="16">
        <f ca="1">SQRT(AC21*AD21)</f>
        <v>0.2828729666133325</v>
      </c>
      <c r="AC21" s="85">
        <f ca="1">Stability!K21</f>
        <v>3.5563162306008866E-2</v>
      </c>
      <c r="AD21" s="31">
        <f>Main!E21</f>
        <v>2.2500000000000004</v>
      </c>
      <c r="AE21" s="1">
        <f ca="1">(1.977+0.52*AH21)*AC21</f>
        <v>7.2157656318891983E-2</v>
      </c>
      <c r="AF21" s="52">
        <v>6.3400000000000003E-6</v>
      </c>
      <c r="AG21" s="56">
        <f ca="1">38.21*(AA21/AF21)^1.053</f>
        <v>1280131.6910006888</v>
      </c>
      <c r="AH21" s="12">
        <v>0.1</v>
      </c>
      <c r="AI21" s="16">
        <f>1.1*(1+0.6/0.3*AH21+100*AH21^4)</f>
        <v>1.331</v>
      </c>
      <c r="AJ21" s="12">
        <v>1.03</v>
      </c>
      <c r="AK21" s="16">
        <f ca="1">AM21/AL21</f>
        <v>6.3773058953433853E-2</v>
      </c>
      <c r="AL21" s="16">
        <f ca="1">SQRT(AM21*AN21)</f>
        <v>0.14348938264538294</v>
      </c>
      <c r="AM21" s="85">
        <f ca="1">Stability!Q21</f>
        <v>9.1507568586259112E-3</v>
      </c>
      <c r="AN21" s="1">
        <f>MAX(1,0.1*H21)*0+AD21</f>
        <v>2.2500000000000004</v>
      </c>
      <c r="AO21" s="1">
        <f ca="1">(1.977+0.52*AR21)*AM21</f>
        <v>1.8566885666151972E-2</v>
      </c>
      <c r="AP21" s="52">
        <v>6.3400000000000003E-6</v>
      </c>
      <c r="AQ21" s="56">
        <f t="shared" ref="AQ21:AQ40" ca="1" si="1">38.21*(AK21/AP21)^1.053</f>
        <v>626412.00505291403</v>
      </c>
      <c r="AR21" s="12">
        <v>0.1</v>
      </c>
      <c r="AS21" s="16">
        <f>1.1*(1+0.6/0.3*AR21+100*AR21^4)</f>
        <v>1.331</v>
      </c>
      <c r="AT21" s="12">
        <v>1.03</v>
      </c>
      <c r="AU21" s="12">
        <f>1.1</f>
        <v>1.1000000000000001</v>
      </c>
      <c r="AV21" s="6"/>
      <c r="AW21" s="42"/>
      <c r="AX21" s="42"/>
      <c r="AY21" s="16"/>
      <c r="AZ21" s="42"/>
      <c r="BA21" s="42"/>
      <c r="BB21" s="42"/>
      <c r="BC21" s="20"/>
      <c r="BD21" s="20"/>
      <c r="BE21" s="20"/>
      <c r="BF21" s="19"/>
      <c r="BG21" s="6"/>
      <c r="BH21" s="6"/>
      <c r="BI21" s="16"/>
      <c r="BJ21" s="16"/>
      <c r="BK21" s="6"/>
      <c r="BL21" s="16"/>
      <c r="BM21" s="16"/>
      <c r="BN21" s="16"/>
      <c r="BO21" s="6"/>
      <c r="BP21" s="16"/>
      <c r="BQ21" s="16"/>
      <c r="BR21" s="16"/>
      <c r="BS21" s="6"/>
      <c r="BT21" s="6"/>
      <c r="BU21" s="6"/>
      <c r="BV21" s="6"/>
      <c r="BW21" s="6"/>
    </row>
    <row r="22" spans="2:75">
      <c r="B22" s="16">
        <f>'Airfoil-Takeoff'!D22</f>
        <v>1.2249994633486807</v>
      </c>
      <c r="C22" s="74">
        <f>'Airfoil-Takeoff'!E22</f>
        <v>1.783E-5</v>
      </c>
      <c r="E22" s="31">
        <f>Main!B22</f>
        <v>0.33333333333333326</v>
      </c>
      <c r="F22" s="31">
        <f>Main!C22</f>
        <v>1.5789473684210527</v>
      </c>
      <c r="G22" s="1">
        <f>E22*F22</f>
        <v>0.52631578947368407</v>
      </c>
      <c r="H22" s="1">
        <f>F22^2/G22</f>
        <v>4.7368421052631593</v>
      </c>
      <c r="I22" s="1">
        <f t="shared" ref="I22:I40" si="2">H22*(1+1.9*$B$6)</f>
        <v>4.7368421052631593</v>
      </c>
      <c r="J22" s="1">
        <f t="shared" ref="J22:J40" si="3">E22*$B$8*$B$6*F22*2*2</f>
        <v>0</v>
      </c>
      <c r="K22" s="52">
        <f>K21</f>
        <v>6.3400000000000003E-6</v>
      </c>
      <c r="L22" s="56">
        <f t="shared" ref="L22:L40" si="4">38.21*(E22/K22)^1.053</f>
        <v>3574113.7305968194</v>
      </c>
      <c r="M22" s="12">
        <f>M21</f>
        <v>1</v>
      </c>
      <c r="N22" s="63">
        <f>1*F22*0+MAX(Stability!J22,Stability!P22)+2*Stability!D22</f>
        <v>2.5499999999999998</v>
      </c>
      <c r="O22" s="12">
        <f>Stability!$J$8</f>
        <v>0.1</v>
      </c>
      <c r="P22" s="12">
        <f>Stability!$J$7</f>
        <v>0.1</v>
      </c>
      <c r="Q22" s="1">
        <f t="shared" ref="Q22:Q40" si="5">(O22+P22)/2*0+SQRT(O22*P22/PI())*2</f>
        <v>0.11283791670955128</v>
      </c>
      <c r="R22" s="16">
        <f t="shared" ref="R22:R40" si="6">N22/Q22</f>
        <v>22.598786599045326</v>
      </c>
      <c r="S22" s="88">
        <f t="shared" ref="S22:S40" si="7">PI()*Q22*N22*0.5</f>
        <v>0.45197573198090663</v>
      </c>
      <c r="T22" s="1">
        <f t="shared" si="0"/>
        <v>1.0000000000000002E-2</v>
      </c>
      <c r="U22" s="52">
        <f>U21</f>
        <v>6.3400000000000003E-6</v>
      </c>
      <c r="V22" s="56">
        <f t="shared" ref="V22:V40" si="8">38.21*(N22/U22)^1.053</f>
        <v>30455368.531237673</v>
      </c>
      <c r="W22" s="16">
        <f t="shared" ref="W22:W40" si="9">1+60/R22^3+R22/400</f>
        <v>1.0616956800313269</v>
      </c>
      <c r="X22" s="12">
        <f>X21</f>
        <v>1</v>
      </c>
      <c r="Y22" s="12">
        <f>Y21</f>
        <v>1</v>
      </c>
      <c r="Z22" s="42">
        <f t="shared" ref="Z22:Z40" si="10">3.83*RADIANS(Y22)^2.5*T22/G22</f>
        <v>2.9285038134700154E-6</v>
      </c>
      <c r="AA22" s="16">
        <f t="shared" ref="AA22:AA40" ca="1" si="11">AC22/AB22</f>
        <v>0.12448607877653947</v>
      </c>
      <c r="AB22" s="16">
        <f t="shared" ref="AB22:AB40" ca="1" si="12">SQRT(AC22*AD22)</f>
        <v>0.29483544983247878</v>
      </c>
      <c r="AC22" s="85">
        <f ca="1">Stability!K22</f>
        <v>3.6702909021930567E-2</v>
      </c>
      <c r="AD22" s="31">
        <f>Main!E22</f>
        <v>2.3684210526315796</v>
      </c>
      <c r="AE22" s="1">
        <f t="shared" ref="AE22:AE40" ca="1" si="13">(1.977+0.52*AH22)*AC22</f>
        <v>7.4470202405497121E-2</v>
      </c>
      <c r="AF22" s="52">
        <f>AF21</f>
        <v>6.3400000000000003E-6</v>
      </c>
      <c r="AG22" s="56">
        <f t="shared" ref="AG22:AG40" ca="1" si="14">38.21*(AA22/AF22)^1.053</f>
        <v>1266890.9624293069</v>
      </c>
      <c r="AH22" s="12">
        <f>AH21</f>
        <v>0.1</v>
      </c>
      <c r="AI22" s="16">
        <f t="shared" ref="AI22:AI40" si="15">1.1*(1+0.6/0.3*AH22+100*AH22^4)</f>
        <v>1.331</v>
      </c>
      <c r="AJ22" s="12">
        <f>AJ21</f>
        <v>1.03</v>
      </c>
      <c r="AK22" s="16">
        <f t="shared" ref="AK22:AK40" ca="1" si="16">AM22/AL22</f>
        <v>6.4232402715217421E-2</v>
      </c>
      <c r="AL22" s="16">
        <f t="shared" ref="AL22:AL40" ca="1" si="17">SQRT(AM22*AN22)</f>
        <v>0.15212937485223171</v>
      </c>
      <c r="AM22" s="85">
        <f ca="1">Stability!Q22</f>
        <v>9.7716352702972523E-3</v>
      </c>
      <c r="AN22" s="1">
        <f t="shared" ref="AN22:AN40" si="18">MAX(1,0.1*H22)*0+AD22</f>
        <v>2.3684210526315796</v>
      </c>
      <c r="AO22" s="1">
        <f t="shared" ref="AO22:AO40" ca="1" si="19">(1.977+0.52*AR22)*AM22</f>
        <v>1.9826647963433124E-2</v>
      </c>
      <c r="AP22" s="52">
        <f>AP21</f>
        <v>6.3400000000000003E-6</v>
      </c>
      <c r="AQ22" s="56">
        <f t="shared" ca="1" si="1"/>
        <v>631163.95346260711</v>
      </c>
      <c r="AR22" s="12">
        <f>AR21</f>
        <v>0.1</v>
      </c>
      <c r="AS22" s="16">
        <f t="shared" ref="AS22:AS40" si="20">1.1*(1+0.6/0.3*AR22+100*AR22^4)</f>
        <v>1.331</v>
      </c>
      <c r="AT22" s="12">
        <f>AT21</f>
        <v>1.03</v>
      </c>
      <c r="AU22" s="12">
        <f>AU21</f>
        <v>1.1000000000000001</v>
      </c>
      <c r="AV22" s="6"/>
      <c r="AW22" s="42"/>
      <c r="AX22" s="42"/>
      <c r="AY22" s="16"/>
      <c r="AZ22" s="42"/>
      <c r="BA22" s="42"/>
      <c r="BB22" s="42"/>
      <c r="BC22" s="20"/>
      <c r="BD22" s="20"/>
      <c r="BE22" s="20"/>
      <c r="BF22" s="19"/>
      <c r="BG22" s="6"/>
      <c r="BH22" s="6"/>
      <c r="BI22" s="16"/>
      <c r="BJ22" s="16"/>
      <c r="BK22" s="6"/>
      <c r="BL22" s="16"/>
      <c r="BM22" s="16"/>
      <c r="BN22" s="16"/>
      <c r="BO22" s="6"/>
      <c r="BP22" s="16"/>
      <c r="BQ22" s="16"/>
      <c r="BR22" s="16"/>
      <c r="BS22" s="6"/>
      <c r="BT22" s="6"/>
      <c r="BU22" s="6"/>
      <c r="BV22" s="6"/>
      <c r="BW22" s="6"/>
    </row>
    <row r="23" spans="2:75">
      <c r="B23" s="16">
        <f>'Airfoil-Takeoff'!D23</f>
        <v>1.2249994633486807</v>
      </c>
      <c r="C23" s="74">
        <f>'Airfoil-Takeoff'!E23</f>
        <v>1.783E-5</v>
      </c>
      <c r="E23" s="31">
        <f>Main!B23</f>
        <v>0.33333333333333326</v>
      </c>
      <c r="F23" s="31">
        <f>Main!C23</f>
        <v>1.6578947368421053</v>
      </c>
      <c r="G23" s="1">
        <f t="shared" ref="G23:G40" si="21">E23*F23</f>
        <v>0.55263157894736836</v>
      </c>
      <c r="H23" s="1">
        <f t="shared" ref="H23:H40" si="22">F23^2/G23</f>
        <v>4.9736842105263168</v>
      </c>
      <c r="I23" s="1">
        <f t="shared" si="2"/>
        <v>4.9736842105263168</v>
      </c>
      <c r="J23" s="1">
        <f t="shared" si="3"/>
        <v>0</v>
      </c>
      <c r="K23" s="52">
        <f t="shared" ref="K23:K40" si="23">K22</f>
        <v>6.3400000000000003E-6</v>
      </c>
      <c r="L23" s="56">
        <f t="shared" si="4"/>
        <v>3574113.7305968194</v>
      </c>
      <c r="M23" s="12">
        <f t="shared" ref="M23:M40" si="24">M22</f>
        <v>1</v>
      </c>
      <c r="N23" s="63">
        <f>1*F23*0+MAX(Stability!J23,Stability!P23)+2*Stability!D23</f>
        <v>2.5499999999999998</v>
      </c>
      <c r="O23" s="12">
        <f>Stability!$J$8</f>
        <v>0.1</v>
      </c>
      <c r="P23" s="12">
        <f>Stability!$J$7</f>
        <v>0.1</v>
      </c>
      <c r="Q23" s="1">
        <f t="shared" si="5"/>
        <v>0.11283791670955128</v>
      </c>
      <c r="R23" s="16">
        <f t="shared" si="6"/>
        <v>22.598786599045326</v>
      </c>
      <c r="S23" s="88">
        <f t="shared" si="7"/>
        <v>0.45197573198090663</v>
      </c>
      <c r="T23" s="1">
        <f t="shared" si="0"/>
        <v>1.0000000000000002E-2</v>
      </c>
      <c r="U23" s="52">
        <f t="shared" ref="U23:U40" si="25">U22</f>
        <v>6.3400000000000003E-6</v>
      </c>
      <c r="V23" s="56">
        <f t="shared" si="8"/>
        <v>30455368.531237673</v>
      </c>
      <c r="W23" s="16">
        <f t="shared" si="9"/>
        <v>1.0616956800313269</v>
      </c>
      <c r="X23" s="12">
        <f t="shared" ref="X23:X40" si="26">X22</f>
        <v>1</v>
      </c>
      <c r="Y23" s="12">
        <f t="shared" ref="Y23:Y40" si="27">Y22</f>
        <v>1</v>
      </c>
      <c r="Z23" s="42">
        <f t="shared" si="10"/>
        <v>2.7890512509238238E-6</v>
      </c>
      <c r="AA23" s="16">
        <f t="shared" ca="1" si="11"/>
        <v>0.12334858116013951</v>
      </c>
      <c r="AB23" s="16">
        <f t="shared" ca="1" si="12"/>
        <v>0.30674844535756202</v>
      </c>
      <c r="AC23" s="85">
        <f ca="1">Stability!K23</f>
        <v>3.7836985495348238E-2</v>
      </c>
      <c r="AD23" s="31">
        <f>Main!E23</f>
        <v>2.4868421052631584</v>
      </c>
      <c r="AE23" s="1">
        <f t="shared" ca="1" si="13"/>
        <v>7.677124357006157E-2</v>
      </c>
      <c r="AF23" s="52">
        <f t="shared" ref="AF23:AF40" si="28">AF22</f>
        <v>6.3400000000000003E-6</v>
      </c>
      <c r="AG23" s="56">
        <f t="shared" ca="1" si="14"/>
        <v>1254704.1019946607</v>
      </c>
      <c r="AH23" s="12">
        <f t="shared" ref="AH23:AH40" si="29">AH22</f>
        <v>0.1</v>
      </c>
      <c r="AI23" s="16">
        <f t="shared" si="15"/>
        <v>1.331</v>
      </c>
      <c r="AJ23" s="12">
        <f t="shared" ref="AJ23:AJ40" si="30">AJ22</f>
        <v>1.03</v>
      </c>
      <c r="AK23" s="16">
        <f t="shared" ca="1" si="16"/>
        <v>6.4741203126608637E-2</v>
      </c>
      <c r="AL23" s="16">
        <f t="shared" ca="1" si="17"/>
        <v>0.16100114988134015</v>
      </c>
      <c r="AM23" s="85">
        <f ca="1">Stability!Q23</f>
        <v>1.0423408148040733E-2</v>
      </c>
      <c r="AN23" s="1">
        <f t="shared" si="18"/>
        <v>2.4868421052631584</v>
      </c>
      <c r="AO23" s="1">
        <f t="shared" ca="1" si="19"/>
        <v>2.1149095132374646E-2</v>
      </c>
      <c r="AP23" s="52">
        <f t="shared" ref="AP23:AP40" si="31">AP22</f>
        <v>6.3400000000000003E-6</v>
      </c>
      <c r="AQ23" s="56">
        <f t="shared" ca="1" si="1"/>
        <v>636429.63721296191</v>
      </c>
      <c r="AR23" s="12">
        <f t="shared" ref="AR23:AR40" si="32">AR22</f>
        <v>0.1</v>
      </c>
      <c r="AS23" s="16">
        <f t="shared" si="20"/>
        <v>1.331</v>
      </c>
      <c r="AT23" s="12">
        <f t="shared" ref="AT23:AT40" si="33">AT22</f>
        <v>1.03</v>
      </c>
      <c r="AU23" s="12">
        <f t="shared" ref="AU23:AU40" si="34">AU22</f>
        <v>1.1000000000000001</v>
      </c>
      <c r="AV23" s="6"/>
      <c r="AW23" s="42"/>
      <c r="AX23" s="42"/>
      <c r="AY23" s="16"/>
      <c r="AZ23" s="42"/>
      <c r="BA23" s="42"/>
      <c r="BB23" s="42"/>
      <c r="BC23" s="20"/>
      <c r="BD23" s="20"/>
      <c r="BE23" s="20"/>
      <c r="BF23" s="19"/>
      <c r="BG23" s="6"/>
      <c r="BH23" s="6"/>
      <c r="BI23" s="16"/>
      <c r="BJ23" s="16"/>
      <c r="BK23" s="6"/>
      <c r="BL23" s="16"/>
      <c r="BM23" s="16"/>
      <c r="BN23" s="16"/>
      <c r="BO23" s="6"/>
      <c r="BP23" s="16"/>
      <c r="BQ23" s="16"/>
      <c r="BR23" s="16"/>
      <c r="BS23" s="6"/>
      <c r="BT23" s="6"/>
      <c r="BU23" s="6"/>
      <c r="BV23" s="6"/>
      <c r="BW23" s="6"/>
    </row>
    <row r="24" spans="2:75">
      <c r="B24" s="16">
        <f>'Airfoil-Takeoff'!D24</f>
        <v>1.2249994633486807</v>
      </c>
      <c r="C24" s="74">
        <f>'Airfoil-Takeoff'!E24</f>
        <v>1.783E-5</v>
      </c>
      <c r="E24" s="31">
        <f>Main!B24</f>
        <v>0.33333333333333326</v>
      </c>
      <c r="F24" s="31">
        <f>Main!C24</f>
        <v>1.736842105263158</v>
      </c>
      <c r="G24" s="1">
        <f t="shared" si="21"/>
        <v>0.57894736842105254</v>
      </c>
      <c r="H24" s="1">
        <f t="shared" si="22"/>
        <v>5.2105263157894752</v>
      </c>
      <c r="I24" s="1">
        <f t="shared" si="2"/>
        <v>5.2105263157894752</v>
      </c>
      <c r="J24" s="1">
        <f t="shared" si="3"/>
        <v>0</v>
      </c>
      <c r="K24" s="52">
        <f t="shared" si="23"/>
        <v>6.3400000000000003E-6</v>
      </c>
      <c r="L24" s="56">
        <f t="shared" si="4"/>
        <v>3574113.7305968194</v>
      </c>
      <c r="M24" s="12">
        <f t="shared" si="24"/>
        <v>1</v>
      </c>
      <c r="N24" s="63">
        <f>1*F24*0+MAX(Stability!J24,Stability!P24)+2*Stability!D24</f>
        <v>2.5499999999999998</v>
      </c>
      <c r="O24" s="12">
        <f>Stability!$J$8</f>
        <v>0.1</v>
      </c>
      <c r="P24" s="12">
        <f>Stability!$J$7</f>
        <v>0.1</v>
      </c>
      <c r="Q24" s="1">
        <f t="shared" si="5"/>
        <v>0.11283791670955128</v>
      </c>
      <c r="R24" s="16">
        <f t="shared" si="6"/>
        <v>22.598786599045326</v>
      </c>
      <c r="S24" s="88">
        <f t="shared" si="7"/>
        <v>0.45197573198090663</v>
      </c>
      <c r="T24" s="1">
        <f t="shared" si="0"/>
        <v>1.0000000000000002E-2</v>
      </c>
      <c r="U24" s="52">
        <f t="shared" si="25"/>
        <v>6.3400000000000003E-6</v>
      </c>
      <c r="V24" s="56">
        <f t="shared" si="8"/>
        <v>30455368.531237673</v>
      </c>
      <c r="W24" s="16">
        <f t="shared" si="9"/>
        <v>1.0616956800313269</v>
      </c>
      <c r="X24" s="12">
        <f t="shared" si="26"/>
        <v>1</v>
      </c>
      <c r="Y24" s="12">
        <f t="shared" si="27"/>
        <v>1</v>
      </c>
      <c r="Z24" s="42">
        <f t="shared" si="10"/>
        <v>2.66227619406365E-6</v>
      </c>
      <c r="AA24" s="16">
        <f t="shared" ca="1" si="11"/>
        <v>0.12292523181533961</v>
      </c>
      <c r="AB24" s="16">
        <f t="shared" ca="1" si="12"/>
        <v>0.32025257775186855</v>
      </c>
      <c r="AC24" s="85">
        <f ca="1">Stability!K24</f>
        <v>3.9367122344217041E-2</v>
      </c>
      <c r="AD24" s="31">
        <f>Main!E24</f>
        <v>2.6052631578947376</v>
      </c>
      <c r="AE24" s="1">
        <f t="shared" ca="1" si="13"/>
        <v>7.9875891236416377E-2</v>
      </c>
      <c r="AF24" s="52">
        <f t="shared" si="28"/>
        <v>6.3400000000000003E-6</v>
      </c>
      <c r="AG24" s="56">
        <f t="shared" ca="1" si="14"/>
        <v>1250169.9624898625</v>
      </c>
      <c r="AH24" s="12">
        <f t="shared" si="29"/>
        <v>0.1</v>
      </c>
      <c r="AI24" s="16">
        <f t="shared" si="15"/>
        <v>1.331</v>
      </c>
      <c r="AJ24" s="12">
        <f t="shared" si="30"/>
        <v>1.03</v>
      </c>
      <c r="AK24" s="16">
        <f t="shared" ca="1" si="16"/>
        <v>6.5289243436113434E-2</v>
      </c>
      <c r="AL24" s="16">
        <f t="shared" ca="1" si="17"/>
        <v>0.17009566053201158</v>
      </c>
      <c r="AM24" s="85">
        <f ca="1">Stability!Q24</f>
        <v>1.1105416987830716E-2</v>
      </c>
      <c r="AN24" s="1">
        <f t="shared" si="18"/>
        <v>2.6052631578947376</v>
      </c>
      <c r="AO24" s="1">
        <f t="shared" ca="1" si="19"/>
        <v>2.2532891068308521E-2</v>
      </c>
      <c r="AP24" s="52">
        <f t="shared" si="31"/>
        <v>6.3400000000000003E-6</v>
      </c>
      <c r="AQ24" s="56">
        <f t="shared" ca="1" si="1"/>
        <v>642103.87663622887</v>
      </c>
      <c r="AR24" s="12">
        <f t="shared" si="32"/>
        <v>0.1</v>
      </c>
      <c r="AS24" s="16">
        <f t="shared" si="20"/>
        <v>1.331</v>
      </c>
      <c r="AT24" s="12">
        <f t="shared" si="33"/>
        <v>1.03</v>
      </c>
      <c r="AU24" s="12">
        <f t="shared" si="34"/>
        <v>1.1000000000000001</v>
      </c>
      <c r="AV24" s="6"/>
      <c r="AW24" s="42"/>
      <c r="AX24" s="42"/>
      <c r="AY24" s="16"/>
      <c r="AZ24" s="42"/>
      <c r="BA24" s="42"/>
      <c r="BB24" s="42"/>
      <c r="BC24" s="20"/>
      <c r="BD24" s="20"/>
      <c r="BE24" s="20"/>
      <c r="BF24" s="19"/>
      <c r="BG24" s="6"/>
      <c r="BH24" s="6"/>
      <c r="BI24" s="16"/>
      <c r="BJ24" s="16"/>
      <c r="BK24" s="6"/>
      <c r="BL24" s="16"/>
      <c r="BM24" s="16"/>
      <c r="BN24" s="16"/>
      <c r="BO24" s="6"/>
      <c r="BP24" s="16"/>
      <c r="BQ24" s="16"/>
      <c r="BR24" s="16"/>
      <c r="BS24" s="6"/>
      <c r="BT24" s="6"/>
      <c r="BU24" s="6"/>
      <c r="BV24" s="6"/>
      <c r="BW24" s="6"/>
    </row>
    <row r="25" spans="2:75">
      <c r="B25" s="16">
        <f>'Airfoil-Takeoff'!D25</f>
        <v>1.2249994633486807</v>
      </c>
      <c r="C25" s="74">
        <f>'Airfoil-Takeoff'!E25</f>
        <v>1.783E-5</v>
      </c>
      <c r="E25" s="31">
        <f>Main!B25</f>
        <v>0.33333333333333326</v>
      </c>
      <c r="F25" s="31">
        <f>Main!C25</f>
        <v>1.8157894736842106</v>
      </c>
      <c r="G25" s="1">
        <f t="shared" si="21"/>
        <v>0.60526315789473673</v>
      </c>
      <c r="H25" s="1">
        <f t="shared" si="22"/>
        <v>5.4473684210526327</v>
      </c>
      <c r="I25" s="1">
        <f t="shared" si="2"/>
        <v>5.4473684210526327</v>
      </c>
      <c r="J25" s="1">
        <f t="shared" si="3"/>
        <v>0</v>
      </c>
      <c r="K25" s="52">
        <f t="shared" si="23"/>
        <v>6.3400000000000003E-6</v>
      </c>
      <c r="L25" s="56">
        <f t="shared" si="4"/>
        <v>3574113.7305968194</v>
      </c>
      <c r="M25" s="12">
        <f t="shared" si="24"/>
        <v>1</v>
      </c>
      <c r="N25" s="63">
        <f>1*F25*0+MAX(Stability!J25,Stability!P25)+2*Stability!D25</f>
        <v>2.5499999999999998</v>
      </c>
      <c r="O25" s="12">
        <f>Stability!$J$8</f>
        <v>0.1</v>
      </c>
      <c r="P25" s="12">
        <f>Stability!$J$7</f>
        <v>0.1</v>
      </c>
      <c r="Q25" s="1">
        <f t="shared" si="5"/>
        <v>0.11283791670955128</v>
      </c>
      <c r="R25" s="16">
        <f t="shared" si="6"/>
        <v>22.598786599045326</v>
      </c>
      <c r="S25" s="88">
        <f t="shared" si="7"/>
        <v>0.45197573198090663</v>
      </c>
      <c r="T25" s="1">
        <f t="shared" si="0"/>
        <v>1.0000000000000002E-2</v>
      </c>
      <c r="U25" s="52">
        <f t="shared" si="25"/>
        <v>6.3400000000000003E-6</v>
      </c>
      <c r="V25" s="56">
        <f t="shared" si="8"/>
        <v>30455368.531237673</v>
      </c>
      <c r="W25" s="16">
        <f t="shared" si="9"/>
        <v>1.0616956800313269</v>
      </c>
      <c r="X25" s="12">
        <f t="shared" si="26"/>
        <v>1</v>
      </c>
      <c r="Y25" s="12">
        <f t="shared" si="27"/>
        <v>1</v>
      </c>
      <c r="Z25" s="42">
        <f t="shared" si="10"/>
        <v>2.5465250551913177E-6</v>
      </c>
      <c r="AA25" s="16">
        <f t="shared" ca="1" si="11"/>
        <v>0.1219530481154015</v>
      </c>
      <c r="AB25" s="16">
        <f t="shared" ca="1" si="12"/>
        <v>0.33216159171089793</v>
      </c>
      <c r="AC25" s="85">
        <f ca="1">Stability!K25</f>
        <v>4.0508118560052687E-2</v>
      </c>
      <c r="AD25" s="31">
        <f>Main!E25</f>
        <v>2.7236842105263164</v>
      </c>
      <c r="AE25" s="1">
        <f t="shared" ca="1" si="13"/>
        <v>8.2190972558346898E-2</v>
      </c>
      <c r="AF25" s="52">
        <f t="shared" si="28"/>
        <v>6.3400000000000003E-6</v>
      </c>
      <c r="AG25" s="56">
        <f t="shared" ca="1" si="14"/>
        <v>1239760.8554959102</v>
      </c>
      <c r="AH25" s="12">
        <f t="shared" si="29"/>
        <v>0.1</v>
      </c>
      <c r="AI25" s="16">
        <f t="shared" si="15"/>
        <v>1.331</v>
      </c>
      <c r="AJ25" s="12">
        <f t="shared" si="30"/>
        <v>1.03</v>
      </c>
      <c r="AK25" s="16">
        <f t="shared" ca="1" si="16"/>
        <v>6.5868445010459992E-2</v>
      </c>
      <c r="AL25" s="16">
        <f t="shared" ca="1" si="17"/>
        <v>0.17940484364845091</v>
      </c>
      <c r="AM25" s="85">
        <f ca="1">Stability!Q25</f>
        <v>1.1817118078367429E-2</v>
      </c>
      <c r="AN25" s="1">
        <f t="shared" si="18"/>
        <v>2.7236842105263164</v>
      </c>
      <c r="AO25" s="1">
        <f t="shared" ca="1" si="19"/>
        <v>2.3976932581007512E-2</v>
      </c>
      <c r="AP25" s="52">
        <f t="shared" si="31"/>
        <v>6.3400000000000003E-6</v>
      </c>
      <c r="AQ25" s="56">
        <f t="shared" ca="1" si="1"/>
        <v>648103.49412376515</v>
      </c>
      <c r="AR25" s="12">
        <f t="shared" si="32"/>
        <v>0.1</v>
      </c>
      <c r="AS25" s="16">
        <f t="shared" si="20"/>
        <v>1.331</v>
      </c>
      <c r="AT25" s="12">
        <f t="shared" si="33"/>
        <v>1.03</v>
      </c>
      <c r="AU25" s="12">
        <f t="shared" si="34"/>
        <v>1.1000000000000001</v>
      </c>
      <c r="AV25" s="6"/>
      <c r="AW25" s="42"/>
      <c r="AX25" s="42"/>
      <c r="AY25" s="16"/>
      <c r="AZ25" s="42"/>
      <c r="BA25" s="42"/>
      <c r="BB25" s="42"/>
      <c r="BC25" s="20"/>
      <c r="BD25" s="20"/>
      <c r="BE25" s="20"/>
      <c r="BF25" s="19"/>
      <c r="BG25" s="6"/>
      <c r="BH25" s="6"/>
      <c r="BI25" s="16"/>
      <c r="BJ25" s="16"/>
      <c r="BK25" s="6"/>
      <c r="BL25" s="16"/>
      <c r="BM25" s="16"/>
      <c r="BN25" s="16"/>
      <c r="BO25" s="6"/>
      <c r="BP25" s="16"/>
      <c r="BQ25" s="16"/>
      <c r="BR25" s="16"/>
      <c r="BS25" s="6"/>
      <c r="BT25" s="6"/>
      <c r="BU25" s="6"/>
      <c r="BV25" s="6"/>
      <c r="BW25" s="6"/>
    </row>
    <row r="26" spans="2:75">
      <c r="B26" s="16">
        <f>'Airfoil-Takeoff'!D26</f>
        <v>1.2249994633486807</v>
      </c>
      <c r="C26" s="74">
        <f>'Airfoil-Takeoff'!E26</f>
        <v>1.783E-5</v>
      </c>
      <c r="E26" s="31">
        <f>Main!B26</f>
        <v>0.33333333333333326</v>
      </c>
      <c r="F26" s="31">
        <f>Main!C26</f>
        <v>1.8947368421052633</v>
      </c>
      <c r="G26" s="1">
        <f t="shared" si="21"/>
        <v>0.63157894736842091</v>
      </c>
      <c r="H26" s="1">
        <f t="shared" si="22"/>
        <v>5.6842105263157912</v>
      </c>
      <c r="I26" s="1">
        <f t="shared" si="2"/>
        <v>5.6842105263157912</v>
      </c>
      <c r="J26" s="1">
        <f t="shared" si="3"/>
        <v>0</v>
      </c>
      <c r="K26" s="52">
        <f t="shared" si="23"/>
        <v>6.3400000000000003E-6</v>
      </c>
      <c r="L26" s="56">
        <f t="shared" si="4"/>
        <v>3574113.7305968194</v>
      </c>
      <c r="M26" s="12">
        <f t="shared" si="24"/>
        <v>1</v>
      </c>
      <c r="N26" s="63">
        <f>1*F26*0+MAX(Stability!J26,Stability!P26)+2*Stability!D26</f>
        <v>2.5499999999999998</v>
      </c>
      <c r="O26" s="12">
        <f>Stability!$J$8</f>
        <v>0.1</v>
      </c>
      <c r="P26" s="12">
        <f>Stability!$J$7</f>
        <v>0.1</v>
      </c>
      <c r="Q26" s="1">
        <f t="shared" si="5"/>
        <v>0.11283791670955128</v>
      </c>
      <c r="R26" s="16">
        <f t="shared" si="6"/>
        <v>22.598786599045326</v>
      </c>
      <c r="S26" s="88">
        <f t="shared" si="7"/>
        <v>0.45197573198090663</v>
      </c>
      <c r="T26" s="1">
        <f t="shared" si="0"/>
        <v>1.0000000000000002E-2</v>
      </c>
      <c r="U26" s="52">
        <f t="shared" si="25"/>
        <v>6.3400000000000003E-6</v>
      </c>
      <c r="V26" s="56">
        <f t="shared" si="8"/>
        <v>30455368.531237673</v>
      </c>
      <c r="W26" s="16">
        <f t="shared" si="9"/>
        <v>1.0616956800313269</v>
      </c>
      <c r="X26" s="12">
        <f t="shared" si="26"/>
        <v>1</v>
      </c>
      <c r="Y26" s="12">
        <f t="shared" si="27"/>
        <v>1</v>
      </c>
      <c r="Z26" s="42">
        <f t="shared" si="10"/>
        <v>2.4404198445583463E-6</v>
      </c>
      <c r="AA26" s="16">
        <f t="shared" ca="1" si="11"/>
        <v>0.1210506596239818</v>
      </c>
      <c r="AB26" s="16">
        <f t="shared" ca="1" si="12"/>
        <v>0.34403871696512844</v>
      </c>
      <c r="AC26" s="85">
        <f ca="1">Stability!K26</f>
        <v>4.1646113608309603E-2</v>
      </c>
      <c r="AD26" s="31">
        <f>Main!E26</f>
        <v>2.8421052631578956</v>
      </c>
      <c r="AE26" s="1">
        <f t="shared" ca="1" si="13"/>
        <v>8.4499964511260184E-2</v>
      </c>
      <c r="AF26" s="52">
        <f t="shared" si="28"/>
        <v>6.3400000000000003E-6</v>
      </c>
      <c r="AG26" s="56">
        <f t="shared" ca="1" si="14"/>
        <v>1230102.9753374639</v>
      </c>
      <c r="AH26" s="12">
        <f t="shared" si="29"/>
        <v>0.1</v>
      </c>
      <c r="AI26" s="16">
        <f t="shared" si="15"/>
        <v>1.331</v>
      </c>
      <c r="AJ26" s="12">
        <f t="shared" si="30"/>
        <v>1.03</v>
      </c>
      <c r="AK26" s="16">
        <f t="shared" ca="1" si="16"/>
        <v>6.6472371406609804E-2</v>
      </c>
      <c r="AL26" s="16">
        <f t="shared" ca="1" si="17"/>
        <v>0.18892147663136907</v>
      </c>
      <c r="AM26" s="85">
        <f ca="1">Stability!Q26</f>
        <v>1.2558058561189744E-2</v>
      </c>
      <c r="AN26" s="1">
        <f t="shared" si="18"/>
        <v>2.8421052631578956</v>
      </c>
      <c r="AO26" s="1">
        <f t="shared" ca="1" si="19"/>
        <v>2.548030082065399E-2</v>
      </c>
      <c r="AP26" s="52">
        <f t="shared" si="31"/>
        <v>6.3400000000000003E-6</v>
      </c>
      <c r="AQ26" s="56">
        <f t="shared" ca="1" si="1"/>
        <v>654362.19994420488</v>
      </c>
      <c r="AR26" s="12">
        <f t="shared" si="32"/>
        <v>0.1</v>
      </c>
      <c r="AS26" s="16">
        <f t="shared" si="20"/>
        <v>1.331</v>
      </c>
      <c r="AT26" s="12">
        <f t="shared" si="33"/>
        <v>1.03</v>
      </c>
      <c r="AU26" s="12">
        <f t="shared" si="34"/>
        <v>1.1000000000000001</v>
      </c>
      <c r="AV26" s="6"/>
      <c r="AW26" s="42"/>
      <c r="AX26" s="42"/>
      <c r="AY26" s="16"/>
      <c r="AZ26" s="42"/>
      <c r="BA26" s="42"/>
      <c r="BB26" s="42"/>
      <c r="BC26" s="20"/>
      <c r="BD26" s="20"/>
      <c r="BE26" s="20"/>
      <c r="BF26" s="19"/>
      <c r="BG26" s="6"/>
      <c r="BH26" s="6"/>
      <c r="BI26" s="16"/>
      <c r="BJ26" s="16"/>
      <c r="BK26" s="6"/>
      <c r="BL26" s="16"/>
      <c r="BM26" s="16"/>
      <c r="BN26" s="16"/>
      <c r="BO26" s="6"/>
      <c r="BP26" s="16"/>
      <c r="BQ26" s="16"/>
      <c r="BR26" s="16"/>
      <c r="BS26" s="6"/>
      <c r="BT26" s="6"/>
      <c r="BU26" s="6"/>
      <c r="BV26" s="6"/>
      <c r="BW26" s="6"/>
    </row>
    <row r="27" spans="2:75">
      <c r="B27" s="16">
        <f>'Airfoil-Takeoff'!D27</f>
        <v>1.2249994633486807</v>
      </c>
      <c r="C27" s="74">
        <f>'Airfoil-Takeoff'!E27</f>
        <v>1.783E-5</v>
      </c>
      <c r="E27" s="31">
        <f>Main!B27</f>
        <v>0.33333333333333326</v>
      </c>
      <c r="F27" s="31">
        <f>Main!C27</f>
        <v>1.9736842105263159</v>
      </c>
      <c r="G27" s="1">
        <f t="shared" si="21"/>
        <v>0.6578947368421052</v>
      </c>
      <c r="H27" s="1">
        <f t="shared" si="22"/>
        <v>5.9210526315789487</v>
      </c>
      <c r="I27" s="1">
        <f t="shared" si="2"/>
        <v>5.9210526315789487</v>
      </c>
      <c r="J27" s="1">
        <f t="shared" si="3"/>
        <v>0</v>
      </c>
      <c r="K27" s="52">
        <f t="shared" si="23"/>
        <v>6.3400000000000003E-6</v>
      </c>
      <c r="L27" s="56">
        <f t="shared" si="4"/>
        <v>3574113.7305968194</v>
      </c>
      <c r="M27" s="12">
        <f t="shared" si="24"/>
        <v>1</v>
      </c>
      <c r="N27" s="63">
        <f>1*F27*0+MAX(Stability!J27,Stability!P27)+2*Stability!D27</f>
        <v>2.5499999999999998</v>
      </c>
      <c r="O27" s="12">
        <f>Stability!$J$8</f>
        <v>0.1</v>
      </c>
      <c r="P27" s="12">
        <f>Stability!$J$7</f>
        <v>0.1</v>
      </c>
      <c r="Q27" s="1">
        <f t="shared" si="5"/>
        <v>0.11283791670955128</v>
      </c>
      <c r="R27" s="16">
        <f t="shared" si="6"/>
        <v>22.598786599045326</v>
      </c>
      <c r="S27" s="88">
        <f t="shared" si="7"/>
        <v>0.45197573198090663</v>
      </c>
      <c r="T27" s="1">
        <f t="shared" si="0"/>
        <v>1.0000000000000002E-2</v>
      </c>
      <c r="U27" s="52">
        <f t="shared" si="25"/>
        <v>6.3400000000000003E-6</v>
      </c>
      <c r="V27" s="56">
        <f t="shared" si="8"/>
        <v>30455368.531237673</v>
      </c>
      <c r="W27" s="16">
        <f t="shared" si="9"/>
        <v>1.0616956800313269</v>
      </c>
      <c r="X27" s="12">
        <f t="shared" si="26"/>
        <v>1</v>
      </c>
      <c r="Y27" s="12">
        <f t="shared" si="27"/>
        <v>1</v>
      </c>
      <c r="Z27" s="42">
        <f t="shared" si="10"/>
        <v>2.3428030507760119E-6</v>
      </c>
      <c r="AA27" s="16">
        <f t="shared" ca="1" si="11"/>
        <v>0.12021120988408192</v>
      </c>
      <c r="AB27" s="16">
        <f t="shared" ca="1" si="12"/>
        <v>0.35588845046149759</v>
      </c>
      <c r="AC27" s="85">
        <f ca="1">Stability!K27</f>
        <v>4.2781781196446295E-2</v>
      </c>
      <c r="AD27" s="31">
        <f>Main!E27</f>
        <v>2.9605263157894743</v>
      </c>
      <c r="AE27" s="1">
        <f t="shared" ca="1" si="13"/>
        <v>8.6804234047589524E-2</v>
      </c>
      <c r="AF27" s="52">
        <f t="shared" si="28"/>
        <v>6.3400000000000003E-6</v>
      </c>
      <c r="AG27" s="56">
        <f t="shared" ca="1" si="14"/>
        <v>1221122.1265123473</v>
      </c>
      <c r="AH27" s="12">
        <f t="shared" si="29"/>
        <v>0.1</v>
      </c>
      <c r="AI27" s="16">
        <f t="shared" si="15"/>
        <v>1.331</v>
      </c>
      <c r="AJ27" s="12">
        <f t="shared" si="30"/>
        <v>1.03</v>
      </c>
      <c r="AK27" s="16">
        <f t="shared" ca="1" si="16"/>
        <v>6.7095859324830157E-2</v>
      </c>
      <c r="AL27" s="16">
        <f t="shared" ca="1" si="17"/>
        <v>0.19863905721429484</v>
      </c>
      <c r="AM27" s="85">
        <f ca="1">Stability!Q27</f>
        <v>1.3327858239092206E-2</v>
      </c>
      <c r="AN27" s="1">
        <f t="shared" si="18"/>
        <v>2.9605263157894743</v>
      </c>
      <c r="AO27" s="1">
        <f t="shared" ca="1" si="19"/>
        <v>2.7042224367118086E-2</v>
      </c>
      <c r="AP27" s="52">
        <f t="shared" si="31"/>
        <v>6.3400000000000003E-6</v>
      </c>
      <c r="AQ27" s="56">
        <f t="shared" ca="1" si="1"/>
        <v>660826.79107180948</v>
      </c>
      <c r="AR27" s="12">
        <f t="shared" si="32"/>
        <v>0.1</v>
      </c>
      <c r="AS27" s="16">
        <f t="shared" si="20"/>
        <v>1.331</v>
      </c>
      <c r="AT27" s="12">
        <f t="shared" si="33"/>
        <v>1.03</v>
      </c>
      <c r="AU27" s="12">
        <f t="shared" si="34"/>
        <v>1.1000000000000001</v>
      </c>
      <c r="AV27" s="6"/>
      <c r="AW27" s="42"/>
      <c r="AX27" s="42"/>
      <c r="AY27" s="16"/>
      <c r="AZ27" s="42"/>
      <c r="BA27" s="42"/>
      <c r="BB27" s="42"/>
      <c r="BC27" s="20"/>
      <c r="BD27" s="20"/>
      <c r="BE27" s="20"/>
      <c r="BF27" s="19"/>
      <c r="BG27" s="6"/>
      <c r="BH27" s="6"/>
      <c r="BI27" s="16"/>
      <c r="BJ27" s="16"/>
      <c r="BK27" s="6"/>
      <c r="BL27" s="16"/>
      <c r="BM27" s="16"/>
      <c r="BN27" s="16"/>
      <c r="BO27" s="6"/>
      <c r="BP27" s="16"/>
      <c r="BQ27" s="16"/>
      <c r="BR27" s="16"/>
      <c r="BS27" s="6"/>
      <c r="BT27" s="6"/>
      <c r="BU27" s="6"/>
      <c r="BV27" s="6"/>
      <c r="BW27" s="6"/>
    </row>
    <row r="28" spans="2:75">
      <c r="B28" s="16">
        <f>'Airfoil-Takeoff'!D28</f>
        <v>1.2249994633486807</v>
      </c>
      <c r="C28" s="74">
        <f>'Airfoil-Takeoff'!E28</f>
        <v>1.783E-5</v>
      </c>
      <c r="E28" s="31">
        <f>Main!B28</f>
        <v>0.33333333333333326</v>
      </c>
      <c r="F28" s="31">
        <f>Main!C28</f>
        <v>2.0526315789473686</v>
      </c>
      <c r="G28" s="1">
        <f t="shared" si="21"/>
        <v>0.68421052631578938</v>
      </c>
      <c r="H28" s="1">
        <f t="shared" si="22"/>
        <v>6.1578947368421071</v>
      </c>
      <c r="I28" s="1">
        <f t="shared" si="2"/>
        <v>6.1578947368421071</v>
      </c>
      <c r="J28" s="1">
        <f t="shared" si="3"/>
        <v>0</v>
      </c>
      <c r="K28" s="52">
        <f t="shared" si="23"/>
        <v>6.3400000000000003E-6</v>
      </c>
      <c r="L28" s="56">
        <f t="shared" si="4"/>
        <v>3574113.7305968194</v>
      </c>
      <c r="M28" s="12">
        <f t="shared" si="24"/>
        <v>1</v>
      </c>
      <c r="N28" s="63">
        <f>1*F28*0+MAX(Stability!J28,Stability!P28)+2*Stability!D28</f>
        <v>2.5499999999999998</v>
      </c>
      <c r="O28" s="12">
        <f>Stability!$J$8</f>
        <v>0.1</v>
      </c>
      <c r="P28" s="12">
        <f>Stability!$J$7</f>
        <v>0.1</v>
      </c>
      <c r="Q28" s="1">
        <f t="shared" si="5"/>
        <v>0.11283791670955128</v>
      </c>
      <c r="R28" s="16">
        <f t="shared" si="6"/>
        <v>22.598786599045326</v>
      </c>
      <c r="S28" s="88">
        <f t="shared" si="7"/>
        <v>0.45197573198090663</v>
      </c>
      <c r="T28" s="1">
        <f t="shared" si="0"/>
        <v>1.0000000000000002E-2</v>
      </c>
      <c r="U28" s="52">
        <f t="shared" si="25"/>
        <v>6.3400000000000003E-6</v>
      </c>
      <c r="V28" s="56">
        <f t="shared" si="8"/>
        <v>30455368.531237673</v>
      </c>
      <c r="W28" s="16">
        <f t="shared" si="9"/>
        <v>1.0616956800313269</v>
      </c>
      <c r="X28" s="12">
        <f t="shared" si="26"/>
        <v>1</v>
      </c>
      <c r="Y28" s="12">
        <f t="shared" si="27"/>
        <v>1</v>
      </c>
      <c r="Z28" s="42">
        <f t="shared" si="10"/>
        <v>2.2526952411307811E-6</v>
      </c>
      <c r="AA28" s="16">
        <f t="shared" ca="1" si="11"/>
        <v>0.11946924103195609</v>
      </c>
      <c r="AB28" s="16">
        <f t="shared" ca="1" si="12"/>
        <v>0.36783950543155142</v>
      </c>
      <c r="AC28" s="85">
        <f ca="1">Stability!K28</f>
        <v>4.394550651802915E-2</v>
      </c>
      <c r="AD28" s="31">
        <f>Main!E28</f>
        <v>3.0789473684210535</v>
      </c>
      <c r="AE28" s="1">
        <f t="shared" ca="1" si="13"/>
        <v>8.9165432725081137E-2</v>
      </c>
      <c r="AF28" s="52">
        <f t="shared" si="28"/>
        <v>6.3400000000000003E-6</v>
      </c>
      <c r="AG28" s="56">
        <f t="shared" ca="1" si="14"/>
        <v>1213186.9425739655</v>
      </c>
      <c r="AH28" s="12">
        <f t="shared" si="29"/>
        <v>0.1</v>
      </c>
      <c r="AI28" s="16">
        <f t="shared" si="15"/>
        <v>1.331</v>
      </c>
      <c r="AJ28" s="12">
        <f t="shared" si="30"/>
        <v>1.03</v>
      </c>
      <c r="AK28" s="16">
        <f t="shared" ca="1" si="16"/>
        <v>6.7734741073088814E-2</v>
      </c>
      <c r="AL28" s="16">
        <f t="shared" ca="1" si="17"/>
        <v>0.20855170278090959</v>
      </c>
      <c r="AM28" s="85">
        <f ca="1">Stability!Q28</f>
        <v>1.4126195587998653E-2</v>
      </c>
      <c r="AN28" s="1">
        <f t="shared" si="18"/>
        <v>3.0789473684210535</v>
      </c>
      <c r="AO28" s="1">
        <f t="shared" ca="1" si="19"/>
        <v>2.8662050848049264E-2</v>
      </c>
      <c r="AP28" s="52">
        <f t="shared" si="31"/>
        <v>6.3400000000000003E-6</v>
      </c>
      <c r="AQ28" s="56">
        <f t="shared" ca="1" si="1"/>
        <v>667454.2953855776</v>
      </c>
      <c r="AR28" s="12">
        <f t="shared" si="32"/>
        <v>0.1</v>
      </c>
      <c r="AS28" s="16">
        <f t="shared" si="20"/>
        <v>1.331</v>
      </c>
      <c r="AT28" s="12">
        <f t="shared" si="33"/>
        <v>1.03</v>
      </c>
      <c r="AU28" s="12">
        <f t="shared" si="34"/>
        <v>1.1000000000000001</v>
      </c>
      <c r="AV28" s="6"/>
      <c r="AW28" s="42"/>
      <c r="AX28" s="42"/>
      <c r="AY28" s="16"/>
      <c r="AZ28" s="42"/>
      <c r="BA28" s="42"/>
      <c r="BB28" s="42"/>
      <c r="BC28" s="20"/>
      <c r="BD28" s="20"/>
      <c r="BE28" s="20"/>
      <c r="BF28" s="19"/>
      <c r="BG28" s="6"/>
      <c r="BH28" s="6"/>
      <c r="BI28" s="16"/>
      <c r="BJ28" s="16"/>
      <c r="BK28" s="6"/>
      <c r="BL28" s="16"/>
      <c r="BM28" s="16"/>
      <c r="BN28" s="16"/>
      <c r="BO28" s="6"/>
      <c r="BP28" s="16"/>
      <c r="BQ28" s="16"/>
      <c r="BR28" s="16"/>
      <c r="BS28" s="6"/>
      <c r="BT28" s="6"/>
      <c r="BU28" s="6"/>
      <c r="BV28" s="6"/>
      <c r="BW28" s="6"/>
    </row>
    <row r="29" spans="2:75">
      <c r="B29" s="16">
        <f>'Airfoil-Takeoff'!D29</f>
        <v>1.2249994633486807</v>
      </c>
      <c r="C29" s="74">
        <f>'Airfoil-Takeoff'!E29</f>
        <v>1.783E-5</v>
      </c>
      <c r="E29" s="31">
        <f>Main!B29</f>
        <v>0.33333333333333326</v>
      </c>
      <c r="F29" s="31">
        <f>Main!C29</f>
        <v>2.1315789473684212</v>
      </c>
      <c r="G29" s="1">
        <f t="shared" si="21"/>
        <v>0.71052631578947356</v>
      </c>
      <c r="H29" s="1">
        <f t="shared" si="22"/>
        <v>6.3947368421052664</v>
      </c>
      <c r="I29" s="1">
        <f t="shared" si="2"/>
        <v>6.3947368421052664</v>
      </c>
      <c r="J29" s="1">
        <f t="shared" si="3"/>
        <v>0</v>
      </c>
      <c r="K29" s="52">
        <f t="shared" si="23"/>
        <v>6.3400000000000003E-6</v>
      </c>
      <c r="L29" s="56">
        <f t="shared" si="4"/>
        <v>3574113.7305968194</v>
      </c>
      <c r="M29" s="12">
        <f t="shared" si="24"/>
        <v>1</v>
      </c>
      <c r="N29" s="63">
        <f>1*F29*0+MAX(Stability!J29,Stability!P29)+2*Stability!D29</f>
        <v>2.5499999999999998</v>
      </c>
      <c r="O29" s="12">
        <f>Stability!$J$8</f>
        <v>0.1</v>
      </c>
      <c r="P29" s="12">
        <f>Stability!$J$7</f>
        <v>0.1</v>
      </c>
      <c r="Q29" s="1">
        <f t="shared" si="5"/>
        <v>0.11283791670955128</v>
      </c>
      <c r="R29" s="16">
        <f t="shared" si="6"/>
        <v>22.598786599045326</v>
      </c>
      <c r="S29" s="88">
        <f t="shared" si="7"/>
        <v>0.45197573198090663</v>
      </c>
      <c r="T29" s="1">
        <f t="shared" si="0"/>
        <v>1.0000000000000002E-2</v>
      </c>
      <c r="U29" s="52">
        <f t="shared" si="25"/>
        <v>6.3400000000000003E-6</v>
      </c>
      <c r="V29" s="56">
        <f t="shared" si="8"/>
        <v>30455368.531237673</v>
      </c>
      <c r="W29" s="16">
        <f t="shared" si="9"/>
        <v>1.0616956800313269</v>
      </c>
      <c r="X29" s="12">
        <f t="shared" si="26"/>
        <v>1</v>
      </c>
      <c r="Y29" s="12">
        <f t="shared" si="27"/>
        <v>1</v>
      </c>
      <c r="Z29" s="42">
        <f t="shared" si="10"/>
        <v>2.1692620840518632E-6</v>
      </c>
      <c r="AA29" s="16">
        <f t="shared" ca="1" si="11"/>
        <v>0.1188489651900262</v>
      </c>
      <c r="AB29" s="16">
        <f t="shared" ca="1" si="12"/>
        <v>0.38000392831357355</v>
      </c>
      <c r="AC29" s="85">
        <f ca="1">Stability!K29</f>
        <v>4.5163073631874995E-2</v>
      </c>
      <c r="AD29" s="31">
        <f>Main!E29</f>
        <v>3.1973684210526327</v>
      </c>
      <c r="AE29" s="1">
        <f t="shared" ca="1" si="13"/>
        <v>9.1635876399074362E-2</v>
      </c>
      <c r="AF29" s="52">
        <f t="shared" si="28"/>
        <v>6.3400000000000003E-6</v>
      </c>
      <c r="AG29" s="56">
        <f t="shared" ca="1" si="14"/>
        <v>1206555.2405295712</v>
      </c>
      <c r="AH29" s="12">
        <f t="shared" si="29"/>
        <v>0.1</v>
      </c>
      <c r="AI29" s="16">
        <f t="shared" si="15"/>
        <v>1.331</v>
      </c>
      <c r="AJ29" s="12">
        <f t="shared" si="30"/>
        <v>1.03</v>
      </c>
      <c r="AK29" s="16">
        <f t="shared" ca="1" si="16"/>
        <v>6.8385633791771469E-2</v>
      </c>
      <c r="AL29" s="16">
        <f t="shared" ca="1" si="17"/>
        <v>0.21865406594337361</v>
      </c>
      <c r="AM29" s="85">
        <f ca="1">Stability!Q29</f>
        <v>1.4952796880420957E-2</v>
      </c>
      <c r="AN29" s="1">
        <f t="shared" si="18"/>
        <v>3.1973684210526327</v>
      </c>
      <c r="AO29" s="1">
        <f t="shared" ca="1" si="19"/>
        <v>3.0339224870374121E-2</v>
      </c>
      <c r="AP29" s="52">
        <f t="shared" si="31"/>
        <v>6.3400000000000003E-6</v>
      </c>
      <c r="AQ29" s="56">
        <f t="shared" ca="1" si="1"/>
        <v>674209.8045422947</v>
      </c>
      <c r="AR29" s="12">
        <f t="shared" si="32"/>
        <v>0.1</v>
      </c>
      <c r="AS29" s="16">
        <f t="shared" si="20"/>
        <v>1.331</v>
      </c>
      <c r="AT29" s="12">
        <f t="shared" si="33"/>
        <v>1.03</v>
      </c>
      <c r="AU29" s="12">
        <f t="shared" si="34"/>
        <v>1.1000000000000001</v>
      </c>
      <c r="AV29" s="6"/>
      <c r="AW29" s="42"/>
      <c r="AX29" s="42"/>
      <c r="AY29" s="16"/>
      <c r="AZ29" s="42"/>
      <c r="BA29" s="42"/>
      <c r="BB29" s="42"/>
      <c r="BC29" s="20"/>
      <c r="BD29" s="20"/>
      <c r="BE29" s="20"/>
      <c r="BF29" s="19"/>
      <c r="BG29" s="6"/>
      <c r="BH29" s="6"/>
      <c r="BI29" s="16"/>
      <c r="BJ29" s="16"/>
      <c r="BK29" s="6"/>
      <c r="BL29" s="16"/>
      <c r="BM29" s="16"/>
      <c r="BN29" s="16"/>
      <c r="BO29" s="6"/>
      <c r="BP29" s="16"/>
      <c r="BQ29" s="16"/>
      <c r="BR29" s="16"/>
      <c r="BS29" s="6"/>
      <c r="BT29" s="6"/>
      <c r="BU29" s="6"/>
      <c r="BV29" s="6"/>
      <c r="BW29" s="6"/>
    </row>
    <row r="30" spans="2:75">
      <c r="B30" s="16">
        <f>'Airfoil-Takeoff'!D30</f>
        <v>1.2249994633486807</v>
      </c>
      <c r="C30" s="74">
        <f>'Airfoil-Takeoff'!E30</f>
        <v>1.783E-5</v>
      </c>
      <c r="E30" s="31">
        <f>Main!B30</f>
        <v>0.33333333333333326</v>
      </c>
      <c r="F30" s="31">
        <f>Main!C30</f>
        <v>2.2105263157894739</v>
      </c>
      <c r="G30" s="1">
        <f t="shared" si="21"/>
        <v>0.73684210526315785</v>
      </c>
      <c r="H30" s="1">
        <f t="shared" si="22"/>
        <v>6.631578947368423</v>
      </c>
      <c r="I30" s="1">
        <f t="shared" si="2"/>
        <v>6.631578947368423</v>
      </c>
      <c r="J30" s="1">
        <f t="shared" si="3"/>
        <v>0</v>
      </c>
      <c r="K30" s="52">
        <f t="shared" si="23"/>
        <v>6.3400000000000003E-6</v>
      </c>
      <c r="L30" s="56">
        <f t="shared" si="4"/>
        <v>3574113.7305968194</v>
      </c>
      <c r="M30" s="12">
        <f t="shared" si="24"/>
        <v>1</v>
      </c>
      <c r="N30" s="63">
        <f>1*F30*0+MAX(Stability!J30,Stability!P30)+2*Stability!D30</f>
        <v>2.5499999999999998</v>
      </c>
      <c r="O30" s="12">
        <f>Stability!$J$8</f>
        <v>0.1</v>
      </c>
      <c r="P30" s="12">
        <f>Stability!$J$7</f>
        <v>0.1</v>
      </c>
      <c r="Q30" s="1">
        <f t="shared" si="5"/>
        <v>0.11283791670955128</v>
      </c>
      <c r="R30" s="16">
        <f t="shared" si="6"/>
        <v>22.598786599045326</v>
      </c>
      <c r="S30" s="88">
        <f t="shared" si="7"/>
        <v>0.45197573198090663</v>
      </c>
      <c r="T30" s="1">
        <f t="shared" si="0"/>
        <v>1.0000000000000002E-2</v>
      </c>
      <c r="U30" s="52">
        <f t="shared" si="25"/>
        <v>6.3400000000000003E-6</v>
      </c>
      <c r="V30" s="56">
        <f t="shared" si="8"/>
        <v>30455368.531237673</v>
      </c>
      <c r="W30" s="16">
        <f t="shared" si="9"/>
        <v>1.0616956800313269</v>
      </c>
      <c r="X30" s="12">
        <f t="shared" si="26"/>
        <v>1</v>
      </c>
      <c r="Y30" s="12">
        <f t="shared" si="27"/>
        <v>1</v>
      </c>
      <c r="Z30" s="42">
        <f t="shared" si="10"/>
        <v>2.0917884381928679E-6</v>
      </c>
      <c r="AA30" s="16">
        <f t="shared" ca="1" si="11"/>
        <v>0.11826591450634107</v>
      </c>
      <c r="AB30" s="16">
        <f t="shared" ca="1" si="12"/>
        <v>0.39214487454787061</v>
      </c>
      <c r="AC30" s="85">
        <f ca="1">Stability!K30</f>
        <v>4.6377372192058779E-2</v>
      </c>
      <c r="AD30" s="31">
        <f>Main!E30</f>
        <v>3.3157894736842115</v>
      </c>
      <c r="AE30" s="1">
        <f t="shared" ca="1" si="13"/>
        <v>9.4099688177687255E-2</v>
      </c>
      <c r="AF30" s="52">
        <f t="shared" si="28"/>
        <v>6.3400000000000003E-6</v>
      </c>
      <c r="AG30" s="56">
        <f t="shared" ca="1" si="14"/>
        <v>1200323.2048030375</v>
      </c>
      <c r="AH30" s="12">
        <f t="shared" si="29"/>
        <v>0.1</v>
      </c>
      <c r="AI30" s="16">
        <f t="shared" si="15"/>
        <v>1.331</v>
      </c>
      <c r="AJ30" s="12">
        <f t="shared" si="30"/>
        <v>1.03</v>
      </c>
      <c r="AK30" s="16">
        <f t="shared" ca="1" si="16"/>
        <v>6.9045777912643116E-2</v>
      </c>
      <c r="AL30" s="16">
        <f t="shared" ca="1" si="17"/>
        <v>0.22894126360965508</v>
      </c>
      <c r="AM30" s="85">
        <f ca="1">Stability!Q30</f>
        <v>1.5807427641918392E-2</v>
      </c>
      <c r="AN30" s="1">
        <f t="shared" si="18"/>
        <v>3.3157894736842115</v>
      </c>
      <c r="AO30" s="1">
        <f t="shared" ca="1" si="19"/>
        <v>3.2073270685452418E-2</v>
      </c>
      <c r="AP30" s="52">
        <f t="shared" si="31"/>
        <v>6.3400000000000003E-6</v>
      </c>
      <c r="AQ30" s="56">
        <f t="shared" ca="1" si="1"/>
        <v>681064.81410586089</v>
      </c>
      <c r="AR30" s="12">
        <f t="shared" si="32"/>
        <v>0.1</v>
      </c>
      <c r="AS30" s="16">
        <f t="shared" si="20"/>
        <v>1.331</v>
      </c>
      <c r="AT30" s="12">
        <f t="shared" si="33"/>
        <v>1.03</v>
      </c>
      <c r="AU30" s="12">
        <f t="shared" si="34"/>
        <v>1.1000000000000001</v>
      </c>
      <c r="AV30" s="6"/>
      <c r="AW30" s="42"/>
      <c r="AX30" s="42"/>
      <c r="AY30" s="16"/>
      <c r="AZ30" s="42"/>
      <c r="BA30" s="42"/>
      <c r="BB30" s="42"/>
      <c r="BC30" s="20"/>
      <c r="BD30" s="20"/>
      <c r="BE30" s="20"/>
      <c r="BF30" s="19"/>
      <c r="BG30" s="6"/>
      <c r="BH30" s="6"/>
      <c r="BI30" s="16"/>
      <c r="BJ30" s="16"/>
      <c r="BK30" s="6"/>
      <c r="BL30" s="16"/>
      <c r="BM30" s="16"/>
      <c r="BN30" s="16"/>
      <c r="BO30" s="6"/>
      <c r="BP30" s="16"/>
      <c r="BQ30" s="16"/>
      <c r="BR30" s="16"/>
      <c r="BS30" s="6"/>
      <c r="BT30" s="6"/>
      <c r="BU30" s="6"/>
      <c r="BV30" s="6"/>
      <c r="BW30" s="6"/>
    </row>
    <row r="31" spans="2:75">
      <c r="B31" s="16">
        <f>'Airfoil-Takeoff'!D31</f>
        <v>1.2249994633486807</v>
      </c>
      <c r="C31" s="74">
        <f>'Airfoil-Takeoff'!E31</f>
        <v>1.783E-5</v>
      </c>
      <c r="E31" s="31">
        <f>Main!B31</f>
        <v>0.33333333333333326</v>
      </c>
      <c r="F31" s="31">
        <f>Main!C31</f>
        <v>2.2894736842105265</v>
      </c>
      <c r="G31" s="1">
        <f t="shared" si="21"/>
        <v>0.76315789473684204</v>
      </c>
      <c r="H31" s="1">
        <f t="shared" si="22"/>
        <v>6.8684210526315805</v>
      </c>
      <c r="I31" s="1">
        <f t="shared" si="2"/>
        <v>6.8684210526315805</v>
      </c>
      <c r="J31" s="1">
        <f t="shared" si="3"/>
        <v>0</v>
      </c>
      <c r="K31" s="52">
        <f t="shared" si="23"/>
        <v>6.3400000000000003E-6</v>
      </c>
      <c r="L31" s="56">
        <f t="shared" si="4"/>
        <v>3574113.7305968194</v>
      </c>
      <c r="M31" s="12">
        <f t="shared" si="24"/>
        <v>1</v>
      </c>
      <c r="N31" s="63">
        <f>1*F31*0+MAX(Stability!J31,Stability!P31)+2*Stability!D31</f>
        <v>2.5499999999999998</v>
      </c>
      <c r="O31" s="12">
        <f>Stability!$J$8</f>
        <v>0.1</v>
      </c>
      <c r="P31" s="12">
        <f>Stability!$J$7</f>
        <v>0.1</v>
      </c>
      <c r="Q31" s="1">
        <f t="shared" si="5"/>
        <v>0.11283791670955128</v>
      </c>
      <c r="R31" s="16">
        <f t="shared" si="6"/>
        <v>22.598786599045326</v>
      </c>
      <c r="S31" s="88">
        <f t="shared" si="7"/>
        <v>0.45197573198090663</v>
      </c>
      <c r="T31" s="1">
        <f t="shared" si="0"/>
        <v>1.0000000000000002E-2</v>
      </c>
      <c r="U31" s="52">
        <f t="shared" si="25"/>
        <v>6.3400000000000003E-6</v>
      </c>
      <c r="V31" s="56">
        <f t="shared" si="8"/>
        <v>30455368.531237673</v>
      </c>
      <c r="W31" s="16">
        <f t="shared" si="9"/>
        <v>1.0616956800313269</v>
      </c>
      <c r="X31" s="12">
        <f t="shared" si="26"/>
        <v>1</v>
      </c>
      <c r="Y31" s="12">
        <f t="shared" si="27"/>
        <v>1</v>
      </c>
      <c r="Z31" s="42">
        <f t="shared" si="10"/>
        <v>2.0196578023931139E-6</v>
      </c>
      <c r="AA31" s="16">
        <f t="shared" ca="1" si="11"/>
        <v>0.11771714070118766</v>
      </c>
      <c r="AB31" s="16">
        <f t="shared" ca="1" si="12"/>
        <v>0.40426544384858304</v>
      </c>
      <c r="AC31" s="85">
        <f ca="1">Stability!K31</f>
        <v>4.758897211975064E-2</v>
      </c>
      <c r="AD31" s="31">
        <f>Main!E31</f>
        <v>3.4342105263157907</v>
      </c>
      <c r="AE31" s="1">
        <f t="shared" ca="1" si="13"/>
        <v>9.655802443097404E-2</v>
      </c>
      <c r="AF31" s="52">
        <f t="shared" si="28"/>
        <v>6.3400000000000003E-6</v>
      </c>
      <c r="AG31" s="56">
        <f t="shared" ca="1" si="14"/>
        <v>1194459.0305451471</v>
      </c>
      <c r="AH31" s="12">
        <f t="shared" si="29"/>
        <v>0.1</v>
      </c>
      <c r="AI31" s="16">
        <f t="shared" si="15"/>
        <v>1.331</v>
      </c>
      <c r="AJ31" s="12">
        <f t="shared" si="30"/>
        <v>1.03</v>
      </c>
      <c r="AK31" s="16">
        <f t="shared" ca="1" si="16"/>
        <v>6.971291229370237E-2</v>
      </c>
      <c r="AL31" s="16">
        <f t="shared" ca="1" si="17"/>
        <v>0.23940881722444329</v>
      </c>
      <c r="AM31" s="85">
        <f ca="1">Stability!Q31</f>
        <v>1.6689885877140986E-2</v>
      </c>
      <c r="AN31" s="1">
        <f t="shared" si="18"/>
        <v>3.4342105263157907</v>
      </c>
      <c r="AO31" s="1">
        <f t="shared" ca="1" si="19"/>
        <v>3.3863778444719057E-2</v>
      </c>
      <c r="AP31" s="52">
        <f t="shared" si="31"/>
        <v>6.3400000000000003E-6</v>
      </c>
      <c r="AQ31" s="56">
        <f t="shared" ca="1" si="1"/>
        <v>687995.94115314656</v>
      </c>
      <c r="AR31" s="12">
        <f t="shared" si="32"/>
        <v>0.1</v>
      </c>
      <c r="AS31" s="16">
        <f t="shared" si="20"/>
        <v>1.331</v>
      </c>
      <c r="AT31" s="12">
        <f t="shared" si="33"/>
        <v>1.03</v>
      </c>
      <c r="AU31" s="12">
        <f t="shared" si="34"/>
        <v>1.1000000000000001</v>
      </c>
      <c r="AV31" s="6"/>
      <c r="AW31" s="42"/>
      <c r="AX31" s="42"/>
      <c r="AY31" s="16"/>
      <c r="AZ31" s="42"/>
      <c r="BA31" s="42"/>
      <c r="BB31" s="42"/>
      <c r="BC31" s="20"/>
      <c r="BD31" s="20"/>
      <c r="BE31" s="20"/>
      <c r="BF31" s="19"/>
      <c r="BG31" s="6"/>
      <c r="BH31" s="6"/>
      <c r="BI31" s="16"/>
      <c r="BJ31" s="16"/>
      <c r="BK31" s="6"/>
      <c r="BL31" s="16"/>
      <c r="BM31" s="16"/>
      <c r="BN31" s="16"/>
      <c r="BO31" s="6"/>
      <c r="BP31" s="16"/>
      <c r="BQ31" s="16"/>
      <c r="BR31" s="16"/>
      <c r="BS31" s="6"/>
      <c r="BT31" s="6"/>
      <c r="BU31" s="6"/>
      <c r="BV31" s="6"/>
      <c r="BW31" s="6"/>
    </row>
    <row r="32" spans="2:75">
      <c r="B32" s="16">
        <f>'Airfoil-Takeoff'!D32</f>
        <v>1.2249994633486807</v>
      </c>
      <c r="C32" s="74">
        <f>'Airfoil-Takeoff'!E32</f>
        <v>1.783E-5</v>
      </c>
      <c r="E32" s="31">
        <f>Main!B32</f>
        <v>0.33333333333333326</v>
      </c>
      <c r="F32" s="31">
        <f>Main!C32</f>
        <v>2.3684210526315792</v>
      </c>
      <c r="G32" s="1">
        <f t="shared" si="21"/>
        <v>0.78947368421052622</v>
      </c>
      <c r="H32" s="1">
        <f t="shared" si="22"/>
        <v>7.1052631578947389</v>
      </c>
      <c r="I32" s="1">
        <f t="shared" si="2"/>
        <v>7.1052631578947389</v>
      </c>
      <c r="J32" s="1">
        <f t="shared" si="3"/>
        <v>0</v>
      </c>
      <c r="K32" s="52">
        <f t="shared" si="23"/>
        <v>6.3400000000000003E-6</v>
      </c>
      <c r="L32" s="56">
        <f t="shared" si="4"/>
        <v>3574113.7305968194</v>
      </c>
      <c r="M32" s="12">
        <f t="shared" si="24"/>
        <v>1</v>
      </c>
      <c r="N32" s="63">
        <f>1*F32*0+MAX(Stability!J32,Stability!P32)+2*Stability!D32</f>
        <v>2.5499999999999998</v>
      </c>
      <c r="O32" s="12">
        <f>Stability!$J$8</f>
        <v>0.1</v>
      </c>
      <c r="P32" s="12">
        <f>Stability!$J$7</f>
        <v>0.1</v>
      </c>
      <c r="Q32" s="1">
        <f t="shared" si="5"/>
        <v>0.11283791670955128</v>
      </c>
      <c r="R32" s="16">
        <f t="shared" si="6"/>
        <v>22.598786599045326</v>
      </c>
      <c r="S32" s="88">
        <f t="shared" si="7"/>
        <v>0.45197573198090663</v>
      </c>
      <c r="T32" s="1">
        <f t="shared" si="0"/>
        <v>1.0000000000000002E-2</v>
      </c>
      <c r="U32" s="52">
        <f t="shared" si="25"/>
        <v>6.3400000000000003E-6</v>
      </c>
      <c r="V32" s="56">
        <f t="shared" si="8"/>
        <v>30455368.531237673</v>
      </c>
      <c r="W32" s="16">
        <f t="shared" si="9"/>
        <v>1.0616956800313269</v>
      </c>
      <c r="X32" s="12">
        <f t="shared" si="26"/>
        <v>1</v>
      </c>
      <c r="Y32" s="12">
        <f t="shared" si="27"/>
        <v>1</v>
      </c>
      <c r="Z32" s="42">
        <f t="shared" si="10"/>
        <v>1.9523358756466768E-6</v>
      </c>
      <c r="AA32" s="16">
        <f t="shared" ca="1" si="11"/>
        <v>0.11719996913190896</v>
      </c>
      <c r="AB32" s="16">
        <f t="shared" ca="1" si="12"/>
        <v>0.41636831150739007</v>
      </c>
      <c r="AC32" s="85">
        <f ca="1">Stability!K32</f>
        <v>4.8798353242644012E-2</v>
      </c>
      <c r="AD32" s="31">
        <f>Main!E32</f>
        <v>3.5526315789473695</v>
      </c>
      <c r="AE32" s="1">
        <f t="shared" ca="1" si="13"/>
        <v>9.9011858729324692E-2</v>
      </c>
      <c r="AF32" s="52">
        <f t="shared" si="28"/>
        <v>6.3400000000000003E-6</v>
      </c>
      <c r="AG32" s="56">
        <f t="shared" ca="1" si="14"/>
        <v>1188933.8823448524</v>
      </c>
      <c r="AH32" s="12">
        <f t="shared" si="29"/>
        <v>0.1</v>
      </c>
      <c r="AI32" s="16">
        <f t="shared" si="15"/>
        <v>1.331</v>
      </c>
      <c r="AJ32" s="12">
        <f t="shared" si="30"/>
        <v>1.03</v>
      </c>
      <c r="AK32" s="16">
        <f t="shared" ca="1" si="16"/>
        <v>7.0385176930759144E-2</v>
      </c>
      <c r="AL32" s="16">
        <f t="shared" ca="1" si="17"/>
        <v>0.2500526022600188</v>
      </c>
      <c r="AM32" s="85">
        <f ca="1">Stability!Q32</f>
        <v>1.7599996651648308E-2</v>
      </c>
      <c r="AN32" s="1">
        <f t="shared" si="18"/>
        <v>3.5526315789473695</v>
      </c>
      <c r="AO32" s="1">
        <f t="shared" ca="1" si="19"/>
        <v>3.5710393206194416E-2</v>
      </c>
      <c r="AP32" s="52">
        <f t="shared" si="31"/>
        <v>6.3400000000000003E-6</v>
      </c>
      <c r="AQ32" s="56">
        <f t="shared" ca="1" si="1"/>
        <v>694983.92545880983</v>
      </c>
      <c r="AR32" s="12">
        <f t="shared" si="32"/>
        <v>0.1</v>
      </c>
      <c r="AS32" s="16">
        <f t="shared" si="20"/>
        <v>1.331</v>
      </c>
      <c r="AT32" s="12">
        <f t="shared" si="33"/>
        <v>1.03</v>
      </c>
      <c r="AU32" s="12">
        <f t="shared" si="34"/>
        <v>1.1000000000000001</v>
      </c>
      <c r="AV32" s="6"/>
      <c r="AW32" s="42"/>
      <c r="AX32" s="42"/>
      <c r="AY32" s="16"/>
      <c r="AZ32" s="42"/>
      <c r="BA32" s="42"/>
      <c r="BB32" s="42"/>
      <c r="BC32" s="20"/>
      <c r="BD32" s="20"/>
      <c r="BE32" s="20"/>
      <c r="BF32" s="19"/>
      <c r="BG32" s="6"/>
      <c r="BH32" s="6"/>
      <c r="BI32" s="16"/>
      <c r="BJ32" s="16"/>
      <c r="BK32" s="6"/>
      <c r="BL32" s="16"/>
      <c r="BM32" s="16"/>
      <c r="BN32" s="16"/>
      <c r="BO32" s="6"/>
      <c r="BP32" s="16"/>
      <c r="BQ32" s="16"/>
      <c r="BR32" s="16"/>
      <c r="BS32" s="6"/>
      <c r="BT32" s="6"/>
      <c r="BU32" s="6"/>
      <c r="BV32" s="6"/>
      <c r="BW32" s="6"/>
    </row>
    <row r="33" spans="2:75">
      <c r="B33" s="16">
        <f>'Airfoil-Takeoff'!D33</f>
        <v>1.2249994633486807</v>
      </c>
      <c r="C33" s="74">
        <f>'Airfoil-Takeoff'!E33</f>
        <v>1.783E-5</v>
      </c>
      <c r="E33" s="31">
        <f>Main!B33</f>
        <v>0.33333333333333326</v>
      </c>
      <c r="F33" s="31">
        <f>Main!C33</f>
        <v>2.4473684210526319</v>
      </c>
      <c r="G33" s="1">
        <f t="shared" si="21"/>
        <v>0.8157894736842104</v>
      </c>
      <c r="H33" s="1">
        <f t="shared" si="22"/>
        <v>7.3421052631578974</v>
      </c>
      <c r="I33" s="1">
        <f t="shared" si="2"/>
        <v>7.3421052631578974</v>
      </c>
      <c r="J33" s="1">
        <f t="shared" si="3"/>
        <v>0</v>
      </c>
      <c r="K33" s="52">
        <f t="shared" si="23"/>
        <v>6.3400000000000003E-6</v>
      </c>
      <c r="L33" s="56">
        <f t="shared" si="4"/>
        <v>3574113.7305968194</v>
      </c>
      <c r="M33" s="12">
        <f t="shared" si="24"/>
        <v>1</v>
      </c>
      <c r="N33" s="63">
        <f>1*F33*0+MAX(Stability!J33,Stability!P33)+2*Stability!D33</f>
        <v>2.5499999999999998</v>
      </c>
      <c r="O33" s="12">
        <f>Stability!$J$8</f>
        <v>0.1</v>
      </c>
      <c r="P33" s="12">
        <f>Stability!$J$7</f>
        <v>0.1</v>
      </c>
      <c r="Q33" s="1">
        <f t="shared" si="5"/>
        <v>0.11283791670955128</v>
      </c>
      <c r="R33" s="16">
        <f t="shared" si="6"/>
        <v>22.598786599045326</v>
      </c>
      <c r="S33" s="88">
        <f t="shared" si="7"/>
        <v>0.45197573198090663</v>
      </c>
      <c r="T33" s="1">
        <f t="shared" si="0"/>
        <v>1.0000000000000002E-2</v>
      </c>
      <c r="U33" s="52">
        <f t="shared" si="25"/>
        <v>6.3400000000000003E-6</v>
      </c>
      <c r="V33" s="56">
        <f t="shared" si="8"/>
        <v>30455368.531237673</v>
      </c>
      <c r="W33" s="16">
        <f t="shared" si="9"/>
        <v>1.0616956800313269</v>
      </c>
      <c r="X33" s="12">
        <f t="shared" si="26"/>
        <v>1</v>
      </c>
      <c r="Y33" s="12">
        <f t="shared" si="27"/>
        <v>1</v>
      </c>
      <c r="Z33" s="42">
        <f t="shared" si="10"/>
        <v>1.8893572990129131E-6</v>
      </c>
      <c r="AA33" s="16">
        <f t="shared" ca="1" si="11"/>
        <v>0.11671197238369811</v>
      </c>
      <c r="AB33" s="16">
        <f t="shared" ca="1" si="12"/>
        <v>0.42845579347519991</v>
      </c>
      <c r="AC33" s="85">
        <f ca="1">Stability!K33</f>
        <v>5.000592072206575E-2</v>
      </c>
      <c r="AD33" s="31">
        <f>Main!E33</f>
        <v>3.6710526315789487</v>
      </c>
      <c r="AE33" s="1">
        <f t="shared" ca="1" si="13"/>
        <v>0.1014620131450714</v>
      </c>
      <c r="AF33" s="52">
        <f t="shared" si="28"/>
        <v>6.3400000000000003E-6</v>
      </c>
      <c r="AG33" s="56">
        <f t="shared" ca="1" si="14"/>
        <v>1183721.6049610074</v>
      </c>
      <c r="AH33" s="12">
        <f t="shared" si="29"/>
        <v>0.1</v>
      </c>
      <c r="AI33" s="16">
        <f t="shared" si="15"/>
        <v>1.331</v>
      </c>
      <c r="AJ33" s="12">
        <f t="shared" si="30"/>
        <v>1.03</v>
      </c>
      <c r="AK33" s="16">
        <f t="shared" ca="1" si="16"/>
        <v>7.1061036589059462E-2</v>
      </c>
      <c r="AL33" s="16">
        <f t="shared" ca="1" si="17"/>
        <v>0.26086880537974011</v>
      </c>
      <c r="AM33" s="85">
        <f ca="1">Stability!Q33</f>
        <v>1.8537607723557867E-2</v>
      </c>
      <c r="AN33" s="1">
        <f t="shared" si="18"/>
        <v>3.6710526315789487</v>
      </c>
      <c r="AO33" s="1">
        <f t="shared" ca="1" si="19"/>
        <v>3.761280607109891E-2</v>
      </c>
      <c r="AP33" s="52">
        <f t="shared" si="31"/>
        <v>6.3400000000000003E-6</v>
      </c>
      <c r="AQ33" s="56">
        <f t="shared" ca="1" si="1"/>
        <v>702012.84565138875</v>
      </c>
      <c r="AR33" s="12">
        <f t="shared" si="32"/>
        <v>0.1</v>
      </c>
      <c r="AS33" s="16">
        <f t="shared" si="20"/>
        <v>1.331</v>
      </c>
      <c r="AT33" s="12">
        <f t="shared" si="33"/>
        <v>1.03</v>
      </c>
      <c r="AU33" s="12">
        <f t="shared" si="34"/>
        <v>1.1000000000000001</v>
      </c>
      <c r="AV33" s="6"/>
      <c r="AW33" s="42"/>
      <c r="AX33" s="42"/>
      <c r="AY33" s="16"/>
      <c r="AZ33" s="42"/>
      <c r="BA33" s="42"/>
      <c r="BB33" s="42"/>
      <c r="BC33" s="20"/>
      <c r="BD33" s="20"/>
      <c r="BE33" s="20"/>
      <c r="BF33" s="19"/>
      <c r="BG33" s="6"/>
      <c r="BH33" s="6"/>
      <c r="BI33" s="16"/>
      <c r="BJ33" s="16"/>
      <c r="BK33" s="6"/>
      <c r="BL33" s="16"/>
      <c r="BM33" s="16"/>
      <c r="BN33" s="16"/>
      <c r="BO33" s="6"/>
      <c r="BP33" s="16"/>
      <c r="BQ33" s="16"/>
      <c r="BR33" s="16"/>
      <c r="BS33" s="6"/>
      <c r="BT33" s="6"/>
      <c r="BU33" s="6"/>
      <c r="BV33" s="6"/>
      <c r="BW33" s="6"/>
    </row>
    <row r="34" spans="2:75">
      <c r="B34" s="16">
        <f>'Airfoil-Takeoff'!D34</f>
        <v>1.2249994633486807</v>
      </c>
      <c r="C34" s="74">
        <f>'Airfoil-Takeoff'!E34</f>
        <v>1.783E-5</v>
      </c>
      <c r="E34" s="31">
        <f>Main!B34</f>
        <v>0.33333333333333326</v>
      </c>
      <c r="F34" s="31">
        <f>Main!C34</f>
        <v>2.5263157894736845</v>
      </c>
      <c r="G34" s="1">
        <f t="shared" si="21"/>
        <v>0.84210526315789469</v>
      </c>
      <c r="H34" s="1">
        <f t="shared" si="22"/>
        <v>7.5789473684210549</v>
      </c>
      <c r="I34" s="1">
        <f t="shared" si="2"/>
        <v>7.5789473684210549</v>
      </c>
      <c r="J34" s="1">
        <f t="shared" si="3"/>
        <v>0</v>
      </c>
      <c r="K34" s="52">
        <f t="shared" si="23"/>
        <v>6.3400000000000003E-6</v>
      </c>
      <c r="L34" s="56">
        <f t="shared" si="4"/>
        <v>3574113.7305968194</v>
      </c>
      <c r="M34" s="12">
        <f t="shared" si="24"/>
        <v>1</v>
      </c>
      <c r="N34" s="63">
        <f>1*F34*0+MAX(Stability!J34,Stability!P34)+2*Stability!D34</f>
        <v>2.5499999999999998</v>
      </c>
      <c r="O34" s="12">
        <f>Stability!$J$8</f>
        <v>0.1</v>
      </c>
      <c r="P34" s="12">
        <f>Stability!$J$7</f>
        <v>0.1</v>
      </c>
      <c r="Q34" s="1">
        <f t="shared" si="5"/>
        <v>0.11283791670955128</v>
      </c>
      <c r="R34" s="16">
        <f t="shared" si="6"/>
        <v>22.598786599045326</v>
      </c>
      <c r="S34" s="88">
        <f t="shared" si="7"/>
        <v>0.45197573198090663</v>
      </c>
      <c r="T34" s="1">
        <f t="shared" si="0"/>
        <v>1.0000000000000002E-2</v>
      </c>
      <c r="U34" s="52">
        <f t="shared" si="25"/>
        <v>6.3400000000000003E-6</v>
      </c>
      <c r="V34" s="56">
        <f t="shared" si="8"/>
        <v>30455368.531237673</v>
      </c>
      <c r="W34" s="16">
        <f t="shared" si="9"/>
        <v>1.0616956800313269</v>
      </c>
      <c r="X34" s="12">
        <f t="shared" si="26"/>
        <v>1</v>
      </c>
      <c r="Y34" s="12">
        <f t="shared" si="27"/>
        <v>1</v>
      </c>
      <c r="Z34" s="42">
        <f t="shared" si="10"/>
        <v>1.8303148834187593E-6</v>
      </c>
      <c r="AA34" s="16">
        <f t="shared" ca="1" si="11"/>
        <v>0.11625102077091225</v>
      </c>
      <c r="AB34" s="16">
        <f t="shared" ca="1" si="12"/>
        <v>0.44053018409684375</v>
      </c>
      <c r="AC34" s="85">
        <f ca="1">Stability!K34</f>
        <v>5.1212083567651716E-2</v>
      </c>
      <c r="AD34" s="31">
        <f>Main!E34</f>
        <v>3.7894736842105274</v>
      </c>
      <c r="AE34" s="1">
        <f t="shared" ca="1" si="13"/>
        <v>0.10390931755876533</v>
      </c>
      <c r="AF34" s="52">
        <f t="shared" si="28"/>
        <v>6.3400000000000003E-6</v>
      </c>
      <c r="AG34" s="56">
        <f t="shared" ca="1" si="14"/>
        <v>1178799.2564094327</v>
      </c>
      <c r="AH34" s="12">
        <f t="shared" si="29"/>
        <v>0.1</v>
      </c>
      <c r="AI34" s="16">
        <f t="shared" si="15"/>
        <v>1.331</v>
      </c>
      <c r="AJ34" s="12">
        <f t="shared" si="30"/>
        <v>1.03</v>
      </c>
      <c r="AK34" s="16">
        <f t="shared" ca="1" si="16"/>
        <v>7.1739220435327822E-2</v>
      </c>
      <c r="AL34" s="16">
        <f t="shared" ca="1" si="17"/>
        <v>0.27185388797294813</v>
      </c>
      <c r="AM34" s="85">
        <f ca="1">Stability!Q34</f>
        <v>1.9502585994958192E-2</v>
      </c>
      <c r="AN34" s="1">
        <f t="shared" si="18"/>
        <v>3.7894736842105274</v>
      </c>
      <c r="AO34" s="1">
        <f t="shared" ca="1" si="19"/>
        <v>3.9570746983770166E-2</v>
      </c>
      <c r="AP34" s="52">
        <f t="shared" si="31"/>
        <v>6.3400000000000003E-6</v>
      </c>
      <c r="AQ34" s="56">
        <f t="shared" ca="1" si="1"/>
        <v>709069.49968962802</v>
      </c>
      <c r="AR34" s="12">
        <f t="shared" si="32"/>
        <v>0.1</v>
      </c>
      <c r="AS34" s="16">
        <f t="shared" si="20"/>
        <v>1.331</v>
      </c>
      <c r="AT34" s="12">
        <f t="shared" si="33"/>
        <v>1.03</v>
      </c>
      <c r="AU34" s="12">
        <f t="shared" si="34"/>
        <v>1.1000000000000001</v>
      </c>
      <c r="AV34" s="6"/>
      <c r="AW34" s="42"/>
      <c r="AX34" s="42"/>
      <c r="AY34" s="16"/>
      <c r="AZ34" s="42"/>
      <c r="BA34" s="42"/>
      <c r="BB34" s="42"/>
      <c r="BC34" s="20"/>
      <c r="BD34" s="20"/>
      <c r="BE34" s="20"/>
      <c r="BF34" s="19"/>
      <c r="BG34" s="6"/>
      <c r="BH34" s="6"/>
      <c r="BI34" s="16"/>
      <c r="BJ34" s="16"/>
      <c r="BK34" s="6"/>
      <c r="BL34" s="16"/>
      <c r="BM34" s="16"/>
      <c r="BN34" s="16"/>
      <c r="BO34" s="6"/>
      <c r="BP34" s="16"/>
      <c r="BQ34" s="16"/>
      <c r="BR34" s="16"/>
      <c r="BS34" s="6"/>
      <c r="BT34" s="6"/>
      <c r="BU34" s="6"/>
      <c r="BV34" s="6"/>
      <c r="BW34" s="6"/>
    </row>
    <row r="35" spans="2:75">
      <c r="B35" s="16">
        <f>'Airfoil-Takeoff'!D35</f>
        <v>1.2249994633486807</v>
      </c>
      <c r="C35" s="74">
        <f>'Airfoil-Takeoff'!E35</f>
        <v>1.783E-5</v>
      </c>
      <c r="E35" s="31">
        <f>Main!B35</f>
        <v>0.33333333333333326</v>
      </c>
      <c r="F35" s="31">
        <f>Main!C35</f>
        <v>2.6052631578947372</v>
      </c>
      <c r="G35" s="1">
        <f t="shared" si="21"/>
        <v>0.86842105263157887</v>
      </c>
      <c r="H35" s="1">
        <f t="shared" si="22"/>
        <v>7.8157894736842133</v>
      </c>
      <c r="I35" s="1">
        <f t="shared" si="2"/>
        <v>7.8157894736842133</v>
      </c>
      <c r="J35" s="1">
        <f t="shared" si="3"/>
        <v>0</v>
      </c>
      <c r="K35" s="52">
        <f t="shared" si="23"/>
        <v>6.3400000000000003E-6</v>
      </c>
      <c r="L35" s="56">
        <f t="shared" si="4"/>
        <v>3574113.7305968194</v>
      </c>
      <c r="M35" s="12">
        <f t="shared" si="24"/>
        <v>1</v>
      </c>
      <c r="N35" s="63">
        <f>1*F35*0+MAX(Stability!J35,Stability!P35)+2*Stability!D35</f>
        <v>2.5499999999999998</v>
      </c>
      <c r="O35" s="12">
        <f>Stability!$J$8</f>
        <v>0.1</v>
      </c>
      <c r="P35" s="12">
        <f>Stability!$J$7</f>
        <v>0.1</v>
      </c>
      <c r="Q35" s="1">
        <f t="shared" si="5"/>
        <v>0.11283791670955128</v>
      </c>
      <c r="R35" s="16">
        <f t="shared" si="6"/>
        <v>22.598786599045326</v>
      </c>
      <c r="S35" s="88">
        <f t="shared" si="7"/>
        <v>0.45197573198090663</v>
      </c>
      <c r="T35" s="1">
        <f t="shared" si="0"/>
        <v>1.0000000000000002E-2</v>
      </c>
      <c r="U35" s="52">
        <f t="shared" si="25"/>
        <v>6.3400000000000003E-6</v>
      </c>
      <c r="V35" s="56">
        <f t="shared" si="8"/>
        <v>30455368.531237673</v>
      </c>
      <c r="W35" s="16">
        <f t="shared" si="9"/>
        <v>1.0616956800313269</v>
      </c>
      <c r="X35" s="12">
        <f t="shared" si="26"/>
        <v>1</v>
      </c>
      <c r="Y35" s="12">
        <f t="shared" si="27"/>
        <v>1</v>
      </c>
      <c r="Z35" s="42">
        <f t="shared" si="10"/>
        <v>1.7748507960424333E-6</v>
      </c>
      <c r="AA35" s="16">
        <f t="shared" ca="1" si="11"/>
        <v>0.11581539533312729</v>
      </c>
      <c r="AB35" s="16">
        <f t="shared" ca="1" si="12"/>
        <v>0.45259437399419639</v>
      </c>
      <c r="AC35" s="85">
        <f ca="1">Stability!K35</f>
        <v>5.2417396335312914E-2</v>
      </c>
      <c r="AD35" s="31">
        <f>Main!E35</f>
        <v>3.9078947368421066</v>
      </c>
      <c r="AE35" s="1">
        <f t="shared" ca="1" si="13"/>
        <v>0.1063548971643499</v>
      </c>
      <c r="AF35" s="52">
        <f t="shared" si="28"/>
        <v>6.3400000000000003E-6</v>
      </c>
      <c r="AG35" s="56">
        <f t="shared" ca="1" si="14"/>
        <v>1174148.3082231742</v>
      </c>
      <c r="AH35" s="12">
        <f t="shared" si="29"/>
        <v>0.1</v>
      </c>
      <c r="AI35" s="16">
        <f t="shared" si="15"/>
        <v>1.331</v>
      </c>
      <c r="AJ35" s="12">
        <f t="shared" si="30"/>
        <v>1.03</v>
      </c>
      <c r="AK35" s="16">
        <f t="shared" ca="1" si="16"/>
        <v>7.2418674003401323E-2</v>
      </c>
      <c r="AL35" s="16">
        <f t="shared" ca="1" si="17"/>
        <v>0.2830045549952287</v>
      </c>
      <c r="AM35" s="85">
        <f ca="1">Stability!Q35</f>
        <v>2.0494814609083551E-2</v>
      </c>
      <c r="AN35" s="1">
        <f t="shared" si="18"/>
        <v>3.9078947368421066</v>
      </c>
      <c r="AO35" s="1">
        <f t="shared" ca="1" si="19"/>
        <v>4.1583978841830523E-2</v>
      </c>
      <c r="AP35" s="52">
        <f t="shared" si="31"/>
        <v>6.3400000000000003E-6</v>
      </c>
      <c r="AQ35" s="56">
        <f t="shared" ca="1" si="1"/>
        <v>716142.91194094345</v>
      </c>
      <c r="AR35" s="12">
        <f t="shared" si="32"/>
        <v>0.1</v>
      </c>
      <c r="AS35" s="16">
        <f t="shared" si="20"/>
        <v>1.331</v>
      </c>
      <c r="AT35" s="12">
        <f t="shared" si="33"/>
        <v>1.03</v>
      </c>
      <c r="AU35" s="12">
        <f t="shared" si="34"/>
        <v>1.1000000000000001</v>
      </c>
      <c r="AV35" s="6"/>
      <c r="AW35" s="42"/>
      <c r="AX35" s="42"/>
      <c r="AY35" s="16"/>
      <c r="AZ35" s="42"/>
      <c r="BA35" s="42"/>
      <c r="BB35" s="42"/>
      <c r="BC35" s="20"/>
      <c r="BD35" s="20"/>
      <c r="BE35" s="20"/>
      <c r="BF35" s="19"/>
      <c r="BG35" s="6"/>
      <c r="BH35" s="6"/>
      <c r="BI35" s="16"/>
      <c r="BJ35" s="16"/>
      <c r="BK35" s="6"/>
      <c r="BL35" s="16"/>
      <c r="BM35" s="16"/>
      <c r="BN35" s="16"/>
      <c r="BO35" s="6"/>
      <c r="BP35" s="16"/>
      <c r="BQ35" s="16"/>
      <c r="BR35" s="16"/>
      <c r="BS35" s="6"/>
      <c r="BT35" s="6"/>
      <c r="BU35" s="6"/>
      <c r="BV35" s="6"/>
      <c r="BW35" s="6"/>
    </row>
    <row r="36" spans="2:75">
      <c r="B36" s="16">
        <f>'Airfoil-Takeoff'!D36</f>
        <v>1.2249994633486807</v>
      </c>
      <c r="C36" s="74">
        <f>'Airfoil-Takeoff'!E36</f>
        <v>1.783E-5</v>
      </c>
      <c r="E36" s="31">
        <f>Main!B36</f>
        <v>0.33333333333333326</v>
      </c>
      <c r="F36" s="31">
        <f>Main!C36</f>
        <v>2.6842105263157898</v>
      </c>
      <c r="G36" s="1">
        <f t="shared" si="21"/>
        <v>0.89473684210526305</v>
      </c>
      <c r="H36" s="1">
        <f t="shared" si="22"/>
        <v>8.0526315789473717</v>
      </c>
      <c r="I36" s="1">
        <f t="shared" si="2"/>
        <v>8.0526315789473717</v>
      </c>
      <c r="J36" s="1">
        <f t="shared" si="3"/>
        <v>0</v>
      </c>
      <c r="K36" s="52">
        <f t="shared" si="23"/>
        <v>6.3400000000000003E-6</v>
      </c>
      <c r="L36" s="56">
        <f t="shared" si="4"/>
        <v>3574113.7305968194</v>
      </c>
      <c r="M36" s="12">
        <f t="shared" si="24"/>
        <v>1</v>
      </c>
      <c r="N36" s="63">
        <f>1*F36*0+MAX(Stability!J36,Stability!P36)+2*Stability!D36</f>
        <v>2.5499999999999998</v>
      </c>
      <c r="O36" s="12">
        <f>Stability!$J$8</f>
        <v>0.1</v>
      </c>
      <c r="P36" s="12">
        <f>Stability!$J$7</f>
        <v>0.1</v>
      </c>
      <c r="Q36" s="1">
        <f t="shared" si="5"/>
        <v>0.11283791670955128</v>
      </c>
      <c r="R36" s="16">
        <f t="shared" si="6"/>
        <v>22.598786599045326</v>
      </c>
      <c r="S36" s="88">
        <f t="shared" si="7"/>
        <v>0.45197573198090663</v>
      </c>
      <c r="T36" s="1">
        <f t="shared" si="0"/>
        <v>1.0000000000000002E-2</v>
      </c>
      <c r="U36" s="52">
        <f t="shared" si="25"/>
        <v>6.3400000000000003E-6</v>
      </c>
      <c r="V36" s="56">
        <f t="shared" si="8"/>
        <v>30455368.531237673</v>
      </c>
      <c r="W36" s="16">
        <f t="shared" si="9"/>
        <v>1.0616956800313269</v>
      </c>
      <c r="X36" s="12">
        <f t="shared" si="26"/>
        <v>1</v>
      </c>
      <c r="Y36" s="12">
        <f t="shared" si="27"/>
        <v>1</v>
      </c>
      <c r="Z36" s="42">
        <f t="shared" si="10"/>
        <v>1.7226493020411854E-6</v>
      </c>
      <c r="AA36" s="16">
        <f t="shared" ca="1" si="11"/>
        <v>0.11540285652582902</v>
      </c>
      <c r="AB36" s="16">
        <f t="shared" ca="1" si="12"/>
        <v>0.4646483435103147</v>
      </c>
      <c r="AC36" s="85">
        <f ca="1">Stability!K36</f>
        <v>5.3621746106374713E-2</v>
      </c>
      <c r="AD36" s="31">
        <f>Main!E36</f>
        <v>4.0263157894736858</v>
      </c>
      <c r="AE36" s="1">
        <f t="shared" ca="1" si="13"/>
        <v>0.10879852284983428</v>
      </c>
      <c r="AF36" s="52">
        <f t="shared" si="28"/>
        <v>6.3400000000000003E-6</v>
      </c>
      <c r="AG36" s="56">
        <f t="shared" ca="1" si="14"/>
        <v>1169744.6987263986</v>
      </c>
      <c r="AH36" s="12">
        <f t="shared" si="29"/>
        <v>0.1</v>
      </c>
      <c r="AI36" s="16">
        <f t="shared" si="15"/>
        <v>1.331</v>
      </c>
      <c r="AJ36" s="12">
        <f t="shared" si="30"/>
        <v>1.03</v>
      </c>
      <c r="AK36" s="16">
        <f t="shared" ca="1" si="16"/>
        <v>7.309852073675685E-2</v>
      </c>
      <c r="AL36" s="16">
        <f t="shared" ca="1" si="17"/>
        <v>0.29431772823858793</v>
      </c>
      <c r="AM36" s="85">
        <f ca="1">Stability!Q36</f>
        <v>2.1514190560189127E-2</v>
      </c>
      <c r="AN36" s="1">
        <f t="shared" si="18"/>
        <v>4.0263157894736858</v>
      </c>
      <c r="AO36" s="1">
        <f t="shared" ca="1" si="19"/>
        <v>4.3652292646623736E-2</v>
      </c>
      <c r="AP36" s="52">
        <f t="shared" si="31"/>
        <v>6.3400000000000003E-6</v>
      </c>
      <c r="AQ36" s="56">
        <f t="shared" ca="1" si="1"/>
        <v>723223.93852765986</v>
      </c>
      <c r="AR36" s="12">
        <f t="shared" si="32"/>
        <v>0.1</v>
      </c>
      <c r="AS36" s="16">
        <f t="shared" si="20"/>
        <v>1.331</v>
      </c>
      <c r="AT36" s="12">
        <f t="shared" si="33"/>
        <v>1.03</v>
      </c>
      <c r="AU36" s="12">
        <f t="shared" si="34"/>
        <v>1.1000000000000001</v>
      </c>
      <c r="AV36" s="6"/>
      <c r="AW36" s="42"/>
      <c r="AX36" s="42"/>
      <c r="AY36" s="16"/>
      <c r="AZ36" s="42"/>
      <c r="BA36" s="42"/>
      <c r="BB36" s="42"/>
      <c r="BC36" s="20"/>
      <c r="BD36" s="20"/>
      <c r="BE36" s="20"/>
      <c r="BF36" s="19"/>
      <c r="BG36" s="6"/>
      <c r="BH36" s="6"/>
      <c r="BI36" s="16"/>
      <c r="BJ36" s="16"/>
      <c r="BK36" s="6"/>
      <c r="BL36" s="16"/>
      <c r="BM36" s="16"/>
      <c r="BN36" s="16"/>
      <c r="BO36" s="6"/>
      <c r="BP36" s="16"/>
      <c r="BQ36" s="16"/>
      <c r="BR36" s="16"/>
      <c r="BS36" s="6"/>
      <c r="BT36" s="6"/>
      <c r="BU36" s="6"/>
      <c r="BV36" s="6"/>
      <c r="BW36" s="6"/>
    </row>
    <row r="37" spans="2:75">
      <c r="B37" s="16">
        <f>'Airfoil-Takeoff'!D37</f>
        <v>1.2249994633486807</v>
      </c>
      <c r="C37" s="74">
        <f>'Airfoil-Takeoff'!E37</f>
        <v>1.783E-5</v>
      </c>
      <c r="E37" s="31">
        <f>Main!B37</f>
        <v>0.33333333333333326</v>
      </c>
      <c r="F37" s="31">
        <f>Main!C37</f>
        <v>2.7631578947368425</v>
      </c>
      <c r="G37" s="1">
        <f t="shared" si="21"/>
        <v>0.92105263157894723</v>
      </c>
      <c r="H37" s="1">
        <f t="shared" si="22"/>
        <v>8.2894736842105292</v>
      </c>
      <c r="I37" s="1">
        <f t="shared" si="2"/>
        <v>8.2894736842105292</v>
      </c>
      <c r="J37" s="1">
        <f t="shared" si="3"/>
        <v>0</v>
      </c>
      <c r="K37" s="52">
        <f t="shared" si="23"/>
        <v>6.3400000000000003E-6</v>
      </c>
      <c r="L37" s="56">
        <f t="shared" si="4"/>
        <v>3574113.7305968194</v>
      </c>
      <c r="M37" s="12">
        <f t="shared" si="24"/>
        <v>1</v>
      </c>
      <c r="N37" s="63">
        <f>1*F37*0+MAX(Stability!J37,Stability!P37)+2*Stability!D37</f>
        <v>2.5499999999999998</v>
      </c>
      <c r="O37" s="12">
        <f>Stability!$J$8</f>
        <v>0.1</v>
      </c>
      <c r="P37" s="12">
        <f>Stability!$J$7</f>
        <v>0.1</v>
      </c>
      <c r="Q37" s="1">
        <f t="shared" si="5"/>
        <v>0.11283791670955128</v>
      </c>
      <c r="R37" s="16">
        <f t="shared" si="6"/>
        <v>22.598786599045326</v>
      </c>
      <c r="S37" s="88">
        <f t="shared" si="7"/>
        <v>0.45197573198090663</v>
      </c>
      <c r="T37" s="1">
        <f t="shared" si="0"/>
        <v>1.0000000000000002E-2</v>
      </c>
      <c r="U37" s="52">
        <f t="shared" si="25"/>
        <v>6.3400000000000003E-6</v>
      </c>
      <c r="V37" s="56">
        <f t="shared" si="8"/>
        <v>30455368.531237673</v>
      </c>
      <c r="W37" s="16">
        <f t="shared" si="9"/>
        <v>1.0616956800313269</v>
      </c>
      <c r="X37" s="12">
        <f t="shared" si="26"/>
        <v>1</v>
      </c>
      <c r="Y37" s="12">
        <f t="shared" si="27"/>
        <v>1</v>
      </c>
      <c r="Z37" s="42">
        <f t="shared" si="10"/>
        <v>1.6734307505542944E-6</v>
      </c>
      <c r="AA37" s="16">
        <f t="shared" ca="1" si="11"/>
        <v>0.11501174727329538</v>
      </c>
      <c r="AB37" s="16">
        <f t="shared" ca="1" si="12"/>
        <v>0.47669342633248302</v>
      </c>
      <c r="AC37" s="85">
        <f ca="1">Stability!K37</f>
        <v>5.482534386108661E-2</v>
      </c>
      <c r="AD37" s="31">
        <f>Main!E37</f>
        <v>4.1447368421052646</v>
      </c>
      <c r="AE37" s="1">
        <f t="shared" ca="1" si="13"/>
        <v>0.11124062269414473</v>
      </c>
      <c r="AF37" s="52">
        <f t="shared" si="28"/>
        <v>6.3400000000000003E-6</v>
      </c>
      <c r="AG37" s="56">
        <f t="shared" ca="1" si="14"/>
        <v>1165570.6074625051</v>
      </c>
      <c r="AH37" s="12">
        <f t="shared" si="29"/>
        <v>0.1</v>
      </c>
      <c r="AI37" s="16">
        <f t="shared" si="15"/>
        <v>1.331</v>
      </c>
      <c r="AJ37" s="12">
        <f t="shared" si="30"/>
        <v>1.03</v>
      </c>
      <c r="AK37" s="16">
        <f t="shared" ca="1" si="16"/>
        <v>7.3778031018959148E-2</v>
      </c>
      <c r="AL37" s="16">
        <f t="shared" ca="1" si="17"/>
        <v>0.30579052331204321</v>
      </c>
      <c r="AM37" s="85">
        <f ca="1">Stability!Q37</f>
        <v>2.2560622713503117E-2</v>
      </c>
      <c r="AN37" s="1">
        <f t="shared" si="18"/>
        <v>4.1447368421052646</v>
      </c>
      <c r="AO37" s="1">
        <f t="shared" ca="1" si="19"/>
        <v>4.5775503485697824E-2</v>
      </c>
      <c r="AP37" s="52">
        <f t="shared" si="31"/>
        <v>6.3400000000000003E-6</v>
      </c>
      <c r="AQ37" s="56">
        <f t="shared" ca="1" si="1"/>
        <v>730304.94948403526</v>
      </c>
      <c r="AR37" s="12">
        <f t="shared" si="32"/>
        <v>0.1</v>
      </c>
      <c r="AS37" s="16">
        <f t="shared" si="20"/>
        <v>1.331</v>
      </c>
      <c r="AT37" s="12">
        <f t="shared" si="33"/>
        <v>1.03</v>
      </c>
      <c r="AU37" s="12">
        <f t="shared" si="34"/>
        <v>1.1000000000000001</v>
      </c>
      <c r="AV37" s="6"/>
      <c r="AW37" s="42"/>
      <c r="AX37" s="42"/>
      <c r="AY37" s="16"/>
      <c r="AZ37" s="42"/>
      <c r="BA37" s="42"/>
      <c r="BB37" s="42"/>
      <c r="BC37" s="20"/>
      <c r="BD37" s="20"/>
      <c r="BE37" s="20"/>
      <c r="BF37" s="19"/>
      <c r="BG37" s="6"/>
      <c r="BH37" s="6"/>
      <c r="BI37" s="16"/>
      <c r="BJ37" s="16"/>
      <c r="BK37" s="6"/>
      <c r="BL37" s="16"/>
      <c r="BM37" s="16"/>
      <c r="BN37" s="16"/>
      <c r="BO37" s="6"/>
      <c r="BP37" s="16"/>
      <c r="BQ37" s="16"/>
      <c r="BR37" s="16"/>
      <c r="BS37" s="6"/>
      <c r="BT37" s="6"/>
      <c r="BU37" s="6"/>
      <c r="BV37" s="6"/>
      <c r="BW37" s="6"/>
    </row>
    <row r="38" spans="2:75">
      <c r="B38" s="16">
        <f>'Airfoil-Takeoff'!D38</f>
        <v>1.2249994633486807</v>
      </c>
      <c r="C38" s="74">
        <f>'Airfoil-Takeoff'!E38</f>
        <v>1.783E-5</v>
      </c>
      <c r="E38" s="31">
        <f>Main!B38</f>
        <v>0.33333333333333326</v>
      </c>
      <c r="F38" s="31">
        <f>Main!C38</f>
        <v>2.8421052631578951</v>
      </c>
      <c r="G38" s="1">
        <f t="shared" si="21"/>
        <v>0.94736842105263153</v>
      </c>
      <c r="H38" s="1">
        <f t="shared" si="22"/>
        <v>8.5263157894736867</v>
      </c>
      <c r="I38" s="1">
        <f t="shared" si="2"/>
        <v>8.5263157894736867</v>
      </c>
      <c r="J38" s="1">
        <f t="shared" si="3"/>
        <v>0</v>
      </c>
      <c r="K38" s="52">
        <f t="shared" si="23"/>
        <v>6.3400000000000003E-6</v>
      </c>
      <c r="L38" s="56">
        <f t="shared" si="4"/>
        <v>3574113.7305968194</v>
      </c>
      <c r="M38" s="12">
        <f t="shared" si="24"/>
        <v>1</v>
      </c>
      <c r="N38" s="63">
        <f>1*F38*0+MAX(Stability!J38,Stability!P38)+2*Stability!D38</f>
        <v>2.5499999999999998</v>
      </c>
      <c r="O38" s="12">
        <f>Stability!$J$8</f>
        <v>0.1</v>
      </c>
      <c r="P38" s="12">
        <f>Stability!$J$7</f>
        <v>0.1</v>
      </c>
      <c r="Q38" s="1">
        <f t="shared" si="5"/>
        <v>0.11283791670955128</v>
      </c>
      <c r="R38" s="16">
        <f t="shared" si="6"/>
        <v>22.598786599045326</v>
      </c>
      <c r="S38" s="88">
        <f t="shared" si="7"/>
        <v>0.45197573198090663</v>
      </c>
      <c r="T38" s="1">
        <f t="shared" si="0"/>
        <v>1.0000000000000002E-2</v>
      </c>
      <c r="U38" s="52">
        <f t="shared" si="25"/>
        <v>6.3400000000000003E-6</v>
      </c>
      <c r="V38" s="56">
        <f t="shared" si="8"/>
        <v>30455368.531237673</v>
      </c>
      <c r="W38" s="16">
        <f t="shared" si="9"/>
        <v>1.0616956800313269</v>
      </c>
      <c r="X38" s="12">
        <f t="shared" si="26"/>
        <v>1</v>
      </c>
      <c r="Y38" s="12">
        <f t="shared" si="27"/>
        <v>1</v>
      </c>
      <c r="Z38" s="42">
        <f t="shared" si="10"/>
        <v>1.6269465630388971E-6</v>
      </c>
      <c r="AA38" s="16">
        <f t="shared" ca="1" si="11"/>
        <v>0.1146405545019125</v>
      </c>
      <c r="AB38" s="16">
        <f t="shared" ca="1" si="12"/>
        <v>0.48873078511988338</v>
      </c>
      <c r="AC38" s="85">
        <f ca="1">Stability!K38</f>
        <v>5.6028368192781342E-2</v>
      </c>
      <c r="AD38" s="31">
        <f>Main!E38</f>
        <v>4.2631578947368434</v>
      </c>
      <c r="AE38" s="1">
        <f t="shared" ca="1" si="13"/>
        <v>0.11368155906315333</v>
      </c>
      <c r="AF38" s="52">
        <f t="shared" si="28"/>
        <v>6.3400000000000003E-6</v>
      </c>
      <c r="AG38" s="56">
        <f t="shared" ca="1" si="14"/>
        <v>1161609.7694275083</v>
      </c>
      <c r="AH38" s="12">
        <f t="shared" si="29"/>
        <v>0.1</v>
      </c>
      <c r="AI38" s="16">
        <f t="shared" si="15"/>
        <v>1.331</v>
      </c>
      <c r="AJ38" s="12">
        <f t="shared" si="30"/>
        <v>1.03</v>
      </c>
      <c r="AK38" s="16">
        <f t="shared" ca="1" si="16"/>
        <v>7.4456597097089919E-2</v>
      </c>
      <c r="AL38" s="16">
        <f t="shared" ca="1" si="17"/>
        <v>0.31742022974024225</v>
      </c>
      <c r="AM38" s="85">
        <f ca="1">Stability!Q38</f>
        <v>2.3634030155455236E-2</v>
      </c>
      <c r="AN38" s="1">
        <f t="shared" si="18"/>
        <v>4.2631578947368434</v>
      </c>
      <c r="AO38" s="1">
        <f t="shared" ca="1" si="19"/>
        <v>4.795344718541867E-2</v>
      </c>
      <c r="AP38" s="52">
        <f t="shared" si="31"/>
        <v>6.3400000000000003E-6</v>
      </c>
      <c r="AQ38" s="56">
        <f t="shared" ca="1" si="1"/>
        <v>737379.57135051803</v>
      </c>
      <c r="AR38" s="12">
        <f t="shared" si="32"/>
        <v>0.1</v>
      </c>
      <c r="AS38" s="16">
        <f t="shared" si="20"/>
        <v>1.331</v>
      </c>
      <c r="AT38" s="12">
        <f t="shared" si="33"/>
        <v>1.03</v>
      </c>
      <c r="AU38" s="12">
        <f t="shared" si="34"/>
        <v>1.1000000000000001</v>
      </c>
      <c r="AV38" s="6"/>
      <c r="AW38" s="42"/>
      <c r="AX38" s="42"/>
      <c r="AY38" s="16"/>
      <c r="AZ38" s="42"/>
      <c r="BA38" s="42"/>
      <c r="BB38" s="42"/>
      <c r="BC38" s="20"/>
      <c r="BD38" s="20"/>
      <c r="BE38" s="20"/>
      <c r="BF38" s="19"/>
      <c r="BG38" s="6"/>
      <c r="BH38" s="6"/>
      <c r="BI38" s="16"/>
      <c r="BJ38" s="16"/>
      <c r="BK38" s="6"/>
      <c r="BL38" s="16"/>
      <c r="BM38" s="16"/>
      <c r="BN38" s="16"/>
      <c r="BO38" s="6"/>
      <c r="BP38" s="16"/>
      <c r="BQ38" s="16"/>
      <c r="BR38" s="16"/>
      <c r="BS38" s="6"/>
      <c r="BT38" s="6"/>
      <c r="BU38" s="6"/>
      <c r="BV38" s="6"/>
      <c r="BW38" s="6"/>
    </row>
    <row r="39" spans="2:75">
      <c r="B39" s="16">
        <f>'Airfoil-Takeoff'!D39</f>
        <v>1.2249994633486807</v>
      </c>
      <c r="C39" s="74">
        <f>'Airfoil-Takeoff'!E39</f>
        <v>1.783E-5</v>
      </c>
      <c r="E39" s="31">
        <f>Main!B39</f>
        <v>0.33333333333333326</v>
      </c>
      <c r="F39" s="31">
        <f>Main!C39</f>
        <v>2.9210526315789478</v>
      </c>
      <c r="G39" s="1">
        <f t="shared" si="21"/>
        <v>0.97368421052631571</v>
      </c>
      <c r="H39" s="1">
        <f t="shared" si="22"/>
        <v>8.763157894736846</v>
      </c>
      <c r="I39" s="1">
        <f t="shared" si="2"/>
        <v>8.763157894736846</v>
      </c>
      <c r="J39" s="1">
        <f t="shared" si="3"/>
        <v>0</v>
      </c>
      <c r="K39" s="52">
        <f t="shared" si="23"/>
        <v>6.3400000000000003E-6</v>
      </c>
      <c r="L39" s="56">
        <f t="shared" si="4"/>
        <v>3574113.7305968194</v>
      </c>
      <c r="M39" s="12">
        <f t="shared" si="24"/>
        <v>1</v>
      </c>
      <c r="N39" s="63">
        <f>1*F39*0+MAX(Stability!J39,Stability!P39)+2*Stability!D39</f>
        <v>2.5499999999999998</v>
      </c>
      <c r="O39" s="12">
        <f>Stability!$J$8</f>
        <v>0.1</v>
      </c>
      <c r="P39" s="12">
        <f>Stability!$J$7</f>
        <v>0.1</v>
      </c>
      <c r="Q39" s="1">
        <f t="shared" si="5"/>
        <v>0.11283791670955128</v>
      </c>
      <c r="R39" s="16">
        <f t="shared" si="6"/>
        <v>22.598786599045326</v>
      </c>
      <c r="S39" s="88">
        <f t="shared" si="7"/>
        <v>0.45197573198090663</v>
      </c>
      <c r="T39" s="1">
        <f t="shared" si="0"/>
        <v>1.0000000000000002E-2</v>
      </c>
      <c r="U39" s="52">
        <f t="shared" si="25"/>
        <v>6.3400000000000003E-6</v>
      </c>
      <c r="V39" s="56">
        <f t="shared" si="8"/>
        <v>30455368.531237673</v>
      </c>
      <c r="W39" s="16">
        <f t="shared" si="9"/>
        <v>1.0616956800313269</v>
      </c>
      <c r="X39" s="12">
        <f t="shared" si="26"/>
        <v>1</v>
      </c>
      <c r="Y39" s="12">
        <f t="shared" si="27"/>
        <v>1</v>
      </c>
      <c r="Z39" s="42">
        <f t="shared" si="10"/>
        <v>1.5829750343081163E-6</v>
      </c>
      <c r="AA39" s="16">
        <f t="shared" ca="1" si="11"/>
        <v>0.11428789486435953</v>
      </c>
      <c r="AB39" s="16">
        <f t="shared" ca="1" si="12"/>
        <v>0.50076143421901187</v>
      </c>
      <c r="AC39" s="85">
        <f ca="1">Stability!K39</f>
        <v>5.7230970130204631E-2</v>
      </c>
      <c r="AD39" s="31">
        <f>Main!E39</f>
        <v>4.381578947368423</v>
      </c>
      <c r="AE39" s="1">
        <f t="shared" ca="1" si="13"/>
        <v>0.1161216383941852</v>
      </c>
      <c r="AF39" s="52">
        <f t="shared" si="28"/>
        <v>6.3400000000000003E-6</v>
      </c>
      <c r="AG39" s="56">
        <f t="shared" ca="1" si="14"/>
        <v>1157847.320041009</v>
      </c>
      <c r="AH39" s="12">
        <f t="shared" si="29"/>
        <v>0.1</v>
      </c>
      <c r="AI39" s="16">
        <f t="shared" si="15"/>
        <v>1.331</v>
      </c>
      <c r="AJ39" s="12">
        <f t="shared" si="30"/>
        <v>1.03</v>
      </c>
      <c r="AK39" s="16">
        <f t="shared" ca="1" si="16"/>
        <v>7.5133712671704336E-2</v>
      </c>
      <c r="AL39" s="16">
        <f t="shared" ca="1" si="17"/>
        <v>0.32920429369127491</v>
      </c>
      <c r="AM39" s="85">
        <f ca="1">Stability!Q39</f>
        <v>2.4734340811647802E-2</v>
      </c>
      <c r="AN39" s="1">
        <f t="shared" si="18"/>
        <v>4.381578947368423</v>
      </c>
      <c r="AO39" s="1">
        <f t="shared" ca="1" si="19"/>
        <v>5.0185977506833387E-2</v>
      </c>
      <c r="AP39" s="52">
        <f t="shared" si="31"/>
        <v>6.3400000000000003E-6</v>
      </c>
      <c r="AQ39" s="56">
        <f t="shared" ca="1" si="1"/>
        <v>744442.47762047709</v>
      </c>
      <c r="AR39" s="12">
        <f t="shared" si="32"/>
        <v>0.1</v>
      </c>
      <c r="AS39" s="16">
        <f t="shared" si="20"/>
        <v>1.331</v>
      </c>
      <c r="AT39" s="12">
        <f t="shared" si="33"/>
        <v>1.03</v>
      </c>
      <c r="AU39" s="12">
        <f t="shared" si="34"/>
        <v>1.1000000000000001</v>
      </c>
      <c r="AV39" s="6"/>
      <c r="AW39" s="42"/>
      <c r="AX39" s="42"/>
      <c r="AY39" s="16"/>
      <c r="AZ39" s="42"/>
      <c r="BA39" s="42"/>
      <c r="BB39" s="42"/>
      <c r="BC39" s="20"/>
      <c r="BD39" s="20"/>
      <c r="BE39" s="20"/>
      <c r="BF39" s="19"/>
      <c r="BG39" s="6"/>
      <c r="BH39" s="6"/>
      <c r="BI39" s="16"/>
      <c r="BJ39" s="16"/>
      <c r="BK39" s="6"/>
      <c r="BL39" s="16"/>
      <c r="BM39" s="16"/>
      <c r="BN39" s="16"/>
      <c r="BO39" s="6"/>
      <c r="BP39" s="16"/>
      <c r="BQ39" s="16"/>
      <c r="BR39" s="16"/>
      <c r="BS39" s="6"/>
      <c r="BT39" s="6"/>
      <c r="BU39" s="6"/>
      <c r="BV39" s="6"/>
      <c r="BW39" s="6"/>
    </row>
    <row r="40" spans="2:75">
      <c r="B40" s="16">
        <f>'Airfoil-Takeoff'!D40</f>
        <v>1.2249994633486807</v>
      </c>
      <c r="C40" s="74">
        <f>'Airfoil-Takeoff'!E40</f>
        <v>1.783E-5</v>
      </c>
      <c r="E40" s="31">
        <f>Main!B40</f>
        <v>0.33333333333333326</v>
      </c>
      <c r="F40" s="31">
        <f>Main!C40</f>
        <v>3</v>
      </c>
      <c r="G40" s="1">
        <f t="shared" si="21"/>
        <v>0.99999999999999978</v>
      </c>
      <c r="H40" s="1">
        <f t="shared" si="22"/>
        <v>9.0000000000000018</v>
      </c>
      <c r="I40" s="1">
        <f t="shared" si="2"/>
        <v>9.0000000000000018</v>
      </c>
      <c r="J40" s="1">
        <f t="shared" si="3"/>
        <v>0</v>
      </c>
      <c r="K40" s="52">
        <f t="shared" si="23"/>
        <v>6.3400000000000003E-6</v>
      </c>
      <c r="L40" s="56">
        <f t="shared" si="4"/>
        <v>3574113.7305968194</v>
      </c>
      <c r="M40" s="12">
        <f t="shared" si="24"/>
        <v>1</v>
      </c>
      <c r="N40" s="63">
        <f>1*F40*0+MAX(Stability!J40,Stability!P40)+2*Stability!D40</f>
        <v>2.5499999999999998</v>
      </c>
      <c r="O40" s="12">
        <f>Stability!$J$8</f>
        <v>0.1</v>
      </c>
      <c r="P40" s="12">
        <f>Stability!$J$7</f>
        <v>0.1</v>
      </c>
      <c r="Q40" s="1">
        <f t="shared" si="5"/>
        <v>0.11283791670955128</v>
      </c>
      <c r="R40" s="16">
        <f t="shared" si="6"/>
        <v>22.598786599045326</v>
      </c>
      <c r="S40" s="88">
        <f t="shared" si="7"/>
        <v>0.45197573198090663</v>
      </c>
      <c r="T40" s="1">
        <f t="shared" si="0"/>
        <v>1.0000000000000002E-2</v>
      </c>
      <c r="U40" s="52">
        <f t="shared" si="25"/>
        <v>6.3400000000000003E-6</v>
      </c>
      <c r="V40" s="56">
        <f t="shared" si="8"/>
        <v>30455368.531237673</v>
      </c>
      <c r="W40" s="16">
        <f t="shared" si="9"/>
        <v>1.0616956800313269</v>
      </c>
      <c r="X40" s="12">
        <f t="shared" si="26"/>
        <v>1</v>
      </c>
      <c r="Y40" s="12">
        <f t="shared" si="27"/>
        <v>1</v>
      </c>
      <c r="Z40" s="42">
        <f t="shared" si="10"/>
        <v>1.5413177965631661E-6</v>
      </c>
      <c r="AA40" s="16">
        <f t="shared" ca="1" si="11"/>
        <v>0.11547554986005543</v>
      </c>
      <c r="AB40" s="16">
        <f t="shared" ca="1" si="12"/>
        <v>0.51963881757058106</v>
      </c>
      <c r="AC40" s="85">
        <f ca="1">Stability!K40</f>
        <v>6.0005710882722572E-2</v>
      </c>
      <c r="AD40" s="31">
        <f>Main!E40</f>
        <v>4.5000000000000009</v>
      </c>
      <c r="AE40" s="1">
        <f t="shared" ca="1" si="13"/>
        <v>0.12175158738104409</v>
      </c>
      <c r="AF40" s="52">
        <f t="shared" si="28"/>
        <v>6.3400000000000003E-6</v>
      </c>
      <c r="AG40" s="56">
        <f t="shared" ca="1" si="14"/>
        <v>1170520.5969097847</v>
      </c>
      <c r="AH40" s="12">
        <f t="shared" si="29"/>
        <v>0.1</v>
      </c>
      <c r="AI40" s="16">
        <f t="shared" si="15"/>
        <v>1.331</v>
      </c>
      <c r="AJ40" s="12">
        <f t="shared" si="30"/>
        <v>1.03</v>
      </c>
      <c r="AK40" s="16">
        <f t="shared" ca="1" si="16"/>
        <v>7.5808956203817862E-2</v>
      </c>
      <c r="AL40" s="16">
        <f t="shared" ca="1" si="17"/>
        <v>0.34114030292924974</v>
      </c>
      <c r="AM40" s="85">
        <f ca="1">Stability!Q40</f>
        <v>2.5861490283211861E-2</v>
      </c>
      <c r="AN40" s="1">
        <f t="shared" si="18"/>
        <v>4.5000000000000009</v>
      </c>
      <c r="AO40" s="1">
        <f t="shared" ca="1" si="19"/>
        <v>5.2472963784636867E-2</v>
      </c>
      <c r="AP40" s="52">
        <f t="shared" si="31"/>
        <v>6.3400000000000003E-6</v>
      </c>
      <c r="AQ40" s="56">
        <f t="shared" ca="1" si="1"/>
        <v>751489.2173000956</v>
      </c>
      <c r="AR40" s="12">
        <f t="shared" si="32"/>
        <v>0.1</v>
      </c>
      <c r="AS40" s="16">
        <f t="shared" si="20"/>
        <v>1.331</v>
      </c>
      <c r="AT40" s="12">
        <f t="shared" si="33"/>
        <v>1.03</v>
      </c>
      <c r="AU40" s="12">
        <f t="shared" si="34"/>
        <v>1.1000000000000001</v>
      </c>
      <c r="AV40" s="6"/>
      <c r="AW40" s="42"/>
      <c r="AX40" s="42"/>
      <c r="AY40" s="16"/>
      <c r="AZ40" s="42"/>
      <c r="BA40" s="42"/>
      <c r="BB40" s="42"/>
      <c r="BC40" s="20"/>
      <c r="BD40" s="20"/>
      <c r="BE40" s="20"/>
      <c r="BF40" s="19"/>
      <c r="BG40" s="6"/>
      <c r="BH40" s="6"/>
      <c r="BI40" s="16"/>
      <c r="BJ40" s="16"/>
      <c r="BK40" s="6"/>
      <c r="BL40" s="16"/>
      <c r="BM40" s="16"/>
      <c r="BN40" s="16"/>
      <c r="BO40" s="6"/>
      <c r="BP40" s="16"/>
      <c r="BQ40" s="16"/>
      <c r="BR40" s="16"/>
      <c r="BS40" s="6"/>
      <c r="BT40" s="6"/>
      <c r="BU40" s="6"/>
      <c r="BV40" s="6"/>
      <c r="BW40" s="6"/>
    </row>
    <row r="41" spans="2:75"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</row>
    <row r="42" spans="2:75">
      <c r="D42" s="4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</row>
    <row r="43" spans="2:75"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</row>
    <row r="44" spans="2:75">
      <c r="E44" s="14"/>
      <c r="O44" s="1"/>
      <c r="P44" s="1"/>
      <c r="Q44" s="1"/>
      <c r="R44" s="1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</row>
    <row r="45" spans="2:75">
      <c r="E45" s="14"/>
    </row>
    <row r="46" spans="2:75">
      <c r="E46" s="14"/>
    </row>
    <row r="47" spans="2:75">
      <c r="E47" s="14"/>
    </row>
    <row r="48" spans="2:75">
      <c r="E48" s="14"/>
    </row>
    <row r="49" spans="5:5">
      <c r="E49" s="14"/>
    </row>
    <row r="50" spans="5:5">
      <c r="E50" s="14"/>
    </row>
    <row r="51" spans="5:5">
      <c r="E51" s="14"/>
    </row>
    <row r="52" spans="5:5">
      <c r="E52" s="14"/>
    </row>
    <row r="53" spans="5:5">
      <c r="E53" s="14"/>
    </row>
    <row r="54" spans="5:5">
      <c r="E54" s="14"/>
    </row>
    <row r="55" spans="5:5">
      <c r="E55" s="14"/>
    </row>
    <row r="56" spans="5:5">
      <c r="E56" s="14"/>
    </row>
    <row r="57" spans="5:5">
      <c r="E57" s="14"/>
    </row>
    <row r="58" spans="5:5">
      <c r="E58" s="14"/>
    </row>
    <row r="59" spans="5:5">
      <c r="E59" s="14"/>
    </row>
    <row r="60" spans="5:5">
      <c r="E60" s="14"/>
    </row>
    <row r="61" spans="5:5">
      <c r="E61" s="14"/>
    </row>
    <row r="62" spans="5:5">
      <c r="E62" s="14"/>
    </row>
    <row r="63" spans="5:5">
      <c r="E63" s="14"/>
    </row>
  </sheetData>
  <phoneticPr fontId="19" type="noConversion"/>
  <pageMargins left="0.75" right="0.75" top="1" bottom="1" header="0.5" footer="0.5"/>
  <pageSetup paperSize="9" orientation="portrait" horizontalDpi="4294967293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X63"/>
  <sheetViews>
    <sheetView topLeftCell="S1" zoomScale="110" zoomScaleNormal="110" workbookViewId="0">
      <selection activeCell="S16" sqref="S16"/>
    </sheetView>
  </sheetViews>
  <sheetFormatPr defaultRowHeight="12.75"/>
  <cols>
    <col min="23" max="23" width="9.5703125" bestFit="1" customWidth="1"/>
    <col min="47" max="47" width="9.42578125" customWidth="1"/>
    <col min="53" max="53" width="9.5703125" bestFit="1" customWidth="1"/>
    <col min="54" max="54" width="9.5703125" customWidth="1"/>
  </cols>
  <sheetData>
    <row r="1" spans="1:74">
      <c r="A1" s="17" t="s">
        <v>368</v>
      </c>
    </row>
    <row r="3" spans="1:74">
      <c r="A3" t="s">
        <v>270</v>
      </c>
    </row>
    <row r="4" spans="1:74">
      <c r="A4" s="17"/>
    </row>
    <row r="5" spans="1:74">
      <c r="A5" t="s">
        <v>367</v>
      </c>
      <c r="F5" s="6"/>
      <c r="G5" s="6"/>
      <c r="H5" s="6"/>
    </row>
    <row r="6" spans="1:74">
      <c r="A6" s="3" t="s">
        <v>48</v>
      </c>
      <c r="B6" s="12">
        <v>0.25</v>
      </c>
      <c r="E6" s="16"/>
      <c r="F6" s="6"/>
      <c r="G6" s="16"/>
      <c r="H6" s="6"/>
    </row>
    <row r="7" spans="1:74">
      <c r="A7" s="58" t="s">
        <v>497</v>
      </c>
      <c r="B7" s="12">
        <v>0.24</v>
      </c>
      <c r="C7" t="s">
        <v>4</v>
      </c>
    </row>
    <row r="8" spans="1:74">
      <c r="A8" s="17"/>
    </row>
    <row r="9" spans="1:74">
      <c r="A9" s="17"/>
    </row>
    <row r="15" spans="1:74">
      <c r="B15" t="s">
        <v>273</v>
      </c>
      <c r="E15" t="s">
        <v>277</v>
      </c>
      <c r="H15" t="s">
        <v>286</v>
      </c>
      <c r="L15" t="s">
        <v>279</v>
      </c>
      <c r="V15" t="s">
        <v>278</v>
      </c>
    </row>
    <row r="16" spans="1:74">
      <c r="L16" t="s">
        <v>367</v>
      </c>
      <c r="P16" t="s">
        <v>44</v>
      </c>
      <c r="S16" t="s">
        <v>46</v>
      </c>
      <c r="V16" t="s">
        <v>367</v>
      </c>
      <c r="AN16" t="s">
        <v>44</v>
      </c>
      <c r="AV16" t="s">
        <v>46</v>
      </c>
      <c r="BA16" t="s">
        <v>393</v>
      </c>
      <c r="BE16" t="s">
        <v>391</v>
      </c>
      <c r="BH16" s="10"/>
      <c r="BO16" t="s">
        <v>41</v>
      </c>
      <c r="BR16" t="s">
        <v>44</v>
      </c>
      <c r="BV16" t="s">
        <v>46</v>
      </c>
    </row>
    <row r="18" spans="2:76">
      <c r="B18" s="9" t="s">
        <v>29</v>
      </c>
      <c r="C18" s="9" t="s">
        <v>31</v>
      </c>
      <c r="E18" s="9" t="s">
        <v>34</v>
      </c>
      <c r="F18" s="9" t="s">
        <v>139</v>
      </c>
      <c r="H18" s="9" t="s">
        <v>40</v>
      </c>
      <c r="I18" s="9" t="s">
        <v>198</v>
      </c>
      <c r="J18" s="9" t="s">
        <v>199</v>
      </c>
      <c r="L18" s="9" t="s">
        <v>281</v>
      </c>
      <c r="M18" s="9" t="s">
        <v>280</v>
      </c>
      <c r="N18" s="9" t="s">
        <v>282</v>
      </c>
      <c r="O18" s="9" t="s">
        <v>100</v>
      </c>
      <c r="P18" s="9" t="s">
        <v>45</v>
      </c>
      <c r="Q18" s="9" t="s">
        <v>69</v>
      </c>
      <c r="R18" s="9" t="s">
        <v>49</v>
      </c>
      <c r="S18" s="9" t="s">
        <v>47</v>
      </c>
      <c r="T18" s="9" t="s">
        <v>173</v>
      </c>
      <c r="V18" s="9" t="s">
        <v>50</v>
      </c>
      <c r="W18" s="9" t="s">
        <v>52</v>
      </c>
      <c r="X18" s="9" t="s">
        <v>51</v>
      </c>
      <c r="Y18" s="9" t="s">
        <v>246</v>
      </c>
      <c r="Z18" s="9" t="s">
        <v>53</v>
      </c>
      <c r="AA18" s="9" t="s">
        <v>62</v>
      </c>
      <c r="AB18" s="9" t="s">
        <v>63</v>
      </c>
      <c r="AC18" s="9" t="s">
        <v>369</v>
      </c>
      <c r="AD18" s="9" t="s">
        <v>370</v>
      </c>
      <c r="AE18" s="9" t="s">
        <v>378</v>
      </c>
      <c r="AF18" s="9" t="s">
        <v>60</v>
      </c>
      <c r="AG18" s="9" t="s">
        <v>192</v>
      </c>
      <c r="AH18" s="47" t="s">
        <v>483</v>
      </c>
      <c r="AI18" s="47" t="s">
        <v>485</v>
      </c>
      <c r="AJ18" s="9" t="s">
        <v>65</v>
      </c>
      <c r="AK18" s="9" t="s">
        <v>61</v>
      </c>
      <c r="AL18" s="9" t="s">
        <v>67</v>
      </c>
      <c r="AM18" s="9" t="s">
        <v>66</v>
      </c>
      <c r="AN18" s="9" t="s">
        <v>64</v>
      </c>
      <c r="AO18" s="9" t="s">
        <v>68</v>
      </c>
      <c r="AP18" s="9" t="s">
        <v>167</v>
      </c>
      <c r="AQ18" s="9" t="s">
        <v>50</v>
      </c>
      <c r="AR18" s="9" t="s">
        <v>411</v>
      </c>
      <c r="AS18" s="9" t="s">
        <v>71</v>
      </c>
      <c r="AT18" s="9" t="s">
        <v>70</v>
      </c>
      <c r="AU18" s="9" t="s">
        <v>148</v>
      </c>
      <c r="AV18" s="9" t="s">
        <v>174</v>
      </c>
      <c r="AW18" s="9" t="s">
        <v>175</v>
      </c>
      <c r="AX18" s="9" t="s">
        <v>50</v>
      </c>
      <c r="AY18" s="9" t="s">
        <v>411</v>
      </c>
      <c r="AZ18" s="9" t="s">
        <v>72</v>
      </c>
      <c r="BA18" s="9" t="s">
        <v>50</v>
      </c>
      <c r="BB18" s="9" t="s">
        <v>406</v>
      </c>
      <c r="BC18" s="9" t="s">
        <v>410</v>
      </c>
      <c r="BD18" s="47" t="s">
        <v>638</v>
      </c>
      <c r="BE18" s="9" t="s">
        <v>54</v>
      </c>
      <c r="BF18" s="9" t="s">
        <v>149</v>
      </c>
      <c r="BG18" s="9" t="s">
        <v>150</v>
      </c>
      <c r="BH18" s="9" t="s">
        <v>55</v>
      </c>
      <c r="BI18" s="9" t="s">
        <v>56</v>
      </c>
      <c r="BJ18" s="9" t="s">
        <v>57</v>
      </c>
      <c r="BK18" s="9" t="s">
        <v>58</v>
      </c>
      <c r="BL18" s="9" t="s">
        <v>59</v>
      </c>
      <c r="BO18" s="9" t="s">
        <v>163</v>
      </c>
      <c r="BP18" s="9" t="s">
        <v>8</v>
      </c>
      <c r="BR18" s="9" t="s">
        <v>164</v>
      </c>
      <c r="BS18" s="9" t="s">
        <v>165</v>
      </c>
      <c r="BT18" s="9" t="s">
        <v>166</v>
      </c>
      <c r="BV18" s="9" t="s">
        <v>170</v>
      </c>
      <c r="BW18" s="9" t="s">
        <v>171</v>
      </c>
      <c r="BX18" s="9" t="s">
        <v>172</v>
      </c>
    </row>
    <row r="19" spans="2:76">
      <c r="B19" s="9" t="s">
        <v>30</v>
      </c>
      <c r="C19" s="9" t="s">
        <v>32</v>
      </c>
      <c r="E19" s="9" t="s">
        <v>35</v>
      </c>
      <c r="H19" s="9" t="s">
        <v>1</v>
      </c>
      <c r="I19" s="9" t="s">
        <v>1</v>
      </c>
      <c r="J19" s="9"/>
      <c r="L19" s="9" t="s">
        <v>4</v>
      </c>
      <c r="M19" s="9" t="s">
        <v>4</v>
      </c>
      <c r="N19" s="9" t="s">
        <v>43</v>
      </c>
      <c r="P19" s="9" t="s">
        <v>43</v>
      </c>
      <c r="S19" s="9" t="s">
        <v>43</v>
      </c>
      <c r="T19" s="9"/>
      <c r="AC19" s="9" t="s">
        <v>303</v>
      </c>
      <c r="AD19" s="9" t="s">
        <v>303</v>
      </c>
      <c r="AE19" s="9" t="s">
        <v>303</v>
      </c>
      <c r="BI19" s="9" t="s">
        <v>35</v>
      </c>
      <c r="BJ19" s="9" t="s">
        <v>35</v>
      </c>
      <c r="BK19" s="9"/>
      <c r="BL19" s="9" t="s">
        <v>34</v>
      </c>
      <c r="BO19" s="9" t="s">
        <v>162</v>
      </c>
      <c r="BP19" s="9" t="s">
        <v>162</v>
      </c>
      <c r="BR19" s="9" t="s">
        <v>162</v>
      </c>
      <c r="BS19" s="9" t="s">
        <v>162</v>
      </c>
      <c r="BT19" s="9" t="s">
        <v>162</v>
      </c>
      <c r="BV19" s="9" t="s">
        <v>162</v>
      </c>
      <c r="BW19" s="9" t="s">
        <v>162</v>
      </c>
      <c r="BX19" s="9" t="s">
        <v>162</v>
      </c>
    </row>
    <row r="21" spans="2:76">
      <c r="B21" s="16">
        <f>'Airfoil-Takeoff'!D21</f>
        <v>1.2249994633486807</v>
      </c>
      <c r="C21" s="74">
        <f>'Airfoil-Takeoff'!E21</f>
        <v>1.783E-5</v>
      </c>
      <c r="E21" s="19">
        <f ca="1">Takeoff!H21</f>
        <v>129.6027712490764</v>
      </c>
      <c r="F21" s="63">
        <f>Weight!G21</f>
        <v>0.3</v>
      </c>
      <c r="H21" s="20">
        <f ca="1">SQRT(((Takeoff!$B$10*I21)^2+Takeoff!$B$11^2)/2)</f>
        <v>14.629202114405427</v>
      </c>
      <c r="I21" s="20">
        <f ca="1">SQRT(E21/(0.5*B21*N21*AG21))</f>
        <v>17.240680030734609</v>
      </c>
      <c r="J21" s="20">
        <f ca="1">H21/I21</f>
        <v>0.84852813742417621</v>
      </c>
      <c r="L21" s="31">
        <f>Main!B21</f>
        <v>0.33333333333333326</v>
      </c>
      <c r="M21" s="31">
        <f>Main!C21</f>
        <v>1.5</v>
      </c>
      <c r="N21" s="1">
        <f>L21*M21</f>
        <v>0.49999999999999989</v>
      </c>
      <c r="O21" s="1">
        <f>M21^2/N21</f>
        <v>4.5000000000000009</v>
      </c>
      <c r="P21" s="16">
        <f ca="1">'Aerodynamics-Constants'!AC21</f>
        <v>3.5563162306008866E-2</v>
      </c>
      <c r="Q21" s="16">
        <f>'Aerodynamics-Constants'!AD21</f>
        <v>2.2500000000000004</v>
      </c>
      <c r="R21" s="63">
        <f>Stability!G21</f>
        <v>5.6500000000000012</v>
      </c>
      <c r="S21" s="16">
        <f ca="1">'Aerodynamics-Constants'!AM21</f>
        <v>9.1507568586259112E-3</v>
      </c>
      <c r="T21" s="16">
        <f>'Aerodynamics-Constants'!AN21</f>
        <v>2.2500000000000004</v>
      </c>
      <c r="U21" s="1"/>
      <c r="V21" s="81">
        <f t="shared" ref="V21:V40" ca="1" si="0">B21*H21*L21/C21</f>
        <v>335030.18768678309</v>
      </c>
      <c r="W21" s="16">
        <f ca="1">BO21*RADIANS(AE21-AC21-'Airfoil-Takeoff'!K21)</f>
        <v>0.85834468534560227</v>
      </c>
      <c r="X21" s="42">
        <f ca="1">'Airfoil-Takeoff'!V21</f>
        <v>7.6557088267121881E-3</v>
      </c>
      <c r="Y21" s="14">
        <f ca="1">W21/X21</f>
        <v>112.11825119976852</v>
      </c>
      <c r="Z21" s="16">
        <f ca="1">'Airfoil-Takeoff'!AF21</f>
        <v>-0.15499999999999894</v>
      </c>
      <c r="AA21" s="31">
        <f>Main!I21</f>
        <v>1.2372503524946326</v>
      </c>
      <c r="AB21" s="12">
        <f>1/AA21-1</f>
        <v>-0.19175614055495838</v>
      </c>
      <c r="AC21" s="30">
        <f ca="1">IF(ISERROR(AD21),1,AD21)</f>
        <v>2.8082935683376191</v>
      </c>
      <c r="AD21" s="13">
        <f ca="1">DEGREES(W21*COS(RADIANS(AC21))/(PI()*O21)*(1+AB21))</f>
        <v>2.808293568337672</v>
      </c>
      <c r="AE21" s="32">
        <f ca="1">MIN('Aerodynamics-Cruise'!AE21,Main!J21)</f>
        <v>3.5331833295772785</v>
      </c>
      <c r="AF21" s="1">
        <f ca="1">W21*COS(RADIANS(AC21))</f>
        <v>0.85731386133410814</v>
      </c>
      <c r="AG21" s="16">
        <f ca="1">0.9*'Airfoil-Takeoff'!I21</f>
        <v>1.4237364280530496</v>
      </c>
      <c r="AH21" s="42">
        <f ca="1">0.455/(LOG10(MIN(V21,'Aerodynamics-Constants'!L21)))^2.58</f>
        <v>5.5306615812783502E-3</v>
      </c>
      <c r="AI21" s="42">
        <f ca="1">+AH21*'Aerodynamics-Constants'!J21*'Aerodynamics-Constants'!M21</f>
        <v>0</v>
      </c>
      <c r="AJ21" s="10">
        <f ca="1">X21*COS(RADIANS(AC21))*'Aerodynamics-Constants'!M21+AI21</f>
        <v>7.6465147481347634E-3</v>
      </c>
      <c r="AK21" s="10">
        <f ca="1">AF21^2/(PI()*'Aerodynamics-Constants'!I21*AA21)*(16*$B$7/M21)^2/(1+(16*$B$7/M21)^2)</f>
        <v>3.6457397718648227E-2</v>
      </c>
      <c r="AL21" s="10">
        <f ca="1">AJ21+AK21</f>
        <v>4.4103912466782989E-2</v>
      </c>
      <c r="AM21" s="1">
        <f t="shared" ref="AM21:AM40" ca="1" si="1">Z21</f>
        <v>-0.15499999999999894</v>
      </c>
      <c r="AN21" s="1">
        <f ca="1">N21/(P21*(R21-F21))*(AM21+AF21*(F21-$B$6))</f>
        <v>-0.29468250543332514</v>
      </c>
      <c r="AO21" s="12">
        <f>MAX(0,(1.78*(1-0.045*Q21^0.68)-0.64))*1</f>
        <v>1.000967405130992</v>
      </c>
      <c r="AP21" s="12">
        <f>1/AO21-1</f>
        <v>-9.6647016279760578E-4</v>
      </c>
      <c r="AQ21" s="81">
        <f ca="1">B21*H21*'Aerodynamics-Constants'!AA21/C21</f>
        <v>126361.31075309491</v>
      </c>
      <c r="AR21" s="10">
        <f ca="1">0.455/(LOG10(MIN(AQ21,'Aerodynamics-Constants'!AG21)))^2.58</f>
        <v>6.7940036005042347E-3</v>
      </c>
      <c r="AS21" s="15">
        <f ca="1">AR21*'Aerodynamics-Constants'!AI21*'Aerodynamics-Constants'!AJ21*'Aerodynamics-Constants'!AE21/P21</f>
        <v>1.889831570940368E-2</v>
      </c>
      <c r="AT21" s="10">
        <f ca="1">AN21^2/(PI()*Q21*AO21)</f>
        <v>1.2273159572516776E-2</v>
      </c>
      <c r="AU21" s="10">
        <f ca="1">AS21+AT21</f>
        <v>3.1171475281920456E-2</v>
      </c>
      <c r="AV21" s="12">
        <f>MIN(1,MAX(0,(1.78*(1-0.045*T21^0.68)-0.64)))*0+0.9*0+(0.91+(0.85-0.91)/(20-10)*(T21-10))</f>
        <v>0.95650000000000013</v>
      </c>
      <c r="AW21" s="12">
        <f>1/AV21-1</f>
        <v>4.5478306325143603E-2</v>
      </c>
      <c r="AX21" s="81">
        <f ca="1">B21*H21*'Aerodynamics-Constants'!AK21/C21</f>
        <v>64097.699731587694</v>
      </c>
      <c r="AY21" s="10">
        <f ca="1">0.455/(LOG10(MIN(AX21,'Aerodynamics-Constants'!AQ21)))^2.58</f>
        <v>7.9215996053548701E-3</v>
      </c>
      <c r="AZ21" s="15">
        <f ca="1">AY21*'Aerodynamics-Constants'!AS21*'Aerodynamics-Constants'!AT21*'Aerodynamics-Constants'!AO21/S21</f>
        <v>2.203485589180041E-2</v>
      </c>
      <c r="BA21" s="81">
        <f ca="1">B21*H21*'Aerodynamics-Constants'!N21/C21</f>
        <v>2562980.9358038907</v>
      </c>
      <c r="BB21" s="10">
        <f ca="1">0.455/(LOG10(MIN(BA21,'Aerodynamics-Constants'!V21)))^2.58</f>
        <v>3.7716988779913632E-3</v>
      </c>
      <c r="BC21" s="10">
        <f ca="1">BB21*'Aerodynamics-Constants'!W21*'Aerodynamics-Constants'!X21*'Aerodynamics-Constants'!S21/N21+'Aerodynamics-Constants'!Z21</f>
        <v>3.6228626283050518E-3</v>
      </c>
      <c r="BD21" s="15">
        <f ca="1">BC21*'Aerodynamics-Constants'!AU21+(AJ21+AS21+AZ21)*('Aerodynamics-Constants'!AU21-1)</f>
        <v>8.8431175260694477E-3</v>
      </c>
      <c r="BE21" s="16">
        <f ca="1">AF21+P21/N21*AN21</f>
        <v>0.83635417779517474</v>
      </c>
      <c r="BF21" s="10">
        <f t="shared" ref="BF21:BF40" ca="1" si="2">AJ21+P21/N21*AS21+S21/N21*AZ21+BD21</f>
        <v>1.8237071229333102E-2</v>
      </c>
      <c r="BG21" s="10">
        <f t="shared" ref="BG21:BG40" ca="1" si="3">AK21+P21/N21*AT21</f>
        <v>3.733034245041815E-2</v>
      </c>
      <c r="BH21" s="10">
        <f t="shared" ref="BH21:BH40" ca="1" si="4">AL21+P21/N21*AU21+S21/N21*AZ21+BD21</f>
        <v>5.5567413679751251E-2</v>
      </c>
      <c r="BI21" s="13">
        <f t="shared" ref="BI21:BI40" ca="1" si="5">0.5*B21*H21^2*N21*BE21</f>
        <v>54.816009675428802</v>
      </c>
      <c r="BJ21" s="13">
        <f t="shared" ref="BJ21:BJ40" ca="1" si="6">0.5*B21*H21^2*N21*BH21</f>
        <v>3.6419784425991932</v>
      </c>
      <c r="BK21" s="13">
        <f ca="1">BI21/BJ21</f>
        <v>15.051162586318858</v>
      </c>
      <c r="BL21" s="14">
        <f t="shared" ref="BL21:BL40" ca="1" si="7">BJ21*H21</f>
        <v>53.279238733091098</v>
      </c>
      <c r="BO21" s="16">
        <f ca="1">'Airfoil-Takeoff'!J21</f>
        <v>5.1080460735575306</v>
      </c>
      <c r="BP21" s="1">
        <f ca="1">BO21/(1+BO21/(PI()*'Aerodynamics-Constants'!I21)*(1+AB21))</f>
        <v>3.9534890790940374</v>
      </c>
      <c r="BR21" s="12">
        <v>6</v>
      </c>
      <c r="BS21" s="1">
        <f t="shared" ref="BS21:BS40" si="8">BR21/(1+BR21/(PI()*Q21)*(1+AP21))</f>
        <v>3.2467427092400318</v>
      </c>
      <c r="BT21" s="1">
        <f>Stability!W21</f>
        <v>2.2957937864716098</v>
      </c>
      <c r="BV21" s="12">
        <v>6</v>
      </c>
      <c r="BW21" s="1">
        <f>BV21/(1+BV21/(PI()*T21)*(1+AW21))</f>
        <v>3.1789266013735289</v>
      </c>
      <c r="BX21" s="1">
        <f>Stability!Y21</f>
        <v>2.2478405567255271</v>
      </c>
    </row>
    <row r="22" spans="2:76">
      <c r="B22" s="16">
        <f>'Airfoil-Takeoff'!D22</f>
        <v>1.2249994633486807</v>
      </c>
      <c r="C22" s="74">
        <f>'Airfoil-Takeoff'!E22</f>
        <v>1.783E-5</v>
      </c>
      <c r="E22" s="19">
        <f ca="1">Takeoff!H22</f>
        <v>131.99424477485522</v>
      </c>
      <c r="F22" s="63">
        <f>Weight!G22</f>
        <v>0.3</v>
      </c>
      <c r="H22" s="20">
        <f ca="1">SQRT(((Takeoff!$B$10*I22)^2+Takeoff!$B$11^2)/2)</f>
        <v>14.391374472657482</v>
      </c>
      <c r="I22" s="20">
        <f t="shared" ref="I22:I40" ca="1" si="9">SQRT(E22/(0.5*B22*N22*AG22))</f>
        <v>16.960397467011067</v>
      </c>
      <c r="J22" s="20">
        <f t="shared" ref="J22:J40" ca="1" si="10">H22/I22</f>
        <v>0.84852813742422728</v>
      </c>
      <c r="L22" s="31">
        <f>Main!B22</f>
        <v>0.33333333333333326</v>
      </c>
      <c r="M22" s="31">
        <f>Main!C22</f>
        <v>1.5789473684210527</v>
      </c>
      <c r="N22" s="1">
        <f>L22*M22</f>
        <v>0.52631578947368407</v>
      </c>
      <c r="O22" s="1">
        <f>M22^2/N22</f>
        <v>4.7368421052631593</v>
      </c>
      <c r="P22" s="16">
        <f ca="1">'Aerodynamics-Constants'!AC22</f>
        <v>3.6702909021930567E-2</v>
      </c>
      <c r="Q22" s="16">
        <f>'Aerodynamics-Constants'!AD22</f>
        <v>2.3684210526315796</v>
      </c>
      <c r="R22" s="63">
        <f>Stability!G22</f>
        <v>5.6500000000000012</v>
      </c>
      <c r="S22" s="16">
        <f ca="1">'Aerodynamics-Constants'!AM22</f>
        <v>9.7716352702972523E-3</v>
      </c>
      <c r="T22" s="16">
        <f>'Aerodynamics-Constants'!AN22</f>
        <v>2.3684210526315796</v>
      </c>
      <c r="V22" s="81">
        <f t="shared" ca="1" si="0"/>
        <v>329583.58582642203</v>
      </c>
      <c r="W22" s="16">
        <f ca="1">BO22*RADIANS(AE22-AC22-'Airfoil-Takeoff'!K22)</f>
        <v>0.85860141694927772</v>
      </c>
      <c r="X22" s="42">
        <f ca="1">'Airfoil-Takeoff'!V22</f>
        <v>7.7601434304414912E-3</v>
      </c>
      <c r="Y22" s="14">
        <f ca="1">W22/X22</f>
        <v>110.64246745506739</v>
      </c>
      <c r="Z22" s="16">
        <f ca="1">'Airfoil-Takeoff'!AF22</f>
        <v>-0.15499999999999894</v>
      </c>
      <c r="AA22" s="31">
        <f>Main!I22</f>
        <v>1.2293438844505524</v>
      </c>
      <c r="AB22" s="12">
        <f t="shared" ref="AB22:AB40" si="11">1/AA22-1</f>
        <v>-0.1865579577459372</v>
      </c>
      <c r="AC22" s="30">
        <f t="shared" ref="AC22:AC40" ca="1" si="12">IF(ISERROR(AD22),1,AD22)</f>
        <v>2.6861151631597981</v>
      </c>
      <c r="AD22" s="13">
        <f t="shared" ref="AD22:AD40" ca="1" si="13">DEGREES(W22*COS(RADIANS(AC22))/(PI()*O22)*(1+AB22))</f>
        <v>2.6861151631598501</v>
      </c>
      <c r="AE22" s="32">
        <f ca="1">MIN('Aerodynamics-Cruise'!AE22,Main!J22)</f>
        <v>3.4579920551160299</v>
      </c>
      <c r="AF22" s="1">
        <f ca="1">W22*COS(RADIANS(AC22))</f>
        <v>0.85765803828063603</v>
      </c>
      <c r="AG22" s="16">
        <f ca="1">0.9*'Airfoil-Takeoff'!I22</f>
        <v>1.4234120634980503</v>
      </c>
      <c r="AH22" s="42">
        <f ca="1">0.455/(LOG10(MIN(V22,'Aerodynamics-Constants'!L22)))^2.58</f>
        <v>5.5490879862975309E-3</v>
      </c>
      <c r="AI22" s="42">
        <f ca="1">+AH22*'Aerodynamics-Constants'!J22*'Aerodynamics-Constants'!M22</f>
        <v>0</v>
      </c>
      <c r="AJ22" s="10">
        <f ca="1">X22*COS(RADIANS(AC22))*'Aerodynamics-Constants'!M22+AI22</f>
        <v>7.7516170599587937E-3</v>
      </c>
      <c r="AK22" s="10">
        <f ca="1">AF22^2/(PI()*'Aerodynamics-Constants'!I22*AA22)*(16*$B$7/M22)^2/(1+(16*$B$7/M22)^2)</f>
        <v>3.4393369883479429E-2</v>
      </c>
      <c r="AL22" s="10">
        <f t="shared" ref="AL22:AL40" ca="1" si="14">AJ22+AK22</f>
        <v>4.2144986943438226E-2</v>
      </c>
      <c r="AM22" s="1">
        <f t="shared" ca="1" si="1"/>
        <v>-0.15499999999999894</v>
      </c>
      <c r="AN22" s="1">
        <f t="shared" ref="AN22:AN40" ca="1" si="15">N22/(P22*(R22-F22))*(AM22+AF22*(F22-$B$6))</f>
        <v>-0.30051349421053769</v>
      </c>
      <c r="AO22" s="12">
        <f t="shared" ref="AO22:AO39" si="16">MAX(0,(1.78*(1-0.045*Q22^0.68)-0.64))*1</f>
        <v>0.9960324623343223</v>
      </c>
      <c r="AP22" s="12">
        <f t="shared" ref="AP22:AP40" si="17">1/AO22-1</f>
        <v>3.9833417240029423E-3</v>
      </c>
      <c r="AQ22" s="81">
        <f ca="1">B22*H22*'Aerodynamics-Constants'!AA22/C22</f>
        <v>123085.70468592703</v>
      </c>
      <c r="AR22" s="10">
        <f ca="1">0.455/(LOG10(MIN(AQ22,'Aerodynamics-Constants'!AG22)))^2.58</f>
        <v>6.8333523638525948E-3</v>
      </c>
      <c r="AS22" s="15">
        <f ca="1">AR22*'Aerodynamics-Constants'!AI22*'Aerodynamics-Constants'!AJ22*'Aerodynamics-Constants'!AE22/P22</f>
        <v>1.900776889728199E-2</v>
      </c>
      <c r="AT22" s="10">
        <f t="shared" ref="AT22:AT40" ca="1" si="18">AN22^2/(PI()*Q22*AO22)</f>
        <v>1.2185565206563847E-2</v>
      </c>
      <c r="AU22" s="10">
        <f t="shared" ref="AU22:AU40" ca="1" si="19">AS22+AT22</f>
        <v>3.1193334103845838E-2</v>
      </c>
      <c r="AV22" s="12">
        <f t="shared" ref="AV22:AV40" si="20">MIN(1,MAX(0,(1.78*(1-0.045*T22^0.68)-0.64)))*0+0.9*0+(0.91+(0.85-0.91)/(20-10)*(T22-10))</f>
        <v>0.95578947368421063</v>
      </c>
      <c r="AW22" s="12">
        <f t="shared" ref="AW22:AW40" si="21">1/AV22-1</f>
        <v>4.625550660792932E-2</v>
      </c>
      <c r="AX22" s="81">
        <f ca="1">B22*H22*'Aerodynamics-Constants'!AK22/C22</f>
        <v>63509.836839384508</v>
      </c>
      <c r="AY22" s="10">
        <f ca="1">0.455/(LOG10(MIN(AX22,'Aerodynamics-Constants'!AQ22)))^2.58</f>
        <v>7.9386383377642485E-3</v>
      </c>
      <c r="AZ22" s="15">
        <f ca="1">AY22*'Aerodynamics-Constants'!AS22*'Aerodynamics-Constants'!AT22*'Aerodynamics-Constants'!AO22/S22</f>
        <v>2.2082251119017626E-2</v>
      </c>
      <c r="BA22" s="81">
        <f ca="1">B22*H22*'Aerodynamics-Constants'!N22/C22</f>
        <v>2521314.4315721286</v>
      </c>
      <c r="BB22" s="10">
        <f ca="1">0.455/(LOG10(MIN(BA22,'Aerodynamics-Constants'!V22)))^2.58</f>
        <v>3.7825288689723306E-3</v>
      </c>
      <c r="BC22" s="10">
        <f ca="1">BB22*'Aerodynamics-Constants'!W22*'Aerodynamics-Constants'!X22*'Aerodynamics-Constants'!S22/N22+'Aerodynamics-Constants'!Z22</f>
        <v>3.4515935819228764E-3</v>
      </c>
      <c r="BD22" s="15">
        <f ca="1">BC22*'Aerodynamics-Constants'!AU22+(AJ22+AS22+AZ22)*('Aerodynamics-Constants'!AU22-1)</f>
        <v>8.6809166477410105E-3</v>
      </c>
      <c r="BE22" s="16">
        <f t="shared" ref="BE22:BE40" ca="1" si="22">AF22+P22/N22*AN22</f>
        <v>0.83670157134867951</v>
      </c>
      <c r="BF22" s="10">
        <f t="shared" ca="1" si="2"/>
        <v>1.8168031928914859E-2</v>
      </c>
      <c r="BG22" s="10">
        <f t="shared" ca="1" si="3"/>
        <v>3.5243136696678327E-2</v>
      </c>
      <c r="BH22" s="10">
        <f t="shared" ca="1" si="4"/>
        <v>5.341116862559319E-2</v>
      </c>
      <c r="BI22" s="13">
        <f t="shared" ca="1" si="5"/>
        <v>55.863408978964586</v>
      </c>
      <c r="BJ22" s="13">
        <f t="shared" ca="1" si="6"/>
        <v>3.5660623323157847</v>
      </c>
      <c r="BK22" s="13">
        <f ca="1">BI22/BJ22</f>
        <v>15.665292351378261</v>
      </c>
      <c r="BL22" s="14">
        <f t="shared" ca="1" si="7"/>
        <v>51.32053841719479</v>
      </c>
      <c r="BO22" s="16">
        <f ca="1">'Airfoil-Takeoff'!J22</f>
        <v>5.136284040444143</v>
      </c>
      <c r="BP22" s="1">
        <f ca="1">BO22/(1+BO22/(PI()*'Aerodynamics-Constants'!I22)*(1+AB22))</f>
        <v>4.0103374621426351</v>
      </c>
      <c r="BR22" s="12">
        <v>6</v>
      </c>
      <c r="BS22" s="1">
        <f t="shared" si="8"/>
        <v>3.3156550852903828</v>
      </c>
      <c r="BT22" s="1">
        <f>Stability!W22</f>
        <v>2.3445221948844903</v>
      </c>
      <c r="BV22" s="12">
        <v>6</v>
      </c>
      <c r="BW22" s="1">
        <f t="shared" ref="BW22:BW40" si="23">BV22/(1+BV22/(PI()*T22)*(1+AW22))</f>
        <v>3.2543523818462479</v>
      </c>
      <c r="BX22" s="1">
        <f>Stability!Y22</f>
        <v>2.3011746375740749</v>
      </c>
    </row>
    <row r="23" spans="2:76">
      <c r="B23" s="16">
        <f>'Airfoil-Takeoff'!D23</f>
        <v>1.2249994633486807</v>
      </c>
      <c r="C23" s="74">
        <f>'Airfoil-Takeoff'!E23</f>
        <v>1.783E-5</v>
      </c>
      <c r="E23" s="19">
        <f ca="1">Takeoff!H23</f>
        <v>134.24051129324812</v>
      </c>
      <c r="F23" s="63">
        <f>Weight!G23</f>
        <v>0.3</v>
      </c>
      <c r="H23" s="20">
        <f ca="1">SQRT(((Takeoff!$B$10*I23)^2+Takeoff!$B$11^2)/2)</f>
        <v>14.165103874793797</v>
      </c>
      <c r="I23" s="20">
        <f t="shared" ca="1" si="9"/>
        <v>16.693735010122587</v>
      </c>
      <c r="J23" s="20">
        <f t="shared" ca="1" si="10"/>
        <v>0.84852813742427902</v>
      </c>
      <c r="L23" s="31">
        <f>Main!B23</f>
        <v>0.33333333333333326</v>
      </c>
      <c r="M23" s="31">
        <f>Main!C23</f>
        <v>1.6578947368421053</v>
      </c>
      <c r="N23" s="1">
        <f t="shared" ref="N23:N40" si="24">L23*M23</f>
        <v>0.55263157894736836</v>
      </c>
      <c r="O23" s="1">
        <f t="shared" ref="O23:O40" si="25">M23^2/N23</f>
        <v>4.9736842105263168</v>
      </c>
      <c r="P23" s="16">
        <f ca="1">'Aerodynamics-Constants'!AC23</f>
        <v>3.7836985495348238E-2</v>
      </c>
      <c r="Q23" s="16">
        <f>'Aerodynamics-Constants'!AD23</f>
        <v>2.4868421052631584</v>
      </c>
      <c r="R23" s="63">
        <f>Stability!G23</f>
        <v>5.6500000000000012</v>
      </c>
      <c r="S23" s="16">
        <f ca="1">'Aerodynamics-Constants'!AM23</f>
        <v>1.0423408148040733E-2</v>
      </c>
      <c r="T23" s="16">
        <f>'Aerodynamics-Constants'!AN23</f>
        <v>2.4868421052631584</v>
      </c>
      <c r="V23" s="81">
        <f t="shared" ca="1" si="0"/>
        <v>324401.6572237935</v>
      </c>
      <c r="W23" s="16">
        <f ca="1">BO23*RADIANS(AE23-AC23-'Airfoil-Takeoff'!K23)</f>
        <v>0.85886182278079515</v>
      </c>
      <c r="X23" s="42">
        <f ca="1">'Airfoil-Takeoff'!V23</f>
        <v>7.8625247797077125E-3</v>
      </c>
      <c r="Y23" s="14">
        <f t="shared" ref="Y23:Y40" ca="1" si="26">W23/X23</f>
        <v>109.23486371673135</v>
      </c>
      <c r="Z23" s="16">
        <f ca="1">'Airfoil-Takeoff'!AF23</f>
        <v>-0.154999999999999</v>
      </c>
      <c r="AA23" s="31">
        <f>Main!I23</f>
        <v>1.2215629734834355</v>
      </c>
      <c r="AB23" s="12">
        <f t="shared" si="11"/>
        <v>-0.18137662837931445</v>
      </c>
      <c r="AC23" s="30">
        <f t="shared" ca="1" si="12"/>
        <v>2.5755090127081983</v>
      </c>
      <c r="AD23" s="13">
        <f t="shared" ca="1" si="13"/>
        <v>2.5755090127082547</v>
      </c>
      <c r="AE23" s="32">
        <f ca="1">MIN('Aerodynamics-Cruise'!AE23,Main!J23)</f>
        <v>3.392191967802292</v>
      </c>
      <c r="AF23" s="1">
        <f t="shared" ref="AF23:AF40" ca="1" si="27">W23*COS(RADIANS(AC23))</f>
        <v>0.85799425971142895</v>
      </c>
      <c r="AG23" s="16">
        <f ca="1">0.9*'Airfoil-Takeoff'!I23</f>
        <v>1.4230985165161496</v>
      </c>
      <c r="AH23" s="42">
        <f ca="1">0.455/(LOG10(MIN(V23,'Aerodynamics-Constants'!L23)))^2.58</f>
        <v>5.5669849598134489E-3</v>
      </c>
      <c r="AI23" s="42">
        <f ca="1">+AH23*'Aerodynamics-Constants'!J23*'Aerodynamics-Constants'!M23</f>
        <v>0</v>
      </c>
      <c r="AJ23" s="10">
        <f ca="1">X23*COS(RADIANS(AC23))*'Aerodynamics-Constants'!M23+AI23</f>
        <v>7.8545825986141744E-3</v>
      </c>
      <c r="AK23" s="10">
        <f ca="1">AF23^2/(PI()*'Aerodynamics-Constants'!I23*AA23)*(16*$B$7/M23)^2/(1+(16*$B$7/M23)^2)</f>
        <v>3.250819184210206E-2</v>
      </c>
      <c r="AL23" s="10">
        <f t="shared" ca="1" si="14"/>
        <v>4.0362774440716231E-2</v>
      </c>
      <c r="AM23" s="1">
        <f t="shared" ca="1" si="1"/>
        <v>-0.154999999999999</v>
      </c>
      <c r="AN23" s="1">
        <f t="shared" ca="1" si="15"/>
        <v>-0.30603571473985247</v>
      </c>
      <c r="AO23" s="12">
        <f t="shared" si="16"/>
        <v>0.9911758879050544</v>
      </c>
      <c r="AP23" s="12">
        <f t="shared" si="17"/>
        <v>8.9026702552219561E-3</v>
      </c>
      <c r="AQ23" s="81">
        <f ca="1">B23*H23*'Aerodynamics-Constants'!AA23/C23</f>
        <v>120043.45243365857</v>
      </c>
      <c r="AR23" s="10">
        <f ca="1">0.455/(LOG10(MIN(AQ23,'Aerodynamics-Constants'!AG23)))^2.58</f>
        <v>6.8711422320317439E-3</v>
      </c>
      <c r="AS23" s="15">
        <f ca="1">AR23*'Aerodynamics-Constants'!AI23*'Aerodynamics-Constants'!AJ23*'Aerodynamics-Constants'!AE23/P23</f>
        <v>1.9112885835903176E-2</v>
      </c>
      <c r="AT23" s="10">
        <f t="shared" ca="1" si="18"/>
        <v>1.209470865209961E-2</v>
      </c>
      <c r="AU23" s="10">
        <f t="shared" ca="1" si="19"/>
        <v>3.1207594488002786E-2</v>
      </c>
      <c r="AV23" s="12">
        <f t="shared" si="20"/>
        <v>0.95507894736842114</v>
      </c>
      <c r="AW23" s="12">
        <f t="shared" si="21"/>
        <v>4.7033863279420274E-2</v>
      </c>
      <c r="AX23" s="81">
        <f ca="1">B23*H23*'Aerodynamics-Constants'!AK23/C23</f>
        <v>63006.460754802261</v>
      </c>
      <c r="AY23" s="10">
        <f ca="1">0.455/(LOG10(MIN(AX23,'Aerodynamics-Constants'!AQ23)))^2.58</f>
        <v>7.9533950580304921E-3</v>
      </c>
      <c r="AZ23" s="15">
        <f ca="1">AY23*'Aerodynamics-Constants'!AS23*'Aerodynamics-Constants'!AT23*'Aerodynamics-Constants'!AO23/S23</f>
        <v>2.2123298662531748E-2</v>
      </c>
      <c r="BA23" s="81">
        <f ca="1">B23*H23*'Aerodynamics-Constants'!N23/C23</f>
        <v>2481672.6777620204</v>
      </c>
      <c r="BB23" s="10">
        <f ca="1">0.455/(LOG10(MIN(BA23,'Aerodynamics-Constants'!V23)))^2.58</f>
        <v>3.7930410980146047E-3</v>
      </c>
      <c r="BC23" s="10">
        <f ca="1">BB23*'Aerodynamics-Constants'!W23*'Aerodynamics-Constants'!X23*'Aerodynamics-Constants'!S23/N23+'Aerodynamics-Constants'!Z23</f>
        <v>3.2963599544578192E-3</v>
      </c>
      <c r="BD23" s="15">
        <f ca="1">BC23*'Aerodynamics-Constants'!AU23+(AJ23+AS23+AZ23)*('Aerodynamics-Constants'!AU23-1)</f>
        <v>8.5350726596085148E-3</v>
      </c>
      <c r="BE23" s="16">
        <f t="shared" ca="1" si="22"/>
        <v>0.83704093503583499</v>
      </c>
      <c r="BF23" s="10">
        <f t="shared" ca="1" si="2"/>
        <v>1.811553230184839E-2</v>
      </c>
      <c r="BG23" s="10">
        <f t="shared" ca="1" si="3"/>
        <v>3.3336279366002933E-2</v>
      </c>
      <c r="BH23" s="10">
        <f t="shared" ca="1" si="4"/>
        <v>5.1451811667851316E-2</v>
      </c>
      <c r="BI23" s="13">
        <f t="shared" ca="1" si="5"/>
        <v>56.84965396829984</v>
      </c>
      <c r="BJ23" s="13">
        <f t="shared" ca="1" si="6"/>
        <v>3.494473886434545</v>
      </c>
      <c r="BK23" s="13">
        <f t="shared" ref="BK23:BK40" ca="1" si="28">BI23/BJ23</f>
        <v>16.268444354095386</v>
      </c>
      <c r="BL23" s="14">
        <f t="shared" ca="1" si="7"/>
        <v>49.499585589099709</v>
      </c>
      <c r="BO23" s="16">
        <f ca="1">'Airfoil-Takeoff'!J23</f>
        <v>5.1637348085413572</v>
      </c>
      <c r="BP23" s="1">
        <f ca="1">BO23/(1+BO23/(PI()*'Aerodynamics-Constants'!I23)*(1+AB23))</f>
        <v>4.0642277406750544</v>
      </c>
      <c r="BR23" s="12">
        <v>6</v>
      </c>
      <c r="BS23" s="1">
        <f t="shared" si="8"/>
        <v>3.3806190262133535</v>
      </c>
      <c r="BT23" s="1">
        <f>Stability!W23</f>
        <v>2.3904586380437252</v>
      </c>
      <c r="BV23" s="12">
        <v>6</v>
      </c>
      <c r="BW23" s="1">
        <f t="shared" si="23"/>
        <v>3.3257449178841254</v>
      </c>
      <c r="BX23" s="1">
        <f>Stability!Y23</f>
        <v>2.3516567839325631</v>
      </c>
    </row>
    <row r="24" spans="2:76">
      <c r="B24" s="16">
        <f>'Airfoil-Takeoff'!D24</f>
        <v>1.2249994633486807</v>
      </c>
      <c r="C24" s="74">
        <f>'Airfoil-Takeoff'!E24</f>
        <v>1.783E-5</v>
      </c>
      <c r="E24" s="19">
        <f ca="1">Takeoff!H24</f>
        <v>126.40792205809124</v>
      </c>
      <c r="F24" s="63">
        <f>Weight!G24</f>
        <v>0.3</v>
      </c>
      <c r="H24" s="20">
        <f ca="1">SQRT(((Takeoff!$B$10*I24)^2+Takeoff!$B$11^2)/2)</f>
        <v>13.434554183218914</v>
      </c>
      <c r="I24" s="20">
        <f t="shared" ca="1" si="9"/>
        <v>15.832773941943268</v>
      </c>
      <c r="J24" s="20">
        <f t="shared" ca="1" si="10"/>
        <v>0.8485281374244138</v>
      </c>
      <c r="L24" s="31">
        <f>Main!B24</f>
        <v>0.33333333333333326</v>
      </c>
      <c r="M24" s="31">
        <f>Main!C24</f>
        <v>1.736842105263158</v>
      </c>
      <c r="N24" s="1">
        <f t="shared" si="24"/>
        <v>0.57894736842105254</v>
      </c>
      <c r="O24" s="1">
        <f t="shared" si="25"/>
        <v>5.2105263157894752</v>
      </c>
      <c r="P24" s="16">
        <f ca="1">'Aerodynamics-Constants'!AC24</f>
        <v>3.9367122344217041E-2</v>
      </c>
      <c r="Q24" s="16">
        <f>'Aerodynamics-Constants'!AD24</f>
        <v>2.6052631578947376</v>
      </c>
      <c r="R24" s="63">
        <f>Stability!G24</f>
        <v>5.6500000000000012</v>
      </c>
      <c r="S24" s="16">
        <f ca="1">'Aerodynamics-Constants'!AM24</f>
        <v>1.1105416987830716E-2</v>
      </c>
      <c r="T24" s="16">
        <f>'Aerodynamics-Constants'!AN24</f>
        <v>2.6052631578947376</v>
      </c>
      <c r="V24" s="81">
        <f t="shared" ca="1" si="0"/>
        <v>307670.99765885097</v>
      </c>
      <c r="W24" s="16">
        <f ca="1">BO24*RADIANS(AE24-AC24-'Airfoil-Takeoff'!K24)</f>
        <v>0.8604156207945759</v>
      </c>
      <c r="X24" s="42">
        <f ca="1">'Airfoil-Takeoff'!V24</f>
        <v>8.2202146441318121E-3</v>
      </c>
      <c r="Y24" s="14">
        <f t="shared" ca="1" si="26"/>
        <v>104.6706999809066</v>
      </c>
      <c r="Z24" s="16">
        <f ca="1">'Airfoil-Takeoff'!AF24</f>
        <v>-0.15499999999999903</v>
      </c>
      <c r="AA24" s="31">
        <f>Main!I24</f>
        <v>1.2138997812328405</v>
      </c>
      <c r="AB24" s="12">
        <f t="shared" si="11"/>
        <v>-0.17620876495718873</v>
      </c>
      <c r="AC24" s="30">
        <f t="shared" ca="1" si="12"/>
        <v>2.4786209452899608</v>
      </c>
      <c r="AD24" s="13">
        <f t="shared" ca="1" si="13"/>
        <v>2.4786209452900301</v>
      </c>
      <c r="AE24" s="32">
        <f ca="1">MIN('Aerodynamics-Cruise'!AE24,Main!J24)</f>
        <v>3.4471603791656662</v>
      </c>
      <c r="AF24" s="1">
        <f t="shared" ca="1" si="27"/>
        <v>0.85961063998705778</v>
      </c>
      <c r="AG24" s="16">
        <f ca="1">0.9*'Airfoil-Takeoff'!I24</f>
        <v>1.4220513640801369</v>
      </c>
      <c r="AH24" s="42">
        <f ca="1">0.455/(LOG10(MIN(V24,'Aerodynamics-Constants'!L24)))^2.58</f>
        <v>5.6273682898374255E-3</v>
      </c>
      <c r="AI24" s="42">
        <f ca="1">+AH24*'Aerodynamics-Constants'!J24*'Aerodynamics-Constants'!M24</f>
        <v>0</v>
      </c>
      <c r="AJ24" s="10">
        <f ca="1">X24*COS(RADIANS(AC24))*'Aerodynamics-Constants'!M24+AI24</f>
        <v>8.2125240410531562E-3</v>
      </c>
      <c r="AK24" s="10">
        <f ca="1">AF24^2/(PI()*'Aerodynamics-Constants'!I24*AA24)*(16*$B$7/M24)^2/(1+(16*$B$7/M24)^2)</f>
        <v>3.0871267221364705E-2</v>
      </c>
      <c r="AL24" s="10">
        <f t="shared" ca="1" si="14"/>
        <v>3.9083791262417858E-2</v>
      </c>
      <c r="AM24" s="1">
        <f t="shared" ca="1" si="1"/>
        <v>-0.15499999999999903</v>
      </c>
      <c r="AN24" s="1">
        <f t="shared" ca="1" si="15"/>
        <v>-0.30792513327663978</v>
      </c>
      <c r="AO24" s="12">
        <f t="shared" si="16"/>
        <v>0.98639278941079256</v>
      </c>
      <c r="AP24" s="12">
        <f t="shared" si="17"/>
        <v>1.3794920984099512E-2</v>
      </c>
      <c r="AQ24" s="81">
        <f ca="1">B24*H24*'Aerodynamics-Constants'!AA24/C24</f>
        <v>113461.58613021324</v>
      </c>
      <c r="AR24" s="10">
        <f ca="1">0.455/(LOG10(MIN(AQ24,'Aerodynamics-Constants'!AG24)))^2.58</f>
        <v>6.9573573092324616E-3</v>
      </c>
      <c r="AS24" s="15">
        <f ca="1">AR24*'Aerodynamics-Constants'!AI24*'Aerodynamics-Constants'!AJ24*'Aerodynamics-Constants'!AE24/P24</f>
        <v>1.9352703157714552E-2</v>
      </c>
      <c r="AT24" s="10">
        <f t="shared" ca="1" si="18"/>
        <v>1.1744618565142109E-2</v>
      </c>
      <c r="AU24" s="10">
        <f t="shared" ca="1" si="19"/>
        <v>3.1097321722856661E-2</v>
      </c>
      <c r="AV24" s="12">
        <f t="shared" si="20"/>
        <v>0.95436842105263164</v>
      </c>
      <c r="AW24" s="12">
        <f t="shared" si="21"/>
        <v>4.7813378922406669E-2</v>
      </c>
      <c r="AX24" s="81">
        <f ca="1">B24*H24*'Aerodynamics-Constants'!AK24/C24</f>
        <v>60262.819993141835</v>
      </c>
      <c r="AY24" s="10">
        <f ca="1">0.455/(LOG10(MIN(AX24,'Aerodynamics-Constants'!AQ24)))^2.58</f>
        <v>8.0366643736832083E-3</v>
      </c>
      <c r="AZ24" s="15">
        <f ca="1">AY24*'Aerodynamics-Constants'!AS24*'Aerodynamics-Constants'!AT24*'Aerodynamics-Constants'!AO24/S24</f>
        <v>2.2354922004031628E-2</v>
      </c>
      <c r="BA24" s="81">
        <f ca="1">B24*H24*'Aerodynamics-Constants'!N24/C24</f>
        <v>2353683.13209021</v>
      </c>
      <c r="BB24" s="10">
        <f ca="1">0.455/(LOG10(MIN(BA24,'Aerodynamics-Constants'!V24)))^2.58</f>
        <v>3.8284610408581342E-3</v>
      </c>
      <c r="BC24" s="10">
        <f ca="1">BB24*'Aerodynamics-Constants'!W24*'Aerodynamics-Constants'!X24*'Aerodynamics-Constants'!S24/N24+'Aerodynamics-Constants'!Z24</f>
        <v>3.17588324023151E-3</v>
      </c>
      <c r="BD24" s="15">
        <f ca="1">BC24*'Aerodynamics-Constants'!AU24+(AJ24+AS24+AZ24)*('Aerodynamics-Constants'!AU24-1)</f>
        <v>8.4854864845346004E-3</v>
      </c>
      <c r="BE24" s="16">
        <f t="shared" ca="1" si="22"/>
        <v>0.83867242166917999</v>
      </c>
      <c r="BF24" s="10">
        <f t="shared" ca="1" si="2"/>
        <v>1.8442764917064036E-2</v>
      </c>
      <c r="BG24" s="10">
        <f t="shared" ca="1" si="3"/>
        <v>3.1669874937988535E-2</v>
      </c>
      <c r="BH24" s="10">
        <f t="shared" ca="1" si="4"/>
        <v>5.0112639855052571E-2</v>
      </c>
      <c r="BI24" s="13">
        <f t="shared" ca="1" si="5"/>
        <v>53.67646019532274</v>
      </c>
      <c r="BJ24" s="13">
        <f t="shared" ca="1" si="6"/>
        <v>3.2072941102662256</v>
      </c>
      <c r="BK24" s="13">
        <f t="shared" ca="1" si="28"/>
        <v>16.735746192876356</v>
      </c>
      <c r="BL24" s="14">
        <f t="shared" ca="1" si="7"/>
        <v>43.088566505890505</v>
      </c>
      <c r="BO24" s="16">
        <f ca="1">'Airfoil-Takeoff'!J24</f>
        <v>5.2565244524274686</v>
      </c>
      <c r="BP24" s="1">
        <f ca="1">BO24/(1+BO24/(PI()*'Aerodynamics-Constants'!I24)*(1+AB24))</f>
        <v>4.1568808220003124</v>
      </c>
      <c r="BR24" s="12">
        <v>6</v>
      </c>
      <c r="BS24" s="1">
        <f t="shared" si="8"/>
        <v>3.4419654787715577</v>
      </c>
      <c r="BT24" s="1">
        <f>Stability!W24</f>
        <v>2.4338371306493705</v>
      </c>
      <c r="BV24" s="12">
        <v>6</v>
      </c>
      <c r="BW24" s="1">
        <f t="shared" si="23"/>
        <v>3.3934190644503546</v>
      </c>
      <c r="BX24" s="1">
        <f>Stability!Y24</f>
        <v>2.399509631880556</v>
      </c>
    </row>
    <row r="25" spans="2:76">
      <c r="B25" s="16">
        <f>'Airfoil-Takeoff'!D25</f>
        <v>1.2249994633486807</v>
      </c>
      <c r="C25" s="74">
        <f>'Airfoil-Takeoff'!E25</f>
        <v>1.783E-5</v>
      </c>
      <c r="E25" s="19">
        <f ca="1">Takeoff!H25</f>
        <v>128.23739388407131</v>
      </c>
      <c r="F25" s="63">
        <f>Weight!G25</f>
        <v>0.3</v>
      </c>
      <c r="H25" s="20">
        <f ca="1">SQRT(((Takeoff!$B$10*I25)^2+Takeoff!$B$11^2)/2)</f>
        <v>13.235366392151196</v>
      </c>
      <c r="I25" s="20">
        <f t="shared" ca="1" si="9"/>
        <v>15.598028878953039</v>
      </c>
      <c r="J25" s="20">
        <f t="shared" ca="1" si="10"/>
        <v>0.84852813742447508</v>
      </c>
      <c r="L25" s="31">
        <f>Main!B25</f>
        <v>0.33333333333333326</v>
      </c>
      <c r="M25" s="31">
        <f>Main!C25</f>
        <v>1.8157894736842106</v>
      </c>
      <c r="N25" s="1">
        <f t="shared" si="24"/>
        <v>0.60526315789473673</v>
      </c>
      <c r="O25" s="1">
        <f t="shared" si="25"/>
        <v>5.4473684210526327</v>
      </c>
      <c r="P25" s="16">
        <f ca="1">'Aerodynamics-Constants'!AC25</f>
        <v>4.0508118560052687E-2</v>
      </c>
      <c r="Q25" s="16">
        <f>'Aerodynamics-Constants'!AD25</f>
        <v>2.7236842105263164</v>
      </c>
      <c r="R25" s="63">
        <f>Stability!G25</f>
        <v>5.6500000000000012</v>
      </c>
      <c r="S25" s="16">
        <f ca="1">'Aerodynamics-Constants'!AM25</f>
        <v>1.1817118078367429E-2</v>
      </c>
      <c r="T25" s="16">
        <f>'Aerodynamics-Constants'!AN25</f>
        <v>2.7236842105263164</v>
      </c>
      <c r="V25" s="81">
        <f t="shared" ca="1" si="0"/>
        <v>303109.30505904608</v>
      </c>
      <c r="W25" s="16">
        <f ca="1">BO25*RADIANS(AE25-AC25-'Airfoil-Takeoff'!K25)</f>
        <v>0.86068025037784712</v>
      </c>
      <c r="X25" s="42">
        <f ca="1">'Airfoil-Takeoff'!V25</f>
        <v>8.322242573108856E-3</v>
      </c>
      <c r="Y25" s="14">
        <f t="shared" ca="1" si="26"/>
        <v>103.41926984427366</v>
      </c>
      <c r="Z25" s="16">
        <f ca="1">'Airfoil-Takeoff'!AF25</f>
        <v>-0.15499999999999906</v>
      </c>
      <c r="AA25" s="31">
        <f>Main!I25</f>
        <v>1.2063472907833321</v>
      </c>
      <c r="AB25" s="12">
        <f t="shared" si="11"/>
        <v>-0.17105131528860329</v>
      </c>
      <c r="AC25" s="30">
        <f t="shared" ca="1" si="12"/>
        <v>2.3865944419862002</v>
      </c>
      <c r="AD25" s="13">
        <f t="shared" ca="1" si="13"/>
        <v>2.3865944419862717</v>
      </c>
      <c r="AE25" s="32">
        <f ca="1">MIN('Aerodynamics-Cruise'!AE25,Main!J25)</f>
        <v>3.3945957248834979</v>
      </c>
      <c r="AF25" s="1">
        <f t="shared" ca="1" si="27"/>
        <v>0.85993369671198605</v>
      </c>
      <c r="AG25" s="16">
        <f ca="1">0.9*'Airfoil-Takeoff'!I25</f>
        <v>1.4217561027881163</v>
      </c>
      <c r="AH25" s="42">
        <f ca="1">0.455/(LOG10(MIN(V25,'Aerodynamics-Constants'!L25)))^2.58</f>
        <v>5.6445666515535595E-3</v>
      </c>
      <c r="AI25" s="42">
        <f ca="1">+AH25*'Aerodynamics-Constants'!J25*'Aerodynamics-Constants'!M25</f>
        <v>0</v>
      </c>
      <c r="AJ25" s="10">
        <f ca="1">X25*COS(RADIANS(AC25))*'Aerodynamics-Constants'!M25+AI25</f>
        <v>8.3150238636073744E-3</v>
      </c>
      <c r="AK25" s="10">
        <f ca="1">AF25^2/(PI()*'Aerodynamics-Constants'!I25*AA25)*(16*$B$7/M25)^2/(1+(16*$B$7/M25)^2)</f>
        <v>2.9274001251004492E-2</v>
      </c>
      <c r="AL25" s="10">
        <f t="shared" ca="1" si="14"/>
        <v>3.7589025114611867E-2</v>
      </c>
      <c r="AM25" s="1">
        <f t="shared" ca="1" si="1"/>
        <v>-0.15499999999999906</v>
      </c>
      <c r="AN25" s="1">
        <f t="shared" ca="1" si="15"/>
        <v>-0.31280901622980717</v>
      </c>
      <c r="AO25" s="12">
        <f t="shared" si="16"/>
        <v>0.98167878713658807</v>
      </c>
      <c r="AP25" s="12">
        <f t="shared" si="17"/>
        <v>1.8663144302885737E-2</v>
      </c>
      <c r="AQ25" s="81">
        <f ca="1">B25*H25*'Aerodynamics-Constants'!AA25/C25</f>
        <v>110895.31099227531</v>
      </c>
      <c r="AR25" s="10">
        <f ca="1">0.455/(LOG10(MIN(AQ25,'Aerodynamics-Constants'!AG25)))^2.58</f>
        <v>6.9927637922722954E-3</v>
      </c>
      <c r="AS25" s="15">
        <f ca="1">AR25*'Aerodynamics-Constants'!AI25*'Aerodynamics-Constants'!AJ25*'Aerodynamics-Constants'!AE25/P25</f>
        <v>1.9451190431786169E-2</v>
      </c>
      <c r="AT25" s="10">
        <f t="shared" ca="1" si="18"/>
        <v>1.1648834965403603E-2</v>
      </c>
      <c r="AU25" s="10">
        <f t="shared" ca="1" si="19"/>
        <v>3.1100025397189771E-2</v>
      </c>
      <c r="AV25" s="12">
        <f t="shared" si="20"/>
        <v>0.95365789473684215</v>
      </c>
      <c r="AW25" s="12">
        <f t="shared" si="21"/>
        <v>4.859405612737655E-2</v>
      </c>
      <c r="AX25" s="81">
        <f ca="1">B25*H25*'Aerodynamics-Constants'!AK25/C25</f>
        <v>59896.015777321569</v>
      </c>
      <c r="AY25" s="10">
        <f ca="1">0.455/(LOG10(MIN(AX25,'Aerodynamics-Constants'!AQ25)))^2.58</f>
        <v>8.0481773810474212E-3</v>
      </c>
      <c r="AZ25" s="15">
        <f ca="1">AY25*'Aerodynamics-Constants'!AS25*'Aerodynamics-Constants'!AT25*'Aerodynamics-Constants'!AO25/S25</f>
        <v>2.2386946780691662E-2</v>
      </c>
      <c r="BA25" s="81">
        <f ca="1">B25*H25*'Aerodynamics-Constants'!N25/C25</f>
        <v>2318786.1837017033</v>
      </c>
      <c r="BB25" s="10">
        <f ca="1">0.455/(LOG10(MIN(BA25,'Aerodynamics-Constants'!V25)))^2.58</f>
        <v>3.8385359401971802E-3</v>
      </c>
      <c r="BC25" s="10">
        <f ca="1">BB25*'Aerodynamics-Constants'!W25*'Aerodynamics-Constants'!X25*'Aerodynamics-Constants'!S25/N25+'Aerodynamics-Constants'!Z25</f>
        <v>3.0457888744226591E-3</v>
      </c>
      <c r="BD25" s="15">
        <f ca="1">BC25*'Aerodynamics-Constants'!AU25+(AJ25+AS25+AZ25)*('Aerodynamics-Constants'!AU25-1)</f>
        <v>8.3656838694734503E-3</v>
      </c>
      <c r="BE25" s="16">
        <f t="shared" ca="1" si="22"/>
        <v>0.83899849761583656</v>
      </c>
      <c r="BF25" s="10">
        <f t="shared" ca="1" si="2"/>
        <v>1.8419588264529854E-2</v>
      </c>
      <c r="BG25" s="10">
        <f t="shared" ca="1" si="3"/>
        <v>3.0053616500520672E-2</v>
      </c>
      <c r="BH25" s="10">
        <f t="shared" ca="1" si="4"/>
        <v>4.8473204765050522E-2</v>
      </c>
      <c r="BI25" s="13">
        <f t="shared" ca="1" si="5"/>
        <v>54.485791219163183</v>
      </c>
      <c r="BJ25" s="13">
        <f t="shared" ca="1" si="6"/>
        <v>3.1479209105349373</v>
      </c>
      <c r="BK25" s="13">
        <f t="shared" ca="1" si="28"/>
        <v>17.308500679549862</v>
      </c>
      <c r="BL25" s="14">
        <f t="shared" ca="1" si="7"/>
        <v>41.663886624444103</v>
      </c>
      <c r="BO25" s="16">
        <f ca="1">'Airfoil-Takeoff'!J25</f>
        <v>5.2830005600657914</v>
      </c>
      <c r="BP25" s="1">
        <f ca="1">BO25/(1+BO25/(PI()*'Aerodynamics-Constants'!I25)*(1+AB25))</f>
        <v>4.2065427977187326</v>
      </c>
      <c r="BR25" s="12">
        <v>6</v>
      </c>
      <c r="BS25" s="1">
        <f t="shared" si="8"/>
        <v>3.4999890744031426</v>
      </c>
      <c r="BT25" s="1">
        <f>Stability!W25</f>
        <v>2.4748660085892902</v>
      </c>
      <c r="BV25" s="12">
        <v>6</v>
      </c>
      <c r="BW25" s="1">
        <f t="shared" si="23"/>
        <v>3.4576577348594704</v>
      </c>
      <c r="BX25" s="1">
        <f>Stability!Y25</f>
        <v>2.4449332313412491</v>
      </c>
    </row>
    <row r="26" spans="2:76">
      <c r="B26" s="16">
        <f>'Airfoil-Takeoff'!D26</f>
        <v>1.2249994633486807</v>
      </c>
      <c r="C26" s="74">
        <f>'Airfoil-Takeoff'!E26</f>
        <v>1.783E-5</v>
      </c>
      <c r="E26" s="19">
        <f ca="1">Takeoff!H26</f>
        <v>129.96953292078499</v>
      </c>
      <c r="F26" s="63">
        <f>Weight!G26</f>
        <v>0.3</v>
      </c>
      <c r="H26" s="20">
        <f ca="1">SQRT(((Takeoff!$B$10*I26)^2+Takeoff!$B$11^2)/2)</f>
        <v>13.045219318895375</v>
      </c>
      <c r="I26" s="20">
        <f t="shared" ca="1" si="9"/>
        <v>15.373938404082185</v>
      </c>
      <c r="J26" s="20">
        <f t="shared" ca="1" si="10"/>
        <v>0.84852813742453437</v>
      </c>
      <c r="L26" s="31">
        <f>Main!B26</f>
        <v>0.33333333333333326</v>
      </c>
      <c r="M26" s="31">
        <f>Main!C26</f>
        <v>1.8947368421052633</v>
      </c>
      <c r="N26" s="1">
        <f t="shared" si="24"/>
        <v>0.63157894736842091</v>
      </c>
      <c r="O26" s="1">
        <f t="shared" si="25"/>
        <v>5.6842105263157912</v>
      </c>
      <c r="P26" s="16">
        <f ca="1">'Aerodynamics-Constants'!AC26</f>
        <v>4.1646113608309603E-2</v>
      </c>
      <c r="Q26" s="16">
        <f>'Aerodynamics-Constants'!AD26</f>
        <v>2.8421052631578956</v>
      </c>
      <c r="R26" s="63">
        <f>Stability!G26</f>
        <v>5.6500000000000012</v>
      </c>
      <c r="S26" s="16">
        <f ca="1">'Aerodynamics-Constants'!AM26</f>
        <v>1.2558058561189744E-2</v>
      </c>
      <c r="T26" s="16">
        <f>'Aerodynamics-Constants'!AN26</f>
        <v>2.8421052631578956</v>
      </c>
      <c r="V26" s="81">
        <f t="shared" ca="1" si="0"/>
        <v>298754.65815877123</v>
      </c>
      <c r="W26" s="16">
        <f ca="1">BO26*RADIANS(AE26-AC26-'Airfoil-Takeoff'!K26)</f>
        <v>0.86094484605128563</v>
      </c>
      <c r="X26" s="42">
        <f ca="1">'Airfoil-Takeoff'!V26</f>
        <v>8.4223066263432438E-3</v>
      </c>
      <c r="Y26" s="14">
        <f t="shared" ca="1" si="26"/>
        <v>102.22197840178688</v>
      </c>
      <c r="Z26" s="16">
        <f ca="1">'Airfoil-Takeoff'!AF26</f>
        <v>-0.15499999999999906</v>
      </c>
      <c r="AA26" s="31">
        <f>Main!I26</f>
        <v>1.1988991887661258</v>
      </c>
      <c r="AB26" s="12">
        <f t="shared" si="11"/>
        <v>-0.16590151251234675</v>
      </c>
      <c r="AC26" s="30">
        <f t="shared" ca="1" si="12"/>
        <v>2.3022081448017584</v>
      </c>
      <c r="AD26" s="13">
        <f t="shared" ca="1" si="13"/>
        <v>2.3022081448018388</v>
      </c>
      <c r="AE26" s="32">
        <f ca="1">MIN('Aerodynamics-Cruise'!AE26,Main!J26)</f>
        <v>3.3479318593046372</v>
      </c>
      <c r="AF26" s="1">
        <f t="shared" ca="1" si="27"/>
        <v>0.86024993245352621</v>
      </c>
      <c r="AG26" s="16">
        <f ca="1">0.9*'Airfoil-Takeoff'!I26</f>
        <v>1.4214701259515128</v>
      </c>
      <c r="AH26" s="42">
        <f ca="1">0.455/(LOG10(MIN(V26,'Aerodynamics-Constants'!L26)))^2.58</f>
        <v>5.6612972482025965E-3</v>
      </c>
      <c r="AI26" s="42">
        <f ca="1">+AH26*'Aerodynamics-Constants'!J26*'Aerodynamics-Constants'!M26</f>
        <v>0</v>
      </c>
      <c r="AJ26" s="10">
        <f ca="1">X26*COS(RADIANS(AC26))*'Aerodynamics-Constants'!M26+AI26</f>
        <v>8.4155085423242865E-3</v>
      </c>
      <c r="AK26" s="10">
        <f ca="1">AF26^2/(PI()*'Aerodynamics-Constants'!I26*AA26)*(16*$B$7/M26)^2/(1+(16*$B$7/M26)^2)</f>
        <v>2.7797981873722139E-2</v>
      </c>
      <c r="AL26" s="10">
        <f t="shared" ca="1" si="14"/>
        <v>3.6213490416046427E-2</v>
      </c>
      <c r="AM26" s="1">
        <f t="shared" ca="1" si="1"/>
        <v>-0.15499999999999906</v>
      </c>
      <c r="AN26" s="1">
        <f t="shared" ca="1" si="15"/>
        <v>-0.3174453327659299</v>
      </c>
      <c r="AO26" s="12">
        <f t="shared" si="16"/>
        <v>0.97702994049688086</v>
      </c>
      <c r="AP26" s="12">
        <f t="shared" si="17"/>
        <v>2.3510087614548869E-2</v>
      </c>
      <c r="AQ26" s="81">
        <f ca="1">B26*H26*'Aerodynamics-Constants'!AA26/C26</f>
        <v>108493.34530756938</v>
      </c>
      <c r="AR26" s="10">
        <f ca="1">0.455/(LOG10(MIN(AQ26,'Aerodynamics-Constants'!AG26)))^2.58</f>
        <v>7.0268882961126242E-3</v>
      </c>
      <c r="AS26" s="15">
        <f ca="1">AR26*'Aerodynamics-Constants'!AI26*'Aerodynamics-Constants'!AJ26*'Aerodynamics-Constants'!AE26/P26</f>
        <v>1.9546111730761258E-2</v>
      </c>
      <c r="AT26" s="10">
        <f t="shared" ca="1" si="18"/>
        <v>1.1551542713610485E-2</v>
      </c>
      <c r="AU26" s="10">
        <f t="shared" ca="1" si="19"/>
        <v>3.1097654444371743E-2</v>
      </c>
      <c r="AV26" s="12">
        <f t="shared" si="20"/>
        <v>0.95294736842105265</v>
      </c>
      <c r="AW26" s="12">
        <f t="shared" si="21"/>
        <v>4.9375897492543785E-2</v>
      </c>
      <c r="AX26" s="81">
        <f ca="1">B26*H26*'Aerodynamics-Constants'!AK26/C26</f>
        <v>59576.791789753785</v>
      </c>
      <c r="AY26" s="10">
        <f ca="1">0.455/(LOG10(MIN(AX26,'Aerodynamics-Constants'!AQ26)))^2.58</f>
        <v>8.0582732889850576E-3</v>
      </c>
      <c r="AZ26" s="15">
        <f ca="1">AY26*'Aerodynamics-Constants'!AS26*'Aerodynamics-Constants'!AT26*'Aerodynamics-Constants'!AO26/S26</f>
        <v>2.2415029729538551E-2</v>
      </c>
      <c r="BA26" s="81">
        <f ca="1">B26*H26*'Aerodynamics-Constants'!N26/C26</f>
        <v>2285473.1349146003</v>
      </c>
      <c r="BB26" s="10">
        <f ca="1">0.455/(LOG10(MIN(BA26,'Aerodynamics-Constants'!V26)))^2.58</f>
        <v>3.8483311473470308E-3</v>
      </c>
      <c r="BC26" s="10">
        <f ca="1">BB26*'Aerodynamics-Constants'!W26*'Aerodynamics-Constants'!X26*'Aerodynamics-Constants'!S26/N26+'Aerodynamics-Constants'!Z26</f>
        <v>2.9263232013971175E-3</v>
      </c>
      <c r="BD26" s="15">
        <f ca="1">BC26*'Aerodynamics-Constants'!AU26+(AJ26+AS26+AZ26)*('Aerodynamics-Constants'!AU26-1)</f>
        <v>8.2566205217992437E-3</v>
      </c>
      <c r="BE26" s="16">
        <f t="shared" ca="1" si="22"/>
        <v>0.83931768883159674</v>
      </c>
      <c r="BF26" s="10">
        <f t="shared" ca="1" si="2"/>
        <v>1.8406684736536252E-2</v>
      </c>
      <c r="BG26" s="10">
        <f t="shared" ca="1" si="3"/>
        <v>2.8559686902375724E-2</v>
      </c>
      <c r="BH26" s="10">
        <f t="shared" ca="1" si="4"/>
        <v>4.6966371638911979E-2</v>
      </c>
      <c r="BI26" s="13">
        <f t="shared" ca="1" si="5"/>
        <v>55.253869018216911</v>
      </c>
      <c r="BJ26" s="13">
        <f t="shared" ca="1" si="6"/>
        <v>3.0918849695755948</v>
      </c>
      <c r="BK26" s="13">
        <f t="shared" ca="1" si="28"/>
        <v>17.870609534934054</v>
      </c>
      <c r="BL26" s="14">
        <f t="shared" ca="1" si="7"/>
        <v>40.334317536909786</v>
      </c>
      <c r="BO26" s="16">
        <f ca="1">'Airfoil-Takeoff'!J26</f>
        <v>5.3087765351360501</v>
      </c>
      <c r="BP26" s="1">
        <f ca="1">BO26/(1+BO26/(PI()*'Aerodynamics-Constants'!I26)*(1+AB26))</f>
        <v>4.2539439941926185</v>
      </c>
      <c r="BR26" s="12">
        <v>6</v>
      </c>
      <c r="BS26" s="1">
        <f t="shared" si="8"/>
        <v>3.5549530075966391</v>
      </c>
      <c r="BT26" s="1">
        <f>Stability!W26</f>
        <v>2.5137313784710957</v>
      </c>
      <c r="BV26" s="12">
        <v>6</v>
      </c>
      <c r="BW26" s="1">
        <f t="shared" si="23"/>
        <v>3.5187158511365184</v>
      </c>
      <c r="BX26" s="1">
        <f>Stability!Y26</f>
        <v>2.4881078394072267</v>
      </c>
    </row>
    <row r="27" spans="2:76">
      <c r="B27" s="16">
        <f>'Airfoil-Takeoff'!D27</f>
        <v>1.2249994633486807</v>
      </c>
      <c r="C27" s="74">
        <f>'Airfoil-Takeoff'!E27</f>
        <v>1.783E-5</v>
      </c>
      <c r="E27" s="19">
        <f ca="1">Takeoff!H27</f>
        <v>131.61371211454065</v>
      </c>
      <c r="F27" s="63">
        <f>Weight!G27</f>
        <v>0.3</v>
      </c>
      <c r="H27" s="20">
        <f ca="1">SQRT(((Takeoff!$B$10*I27)^2+Takeoff!$B$11^2)/2)</f>
        <v>12.863499584985497</v>
      </c>
      <c r="I27" s="20">
        <f t="shared" ca="1" si="9"/>
        <v>15.159779643876302</v>
      </c>
      <c r="J27" s="20">
        <f t="shared" ca="1" si="10"/>
        <v>0.84852813742458499</v>
      </c>
      <c r="L27" s="31">
        <f>Main!B27</f>
        <v>0.33333333333333326</v>
      </c>
      <c r="M27" s="31">
        <f>Main!C27</f>
        <v>1.9736842105263159</v>
      </c>
      <c r="N27" s="1">
        <f t="shared" si="24"/>
        <v>0.6578947368421052</v>
      </c>
      <c r="O27" s="1">
        <f t="shared" si="25"/>
        <v>5.9210526315789487</v>
      </c>
      <c r="P27" s="16">
        <f ca="1">'Aerodynamics-Constants'!AC27</f>
        <v>4.2781781196446295E-2</v>
      </c>
      <c r="Q27" s="16">
        <f>'Aerodynamics-Constants'!AD27</f>
        <v>2.9605263157894743</v>
      </c>
      <c r="R27" s="63">
        <f>Stability!G27</f>
        <v>5.6500000000000012</v>
      </c>
      <c r="S27" s="16">
        <f ca="1">'Aerodynamics-Constants'!AM27</f>
        <v>1.3327858239092206E-2</v>
      </c>
      <c r="T27" s="16">
        <f>'Aerodynamics-Constants'!AN27</f>
        <v>2.9605263157894743</v>
      </c>
      <c r="V27" s="81">
        <f t="shared" ca="1" si="0"/>
        <v>294593.00969140412</v>
      </c>
      <c r="W27" s="16">
        <f ca="1">BO27*RADIANS(AE27-AC27-'Airfoil-Takeoff'!K27)</f>
        <v>0.8612086793689826</v>
      </c>
      <c r="X27" s="42">
        <f ca="1">'Airfoil-Takeoff'!V27</f>
        <v>8.520466316015116E-3</v>
      </c>
      <c r="Y27" s="14">
        <f t="shared" ca="1" si="26"/>
        <v>101.07529886600807</v>
      </c>
      <c r="Z27" s="16">
        <f ca="1">'Airfoil-Takeoff'!AF27</f>
        <v>-0.15499999999999908</v>
      </c>
      <c r="AA27" s="31">
        <f>Main!I27</f>
        <v>1.1915497685716252</v>
      </c>
      <c r="AB27" s="12">
        <f t="shared" si="11"/>
        <v>-0.16075683418683062</v>
      </c>
      <c r="AC27" s="30">
        <f t="shared" ca="1" si="12"/>
        <v>2.2245523528805342</v>
      </c>
      <c r="AD27" s="13">
        <f t="shared" ca="1" si="13"/>
        <v>2.2245523528806133</v>
      </c>
      <c r="AE27" s="32">
        <f ca="1">MIN('Aerodynamics-Cruise'!AE27,Main!J27)</f>
        <v>3.3063691683451992</v>
      </c>
      <c r="AF27" s="1">
        <f t="shared" ca="1" si="27"/>
        <v>0.86055965075715046</v>
      </c>
      <c r="AG27" s="16">
        <f ca="1">0.9*'Airfoil-Takeoff'!I27</f>
        <v>1.4211929561431456</v>
      </c>
      <c r="AH27" s="42">
        <f ca="1">0.455/(LOG10(MIN(V27,'Aerodynamics-Constants'!L27)))^2.58</f>
        <v>5.6775815727490462E-3</v>
      </c>
      <c r="AI27" s="42">
        <f ca="1">+AH27*'Aerodynamics-Constants'!J27*'Aerodynamics-Constants'!M27</f>
        <v>0</v>
      </c>
      <c r="AJ27" s="10">
        <f ca="1">X27*COS(RADIANS(AC27))*'Aerodynamics-Constants'!M27+AI27</f>
        <v>8.5140450774027765E-3</v>
      </c>
      <c r="AK27" s="10">
        <f ca="1">AF27^2/(PI()*'Aerodynamics-Constants'!I27*AA27)*(16*$B$7/M27)^2/(1+(16*$B$7/M27)^2)</f>
        <v>2.6429779268950494E-2</v>
      </c>
      <c r="AL27" s="10">
        <f t="shared" ca="1" si="14"/>
        <v>3.4943824346353271E-2</v>
      </c>
      <c r="AM27" s="1">
        <f t="shared" ca="1" si="1"/>
        <v>-0.15499999999999908</v>
      </c>
      <c r="AN27" s="1">
        <f t="shared" ca="1" si="15"/>
        <v>-0.32184982031930187</v>
      </c>
      <c r="AO27" s="12">
        <f t="shared" si="16"/>
        <v>0.972442687624126</v>
      </c>
      <c r="AP27" s="12">
        <f t="shared" si="17"/>
        <v>2.8338238054113063E-2</v>
      </c>
      <c r="AQ27" s="81">
        <f ca="1">B27*H27*'Aerodynamics-Constants'!AA27/C27</f>
        <v>106240.14635519031</v>
      </c>
      <c r="AR27" s="10">
        <f ca="1">0.455/(LOG10(MIN(AQ27,'Aerodynamics-Constants'!AG27)))^2.58</f>
        <v>7.0598103750248694E-3</v>
      </c>
      <c r="AS27" s="15">
        <f ca="1">AR27*'Aerodynamics-Constants'!AI27*'Aerodynamics-Constants'!AJ27*'Aerodynamics-Constants'!AE27/P27</f>
        <v>1.9637688344151239E-2</v>
      </c>
      <c r="AT27" s="10">
        <f t="shared" ca="1" si="18"/>
        <v>1.1453117823834808E-2</v>
      </c>
      <c r="AU27" s="10">
        <f t="shared" ca="1" si="19"/>
        <v>3.1090806167986047E-2</v>
      </c>
      <c r="AV27" s="12">
        <f t="shared" si="20"/>
        <v>0.95223684210526327</v>
      </c>
      <c r="AW27" s="12">
        <f t="shared" si="21"/>
        <v>5.0158905623877148E-2</v>
      </c>
      <c r="AX27" s="81">
        <f ca="1">B27*H27*'Aerodynamics-Constants'!AK27/C27</f>
        <v>59297.913408998349</v>
      </c>
      <c r="AY27" s="10">
        <f ca="1">0.455/(LOG10(MIN(AX27,'Aerodynamics-Constants'!AQ27)))^2.58</f>
        <v>8.0671520759675423E-3</v>
      </c>
      <c r="AZ27" s="15">
        <f ca="1">AY27*'Aerodynamics-Constants'!AS27*'Aerodynamics-Constants'!AT27*'Aerodynamics-Constants'!AO27/S27</f>
        <v>2.2439727114082049E-2</v>
      </c>
      <c r="BA27" s="81">
        <f ca="1">B27*H27*'Aerodynamics-Constants'!N27/C27</f>
        <v>2253636.5241392418</v>
      </c>
      <c r="BB27" s="10">
        <f ca="1">0.455/(LOG10(MIN(BA27,'Aerodynamics-Constants'!V27)))^2.58</f>
        <v>3.8578597180312919E-3</v>
      </c>
      <c r="BC27" s="10">
        <f ca="1">BB27*'Aerodynamics-Constants'!W27*'Aerodynamics-Constants'!X27*'Aerodynamics-Constants'!S27/N27+'Aerodynamics-Constants'!Z27</f>
        <v>2.8162203007121083E-3</v>
      </c>
      <c r="BD27" s="15">
        <f ca="1">BC27*'Aerodynamics-Constants'!AU27+(AJ27+AS27+AZ27)*('Aerodynamics-Constants'!AU27-1)</f>
        <v>8.1569883843469315E-3</v>
      </c>
      <c r="BE27" s="16">
        <f t="shared" ca="1" si="22"/>
        <v>0.83963030169880626</v>
      </c>
      <c r="BF27" s="10">
        <f t="shared" ca="1" si="2"/>
        <v>1.840263081927241E-2</v>
      </c>
      <c r="BG27" s="10">
        <f t="shared" ca="1" si="3"/>
        <v>2.7174556135700252E-2</v>
      </c>
      <c r="BH27" s="10">
        <f t="shared" ca="1" si="4"/>
        <v>4.5577186954972662E-2</v>
      </c>
      <c r="BI27" s="13">
        <f t="shared" ca="1" si="5"/>
        <v>55.984614502713853</v>
      </c>
      <c r="BJ27" s="13">
        <f t="shared" ca="1" si="6"/>
        <v>3.038981843115502</v>
      </c>
      <c r="BK27" s="13">
        <f t="shared" ca="1" si="28"/>
        <v>18.422161563597751</v>
      </c>
      <c r="BL27" s="14">
        <f t="shared" ca="1" si="7"/>
        <v>39.09194167769472</v>
      </c>
      <c r="BO27" s="16">
        <f ca="1">'Airfoil-Takeoff'!J27</f>
        <v>5.3338836963339027</v>
      </c>
      <c r="BP27" s="1">
        <f ca="1">BO27/(1+BO27/(PI()*'Aerodynamics-Constants'!I27)*(1+AB27))</f>
        <v>4.2992718090615014</v>
      </c>
      <c r="BR27" s="12">
        <v>6</v>
      </c>
      <c r="BS27" s="1">
        <f t="shared" si="8"/>
        <v>3.6070931443035468</v>
      </c>
      <c r="BT27" s="1">
        <f>Stability!W27</f>
        <v>2.5506000227085441</v>
      </c>
      <c r="BV27" s="12">
        <v>6</v>
      </c>
      <c r="BW27" s="1">
        <f t="shared" si="23"/>
        <v>3.5768237222582537</v>
      </c>
      <c r="BX27" s="1">
        <f>Stability!Y27</f>
        <v>2.5291963091177196</v>
      </c>
    </row>
    <row r="28" spans="2:76">
      <c r="B28" s="16">
        <f>'Airfoil-Takeoff'!D28</f>
        <v>1.2249994633486807</v>
      </c>
      <c r="C28" s="74">
        <f>'Airfoil-Takeoff'!E28</f>
        <v>1.783E-5</v>
      </c>
      <c r="E28" s="19">
        <f ca="1">Takeoff!H28</f>
        <v>132.52501256898603</v>
      </c>
      <c r="F28" s="63">
        <f>Weight!G28</f>
        <v>0.3</v>
      </c>
      <c r="H28" s="20">
        <f ca="1">SQRT(((Takeoff!$B$10*I28)^2+Takeoff!$B$11^2)/2)</f>
        <v>12.658704743682229</v>
      </c>
      <c r="I28" s="20">
        <f t="shared" ca="1" si="9"/>
        <v>14.918426608774451</v>
      </c>
      <c r="J28" s="20">
        <f t="shared" ca="1" si="10"/>
        <v>0.84852813742682887</v>
      </c>
      <c r="L28" s="31">
        <f>Main!B28</f>
        <v>0.33333333333333326</v>
      </c>
      <c r="M28" s="31">
        <f>Main!C28</f>
        <v>2.0526315789473686</v>
      </c>
      <c r="N28" s="1">
        <f t="shared" si="24"/>
        <v>0.68421052631578938</v>
      </c>
      <c r="O28" s="1">
        <f t="shared" si="25"/>
        <v>6.1578947368421071</v>
      </c>
      <c r="P28" s="16">
        <f ca="1">'Aerodynamics-Constants'!AC28</f>
        <v>4.394550651802915E-2</v>
      </c>
      <c r="Q28" s="16">
        <f>'Aerodynamics-Constants'!AD28</f>
        <v>3.0789473684210535</v>
      </c>
      <c r="R28" s="63">
        <f>Stability!G28</f>
        <v>5.6500000000000012</v>
      </c>
      <c r="S28" s="16">
        <f ca="1">'Aerodynamics-Constants'!AM28</f>
        <v>1.4126195587998653E-2</v>
      </c>
      <c r="T28" s="16">
        <f>'Aerodynamics-Constants'!AN28</f>
        <v>3.0789473684210535</v>
      </c>
      <c r="V28" s="81">
        <f t="shared" ca="1" si="0"/>
        <v>289902.90741634183</v>
      </c>
      <c r="W28" s="16">
        <f ca="1">BO28*RADIANS(AE28-AC28-'Airfoil-Takeoff'!K28)</f>
        <v>0.86155348591922909</v>
      </c>
      <c r="X28" s="42">
        <f ca="1">'Airfoil-Takeoff'!V28</f>
        <v>8.6344854271839053E-3</v>
      </c>
      <c r="Y28" s="14">
        <f t="shared" ca="1" si="26"/>
        <v>99.780524639812896</v>
      </c>
      <c r="Z28" s="16">
        <f ca="1">'Airfoil-Takeoff'!AF28</f>
        <v>-0.15499999999999908</v>
      </c>
      <c r="AA28" s="31">
        <f>Main!I28</f>
        <v>1.1842938502019895</v>
      </c>
      <c r="AB28" s="12">
        <f t="shared" si="11"/>
        <v>-0.15561496850680845</v>
      </c>
      <c r="AC28" s="30">
        <f t="shared" ca="1" si="12"/>
        <v>2.153062125225476</v>
      </c>
      <c r="AD28" s="13">
        <f t="shared" ca="1" si="13"/>
        <v>2.1530621252258038</v>
      </c>
      <c r="AE28" s="32">
        <f ca="1">MIN('Aerodynamics-Cruise'!AE28,Main!J28)</f>
        <v>3.2759688630957076</v>
      </c>
      <c r="AF28" s="1">
        <f t="shared" ca="1" si="27"/>
        <v>0.86094525429136393</v>
      </c>
      <c r="AG28" s="16">
        <f ca="1">0.9*'Airfoil-Takeoff'!I28</f>
        <v>1.4208759249397922</v>
      </c>
      <c r="AH28" s="42">
        <f ca="1">0.455/(LOG10(MIN(V28,'Aerodynamics-Constants'!L28)))^2.58</f>
        <v>5.696291558046543E-3</v>
      </c>
      <c r="AI28" s="42">
        <f ca="1">+AH28*'Aerodynamics-Constants'!J28*'Aerodynamics-Constants'!M28</f>
        <v>0</v>
      </c>
      <c r="AJ28" s="10">
        <f ca="1">X28*COS(RADIANS(AC28))*'Aerodynamics-Constants'!M28+AI28</f>
        <v>8.6283897323570762E-3</v>
      </c>
      <c r="AK28" s="10">
        <f ca="1">AF28^2/(PI()*'Aerodynamics-Constants'!I28*AA28)*(16*$B$7/M28)^2/(1+(16*$B$7/M28)^2)</f>
        <v>2.5162793913962554E-2</v>
      </c>
      <c r="AL28" s="10">
        <f t="shared" ca="1" si="14"/>
        <v>3.3791183646319632E-2</v>
      </c>
      <c r="AM28" s="1">
        <f t="shared" ca="1" si="1"/>
        <v>-0.15499999999999908</v>
      </c>
      <c r="AN28" s="1">
        <f t="shared" ca="1" si="15"/>
        <v>-0.3258038496038726</v>
      </c>
      <c r="AO28" s="12">
        <f t="shared" si="16"/>
        <v>0.96791379534354982</v>
      </c>
      <c r="AP28" s="12">
        <f t="shared" si="17"/>
        <v>3.3149857777428959E-2</v>
      </c>
      <c r="AQ28" s="81">
        <f ca="1">B28*H28*'Aerodynamics-Constants'!AA28/C28</f>
        <v>103903.44096596341</v>
      </c>
      <c r="AR28" s="10">
        <f ca="1">0.455/(LOG10(MIN(AQ28,'Aerodynamics-Constants'!AG28)))^2.58</f>
        <v>7.0949325188792624E-3</v>
      </c>
      <c r="AS28" s="15">
        <f ca="1">AR28*'Aerodynamics-Constants'!AI28*'Aerodynamics-Constants'!AJ28*'Aerodynamics-Constants'!AE28/P28</f>
        <v>1.9735384695519401E-2</v>
      </c>
      <c r="AT28" s="10">
        <f t="shared" ca="1" si="18"/>
        <v>1.1337664606049838E-2</v>
      </c>
      <c r="AU28" s="10">
        <f t="shared" ca="1" si="19"/>
        <v>3.107304930156924E-2</v>
      </c>
      <c r="AV28" s="12">
        <f t="shared" si="20"/>
        <v>0.95152631578947378</v>
      </c>
      <c r="AW28" s="12">
        <f t="shared" si="21"/>
        <v>5.0943083135128964E-2</v>
      </c>
      <c r="AX28" s="81">
        <f ca="1">B28*H28*'Aerodynamics-Constants'!AK28/C28</f>
        <v>58909.495110544667</v>
      </c>
      <c r="AY28" s="10">
        <f ca="1">0.455/(LOG10(MIN(AX28,'Aerodynamics-Constants'!AQ28)))^2.58</f>
        <v>8.0796110078303132E-3</v>
      </c>
      <c r="AZ28" s="15">
        <f ca="1">AY28*'Aerodynamics-Constants'!AS28*'Aerodynamics-Constants'!AT28*'Aerodynamics-Constants'!AO28/S28</f>
        <v>2.2474383090379597E-2</v>
      </c>
      <c r="BA28" s="81">
        <f ca="1">B28*H28*'Aerodynamics-Constants'!N28/C28</f>
        <v>2217757.2417350155</v>
      </c>
      <c r="BB28" s="10">
        <f ca="1">0.455/(LOG10(MIN(BA28,'Aerodynamics-Constants'!V28)))^2.58</f>
        <v>3.8688011246418149E-3</v>
      </c>
      <c r="BC28" s="10">
        <f ca="1">BB28*'Aerodynamics-Constants'!W28*'Aerodynamics-Constants'!X28*'Aerodynamics-Constants'!S28/N28+'Aerodynamics-Constants'!Z28</f>
        <v>2.7155777249886224E-3</v>
      </c>
      <c r="BD28" s="15">
        <f ca="1">BC28*'Aerodynamics-Constants'!AU28+(AJ28+AS28+AZ28)*('Aerodynamics-Constants'!AU28-1)</f>
        <v>8.070951249313096E-3</v>
      </c>
      <c r="BE28" s="16">
        <f t="shared" ca="1" si="22"/>
        <v>0.8400195090043675</v>
      </c>
      <c r="BF28" s="10">
        <f t="shared" ca="1" si="2"/>
        <v>1.8430911839555891E-2</v>
      </c>
      <c r="BG28" s="10">
        <f t="shared" ca="1" si="3"/>
        <v>2.5890989980350512E-2</v>
      </c>
      <c r="BH28" s="10">
        <f t="shared" ca="1" si="4"/>
        <v>4.432190181990641E-2</v>
      </c>
      <c r="BI28" s="13">
        <f t="shared" ca="1" si="5"/>
        <v>56.41096995575591</v>
      </c>
      <c r="BJ28" s="13">
        <f t="shared" ca="1" si="6"/>
        <v>2.9764088156810939</v>
      </c>
      <c r="BK28" s="13">
        <f t="shared" ca="1" si="28"/>
        <v>18.952695496182148</v>
      </c>
      <c r="BL28" s="14">
        <f t="shared" ca="1" si="7"/>
        <v>37.677480394199868</v>
      </c>
      <c r="BO28" s="16">
        <f ca="1">'Airfoil-Takeoff'!J28</f>
        <v>5.3627533318984275</v>
      </c>
      <c r="BP28" s="1">
        <f ca="1">BO28/(1+BO28/(PI()*'Aerodynamics-Constants'!I28)*(1+AB28))</f>
        <v>4.3455819018592701</v>
      </c>
      <c r="BR28" s="12">
        <v>6</v>
      </c>
      <c r="BS28" s="1">
        <f t="shared" si="8"/>
        <v>3.6566214992242547</v>
      </c>
      <c r="BT28" s="1">
        <f>Stability!W28</f>
        <v>2.5856218583339907</v>
      </c>
      <c r="BV28" s="12">
        <v>6</v>
      </c>
      <c r="BW28" s="1">
        <f t="shared" si="23"/>
        <v>3.632189944665718</v>
      </c>
      <c r="BX28" s="1">
        <f>Stability!Y28</f>
        <v>2.5683461404307204</v>
      </c>
    </row>
    <row r="29" spans="2:76">
      <c r="B29" s="16">
        <f>'Airfoil-Takeoff'!D29</f>
        <v>1.2249994633486807</v>
      </c>
      <c r="C29" s="74">
        <f>'Airfoil-Takeoff'!E29</f>
        <v>1.783E-5</v>
      </c>
      <c r="E29" s="19">
        <f ca="1">Takeoff!H29</f>
        <v>132.22241873640721</v>
      </c>
      <c r="F29" s="63">
        <f>Weight!G29</f>
        <v>0.3</v>
      </c>
      <c r="H29" s="20">
        <f ca="1">SQRT(((Takeoff!$B$10*I29)^2+Takeoff!$B$11^2)/2)</f>
        <v>12.409597035986524</v>
      </c>
      <c r="I29" s="20">
        <f t="shared" ca="1" si="9"/>
        <v>14.624850359844793</v>
      </c>
      <c r="J29" s="20">
        <f t="shared" ca="1" si="10"/>
        <v>0.84852813742692013</v>
      </c>
      <c r="L29" s="31">
        <f>Main!B29</f>
        <v>0.33333333333333326</v>
      </c>
      <c r="M29" s="31">
        <f>Main!C29</f>
        <v>2.1315789473684212</v>
      </c>
      <c r="N29" s="1">
        <f t="shared" si="24"/>
        <v>0.71052631578947356</v>
      </c>
      <c r="O29" s="1">
        <f t="shared" si="25"/>
        <v>6.3947368421052664</v>
      </c>
      <c r="P29" s="16">
        <f ca="1">'Aerodynamics-Constants'!AC29</f>
        <v>4.5163073631874995E-2</v>
      </c>
      <c r="Q29" s="16">
        <f>'Aerodynamics-Constants'!AD29</f>
        <v>3.1973684210526327</v>
      </c>
      <c r="R29" s="63">
        <f>Stability!G29</f>
        <v>5.6500000000000012</v>
      </c>
      <c r="S29" s="16">
        <f ca="1">'Aerodynamics-Constants'!AM29</f>
        <v>1.4952796880420957E-2</v>
      </c>
      <c r="T29" s="16">
        <f>'Aerodynamics-Constants'!AN29</f>
        <v>3.1973684210526327</v>
      </c>
      <c r="V29" s="81">
        <f t="shared" ca="1" si="0"/>
        <v>284197.97549928707</v>
      </c>
      <c r="W29" s="16">
        <f ca="1">BO29*RADIANS(AE29-AC29-'Airfoil-Takeoff'!K29)</f>
        <v>0.86203781238134802</v>
      </c>
      <c r="X29" s="42">
        <f ca="1">'Airfoil-Takeoff'!V29</f>
        <v>8.7781980581904673E-3</v>
      </c>
      <c r="Y29" s="14">
        <f t="shared" ca="1" si="26"/>
        <v>98.202137462258165</v>
      </c>
      <c r="Z29" s="16">
        <f ca="1">'Airfoil-Takeoff'!AF29</f>
        <v>-0.15499999999999914</v>
      </c>
      <c r="AA29" s="31">
        <f>Main!I29</f>
        <v>1.1771267133748404</v>
      </c>
      <c r="AB29" s="12">
        <f t="shared" si="11"/>
        <v>-0.15047378617975238</v>
      </c>
      <c r="AC29" s="30">
        <f t="shared" ca="1" si="12"/>
        <v>2.0872042769872832</v>
      </c>
      <c r="AD29" s="13">
        <f t="shared" ca="1" si="13"/>
        <v>2.0872042769876065</v>
      </c>
      <c r="AE29" s="32">
        <f ca="1">MIN('Aerodynamics-Cruise'!AE29,Main!J29)</f>
        <v>3.2606329124532945</v>
      </c>
      <c r="AF29" s="1">
        <f t="shared" ca="1" si="27"/>
        <v>0.86146589546834529</v>
      </c>
      <c r="AG29" s="16">
        <f ca="1">0.9*'Airfoil-Takeoff'!I29</f>
        <v>1.4204834065911784</v>
      </c>
      <c r="AH29" s="42">
        <f ca="1">0.455/(LOG10(MIN(V29,'Aerodynamics-Constants'!L29)))^2.58</f>
        <v>5.7195810849604645E-3</v>
      </c>
      <c r="AI29" s="42">
        <f ca="1">+AH29*'Aerodynamics-Constants'!J29*'Aerodynamics-Constants'!M29</f>
        <v>0</v>
      </c>
      <c r="AJ29" s="10">
        <f ca="1">X29*COS(RADIANS(AC29))*'Aerodynamics-Constants'!M29+AI29</f>
        <v>8.7723741838046116E-3</v>
      </c>
      <c r="AK29" s="10">
        <f ca="1">AF29^2/(PI()*'Aerodynamics-Constants'!I29*AA29)*(16*$B$7/M29)^2/(1+(16*$B$7/M29)^2)</f>
        <v>2.3989875630928564E-2</v>
      </c>
      <c r="AL29" s="10">
        <f t="shared" ca="1" si="14"/>
        <v>3.2762249814733177E-2</v>
      </c>
      <c r="AM29" s="1">
        <f t="shared" ca="1" si="1"/>
        <v>-0.15499999999999914</v>
      </c>
      <c r="AN29" s="1">
        <f t="shared" ca="1" si="15"/>
        <v>-0.32913693036712416</v>
      </c>
      <c r="AO29" s="12">
        <f t="shared" si="16"/>
        <v>0.96344031741880587</v>
      </c>
      <c r="AP29" s="12">
        <f t="shared" si="17"/>
        <v>3.7947013343953451E-2</v>
      </c>
      <c r="AQ29" s="81">
        <f ca="1">B29*H29*'Aerodynamics-Constants'!AA29/C29</f>
        <v>101329.9058915721</v>
      </c>
      <c r="AR29" s="10">
        <f ca="1">0.455/(LOG10(MIN(AQ29,'Aerodynamics-Constants'!AG29)))^2.58</f>
        <v>7.1348318261710781E-3</v>
      </c>
      <c r="AS29" s="15">
        <f ca="1">AR29*'Aerodynamics-Constants'!AI29*'Aerodynamics-Constants'!AJ29*'Aerodynamics-Constants'!AE29/P29</f>
        <v>1.9846369285773564E-2</v>
      </c>
      <c r="AT29" s="10">
        <f t="shared" ca="1" si="18"/>
        <v>1.119401432848046E-2</v>
      </c>
      <c r="AU29" s="10">
        <f t="shared" ca="1" si="19"/>
        <v>3.1040383614254024E-2</v>
      </c>
      <c r="AV29" s="12">
        <f t="shared" si="20"/>
        <v>0.95081578947368428</v>
      </c>
      <c r="AW29" s="12">
        <f t="shared" si="21"/>
        <v>5.1728432647864642E-2</v>
      </c>
      <c r="AX29" s="81">
        <f ca="1">B29*H29*'Aerodynamics-Constants'!AK29/C29</f>
        <v>58305.176030571281</v>
      </c>
      <c r="AY29" s="10">
        <f ca="1">0.455/(LOG10(MIN(AX29,'Aerodynamics-Constants'!AQ29)))^2.58</f>
        <v>8.0992133348680839E-3</v>
      </c>
      <c r="AZ29" s="15">
        <f ca="1">AY29*'Aerodynamics-Constants'!AS29*'Aerodynamics-Constants'!AT29*'Aerodynamics-Constants'!AO29/S29</f>
        <v>2.2528909255919355E-2</v>
      </c>
      <c r="BA29" s="81">
        <f ca="1">B29*H29*'Aerodynamics-Constants'!N29/C29</f>
        <v>2174114.5125695467</v>
      </c>
      <c r="BB29" s="10">
        <f ca="1">0.455/(LOG10(MIN(BA29,'Aerodynamics-Constants'!V29)))^2.58</f>
        <v>3.8824109038303571E-3</v>
      </c>
      <c r="BC29" s="10">
        <f ca="1">BB29*'Aerodynamics-Constants'!W29*'Aerodynamics-Constants'!X29*'Aerodynamics-Constants'!S29/N29+'Aerodynamics-Constants'!Z29</f>
        <v>2.6241922655871339E-3</v>
      </c>
      <c r="BD29" s="15">
        <f ca="1">BC29*'Aerodynamics-Constants'!AU29+(AJ29+AS29+AZ29)*('Aerodynamics-Constants'!AU29-1)</f>
        <v>8.0013767646956047E-3</v>
      </c>
      <c r="BE29" s="16">
        <f t="shared" ca="1" si="22"/>
        <v>0.84054501598674125</v>
      </c>
      <c r="BF29" s="10">
        <f t="shared" ca="1" si="2"/>
        <v>1.8509356251239437E-2</v>
      </c>
      <c r="BG29" s="10">
        <f t="shared" ca="1" si="3"/>
        <v>2.4701399021574127E-2</v>
      </c>
      <c r="BH29" s="10">
        <f t="shared" ca="1" si="4"/>
        <v>4.321075527281356E-2</v>
      </c>
      <c r="BI29" s="13">
        <f t="shared" ca="1" si="5"/>
        <v>56.332938547613068</v>
      </c>
      <c r="BJ29" s="13">
        <f t="shared" ca="1" si="6"/>
        <v>2.8959648502844142</v>
      </c>
      <c r="BK29" s="13">
        <f t="shared" ca="1" si="28"/>
        <v>19.452217640721912</v>
      </c>
      <c r="BL29" s="14">
        <f t="shared" ca="1" si="7"/>
        <v>35.93775682241062</v>
      </c>
      <c r="BO29" s="16">
        <f ca="1">'Airfoil-Takeoff'!J29</f>
        <v>5.3987226092849516</v>
      </c>
      <c r="BP29" s="1">
        <f ca="1">BO29/(1+BO29/(PI()*'Aerodynamics-Constants'!I29)*(1+AB29))</f>
        <v>4.3953002086532722</v>
      </c>
      <c r="BR29" s="12">
        <v>6</v>
      </c>
      <c r="BS29" s="1">
        <f t="shared" si="8"/>
        <v>3.7037291927749938</v>
      </c>
      <c r="BT29" s="1">
        <f>Stability!W29</f>
        <v>2.6189320278897759</v>
      </c>
      <c r="BV29" s="12">
        <v>6</v>
      </c>
      <c r="BW29" s="1">
        <f t="shared" si="23"/>
        <v>3.6850039020501306</v>
      </c>
      <c r="BX29" s="1">
        <f>Stability!Y29</f>
        <v>2.6056912478385357</v>
      </c>
    </row>
    <row r="30" spans="2:76">
      <c r="B30" s="16">
        <f>'Airfoil-Takeoff'!D30</f>
        <v>1.2249994633486807</v>
      </c>
      <c r="C30" s="74">
        <f>'Airfoil-Takeoff'!E30</f>
        <v>1.783E-5</v>
      </c>
      <c r="E30" s="19">
        <f ca="1">Takeoff!H30</f>
        <v>131.99460630550439</v>
      </c>
      <c r="F30" s="63">
        <f>Weight!G30</f>
        <v>0.3</v>
      </c>
      <c r="H30" s="20">
        <f ca="1">SQRT(((Takeoff!$B$10*I30)^2+Takeoff!$B$11^2)/2)</f>
        <v>12.177080745869123</v>
      </c>
      <c r="I30" s="20">
        <f t="shared" ca="1" si="9"/>
        <v>14.350827284047069</v>
      </c>
      <c r="J30" s="20">
        <f t="shared" ca="1" si="10"/>
        <v>0.84852813742700628</v>
      </c>
      <c r="L30" s="31">
        <f>Main!B30</f>
        <v>0.33333333333333326</v>
      </c>
      <c r="M30" s="31">
        <f>Main!C30</f>
        <v>2.2105263157894739</v>
      </c>
      <c r="N30" s="1">
        <f t="shared" si="24"/>
        <v>0.73684210526315785</v>
      </c>
      <c r="O30" s="1">
        <f t="shared" si="25"/>
        <v>6.631578947368423</v>
      </c>
      <c r="P30" s="16">
        <f ca="1">'Aerodynamics-Constants'!AC30</f>
        <v>4.6377372192058779E-2</v>
      </c>
      <c r="Q30" s="16">
        <f>'Aerodynamics-Constants'!AD30</f>
        <v>3.3157894736842115</v>
      </c>
      <c r="R30" s="63">
        <f>Stability!G30</f>
        <v>5.6500000000000012</v>
      </c>
      <c r="S30" s="16">
        <f ca="1">'Aerodynamics-Constants'!AM30</f>
        <v>1.5807427641918392E-2</v>
      </c>
      <c r="T30" s="16">
        <f>'Aerodynamics-Constants'!AN30</f>
        <v>3.3157894736842115</v>
      </c>
      <c r="V30" s="81">
        <f t="shared" ca="1" si="0"/>
        <v>278873.01138237474</v>
      </c>
      <c r="W30" s="16">
        <f ca="1">BO30*RADIANS(AE30-AC30-'Airfoil-Takeoff'!K30)</f>
        <v>0.86249884476051375</v>
      </c>
      <c r="X30" s="42">
        <f ca="1">'Airfoil-Takeoff'!V30</f>
        <v>8.9170437908691648E-3</v>
      </c>
      <c r="Y30" s="14">
        <f t="shared" ca="1" si="26"/>
        <v>96.72475149709274</v>
      </c>
      <c r="Z30" s="16">
        <f ca="1">'Airfoil-Takeoff'!AF30</f>
        <v>-0.15499999999999914</v>
      </c>
      <c r="AA30" s="31">
        <f>Main!I30</f>
        <v>1.1700440412790545</v>
      </c>
      <c r="AB30" s="12">
        <f t="shared" si="11"/>
        <v>-0.14533131683929423</v>
      </c>
      <c r="AC30" s="30">
        <f t="shared" ca="1" si="12"/>
        <v>2.0260052157851303</v>
      </c>
      <c r="AD30" s="13">
        <f t="shared" ca="1" si="13"/>
        <v>2.026005215785446</v>
      </c>
      <c r="AE30" s="32">
        <f ca="1">MIN('Aerodynamics-Cruise'!AE30,Main!J30)</f>
        <v>3.2465227228021973</v>
      </c>
      <c r="AF30" s="1">
        <f t="shared" ca="1" si="27"/>
        <v>0.86195968294487668</v>
      </c>
      <c r="AG30" s="16">
        <f ca="1">0.9*'Airfoil-Takeoff'!I30</f>
        <v>1.4201099562958621</v>
      </c>
      <c r="AH30" s="42">
        <f ca="1">0.455/(LOG10(MIN(V30,'Aerodynamics-Constants'!L30)))^2.58</f>
        <v>5.7418680954117191E-3</v>
      </c>
      <c r="AI30" s="42">
        <f ca="1">+AH30*'Aerodynamics-Constants'!J30*'Aerodynamics-Constants'!M30</f>
        <v>0</v>
      </c>
      <c r="AJ30" s="10">
        <f ca="1">X30*COS(RADIANS(AC30))*'Aerodynamics-Constants'!M30+AI30</f>
        <v>8.9114696042489668E-3</v>
      </c>
      <c r="AK30" s="10">
        <f ca="1">AF30^2/(PI()*'Aerodynamics-Constants'!I30*AA30)*(16*$B$7/M30)^2/(1+(16*$B$7/M30)^2)</f>
        <v>2.2892972916313453E-2</v>
      </c>
      <c r="AL30" s="10">
        <f t="shared" ca="1" si="14"/>
        <v>3.1804442520562422E-2</v>
      </c>
      <c r="AM30" s="1">
        <f t="shared" ca="1" si="1"/>
        <v>-0.15499999999999914</v>
      </c>
      <c r="AN30" s="1">
        <f t="shared" ca="1" si="15"/>
        <v>-0.33231689824328464</v>
      </c>
      <c r="AO30" s="12">
        <f t="shared" si="16"/>
        <v>0.95901955944629458</v>
      </c>
      <c r="AP30" s="12">
        <f t="shared" si="17"/>
        <v>4.2731600362109656E-2</v>
      </c>
      <c r="AQ30" s="81">
        <f ca="1">B30*H30*'Aerodynamics-Constants'!AA30/C30</f>
        <v>98943.515166821453</v>
      </c>
      <c r="AR30" s="10">
        <f ca="1">0.455/(LOG10(MIN(AQ30,'Aerodynamics-Constants'!AG30)))^2.58</f>
        <v>7.17303486924713E-3</v>
      </c>
      <c r="AS30" s="15">
        <f ca="1">AR30*'Aerodynamics-Constants'!AI30*'Aerodynamics-Constants'!AJ30*'Aerodynamics-Constants'!AE30/P30</f>
        <v>1.9952635518699545E-2</v>
      </c>
      <c r="AT30" s="10">
        <f t="shared" ca="1" si="18"/>
        <v>1.1054537193788365E-2</v>
      </c>
      <c r="AU30" s="10">
        <f t="shared" ca="1" si="19"/>
        <v>3.1007172712487908E-2</v>
      </c>
      <c r="AV30" s="12">
        <f t="shared" si="20"/>
        <v>0.95010526315789479</v>
      </c>
      <c r="AW30" s="12">
        <f t="shared" si="21"/>
        <v>5.2514956791491096E-2</v>
      </c>
      <c r="AX30" s="81">
        <f ca="1">B30*H30*'Aerodynamics-Constants'!AK30/C30</f>
        <v>57765.012029212339</v>
      </c>
      <c r="AY30" s="10">
        <f ca="1">0.455/(LOG10(MIN(AX30,'Aerodynamics-Constants'!AQ30)))^2.58</f>
        <v>8.1169641097651735E-3</v>
      </c>
      <c r="AZ30" s="15">
        <f ca="1">AY30*'Aerodynamics-Constants'!AS30*'Aerodynamics-Constants'!AT30*'Aerodynamics-Constants'!AO30/S30</f>
        <v>2.2578285112603753E-2</v>
      </c>
      <c r="BA30" s="81">
        <f ca="1">B30*H30*'Aerodynamics-Constants'!N30/C30</f>
        <v>2133378.5370751671</v>
      </c>
      <c r="BB30" s="10">
        <f ca="1">0.455/(LOG10(MIN(BA30,'Aerodynamics-Constants'!V30)))^2.58</f>
        <v>3.8954248024934976E-3</v>
      </c>
      <c r="BC30" s="10">
        <f ca="1">BB30*'Aerodynamics-Constants'!W30*'Aerodynamics-Constants'!X30*'Aerodynamics-Constants'!S30/N30+'Aerodynamics-Constants'!Z30</f>
        <v>2.5389462780663037E-3</v>
      </c>
      <c r="BD30" s="15">
        <f ca="1">BC30*'Aerodynamics-Constants'!AU30+(AJ30+AS30+AZ30)*('Aerodynamics-Constants'!AU30-1)</f>
        <v>7.937079929428166E-3</v>
      </c>
      <c r="BE30" s="16">
        <f t="shared" ca="1" si="22"/>
        <v>0.84104341829950191</v>
      </c>
      <c r="BF30" s="10">
        <f t="shared" ca="1" si="2"/>
        <v>1.8588753306914764E-2</v>
      </c>
      <c r="BG30" s="10">
        <f t="shared" ca="1" si="3"/>
        <v>2.3588753439963334E-2</v>
      </c>
      <c r="BH30" s="10">
        <f t="shared" ca="1" si="4"/>
        <v>4.2177506746878098E-2</v>
      </c>
      <c r="BI30" s="13">
        <f t="shared" ca="1" si="5"/>
        <v>56.284022207515086</v>
      </c>
      <c r="BJ30" s="13">
        <f t="shared" ca="1" si="6"/>
        <v>2.8225887923820996</v>
      </c>
      <c r="BK30" s="13">
        <f t="shared" ca="1" si="28"/>
        <v>19.940567453332324</v>
      </c>
      <c r="BL30" s="14">
        <f t="shared" ca="1" si="7"/>
        <v>34.370891637222044</v>
      </c>
      <c r="BO30" s="16">
        <f ca="1">'Airfoil-Takeoff'!J30</f>
        <v>5.4331777970335855</v>
      </c>
      <c r="BP30" s="1">
        <f ca="1">BO30/(1+BO30/(PI()*'Aerodynamics-Constants'!I30)*(1+AB30))</f>
        <v>4.4429104647227433</v>
      </c>
      <c r="BR30" s="12">
        <v>6</v>
      </c>
      <c r="BS30" s="1">
        <f t="shared" si="8"/>
        <v>3.7485889767549225</v>
      </c>
      <c r="BT30" s="1">
        <f>Stability!W30</f>
        <v>2.6506526853445473</v>
      </c>
      <c r="BV30" s="12">
        <v>6</v>
      </c>
      <c r="BW30" s="1">
        <f t="shared" si="23"/>
        <v>3.735437927548761</v>
      </c>
      <c r="BX30" s="1">
        <f>Stability!Y30</f>
        <v>2.6413534892711525</v>
      </c>
    </row>
    <row r="31" spans="2:76">
      <c r="B31" s="16">
        <f>'Airfoil-Takeoff'!D31</f>
        <v>1.2249994633486807</v>
      </c>
      <c r="C31" s="74">
        <f>'Airfoil-Takeoff'!E31</f>
        <v>1.783E-5</v>
      </c>
      <c r="E31" s="19">
        <f ca="1">Takeoff!H31</f>
        <v>131.83112185491365</v>
      </c>
      <c r="F31" s="63">
        <f>Weight!G31</f>
        <v>0.3</v>
      </c>
      <c r="H31" s="20">
        <f ca="1">SQRT(((Takeoff!$B$10*I31)^2+Takeoff!$B$11^2)/2)</f>
        <v>11.959376547462874</v>
      </c>
      <c r="I31" s="20">
        <f t="shared" ca="1" si="9"/>
        <v>14.094260425736934</v>
      </c>
      <c r="J31" s="20">
        <f t="shared" ca="1" si="10"/>
        <v>0.84852813742708777</v>
      </c>
      <c r="L31" s="31">
        <f>Main!B31</f>
        <v>0.33333333333333326</v>
      </c>
      <c r="M31" s="31">
        <f>Main!C31</f>
        <v>2.2894736842105265</v>
      </c>
      <c r="N31" s="1">
        <f t="shared" si="24"/>
        <v>0.76315789473684204</v>
      </c>
      <c r="O31" s="1">
        <f t="shared" si="25"/>
        <v>6.8684210526315805</v>
      </c>
      <c r="P31" s="16">
        <f ca="1">'Aerodynamics-Constants'!AC31</f>
        <v>4.758897211975064E-2</v>
      </c>
      <c r="Q31" s="16">
        <f>'Aerodynamics-Constants'!AD31</f>
        <v>3.4342105263157907</v>
      </c>
      <c r="R31" s="63">
        <f>Stability!G31</f>
        <v>5.6500000000000012</v>
      </c>
      <c r="S31" s="16">
        <f ca="1">'Aerodynamics-Constants'!AM31</f>
        <v>1.6689885877140986E-2</v>
      </c>
      <c r="T31" s="16">
        <f>'Aerodynamics-Constants'!AN31</f>
        <v>3.4342105263157907</v>
      </c>
      <c r="V31" s="81">
        <f t="shared" ca="1" si="0"/>
        <v>273887.26589319156</v>
      </c>
      <c r="W31" s="16">
        <f ca="1">BO31*RADIANS(AE31-AC31-'Airfoil-Takeoff'!K31)</f>
        <v>0.86293879254847583</v>
      </c>
      <c r="X31" s="42">
        <f ca="1">'Airfoil-Takeoff'!V31</f>
        <v>9.051383967446907E-3</v>
      </c>
      <c r="Y31" s="14">
        <f t="shared" ca="1" si="26"/>
        <v>95.337773278872632</v>
      </c>
      <c r="Z31" s="16">
        <f ca="1">'Airfoil-Takeoff'!AF31</f>
        <v>-0.15499999999999917</v>
      </c>
      <c r="AA31" s="31">
        <f>Main!I31</f>
        <v>1.163041872967743</v>
      </c>
      <c r="AB31" s="12">
        <f t="shared" si="11"/>
        <v>-0.1401857291274542</v>
      </c>
      <c r="AC31" s="30">
        <f t="shared" ca="1" si="12"/>
        <v>1.9689921905898733</v>
      </c>
      <c r="AD31" s="13">
        <f t="shared" ca="1" si="13"/>
        <v>1.9689921905901966</v>
      </c>
      <c r="AE31" s="32">
        <f ca="1">MIN('Aerodynamics-Cruise'!AE31,Main!J31)</f>
        <v>3.2335347519002262</v>
      </c>
      <c r="AF31" s="1">
        <f t="shared" ca="1" si="27"/>
        <v>0.86242928575622113</v>
      </c>
      <c r="AG31" s="16">
        <f ca="1">0.9*'Airfoil-Takeoff'!I31</f>
        <v>1.4197538662540818</v>
      </c>
      <c r="AH31" s="42">
        <f ca="1">0.455/(LOG10(MIN(V31,'Aerodynamics-Constants'!L31)))^2.58</f>
        <v>5.7632369611200331E-3</v>
      </c>
      <c r="AI31" s="42">
        <f ca="1">+AH31*'Aerodynamics-Constants'!J31*'Aerodynamics-Constants'!M31</f>
        <v>0</v>
      </c>
      <c r="AJ31" s="10">
        <f ca="1">X31*COS(RADIANS(AC31))*'Aerodynamics-Constants'!M31+AI31</f>
        <v>9.0460397395010304E-3</v>
      </c>
      <c r="AK31" s="10">
        <f ca="1">AF31^2/(PI()*'Aerodynamics-Constants'!I31*AA31)*(16*$B$7/M31)^2/(1+(16*$B$7/M31)^2)</f>
        <v>2.1865197129439354E-2</v>
      </c>
      <c r="AL31" s="10">
        <f t="shared" ca="1" si="14"/>
        <v>3.0911236868940387E-2</v>
      </c>
      <c r="AM31" s="1">
        <f t="shared" ca="1" si="1"/>
        <v>-0.15499999999999917</v>
      </c>
      <c r="AN31" s="1">
        <f t="shared" ca="1" si="15"/>
        <v>-0.33535212940418518</v>
      </c>
      <c r="AO31" s="12">
        <f t="shared" si="16"/>
        <v>0.95464904914051385</v>
      </c>
      <c r="AP31" s="12">
        <f t="shared" si="17"/>
        <v>4.7505364301484665E-2</v>
      </c>
      <c r="AQ31" s="81">
        <f ca="1">B31*H31*'Aerodynamics-Constants'!AA31/C31</f>
        <v>96723.6774462373</v>
      </c>
      <c r="AR31" s="10">
        <f ca="1">0.455/(LOG10(MIN(AQ31,'Aerodynamics-Constants'!AG31)))^2.58</f>
        <v>7.2096723091649422E-3</v>
      </c>
      <c r="AS31" s="15">
        <f ca="1">AR31*'Aerodynamics-Constants'!AI31*'Aerodynamics-Constants'!AJ31*'Aerodynamics-Constants'!AE31/P31</f>
        <v>2.0054546843312288E-2</v>
      </c>
      <c r="AT31" s="10">
        <f t="shared" ca="1" si="18"/>
        <v>1.0918968286864235E-2</v>
      </c>
      <c r="AU31" s="10">
        <f t="shared" ca="1" si="19"/>
        <v>3.0973515130176522E-2</v>
      </c>
      <c r="AV31" s="12">
        <f t="shared" si="20"/>
        <v>0.94939473684210529</v>
      </c>
      <c r="AW31" s="12">
        <f t="shared" si="21"/>
        <v>5.330265820328739E-2</v>
      </c>
      <c r="AX31" s="81">
        <f ca="1">B31*H31*'Aerodynamics-Constants'!AK31/C31</f>
        <v>57280.436836722023</v>
      </c>
      <c r="AY31" s="10">
        <f ca="1">0.455/(LOG10(MIN(AX31,'Aerodynamics-Constants'!AQ31)))^2.58</f>
        <v>8.1330765269313592E-3</v>
      </c>
      <c r="AZ31" s="15">
        <f ca="1">AY31*'Aerodynamics-Constants'!AS31*'Aerodynamics-Constants'!AT31*'Aerodynamics-Constants'!AO31/S31</f>
        <v>2.262310368562093E-2</v>
      </c>
      <c r="BA31" s="81">
        <f ca="1">B31*H31*'Aerodynamics-Constants'!N31/C31</f>
        <v>2095237.5840829157</v>
      </c>
      <c r="BB31" s="10">
        <f ca="1">0.455/(LOG10(MIN(BA31,'Aerodynamics-Constants'!V31)))^2.58</f>
        <v>3.907893388516933E-3</v>
      </c>
      <c r="BC31" s="10">
        <f ca="1">BB31*'Aerodynamics-Constants'!W31*'Aerodynamics-Constants'!X31*'Aerodynamics-Constants'!S31/N31+'Aerodynamics-Constants'!Z31</f>
        <v>2.4592364408703633E-3</v>
      </c>
      <c r="BD31" s="15">
        <f ca="1">BC31*'Aerodynamics-Constants'!AU31+(AJ31+AS31+AZ31)*('Aerodynamics-Constants'!AU31-1)</f>
        <v>7.8775291118008302E-3</v>
      </c>
      <c r="BE31" s="16">
        <f t="shared" ca="1" si="22"/>
        <v>0.84151740992216728</v>
      </c>
      <c r="BF31" s="10">
        <f t="shared" ca="1" si="2"/>
        <v>1.86688856441782E-2</v>
      </c>
      <c r="BG31" s="10">
        <f t="shared" ca="1" si="3"/>
        <v>2.2546081754971799E-2</v>
      </c>
      <c r="BH31" s="10">
        <f t="shared" ca="1" si="4"/>
        <v>4.1214967399149996E-2</v>
      </c>
      <c r="BI31" s="13">
        <f t="shared" ca="1" si="5"/>
        <v>56.260098690835527</v>
      </c>
      <c r="BJ31" s="13">
        <f t="shared" ca="1" si="6"/>
        <v>2.7554487953258286</v>
      </c>
      <c r="BK31" s="13">
        <f t="shared" ca="1" si="28"/>
        <v>20.417762357359589</v>
      </c>
      <c r="BL31" s="14">
        <f t="shared" ca="1" si="7"/>
        <v>32.953449700554543</v>
      </c>
      <c r="BO31" s="16">
        <f ca="1">'Airfoil-Takeoff'!J31</f>
        <v>5.4662445957830696</v>
      </c>
      <c r="BP31" s="1">
        <f ca="1">BO31/(1+BO31/(PI()*'Aerodynamics-Constants'!I31)*(1+AB31))</f>
        <v>4.4885688933637855</v>
      </c>
      <c r="BR31" s="12">
        <v>6</v>
      </c>
      <c r="BS31" s="1">
        <f t="shared" si="8"/>
        <v>3.7913574006695518</v>
      </c>
      <c r="BT31" s="1">
        <f>Stability!W31</f>
        <v>2.6808945279152425</v>
      </c>
      <c r="BV31" s="12">
        <v>6</v>
      </c>
      <c r="BW31" s="1">
        <f t="shared" si="23"/>
        <v>3.783649180369149</v>
      </c>
      <c r="BX31" s="1">
        <f>Stability!Y31</f>
        <v>2.6754439930699481</v>
      </c>
    </row>
    <row r="32" spans="2:76">
      <c r="B32" s="16">
        <f>'Airfoil-Takeoff'!D32</f>
        <v>1.2249994633486807</v>
      </c>
      <c r="C32" s="74">
        <f>'Airfoil-Takeoff'!E32</f>
        <v>1.783E-5</v>
      </c>
      <c r="E32" s="19">
        <f ca="1">Takeoff!H32</f>
        <v>131.72349764200382</v>
      </c>
      <c r="F32" s="63">
        <f>Weight!G32</f>
        <v>0.3</v>
      </c>
      <c r="H32" s="20">
        <f ca="1">SQRT(((Takeoff!$B$10*I32)^2+Takeoff!$B$11^2)/2)</f>
        <v>11.754972136958465</v>
      </c>
      <c r="I32" s="20">
        <f t="shared" ca="1" si="9"/>
        <v>13.853367517783109</v>
      </c>
      <c r="J32" s="20">
        <f t="shared" ca="1" si="10"/>
        <v>0.84852813742716315</v>
      </c>
      <c r="L32" s="31">
        <f>Main!B32</f>
        <v>0.33333333333333326</v>
      </c>
      <c r="M32" s="31">
        <f>Main!C32</f>
        <v>2.3684210526315792</v>
      </c>
      <c r="N32" s="1">
        <f t="shared" si="24"/>
        <v>0.78947368421052622</v>
      </c>
      <c r="O32" s="1">
        <f t="shared" si="25"/>
        <v>7.1052631578947389</v>
      </c>
      <c r="P32" s="16">
        <f ca="1">'Aerodynamics-Constants'!AC32</f>
        <v>4.8798353242644012E-2</v>
      </c>
      <c r="Q32" s="16">
        <f>'Aerodynamics-Constants'!AD32</f>
        <v>3.5526315789473695</v>
      </c>
      <c r="R32" s="63">
        <f>Stability!G32</f>
        <v>5.6500000000000012</v>
      </c>
      <c r="S32" s="16">
        <f ca="1">'Aerodynamics-Constants'!AM32</f>
        <v>1.7599996651648308E-2</v>
      </c>
      <c r="T32" s="16">
        <f>'Aerodynamics-Constants'!AN32</f>
        <v>3.5526315789473695</v>
      </c>
      <c r="V32" s="81">
        <f t="shared" ca="1" si="0"/>
        <v>269206.10505613778</v>
      </c>
      <c r="W32" s="16">
        <f ca="1">BO32*RADIANS(AE32-AC32-'Airfoil-Takeoff'!K32)</f>
        <v>0.86335952916954373</v>
      </c>
      <c r="X32" s="42">
        <f ca="1">'Airfoil-Takeoff'!V32</f>
        <v>9.1815325200877897E-3</v>
      </c>
      <c r="Y32" s="14">
        <f t="shared" ca="1" si="26"/>
        <v>94.032181150657038</v>
      </c>
      <c r="Z32" s="16">
        <f ca="1">'Airfoil-Takeoff'!AF32</f>
        <v>-0.15499999999999917</v>
      </c>
      <c r="AA32" s="31">
        <f>Main!I32</f>
        <v>1.1561165628108239</v>
      </c>
      <c r="AB32" s="12">
        <f t="shared" si="11"/>
        <v>-0.13503531376737943</v>
      </c>
      <c r="AC32" s="30">
        <f t="shared" ca="1" si="12"/>
        <v>1.9157544552048293</v>
      </c>
      <c r="AD32" s="13">
        <f t="shared" ca="1" si="13"/>
        <v>1.9157544552051426</v>
      </c>
      <c r="AE32" s="32">
        <f ca="1">MIN('Aerodynamics-Cruise'!AE32,Main!J32)</f>
        <v>3.2215720112091955</v>
      </c>
      <c r="AF32" s="1">
        <f t="shared" ca="1" si="27"/>
        <v>0.86287696435448424</v>
      </c>
      <c r="AG32" s="16">
        <f ca="1">0.9*'Airfoil-Takeoff'!I32</f>
        <v>1.419413663290013</v>
      </c>
      <c r="AH32" s="42">
        <f ca="1">0.455/(LOG10(MIN(V32,'Aerodynamics-Constants'!L32)))^2.58</f>
        <v>5.7837607059490733E-3</v>
      </c>
      <c r="AI32" s="42">
        <f ca="1">+AH32*'Aerodynamics-Constants'!J32*'Aerodynamics-Constants'!M32</f>
        <v>0</v>
      </c>
      <c r="AJ32" s="10">
        <f ca="1">X32*COS(RADIANS(AC32))*'Aerodynamics-Constants'!M32+AI32</f>
        <v>9.1764006087660024E-3</v>
      </c>
      <c r="AK32" s="10">
        <f ca="1">AF32^2/(PI()*'Aerodynamics-Constants'!I32*AA32)*(16*$B$7/M32)^2/(1+(16*$B$7/M32)^2)</f>
        <v>2.0900517470027843E-2</v>
      </c>
      <c r="AL32" s="10">
        <f t="shared" ca="1" si="14"/>
        <v>3.0076918078793848E-2</v>
      </c>
      <c r="AM32" s="1">
        <f t="shared" ca="1" si="1"/>
        <v>-0.15499999999999917</v>
      </c>
      <c r="AN32" s="1">
        <f t="shared" ca="1" si="15"/>
        <v>-0.33825060628301917</v>
      </c>
      <c r="AO32" s="12">
        <f t="shared" si="16"/>
        <v>0.9503265110257636</v>
      </c>
      <c r="AP32" s="12">
        <f t="shared" si="17"/>
        <v>5.2269918178563524E-2</v>
      </c>
      <c r="AQ32" s="81">
        <f ca="1">B32*H32*'Aerodynamics-Constants'!AA32/C32</f>
        <v>94652.841608102375</v>
      </c>
      <c r="AR32" s="10">
        <f ca="1">0.455/(LOG10(MIN(AQ32,'Aerodynamics-Constants'!AG32)))^2.58</f>
        <v>7.2448590689717565E-3</v>
      </c>
      <c r="AS32" s="15">
        <f ca="1">AR32*'Aerodynamics-Constants'!AI32*'Aerodynamics-Constants'!AJ32*'Aerodynamics-Constants'!AE32/P32</f>
        <v>2.0152422931510233E-2</v>
      </c>
      <c r="AT32" s="10">
        <f t="shared" ca="1" si="18"/>
        <v>1.0787089398760561E-2</v>
      </c>
      <c r="AU32" s="10">
        <f t="shared" ca="1" si="19"/>
        <v>3.0939512330270792E-2</v>
      </c>
      <c r="AV32" s="12">
        <f t="shared" si="20"/>
        <v>0.9486842105263158</v>
      </c>
      <c r="AW32" s="12">
        <f t="shared" si="21"/>
        <v>5.4091539528432708E-2</v>
      </c>
      <c r="AX32" s="81">
        <f ca="1">B32*H32*'Aerodynamics-Constants'!AK32/C32</f>
        <v>56844.358005650385</v>
      </c>
      <c r="AY32" s="10">
        <f ca="1">0.455/(LOG10(MIN(AX32,'Aerodynamics-Constants'!AQ32)))^2.58</f>
        <v>8.1477317850674035E-3</v>
      </c>
      <c r="AZ32" s="15">
        <f ca="1">AY32*'Aerodynamics-Constants'!AS32*'Aerodynamics-Constants'!AT32*'Aerodynamics-Constants'!AO32/S32</f>
        <v>2.2663869000351885E-2</v>
      </c>
      <c r="BA32" s="81">
        <f ca="1">B32*H32*'Aerodynamics-Constants'!N32/C32</f>
        <v>2059426.7036794545</v>
      </c>
      <c r="BB32" s="10">
        <f ca="1">0.455/(LOG10(MIN(BA32,'Aerodynamics-Constants'!V32)))^2.58</f>
        <v>3.9198604123075534E-3</v>
      </c>
      <c r="BC32" s="10">
        <f ca="1">BB32*'Aerodynamics-Constants'!W32*'Aerodynamics-Constants'!X32*'Aerodynamics-Constants'!S32/N32+'Aerodynamics-Constants'!Z32</f>
        <v>2.3845357314936084E-3</v>
      </c>
      <c r="BD32" s="15">
        <f ca="1">BC32*'Aerodynamics-Constants'!AU32+(AJ32+AS32+AZ32)*('Aerodynamics-Constants'!AU32-1)</f>
        <v>7.8222585587057851E-3</v>
      </c>
      <c r="BE32" s="16">
        <f t="shared" ca="1" si="22"/>
        <v>0.8419692724325637</v>
      </c>
      <c r="BF32" s="10">
        <f t="shared" ca="1" si="2"/>
        <v>1.8749558657945462E-2</v>
      </c>
      <c r="BG32" s="10">
        <f t="shared" ca="1" si="3"/>
        <v>2.1567280922019396E-2</v>
      </c>
      <c r="BH32" s="10">
        <f t="shared" ca="1" si="4"/>
        <v>4.0316839579964861E-2</v>
      </c>
      <c r="BI32" s="13">
        <f t="shared" ca="1" si="5"/>
        <v>56.257834516897944</v>
      </c>
      <c r="BJ32" s="13">
        <f t="shared" ca="1" si="6"/>
        <v>2.6938490080297406</v>
      </c>
      <c r="BK32" s="13">
        <f t="shared" ca="1" si="28"/>
        <v>20.883811360327307</v>
      </c>
      <c r="BL32" s="14">
        <f t="shared" ca="1" si="7"/>
        <v>31.666120030562798</v>
      </c>
      <c r="BO32" s="16">
        <f ca="1">'Airfoil-Takeoff'!J32</f>
        <v>5.4980318871653324</v>
      </c>
      <c r="BP32" s="1">
        <f ca="1">BO32/(1+BO32/(PI()*'Aerodynamics-Constants'!I32)*(1+AB32))</f>
        <v>4.5324142541805852</v>
      </c>
      <c r="BR32" s="12">
        <v>6</v>
      </c>
      <c r="BS32" s="1">
        <f t="shared" si="8"/>
        <v>3.8321766772122796</v>
      </c>
      <c r="BT32" s="1">
        <f>Stability!W32</f>
        <v>2.7097581151617343</v>
      </c>
      <c r="BV32" s="12">
        <v>6</v>
      </c>
      <c r="BW32" s="1">
        <f t="shared" si="23"/>
        <v>3.8297812798968627</v>
      </c>
      <c r="BX32" s="1">
        <f>Stability!Y32</f>
        <v>2.7080643134763669</v>
      </c>
    </row>
    <row r="33" spans="2:76">
      <c r="B33" s="16">
        <f>'Airfoil-Takeoff'!D33</f>
        <v>1.2249994633486807</v>
      </c>
      <c r="C33" s="74">
        <f>'Airfoil-Takeoff'!E33</f>
        <v>1.783E-5</v>
      </c>
      <c r="E33" s="19">
        <f ca="1">Takeoff!H33</f>
        <v>131.66480106818827</v>
      </c>
      <c r="F33" s="63">
        <f>Weight!G33</f>
        <v>0.3</v>
      </c>
      <c r="H33" s="20">
        <f ca="1">SQRT(((Takeoff!$B$10*I33)^2+Takeoff!$B$11^2)/2)</f>
        <v>11.562571144367805</v>
      </c>
      <c r="I33" s="20">
        <f t="shared" ca="1" si="9"/>
        <v>13.626620773502792</v>
      </c>
      <c r="J33" s="20">
        <f t="shared" ca="1" si="10"/>
        <v>0.84852813742725064</v>
      </c>
      <c r="L33" s="31">
        <f>Main!B33</f>
        <v>0.33333333333333326</v>
      </c>
      <c r="M33" s="31">
        <f>Main!C33</f>
        <v>2.4473684210526319</v>
      </c>
      <c r="N33" s="1">
        <f t="shared" si="24"/>
        <v>0.8157894736842104</v>
      </c>
      <c r="O33" s="1">
        <f t="shared" si="25"/>
        <v>7.3421052631578974</v>
      </c>
      <c r="P33" s="16">
        <f ca="1">'Aerodynamics-Constants'!AC33</f>
        <v>5.000592072206575E-2</v>
      </c>
      <c r="Q33" s="16">
        <f>'Aerodynamics-Constants'!AD33</f>
        <v>3.6710526315789487</v>
      </c>
      <c r="R33" s="63">
        <f>Stability!G33</f>
        <v>5.6500000000000012</v>
      </c>
      <c r="S33" s="16">
        <f ca="1">'Aerodynamics-Constants'!AM33</f>
        <v>1.8537607723557867E-2</v>
      </c>
      <c r="T33" s="16">
        <f>'Aerodynamics-Constants'!AN33</f>
        <v>3.6710526315789487</v>
      </c>
      <c r="V33" s="81">
        <f t="shared" ca="1" si="0"/>
        <v>264799.84009686852</v>
      </c>
      <c r="W33" s="16">
        <f ca="1">BO33*RADIANS(AE33-AC33-'Airfoil-Takeoff'!K33)</f>
        <v>0.86376265991264545</v>
      </c>
      <c r="X33" s="42">
        <f ca="1">'Airfoil-Takeoff'!V33</f>
        <v>9.3077645880704114E-3</v>
      </c>
      <c r="Y33" s="14">
        <f t="shared" ca="1" si="26"/>
        <v>92.800226277715922</v>
      </c>
      <c r="Z33" s="16">
        <f ca="1">'Airfoil-Takeoff'!AF33</f>
        <v>-0.15499999999999919</v>
      </c>
      <c r="AA33" s="31">
        <f>Main!I33</f>
        <v>1.149264745760594</v>
      </c>
      <c r="AB33" s="12">
        <f t="shared" si="11"/>
        <v>-0.12987846909182721</v>
      </c>
      <c r="AC33" s="30">
        <f t="shared" ca="1" si="12"/>
        <v>1.865933446620857</v>
      </c>
      <c r="AD33" s="13">
        <f t="shared" ca="1" si="13"/>
        <v>1.8659334466211694</v>
      </c>
      <c r="AE33" s="32">
        <f ca="1">MIN('Aerodynamics-Cruise'!AE33,Main!J33)</f>
        <v>3.2105448755350938</v>
      </c>
      <c r="AF33" s="1">
        <f t="shared" ca="1" si="27"/>
        <v>0.86330465189581285</v>
      </c>
      <c r="AG33" s="16">
        <f ca="1">0.9*'Airfoil-Takeoff'!I33</f>
        <v>1.4190880659911862</v>
      </c>
      <c r="AH33" s="42">
        <f ca="1">0.455/(LOG10(MIN(V33,'Aerodynamics-Constants'!L33)))^2.58</f>
        <v>5.8035030635550091E-3</v>
      </c>
      <c r="AI33" s="42">
        <f ca="1">+AH33*'Aerodynamics-Constants'!J33*'Aerodynamics-Constants'!M33</f>
        <v>0</v>
      </c>
      <c r="AJ33" s="10">
        <f ca="1">X33*COS(RADIANS(AC33))*'Aerodynamics-Constants'!M33+AI33</f>
        <v>9.3028291688887592E-3</v>
      </c>
      <c r="AK33" s="10">
        <f ca="1">AF33^2/(PI()*'Aerodynamics-Constants'!I33*AA33)*(16*$B$7/M33)^2/(1+(16*$B$7/M33)^2)</f>
        <v>1.9993625951971825E-2</v>
      </c>
      <c r="AL33" s="10">
        <f t="shared" ca="1" si="14"/>
        <v>2.9296455120860584E-2</v>
      </c>
      <c r="AM33" s="1">
        <f t="shared" ca="1" si="1"/>
        <v>-0.15499999999999919</v>
      </c>
      <c r="AN33" s="1">
        <f t="shared" ca="1" si="15"/>
        <v>-0.34101990258451953</v>
      </c>
      <c r="AO33" s="12">
        <f t="shared" si="16"/>
        <v>0.9460498447561202</v>
      </c>
      <c r="AP33" s="12">
        <f t="shared" si="17"/>
        <v>5.7026757673415585E-2</v>
      </c>
      <c r="AQ33" s="81">
        <f ca="1">B33*H33*'Aerodynamics-Constants'!AA33/C33</f>
        <v>92715.934873780221</v>
      </c>
      <c r="AR33" s="10">
        <f ca="1">0.455/(LOG10(MIN(AQ33,'Aerodynamics-Constants'!AG33)))^2.58</f>
        <v>7.2786969569313964E-3</v>
      </c>
      <c r="AS33" s="15">
        <f ca="1">AR33*'Aerodynamics-Constants'!AI33*'Aerodynamics-Constants'!AJ33*'Aerodynamics-Constants'!AE33/P33</f>
        <v>2.0246546974887734E-2</v>
      </c>
      <c r="AT33" s="10">
        <f t="shared" ca="1" si="18"/>
        <v>1.0658717445266646E-2</v>
      </c>
      <c r="AU33" s="10">
        <f t="shared" ca="1" si="19"/>
        <v>3.0905264420154378E-2</v>
      </c>
      <c r="AV33" s="12">
        <f t="shared" si="20"/>
        <v>0.94797368421052641</v>
      </c>
      <c r="AW33" s="12">
        <f t="shared" si="21"/>
        <v>5.4881603420037006E-2</v>
      </c>
      <c r="AX33" s="81">
        <f ca="1">B33*H33*'Aerodynamics-Constants'!AK33/C33</f>
        <v>56450.85337770202</v>
      </c>
      <c r="AY33" s="10">
        <f ca="1">0.455/(LOG10(MIN(AX33,'Aerodynamics-Constants'!AQ33)))^2.58</f>
        <v>8.1610848898927401E-3</v>
      </c>
      <c r="AZ33" s="15">
        <f ca="1">AY33*'Aerodynamics-Constants'!AS33*'Aerodynamics-Constants'!AT33*'Aerodynamics-Constants'!AO33/S33</f>
        <v>2.2701012223336228E-2</v>
      </c>
      <c r="BA33" s="81">
        <f ca="1">B33*H33*'Aerodynamics-Constants'!N33/C33</f>
        <v>2025718.7767410444</v>
      </c>
      <c r="BB33" s="10">
        <f ca="1">0.455/(LOG10(MIN(BA33,'Aerodynamics-Constants'!V33)))^2.58</f>
        <v>3.9313640437572354E-3</v>
      </c>
      <c r="BC33" s="10">
        <f ca="1">BB33*'Aerodynamics-Constants'!W33*'Aerodynamics-Constants'!X33*'Aerodynamics-Constants'!S33/N33+'Aerodynamics-Constants'!Z33</f>
        <v>2.3143818477842932E-3</v>
      </c>
      <c r="BD33" s="15">
        <f ca="1">BC33*'Aerodynamics-Constants'!AU33+(AJ33+AS33+AZ33)*('Aerodynamics-Constants'!AU33-1)</f>
        <v>7.7708588692740003E-3</v>
      </c>
      <c r="BE33" s="16">
        <f t="shared" ca="1" si="22"/>
        <v>0.84240095705371776</v>
      </c>
      <c r="BF33" s="10">
        <f t="shared" ca="1" si="2"/>
        <v>1.8830599261805893E-2</v>
      </c>
      <c r="BG33" s="10">
        <f t="shared" ca="1" si="3"/>
        <v>2.0646979539828029E-2</v>
      </c>
      <c r="BH33" s="10">
        <f t="shared" ca="1" si="4"/>
        <v>3.9477578801633925E-2</v>
      </c>
      <c r="BI33" s="13">
        <f t="shared" ca="1" si="5"/>
        <v>56.274505511078857</v>
      </c>
      <c r="BJ33" s="13">
        <f t="shared" ca="1" si="6"/>
        <v>2.6372016879070732</v>
      </c>
      <c r="BK33" s="13">
        <f t="shared" ca="1" si="28"/>
        <v>21.338718903876948</v>
      </c>
      <c r="BL33" s="14">
        <f t="shared" ca="1" si="7"/>
        <v>30.492832138472394</v>
      </c>
      <c r="BO33" s="16">
        <f ca="1">'Airfoil-Takeoff'!J33</f>
        <v>5.5286347776845179</v>
      </c>
      <c r="BP33" s="1">
        <f ca="1">BO33/(1+BO33/(PI()*'Aerodynamics-Constants'!I33)*(1+AB33))</f>
        <v>4.5745704507471778</v>
      </c>
      <c r="BR33" s="12">
        <v>6</v>
      </c>
      <c r="BS33" s="1">
        <f t="shared" si="8"/>
        <v>3.8711762947279209</v>
      </c>
      <c r="BT33" s="1">
        <f>Stability!W33</f>
        <v>2.7373350091707258</v>
      </c>
      <c r="BV33" s="12">
        <v>6</v>
      </c>
      <c r="BW33" s="1">
        <f t="shared" si="23"/>
        <v>3.8739657330797428</v>
      </c>
      <c r="BX33" s="1">
        <f>Stability!Y33</f>
        <v>2.739307439945001</v>
      </c>
    </row>
    <row r="34" spans="2:76">
      <c r="B34" s="16">
        <f>'Airfoil-Takeoff'!D34</f>
        <v>1.2249994633486807</v>
      </c>
      <c r="C34" s="74">
        <f>'Airfoil-Takeoff'!E34</f>
        <v>1.783E-5</v>
      </c>
      <c r="E34" s="19">
        <f ca="1">Takeoff!H34</f>
        <v>131.64808624958647</v>
      </c>
      <c r="F34" s="63">
        <f>Weight!G34</f>
        <v>0.3</v>
      </c>
      <c r="H34" s="20">
        <f ca="1">SQRT(((Takeoff!$B$10*I34)^2+Takeoff!$B$11^2)/2)</f>
        <v>11.381001633492176</v>
      </c>
      <c r="I34" s="20">
        <f t="shared" ca="1" si="9"/>
        <v>13.412639052840618</v>
      </c>
      <c r="J34" s="20">
        <f t="shared" ca="1" si="10"/>
        <v>0.84852813742734934</v>
      </c>
      <c r="L34" s="31">
        <f>Main!B34</f>
        <v>0.33333333333333326</v>
      </c>
      <c r="M34" s="31">
        <f>Main!C34</f>
        <v>2.5263157894736845</v>
      </c>
      <c r="N34" s="1">
        <f t="shared" si="24"/>
        <v>0.84210526315789469</v>
      </c>
      <c r="O34" s="1">
        <f t="shared" si="25"/>
        <v>7.5789473684210549</v>
      </c>
      <c r="P34" s="16">
        <f ca="1">'Aerodynamics-Constants'!AC34</f>
        <v>5.1212083567651716E-2</v>
      </c>
      <c r="Q34" s="16">
        <f>'Aerodynamics-Constants'!AD34</f>
        <v>3.7894736842105274</v>
      </c>
      <c r="R34" s="63">
        <f>Stability!G34</f>
        <v>5.6500000000000012</v>
      </c>
      <c r="S34" s="16">
        <f ca="1">'Aerodynamics-Constants'!AM34</f>
        <v>1.9502585994958192E-2</v>
      </c>
      <c r="T34" s="16">
        <f>'Aerodynamics-Constants'!AN34</f>
        <v>3.7894736842105274</v>
      </c>
      <c r="V34" s="81">
        <f t="shared" ca="1" si="0"/>
        <v>260641.63195734477</v>
      </c>
      <c r="W34" s="16">
        <f ca="1">BO34*RADIANS(AE34-AC34-'Airfoil-Takeoff'!K34)</f>
        <v>0.86414972349379637</v>
      </c>
      <c r="X34" s="42">
        <f ca="1">'Airfoil-Takeoff'!V34</f>
        <v>9.4303592537060797E-3</v>
      </c>
      <c r="Y34" s="14">
        <f t="shared" ca="1" si="26"/>
        <v>91.634867797235856</v>
      </c>
      <c r="Z34" s="16">
        <f ca="1">'Airfoil-Takeoff'!AF34</f>
        <v>-0.15499999999999919</v>
      </c>
      <c r="AA34" s="31">
        <f>Main!I34</f>
        <v>1.1424833074368379</v>
      </c>
      <c r="AB34" s="12">
        <f t="shared" si="11"/>
        <v>-0.12471368860215504</v>
      </c>
      <c r="AC34" s="30">
        <f t="shared" ca="1" si="12"/>
        <v>1.8192150821655038</v>
      </c>
      <c r="AD34" s="13">
        <f t="shared" ca="1" si="13"/>
        <v>1.8192150821658164</v>
      </c>
      <c r="AE34" s="32">
        <f ca="1">MIN('Aerodynamics-Cruise'!AE34,Main!J34)</f>
        <v>3.2003824453565564</v>
      </c>
      <c r="AF34" s="1">
        <f t="shared" ca="1" si="27"/>
        <v>0.86371416614633378</v>
      </c>
      <c r="AG34" s="16">
        <f ca="1">0.9*'Airfoil-Takeoff'!I34</f>
        <v>1.4187758610533638</v>
      </c>
      <c r="AH34" s="42">
        <f ca="1">0.455/(LOG10(MIN(V34,'Aerodynamics-Constants'!L34)))^2.58</f>
        <v>5.8225255963637902E-3</v>
      </c>
      <c r="AI34" s="42">
        <f ca="1">+AH34*'Aerodynamics-Constants'!J34*'Aerodynamics-Constants'!M34</f>
        <v>0</v>
      </c>
      <c r="AJ34" s="10">
        <f ca="1">X34*COS(RADIANS(AC34))*'Aerodynamics-Constants'!M34+AI34</f>
        <v>9.4256060701425233E-3</v>
      </c>
      <c r="AK34" s="10">
        <f ca="1">AF34^2/(PI()*'Aerodynamics-Constants'!I34*AA34)*(16*$B$7/M34)^2/(1+(16*$B$7/M34)^2)</f>
        <v>1.9139833731912324E-2</v>
      </c>
      <c r="AL34" s="10">
        <f t="shared" ca="1" si="14"/>
        <v>2.8565439802054848E-2</v>
      </c>
      <c r="AM34" s="1">
        <f t="shared" ca="1" si="1"/>
        <v>-0.15499999999999919</v>
      </c>
      <c r="AN34" s="1">
        <f t="shared" ca="1" si="15"/>
        <v>-0.34366671465647025</v>
      </c>
      <c r="AO34" s="12">
        <f t="shared" si="16"/>
        <v>0.94181710644360173</v>
      </c>
      <c r="AP34" s="12">
        <f t="shared" si="17"/>
        <v>6.1777274120771608E-2</v>
      </c>
      <c r="AQ34" s="81">
        <f ca="1">B34*H34*'Aerodynamics-Constants'!AA34/C34</f>
        <v>90899.567311313265</v>
      </c>
      <c r="AR34" s="10">
        <f ca="1">0.455/(LOG10(MIN(AQ34,'Aerodynamics-Constants'!AG34)))^2.58</f>
        <v>7.3112832386401372E-3</v>
      </c>
      <c r="AS34" s="15">
        <f ca="1">AR34*'Aerodynamics-Constants'!AI34*'Aerodynamics-Constants'!AJ34*'Aerodynamics-Constants'!AE34/P34</f>
        <v>2.0337189529077968E-2</v>
      </c>
      <c r="AT34" s="10">
        <f t="shared" ca="1" si="18"/>
        <v>1.0533667362717072E-2</v>
      </c>
      <c r="AU34" s="10">
        <f t="shared" ca="1" si="19"/>
        <v>3.0870856891795039E-2</v>
      </c>
      <c r="AV34" s="12">
        <f t="shared" si="20"/>
        <v>0.94726315789473692</v>
      </c>
      <c r="AW34" s="12">
        <f t="shared" si="21"/>
        <v>5.5672852539170981E-2</v>
      </c>
      <c r="AX34" s="81">
        <f ca="1">B34*H34*'Aerodynamics-Constants'!AK34/C34</f>
        <v>56094.682468834624</v>
      </c>
      <c r="AY34" s="10">
        <f ca="1">0.455/(LOG10(MIN(AX34,'Aerodynamics-Constants'!AQ34)))^2.58</f>
        <v>8.1732780728385312E-3</v>
      </c>
      <c r="AZ34" s="15">
        <f ca="1">AY34*'Aerodynamics-Constants'!AS34*'Aerodynamics-Constants'!AT34*'Aerodynamics-Constants'!AO34/S34</f>
        <v>2.273492898793655E-2</v>
      </c>
      <c r="BA34" s="81">
        <f ca="1">B34*H34*'Aerodynamics-Constants'!N34/C34</f>
        <v>1993908.4844736876</v>
      </c>
      <c r="BB34" s="10">
        <f ca="1">0.455/(LOG10(MIN(BA34,'Aerodynamics-Constants'!V34)))^2.58</f>
        <v>3.942441046736361E-3</v>
      </c>
      <c r="BC34" s="10">
        <f ca="1">BB34*'Aerodynamics-Constants'!W34*'Aerodynamics-Constants'!X34*'Aerodynamics-Constants'!S34/N34+'Aerodynamics-Constants'!Z34</f>
        <v>2.2483694741599969E-3</v>
      </c>
      <c r="BD34" s="15">
        <f ca="1">BC34*'Aerodynamics-Constants'!AU34+(AJ34+AS34+AZ34)*('Aerodynamics-Constants'!AU34-1)</f>
        <v>7.7229788802917051E-3</v>
      </c>
      <c r="BE34" s="16">
        <f t="shared" ca="1" si="22"/>
        <v>0.84281429854022494</v>
      </c>
      <c r="BF34" s="10">
        <f t="shared" ca="1" si="2"/>
        <v>1.8911903412312067E-2</v>
      </c>
      <c r="BG34" s="10">
        <f t="shared" ca="1" si="3"/>
        <v>1.9780431857650632E-2</v>
      </c>
      <c r="BH34" s="10">
        <f t="shared" ca="1" si="4"/>
        <v>3.8692335269962699E-2</v>
      </c>
      <c r="BI34" s="13">
        <f t="shared" ca="1" si="5"/>
        <v>56.307358060982772</v>
      </c>
      <c r="BJ34" s="13">
        <f t="shared" ca="1" si="6"/>
        <v>2.5849860165339864</v>
      </c>
      <c r="BK34" s="13">
        <f t="shared" ca="1" si="28"/>
        <v>21.782461375354394</v>
      </c>
      <c r="BL34" s="14">
        <f t="shared" ca="1" si="7"/>
        <v>29.419730076727731</v>
      </c>
      <c r="BO34" s="16">
        <f ca="1">'Airfoil-Takeoff'!J34</f>
        <v>5.5581455315157919</v>
      </c>
      <c r="BP34" s="1">
        <f ca="1">BO34/(1+BO34/(PI()*'Aerodynamics-Constants'!I34)*(1+AB34))</f>
        <v>4.6151545564425787</v>
      </c>
      <c r="BR34" s="12">
        <v>6</v>
      </c>
      <c r="BS34" s="1">
        <f t="shared" si="8"/>
        <v>3.9084744159557685</v>
      </c>
      <c r="BT34" s="1">
        <f>Stability!W34</f>
        <v>2.7637087636164548</v>
      </c>
      <c r="BV34" s="12">
        <v>6</v>
      </c>
      <c r="BW34" s="1">
        <f t="shared" si="23"/>
        <v>3.9163231849688693</v>
      </c>
      <c r="BX34" s="1">
        <f>Stability!Y34</f>
        <v>2.7692586814095854</v>
      </c>
    </row>
    <row r="35" spans="2:76">
      <c r="B35" s="16">
        <f>'Airfoil-Takeoff'!D35</f>
        <v>1.2249994633486807</v>
      </c>
      <c r="C35" s="74">
        <f>'Airfoil-Takeoff'!E35</f>
        <v>1.783E-5</v>
      </c>
      <c r="E35" s="19">
        <f ca="1">Takeoff!H35</f>
        <v>131.66397514989566</v>
      </c>
      <c r="F35" s="63">
        <f>Weight!G35</f>
        <v>0.3</v>
      </c>
      <c r="H35" s="20">
        <f ca="1">SQRT(((Takeoff!$B$10*I35)^2+Takeoff!$B$11^2)/2)</f>
        <v>11.209097688879872</v>
      </c>
      <c r="I35" s="20">
        <f t="shared" ca="1" si="9"/>
        <v>13.210048311260035</v>
      </c>
      <c r="J35" s="20">
        <f t="shared" ca="1" si="10"/>
        <v>0.84852813742743205</v>
      </c>
      <c r="L35" s="31">
        <f>Main!B35</f>
        <v>0.33333333333333326</v>
      </c>
      <c r="M35" s="31">
        <f>Main!C35</f>
        <v>2.6052631578947372</v>
      </c>
      <c r="N35" s="1">
        <f t="shared" si="24"/>
        <v>0.86842105263157887</v>
      </c>
      <c r="O35" s="1">
        <f t="shared" si="25"/>
        <v>7.8157894736842133</v>
      </c>
      <c r="P35" s="16">
        <f ca="1">'Aerodynamics-Constants'!AC35</f>
        <v>5.2417396335312914E-2</v>
      </c>
      <c r="Q35" s="16">
        <f>'Aerodynamics-Constants'!AD35</f>
        <v>3.9078947368421066</v>
      </c>
      <c r="R35" s="63">
        <f>Stability!G35</f>
        <v>5.6500000000000012</v>
      </c>
      <c r="S35" s="16">
        <f ca="1">'Aerodynamics-Constants'!AM35</f>
        <v>2.0494814609083551E-2</v>
      </c>
      <c r="T35" s="16">
        <f>'Aerodynamics-Constants'!AN35</f>
        <v>3.9078947368421066</v>
      </c>
      <c r="V35" s="81">
        <f t="shared" ca="1" si="0"/>
        <v>256704.77946346562</v>
      </c>
      <c r="W35" s="16">
        <f ca="1">BO35*RADIANS(AE35-AC35-'Airfoil-Takeoff'!K35)</f>
        <v>0.86452249513575041</v>
      </c>
      <c r="X35" s="42">
        <f ca="1">'Airfoil-Takeoff'!V35</f>
        <v>9.5496719283633541E-3</v>
      </c>
      <c r="Y35" s="14">
        <f t="shared" ca="1" si="26"/>
        <v>90.529025669252945</v>
      </c>
      <c r="Z35" s="16">
        <f ca="1">'Airfoil-Takeoff'!AF35</f>
        <v>-0.15499999999999922</v>
      </c>
      <c r="AA35" s="31">
        <f>Main!I35</f>
        <v>1.1357693582334683</v>
      </c>
      <c r="AB35" s="12">
        <f t="shared" si="11"/>
        <v>-0.11953955021699003</v>
      </c>
      <c r="AC35" s="30">
        <f t="shared" ca="1" si="12"/>
        <v>1.7753236732800457</v>
      </c>
      <c r="AD35" s="13">
        <f t="shared" ca="1" si="13"/>
        <v>1.7753236732803559</v>
      </c>
      <c r="AE35" s="32">
        <f ca="1">MIN('Aerodynamics-Cruise'!AE35,Main!J35)</f>
        <v>3.1910510136183916</v>
      </c>
      <c r="AF35" s="1">
        <f t="shared" ca="1" si="27"/>
        <v>0.86410752066534258</v>
      </c>
      <c r="AG35" s="16">
        <f ca="1">0.9*'Airfoil-Takeoff'!I35</f>
        <v>1.4184757160011932</v>
      </c>
      <c r="AH35" s="42">
        <f ca="1">0.455/(LOG10(MIN(V35,'Aerodynamics-Constants'!L35)))^2.58</f>
        <v>5.8408989657428882E-3</v>
      </c>
      <c r="AI35" s="42">
        <f ca="1">+AH35*'Aerodynamics-Constants'!J35*'Aerodynamics-Constants'!M35</f>
        <v>0</v>
      </c>
      <c r="AJ35" s="10">
        <f ca="1">X35*COS(RADIANS(AC35))*'Aerodynamics-Constants'!M35+AI35</f>
        <v>9.5450880452679597E-3</v>
      </c>
      <c r="AK35" s="10">
        <f ca="1">AF35^2/(PI()*'Aerodynamics-Constants'!I35*AA35)*(16*$B$7/M35)^2/(1+(16*$B$7/M35)^2)</f>
        <v>1.8334990251924605E-2</v>
      </c>
      <c r="AL35" s="10">
        <f t="shared" ca="1" si="14"/>
        <v>2.7880078297192565E-2</v>
      </c>
      <c r="AM35" s="1">
        <f t="shared" ca="1" si="1"/>
        <v>-0.15499999999999922</v>
      </c>
      <c r="AN35" s="1">
        <f t="shared" ca="1" si="15"/>
        <v>-0.34619599210380592</v>
      </c>
      <c r="AO35" s="12">
        <f t="shared" si="16"/>
        <v>0.93762649249643182</v>
      </c>
      <c r="AP35" s="12">
        <f t="shared" si="17"/>
        <v>6.6522765731052091E-2</v>
      </c>
      <c r="AQ35" s="81">
        <f ca="1">B35*H35*'Aerodynamics-Constants'!AA35/C35</f>
        <v>89191.096552393603</v>
      </c>
      <c r="AR35" s="10">
        <f ca="1">0.455/(LOG10(MIN(AQ35,'Aerodynamics-Constants'!AG35)))^2.58</f>
        <v>7.342724105909631E-3</v>
      </c>
      <c r="AS35" s="15">
        <f ca="1">AR35*'Aerodynamics-Constants'!AI35*'Aerodynamics-Constants'!AJ35*'Aerodynamics-Constants'!AE35/P35</f>
        <v>2.0424645979026303E-2</v>
      </c>
      <c r="AT35" s="10">
        <f t="shared" ca="1" si="18"/>
        <v>1.0411695829661931E-2</v>
      </c>
      <c r="AU35" s="10">
        <f t="shared" ca="1" si="19"/>
        <v>3.0836341808688234E-2</v>
      </c>
      <c r="AV35" s="12">
        <f t="shared" si="20"/>
        <v>0.94655263157894742</v>
      </c>
      <c r="AW35" s="12">
        <f t="shared" si="21"/>
        <v>5.6465289554894493E-2</v>
      </c>
      <c r="AX35" s="81">
        <f ca="1">B35*H35*'Aerodynamics-Constants'!AK35/C35</f>
        <v>55770.659217239256</v>
      </c>
      <c r="AY35" s="10">
        <f ca="1">0.455/(LOG10(MIN(AX35,'Aerodynamics-Constants'!AQ35)))^2.58</f>
        <v>8.1844603204199121E-3</v>
      </c>
      <c r="AZ35" s="15">
        <f ca="1">AY35*'Aerodynamics-Constants'!AS35*'Aerodynamics-Constants'!AT35*'Aerodynamics-Constants'!AO35/S35</f>
        <v>2.2766033717571663E-2</v>
      </c>
      <c r="BA35" s="81">
        <f ca="1">B35*H35*'Aerodynamics-Constants'!N35/C35</f>
        <v>1963791.5628955122</v>
      </c>
      <c r="BB35" s="10">
        <f ca="1">0.455/(LOG10(MIN(BA35,'Aerodynamics-Constants'!V35)))^2.58</f>
        <v>3.9531333501855032E-3</v>
      </c>
      <c r="BC35" s="10">
        <f ca="1">BB35*'Aerodynamics-Constants'!W35*'Aerodynamics-Constants'!X35*'Aerodynamics-Constants'!S35/N35+'Aerodynamics-Constants'!Z35</f>
        <v>2.1861452782463539E-3</v>
      </c>
      <c r="BD35" s="15">
        <f ca="1">BC35*'Aerodynamics-Constants'!AU35+(AJ35+AS35+AZ35)*('Aerodynamics-Constants'!AU35-1)</f>
        <v>7.6783365802575868E-3</v>
      </c>
      <c r="BE35" s="16">
        <f t="shared" ca="1" si="22"/>
        <v>0.84321132926969167</v>
      </c>
      <c r="BF35" s="10">
        <f t="shared" ca="1" si="2"/>
        <v>1.89935249691995E-2</v>
      </c>
      <c r="BG35" s="10">
        <f t="shared" ca="1" si="3"/>
        <v>1.8963434236754676E-2</v>
      </c>
      <c r="BH35" s="10">
        <f t="shared" ca="1" si="4"/>
        <v>3.7956959205954176E-2</v>
      </c>
      <c r="BI35" s="13">
        <f t="shared" ca="1" si="5"/>
        <v>56.352603757099288</v>
      </c>
      <c r="BJ35" s="13">
        <f t="shared" ca="1" si="6"/>
        <v>2.5366991733971247</v>
      </c>
      <c r="BK35" s="13">
        <f t="shared" ca="1" si="28"/>
        <v>22.214933622433595</v>
      </c>
      <c r="BL35" s="14">
        <f t="shared" ca="1" si="7"/>
        <v>28.434108841909193</v>
      </c>
      <c r="BO35" s="16">
        <f ca="1">'Airfoil-Takeoff'!J35</f>
        <v>5.5866710144130778</v>
      </c>
      <c r="BP35" s="1">
        <f ca="1">BO35/(1+BO35/(PI()*'Aerodynamics-Constants'!I35)*(1+AB35))</f>
        <v>4.6542895659759376</v>
      </c>
      <c r="BR35" s="12">
        <v>6</v>
      </c>
      <c r="BS35" s="1">
        <f t="shared" si="8"/>
        <v>3.9441790955022142</v>
      </c>
      <c r="BT35" s="1">
        <f>Stability!W35</f>
        <v>2.7889557846438393</v>
      </c>
      <c r="BV35" s="12">
        <v>6</v>
      </c>
      <c r="BW35" s="1">
        <f t="shared" si="23"/>
        <v>3.9569645174604378</v>
      </c>
      <c r="BX35" s="1">
        <f>Stability!Y35</f>
        <v>2.7979964432108306</v>
      </c>
    </row>
    <row r="36" spans="2:76">
      <c r="B36" s="16">
        <f>'Airfoil-Takeoff'!D36</f>
        <v>1.2249994633486807</v>
      </c>
      <c r="C36" s="74">
        <f>'Airfoil-Takeoff'!E36</f>
        <v>1.783E-5</v>
      </c>
      <c r="E36" s="19">
        <f ca="1">Takeoff!H36</f>
        <v>131.71508343743108</v>
      </c>
      <c r="F36" s="63">
        <f>Weight!G36</f>
        <v>0.3</v>
      </c>
      <c r="H36" s="20">
        <f ca="1">SQRT(((Takeoff!$B$10*I36)^2+Takeoff!$B$11^2)/2)</f>
        <v>11.04629417170349</v>
      </c>
      <c r="I36" s="20">
        <f t="shared" ca="1" si="9"/>
        <v>13.018182526265582</v>
      </c>
      <c r="J36" s="20">
        <f t="shared" ca="1" si="10"/>
        <v>0.84852813742750999</v>
      </c>
      <c r="L36" s="31">
        <f>Main!B36</f>
        <v>0.33333333333333326</v>
      </c>
      <c r="M36" s="31">
        <f>Main!C36</f>
        <v>2.6842105263157898</v>
      </c>
      <c r="N36" s="1">
        <f t="shared" si="24"/>
        <v>0.89473684210526305</v>
      </c>
      <c r="O36" s="1">
        <f t="shared" si="25"/>
        <v>8.0526315789473717</v>
      </c>
      <c r="P36" s="16">
        <f ca="1">'Aerodynamics-Constants'!AC36</f>
        <v>5.3621746106374713E-2</v>
      </c>
      <c r="Q36" s="16">
        <f>'Aerodynamics-Constants'!AD36</f>
        <v>4.0263157894736858</v>
      </c>
      <c r="R36" s="63">
        <f>Stability!G36</f>
        <v>5.6500000000000012</v>
      </c>
      <c r="S36" s="16">
        <f ca="1">'Aerodynamics-Constants'!AM36</f>
        <v>2.1514190560189127E-2</v>
      </c>
      <c r="T36" s="16">
        <f>'Aerodynamics-Constants'!AN36</f>
        <v>4.0263157894736858</v>
      </c>
      <c r="V36" s="81">
        <f t="shared" ca="1" si="0"/>
        <v>252976.34010709351</v>
      </c>
      <c r="W36" s="16">
        <f ca="1">BO36*RADIANS(AE36-AC36-'Airfoil-Takeoff'!K36)</f>
        <v>0.86488121784987648</v>
      </c>
      <c r="X36" s="42">
        <f ca="1">'Airfoil-Takeoff'!V36</f>
        <v>9.6657004284817234E-3</v>
      </c>
      <c r="Y36" s="14">
        <f t="shared" ca="1" si="26"/>
        <v>89.479414787297628</v>
      </c>
      <c r="Z36" s="16">
        <f ca="1">'Airfoil-Takeoff'!AF36</f>
        <v>-0.15499999999999922</v>
      </c>
      <c r="AA36" s="31">
        <f>Main!I36</f>
        <v>1.1291202108009399</v>
      </c>
      <c r="AB36" s="12">
        <f t="shared" si="11"/>
        <v>-0.11435470693536576</v>
      </c>
      <c r="AC36" s="30">
        <f t="shared" ca="1" si="12"/>
        <v>1.7340127795454758</v>
      </c>
      <c r="AD36" s="13">
        <f t="shared" ca="1" si="13"/>
        <v>1.7340127795457785</v>
      </c>
      <c r="AE36" s="32">
        <f ca="1">MIN('Aerodynamics-Cruise'!AE36,Main!J36)</f>
        <v>3.1824209759810138</v>
      </c>
      <c r="AF36" s="1">
        <f t="shared" ca="1" si="27"/>
        <v>0.86448516545432574</v>
      </c>
      <c r="AG36" s="16">
        <f ca="1">0.9*'Airfoil-Takeoff'!I36</f>
        <v>1.4181872455857578</v>
      </c>
      <c r="AH36" s="42">
        <f ca="1">0.455/(LOG10(MIN(V36,'Aerodynamics-Constants'!L36)))^2.58</f>
        <v>5.8586372652736389E-3</v>
      </c>
      <c r="AI36" s="42">
        <f ca="1">+AH36*'Aerodynamics-Constants'!J36*'Aerodynamics-Constants'!M36</f>
        <v>0</v>
      </c>
      <c r="AJ36" s="10">
        <f ca="1">X36*COS(RADIANS(AC36))*'Aerodynamics-Constants'!M36+AI36</f>
        <v>9.6612742440180428E-3</v>
      </c>
      <c r="AK36" s="10">
        <f ca="1">AF36^2/(PI()*'Aerodynamics-Constants'!I36*AA36)*(16*$B$7/M36)^2/(1+(16*$B$7/M36)^2)</f>
        <v>1.7575331837559764E-2</v>
      </c>
      <c r="AL36" s="10">
        <f t="shared" ca="1" si="14"/>
        <v>2.7236606081577807E-2</v>
      </c>
      <c r="AM36" s="1">
        <f t="shared" ca="1" si="1"/>
        <v>-0.15499999999999922</v>
      </c>
      <c r="AN36" s="1">
        <f t="shared" ca="1" si="15"/>
        <v>-0.3486166673597581</v>
      </c>
      <c r="AO36" s="12">
        <f t="shared" si="16"/>
        <v>0.93347632556434401</v>
      </c>
      <c r="AP36" s="12">
        <f t="shared" si="17"/>
        <v>7.1264447328579283E-2</v>
      </c>
      <c r="AQ36" s="81">
        <f ca="1">B36*H36*'Aerodynamics-Constants'!AA36/C36</f>
        <v>87582.576845424745</v>
      </c>
      <c r="AR36" s="10">
        <f ca="1">0.455/(LOG10(MIN(AQ36,'Aerodynamics-Constants'!AG36)))^2.58</f>
        <v>7.3730575029130243E-3</v>
      </c>
      <c r="AS36" s="15">
        <f ca="1">AR36*'Aerodynamics-Constants'!AI36*'Aerodynamics-Constants'!AJ36*'Aerodynamics-Constants'!AE36/P36</f>
        <v>2.050902187088869E-2</v>
      </c>
      <c r="AT36" s="10">
        <f t="shared" ca="1" si="18"/>
        <v>1.0292841351691966E-2</v>
      </c>
      <c r="AU36" s="10">
        <f t="shared" ca="1" si="19"/>
        <v>3.0801863222580654E-2</v>
      </c>
      <c r="AV36" s="12">
        <f t="shared" si="20"/>
        <v>0.94584210526315793</v>
      </c>
      <c r="AW36" s="12">
        <f t="shared" si="21"/>
        <v>5.725891714428788E-2</v>
      </c>
      <c r="AX36" s="81">
        <f ca="1">B36*H36*'Aerodynamics-Constants'!AK36/C36</f>
        <v>55476.588729681702</v>
      </c>
      <c r="AY36" s="10">
        <f ca="1">0.455/(LOG10(MIN(AX36,'Aerodynamics-Constants'!AQ36)))^2.58</f>
        <v>8.1946837954870923E-3</v>
      </c>
      <c r="AZ36" s="15">
        <f ca="1">AY36*'Aerodynamics-Constants'!AS36*'Aerodynamics-Constants'!AT36*'Aerodynamics-Constants'!AO36/S36</f>
        <v>2.2794471509310903E-2</v>
      </c>
      <c r="BA36" s="81">
        <f ca="1">B36*H36*'Aerodynamics-Constants'!N36/C36</f>
        <v>1935269.0018192658</v>
      </c>
      <c r="BB36" s="10">
        <f ca="1">0.455/(LOG10(MIN(BA36,'Aerodynamics-Constants'!V36)))^2.58</f>
        <v>3.9634498616465015E-3</v>
      </c>
      <c r="BC36" s="10">
        <f ca="1">BB36*'Aerodynamics-Constants'!W36*'Aerodynamics-Constants'!X36*'Aerodynamics-Constants'!S36/N36+'Aerodynamics-Constants'!Z36</f>
        <v>2.1273797863161268E-3</v>
      </c>
      <c r="BD36" s="15">
        <f ca="1">BC36*'Aerodynamics-Constants'!AU36+(AJ36+AS36+AZ36)*('Aerodynamics-Constants'!AU36-1)</f>
        <v>7.6365945273695075E-3</v>
      </c>
      <c r="BE36" s="16">
        <f t="shared" ca="1" si="22"/>
        <v>0.84359250344922609</v>
      </c>
      <c r="BF36" s="10">
        <f t="shared" ca="1" si="2"/>
        <v>1.9075077546740427E-2</v>
      </c>
      <c r="BG36" s="10">
        <f t="shared" ca="1" si="3"/>
        <v>1.81921837427244E-2</v>
      </c>
      <c r="BH36" s="10">
        <f t="shared" ca="1" si="4"/>
        <v>3.726726128946483E-2</v>
      </c>
      <c r="BI36" s="13">
        <f t="shared" ca="1" si="5"/>
        <v>56.411434579306899</v>
      </c>
      <c r="BJ36" s="13">
        <f t="shared" ca="1" si="6"/>
        <v>2.4920796042933477</v>
      </c>
      <c r="BK36" s="13">
        <f t="shared" ca="1" si="28"/>
        <v>22.636289178773197</v>
      </c>
      <c r="BL36" s="14">
        <f t="shared" ca="1" si="7"/>
        <v>27.528244408326746</v>
      </c>
      <c r="BO36" s="16">
        <f ca="1">'Airfoil-Takeoff'!J36</f>
        <v>5.6142306414901837</v>
      </c>
      <c r="BP36" s="1">
        <f ca="1">BO36/(1+BO36/(PI()*'Aerodynamics-Constants'!I36)*(1+AB36))</f>
        <v>4.6920340342732159</v>
      </c>
      <c r="BR36" s="12">
        <v>6</v>
      </c>
      <c r="BS36" s="1">
        <f t="shared" si="8"/>
        <v>3.9783893429633941</v>
      </c>
      <c r="BT36" s="1">
        <f>Stability!W36</f>
        <v>2.8131460826097094</v>
      </c>
      <c r="BV36" s="12">
        <v>6</v>
      </c>
      <c r="BW36" s="1">
        <f t="shared" si="23"/>
        <v>3.9959918173096995</v>
      </c>
      <c r="BX36" s="1">
        <f>Stability!Y36</f>
        <v>2.8255929115856442</v>
      </c>
    </row>
    <row r="37" spans="2:76">
      <c r="B37" s="16">
        <f>'Airfoil-Takeoff'!D37</f>
        <v>1.2249994633486807</v>
      </c>
      <c r="C37" s="74">
        <f>'Airfoil-Takeoff'!E37</f>
        <v>1.783E-5</v>
      </c>
      <c r="E37" s="19">
        <f ca="1">Takeoff!H37</f>
        <v>131.79789717184198</v>
      </c>
      <c r="F37" s="63">
        <f>Weight!G37</f>
        <v>0.3</v>
      </c>
      <c r="H37" s="20">
        <f ca="1">SQRT(((Takeoff!$B$10*I37)^2+Takeoff!$B$11^2)/2)</f>
        <v>10.891834490699978</v>
      </c>
      <c r="I37" s="20">
        <f t="shared" ca="1" si="9"/>
        <v>12.836150046502725</v>
      </c>
      <c r="J37" s="20">
        <f t="shared" ca="1" si="10"/>
        <v>0.84852813742758593</v>
      </c>
      <c r="L37" s="31">
        <f>Main!B37</f>
        <v>0.33333333333333326</v>
      </c>
      <c r="M37" s="31">
        <f>Main!C37</f>
        <v>2.7631578947368425</v>
      </c>
      <c r="N37" s="1">
        <f t="shared" si="24"/>
        <v>0.92105263157894723</v>
      </c>
      <c r="O37" s="1">
        <f t="shared" si="25"/>
        <v>8.2894736842105292</v>
      </c>
      <c r="P37" s="16">
        <f ca="1">'Aerodynamics-Constants'!AC37</f>
        <v>5.482534386108661E-2</v>
      </c>
      <c r="Q37" s="16">
        <f>'Aerodynamics-Constants'!AD37</f>
        <v>4.1447368421052646</v>
      </c>
      <c r="R37" s="63">
        <f>Stability!G37</f>
        <v>5.6500000000000012</v>
      </c>
      <c r="S37" s="16">
        <f ca="1">'Aerodynamics-Constants'!AM37</f>
        <v>2.2560622713503117E-2</v>
      </c>
      <c r="T37" s="16">
        <f>'Aerodynamics-Constants'!AN37</f>
        <v>4.1447368421052646</v>
      </c>
      <c r="V37" s="81">
        <f t="shared" ca="1" si="0"/>
        <v>249438.98683847676</v>
      </c>
      <c r="W37" s="16">
        <f ca="1">BO37*RADIANS(AE37-AC37-'Airfoil-Takeoff'!K37)</f>
        <v>0.86522684907792258</v>
      </c>
      <c r="X37" s="42">
        <f ca="1">'Airfoil-Takeoff'!V37</f>
        <v>9.7786212395685728E-3</v>
      </c>
      <c r="Y37" s="14">
        <f t="shared" ca="1" si="26"/>
        <v>88.481476874964414</v>
      </c>
      <c r="Z37" s="16">
        <f ca="1">'Airfoil-Takeoff'!AF37</f>
        <v>-0.15499999999999925</v>
      </c>
      <c r="AA37" s="31">
        <f>Main!I37</f>
        <v>1.1225333603782677</v>
      </c>
      <c r="AB37" s="12">
        <f t="shared" si="11"/>
        <v>-0.10915787869055116</v>
      </c>
      <c r="AC37" s="30">
        <f t="shared" ca="1" si="12"/>
        <v>1.6950653636082043</v>
      </c>
      <c r="AD37" s="13">
        <f t="shared" ca="1" si="13"/>
        <v>1.6950653636085056</v>
      </c>
      <c r="AE37" s="32">
        <f ca="1">MIN('Aerodynamics-Cruise'!AE37,Main!J37)</f>
        <v>3.1744323234543117</v>
      </c>
      <c r="AF37" s="1">
        <f t="shared" ca="1" si="27"/>
        <v>0.8648482357042151</v>
      </c>
      <c r="AG37" s="16">
        <f ca="1">0.9*'Airfoil-Takeoff'!I37</f>
        <v>1.417909657351841</v>
      </c>
      <c r="AH37" s="42">
        <f ca="1">0.455/(LOG10(MIN(V37,'Aerodynamics-Constants'!L37)))^2.58</f>
        <v>5.8757804889653922E-3</v>
      </c>
      <c r="AI37" s="42">
        <f ca="1">+AH37*'Aerodynamics-Constants'!J37*'Aerodynamics-Constants'!M37</f>
        <v>0</v>
      </c>
      <c r="AJ37" s="10">
        <f ca="1">X37*COS(RADIANS(AC37))*'Aerodynamics-Constants'!M37+AI37</f>
        <v>9.7743422267505282E-3</v>
      </c>
      <c r="AK37" s="10">
        <f ca="1">AF37^2/(PI()*'Aerodynamics-Constants'!I37*AA37)*(16*$B$7/M37)^2/(1+(16*$B$7/M37)^2)</f>
        <v>1.6857518239133455E-2</v>
      </c>
      <c r="AL37" s="10">
        <f t="shared" ca="1" si="14"/>
        <v>2.6631860465883984E-2</v>
      </c>
      <c r="AM37" s="1">
        <f t="shared" ca="1" si="1"/>
        <v>-0.15499999999999925</v>
      </c>
      <c r="AN37" s="1">
        <f t="shared" ca="1" si="15"/>
        <v>-0.35093470771391105</v>
      </c>
      <c r="AO37" s="12">
        <f t="shared" si="16"/>
        <v>0.92936504226251027</v>
      </c>
      <c r="AP37" s="12">
        <f t="shared" si="17"/>
        <v>7.6003458840598448E-2</v>
      </c>
      <c r="AQ37" s="81">
        <f ca="1">B37*H37*'Aerodynamics-Constants'!AA37/C37</f>
        <v>86065.241143121239</v>
      </c>
      <c r="AR37" s="10">
        <f ca="1">0.455/(LOG10(MIN(AQ37,'Aerodynamics-Constants'!AG37)))^2.58</f>
        <v>7.4023502806434532E-3</v>
      </c>
      <c r="AS37" s="15">
        <f ca="1">AR37*'Aerodynamics-Constants'!AI37*'Aerodynamics-Constants'!AJ37*'Aerodynamics-Constants'!AE37/P37</f>
        <v>2.0590503158522087E-2</v>
      </c>
      <c r="AT37" s="10">
        <f t="shared" ca="1" si="18"/>
        <v>1.0176993051108821E-2</v>
      </c>
      <c r="AU37" s="10">
        <f t="shared" ca="1" si="19"/>
        <v>3.0767496209630908E-2</v>
      </c>
      <c r="AV37" s="12">
        <f t="shared" si="20"/>
        <v>0.94513157894736843</v>
      </c>
      <c r="AW37" s="12">
        <f t="shared" si="21"/>
        <v>5.8053737992482146E-2</v>
      </c>
      <c r="AX37" s="81">
        <f ca="1">B37*H37*'Aerodynamics-Constants'!AK37/C37</f>
        <v>55209.351924920651</v>
      </c>
      <c r="AY37" s="10">
        <f ca="1">0.455/(LOG10(MIN(AX37,'Aerodynamics-Constants'!AQ37)))^2.58</f>
        <v>8.2040369880212911E-3</v>
      </c>
      <c r="AZ37" s="15">
        <f ca="1">AY37*'Aerodynamics-Constants'!AS37*'Aerodynamics-Constants'!AT37*'Aerodynamics-Constants'!AO37/S37</f>
        <v>2.282048850838771E-2</v>
      </c>
      <c r="BA37" s="81">
        <f ca="1">B37*H37*'Aerodynamics-Constants'!N37/C37</f>
        <v>1908208.2493143473</v>
      </c>
      <c r="BB37" s="10">
        <f ca="1">0.455/(LOG10(MIN(BA37,'Aerodynamics-Constants'!V37)))^2.58</f>
        <v>3.9734144923066379E-3</v>
      </c>
      <c r="BC37" s="10">
        <f ca="1">BB37*'Aerodynamics-Constants'!W37*'Aerodynamics-Constants'!X37*'Aerodynamics-Constants'!S37/N37+'Aerodynamics-Constants'!Z37</f>
        <v>2.0717889955555449E-3</v>
      </c>
      <c r="BD37" s="15">
        <f ca="1">BC37*'Aerodynamics-Constants'!AU37+(AJ37+AS37+AZ37)*('Aerodynamics-Constants'!AU37-1)</f>
        <v>7.5975012844771367E-3</v>
      </c>
      <c r="BE37" s="16">
        <f t="shared" ca="1" si="22"/>
        <v>0.84395896687902094</v>
      </c>
      <c r="BF37" s="10">
        <f t="shared" ca="1" si="2"/>
        <v>1.9156460145454655E-2</v>
      </c>
      <c r="BG37" s="10">
        <f t="shared" ca="1" si="3"/>
        <v>1.746330028064658E-2</v>
      </c>
      <c r="BH37" s="10">
        <f t="shared" ca="1" si="4"/>
        <v>3.6619760426101239E-2</v>
      </c>
      <c r="BI37" s="13">
        <f t="shared" ca="1" si="5"/>
        <v>56.482478923752886</v>
      </c>
      <c r="BJ37" s="13">
        <f t="shared" ca="1" si="6"/>
        <v>2.4508002493403676</v>
      </c>
      <c r="BK37" s="13">
        <f t="shared" ca="1" si="28"/>
        <v>23.046545282078839</v>
      </c>
      <c r="BL37" s="14">
        <f t="shared" ca="1" si="7"/>
        <v>26.693710685581522</v>
      </c>
      <c r="BO37" s="16">
        <f ca="1">'Airfoil-Takeoff'!J37</f>
        <v>5.6408842980693592</v>
      </c>
      <c r="BP37" s="1">
        <f ca="1">BO37/(1+BO37/(PI()*'Aerodynamics-Constants'!I37)*(1+AB37))</f>
        <v>4.7284705968666723</v>
      </c>
      <c r="BR37" s="12">
        <v>6</v>
      </c>
      <c r="BS37" s="1">
        <f t="shared" si="8"/>
        <v>4.0111960541300551</v>
      </c>
      <c r="BT37" s="1">
        <f>Stability!W37</f>
        <v>2.8363439305440838</v>
      </c>
      <c r="BV37" s="12">
        <v>6</v>
      </c>
      <c r="BW37" s="1">
        <f t="shared" si="23"/>
        <v>4.0334992312104214</v>
      </c>
      <c r="BX37" s="1">
        <f>Stability!Y37</f>
        <v>2.8521146582996155</v>
      </c>
    </row>
    <row r="38" spans="2:76">
      <c r="B38" s="16">
        <f>'Airfoil-Takeoff'!D38</f>
        <v>1.2249994633486807</v>
      </c>
      <c r="C38" s="74">
        <f>'Airfoil-Takeoff'!E38</f>
        <v>1.783E-5</v>
      </c>
      <c r="E38" s="19">
        <f ca="1">Takeoff!H38</f>
        <v>131.90942506193599</v>
      </c>
      <c r="F38" s="63">
        <f>Weight!G38</f>
        <v>0.3</v>
      </c>
      <c r="H38" s="20">
        <f ca="1">SQRT(((Takeoff!$B$10*I38)^2+Takeoff!$B$11^2)/2)</f>
        <v>10.745049877378921</v>
      </c>
      <c r="I38" s="20">
        <f t="shared" ca="1" si="9"/>
        <v>12.663162720747128</v>
      </c>
      <c r="J38" s="20">
        <f t="shared" ca="1" si="10"/>
        <v>0.84852813742765854</v>
      </c>
      <c r="L38" s="31">
        <f>Main!B38</f>
        <v>0.33333333333333326</v>
      </c>
      <c r="M38" s="31">
        <f>Main!C38</f>
        <v>2.8421052631578951</v>
      </c>
      <c r="N38" s="1">
        <f t="shared" si="24"/>
        <v>0.94736842105263153</v>
      </c>
      <c r="O38" s="1">
        <f t="shared" si="25"/>
        <v>8.5263157894736867</v>
      </c>
      <c r="P38" s="16">
        <f ca="1">'Aerodynamics-Constants'!AC38</f>
        <v>5.6028368192781342E-2</v>
      </c>
      <c r="Q38" s="16">
        <f>'Aerodynamics-Constants'!AD38</f>
        <v>4.2631578947368434</v>
      </c>
      <c r="R38" s="63">
        <f>Stability!G38</f>
        <v>5.6500000000000012</v>
      </c>
      <c r="S38" s="16">
        <f ca="1">'Aerodynamics-Constants'!AM38</f>
        <v>2.3634030155455236E-2</v>
      </c>
      <c r="T38" s="16">
        <f>'Aerodynamics-Constants'!AN38</f>
        <v>4.2631578947368434</v>
      </c>
      <c r="V38" s="81">
        <f t="shared" ca="1" si="0"/>
        <v>246077.40387818252</v>
      </c>
      <c r="W38" s="16">
        <f ca="1">BO38*RADIANS(AE38-AC38-'Airfoil-Takeoff'!K38)</f>
        <v>0.86556024056452818</v>
      </c>
      <c r="X38" s="42">
        <f ca="1">'Airfoil-Takeoff'!V38</f>
        <v>9.8885938372211459E-3</v>
      </c>
      <c r="Y38" s="14">
        <f t="shared" ca="1" si="26"/>
        <v>87.53117529274158</v>
      </c>
      <c r="Z38" s="16">
        <f ca="1">'Airfoil-Takeoff'!AF38</f>
        <v>-0.15499999999999925</v>
      </c>
      <c r="AA38" s="31">
        <f>Main!I38</f>
        <v>1.1160064675431407</v>
      </c>
      <c r="AB38" s="12">
        <f t="shared" si="11"/>
        <v>-0.10394784521144029</v>
      </c>
      <c r="AC38" s="30">
        <f t="shared" ca="1" si="12"/>
        <v>1.658288197406288</v>
      </c>
      <c r="AD38" s="13">
        <f t="shared" ca="1" si="13"/>
        <v>1.6582881974065879</v>
      </c>
      <c r="AE38" s="32">
        <f ca="1">MIN('Aerodynamics-Cruise'!AE38,Main!J38)</f>
        <v>3.1670306396346461</v>
      </c>
      <c r="AF38" s="1">
        <f t="shared" ca="1" si="27"/>
        <v>0.86519773745081185</v>
      </c>
      <c r="AG38" s="16">
        <f ca="1">0.9*'Airfoil-Takeoff'!I38</f>
        <v>1.4176422413879795</v>
      </c>
      <c r="AH38" s="42">
        <f ca="1">0.455/(LOG10(MIN(V38,'Aerodynamics-Constants'!L38)))^2.58</f>
        <v>5.8923645872919865E-3</v>
      </c>
      <c r="AI38" s="42">
        <f ca="1">+AH38*'Aerodynamics-Constants'!J38*'Aerodynamics-Constants'!M38</f>
        <v>0</v>
      </c>
      <c r="AJ38" s="10">
        <f ca="1">X38*COS(RADIANS(AC38))*'Aerodynamics-Constants'!M38+AI38</f>
        <v>9.8844524200345958E-3</v>
      </c>
      <c r="AK38" s="10">
        <f ca="1">AF38^2/(PI()*'Aerodynamics-Constants'!I38*AA38)*(16*$B$7/M38)^2/(1+(16*$B$7/M38)^2)</f>
        <v>1.617854204788426E-2</v>
      </c>
      <c r="AL38" s="10">
        <f t="shared" ca="1" si="14"/>
        <v>2.6062994467918855E-2</v>
      </c>
      <c r="AM38" s="1">
        <f t="shared" ca="1" si="1"/>
        <v>-0.15499999999999925</v>
      </c>
      <c r="AN38" s="1">
        <f t="shared" ca="1" si="15"/>
        <v>-0.3531557281591764</v>
      </c>
      <c r="AO38" s="12">
        <f t="shared" si="16"/>
        <v>0.92529118240476216</v>
      </c>
      <c r="AP38" s="12">
        <f t="shared" si="17"/>
        <v>8.0740872728382929E-2</v>
      </c>
      <c r="AQ38" s="81">
        <f ca="1">B38*H38*'Aerodynamics-Constants'!AA38/C38</f>
        <v>84631.350092957771</v>
      </c>
      <c r="AR38" s="10">
        <f ca="1">0.455/(LOG10(MIN(AQ38,'Aerodynamics-Constants'!AG38)))^2.58</f>
        <v>7.4306631356896311E-3</v>
      </c>
      <c r="AS38" s="15">
        <f ca="1">AR38*'Aerodynamics-Constants'!AI38*'Aerodynamics-Constants'!AJ38*'Aerodynamics-Constants'!AE38/P38</f>
        <v>2.0669258676587688E-2</v>
      </c>
      <c r="AT38" s="10">
        <f t="shared" ca="1" si="18"/>
        <v>1.0064050226965379E-2</v>
      </c>
      <c r="AU38" s="10">
        <f t="shared" ca="1" si="19"/>
        <v>3.0733308903553067E-2</v>
      </c>
      <c r="AV38" s="12">
        <f t="shared" si="20"/>
        <v>0.94442105263157905</v>
      </c>
      <c r="AW38" s="12">
        <f t="shared" si="21"/>
        <v>5.884975479268828E-2</v>
      </c>
      <c r="AX38" s="81">
        <f ca="1">B38*H38*'Aerodynamics-Constants'!AK38/C38</f>
        <v>54966.258345767135</v>
      </c>
      <c r="AY38" s="10">
        <f ca="1">0.455/(LOG10(MIN(AX38,'Aerodynamics-Constants'!AQ38)))^2.58</f>
        <v>8.2125975426308468E-3</v>
      </c>
      <c r="AZ38" s="15">
        <f ca="1">AY38*'Aerodynamics-Constants'!AS38*'Aerodynamics-Constants'!AT38*'Aerodynamics-Constants'!AO38/S38</f>
        <v>2.2844300692362263E-2</v>
      </c>
      <c r="BA38" s="81">
        <f ca="1">B38*H38*'Aerodynamics-Constants'!N38/C38</f>
        <v>1882492.1396680966</v>
      </c>
      <c r="BB38" s="10">
        <f ca="1">0.455/(LOG10(MIN(BA38,'Aerodynamics-Constants'!V38)))^2.58</f>
        <v>3.9830487271961578E-3</v>
      </c>
      <c r="BC38" s="10">
        <f ca="1">BB38*'Aerodynamics-Constants'!W38*'Aerodynamics-Constants'!X38*'Aerodynamics-Constants'!S38/N38+'Aerodynamics-Constants'!Z38</f>
        <v>2.0191192301229222E-3</v>
      </c>
      <c r="BD38" s="15">
        <f ca="1">BC38*'Aerodynamics-Constants'!AU38+(AJ38+AS38+AZ38)*('Aerodynamics-Constants'!AU38-1)</f>
        <v>7.560832332033674E-3</v>
      </c>
      <c r="BE38" s="16">
        <f t="shared" ca="1" si="22"/>
        <v>0.84431173499708123</v>
      </c>
      <c r="BF38" s="10">
        <f t="shared" ca="1" si="2"/>
        <v>1.9237584019295945E-2</v>
      </c>
      <c r="BG38" s="10">
        <f t="shared" ca="1" si="3"/>
        <v>1.6773740599046159E-2</v>
      </c>
      <c r="BH38" s="10">
        <f t="shared" ca="1" si="4"/>
        <v>3.6011324618342104E-2</v>
      </c>
      <c r="BI38" s="13">
        <f t="shared" ca="1" si="5"/>
        <v>56.564571826309759</v>
      </c>
      <c r="BJ38" s="13">
        <f t="shared" ca="1" si="6"/>
        <v>2.4125747321773403</v>
      </c>
      <c r="BK38" s="13">
        <f t="shared" ca="1" si="28"/>
        <v>23.445728363100457</v>
      </c>
      <c r="BL38" s="14">
        <f t="shared" ca="1" si="7"/>
        <v>25.923235830149615</v>
      </c>
      <c r="BO38" s="16">
        <f ca="1">'Airfoil-Takeoff'!J38</f>
        <v>5.6666858573741701</v>
      </c>
      <c r="BP38" s="1">
        <f ca="1">BO38/(1+BO38/(PI()*'Aerodynamics-Constants'!I38)*(1+AB38))</f>
        <v>4.7636744898912218</v>
      </c>
      <c r="BR38" s="12">
        <v>6</v>
      </c>
      <c r="BS38" s="1">
        <f t="shared" si="8"/>
        <v>4.0426828290456038</v>
      </c>
      <c r="BT38" s="1">
        <f>Stability!W38</f>
        <v>2.858608442604563</v>
      </c>
      <c r="BV38" s="12">
        <v>6</v>
      </c>
      <c r="BW38" s="1">
        <f t="shared" si="23"/>
        <v>4.0695737230182569</v>
      </c>
      <c r="BX38" s="1">
        <f>Stability!Y38</f>
        <v>2.8776231760847946</v>
      </c>
    </row>
    <row r="39" spans="2:76">
      <c r="B39" s="16">
        <f>'Airfoil-Takeoff'!D39</f>
        <v>1.2249994633486807</v>
      </c>
      <c r="C39" s="74">
        <f>'Airfoil-Takeoff'!E39</f>
        <v>1.783E-5</v>
      </c>
      <c r="E39" s="19">
        <f ca="1">Takeoff!H39</f>
        <v>132.04710507840423</v>
      </c>
      <c r="F39" s="63">
        <f>Weight!G39</f>
        <v>0.3</v>
      </c>
      <c r="H39" s="20">
        <f ca="1">SQRT(((Takeoff!$B$10*I39)^2+Takeoff!$B$11^2)/2)</f>
        <v>10.605346376012445</v>
      </c>
      <c r="I39" s="20">
        <f t="shared" ca="1" si="9"/>
        <v>12.498520565460602</v>
      </c>
      <c r="J39" s="20">
        <f t="shared" ca="1" si="10"/>
        <v>0.84852813742772859</v>
      </c>
      <c r="L39" s="31">
        <f>Main!B39</f>
        <v>0.33333333333333326</v>
      </c>
      <c r="M39" s="31">
        <f>Main!C39</f>
        <v>2.9210526315789478</v>
      </c>
      <c r="N39" s="1">
        <f t="shared" si="24"/>
        <v>0.97368421052631571</v>
      </c>
      <c r="O39" s="1">
        <f t="shared" si="25"/>
        <v>8.763157894736846</v>
      </c>
      <c r="P39" s="16">
        <f ca="1">'Aerodynamics-Constants'!AC39</f>
        <v>5.7230970130204631E-2</v>
      </c>
      <c r="Q39" s="16">
        <f>'Aerodynamics-Constants'!AD39</f>
        <v>4.381578947368423</v>
      </c>
      <c r="R39" s="63">
        <f>Stability!G39</f>
        <v>5.6500000000000012</v>
      </c>
      <c r="S39" s="16">
        <f ca="1">'Aerodynamics-Constants'!AM39</f>
        <v>2.4734340811647802E-2</v>
      </c>
      <c r="T39" s="16">
        <f>'Aerodynamics-Constants'!AN39</f>
        <v>4.381578947368423</v>
      </c>
      <c r="V39" s="81">
        <f t="shared" ca="1" si="0"/>
        <v>242877.98876878142</v>
      </c>
      <c r="W39" s="16">
        <f ca="1">BO39*RADIANS(AE39-AC39-'Airfoil-Takeoff'!K39)</f>
        <v>0.86588215438252525</v>
      </c>
      <c r="X39" s="42">
        <f ca="1">'Airfoil-Takeoff'!V39</f>
        <v>9.9957629996631422E-3</v>
      </c>
      <c r="Y39" s="14">
        <f t="shared" ca="1" si="26"/>
        <v>86.624918419104731</v>
      </c>
      <c r="Z39" s="16">
        <f ca="1">'Airfoil-Takeoff'!AF39</f>
        <v>-0.15499999999999925</v>
      </c>
      <c r="AA39" s="31">
        <f>Main!I39</f>
        <v>1.1095373430241193</v>
      </c>
      <c r="AB39" s="12">
        <f t="shared" si="11"/>
        <v>-9.8723439740719177E-2</v>
      </c>
      <c r="AC39" s="30">
        <f t="shared" ca="1" si="12"/>
        <v>1.6235086855939029</v>
      </c>
      <c r="AD39" s="13">
        <f t="shared" ca="1" si="13"/>
        <v>1.6235086855942025</v>
      </c>
      <c r="AE39" s="32">
        <f ca="1">MIN('Aerodynamics-Cruise'!AE39,Main!J39)</f>
        <v>3.160166623680789</v>
      </c>
      <c r="AF39" s="1">
        <f t="shared" ca="1" si="27"/>
        <v>0.86553456724014144</v>
      </c>
      <c r="AG39" s="16">
        <f ca="1">0.9*'Airfoil-Takeoff'!I39</f>
        <v>1.4173843588443424</v>
      </c>
      <c r="AH39" s="42">
        <f ca="1">0.455/(LOG10(MIN(V39,'Aerodynamics-Constants'!L39)))^2.58</f>
        <v>5.9084220223728891E-3</v>
      </c>
      <c r="AI39" s="42">
        <f ca="1">+AH39*'Aerodynamics-Constants'!J39*'Aerodynamics-Constants'!M39</f>
        <v>0</v>
      </c>
      <c r="AJ39" s="10">
        <f ca="1">X39*COS(RADIANS(AC39))*'Aerodynamics-Constants'!M39+AI39</f>
        <v>9.9917504459000068E-3</v>
      </c>
      <c r="AK39" s="10">
        <f ca="1">AF39^2/(PI()*'Aerodynamics-Constants'!I39*AA39)*(16*$B$7/M39)^2/(1+(16*$B$7/M39)^2)</f>
        <v>1.5535685322024251E-2</v>
      </c>
      <c r="AL39" s="10">
        <f t="shared" ca="1" si="14"/>
        <v>2.552743576792426E-2</v>
      </c>
      <c r="AM39" s="1">
        <f t="shared" ca="1" si="1"/>
        <v>-0.15499999999999925</v>
      </c>
      <c r="AN39" s="1">
        <f t="shared" ca="1" si="15"/>
        <v>-0.35528500849405581</v>
      </c>
      <c r="AO39" s="12">
        <f t="shared" si="16"/>
        <v>0.92125337952389075</v>
      </c>
      <c r="AP39" s="12">
        <f t="shared" si="17"/>
        <v>8.5477700517968325E-2</v>
      </c>
      <c r="AQ39" s="81">
        <f ca="1">B39*H39*'Aerodynamics-Constants'!AA39/C39</f>
        <v>83274.042135820782</v>
      </c>
      <c r="AR39" s="10">
        <f ca="1">0.455/(LOG10(MIN(AQ39,'Aerodynamics-Constants'!AG39)))^2.58</f>
        <v>7.4580513783287453E-3</v>
      </c>
      <c r="AS39" s="15">
        <f ca="1">AR39*'Aerodynamics-Constants'!AI39*'Aerodynamics-Constants'!AJ39*'Aerodynamics-Constants'!AE39/P39</f>
        <v>2.0745442277091127E-2</v>
      </c>
      <c r="AT39" s="10">
        <f t="shared" ca="1" si="18"/>
        <v>9.9539202539568484E-3</v>
      </c>
      <c r="AU39" s="10">
        <f t="shared" ca="1" si="19"/>
        <v>3.0699362531047977E-2</v>
      </c>
      <c r="AV39" s="12">
        <f t="shared" si="20"/>
        <v>0.94371052631578956</v>
      </c>
      <c r="AW39" s="12">
        <f t="shared" si="21"/>
        <v>5.9646970246228337E-2</v>
      </c>
      <c r="AX39" s="81">
        <f ca="1">B39*H39*'Aerodynamics-Constants'!AK39/C39</f>
        <v>54744.975067305175</v>
      </c>
      <c r="AY39" s="10">
        <f ca="1">0.455/(LOG10(MIN(AX39,'Aerodynamics-Constants'!AQ39)))^2.58</f>
        <v>8.2204338754678138E-3</v>
      </c>
      <c r="AZ39" s="15">
        <f ca="1">AY39*'Aerodynamics-Constants'!AS39*'Aerodynamics-Constants'!AT39*'Aerodynamics-Constants'!AO39/S39</f>
        <v>2.2866098368764135E-2</v>
      </c>
      <c r="BA39" s="81">
        <f ca="1">B39*H39*'Aerodynamics-Constants'!N39/C39</f>
        <v>1858016.6140811779</v>
      </c>
      <c r="BB39" s="10">
        <f ca="1">0.455/(LOG10(MIN(BA39,'Aerodynamics-Constants'!V39)))^2.58</f>
        <v>3.9923719587480807E-3</v>
      </c>
      <c r="BC39" s="10">
        <f ca="1">BB39*'Aerodynamics-Constants'!W39*'Aerodynamics-Constants'!X39*'Aerodynamics-Constants'!S39/N39+'Aerodynamics-Constants'!Z39</f>
        <v>1.9691432072974301E-3</v>
      </c>
      <c r="BD39" s="15">
        <f ca="1">BC39*'Aerodynamics-Constants'!AU39+(AJ39+AS39+AZ39)*('Aerodynamics-Constants'!AU39-1)</f>
        <v>7.526386637202705E-3</v>
      </c>
      <c r="BE39" s="16">
        <f t="shared" ca="1" si="22"/>
        <v>0.84465171272836725</v>
      </c>
      <c r="BF39" s="10">
        <f t="shared" ca="1" si="2"/>
        <v>1.931837132582117E-2</v>
      </c>
      <c r="BG39" s="10">
        <f t="shared" ca="1" si="3"/>
        <v>1.6120754389155074E-2</v>
      </c>
      <c r="BH39" s="10">
        <f t="shared" ca="1" si="4"/>
        <v>3.5439125714976247E-2</v>
      </c>
      <c r="BI39" s="13">
        <f t="shared" ca="1" si="5"/>
        <v>56.656717844140083</v>
      </c>
      <c r="BJ39" s="13">
        <f t="shared" ca="1" si="6"/>
        <v>2.3771508611409522</v>
      </c>
      <c r="BK39" s="13">
        <f t="shared" ca="1" si="28"/>
        <v>23.833875573612847</v>
      </c>
      <c r="BL39" s="14">
        <f t="shared" ca="1" si="7"/>
        <v>25.210508270436062</v>
      </c>
      <c r="BO39" s="16">
        <f ca="1">'Airfoil-Takeoff'!J39</f>
        <v>5.6916840033104403</v>
      </c>
      <c r="BP39" s="1">
        <f ca="1">BO39/(1+BO39/(PI()*'Aerodynamics-Constants'!I39)*(1+AB39))</f>
        <v>4.7977144231320628</v>
      </c>
      <c r="BR39" s="12">
        <v>6</v>
      </c>
      <c r="BS39" s="1">
        <f t="shared" si="8"/>
        <v>4.07292669268785</v>
      </c>
      <c r="BT39" s="1">
        <f>Stability!W39</f>
        <v>2.8799940836752764</v>
      </c>
      <c r="BV39" s="12">
        <v>6</v>
      </c>
      <c r="BW39" s="1">
        <f t="shared" si="23"/>
        <v>4.1042957459386722</v>
      </c>
      <c r="BX39" s="1">
        <f>Stability!Y39</f>
        <v>2.9021753539483348</v>
      </c>
    </row>
    <row r="40" spans="2:76">
      <c r="B40" s="16">
        <f>'Airfoil-Takeoff'!D40</f>
        <v>1.2249994633486807</v>
      </c>
      <c r="C40" s="74">
        <f>'Airfoil-Takeoff'!E40</f>
        <v>1.783E-5</v>
      </c>
      <c r="E40" s="19">
        <f ca="1">Takeoff!H40</f>
        <v>109.48016672982719</v>
      </c>
      <c r="F40" s="63">
        <f>Weight!G40</f>
        <v>0.3</v>
      </c>
      <c r="H40" s="20">
        <f ca="1">SQRT(((Takeoff!$B$10*I40)^2+Takeoff!$B$11^2)/2)</f>
        <v>9.5359142313991931</v>
      </c>
      <c r="I40" s="20">
        <f t="shared" ca="1" si="9"/>
        <v>11.238070599333154</v>
      </c>
      <c r="J40" s="20">
        <f t="shared" ca="1" si="10"/>
        <v>0.84853660128857311</v>
      </c>
      <c r="L40" s="31">
        <f>Main!B40</f>
        <v>0.33333333333333326</v>
      </c>
      <c r="M40" s="31">
        <f>Main!C40</f>
        <v>3</v>
      </c>
      <c r="N40" s="1">
        <f t="shared" si="24"/>
        <v>0.99999999999999978</v>
      </c>
      <c r="O40" s="1">
        <f t="shared" si="25"/>
        <v>9.0000000000000018</v>
      </c>
      <c r="P40" s="16">
        <f ca="1">'Aerodynamics-Constants'!AC40</f>
        <v>6.0005710882722572E-2</v>
      </c>
      <c r="Q40" s="16">
        <f>'Aerodynamics-Constants'!AD40</f>
        <v>4.5000000000000009</v>
      </c>
      <c r="R40" s="63">
        <f>Stability!G40</f>
        <v>5.6500000000000012</v>
      </c>
      <c r="S40" s="16">
        <f ca="1">'Aerodynamics-Constants'!AM40</f>
        <v>2.5861490283211861E-2</v>
      </c>
      <c r="T40" s="16">
        <f>'Aerodynamics-Constants'!AN40</f>
        <v>4.5000000000000009</v>
      </c>
      <c r="V40" s="81">
        <f t="shared" ca="1" si="0"/>
        <v>218386.42392976361</v>
      </c>
      <c r="W40" s="16">
        <f ca="1">BO40*RADIANS(AE40-AC40-'Airfoil-Takeoff'!K40)</f>
        <v>0.86912516506377613</v>
      </c>
      <c r="X40" s="42">
        <f ca="1">'Airfoil-Takeoff'!V40</f>
        <v>1.0912559108059104E-2</v>
      </c>
      <c r="Y40" s="14">
        <f t="shared" ca="1" si="26"/>
        <v>79.644486362682144</v>
      </c>
      <c r="Z40" s="16">
        <f ca="1">'Airfoil-Takeoff'!AF40</f>
        <v>-0.15499999999999939</v>
      </c>
      <c r="AA40" s="31">
        <f>Main!I40</f>
        <v>1.1031239342794878</v>
      </c>
      <c r="AB40" s="12">
        <f t="shared" si="11"/>
        <v>-9.3483543484933929E-2</v>
      </c>
      <c r="AC40" s="30">
        <f t="shared" ca="1" si="12"/>
        <v>1.5959511963659818</v>
      </c>
      <c r="AD40" s="13">
        <f t="shared" ca="1" si="13"/>
        <v>1.5959517815862487</v>
      </c>
      <c r="AE40" s="32">
        <f ca="1">MIN('Aerodynamics-Cruise'!AE40,Main!J40)</f>
        <v>3.3506705138040234</v>
      </c>
      <c r="AF40" s="1">
        <f t="shared" ca="1" si="27"/>
        <v>0.86878801891933788</v>
      </c>
      <c r="AG40" s="16">
        <f ca="1">0.9*'Airfoil-Takeoff'!I40</f>
        <v>1.4152917482844229</v>
      </c>
      <c r="AH40" s="42">
        <f ca="1">0.455/(LOG10(MIN(V40,'Aerodynamics-Constants'!L40)))^2.58</f>
        <v>6.0411197989933413E-3</v>
      </c>
      <c r="AI40" s="42">
        <f ca="1">+AH40*'Aerodynamics-Constants'!J40*'Aerodynamics-Constants'!M40</f>
        <v>0</v>
      </c>
      <c r="AJ40" s="10">
        <f ca="1">X40*COS(RADIANS(AC40))*'Aerodynamics-Constants'!M40+AI40</f>
        <v>1.0908325969522646E-2</v>
      </c>
      <c r="AK40" s="10">
        <f ca="1">AF40^2/(PI()*'Aerodynamics-Constants'!I40*AA40)*(16*$B$7/M40)^2/(1+(16*$B$7/M40)^2)</f>
        <v>1.5027621833045086E-2</v>
      </c>
      <c r="AL40" s="10">
        <f t="shared" ca="1" si="14"/>
        <v>2.5935947802567732E-2</v>
      </c>
      <c r="AM40" s="1">
        <f t="shared" ca="1" si="1"/>
        <v>-0.15499999999999939</v>
      </c>
      <c r="AN40" s="1">
        <f t="shared" ca="1" si="15"/>
        <v>-0.34750773075698227</v>
      </c>
      <c r="AO40" s="12">
        <f>MAX(0,(1.78*(1-0.045*Q40^0.68)-0.64))*1</f>
        <v>0.9172503524946326</v>
      </c>
      <c r="AP40" s="12">
        <f t="shared" si="17"/>
        <v>9.0214898561024714E-2</v>
      </c>
      <c r="AQ40" s="81">
        <f ca="1">B40*H40*'Aerodynamics-Constants'!AA40/C40</f>
        <v>75654.877155781869</v>
      </c>
      <c r="AR40" s="10">
        <f ca="1">0.455/(LOG10(MIN(AQ40,'Aerodynamics-Constants'!AG40)))^2.58</f>
        <v>7.6235163501016849E-3</v>
      </c>
      <c r="AS40" s="15">
        <f ca="1">AR40*'Aerodynamics-Constants'!AI40*'Aerodynamics-Constants'!AJ40*'Aerodynamics-Constants'!AE40/P40</f>
        <v>2.1205702450515306E-2</v>
      </c>
      <c r="AT40" s="10">
        <f t="shared" ca="1" si="18"/>
        <v>9.3127654958811475E-3</v>
      </c>
      <c r="AU40" s="10">
        <f t="shared" ca="1" si="19"/>
        <v>3.0518467946396455E-2</v>
      </c>
      <c r="AV40" s="12">
        <f t="shared" si="20"/>
        <v>0.94300000000000006</v>
      </c>
      <c r="AW40" s="12">
        <f t="shared" si="21"/>
        <v>6.0445387062566303E-2</v>
      </c>
      <c r="AX40" s="81">
        <f ca="1">B40*H40*'Aerodynamics-Constants'!AK40/C40</f>
        <v>49666.940541599564</v>
      </c>
      <c r="AY40" s="10">
        <f ca="1">0.455/(LOG10(MIN(AX40,'Aerodynamics-Constants'!AQ40)))^2.58</f>
        <v>8.4127279553174866E-3</v>
      </c>
      <c r="AZ40" s="15">
        <f ca="1">AY40*'Aerodynamics-Constants'!AS40*'Aerodynamics-Constants'!AT40*'Aerodynamics-Constants'!AO40/S40</f>
        <v>2.340098684450452E-2</v>
      </c>
      <c r="BA40" s="81">
        <f ca="1">B40*H40*'Aerodynamics-Constants'!N40/C40</f>
        <v>1670656.1430626919</v>
      </c>
      <c r="BB40" s="10">
        <f ca="1">0.455/(LOG10(MIN(BA40,'Aerodynamics-Constants'!V40)))^2.58</f>
        <v>4.0692300551372568E-3</v>
      </c>
      <c r="BC40" s="10">
        <f ca="1">BB40*'Aerodynamics-Constants'!W40*'Aerodynamics-Constants'!X40*'Aerodynamics-Constants'!S40/N40+'Aerodynamics-Constants'!Z40</f>
        <v>1.9542048277706508E-3</v>
      </c>
      <c r="BD40" s="15">
        <f ca="1">BC40*'Aerodynamics-Constants'!AU40+(AJ40+AS40+AZ40)*('Aerodynamics-Constants'!AU40-1)</f>
        <v>7.7011268370019686E-3</v>
      </c>
      <c r="BE40" s="16">
        <f t="shared" ca="1" si="22"/>
        <v>0.84793557049802337</v>
      </c>
      <c r="BF40" s="10">
        <f t="shared" ca="1" si="2"/>
        <v>2.0487100450732001E-2</v>
      </c>
      <c r="BG40" s="10">
        <f t="shared" ca="1" si="3"/>
        <v>1.5586440946909525E-2</v>
      </c>
      <c r="BH40" s="10">
        <f t="shared" ca="1" si="4"/>
        <v>3.6073541397641525E-2</v>
      </c>
      <c r="BI40" s="13">
        <f t="shared" ca="1" si="5"/>
        <v>47.227333911852838</v>
      </c>
      <c r="BJ40" s="13">
        <f t="shared" ca="1" si="6"/>
        <v>2.009182353287577</v>
      </c>
      <c r="BK40" s="13">
        <f t="shared" ca="1" si="28"/>
        <v>23.505747915103814</v>
      </c>
      <c r="BL40" s="14">
        <f t="shared" ca="1" si="7"/>
        <v>19.159390596191127</v>
      </c>
      <c r="BO40" s="16">
        <f ca="1">'Airfoil-Takeoff'!J40</f>
        <v>5.8988295938479895</v>
      </c>
      <c r="BP40" s="1">
        <f ca="1">BO40/(1+BO40/(PI()*'Aerodynamics-Constants'!I40)*(1+AB40))</f>
        <v>4.9606467942179711</v>
      </c>
      <c r="BR40" s="12">
        <v>6</v>
      </c>
      <c r="BS40" s="1">
        <f t="shared" si="8"/>
        <v>4.101998731574878</v>
      </c>
      <c r="BT40" s="1">
        <f>Stability!W40</f>
        <v>2.9005511195152129</v>
      </c>
      <c r="BV40" s="12">
        <v>6</v>
      </c>
      <c r="BW40" s="1">
        <f t="shared" si="23"/>
        <v>4.1377398406157262</v>
      </c>
      <c r="BX40" s="1">
        <f>Stability!Y40</f>
        <v>2.9258239000851245</v>
      </c>
    </row>
    <row r="42" spans="2:76">
      <c r="D42" s="4"/>
    </row>
    <row r="44" spans="2:76">
      <c r="I44" s="14"/>
      <c r="M44" s="1"/>
      <c r="N44" s="1"/>
      <c r="O44" s="1"/>
      <c r="P44" s="1"/>
    </row>
    <row r="45" spans="2:76">
      <c r="I45" s="14"/>
    </row>
    <row r="46" spans="2:76">
      <c r="I46" s="14"/>
    </row>
    <row r="47" spans="2:76">
      <c r="I47" s="14"/>
    </row>
    <row r="48" spans="2:76">
      <c r="I48" s="14"/>
    </row>
    <row r="49" spans="9:9">
      <c r="I49" s="14"/>
    </row>
    <row r="50" spans="9:9">
      <c r="I50" s="14"/>
    </row>
    <row r="51" spans="9:9">
      <c r="I51" s="14"/>
    </row>
    <row r="52" spans="9:9">
      <c r="I52" s="14"/>
    </row>
    <row r="53" spans="9:9">
      <c r="I53" s="14"/>
    </row>
    <row r="54" spans="9:9">
      <c r="I54" s="14"/>
    </row>
    <row r="55" spans="9:9">
      <c r="I55" s="14"/>
    </row>
    <row r="56" spans="9:9">
      <c r="I56" s="14"/>
    </row>
    <row r="57" spans="9:9">
      <c r="I57" s="14"/>
    </row>
    <row r="58" spans="9:9">
      <c r="I58" s="14"/>
    </row>
    <row r="59" spans="9:9">
      <c r="I59" s="14"/>
    </row>
    <row r="60" spans="9:9">
      <c r="I60" s="14"/>
    </row>
    <row r="61" spans="9:9">
      <c r="I61" s="14"/>
    </row>
    <row r="62" spans="9:9">
      <c r="I62" s="14"/>
    </row>
    <row r="63" spans="9:9">
      <c r="I63" s="14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X63"/>
  <sheetViews>
    <sheetView topLeftCell="M7" zoomScale="90" workbookViewId="0">
      <selection activeCell="AO21" sqref="AO21:AO40"/>
    </sheetView>
  </sheetViews>
  <sheetFormatPr defaultRowHeight="12.75"/>
  <cols>
    <col min="23" max="23" width="9.5703125" bestFit="1" customWidth="1"/>
    <col min="47" max="47" width="9.42578125" customWidth="1"/>
    <col min="53" max="53" width="9.5703125" bestFit="1" customWidth="1"/>
    <col min="54" max="54" width="9.5703125" customWidth="1"/>
  </cols>
  <sheetData>
    <row r="1" spans="1:74">
      <c r="A1" s="17" t="s">
        <v>727</v>
      </c>
    </row>
    <row r="3" spans="1:74">
      <c r="A3" t="s">
        <v>270</v>
      </c>
    </row>
    <row r="4" spans="1:74">
      <c r="A4" s="17"/>
    </row>
    <row r="5" spans="1:74">
      <c r="A5" t="s">
        <v>367</v>
      </c>
      <c r="F5" s="6"/>
      <c r="G5" s="6"/>
      <c r="H5" s="6"/>
    </row>
    <row r="6" spans="1:74">
      <c r="A6" s="3" t="s">
        <v>48</v>
      </c>
      <c r="B6" s="16">
        <f>'Aerodynamics-Takeoff'!B6</f>
        <v>0.25</v>
      </c>
      <c r="E6" s="16"/>
      <c r="F6" s="6"/>
      <c r="G6" s="16"/>
      <c r="H6" s="6"/>
    </row>
    <row r="7" spans="1:74">
      <c r="A7" s="17"/>
    </row>
    <row r="8" spans="1:74">
      <c r="A8" s="17"/>
    </row>
    <row r="9" spans="1:74">
      <c r="A9" s="17"/>
    </row>
    <row r="15" spans="1:74">
      <c r="B15" t="s">
        <v>273</v>
      </c>
      <c r="E15" t="s">
        <v>277</v>
      </c>
      <c r="H15" t="s">
        <v>286</v>
      </c>
      <c r="L15" t="s">
        <v>279</v>
      </c>
      <c r="V15" t="s">
        <v>278</v>
      </c>
    </row>
    <row r="16" spans="1:74">
      <c r="L16" t="s">
        <v>367</v>
      </c>
      <c r="P16" t="s">
        <v>44</v>
      </c>
      <c r="S16" t="s">
        <v>46</v>
      </c>
      <c r="V16" t="s">
        <v>367</v>
      </c>
      <c r="AN16" t="s">
        <v>44</v>
      </c>
      <c r="AV16" t="s">
        <v>46</v>
      </c>
      <c r="BA16" t="s">
        <v>393</v>
      </c>
      <c r="BE16" t="s">
        <v>391</v>
      </c>
      <c r="BH16" s="10"/>
      <c r="BO16" t="s">
        <v>367</v>
      </c>
      <c r="BR16" t="s">
        <v>44</v>
      </c>
      <c r="BV16" t="s">
        <v>46</v>
      </c>
    </row>
    <row r="18" spans="2:76">
      <c r="B18" s="9" t="s">
        <v>29</v>
      </c>
      <c r="C18" s="9" t="s">
        <v>31</v>
      </c>
      <c r="E18" s="9" t="s">
        <v>34</v>
      </c>
      <c r="F18" s="9" t="s">
        <v>139</v>
      </c>
      <c r="H18" s="9" t="s">
        <v>40</v>
      </c>
      <c r="I18" s="9" t="s">
        <v>198</v>
      </c>
      <c r="J18" s="9" t="s">
        <v>199</v>
      </c>
      <c r="L18" s="9" t="s">
        <v>281</v>
      </c>
      <c r="M18" s="9" t="s">
        <v>280</v>
      </c>
      <c r="N18" s="9" t="s">
        <v>282</v>
      </c>
      <c r="O18" s="9" t="s">
        <v>100</v>
      </c>
      <c r="P18" s="9" t="s">
        <v>45</v>
      </c>
      <c r="Q18" s="9" t="s">
        <v>69</v>
      </c>
      <c r="R18" s="9" t="s">
        <v>49</v>
      </c>
      <c r="S18" s="9" t="s">
        <v>47</v>
      </c>
      <c r="T18" s="9" t="s">
        <v>173</v>
      </c>
      <c r="V18" s="9" t="s">
        <v>50</v>
      </c>
      <c r="W18" s="9" t="s">
        <v>52</v>
      </c>
      <c r="X18" s="9" t="s">
        <v>51</v>
      </c>
      <c r="Y18" s="9" t="s">
        <v>246</v>
      </c>
      <c r="Z18" s="9" t="s">
        <v>53</v>
      </c>
      <c r="AA18" s="9" t="s">
        <v>62</v>
      </c>
      <c r="AB18" s="9" t="s">
        <v>63</v>
      </c>
      <c r="AC18" s="9" t="s">
        <v>369</v>
      </c>
      <c r="AD18" s="9" t="s">
        <v>370</v>
      </c>
      <c r="AE18" s="9" t="s">
        <v>378</v>
      </c>
      <c r="AF18" s="9" t="s">
        <v>60</v>
      </c>
      <c r="AG18" s="9" t="s">
        <v>192</v>
      </c>
      <c r="AH18" s="47" t="s">
        <v>483</v>
      </c>
      <c r="AI18" s="47" t="s">
        <v>485</v>
      </c>
      <c r="AJ18" s="9" t="s">
        <v>65</v>
      </c>
      <c r="AK18" s="9" t="s">
        <v>61</v>
      </c>
      <c r="AL18" s="9" t="s">
        <v>67</v>
      </c>
      <c r="AM18" s="9" t="s">
        <v>66</v>
      </c>
      <c r="AN18" s="9" t="s">
        <v>64</v>
      </c>
      <c r="AO18" s="9" t="s">
        <v>68</v>
      </c>
      <c r="AP18" s="9" t="s">
        <v>167</v>
      </c>
      <c r="AQ18" s="9" t="s">
        <v>50</v>
      </c>
      <c r="AR18" s="9" t="s">
        <v>411</v>
      </c>
      <c r="AS18" s="9" t="s">
        <v>71</v>
      </c>
      <c r="AT18" s="9" t="s">
        <v>70</v>
      </c>
      <c r="AU18" s="9" t="s">
        <v>148</v>
      </c>
      <c r="AV18" s="9" t="s">
        <v>174</v>
      </c>
      <c r="AW18" s="9" t="s">
        <v>175</v>
      </c>
      <c r="AX18" s="9" t="s">
        <v>50</v>
      </c>
      <c r="AY18" s="9" t="s">
        <v>411</v>
      </c>
      <c r="AZ18" s="9" t="s">
        <v>72</v>
      </c>
      <c r="BA18" s="9" t="s">
        <v>50</v>
      </c>
      <c r="BB18" s="9" t="s">
        <v>406</v>
      </c>
      <c r="BC18" s="9" t="s">
        <v>410</v>
      </c>
      <c r="BD18" s="9" t="s">
        <v>73</v>
      </c>
      <c r="BE18" s="9" t="s">
        <v>54</v>
      </c>
      <c r="BF18" s="9" t="s">
        <v>149</v>
      </c>
      <c r="BG18" s="9" t="s">
        <v>150</v>
      </c>
      <c r="BH18" s="9" t="s">
        <v>55</v>
      </c>
      <c r="BI18" s="9" t="s">
        <v>56</v>
      </c>
      <c r="BJ18" s="9" t="s">
        <v>57</v>
      </c>
      <c r="BK18" s="9" t="s">
        <v>58</v>
      </c>
      <c r="BL18" s="9" t="s">
        <v>59</v>
      </c>
      <c r="BO18" s="9" t="s">
        <v>163</v>
      </c>
      <c r="BP18" s="9" t="s">
        <v>8</v>
      </c>
      <c r="BR18" s="9" t="s">
        <v>164</v>
      </c>
      <c r="BS18" s="9" t="s">
        <v>165</v>
      </c>
      <c r="BT18" s="9" t="s">
        <v>166</v>
      </c>
      <c r="BV18" s="9" t="s">
        <v>170</v>
      </c>
      <c r="BW18" s="9" t="s">
        <v>171</v>
      </c>
      <c r="BX18" s="9" t="s">
        <v>172</v>
      </c>
    </row>
    <row r="19" spans="2:76">
      <c r="B19" s="9" t="s">
        <v>30</v>
      </c>
      <c r="C19" s="9" t="s">
        <v>32</v>
      </c>
      <c r="E19" s="9" t="s">
        <v>35</v>
      </c>
      <c r="H19" s="9" t="s">
        <v>1</v>
      </c>
      <c r="I19" s="9" t="s">
        <v>1</v>
      </c>
      <c r="J19" s="9"/>
      <c r="L19" s="9" t="s">
        <v>4</v>
      </c>
      <c r="M19" s="9" t="s">
        <v>4</v>
      </c>
      <c r="N19" s="9" t="s">
        <v>43</v>
      </c>
      <c r="P19" s="9" t="s">
        <v>43</v>
      </c>
      <c r="S19" s="9" t="s">
        <v>43</v>
      </c>
      <c r="T19" s="9"/>
      <c r="AC19" s="9" t="s">
        <v>303</v>
      </c>
      <c r="AD19" s="9" t="s">
        <v>303</v>
      </c>
      <c r="AE19" s="9" t="s">
        <v>303</v>
      </c>
      <c r="BI19" s="9" t="s">
        <v>35</v>
      </c>
      <c r="BJ19" s="9" t="s">
        <v>35</v>
      </c>
      <c r="BK19" s="9"/>
      <c r="BL19" s="9" t="s">
        <v>34</v>
      </c>
      <c r="BO19" s="9" t="s">
        <v>162</v>
      </c>
      <c r="BP19" s="9" t="s">
        <v>162</v>
      </c>
      <c r="BR19" s="9" t="s">
        <v>162</v>
      </c>
      <c r="BS19" s="9" t="s">
        <v>162</v>
      </c>
      <c r="BT19" s="9" t="s">
        <v>162</v>
      </c>
      <c r="BV19" s="9" t="s">
        <v>162</v>
      </c>
      <c r="BW19" s="9" t="s">
        <v>162</v>
      </c>
      <c r="BX19" s="9" t="s">
        <v>162</v>
      </c>
    </row>
    <row r="21" spans="2:76">
      <c r="B21" s="16">
        <f>'RC'!F21</f>
        <v>0.65969672852566186</v>
      </c>
      <c r="C21" s="74">
        <f>'Airfoil-RCmax'!E21</f>
        <v>1.5987591530356481E-5</v>
      </c>
      <c r="E21" s="19">
        <f ca="1">'RC'!H21</f>
        <v>129.6027712490764</v>
      </c>
      <c r="F21" s="63">
        <f>Weight!G21</f>
        <v>0.3</v>
      </c>
      <c r="H21" s="20">
        <f ca="1">IF(ISERROR(BE21),5,SQRT(E21/(0.5*B21*N21*BE21)))</f>
        <v>29.912886947178414</v>
      </c>
      <c r="I21" s="20">
        <f t="shared" ref="I21:I40" ca="1" si="0">SQRT(E21/(0.5*B21*N21*AG21))</f>
        <v>23.460111671375437</v>
      </c>
      <c r="J21" s="20">
        <f t="shared" ref="J21:J40" ca="1" si="1">H21/I21</f>
        <v>1.2750530503090594</v>
      </c>
      <c r="L21" s="31">
        <f>Main!B21</f>
        <v>0.33333333333333326</v>
      </c>
      <c r="M21" s="31">
        <f>Main!C21</f>
        <v>1.5</v>
      </c>
      <c r="N21" s="1">
        <f t="shared" ref="N21:N40" si="2">L21*M21</f>
        <v>0.49999999999999989</v>
      </c>
      <c r="O21" s="1">
        <f t="shared" ref="O21:O40" si="3">M21^2/N21</f>
        <v>4.5000000000000009</v>
      </c>
      <c r="P21" s="16">
        <f ca="1">'Aerodynamics-Constants'!AC21</f>
        <v>3.5563162306008866E-2</v>
      </c>
      <c r="Q21" s="16">
        <f>'Aerodynamics-Constants'!AD21</f>
        <v>2.2500000000000004</v>
      </c>
      <c r="R21" s="63">
        <f>Stability!G21</f>
        <v>5.6500000000000012</v>
      </c>
      <c r="S21" s="16">
        <f ca="1">'Aerodynamics-Constants'!AM21</f>
        <v>9.1507568586259112E-3</v>
      </c>
      <c r="T21" s="16">
        <f>'Aerodynamics-Constants'!AN21</f>
        <v>2.2500000000000004</v>
      </c>
      <c r="V21" s="81">
        <f t="shared" ref="V21:V40" ca="1" si="4">B21*H21*L21/C21</f>
        <v>411432.27905513806</v>
      </c>
      <c r="W21" s="63">
        <f ca="1">'Aerodynamics-Cruise'!W21</f>
        <v>0.9</v>
      </c>
      <c r="X21" s="42">
        <f ca="1">'Airfoil-RCmax'!V21</f>
        <v>6.8548600734317641E-3</v>
      </c>
      <c r="Y21" s="14">
        <f t="shared" ref="Y21:Y40" ca="1" si="5">W21/X21</f>
        <v>131.29370845777615</v>
      </c>
      <c r="Z21" s="16">
        <f ca="1">'Airfoil-RCmax'!AF21</f>
        <v>-0.15499999999999875</v>
      </c>
      <c r="AA21" s="31">
        <f>Main!I21</f>
        <v>1.2372503524946326</v>
      </c>
      <c r="AB21" s="12">
        <f t="shared" ref="AB21:AB40" si="6">1/AA21-1</f>
        <v>-0.19175614055495838</v>
      </c>
      <c r="AC21" s="30">
        <f t="shared" ref="AC21:AC40" ca="1" si="7">IF(ISERROR(AD21),1,AD21)</f>
        <v>2.9442285792068441</v>
      </c>
      <c r="AD21" s="13">
        <f t="shared" ref="AD21:AD40" ca="1" si="8">DEGREES(W21*COS(RADIANS(AC21))/(PI()*O21)*(1+AB21))</f>
        <v>2.9442285792068441</v>
      </c>
      <c r="AE21" s="13">
        <f ca="1">DEGREES(AF21/BP21)+'Airfoil-RCmax'!K21</f>
        <v>3.5331833295784989</v>
      </c>
      <c r="AF21" s="1">
        <f t="shared" ref="AF21:AF40" ca="1" si="9">W21*COS(RADIANS(AC21))</f>
        <v>0.89881200468089772</v>
      </c>
      <c r="AG21" s="16">
        <f ca="1">0.9*'Airfoil-RCmax'!I21</f>
        <v>1.4278079600608771</v>
      </c>
      <c r="AH21" s="42">
        <f ca="1">0.455/(LOG10(MIN(V21,'Aerodynamics-Constants'!L21)))^2.58</f>
        <v>5.3067549766413835E-3</v>
      </c>
      <c r="AI21" s="42">
        <f ca="1">+AH21*'Aerodynamics-Constants'!J21*'Aerodynamics-Constants'!M21</f>
        <v>0</v>
      </c>
      <c r="AJ21" s="10">
        <f ca="1">X21*COS(RADIANS(AC21))*'Aerodynamics-Constants'!M21+AI21</f>
        <v>6.845811693786944E-3</v>
      </c>
      <c r="AK21" s="10">
        <f ca="1">AF21^2/(PI()*'Aerodynamics-Constants'!I21*AA21)</f>
        <v>4.6186787473787037E-2</v>
      </c>
      <c r="AL21" s="10">
        <f t="shared" ref="AL21:AL40" ca="1" si="10">AJ21+AK21</f>
        <v>5.3032599167573982E-2</v>
      </c>
      <c r="AM21" s="1">
        <f t="shared" ref="AM21:AM40" ca="1" si="11">Z21</f>
        <v>-0.15499999999999875</v>
      </c>
      <c r="AN21" s="1">
        <f t="shared" ref="AN21:AN40" ca="1" si="12">N21/(P21*(R21-F21))*(AM21+AF21*(F21-$B$6))</f>
        <v>-0.28922976880583656</v>
      </c>
      <c r="AO21" s="12">
        <f>MAX(0,(1.78*(1-0.045*Q21^0.68)-0.64))*1</f>
        <v>1.000967405130992</v>
      </c>
      <c r="AP21" s="12">
        <f t="shared" ref="AP21:AP40" si="13">1/AO21-1</f>
        <v>-9.6647016279760578E-4</v>
      </c>
      <c r="AQ21" s="81">
        <f ca="1">B21*H21*'Aerodynamics-Constants'!AA21/C21</f>
        <v>155177.42573139278</v>
      </c>
      <c r="AR21" s="10">
        <f ca="1">0.455/(LOG10(MIN(AQ21,'Aerodynamics-Constants'!AG21)))^2.58</f>
        <v>6.4968187644365103E-3</v>
      </c>
      <c r="AS21" s="15">
        <f ca="1">AR21*'Aerodynamics-Constants'!AI21*'Aerodynamics-Constants'!AJ21*'Aerodynamics-Constants'!AE21/P21</f>
        <v>1.8071661326171027E-2</v>
      </c>
      <c r="AT21" s="10">
        <f t="shared" ref="AT21:AT40" ca="1" si="14">AN21^2/(PI()*Q21*AO21)</f>
        <v>1.1823162385004828E-2</v>
      </c>
      <c r="AU21" s="10">
        <f t="shared" ref="AU21:AU40" ca="1" si="15">AS21+AT21</f>
        <v>2.9894823711175855E-2</v>
      </c>
      <c r="AV21" s="12">
        <f t="shared" ref="AV21:AV40" si="16">MIN(1,MAX(0,(1.78*(1-0.045*T21^0.68)-0.64)))*0+0.9*0+(0.91+(0.85-0.91)/(20-10)*(T21-10))</f>
        <v>0.95650000000000013</v>
      </c>
      <c r="AW21" s="12">
        <f t="shared" ref="AW21:AW40" si="17">1/AV21-1</f>
        <v>4.5478306325143603E-2</v>
      </c>
      <c r="AX21" s="81">
        <f ca="1">B21*H21*'Aerodynamics-Constants'!AK21/C21</f>
        <v>78714.884962586933</v>
      </c>
      <c r="AY21" s="10">
        <f ca="1">0.455/(LOG10(MIN(AX21,'Aerodynamics-Constants'!AQ21)))^2.58</f>
        <v>7.5545316882728846E-3</v>
      </c>
      <c r="AZ21" s="15">
        <f ca="1">AY21*'Aerodynamics-Constants'!AS21*'Aerodynamics-Constants'!AT21*'Aerodynamics-Constants'!AO21/S21</f>
        <v>2.1013813544502605E-2</v>
      </c>
      <c r="BA21" s="81">
        <f ca="1">B21*H21*'Aerodynamics-Constants'!N21/C21</f>
        <v>3147456.9347718065</v>
      </c>
      <c r="BB21" s="10">
        <f ca="1">0.455/(LOG10(MIN(BA21,'Aerodynamics-Constants'!V21)))^2.58</f>
        <v>3.6395415775561323E-3</v>
      </c>
      <c r="BC21" s="10">
        <f ca="1">BB21*'Aerodynamics-Constants'!W21*'Aerodynamics-Constants'!X21*'Aerodynamics-Constants'!S21/N21+'Aerodynamics-Constants'!Z21</f>
        <v>3.4960284436362505E-3</v>
      </c>
      <c r="BD21" s="15">
        <f ca="1">BC21*'Aerodynamics-Constants'!AU21+(AJ21+AS21+AZ21)*('Aerodynamics-Constants'!AU21-1)</f>
        <v>8.4387599444459387E-3</v>
      </c>
      <c r="BE21" s="16">
        <f t="shared" ref="BE21:BE40" ca="1" si="18">AF21+P21/N21*AN21</f>
        <v>0.87824015425735491</v>
      </c>
      <c r="BF21" s="10">
        <f t="shared" ref="BF21:BF40" ca="1" si="19">AJ21+P21/N21*AS21+S21/N21*AZ21+BD21</f>
        <v>1.6954527084833058E-2</v>
      </c>
      <c r="BG21" s="10">
        <f t="shared" ref="BG21:BG40" ca="1" si="20">AK21+P21/N21*AT21</f>
        <v>4.7027725559523489E-2</v>
      </c>
      <c r="BH21" s="10">
        <f t="shared" ref="BH21:BH40" ca="1" si="21">AL21+P21/N21*AU21+S21/N21*AZ21+BD21</f>
        <v>6.3982252644356544E-2</v>
      </c>
      <c r="BI21" s="13">
        <f ca="1">0.5*B21*H21^2*N21*BE21</f>
        <v>129.60277124907643</v>
      </c>
      <c r="BJ21" s="13">
        <f ca="1">0.5*B21*H21^2*N21*BH21</f>
        <v>9.4419245274422181</v>
      </c>
      <c r="BK21" s="13">
        <f t="shared" ref="BK21:BK40" ca="1" si="22">BI21/BJ21</f>
        <v>13.726308749068695</v>
      </c>
      <c r="BL21" s="14">
        <f t="shared" ref="BL21:BL40" ca="1" si="23">BJ21*H21</f>
        <v>282.43522095317002</v>
      </c>
      <c r="BO21" s="16">
        <f ca="1">'Airfoil-RCmax'!J21</f>
        <v>4.7670310826758584</v>
      </c>
      <c r="BP21" s="1">
        <f ca="1">BO21/(1+BO21/(PI()*'Aerodynamics-Constants'!I21)*(1+AB21))</f>
        <v>3.7460797695240875</v>
      </c>
      <c r="BR21" s="12">
        <v>6</v>
      </c>
      <c r="BS21" s="1">
        <f t="shared" ref="BS21:BS40" si="24">BR21/(1+BR21/(PI()*Q21)*(1+AP21))</f>
        <v>3.2467427092400318</v>
      </c>
      <c r="BT21" s="1">
        <f>Stability!W21</f>
        <v>2.2957937864716098</v>
      </c>
      <c r="BV21" s="12">
        <v>6</v>
      </c>
      <c r="BW21" s="1">
        <f t="shared" ref="BW21:BW40" si="25">BV21/(1+BV21/(PI()*T21)*(1+AW21))</f>
        <v>3.1789266013735289</v>
      </c>
      <c r="BX21" s="1">
        <f>Stability!Y21</f>
        <v>2.2478405567255271</v>
      </c>
    </row>
    <row r="22" spans="2:76">
      <c r="B22" s="16">
        <f>'RC'!F22</f>
        <v>0.65969672852566186</v>
      </c>
      <c r="C22" s="74">
        <f>'Airfoil-RCmax'!E22</f>
        <v>1.5987591530356481E-5</v>
      </c>
      <c r="E22" s="19">
        <f ca="1">'RC'!H22</f>
        <v>131.99424477485522</v>
      </c>
      <c r="F22" s="63">
        <f>Weight!G22</f>
        <v>0.3</v>
      </c>
      <c r="H22" s="20">
        <f t="shared" ref="H22:H40" ca="1" si="26">IF(ISERROR(BE22),5,SQRT(E22/(0.5*B22*N22*BE22)))</f>
        <v>29.421519599165652</v>
      </c>
      <c r="I22" s="20">
        <f t="shared" ca="1" si="0"/>
        <v>23.078747160519566</v>
      </c>
      <c r="J22" s="20">
        <f t="shared" ca="1" si="1"/>
        <v>1.2748317486443357</v>
      </c>
      <c r="L22" s="31">
        <f>Main!B22</f>
        <v>0.33333333333333326</v>
      </c>
      <c r="M22" s="31">
        <f>Main!C22</f>
        <v>1.5789473684210527</v>
      </c>
      <c r="N22" s="1">
        <f t="shared" si="2"/>
        <v>0.52631578947368407</v>
      </c>
      <c r="O22" s="1">
        <f t="shared" si="3"/>
        <v>4.7368421052631593</v>
      </c>
      <c r="P22" s="16">
        <f ca="1">'Aerodynamics-Constants'!AC22</f>
        <v>3.6702909021930567E-2</v>
      </c>
      <c r="Q22" s="16">
        <f>'Aerodynamics-Constants'!AD22</f>
        <v>2.3684210526315796</v>
      </c>
      <c r="R22" s="63">
        <f>Stability!G22</f>
        <v>5.6500000000000012</v>
      </c>
      <c r="S22" s="16">
        <f ca="1">'Aerodynamics-Constants'!AM22</f>
        <v>9.7716352702972523E-3</v>
      </c>
      <c r="T22" s="16">
        <f>'Aerodynamics-Constants'!AN22</f>
        <v>2.3684210526315796</v>
      </c>
      <c r="V22" s="81">
        <f t="shared" ca="1" si="4"/>
        <v>404673.84118843661</v>
      </c>
      <c r="W22" s="63">
        <f ca="1">'Aerodynamics-Cruise'!W22</f>
        <v>0.9</v>
      </c>
      <c r="X22" s="42">
        <f ca="1">'Airfoil-RCmax'!V22</f>
        <v>6.9435491164787184E-3</v>
      </c>
      <c r="Y22" s="14">
        <f t="shared" ca="1" si="5"/>
        <v>129.61671112314633</v>
      </c>
      <c r="Z22" s="16">
        <f ca="1">'Airfoil-RCmax'!AF22</f>
        <v>-0.15499999999999875</v>
      </c>
      <c r="AA22" s="31">
        <f>Main!I22</f>
        <v>1.2293438844505524</v>
      </c>
      <c r="AB22" s="12">
        <f t="shared" si="6"/>
        <v>-0.1865579577459372</v>
      </c>
      <c r="AC22" s="30">
        <f t="shared" ca="1" si="7"/>
        <v>2.8153246389356452</v>
      </c>
      <c r="AD22" s="13">
        <f t="shared" ca="1" si="8"/>
        <v>2.8153246389356452</v>
      </c>
      <c r="AE22" s="13">
        <f ca="1">DEGREES(AF22/BP22)+'Airfoil-RCmax'!K22</f>
        <v>3.4579920551174244</v>
      </c>
      <c r="AF22" s="1">
        <f t="shared" ca="1" si="9"/>
        <v>0.89891373239271433</v>
      </c>
      <c r="AG22" s="16">
        <f ca="1">0.9*'Airfoil-RCmax'!I22</f>
        <v>1.4274792472156521</v>
      </c>
      <c r="AH22" s="42">
        <f ca="1">0.455/(LOG10(MIN(V22,'Aerodynamics-Constants'!L22)))^2.58</f>
        <v>5.3243372084149738E-3</v>
      </c>
      <c r="AI22" s="42">
        <f ca="1">+AH22*'Aerodynamics-Constants'!J22*'Aerodynamics-Constants'!M22</f>
        <v>0</v>
      </c>
      <c r="AJ22" s="10">
        <f ca="1">X22*COS(RADIANS(AC22))*'Aerodynamics-Constants'!M22+AI22</f>
        <v>6.9351685026066874E-3</v>
      </c>
      <c r="AK22" s="10">
        <f ca="1">AF22^2/(PI()*'Aerodynamics-Constants'!I22*AA22)</f>
        <v>4.4169640427092371E-2</v>
      </c>
      <c r="AL22" s="10">
        <f t="shared" ca="1" si="10"/>
        <v>5.1104808929699055E-2</v>
      </c>
      <c r="AM22" s="1">
        <f t="shared" ca="1" si="11"/>
        <v>-0.15499999999999875</v>
      </c>
      <c r="AN22" s="1">
        <f t="shared" ca="1" si="12"/>
        <v>-0.29498450130697684</v>
      </c>
      <c r="AO22" s="12">
        <f t="shared" ref="AO22:AO39" si="27">MAX(0,(1.78*(1-0.045*Q22^0.68)-0.64))*1</f>
        <v>0.9960324623343223</v>
      </c>
      <c r="AP22" s="12">
        <f t="shared" si="13"/>
        <v>3.9833417240029423E-3</v>
      </c>
      <c r="AQ22" s="81">
        <f ca="1">B22*H22*'Aerodynamics-Constants'!AA22/C22</f>
        <v>151128.77901896567</v>
      </c>
      <c r="AR22" s="10">
        <f ca="1">0.455/(LOG10(MIN(AQ22,'Aerodynamics-Constants'!AG22)))^2.58</f>
        <v>6.5340407328755967E-3</v>
      </c>
      <c r="AS22" s="15">
        <f ca="1">AR22*'Aerodynamics-Constants'!AI22*'Aerodynamics-Constants'!AJ22*'Aerodynamics-Constants'!AE22/P22</f>
        <v>1.8175198585237997E-2</v>
      </c>
      <c r="AT22" s="10">
        <f t="shared" ca="1" si="14"/>
        <v>1.1741298203752998E-2</v>
      </c>
      <c r="AU22" s="10">
        <f t="shared" ca="1" si="15"/>
        <v>2.9916496788990995E-2</v>
      </c>
      <c r="AV22" s="12">
        <f t="shared" si="16"/>
        <v>0.95578947368421063</v>
      </c>
      <c r="AW22" s="12">
        <f t="shared" si="17"/>
        <v>4.625550660792932E-2</v>
      </c>
      <c r="AX22" s="81">
        <f ca="1">B22*H22*'Aerodynamics-Constants'!AK22/C22</f>
        <v>77979.519406588806</v>
      </c>
      <c r="AY22" s="10">
        <f ca="1">0.455/(LOG10(MIN(AX22,'Aerodynamics-Constants'!AQ22)))^2.58</f>
        <v>7.5707832709367255E-3</v>
      </c>
      <c r="AZ22" s="15">
        <f ca="1">AY22*'Aerodynamics-Constants'!AS22*'Aerodynamics-Constants'!AT22*'Aerodynamics-Constants'!AO22/S22</f>
        <v>2.1059019222629701E-2</v>
      </c>
      <c r="BA22" s="81">
        <f ca="1">B22*H22*'Aerodynamics-Constants'!N22/C22</f>
        <v>3095754.8850915404</v>
      </c>
      <c r="BB22" s="10">
        <f ca="1">0.455/(LOG10(MIN(BA22,'Aerodynamics-Constants'!V22)))^2.58</f>
        <v>3.6499569418664431E-3</v>
      </c>
      <c r="BC22" s="10">
        <f ca="1">BB22*'Aerodynamics-Constants'!W22*'Aerodynamics-Constants'!X22*'Aerodynamics-Constants'!S22/N22+'Aerodynamics-Constants'!Z22</f>
        <v>3.3307230767171997E-3</v>
      </c>
      <c r="BD22" s="15">
        <f ca="1">BC22*'Aerodynamics-Constants'!AU22+(AJ22+AS22+AZ22)*('Aerodynamics-Constants'!AU22-1)</f>
        <v>8.2807340154363619E-3</v>
      </c>
      <c r="BE22" s="16">
        <f t="shared" ca="1" si="18"/>
        <v>0.87834283269545022</v>
      </c>
      <c r="BF22" s="10">
        <f t="shared" ca="1" si="19"/>
        <v>1.6874343576777182E-2</v>
      </c>
      <c r="BG22" s="10">
        <f t="shared" ca="1" si="20"/>
        <v>4.4988426046658606E-2</v>
      </c>
      <c r="BH22" s="10">
        <f t="shared" ca="1" si="21"/>
        <v>6.1862769623435787E-2</v>
      </c>
      <c r="BI22" s="13">
        <f t="shared" ref="BI22:BI40" ca="1" si="28">0.5*B22*H22^2*N22*BE22</f>
        <v>131.99424477485519</v>
      </c>
      <c r="BJ22" s="13">
        <f t="shared" ref="BJ22:BJ40" ca="1" si="29">0.5*B22*H22^2*N22*BH22</f>
        <v>9.2965175466485679</v>
      </c>
      <c r="BK22" s="13">
        <f t="shared" ca="1" si="22"/>
        <v>14.198246183318359</v>
      </c>
      <c r="BL22" s="14">
        <f t="shared" ca="1" si="23"/>
        <v>273.51767320270824</v>
      </c>
      <c r="BO22" s="16">
        <f ca="1">'Airfoil-RCmax'!J22</f>
        <v>4.7936617965003281</v>
      </c>
      <c r="BP22" s="1">
        <f ca="1">BO22/(1+BO22/(PI()*'Aerodynamics-Constants'!I22)*(1+AB22))</f>
        <v>3.798366246985649</v>
      </c>
      <c r="BR22" s="12">
        <v>6</v>
      </c>
      <c r="BS22" s="1">
        <f t="shared" si="24"/>
        <v>3.3156550852903828</v>
      </c>
      <c r="BT22" s="1">
        <f>Stability!W22</f>
        <v>2.3445221948844903</v>
      </c>
      <c r="BV22" s="12">
        <v>6</v>
      </c>
      <c r="BW22" s="1">
        <f t="shared" si="25"/>
        <v>3.2543523818462479</v>
      </c>
      <c r="BX22" s="1">
        <f>Stability!Y22</f>
        <v>2.3011746375740749</v>
      </c>
    </row>
    <row r="23" spans="2:76">
      <c r="B23" s="16">
        <f>'RC'!F23</f>
        <v>0.65969672852566186</v>
      </c>
      <c r="C23" s="74">
        <f>'Airfoil-RCmax'!E23</f>
        <v>1.5987591530356481E-5</v>
      </c>
      <c r="E23" s="19">
        <f ca="1">'RC'!H23</f>
        <v>134.24051129324812</v>
      </c>
      <c r="F23" s="63">
        <f>Weight!G23</f>
        <v>0.3</v>
      </c>
      <c r="H23" s="20">
        <f t="shared" ca="1" si="26"/>
        <v>28.954278467473443</v>
      </c>
      <c r="I23" s="20">
        <f t="shared" ca="1" si="0"/>
        <v>22.715913401688795</v>
      </c>
      <c r="J23" s="20">
        <f t="shared" ca="1" si="1"/>
        <v>1.2746253234668901</v>
      </c>
      <c r="L23" s="31">
        <f>Main!B23</f>
        <v>0.33333333333333326</v>
      </c>
      <c r="M23" s="31">
        <f>Main!C23</f>
        <v>1.6578947368421053</v>
      </c>
      <c r="N23" s="1">
        <f t="shared" si="2"/>
        <v>0.55263157894736836</v>
      </c>
      <c r="O23" s="1">
        <f t="shared" si="3"/>
        <v>4.9736842105263168</v>
      </c>
      <c r="P23" s="16">
        <f ca="1">'Aerodynamics-Constants'!AC23</f>
        <v>3.7836985495348238E-2</v>
      </c>
      <c r="Q23" s="16">
        <f>'Aerodynamics-Constants'!AD23</f>
        <v>2.4868421052631584</v>
      </c>
      <c r="R23" s="63">
        <f>Stability!G23</f>
        <v>5.6500000000000012</v>
      </c>
      <c r="S23" s="16">
        <f ca="1">'Aerodynamics-Constants'!AM23</f>
        <v>1.0423408148040733E-2</v>
      </c>
      <c r="T23" s="16">
        <f>'Aerodynamics-Constants'!AN23</f>
        <v>2.4868421052631584</v>
      </c>
      <c r="V23" s="81">
        <f t="shared" ca="1" si="4"/>
        <v>398247.24371491658</v>
      </c>
      <c r="W23" s="63">
        <f ca="1">'Aerodynamics-Cruise'!W23</f>
        <v>0.9</v>
      </c>
      <c r="X23" s="42">
        <f ca="1">'Airfoil-RCmax'!V23</f>
        <v>7.0303585865637676E-3</v>
      </c>
      <c r="Y23" s="14">
        <f t="shared" ca="1" si="5"/>
        <v>128.0162297439644</v>
      </c>
      <c r="Z23" s="16">
        <f ca="1">'Airfoil-RCmax'!AF23</f>
        <v>-0.15499999999999878</v>
      </c>
      <c r="AA23" s="31">
        <f>Main!I23</f>
        <v>1.2215629734834355</v>
      </c>
      <c r="AB23" s="12">
        <f t="shared" si="6"/>
        <v>-0.18137662837931445</v>
      </c>
      <c r="AC23" s="30">
        <f t="shared" ca="1" si="7"/>
        <v>2.6986049380059223</v>
      </c>
      <c r="AD23" s="13">
        <f t="shared" ca="1" si="8"/>
        <v>2.6986049380059223</v>
      </c>
      <c r="AE23" s="13">
        <f ca="1">DEGREES(AF23/BP23)+'Airfoil-RCmax'!K23</f>
        <v>3.392191967803857</v>
      </c>
      <c r="AF23" s="1">
        <f t="shared" ca="1" si="9"/>
        <v>0.89900191947038521</v>
      </c>
      <c r="AG23" s="16">
        <f ca="1">0.9*'Airfoil-RCmax'!I23</f>
        <v>1.4271616137554182</v>
      </c>
      <c r="AH23" s="42">
        <f ca="1">0.455/(LOG10(MIN(V23,'Aerodynamics-Constants'!L23)))^2.58</f>
        <v>5.3414075821616343E-3</v>
      </c>
      <c r="AI23" s="42">
        <f ca="1">+AH23*'Aerodynamics-Constants'!J23*'Aerodynamics-Constants'!M23</f>
        <v>0</v>
      </c>
      <c r="AJ23" s="10">
        <f ca="1">X23*COS(RADIANS(AC23))*'Aerodynamics-Constants'!M23+AI23</f>
        <v>7.0225620709843681E-3</v>
      </c>
      <c r="AK23" s="10">
        <f ca="1">AF23^2/(PI()*'Aerodynamics-Constants'!I23*AA23)</f>
        <v>4.2342578105698775E-2</v>
      </c>
      <c r="AL23" s="10">
        <f t="shared" ca="1" si="10"/>
        <v>4.9365140176683142E-2</v>
      </c>
      <c r="AM23" s="1">
        <f t="shared" ca="1" si="11"/>
        <v>-0.15499999999999878</v>
      </c>
      <c r="AN23" s="1">
        <f t="shared" ca="1" si="12"/>
        <v>-0.30043813386009655</v>
      </c>
      <c r="AO23" s="12">
        <f t="shared" si="27"/>
        <v>0.9911758879050544</v>
      </c>
      <c r="AP23" s="12">
        <f t="shared" si="13"/>
        <v>8.9026702552219561E-3</v>
      </c>
      <c r="AQ23" s="81">
        <f ca="1">B23*H23*'Aerodynamics-Constants'!AA23/C23</f>
        <v>147369.69738951378</v>
      </c>
      <c r="AR23" s="10">
        <f ca="1">0.455/(LOG10(MIN(AQ23,'Aerodynamics-Constants'!AG23)))^2.58</f>
        <v>6.569780152113909E-3</v>
      </c>
      <c r="AS23" s="15">
        <f ca="1">AR23*'Aerodynamics-Constants'!AI23*'Aerodynamics-Constants'!AJ23*'Aerodynamics-Constants'!AE23/P23</f>
        <v>1.827461196028923E-2</v>
      </c>
      <c r="AT23" s="10">
        <f t="shared" ca="1" si="14"/>
        <v>1.1656315619786372E-2</v>
      </c>
      <c r="AU23" s="10">
        <f t="shared" ca="1" si="15"/>
        <v>2.9930927580075602E-2</v>
      </c>
      <c r="AV23" s="12">
        <f t="shared" si="16"/>
        <v>0.95507894736842114</v>
      </c>
      <c r="AW23" s="12">
        <f t="shared" si="17"/>
        <v>4.7033863279420274E-2</v>
      </c>
      <c r="AX23" s="81">
        <f ca="1">B23*H23*'Aerodynamics-Constants'!AK23/C23</f>
        <v>77349.017099878314</v>
      </c>
      <c r="AY23" s="10">
        <f ca="1">0.455/(LOG10(MIN(AX23,'Aerodynamics-Constants'!AQ23)))^2.58</f>
        <v>7.5848790295549931E-3</v>
      </c>
      <c r="AZ23" s="15">
        <f ca="1">AY23*'Aerodynamics-Constants'!AS23*'Aerodynamics-Constants'!AT23*'Aerodynamics-Constants'!AO23/S23</f>
        <v>2.1098228224007299E-2</v>
      </c>
      <c r="BA23" s="81">
        <f ca="1">B23*H23*'Aerodynamics-Constants'!N23/C23</f>
        <v>3046591.4144191123</v>
      </c>
      <c r="BB23" s="10">
        <f ca="1">0.455/(LOG10(MIN(BA23,'Aerodynamics-Constants'!V23)))^2.58</f>
        <v>3.6600628770535847E-3</v>
      </c>
      <c r="BC23" s="10">
        <f ca="1">BB23*'Aerodynamics-Constants'!W23*'Aerodynamics-Constants'!X23*'Aerodynamics-Constants'!S23/N23+'Aerodynamics-Constants'!Z23</f>
        <v>3.1808923947873788E-3</v>
      </c>
      <c r="BD23" s="15">
        <f ca="1">BC23*'Aerodynamics-Constants'!AU23+(AJ23+AS23+AZ23)*('Aerodynamics-Constants'!AU23-1)</f>
        <v>8.1385218597942108E-3</v>
      </c>
      <c r="BE23" s="16">
        <f t="shared" ca="1" si="18"/>
        <v>0.87843184395141705</v>
      </c>
      <c r="BF23" s="10">
        <f t="shared" ca="1" si="19"/>
        <v>1.6810232669961865E-2</v>
      </c>
      <c r="BG23" s="10">
        <f t="shared" ca="1" si="20"/>
        <v>4.3140650206238404E-2</v>
      </c>
      <c r="BH23" s="10">
        <f t="shared" ca="1" si="21"/>
        <v>5.9950882876200269E-2</v>
      </c>
      <c r="BI23" s="13">
        <f t="shared" ca="1" si="28"/>
        <v>134.24051129324815</v>
      </c>
      <c r="BJ23" s="13">
        <f t="shared" ca="1" si="29"/>
        <v>9.1615954330406275</v>
      </c>
      <c r="BK23" s="13">
        <f t="shared" ca="1" si="22"/>
        <v>14.652525564392366</v>
      </c>
      <c r="BL23" s="14">
        <f t="shared" ca="1" si="23"/>
        <v>265.2673853745913</v>
      </c>
      <c r="BO23" s="16">
        <f ca="1">'Airfoil-RCmax'!J23</f>
        <v>4.819542111633532</v>
      </c>
      <c r="BP23" s="1">
        <f ca="1">BO23/(1+BO23/(PI()*'Aerodynamics-Constants'!I23)*(1+AB23))</f>
        <v>3.8479369988210261</v>
      </c>
      <c r="BR23" s="12">
        <v>6</v>
      </c>
      <c r="BS23" s="1">
        <f t="shared" si="24"/>
        <v>3.3806190262133535</v>
      </c>
      <c r="BT23" s="1">
        <f>Stability!W23</f>
        <v>2.3904586380437252</v>
      </c>
      <c r="BV23" s="12">
        <v>6</v>
      </c>
      <c r="BW23" s="1">
        <f t="shared" si="25"/>
        <v>3.3257449178841254</v>
      </c>
      <c r="BX23" s="1">
        <f>Stability!Y23</f>
        <v>2.3516567839325631</v>
      </c>
    </row>
    <row r="24" spans="2:76">
      <c r="B24" s="16">
        <f>'RC'!F24</f>
        <v>0.65969672852566186</v>
      </c>
      <c r="C24" s="74">
        <f>'Airfoil-RCmax'!E24</f>
        <v>1.5987591530356481E-5</v>
      </c>
      <c r="E24" s="19">
        <f ca="1">'RC'!H24</f>
        <v>126.40792205809124</v>
      </c>
      <c r="F24" s="63">
        <f>Weight!G24</f>
        <v>0.3</v>
      </c>
      <c r="H24" s="20">
        <f t="shared" ca="1" si="26"/>
        <v>27.44967418854808</v>
      </c>
      <c r="I24" s="20">
        <f t="shared" ca="1" si="0"/>
        <v>21.544426827351217</v>
      </c>
      <c r="J24" s="20">
        <f t="shared" ca="1" si="1"/>
        <v>1.2740962852490463</v>
      </c>
      <c r="L24" s="31">
        <f>Main!B24</f>
        <v>0.33333333333333326</v>
      </c>
      <c r="M24" s="31">
        <f>Main!C24</f>
        <v>1.736842105263158</v>
      </c>
      <c r="N24" s="1">
        <f t="shared" si="2"/>
        <v>0.57894736842105254</v>
      </c>
      <c r="O24" s="1">
        <f t="shared" si="3"/>
        <v>5.2105263157894752</v>
      </c>
      <c r="P24" s="16">
        <f ca="1">'Aerodynamics-Constants'!AC24</f>
        <v>3.9367122344217041E-2</v>
      </c>
      <c r="Q24" s="16">
        <f>'Aerodynamics-Constants'!AD24</f>
        <v>2.6052631578947376</v>
      </c>
      <c r="R24" s="63">
        <f>Stability!G24</f>
        <v>5.6500000000000012</v>
      </c>
      <c r="S24" s="16">
        <f ca="1">'Aerodynamics-Constants'!AM24</f>
        <v>1.1105416987830716E-2</v>
      </c>
      <c r="T24" s="16">
        <f>'Aerodynamics-Constants'!AN24</f>
        <v>2.6052631578947376</v>
      </c>
      <c r="V24" s="81">
        <f t="shared" ca="1" si="4"/>
        <v>377552.39173865929</v>
      </c>
      <c r="W24" s="63">
        <f ca="1">'Aerodynamics-Cruise'!W24</f>
        <v>0.9</v>
      </c>
      <c r="X24" s="42">
        <f ca="1">'Airfoil-RCmax'!V24</f>
        <v>7.3276520093846264E-3</v>
      </c>
      <c r="Y24" s="14">
        <f t="shared" ca="1" si="5"/>
        <v>122.82242645357032</v>
      </c>
      <c r="Z24" s="16">
        <f ca="1">'Airfoil-RCmax'!AF24</f>
        <v>-0.15499999999999881</v>
      </c>
      <c r="AA24" s="31">
        <f>Main!I24</f>
        <v>1.2138997812328405</v>
      </c>
      <c r="AB24" s="12">
        <f t="shared" si="6"/>
        <v>-0.17620876495718873</v>
      </c>
      <c r="AC24" s="30">
        <f t="shared" ca="1" si="7"/>
        <v>2.5924246355551017</v>
      </c>
      <c r="AD24" s="13">
        <f t="shared" ca="1" si="8"/>
        <v>2.5924246355551017</v>
      </c>
      <c r="AE24" s="13">
        <f ca="1">DEGREES(AF24/BP24)+'Airfoil-RCmax'!K24</f>
        <v>3.4471603791675971</v>
      </c>
      <c r="AF24" s="1">
        <f t="shared" ca="1" si="9"/>
        <v>0.89907890285619119</v>
      </c>
      <c r="AG24" s="16">
        <f ca="1">0.9*'Airfoil-RCmax'!I24</f>
        <v>1.4261032983164139</v>
      </c>
      <c r="AH24" s="42">
        <f ca="1">0.455/(LOG10(MIN(V24,'Aerodynamics-Constants'!L24)))^2.58</f>
        <v>5.3988630296151561E-3</v>
      </c>
      <c r="AI24" s="42">
        <f ca="1">+AH24*'Aerodynamics-Constants'!J24*'Aerodynamics-Constants'!M24</f>
        <v>0</v>
      </c>
      <c r="AJ24" s="10">
        <f ca="1">X24*COS(RADIANS(AC24))*'Aerodynamics-Constants'!M24+AI24</f>
        <v>7.3201525878994382E-3</v>
      </c>
      <c r="AK24" s="10">
        <f ca="1">AF24^2/(PI()*'Aerodynamics-Constants'!I24*AA24)</f>
        <v>4.0680034670617447E-2</v>
      </c>
      <c r="AL24" s="10">
        <f t="shared" ca="1" si="10"/>
        <v>4.8000187258516888E-2</v>
      </c>
      <c r="AM24" s="1">
        <f t="shared" ca="1" si="11"/>
        <v>-0.15499999999999881</v>
      </c>
      <c r="AN24" s="1">
        <f t="shared" ca="1" si="12"/>
        <v>-0.3025005091817875</v>
      </c>
      <c r="AO24" s="12">
        <f t="shared" si="27"/>
        <v>0.98639278941079256</v>
      </c>
      <c r="AP24" s="12">
        <f t="shared" si="13"/>
        <v>1.3794920984099512E-2</v>
      </c>
      <c r="AQ24" s="81">
        <f ca="1">B24*H24*'Aerodynamics-Constants'!AA24/C24</f>
        <v>139232.14583073187</v>
      </c>
      <c r="AR24" s="10">
        <f ca="1">0.455/(LOG10(MIN(AQ24,'Aerodynamics-Constants'!AG24)))^2.58</f>
        <v>6.6513784761143818E-3</v>
      </c>
      <c r="AS24" s="15">
        <f ca="1">AR24*'Aerodynamics-Constants'!AI24*'Aerodynamics-Constants'!AJ24*'Aerodynamics-Constants'!AE24/P24</f>
        <v>1.8501587243052502E-2</v>
      </c>
      <c r="AT24" s="10">
        <f t="shared" ca="1" si="14"/>
        <v>1.1334460686671516E-2</v>
      </c>
      <c r="AU24" s="10">
        <f t="shared" ca="1" si="15"/>
        <v>2.9836047929724017E-2</v>
      </c>
      <c r="AV24" s="12">
        <f t="shared" si="16"/>
        <v>0.95436842105263164</v>
      </c>
      <c r="AW24" s="12">
        <f t="shared" si="17"/>
        <v>4.7813378922406669E-2</v>
      </c>
      <c r="AX24" s="81">
        <f ca="1">B24*H24*'Aerodynamics-Constants'!AK24/C24</f>
        <v>73950.330042336587</v>
      </c>
      <c r="AY24" s="10">
        <f ca="1">0.455/(LOG10(MIN(AX24,'Aerodynamics-Constants'!AQ24)))^2.58</f>
        <v>7.6635599495004925E-3</v>
      </c>
      <c r="AZ24" s="15">
        <f ca="1">AY24*'Aerodynamics-Constants'!AS24*'Aerodynamics-Constants'!AT24*'Aerodynamics-Constants'!AO24/S24</f>
        <v>2.1317088406142909E-2</v>
      </c>
      <c r="BA24" s="81">
        <f ca="1">B24*H24*'Aerodynamics-Constants'!N24/C24</f>
        <v>2888275.7968007443</v>
      </c>
      <c r="BB24" s="10">
        <f ca="1">0.455/(LOG10(MIN(BA24,'Aerodynamics-Constants'!V24)))^2.58</f>
        <v>3.6940326585928815E-3</v>
      </c>
      <c r="BC24" s="10">
        <f ca="1">BB24*'Aerodynamics-Constants'!W24*'Aerodynamics-Constants'!X24*'Aerodynamics-Constants'!S24/N24+'Aerodynamics-Constants'!Z24</f>
        <v>3.0644622394133524E-3</v>
      </c>
      <c r="BD24" s="15">
        <f ca="1">BC24*'Aerodynamics-Constants'!AU24+(AJ24+AS24+AZ24)*('Aerodynamics-Constants'!AU24-1)</f>
        <v>8.0847912870641771E-3</v>
      </c>
      <c r="BE24" s="16">
        <f t="shared" ca="1" si="18"/>
        <v>0.87850954680811844</v>
      </c>
      <c r="BF24" s="10">
        <f t="shared" ca="1" si="19"/>
        <v>1.7071916482349646E-2</v>
      </c>
      <c r="BG24" s="10">
        <f t="shared" ca="1" si="20"/>
        <v>4.1450752571581123E-2</v>
      </c>
      <c r="BH24" s="10">
        <f t="shared" ca="1" si="21"/>
        <v>5.8522669053930769E-2</v>
      </c>
      <c r="BI24" s="13">
        <f t="shared" ca="1" si="28"/>
        <v>126.40792205809124</v>
      </c>
      <c r="BJ24" s="13">
        <f t="shared" ca="1" si="29"/>
        <v>8.4207724495184575</v>
      </c>
      <c r="BK24" s="13">
        <f t="shared" ca="1" si="22"/>
        <v>15.011440199327543</v>
      </c>
      <c r="BL24" s="14">
        <f t="shared" ca="1" si="23"/>
        <v>231.14746015518358</v>
      </c>
      <c r="BO24" s="16">
        <f ca="1">'Airfoil-RCmax'!J24</f>
        <v>4.9068271558908192</v>
      </c>
      <c r="BP24" s="1">
        <f ca="1">BO24/(1+BO24/(PI()*'Aerodynamics-Constants'!I24)*(1+AB24))</f>
        <v>3.9351037785960563</v>
      </c>
      <c r="BR24" s="12">
        <v>6</v>
      </c>
      <c r="BS24" s="1">
        <f t="shared" si="24"/>
        <v>3.4419654787715577</v>
      </c>
      <c r="BT24" s="1">
        <f>Stability!W24</f>
        <v>2.4338371306493705</v>
      </c>
      <c r="BV24" s="12">
        <v>6</v>
      </c>
      <c r="BW24" s="1">
        <f t="shared" si="25"/>
        <v>3.3934190644503546</v>
      </c>
      <c r="BX24" s="1">
        <f>Stability!Y24</f>
        <v>2.399509631880556</v>
      </c>
    </row>
    <row r="25" spans="2:76">
      <c r="B25" s="16">
        <f>'RC'!F25</f>
        <v>0.65969672852566186</v>
      </c>
      <c r="C25" s="74">
        <f>'Airfoil-RCmax'!E25</f>
        <v>1.5987591530356481E-5</v>
      </c>
      <c r="E25" s="19">
        <f ca="1">'RC'!H25</f>
        <v>128.23739388407131</v>
      </c>
      <c r="F25" s="63">
        <f>Weight!G25</f>
        <v>0.3</v>
      </c>
      <c r="H25" s="20">
        <f t="shared" ca="1" si="26"/>
        <v>27.038832775819852</v>
      </c>
      <c r="I25" s="20">
        <f t="shared" ca="1" si="0"/>
        <v>21.225018832745462</v>
      </c>
      <c r="J25" s="20">
        <f t="shared" ca="1" si="1"/>
        <v>1.2739132525105219</v>
      </c>
      <c r="L25" s="31">
        <f>Main!B25</f>
        <v>0.33333333333333326</v>
      </c>
      <c r="M25" s="31">
        <f>Main!C25</f>
        <v>1.8157894736842106</v>
      </c>
      <c r="N25" s="1">
        <f t="shared" si="2"/>
        <v>0.60526315789473673</v>
      </c>
      <c r="O25" s="1">
        <f t="shared" si="3"/>
        <v>5.4473684210526327</v>
      </c>
      <c r="P25" s="16">
        <f ca="1">'Aerodynamics-Constants'!AC25</f>
        <v>4.0508118560052687E-2</v>
      </c>
      <c r="Q25" s="16">
        <f>'Aerodynamics-Constants'!AD25</f>
        <v>2.7236842105263164</v>
      </c>
      <c r="R25" s="63">
        <f>Stability!G25</f>
        <v>5.6500000000000012</v>
      </c>
      <c r="S25" s="16">
        <f ca="1">'Aerodynamics-Constants'!AM25</f>
        <v>1.1817118078367429E-2</v>
      </c>
      <c r="T25" s="16">
        <f>'Aerodynamics-Constants'!AN25</f>
        <v>2.7236842105263164</v>
      </c>
      <c r="V25" s="81">
        <f t="shared" ca="1" si="4"/>
        <v>371901.53566891607</v>
      </c>
      <c r="W25" s="63">
        <f ca="1">'Aerodynamics-Cruise'!W25</f>
        <v>0.9</v>
      </c>
      <c r="X25" s="42">
        <f ca="1">'Airfoil-RCmax'!V25</f>
        <v>7.4139208002394581E-3</v>
      </c>
      <c r="Y25" s="14">
        <f t="shared" ca="1" si="5"/>
        <v>121.39325793322899</v>
      </c>
      <c r="Z25" s="16">
        <f ca="1">'Airfoil-RCmax'!AF25</f>
        <v>-0.15499999999999886</v>
      </c>
      <c r="AA25" s="31">
        <f>Main!I25</f>
        <v>1.2063472907833321</v>
      </c>
      <c r="AB25" s="12">
        <f t="shared" si="6"/>
        <v>-0.17105131528860329</v>
      </c>
      <c r="AC25" s="30">
        <f t="shared" ca="1" si="7"/>
        <v>2.4954227585215292</v>
      </c>
      <c r="AD25" s="13">
        <f t="shared" ca="1" si="8"/>
        <v>2.4954227585215292</v>
      </c>
      <c r="AE25" s="13">
        <f ca="1">DEGREES(AF25/BP25)+'Airfoil-RCmax'!K25</f>
        <v>3.3945957248856207</v>
      </c>
      <c r="AF25" s="1">
        <f t="shared" ca="1" si="9"/>
        <v>0.89914653275094825</v>
      </c>
      <c r="AG25" s="16">
        <f ca="1">0.9*'Airfoil-RCmax'!I25</f>
        <v>1.425804367798865</v>
      </c>
      <c r="AH25" s="42">
        <f ca="1">0.455/(LOG10(MIN(V25,'Aerodynamics-Constants'!L25)))^2.58</f>
        <v>5.4152549026023778E-3</v>
      </c>
      <c r="AI25" s="42">
        <f ca="1">+AH25*'Aerodynamics-Constants'!J25*'Aerodynamics-Constants'!M25</f>
        <v>0</v>
      </c>
      <c r="AJ25" s="10">
        <f ca="1">X25*COS(RADIANS(AC25))*'Aerodynamics-Constants'!M25+AI25</f>
        <v>7.4068902018060495E-3</v>
      </c>
      <c r="AK25" s="10">
        <f ca="1">AF25^2/(PI()*'Aerodynamics-Constants'!I25*AA25)</f>
        <v>3.9160837676710997E-2</v>
      </c>
      <c r="AL25" s="10">
        <f t="shared" ca="1" si="10"/>
        <v>4.6567727878517047E-2</v>
      </c>
      <c r="AM25" s="1">
        <f t="shared" ca="1" si="11"/>
        <v>-0.15499999999999886</v>
      </c>
      <c r="AN25" s="1">
        <f t="shared" ca="1" si="12"/>
        <v>-0.30733322801455421</v>
      </c>
      <c r="AO25" s="12">
        <f t="shared" si="27"/>
        <v>0.98167878713658807</v>
      </c>
      <c r="AP25" s="12">
        <f t="shared" si="13"/>
        <v>1.8663144302885737E-2</v>
      </c>
      <c r="AQ25" s="81">
        <f ca="1">B25*H25*'Aerodynamics-Constants'!AA25/C25</f>
        <v>136063.57762086909</v>
      </c>
      <c r="AR25" s="10">
        <f ca="1">0.455/(LOG10(MIN(AQ25,'Aerodynamics-Constants'!AG25)))^2.58</f>
        <v>6.6848489843378761E-3</v>
      </c>
      <c r="AS25" s="15">
        <f ca="1">AR25*'Aerodynamics-Constants'!AI25*'Aerodynamics-Constants'!AJ25*'Aerodynamics-Constants'!AE25/P25</f>
        <v>1.8594689376721499E-2</v>
      </c>
      <c r="AT25" s="10">
        <f t="shared" ca="1" si="14"/>
        <v>1.1244573889994868E-2</v>
      </c>
      <c r="AU25" s="10">
        <f t="shared" ca="1" si="15"/>
        <v>2.9839263266716369E-2</v>
      </c>
      <c r="AV25" s="12">
        <f t="shared" si="16"/>
        <v>0.95365789473684215</v>
      </c>
      <c r="AW25" s="12">
        <f t="shared" si="17"/>
        <v>4.859405612737655E-2</v>
      </c>
      <c r="AX25" s="81">
        <f ca="1">B25*H25*'Aerodynamics-Constants'!AK25/C25</f>
        <v>73489.727554540877</v>
      </c>
      <c r="AY25" s="10">
        <f ca="1">0.455/(LOG10(MIN(AX25,'Aerodynamics-Constants'!AQ25)))^2.58</f>
        <v>7.6745899550917348E-3</v>
      </c>
      <c r="AZ25" s="15">
        <f ca="1">AY25*'Aerodynamics-Constants'!AS25*'Aerodynamics-Constants'!AT25*'Aerodynamics-Constants'!AO25/S25</f>
        <v>2.134776965687471E-2</v>
      </c>
      <c r="BA25" s="81">
        <f ca="1">B25*H25*'Aerodynamics-Constants'!N25/C25</f>
        <v>2845046.7478672084</v>
      </c>
      <c r="BB25" s="10">
        <f ca="1">0.455/(LOG10(MIN(BA25,'Aerodynamics-Constants'!V25)))^2.58</f>
        <v>3.7037115447730476E-3</v>
      </c>
      <c r="BC25" s="10">
        <f ca="1">BB25*'Aerodynamics-Constants'!W25*'Aerodynamics-Constants'!X25*'Aerodynamics-Constants'!S25/N25+'Aerodynamics-Constants'!Z25</f>
        <v>2.9388983004447295E-3</v>
      </c>
      <c r="BD25" s="15">
        <f ca="1">BC25*'Aerodynamics-Constants'!AU25+(AJ25+AS25+AZ25)*('Aerodynamics-Constants'!AU25-1)</f>
        <v>7.9677230540294332E-3</v>
      </c>
      <c r="BE25" s="16">
        <f t="shared" ca="1" si="18"/>
        <v>0.87857780875796665</v>
      </c>
      <c r="BF25" s="10">
        <f t="shared" ca="1" si="19"/>
        <v>1.7035882380660582E-2</v>
      </c>
      <c r="BG25" s="10">
        <f t="shared" ca="1" si="20"/>
        <v>3.9913397164847562E-2</v>
      </c>
      <c r="BH25" s="10">
        <f t="shared" ca="1" si="21"/>
        <v>5.6949279545508144E-2</v>
      </c>
      <c r="BI25" s="13">
        <f t="shared" ca="1" si="28"/>
        <v>128.23739388407131</v>
      </c>
      <c r="BJ25" s="13">
        <f t="shared" ca="1" si="29"/>
        <v>8.3123283102444869</v>
      </c>
      <c r="BK25" s="13">
        <f t="shared" ca="1" si="22"/>
        <v>15.427373546594133</v>
      </c>
      <c r="BL25" s="14">
        <f t="shared" ca="1" si="23"/>
        <v>224.75565515841387</v>
      </c>
      <c r="BO25" s="16">
        <f ca="1">'Airfoil-RCmax'!J25</f>
        <v>4.9317785666768117</v>
      </c>
      <c r="BP25" s="1">
        <f ca="1">BO25/(1+BO25/(PI()*'Aerodynamics-Constants'!I25)*(1+AB25))</f>
        <v>3.9808102089981716</v>
      </c>
      <c r="BR25" s="12">
        <v>6</v>
      </c>
      <c r="BS25" s="1">
        <f t="shared" si="24"/>
        <v>3.4999890744031426</v>
      </c>
      <c r="BT25" s="1">
        <f>Stability!W25</f>
        <v>2.4748660085892902</v>
      </c>
      <c r="BV25" s="12">
        <v>6</v>
      </c>
      <c r="BW25" s="1">
        <f t="shared" si="25"/>
        <v>3.4576577348594704</v>
      </c>
      <c r="BX25" s="1">
        <f>Stability!Y25</f>
        <v>2.4449332313412491</v>
      </c>
    </row>
    <row r="26" spans="2:76">
      <c r="B26" s="16">
        <f>'RC'!F26</f>
        <v>0.65969672852566186</v>
      </c>
      <c r="C26" s="74">
        <f>'Airfoil-RCmax'!E26</f>
        <v>1.5987591530356481E-5</v>
      </c>
      <c r="E26" s="19">
        <f ca="1">'RC'!H26</f>
        <v>129.96953292078499</v>
      </c>
      <c r="F26" s="63">
        <f>Weight!G26</f>
        <v>0.3</v>
      </c>
      <c r="H26" s="20">
        <f t="shared" ca="1" si="26"/>
        <v>26.646781908845327</v>
      </c>
      <c r="I26" s="20">
        <f t="shared" ca="1" si="0"/>
        <v>20.920107320760781</v>
      </c>
      <c r="J26" s="20">
        <f t="shared" ca="1" si="1"/>
        <v>1.2737402108067335</v>
      </c>
      <c r="L26" s="31">
        <f>Main!B26</f>
        <v>0.33333333333333326</v>
      </c>
      <c r="M26" s="31">
        <f>Main!C26</f>
        <v>1.8947368421052633</v>
      </c>
      <c r="N26" s="1">
        <f t="shared" si="2"/>
        <v>0.63157894736842091</v>
      </c>
      <c r="O26" s="1">
        <f t="shared" si="3"/>
        <v>5.6842105263157912</v>
      </c>
      <c r="P26" s="16">
        <f ca="1">'Aerodynamics-Constants'!AC26</f>
        <v>4.1646113608309603E-2</v>
      </c>
      <c r="Q26" s="16">
        <f>'Aerodynamics-Constants'!AD26</f>
        <v>2.8421052631578956</v>
      </c>
      <c r="R26" s="63">
        <f>Stability!G26</f>
        <v>5.6500000000000012</v>
      </c>
      <c r="S26" s="16">
        <f ca="1">'Aerodynamics-Constants'!AM26</f>
        <v>1.2558058561189744E-2</v>
      </c>
      <c r="T26" s="16">
        <f>'Aerodynamics-Constants'!AN26</f>
        <v>2.8421052631578956</v>
      </c>
      <c r="V26" s="81">
        <f t="shared" ca="1" si="4"/>
        <v>366509.13131858682</v>
      </c>
      <c r="W26" s="63">
        <f ca="1">'Aerodynamics-Cruise'!W26</f>
        <v>0.9</v>
      </c>
      <c r="X26" s="42">
        <f ca="1">'Airfoil-RCmax'!V26</f>
        <v>7.4984431111499083E-3</v>
      </c>
      <c r="Y26" s="14">
        <f t="shared" ca="1" si="5"/>
        <v>120.02491539366795</v>
      </c>
      <c r="Z26" s="16">
        <f ca="1">'Airfoil-RCmax'!AF26</f>
        <v>-0.15499999999999886</v>
      </c>
      <c r="AA26" s="31">
        <f>Main!I26</f>
        <v>1.1988991887661258</v>
      </c>
      <c r="AB26" s="12">
        <f t="shared" si="6"/>
        <v>-0.16590151251234675</v>
      </c>
      <c r="AC26" s="30">
        <f t="shared" ca="1" si="7"/>
        <v>2.4064634778408105</v>
      </c>
      <c r="AD26" s="13">
        <f t="shared" ca="1" si="8"/>
        <v>2.4064634778408105</v>
      </c>
      <c r="AE26" s="13">
        <f ca="1">DEGREES(AF26/BP26)+'Airfoil-RCmax'!K26</f>
        <v>3.3479318593069021</v>
      </c>
      <c r="AF26" s="1">
        <f t="shared" ca="1" si="9"/>
        <v>0.89920628981295814</v>
      </c>
      <c r="AG26" s="16">
        <f ca="1">0.9*'Airfoil-RCmax'!I26</f>
        <v>1.4255149032946268</v>
      </c>
      <c r="AH26" s="42">
        <f ca="1">0.455/(LOG10(MIN(V26,'Aerodynamics-Constants'!L26)))^2.58</f>
        <v>5.4311968887991056E-3</v>
      </c>
      <c r="AI26" s="42">
        <f ca="1">+AH26*'Aerodynamics-Constants'!J26*'Aerodynamics-Constants'!M26</f>
        <v>0</v>
      </c>
      <c r="AJ26" s="10">
        <f ca="1">X26*COS(RADIANS(AC26))*'Aerodynamics-Constants'!M26+AI26</f>
        <v>7.4918302326118262E-3</v>
      </c>
      <c r="AK26" s="10">
        <f ca="1">AF26^2/(PI()*'Aerodynamics-Constants'!I26*AA26)</f>
        <v>3.7767303523386725E-2</v>
      </c>
      <c r="AL26" s="10">
        <f t="shared" ca="1" si="10"/>
        <v>4.5259133755998548E-2</v>
      </c>
      <c r="AM26" s="1">
        <f t="shared" ca="1" si="11"/>
        <v>-0.15499999999999886</v>
      </c>
      <c r="AN26" s="1">
        <f t="shared" ca="1" si="12"/>
        <v>-0.31192395160626263</v>
      </c>
      <c r="AO26" s="12">
        <f t="shared" si="27"/>
        <v>0.97702994049688086</v>
      </c>
      <c r="AP26" s="12">
        <f t="shared" si="13"/>
        <v>2.3510087614548869E-2</v>
      </c>
      <c r="AQ26" s="81">
        <f ca="1">B26*H26*'Aerodynamics-Constants'!AA26/C26</f>
        <v>133098.51631298254</v>
      </c>
      <c r="AR26" s="10">
        <f ca="1">0.455/(LOG10(MIN(AQ26,'Aerodynamics-Constants'!AG26)))^2.58</f>
        <v>6.7171026882755077E-3</v>
      </c>
      <c r="AS26" s="15">
        <f ca="1">AR26*'Aerodynamics-Constants'!AI26*'Aerodynamics-Constants'!AJ26*'Aerodynamics-Constants'!AE26/P26</f>
        <v>1.8684406826939774E-2</v>
      </c>
      <c r="AT26" s="10">
        <f t="shared" ca="1" si="14"/>
        <v>1.1153201383974706E-2</v>
      </c>
      <c r="AU26" s="10">
        <f t="shared" ca="1" si="15"/>
        <v>2.9837608210914482E-2</v>
      </c>
      <c r="AV26" s="12">
        <f t="shared" si="16"/>
        <v>0.95294736842105265</v>
      </c>
      <c r="AW26" s="12">
        <f t="shared" si="17"/>
        <v>4.9375897492543785E-2</v>
      </c>
      <c r="AX26" s="81">
        <f ca="1">B26*H26*'Aerodynamics-Constants'!AK26/C26</f>
        <v>73088.193302769112</v>
      </c>
      <c r="AY26" s="10">
        <f ca="1">0.455/(LOG10(MIN(AX26,'Aerodynamics-Constants'!AQ26)))^2.58</f>
        <v>7.6842801434908797E-3</v>
      </c>
      <c r="AZ26" s="15">
        <f ca="1">AY26*'Aerodynamics-Constants'!AS26*'Aerodynamics-Constants'!AT26*'Aerodynamics-Constants'!AO26/S26</f>
        <v>2.1374724049368264E-2</v>
      </c>
      <c r="BA26" s="81">
        <f ca="1">B26*H26*'Aerodynamics-Constants'!N26/C26</f>
        <v>2803794.8545871894</v>
      </c>
      <c r="BB26" s="10">
        <f ca="1">0.455/(LOG10(MIN(BA26,'Aerodynamics-Constants'!V26)))^2.58</f>
        <v>3.7131194493096116E-3</v>
      </c>
      <c r="BC26" s="10">
        <f ca="1">BB26*'Aerodynamics-Constants'!W26*'Aerodynamics-Constants'!X26*'Aerodynamics-Constants'!S26/N26+'Aerodynamics-Constants'!Z26</f>
        <v>2.8235921367826193E-3</v>
      </c>
      <c r="BD26" s="15">
        <f ca="1">BC26*'Aerodynamics-Constants'!AU26+(AJ26+AS26+AZ26)*('Aerodynamics-Constants'!AU26-1)</f>
        <v>7.8610474613528721E-3</v>
      </c>
      <c r="BE26" s="16">
        <f t="shared" ca="1" si="18"/>
        <v>0.87863812429719157</v>
      </c>
      <c r="BF26" s="10">
        <f t="shared" ca="1" si="19"/>
        <v>1.7009927806417788E-2</v>
      </c>
      <c r="BG26" s="10">
        <f t="shared" ca="1" si="20"/>
        <v>3.8502742052281221E-2</v>
      </c>
      <c r="BH26" s="10">
        <f t="shared" ca="1" si="21"/>
        <v>5.5512669858699001E-2</v>
      </c>
      <c r="BI26" s="13">
        <f t="shared" ca="1" si="28"/>
        <v>129.96953292078496</v>
      </c>
      <c r="BJ26" s="13">
        <f t="shared" ca="1" si="29"/>
        <v>8.2115214138835295</v>
      </c>
      <c r="BK26" s="13">
        <f t="shared" ca="1" si="22"/>
        <v>15.827704315675359</v>
      </c>
      <c r="BL26" s="14">
        <f t="shared" ca="1" si="23"/>
        <v>218.81062025556764</v>
      </c>
      <c r="BO26" s="16">
        <f ca="1">'Airfoil-RCmax'!J26</f>
        <v>4.9560657919840949</v>
      </c>
      <c r="BP26" s="1">
        <f ca="1">BO26/(1+BO26/(PI()*'Aerodynamics-Constants'!I26)*(1+AB26))</f>
        <v>4.0244429212776138</v>
      </c>
      <c r="BR26" s="12">
        <v>6</v>
      </c>
      <c r="BS26" s="1">
        <f t="shared" si="24"/>
        <v>3.5549530075966391</v>
      </c>
      <c r="BT26" s="1">
        <f>Stability!W26</f>
        <v>2.5137313784710957</v>
      </c>
      <c r="BV26" s="12">
        <v>6</v>
      </c>
      <c r="BW26" s="1">
        <f t="shared" si="25"/>
        <v>3.5187158511365184</v>
      </c>
      <c r="BX26" s="1">
        <f>Stability!Y26</f>
        <v>2.4881078394072267</v>
      </c>
    </row>
    <row r="27" spans="2:76">
      <c r="B27" s="16">
        <f>'RC'!F27</f>
        <v>0.65969672852566186</v>
      </c>
      <c r="C27" s="74">
        <f>'Airfoil-RCmax'!E27</f>
        <v>1.5987591530356481E-5</v>
      </c>
      <c r="E27" s="19">
        <f ca="1">'RC'!H27</f>
        <v>131.61371211454065</v>
      </c>
      <c r="F27" s="63">
        <f>Weight!G27</f>
        <v>0.3</v>
      </c>
      <c r="H27" s="20">
        <f t="shared" ca="1" si="26"/>
        <v>26.272229755675468</v>
      </c>
      <c r="I27" s="20">
        <f t="shared" ca="1" si="0"/>
        <v>20.628708852163498</v>
      </c>
      <c r="J27" s="20">
        <f t="shared" ca="1" si="1"/>
        <v>1.2735760606229163</v>
      </c>
      <c r="L27" s="31">
        <f>Main!B27</f>
        <v>0.33333333333333326</v>
      </c>
      <c r="M27" s="31">
        <f>Main!C27</f>
        <v>1.9736842105263159</v>
      </c>
      <c r="N27" s="1">
        <f t="shared" si="2"/>
        <v>0.6578947368421052</v>
      </c>
      <c r="O27" s="1">
        <f t="shared" si="3"/>
        <v>5.9210526315789487</v>
      </c>
      <c r="P27" s="16">
        <f ca="1">'Aerodynamics-Constants'!AC27</f>
        <v>4.2781781196446295E-2</v>
      </c>
      <c r="Q27" s="16">
        <f>'Aerodynamics-Constants'!AD27</f>
        <v>2.9605263157894743</v>
      </c>
      <c r="R27" s="63">
        <f>Stability!G27</f>
        <v>5.6500000000000012</v>
      </c>
      <c r="S27" s="16">
        <f ca="1">'Aerodynamics-Constants'!AM27</f>
        <v>1.3327858239092206E-2</v>
      </c>
      <c r="T27" s="16">
        <f>'Aerodynamics-Constants'!AN27</f>
        <v>2.9605263157894743</v>
      </c>
      <c r="V27" s="81">
        <f t="shared" ca="1" si="4"/>
        <v>361357.410380524</v>
      </c>
      <c r="W27" s="63">
        <f ca="1">'Aerodynamics-Cruise'!W27</f>
        <v>0.9</v>
      </c>
      <c r="X27" s="42">
        <f ca="1">'Airfoil-RCmax'!V27</f>
        <v>7.5812819861602546E-3</v>
      </c>
      <c r="Y27" s="14">
        <f t="shared" ca="1" si="5"/>
        <v>118.71343153347463</v>
      </c>
      <c r="Z27" s="16">
        <f ca="1">'Airfoil-RCmax'!AF27</f>
        <v>-0.15499999999999886</v>
      </c>
      <c r="AA27" s="31">
        <f>Main!I27</f>
        <v>1.1915497685716252</v>
      </c>
      <c r="AB27" s="12">
        <f t="shared" si="6"/>
        <v>-0.16075683418683062</v>
      </c>
      <c r="AC27" s="30">
        <f t="shared" ca="1" si="7"/>
        <v>2.3245913831253802</v>
      </c>
      <c r="AD27" s="13">
        <f t="shared" ca="1" si="8"/>
        <v>2.3245913831253802</v>
      </c>
      <c r="AE27" s="13">
        <f ca="1">DEGREES(AF27/BP27)+'Airfoil-RCmax'!K27</f>
        <v>3.3063691683476293</v>
      </c>
      <c r="AF27" s="1">
        <f t="shared" ca="1" si="9"/>
        <v>0.89925937064373429</v>
      </c>
      <c r="AG27" s="16">
        <f ca="1">0.9*'Airfoil-RCmax'!I27</f>
        <v>1.4252344089486764</v>
      </c>
      <c r="AH27" s="42">
        <f ca="1">0.455/(LOG10(MIN(V27,'Aerodynamics-Constants'!L27)))^2.58</f>
        <v>5.446710153078323E-3</v>
      </c>
      <c r="AI27" s="42">
        <f ca="1">+AH27*'Aerodynamics-Constants'!J27*'Aerodynamics-Constants'!M27</f>
        <v>0</v>
      </c>
      <c r="AJ27" s="10">
        <f ca="1">X27*COS(RADIANS(AC27))*'Aerodynamics-Constants'!M27+AI27</f>
        <v>7.5750431861635005E-3</v>
      </c>
      <c r="AK27" s="10">
        <f ca="1">AF27^2/(PI()*'Aerodynamics-Constants'!I27*AA27)</f>
        <v>3.6484547412709074E-2</v>
      </c>
      <c r="AL27" s="10">
        <f t="shared" ca="1" si="10"/>
        <v>4.4059590598872572E-2</v>
      </c>
      <c r="AM27" s="1">
        <f t="shared" ca="1" si="11"/>
        <v>-0.15499999999999886</v>
      </c>
      <c r="AN27" s="1">
        <f t="shared" ca="1" si="12"/>
        <v>-0.31628794058621723</v>
      </c>
      <c r="AO27" s="12">
        <f t="shared" si="27"/>
        <v>0.972442687624126</v>
      </c>
      <c r="AP27" s="12">
        <f t="shared" si="13"/>
        <v>2.8338238054113063E-2</v>
      </c>
      <c r="AQ27" s="81">
        <f ca="1">B27*H27*'Aerodynamics-Constants'!AA27/C27</f>
        <v>130317.63450726451</v>
      </c>
      <c r="AR27" s="10">
        <f ca="1">0.455/(LOG10(MIN(AQ27,'Aerodynamics-Constants'!AG27)))^2.58</f>
        <v>6.7482156404959246E-3</v>
      </c>
      <c r="AS27" s="15">
        <f ca="1">AR27*'Aerodynamics-Constants'!AI27*'Aerodynamics-Constants'!AJ27*'Aerodynamics-Constants'!AE27/P27</f>
        <v>1.877095114282288E-2</v>
      </c>
      <c r="AT27" s="10">
        <f t="shared" ca="1" si="14"/>
        <v>1.106069593450958E-2</v>
      </c>
      <c r="AU27" s="10">
        <f t="shared" ca="1" si="15"/>
        <v>2.9831647077332459E-2</v>
      </c>
      <c r="AV27" s="12">
        <f t="shared" si="16"/>
        <v>0.95223684210526327</v>
      </c>
      <c r="AW27" s="12">
        <f t="shared" si="17"/>
        <v>5.0158905623877148E-2</v>
      </c>
      <c r="AX27" s="81">
        <f ca="1">B27*H27*'Aerodynamics-Constants'!AK27/C27</f>
        <v>72736.757918629693</v>
      </c>
      <c r="AY27" s="10">
        <f ca="1">0.455/(LOG10(MIN(AX27,'Aerodynamics-Constants'!AQ27)))^2.58</f>
        <v>7.692819131909911E-3</v>
      </c>
      <c r="AZ27" s="15">
        <f ca="1">AY27*'Aerodynamics-Constants'!AS27*'Aerodynamics-Constants'!AT27*'Aerodynamics-Constants'!AO27/S27</f>
        <v>2.1398476244461274E-2</v>
      </c>
      <c r="BA27" s="81">
        <f ca="1">B27*H27*'Aerodynamics-Constants'!N27/C27</f>
        <v>2764384.1894110087</v>
      </c>
      <c r="BB27" s="10">
        <f ca="1">0.455/(LOG10(MIN(BA27,'Aerodynamics-Constants'!V27)))^2.58</f>
        <v>3.722269310318221E-3</v>
      </c>
      <c r="BC27" s="10">
        <f ca="1">BB27*'Aerodynamics-Constants'!W27*'Aerodynamics-Constants'!X27*'Aerodynamics-Constants'!S27/N27+'Aerodynamics-Constants'!Z27</f>
        <v>2.7173222522995973E-3</v>
      </c>
      <c r="BD27" s="15">
        <f ca="1">BC27*'Aerodynamics-Constants'!AU27+(AJ27+AS27+AZ27)*('Aerodynamics-Constants'!AU27-1)</f>
        <v>7.763501534874327E-3</v>
      </c>
      <c r="BE27" s="16">
        <f t="shared" ca="1" si="18"/>
        <v>0.87869170121049833</v>
      </c>
      <c r="BF27" s="10">
        <f t="shared" ca="1" si="19"/>
        <v>1.6992685606529324E-2</v>
      </c>
      <c r="BG27" s="10">
        <f t="shared" ca="1" si="20"/>
        <v>3.7203805748202007E-2</v>
      </c>
      <c r="BH27" s="10">
        <f t="shared" ca="1" si="21"/>
        <v>5.4196491354731327E-2</v>
      </c>
      <c r="BI27" s="13">
        <f t="shared" ca="1" si="28"/>
        <v>131.61371211454065</v>
      </c>
      <c r="BJ27" s="13">
        <f t="shared" ca="1" si="29"/>
        <v>8.117752109133697</v>
      </c>
      <c r="BK27" s="13">
        <f t="shared" ca="1" si="22"/>
        <v>16.21307356336434</v>
      </c>
      <c r="BL27" s="14">
        <f t="shared" ca="1" si="23"/>
        <v>213.27144851077961</v>
      </c>
      <c r="BO27" s="16">
        <f ca="1">'Airfoil-RCmax'!J27</f>
        <v>4.979719222451954</v>
      </c>
      <c r="BP27" s="1">
        <f ca="1">BO27/(1+BO27/(PI()*'Aerodynamics-Constants'!I27)*(1+AB27))</f>
        <v>4.066174371705034</v>
      </c>
      <c r="BR27" s="12">
        <v>6</v>
      </c>
      <c r="BS27" s="1">
        <f t="shared" si="24"/>
        <v>3.6070931443035468</v>
      </c>
      <c r="BT27" s="1">
        <f>Stability!W27</f>
        <v>2.5506000227085441</v>
      </c>
      <c r="BV27" s="12">
        <v>6</v>
      </c>
      <c r="BW27" s="1">
        <f t="shared" si="25"/>
        <v>3.5768237222582537</v>
      </c>
      <c r="BX27" s="1">
        <f>Stability!Y27</f>
        <v>2.5291963091177196</v>
      </c>
    </row>
    <row r="28" spans="2:76">
      <c r="B28" s="16">
        <f>'RC'!F28</f>
        <v>0.65969672852566186</v>
      </c>
      <c r="C28" s="74">
        <f>'Airfoil-RCmax'!E28</f>
        <v>1.5987591530356481E-5</v>
      </c>
      <c r="E28" s="19">
        <f ca="1">'RC'!H28</f>
        <v>132.52501256898603</v>
      </c>
      <c r="F28" s="63">
        <f>Weight!G28</f>
        <v>0.3</v>
      </c>
      <c r="H28" s="20">
        <f t="shared" ca="1" si="26"/>
        <v>25.850372382768445</v>
      </c>
      <c r="I28" s="20">
        <f t="shared" ca="1" si="0"/>
        <v>20.300306672848205</v>
      </c>
      <c r="J28" s="20">
        <f t="shared" ca="1" si="1"/>
        <v>1.2733981214847108</v>
      </c>
      <c r="L28" s="31">
        <f>Main!B28</f>
        <v>0.33333333333333326</v>
      </c>
      <c r="M28" s="31">
        <f>Main!C28</f>
        <v>2.0526315789473686</v>
      </c>
      <c r="N28" s="1">
        <f t="shared" si="2"/>
        <v>0.68421052631578938</v>
      </c>
      <c r="O28" s="1">
        <f t="shared" si="3"/>
        <v>6.1578947368421071</v>
      </c>
      <c r="P28" s="16">
        <f ca="1">'Aerodynamics-Constants'!AC28</f>
        <v>4.394550651802915E-2</v>
      </c>
      <c r="Q28" s="16">
        <f>'Aerodynamics-Constants'!AD28</f>
        <v>3.0789473684210535</v>
      </c>
      <c r="R28" s="63">
        <f>Stability!G28</f>
        <v>5.6500000000000012</v>
      </c>
      <c r="S28" s="16">
        <f ca="1">'Aerodynamics-Constants'!AM28</f>
        <v>1.4126195587998653E-2</v>
      </c>
      <c r="T28" s="16">
        <f>'Aerodynamics-Constants'!AN28</f>
        <v>3.0789473684210535</v>
      </c>
      <c r="V28" s="81">
        <f t="shared" ca="1" si="4"/>
        <v>355555.03695271548</v>
      </c>
      <c r="W28" s="63">
        <f ca="1">'Aerodynamics-Cruise'!W28</f>
        <v>0.9</v>
      </c>
      <c r="X28" s="42">
        <f ca="1">'Airfoil-RCmax'!V28</f>
        <v>7.677131522487916E-3</v>
      </c>
      <c r="Y28" s="14">
        <f t="shared" ca="1" si="5"/>
        <v>117.2312858472872</v>
      </c>
      <c r="Z28" s="16">
        <f ca="1">'Airfoil-RCmax'!AF28</f>
        <v>-0.15499999999999889</v>
      </c>
      <c r="AA28" s="31">
        <f>Main!I28</f>
        <v>1.1842938502019895</v>
      </c>
      <c r="AB28" s="12">
        <f t="shared" si="6"/>
        <v>-0.15561496850680845</v>
      </c>
      <c r="AC28" s="30">
        <f t="shared" ca="1" si="7"/>
        <v>2.2489970121968086</v>
      </c>
      <c r="AD28" s="13">
        <f t="shared" ca="1" si="8"/>
        <v>2.2489970121968086</v>
      </c>
      <c r="AE28" s="13">
        <f ca="1">DEGREES(AF28/BP28)+'Airfoil-RCmax'!K28</f>
        <v>3.2759688631054065</v>
      </c>
      <c r="AF28" s="1">
        <f t="shared" ca="1" si="9"/>
        <v>0.89930675101315616</v>
      </c>
      <c r="AG28" s="16">
        <f ca="1">0.9*'Airfoil-RCmax'!I28</f>
        <v>1.424913727580472</v>
      </c>
      <c r="AH28" s="42">
        <f ca="1">0.455/(LOG10(MIN(V28,'Aerodynamics-Constants'!L28)))^2.58</f>
        <v>5.4645252335116072E-3</v>
      </c>
      <c r="AI28" s="42">
        <f ca="1">+AH28*'Aerodynamics-Constants'!J28*'Aerodynamics-Constants'!M28</f>
        <v>0</v>
      </c>
      <c r="AJ28" s="10">
        <f ca="1">X28*COS(RADIANS(AC28))*'Aerodynamics-Constants'!M28+AI28</f>
        <v>7.6712180073214356E-3</v>
      </c>
      <c r="AK28" s="10">
        <f ca="1">AF28^2/(PI()*'Aerodynamics-Constants'!I28*AA28)</f>
        <v>3.5299950768890434E-2</v>
      </c>
      <c r="AL28" s="10">
        <f t="shared" ca="1" si="10"/>
        <v>4.297116877621187E-2</v>
      </c>
      <c r="AM28" s="1">
        <f t="shared" ca="1" si="11"/>
        <v>-0.15499999999999889</v>
      </c>
      <c r="AN28" s="1">
        <f t="shared" ca="1" si="12"/>
        <v>-0.32022188545918978</v>
      </c>
      <c r="AO28" s="12">
        <f t="shared" si="27"/>
        <v>0.96791379534354982</v>
      </c>
      <c r="AP28" s="12">
        <f t="shared" si="13"/>
        <v>3.3149857777428959E-2</v>
      </c>
      <c r="AQ28" s="81">
        <f ca="1">B28*H28*'Aerodynamics-Constants'!AA28/C28</f>
        <v>127433.67122949008</v>
      </c>
      <c r="AR28" s="10">
        <f ca="1">0.455/(LOG10(MIN(AQ28,'Aerodynamics-Constants'!AG28)))^2.58</f>
        <v>6.7814098948666759E-3</v>
      </c>
      <c r="AS28" s="15">
        <f ca="1">AR28*'Aerodynamics-Constants'!AI28*'Aerodynamics-Constants'!AJ28*'Aerodynamics-Constants'!AE28/P28</f>
        <v>1.8863284844087058E-2</v>
      </c>
      <c r="AT28" s="10">
        <f t="shared" ca="1" si="14"/>
        <v>1.0952498516993718E-2</v>
      </c>
      <c r="AU28" s="10">
        <f t="shared" ca="1" si="15"/>
        <v>2.9815783361080775E-2</v>
      </c>
      <c r="AV28" s="12">
        <f t="shared" si="16"/>
        <v>0.95152631578947378</v>
      </c>
      <c r="AW28" s="12">
        <f t="shared" si="17"/>
        <v>5.0943083135128964E-2</v>
      </c>
      <c r="AX28" s="81">
        <f ca="1">B28*H28*'Aerodynamics-Constants'!AK28/C28</f>
        <v>72250.285095674131</v>
      </c>
      <c r="AY28" s="10">
        <f ca="1">0.455/(LOG10(MIN(AX28,'Aerodynamics-Constants'!AQ28)))^2.58</f>
        <v>7.704729460982605E-3</v>
      </c>
      <c r="AZ28" s="15">
        <f ca="1">AY28*'Aerodynamics-Constants'!AS28*'Aerodynamics-Constants'!AT28*'Aerodynamics-Constants'!AO28/S28</f>
        <v>2.1431606217928167E-2</v>
      </c>
      <c r="BA28" s="81">
        <f ca="1">B28*H28*'Aerodynamics-Constants'!N28/C28</f>
        <v>2719996.0326882736</v>
      </c>
      <c r="BB28" s="10">
        <f ca="1">0.455/(LOG10(MIN(BA28,'Aerodynamics-Constants'!V28)))^2.58</f>
        <v>3.7327706859876073E-3</v>
      </c>
      <c r="BC28" s="10">
        <f ca="1">BB28*'Aerodynamics-Constants'!W28*'Aerodynamics-Constants'!X28*'Aerodynamics-Constants'!S28/N28+'Aerodynamics-Constants'!Z28</f>
        <v>2.620174838637837E-3</v>
      </c>
      <c r="BD28" s="15">
        <f ca="1">BC28*'Aerodynamics-Constants'!AU28+(AJ28+AS28+AZ28)*('Aerodynamics-Constants'!AU28-1)</f>
        <v>7.6788032294352916E-3</v>
      </c>
      <c r="BE28" s="16">
        <f t="shared" ca="1" si="18"/>
        <v>0.87873952438711112</v>
      </c>
      <c r="BF28" s="10">
        <f t="shared" ca="1" si="19"/>
        <v>1.7004049674992659E-2</v>
      </c>
      <c r="BG28" s="10">
        <f t="shared" ca="1" si="20"/>
        <v>3.6003408369227184E-2</v>
      </c>
      <c r="BH28" s="10">
        <f t="shared" ca="1" si="21"/>
        <v>5.3007458044219843E-2</v>
      </c>
      <c r="BI28" s="13">
        <f t="shared" ca="1" si="28"/>
        <v>132.52501256898603</v>
      </c>
      <c r="BJ28" s="13">
        <f t="shared" ca="1" si="29"/>
        <v>7.9941937839427286</v>
      </c>
      <c r="BK28" s="13">
        <f t="shared" ca="1" si="22"/>
        <v>16.577658254316773</v>
      </c>
      <c r="BL28" s="14">
        <f t="shared" ca="1" si="23"/>
        <v>206.65288621493229</v>
      </c>
      <c r="BO28" s="16">
        <f ca="1">'Airfoil-RCmax'!J28</f>
        <v>5.0069056188386423</v>
      </c>
      <c r="BP28" s="1">
        <f ca="1">BO28/(1+BO28/(PI()*'Aerodynamics-Constants'!I28)*(1+AB28))</f>
        <v>4.1089435833607544</v>
      </c>
      <c r="BR28" s="12">
        <v>6</v>
      </c>
      <c r="BS28" s="1">
        <f t="shared" si="24"/>
        <v>3.6566214992242547</v>
      </c>
      <c r="BT28" s="1">
        <f>Stability!W28</f>
        <v>2.5856218583339907</v>
      </c>
      <c r="BV28" s="12">
        <v>6</v>
      </c>
      <c r="BW28" s="1">
        <f t="shared" si="25"/>
        <v>3.632189944665718</v>
      </c>
      <c r="BX28" s="1">
        <f>Stability!Y28</f>
        <v>2.5683461404307204</v>
      </c>
    </row>
    <row r="29" spans="2:76">
      <c r="B29" s="16">
        <f>'RC'!F29</f>
        <v>0.65969672852566186</v>
      </c>
      <c r="C29" s="74">
        <f>'Airfoil-RCmax'!E29</f>
        <v>1.5987591530356481E-5</v>
      </c>
      <c r="E29" s="19">
        <f ca="1">'RC'!H29</f>
        <v>132.22241873640721</v>
      </c>
      <c r="F29" s="63">
        <f>Weight!G29</f>
        <v>0.3</v>
      </c>
      <c r="H29" s="20">
        <f t="shared" ca="1" si="26"/>
        <v>25.337550160627696</v>
      </c>
      <c r="I29" s="20">
        <f t="shared" ca="1" si="0"/>
        <v>19.900844140868582</v>
      </c>
      <c r="J29" s="20">
        <f t="shared" ca="1" si="1"/>
        <v>1.2731897190528836</v>
      </c>
      <c r="L29" s="31">
        <f>Main!B29</f>
        <v>0.33333333333333326</v>
      </c>
      <c r="M29" s="31">
        <f>Main!C29</f>
        <v>2.1315789473684212</v>
      </c>
      <c r="N29" s="1">
        <f t="shared" si="2"/>
        <v>0.71052631578947356</v>
      </c>
      <c r="O29" s="1">
        <f t="shared" si="3"/>
        <v>6.3947368421052664</v>
      </c>
      <c r="P29" s="16">
        <f ca="1">'Aerodynamics-Constants'!AC29</f>
        <v>4.5163073631874995E-2</v>
      </c>
      <c r="Q29" s="16">
        <f>'Aerodynamics-Constants'!AD29</f>
        <v>3.1973684210526327</v>
      </c>
      <c r="R29" s="63">
        <f>Stability!G29</f>
        <v>5.6500000000000012</v>
      </c>
      <c r="S29" s="16">
        <f ca="1">'Aerodynamics-Constants'!AM29</f>
        <v>1.4952796880420957E-2</v>
      </c>
      <c r="T29" s="16">
        <f>'Aerodynamics-Constants'!AN29</f>
        <v>3.1973684210526327</v>
      </c>
      <c r="V29" s="81">
        <f t="shared" ca="1" si="4"/>
        <v>348501.50126496761</v>
      </c>
      <c r="W29" s="63">
        <f ca="1">'Aerodynamics-Cruise'!W29</f>
        <v>0.9</v>
      </c>
      <c r="X29" s="42">
        <f ca="1">'Airfoil-RCmax'!V29</f>
        <v>7.7974580991343519E-3</v>
      </c>
      <c r="Y29" s="14">
        <f t="shared" ca="1" si="5"/>
        <v>115.42222972636621</v>
      </c>
      <c r="Z29" s="16">
        <f ca="1">'Airfoil-RCmax'!AF29</f>
        <v>-0.15499999999999892</v>
      </c>
      <c r="AA29" s="31">
        <f>Main!I29</f>
        <v>1.1771267133748404</v>
      </c>
      <c r="AB29" s="12">
        <f t="shared" si="6"/>
        <v>-0.15047378617975238</v>
      </c>
      <c r="AC29" s="30">
        <f t="shared" ca="1" si="7"/>
        <v>2.1789899936311525</v>
      </c>
      <c r="AD29" s="13">
        <f t="shared" ca="1" si="8"/>
        <v>2.1789899936311525</v>
      </c>
      <c r="AE29" s="13">
        <f ca="1">DEGREES(AF29/BP29)+'Airfoil-RCmax'!K29</f>
        <v>3.2606329124630768</v>
      </c>
      <c r="AF29" s="1">
        <f t="shared" ca="1" si="9"/>
        <v>0.89934923321890603</v>
      </c>
      <c r="AG29" s="16">
        <f ca="1">0.9*'Airfoil-RCmax'!I29</f>
        <v>1.424516875005178</v>
      </c>
      <c r="AH29" s="42">
        <f ca="1">0.455/(LOG10(MIN(V29,'Aerodynamics-Constants'!L29)))^2.58</f>
        <v>5.4866896496026957E-3</v>
      </c>
      <c r="AI29" s="42">
        <f ca="1">+AH29*'Aerodynamics-Constants'!J29*'Aerodynamics-Constants'!M29</f>
        <v>0</v>
      </c>
      <c r="AJ29" s="10">
        <f ca="1">X29*COS(RADIANS(AC29))*'Aerodynamics-Constants'!M29+AI29</f>
        <v>7.7918199583478084E-3</v>
      </c>
      <c r="AK29" s="10">
        <f ca="1">AF29^2/(PI()*'Aerodynamics-Constants'!I29*AA29)</f>
        <v>3.4202745762737977E-2</v>
      </c>
      <c r="AL29" s="10">
        <f t="shared" ca="1" si="10"/>
        <v>4.1994565721085786E-2</v>
      </c>
      <c r="AM29" s="1">
        <f t="shared" ca="1" si="11"/>
        <v>-0.15499999999999892</v>
      </c>
      <c r="AN29" s="1">
        <f t="shared" ca="1" si="12"/>
        <v>-0.32356685418466152</v>
      </c>
      <c r="AO29" s="12">
        <f t="shared" si="27"/>
        <v>0.96344031741880587</v>
      </c>
      <c r="AP29" s="12">
        <f t="shared" si="13"/>
        <v>3.7947013343953451E-2</v>
      </c>
      <c r="AQ29" s="81">
        <f ca="1">B29*H29*'Aerodynamics-Constants'!AA29/C29</f>
        <v>124257.12837753605</v>
      </c>
      <c r="AR29" s="10">
        <f ca="1">0.455/(LOG10(MIN(AQ29,'Aerodynamics-Constants'!AG29)))^2.58</f>
        <v>6.8191250693968395E-3</v>
      </c>
      <c r="AS29" s="15">
        <f ca="1">AR29*'Aerodynamics-Constants'!AI29*'Aerodynamics-Constants'!AJ29*'Aerodynamics-Constants'!AE29/P29</f>
        <v>1.8968194013586678E-2</v>
      </c>
      <c r="AT29" s="10">
        <f t="shared" ca="1" si="14"/>
        <v>1.0818341404152351E-2</v>
      </c>
      <c r="AU29" s="10">
        <f t="shared" ca="1" si="15"/>
        <v>2.9786535417739027E-2</v>
      </c>
      <c r="AV29" s="12">
        <f t="shared" si="16"/>
        <v>0.95081578947368428</v>
      </c>
      <c r="AW29" s="12">
        <f t="shared" si="17"/>
        <v>5.1728432647864642E-2</v>
      </c>
      <c r="AX29" s="81">
        <f ca="1">B29*H29*'Aerodynamics-Constants'!AK29/C29</f>
        <v>71497.48812416599</v>
      </c>
      <c r="AY29" s="10">
        <f ca="1">0.455/(LOG10(MIN(AX29,'Aerodynamics-Constants'!AQ29)))^2.58</f>
        <v>7.7233703991261829E-3</v>
      </c>
      <c r="AZ29" s="15">
        <f ca="1">AY29*'Aerodynamics-Constants'!AS29*'Aerodynamics-Constants'!AT29*'Aerodynamics-Constants'!AO29/S29</f>
        <v>2.1483458167805062E-2</v>
      </c>
      <c r="BA29" s="81">
        <f ca="1">B29*H29*'Aerodynamics-Constants'!N29/C29</f>
        <v>2666036.4846770028</v>
      </c>
      <c r="BB29" s="10">
        <f ca="1">0.455/(LOG10(MIN(BA29,'Aerodynamics-Constants'!V29)))^2.58</f>
        <v>3.7458267424450142E-3</v>
      </c>
      <c r="BC29" s="10">
        <f ca="1">BB29*'Aerodynamics-Constants'!W29*'Aerodynamics-Constants'!X29*'Aerodynamics-Constants'!S29/N29+'Aerodynamics-Constants'!Z29</f>
        <v>2.5319488575766061E-3</v>
      </c>
      <c r="BD29" s="15">
        <f ca="1">BC29*'Aerodynamics-Constants'!AU29+(AJ29+AS29+AZ29)*('Aerodynamics-Constants'!AU29-1)</f>
        <v>7.6094909573082258E-3</v>
      </c>
      <c r="BE29" s="16">
        <f t="shared" ca="1" si="18"/>
        <v>0.87878240362282123</v>
      </c>
      <c r="BF29" s="10">
        <f t="shared" ca="1" si="19"/>
        <v>1.7059095719675205E-2</v>
      </c>
      <c r="BG29" s="10">
        <f t="shared" ca="1" si="20"/>
        <v>3.4890390313760157E-2</v>
      </c>
      <c r="BH29" s="10">
        <f t="shared" ca="1" si="21"/>
        <v>5.1949486033435355E-2</v>
      </c>
      <c r="BI29" s="13">
        <f t="shared" ca="1" si="28"/>
        <v>132.22241873640721</v>
      </c>
      <c r="BJ29" s="13">
        <f t="shared" ca="1" si="29"/>
        <v>7.8163680418915122</v>
      </c>
      <c r="BK29" s="13">
        <f t="shared" ca="1" si="22"/>
        <v>16.916094281610903</v>
      </c>
      <c r="BL29" s="14">
        <f t="shared" ca="1" si="23"/>
        <v>198.04761733535346</v>
      </c>
      <c r="BO29" s="16">
        <f ca="1">'Airfoil-RCmax'!J29</f>
        <v>5.040763712117367</v>
      </c>
      <c r="BP29" s="1">
        <f ca="1">BO29/(1+BO29/(PI()*'Aerodynamics-Constants'!I29)*(1+AB29))</f>
        <v>4.1550778031390667</v>
      </c>
      <c r="BR29" s="12">
        <v>6</v>
      </c>
      <c r="BS29" s="1">
        <f t="shared" si="24"/>
        <v>3.7037291927749938</v>
      </c>
      <c r="BT29" s="1">
        <f>Stability!W29</f>
        <v>2.6189320278897759</v>
      </c>
      <c r="BV29" s="12">
        <v>6</v>
      </c>
      <c r="BW29" s="1">
        <f t="shared" si="25"/>
        <v>3.6850039020501306</v>
      </c>
      <c r="BX29" s="1">
        <f>Stability!Y29</f>
        <v>2.6056912478385357</v>
      </c>
    </row>
    <row r="30" spans="2:76">
      <c r="B30" s="16">
        <f>'RC'!F30</f>
        <v>0.65969672852566186</v>
      </c>
      <c r="C30" s="74">
        <f>'Airfoil-RCmax'!E30</f>
        <v>1.5987591530356481E-5</v>
      </c>
      <c r="E30" s="19">
        <f ca="1">'RC'!H30</f>
        <v>131.99460630550439</v>
      </c>
      <c r="F30" s="63">
        <f>Weight!G30</f>
        <v>0.3</v>
      </c>
      <c r="H30" s="20">
        <f t="shared" ca="1" si="26"/>
        <v>24.858990723186523</v>
      </c>
      <c r="I30" s="20">
        <f t="shared" ca="1" si="0"/>
        <v>19.527986586075098</v>
      </c>
      <c r="J30" s="20">
        <f t="shared" ca="1" si="1"/>
        <v>1.2729930253492097</v>
      </c>
      <c r="L30" s="31">
        <f>Main!B30</f>
        <v>0.33333333333333326</v>
      </c>
      <c r="M30" s="31">
        <f>Main!C30</f>
        <v>2.2105263157894739</v>
      </c>
      <c r="N30" s="1">
        <f t="shared" si="2"/>
        <v>0.73684210526315785</v>
      </c>
      <c r="O30" s="1">
        <f t="shared" si="3"/>
        <v>6.631578947368423</v>
      </c>
      <c r="P30" s="16">
        <f ca="1">'Aerodynamics-Constants'!AC30</f>
        <v>4.6377372192058779E-2</v>
      </c>
      <c r="Q30" s="16">
        <f>'Aerodynamics-Constants'!AD30</f>
        <v>3.3157894736842115</v>
      </c>
      <c r="R30" s="63">
        <f>Stability!G30</f>
        <v>5.6500000000000012</v>
      </c>
      <c r="S30" s="16">
        <f ca="1">'Aerodynamics-Constants'!AM30</f>
        <v>1.5807427641918392E-2</v>
      </c>
      <c r="T30" s="16">
        <f>'Aerodynamics-Constants'!AN30</f>
        <v>3.3157894736842115</v>
      </c>
      <c r="V30" s="81">
        <f t="shared" ca="1" si="4"/>
        <v>341919.22786696855</v>
      </c>
      <c r="W30" s="63">
        <f ca="1">'Aerodynamics-Cruise'!W30</f>
        <v>0.9</v>
      </c>
      <c r="X30" s="42">
        <f ca="1">'Airfoil-RCmax'!V30</f>
        <v>7.9137135193256061E-3</v>
      </c>
      <c r="Y30" s="14">
        <f t="shared" ca="1" si="5"/>
        <v>113.72663387449695</v>
      </c>
      <c r="Z30" s="16">
        <f ca="1">'Airfoil-RCmax'!AF30</f>
        <v>-0.15499999999999892</v>
      </c>
      <c r="AA30" s="31">
        <f>Main!I30</f>
        <v>1.1700440412790545</v>
      </c>
      <c r="AB30" s="12">
        <f t="shared" si="6"/>
        <v>-0.14533131683929423</v>
      </c>
      <c r="AC30" s="30">
        <f t="shared" ca="1" si="7"/>
        <v>2.1139779105158261</v>
      </c>
      <c r="AD30" s="13">
        <f t="shared" ca="1" si="8"/>
        <v>2.1139779105158261</v>
      </c>
      <c r="AE30" s="13">
        <f ca="1">DEGREES(AF30/BP30)+'Airfoil-RCmax'!K30</f>
        <v>3.2465227228120508</v>
      </c>
      <c r="AF30" s="1">
        <f t="shared" ca="1" si="9"/>
        <v>0.89938748197855645</v>
      </c>
      <c r="AG30" s="16">
        <f ca="1">0.9*'Airfoil-RCmax'!I30</f>
        <v>1.4241393266801281</v>
      </c>
      <c r="AH30" s="42">
        <f ca="1">0.455/(LOG10(MIN(V30,'Aerodynamics-Constants'!L30)))^2.58</f>
        <v>5.5078976521881059E-3</v>
      </c>
      <c r="AI30" s="42">
        <f ca="1">+AH30*'Aerodynamics-Constants'!J30*'Aerodynamics-Constants'!M30</f>
        <v>0</v>
      </c>
      <c r="AJ30" s="10">
        <f ca="1">X30*COS(RADIANS(AC30))*'Aerodynamics-Constants'!M30+AI30</f>
        <v>7.9083276391621309E-3</v>
      </c>
      <c r="AK30" s="10">
        <f ca="1">AF30^2/(PI()*'Aerodynamics-Constants'!I30*AA30)</f>
        <v>3.3183687979373759E-2</v>
      </c>
      <c r="AL30" s="10">
        <f t="shared" ca="1" si="10"/>
        <v>4.1092015618535892E-2</v>
      </c>
      <c r="AM30" s="1">
        <f t="shared" ca="1" si="11"/>
        <v>-0.15499999999999892</v>
      </c>
      <c r="AN30" s="1">
        <f t="shared" ca="1" si="12"/>
        <v>-0.32675940672351028</v>
      </c>
      <c r="AO30" s="12">
        <f t="shared" si="27"/>
        <v>0.95901955944629458</v>
      </c>
      <c r="AP30" s="12">
        <f t="shared" si="13"/>
        <v>4.2731600362109656E-2</v>
      </c>
      <c r="AQ30" s="81">
        <f ca="1">B30*H30*'Aerodynamics-Constants'!AA30/C30</f>
        <v>121312.17051296719</v>
      </c>
      <c r="AR30" s="10">
        <f ca="1">0.455/(LOG10(MIN(AQ30,'Aerodynamics-Constants'!AG30)))^2.58</f>
        <v>6.855232271731306E-3</v>
      </c>
      <c r="AS30" s="15">
        <f ca="1">AR30*'Aerodynamics-Constants'!AI30*'Aerodynamics-Constants'!AJ30*'Aerodynamics-Constants'!AE30/P30</f>
        <v>1.906863042033945E-2</v>
      </c>
      <c r="AT30" s="10">
        <f t="shared" ca="1" si="14"/>
        <v>1.0687888433504855E-2</v>
      </c>
      <c r="AU30" s="10">
        <f t="shared" ca="1" si="15"/>
        <v>2.9756518853844303E-2</v>
      </c>
      <c r="AV30" s="12">
        <f t="shared" si="16"/>
        <v>0.95010526315789479</v>
      </c>
      <c r="AW30" s="12">
        <f t="shared" si="17"/>
        <v>5.2514956791491096E-2</v>
      </c>
      <c r="AX30" s="81">
        <f ca="1">B30*H30*'Aerodynamics-Constants'!AK30/C30</f>
        <v>70824.23721409541</v>
      </c>
      <c r="AY30" s="10">
        <f ca="1">0.455/(LOG10(MIN(AX30,'Aerodynamics-Constants'!AQ30)))^2.58</f>
        <v>7.7402624524002452E-3</v>
      </c>
      <c r="AZ30" s="15">
        <f ca="1">AY30*'Aerodynamics-Constants'!AS30*'Aerodynamics-Constants'!AT30*'Aerodynamics-Constants'!AO30/S30</f>
        <v>2.1530445389850338E-2</v>
      </c>
      <c r="BA30" s="81">
        <f ca="1">B30*H30*'Aerodynamics-Constants'!N30/C30</f>
        <v>2615682.09318231</v>
      </c>
      <c r="BB30" s="10">
        <f ca="1">0.455/(LOG10(MIN(BA30,'Aerodynamics-Constants'!V30)))^2.58</f>
        <v>3.7583099999805658E-3</v>
      </c>
      <c r="BC30" s="10">
        <f ca="1">BB30*'Aerodynamics-Constants'!W30*'Aerodynamics-Constants'!X30*'Aerodynamics-Constants'!S30/N30+'Aerodynamics-Constants'!Z30</f>
        <v>2.4496517030236161E-3</v>
      </c>
      <c r="BD30" s="15">
        <f ca="1">BC30*'Aerodynamics-Constants'!AU30+(AJ30+AS30+AZ30)*('Aerodynamics-Constants'!AU30-1)</f>
        <v>7.5453572182611747E-3</v>
      </c>
      <c r="BE30" s="16">
        <f t="shared" ca="1" si="18"/>
        <v>0.8788210098475151</v>
      </c>
      <c r="BF30" s="10">
        <f t="shared" ca="1" si="19"/>
        <v>1.7115769473716833E-2</v>
      </c>
      <c r="BG30" s="10">
        <f t="shared" ca="1" si="20"/>
        <v>3.385639136628299E-2</v>
      </c>
      <c r="BH30" s="10">
        <f t="shared" ca="1" si="21"/>
        <v>5.0972160839999829E-2</v>
      </c>
      <c r="BI30" s="13">
        <f t="shared" ca="1" si="28"/>
        <v>131.99460630550439</v>
      </c>
      <c r="BJ30" s="13">
        <f t="shared" ca="1" si="29"/>
        <v>7.6557686118405561</v>
      </c>
      <c r="BK30" s="13">
        <f t="shared" ca="1" si="22"/>
        <v>17.241195887419984</v>
      </c>
      <c r="BL30" s="14">
        <f t="shared" ca="1" si="23"/>
        <v>190.31468090060696</v>
      </c>
      <c r="BO30" s="16">
        <f ca="1">'Airfoil-RCmax'!J30</f>
        <v>5.0731961754621828</v>
      </c>
      <c r="BP30" s="1">
        <f ca="1">BO30/(1+BO30/(PI()*'Aerodynamics-Constants'!I30)*(1+AB30))</f>
        <v>4.1992505412699987</v>
      </c>
      <c r="BR30" s="12">
        <v>6</v>
      </c>
      <c r="BS30" s="1">
        <f t="shared" si="24"/>
        <v>3.7485889767549225</v>
      </c>
      <c r="BT30" s="1">
        <f>Stability!W30</f>
        <v>2.6506526853445473</v>
      </c>
      <c r="BV30" s="12">
        <v>6</v>
      </c>
      <c r="BW30" s="1">
        <f t="shared" si="25"/>
        <v>3.735437927548761</v>
      </c>
      <c r="BX30" s="1">
        <f>Stability!Y30</f>
        <v>2.6413534892711525</v>
      </c>
    </row>
    <row r="31" spans="2:76">
      <c r="B31" s="16">
        <f>'RC'!F31</f>
        <v>0.65969672852566186</v>
      </c>
      <c r="C31" s="74">
        <f>'Airfoil-RCmax'!E31</f>
        <v>1.5987591530356481E-5</v>
      </c>
      <c r="E31" s="19">
        <f ca="1">'RC'!H31</f>
        <v>131.83112185491365</v>
      </c>
      <c r="F31" s="63">
        <f>Weight!G31</f>
        <v>0.3</v>
      </c>
      <c r="H31" s="20">
        <f t="shared" ca="1" si="26"/>
        <v>24.411011139716784</v>
      </c>
      <c r="I31" s="20">
        <f t="shared" ca="1" si="0"/>
        <v>19.178880836749308</v>
      </c>
      <c r="J31" s="20">
        <f t="shared" ca="1" si="1"/>
        <v>1.2728068622722768</v>
      </c>
      <c r="L31" s="31">
        <f>Main!B31</f>
        <v>0.33333333333333326</v>
      </c>
      <c r="M31" s="31">
        <f>Main!C31</f>
        <v>2.2894736842105265</v>
      </c>
      <c r="N31" s="1">
        <f t="shared" si="2"/>
        <v>0.76315789473684204</v>
      </c>
      <c r="O31" s="1">
        <f t="shared" si="3"/>
        <v>6.8684210526315805</v>
      </c>
      <c r="P31" s="16">
        <f ca="1">'Aerodynamics-Constants'!AC31</f>
        <v>4.758897211975064E-2</v>
      </c>
      <c r="Q31" s="16">
        <f>'Aerodynamics-Constants'!AD31</f>
        <v>3.4342105263157907</v>
      </c>
      <c r="R31" s="63">
        <f>Stability!G31</f>
        <v>5.6500000000000012</v>
      </c>
      <c r="S31" s="16">
        <f ca="1">'Aerodynamics-Constants'!AM31</f>
        <v>1.6689885877140986E-2</v>
      </c>
      <c r="T31" s="16">
        <f>'Aerodynamics-Constants'!AN31</f>
        <v>3.4342105263157907</v>
      </c>
      <c r="V31" s="81">
        <f t="shared" ca="1" si="4"/>
        <v>335757.56044507801</v>
      </c>
      <c r="W31" s="63">
        <f ca="1">'Aerodynamics-Cruise'!W31</f>
        <v>0.9</v>
      </c>
      <c r="X31" s="42">
        <f ca="1">'Airfoil-RCmax'!V31</f>
        <v>8.0262008722650352E-3</v>
      </c>
      <c r="Y31" s="14">
        <f t="shared" ca="1" si="5"/>
        <v>112.13275300771477</v>
      </c>
      <c r="Z31" s="16">
        <f ca="1">'Airfoil-RCmax'!AF31</f>
        <v>-0.15499999999999894</v>
      </c>
      <c r="AA31" s="31">
        <f>Main!I31</f>
        <v>1.163041872967743</v>
      </c>
      <c r="AB31" s="12">
        <f t="shared" si="6"/>
        <v>-0.1401857291274542</v>
      </c>
      <c r="AC31" s="30">
        <f t="shared" ca="1" si="7"/>
        <v>2.0534495123663086</v>
      </c>
      <c r="AD31" s="13">
        <f t="shared" ca="1" si="8"/>
        <v>2.0534495123663086</v>
      </c>
      <c r="AE31" s="13">
        <f ca="1">DEGREES(AF31/BP31)+'Airfoil-RCmax'!K31</f>
        <v>3.2335347519101063</v>
      </c>
      <c r="AF31" s="1">
        <f t="shared" ca="1" si="9"/>
        <v>0.89942205192581293</v>
      </c>
      <c r="AG31" s="16">
        <f ca="1">0.9*'Airfoil-RCmax'!I31</f>
        <v>1.4237793515879102</v>
      </c>
      <c r="AH31" s="42">
        <f ca="1">0.455/(LOG10(MIN(V31,'Aerodynamics-Constants'!L31)))^2.58</f>
        <v>5.528229871221221E-3</v>
      </c>
      <c r="AI31" s="42">
        <f ca="1">+AH31*'Aerodynamics-Constants'!J31*'Aerodynamics-Constants'!M31</f>
        <v>0</v>
      </c>
      <c r="AJ31" s="10">
        <f ca="1">X31*COS(RADIANS(AC31))*'Aerodynamics-Constants'!M31+AI31</f>
        <v>8.0210467307792969E-3</v>
      </c>
      <c r="AK31" s="10">
        <f ca="1">AF31^2/(PI()*'Aerodynamics-Constants'!I31*AA31)</f>
        <v>3.2234796168832285E-2</v>
      </c>
      <c r="AL31" s="10">
        <f t="shared" ca="1" si="10"/>
        <v>4.025584289961158E-2</v>
      </c>
      <c r="AM31" s="1">
        <f t="shared" ca="1" si="11"/>
        <v>-0.15499999999999894</v>
      </c>
      <c r="AN31" s="1">
        <f t="shared" ca="1" si="12"/>
        <v>-0.3298079010906152</v>
      </c>
      <c r="AO31" s="12">
        <f t="shared" si="27"/>
        <v>0.95464904914051385</v>
      </c>
      <c r="AP31" s="12">
        <f t="shared" si="13"/>
        <v>4.7505364301484665E-2</v>
      </c>
      <c r="AQ31" s="81">
        <f ca="1">B31*H31*'Aerodynamics-Constants'!AA31/C31</f>
        <v>118573.25995320233</v>
      </c>
      <c r="AR31" s="10">
        <f ca="1">0.455/(LOG10(MIN(AQ31,'Aerodynamics-Constants'!AG31)))^2.58</f>
        <v>6.8898556988726805E-3</v>
      </c>
      <c r="AS31" s="15">
        <f ca="1">AR31*'Aerodynamics-Constants'!AI31*'Aerodynamics-Constants'!AJ31*'Aerodynamics-Constants'!AE31/P31</f>
        <v>1.9164939532835459E-2</v>
      </c>
      <c r="AT31" s="10">
        <f t="shared" ca="1" si="14"/>
        <v>1.0560915779889466E-2</v>
      </c>
      <c r="AU31" s="10">
        <f t="shared" ca="1" si="15"/>
        <v>2.9725855312724925E-2</v>
      </c>
      <c r="AV31" s="12">
        <f t="shared" si="16"/>
        <v>0.94939473684210529</v>
      </c>
      <c r="AW31" s="12">
        <f t="shared" si="17"/>
        <v>5.330265820328739E-2</v>
      </c>
      <c r="AX31" s="81">
        <f ca="1">B31*H31*'Aerodynamics-Constants'!AK31/C31</f>
        <v>70219.912089765596</v>
      </c>
      <c r="AY31" s="10">
        <f ca="1">0.455/(LOG10(MIN(AX31,'Aerodynamics-Constants'!AQ31)))^2.58</f>
        <v>7.7556067387917829E-3</v>
      </c>
      <c r="AZ31" s="15">
        <f ca="1">AY31*'Aerodynamics-Constants'!AS31*'Aerodynamics-Constants'!AT31*'Aerodynamics-Constants'!AO31/S31</f>
        <v>2.157312731726958E-2</v>
      </c>
      <c r="BA31" s="81">
        <f ca="1">B31*H31*'Aerodynamics-Constants'!N31/C31</f>
        <v>2568545.3374048471</v>
      </c>
      <c r="BB31" s="10">
        <f ca="1">0.455/(LOG10(MIN(BA31,'Aerodynamics-Constants'!V31)))^2.58</f>
        <v>3.770269141997453E-3</v>
      </c>
      <c r="BC31" s="10">
        <f ca="1">BB31*'Aerodynamics-Constants'!W31*'Aerodynamics-Constants'!X31*'Aerodynamics-Constants'!S31/N31+'Aerodynamics-Constants'!Z31</f>
        <v>2.3727006593932004E-3</v>
      </c>
      <c r="BD31" s="15">
        <f ca="1">BC31*'Aerodynamics-Constants'!AU31+(AJ31+AS31+AZ31)*('Aerodynamics-Constants'!AU31-1)</f>
        <v>7.4858820834209586E-3</v>
      </c>
      <c r="BE31" s="16">
        <f t="shared" ca="1" si="18"/>
        <v>0.87885590287839077</v>
      </c>
      <c r="BF31" s="10">
        <f t="shared" ca="1" si="19"/>
        <v>1.7173809042808422E-2</v>
      </c>
      <c r="BG31" s="10">
        <f t="shared" ca="1" si="20"/>
        <v>3.2893353369215436E-2</v>
      </c>
      <c r="BH31" s="10">
        <f t="shared" ca="1" si="21"/>
        <v>5.0067162412023851E-2</v>
      </c>
      <c r="BI31" s="13">
        <f t="shared" ca="1" si="28"/>
        <v>131.83112185491368</v>
      </c>
      <c r="BJ31" s="13">
        <f t="shared" ca="1" si="29"/>
        <v>7.5102302519126196</v>
      </c>
      <c r="BK31" s="13">
        <f t="shared" ca="1" si="22"/>
        <v>17.553539296793254</v>
      </c>
      <c r="BL31" s="14">
        <f t="shared" ca="1" si="23"/>
        <v>183.33231434127694</v>
      </c>
      <c r="BO31" s="16">
        <f ca="1">'Airfoil-RCmax'!J31</f>
        <v>5.1043214409384863</v>
      </c>
      <c r="BP31" s="1">
        <f ca="1">BO31/(1+BO31/(PI()*'Aerodynamics-Constants'!I31)*(1+AB31))</f>
        <v>4.2416082528776489</v>
      </c>
      <c r="BR31" s="12">
        <v>6</v>
      </c>
      <c r="BS31" s="1">
        <f t="shared" si="24"/>
        <v>3.7913574006695518</v>
      </c>
      <c r="BT31" s="1">
        <f>Stability!W31</f>
        <v>2.6808945279152425</v>
      </c>
      <c r="BV31" s="12">
        <v>6</v>
      </c>
      <c r="BW31" s="1">
        <f t="shared" si="25"/>
        <v>3.783649180369149</v>
      </c>
      <c r="BX31" s="1">
        <f>Stability!Y31</f>
        <v>2.6754439930699481</v>
      </c>
    </row>
    <row r="32" spans="2:76">
      <c r="B32" s="16">
        <f>'RC'!F32</f>
        <v>0.65969672852566186</v>
      </c>
      <c r="C32" s="74">
        <f>'Airfoil-RCmax'!E32</f>
        <v>1.5987591530356481E-5</v>
      </c>
      <c r="E32" s="19">
        <f ca="1">'RC'!H32</f>
        <v>131.72349764200382</v>
      </c>
      <c r="F32" s="63">
        <f>Weight!G32</f>
        <v>0.3</v>
      </c>
      <c r="H32" s="20">
        <f t="shared" ca="1" si="26"/>
        <v>23.990482001631204</v>
      </c>
      <c r="I32" s="20">
        <f t="shared" ca="1" si="0"/>
        <v>18.851101889972814</v>
      </c>
      <c r="J32" s="20">
        <f t="shared" ca="1" si="1"/>
        <v>1.2726302229787483</v>
      </c>
      <c r="L32" s="31">
        <f>Main!B32</f>
        <v>0.33333333333333326</v>
      </c>
      <c r="M32" s="31">
        <f>Main!C32</f>
        <v>2.3684210526315792</v>
      </c>
      <c r="N32" s="1">
        <f t="shared" si="2"/>
        <v>0.78947368421052622</v>
      </c>
      <c r="O32" s="1">
        <f t="shared" si="3"/>
        <v>7.1052631578947389</v>
      </c>
      <c r="P32" s="16">
        <f ca="1">'Aerodynamics-Constants'!AC32</f>
        <v>4.8798353242644012E-2</v>
      </c>
      <c r="Q32" s="16">
        <f>'Aerodynamics-Constants'!AD32</f>
        <v>3.5526315789473695</v>
      </c>
      <c r="R32" s="63">
        <f>Stability!G32</f>
        <v>5.6500000000000012</v>
      </c>
      <c r="S32" s="16">
        <f ca="1">'Aerodynamics-Constants'!AM32</f>
        <v>1.7599996651648308E-2</v>
      </c>
      <c r="T32" s="16">
        <f>'Aerodynamics-Constants'!AN32</f>
        <v>3.5526315789473695</v>
      </c>
      <c r="V32" s="81">
        <f t="shared" ca="1" si="4"/>
        <v>329973.45602221938</v>
      </c>
      <c r="W32" s="63">
        <f ca="1">'Aerodynamics-Cruise'!W32</f>
        <v>0.9</v>
      </c>
      <c r="X32" s="42">
        <f ca="1">'Airfoil-RCmax'!V32</f>
        <v>8.1351835691857305E-3</v>
      </c>
      <c r="Y32" s="14">
        <f t="shared" ca="1" si="5"/>
        <v>110.63057057605931</v>
      </c>
      <c r="Z32" s="16">
        <f ca="1">'Airfoil-RCmax'!AF32</f>
        <v>-0.15499999999999894</v>
      </c>
      <c r="AA32" s="31">
        <f>Main!I32</f>
        <v>1.1561165628108239</v>
      </c>
      <c r="AB32" s="12">
        <f t="shared" si="6"/>
        <v>-0.13503531376737943</v>
      </c>
      <c r="AC32" s="30">
        <f t="shared" ca="1" si="7"/>
        <v>1.996961266212564</v>
      </c>
      <c r="AD32" s="13">
        <f t="shared" ca="1" si="8"/>
        <v>1.996961266212564</v>
      </c>
      <c r="AE32" s="13">
        <f ca="1">DEGREES(AF32/BP32)+'Airfoil-RCmax'!K32</f>
        <v>3.2215720112191377</v>
      </c>
      <c r="AF32" s="1">
        <f t="shared" ca="1" si="9"/>
        <v>0.89945340888609249</v>
      </c>
      <c r="AG32" s="16">
        <f ca="1">0.9*'Airfoil-RCmax'!I32</f>
        <v>1.4234354566743255</v>
      </c>
      <c r="AH32" s="42">
        <f ca="1">0.455/(LOG10(MIN(V32,'Aerodynamics-Constants'!L32)))^2.58</f>
        <v>5.5477560850271754E-3</v>
      </c>
      <c r="AI32" s="42">
        <f ca="1">+AH32*'Aerodynamics-Constants'!J32*'Aerodynamics-Constants'!M32</f>
        <v>0</v>
      </c>
      <c r="AJ32" s="10">
        <f ca="1">X32*COS(RADIANS(AC32))*'Aerodynamics-Constants'!M32+AI32</f>
        <v>8.1302428813535936E-3</v>
      </c>
      <c r="AK32" s="10">
        <f ca="1">AF32^2/(PI()*'Aerodynamics-Constants'!I32*AA32)</f>
        <v>3.1349143576941102E-2</v>
      </c>
      <c r="AL32" s="10">
        <f t="shared" ca="1" si="10"/>
        <v>3.9479386458294699E-2</v>
      </c>
      <c r="AM32" s="1">
        <f t="shared" ca="1" si="11"/>
        <v>-0.15499999999999894</v>
      </c>
      <c r="AN32" s="1">
        <f t="shared" ca="1" si="12"/>
        <v>-0.33272028705543799</v>
      </c>
      <c r="AO32" s="12">
        <f t="shared" si="27"/>
        <v>0.9503265110257636</v>
      </c>
      <c r="AP32" s="12">
        <f t="shared" si="13"/>
        <v>5.2269918178563524E-2</v>
      </c>
      <c r="AQ32" s="81">
        <f ca="1">B32*H32*'Aerodynamics-Constants'!AA32/C32</f>
        <v>116018.63658046031</v>
      </c>
      <c r="AR32" s="10">
        <f ca="1">0.455/(LOG10(MIN(AQ32,'Aerodynamics-Constants'!AG32)))^2.58</f>
        <v>6.923104560295117E-3</v>
      </c>
      <c r="AS32" s="15">
        <f ca="1">AR32*'Aerodynamics-Constants'!AI32*'Aerodynamics-Constants'!AJ32*'Aerodynamics-Constants'!AE32/P32</f>
        <v>1.9257425130001282E-2</v>
      </c>
      <c r="AT32" s="10">
        <f t="shared" ca="1" si="14"/>
        <v>1.0437240112370603E-2</v>
      </c>
      <c r="AU32" s="10">
        <f t="shared" ca="1" si="15"/>
        <v>2.9694665242371885E-2</v>
      </c>
      <c r="AV32" s="12">
        <f t="shared" si="16"/>
        <v>0.9486842105263158</v>
      </c>
      <c r="AW32" s="12">
        <f t="shared" si="17"/>
        <v>5.4091539528432708E-2</v>
      </c>
      <c r="AX32" s="81">
        <f ca="1">B32*H32*'Aerodynamics-Constants'!AK32/C32</f>
        <v>69675.720253733962</v>
      </c>
      <c r="AY32" s="10">
        <f ca="1">0.455/(LOG10(MIN(AX32,'Aerodynamics-Constants'!AQ32)))^2.58</f>
        <v>7.7695741977060135E-3</v>
      </c>
      <c r="AZ32" s="15">
        <f ca="1">AY32*'Aerodynamics-Constants'!AS32*'Aerodynamics-Constants'!AT32*'Aerodynamics-Constants'!AO32/S32</f>
        <v>2.1611979438013181E-2</v>
      </c>
      <c r="BA32" s="81">
        <f ca="1">B32*H32*'Aerodynamics-Constants'!N32/C32</f>
        <v>2524296.9385699783</v>
      </c>
      <c r="BB32" s="10">
        <f ca="1">0.455/(LOG10(MIN(BA32,'Aerodynamics-Constants'!V32)))^2.58</f>
        <v>3.7817462844085639E-3</v>
      </c>
      <c r="BC32" s="10">
        <f ca="1">BB32*'Aerodynamics-Constants'!W32*'Aerodynamics-Constants'!X32*'Aerodynamics-Constants'!S32/N32+'Aerodynamics-Constants'!Z32</f>
        <v>2.3005867146359718E-3</v>
      </c>
      <c r="BD32" s="15">
        <f ca="1">BC32*'Aerodynamics-Constants'!AU32+(AJ32+AS32+AZ32)*('Aerodynamics-Constants'!AU32-1)</f>
        <v>7.4306101310363786E-3</v>
      </c>
      <c r="BE32" s="16">
        <f t="shared" ca="1" si="18"/>
        <v>0.87888755289437392</v>
      </c>
      <c r="BF32" s="10">
        <f t="shared" ca="1" si="19"/>
        <v>1.7232981452113959E-2</v>
      </c>
      <c r="BG32" s="10">
        <f t="shared" ca="1" si="20"/>
        <v>3.1994282408124658E-2</v>
      </c>
      <c r="BH32" s="10">
        <f t="shared" ca="1" si="21"/>
        <v>4.9227263860238624E-2</v>
      </c>
      <c r="BI32" s="13">
        <f t="shared" ca="1" si="28"/>
        <v>131.72349764200382</v>
      </c>
      <c r="BJ32" s="13">
        <f t="shared" ca="1" si="29"/>
        <v>7.3779488100177311</v>
      </c>
      <c r="BK32" s="13">
        <f t="shared" ca="1" si="22"/>
        <v>17.853674650486937</v>
      </c>
      <c r="BL32" s="14">
        <f t="shared" ca="1" si="23"/>
        <v>177.00054813568673</v>
      </c>
      <c r="BO32" s="16">
        <f ca="1">'Airfoil-RCmax'!J32</f>
        <v>5.1342420892456291</v>
      </c>
      <c r="BP32" s="1">
        <f ca="1">BO32/(1+BO32/(PI()*'Aerodynamics-Constants'!I32)*(1+AB32))</f>
        <v>4.2822808671650572</v>
      </c>
      <c r="BR32" s="12">
        <v>6</v>
      </c>
      <c r="BS32" s="1">
        <f t="shared" si="24"/>
        <v>3.8321766772122796</v>
      </c>
      <c r="BT32" s="1">
        <f>Stability!W32</f>
        <v>2.7097581151617343</v>
      </c>
      <c r="BV32" s="12">
        <v>6</v>
      </c>
      <c r="BW32" s="1">
        <f t="shared" si="25"/>
        <v>3.8297812798968627</v>
      </c>
      <c r="BX32" s="1">
        <f>Stability!Y32</f>
        <v>2.7080643134763669</v>
      </c>
    </row>
    <row r="33" spans="2:76">
      <c r="B33" s="16">
        <f>'RC'!F33</f>
        <v>0.65969672852566186</v>
      </c>
      <c r="C33" s="74">
        <f>'Airfoil-RCmax'!E33</f>
        <v>1.5987591530356481E-5</v>
      </c>
      <c r="E33" s="19">
        <f ca="1">'RC'!H33</f>
        <v>131.66480106818827</v>
      </c>
      <c r="F33" s="63">
        <f>Weight!G33</f>
        <v>0.3</v>
      </c>
      <c r="H33" s="20">
        <f t="shared" ca="1" si="26"/>
        <v>23.594721425621834</v>
      </c>
      <c r="I33" s="20">
        <f t="shared" ca="1" si="0"/>
        <v>18.54257099234928</v>
      </c>
      <c r="J33" s="20">
        <f t="shared" ca="1" si="1"/>
        <v>1.2724622402878807</v>
      </c>
      <c r="L33" s="31">
        <f>Main!B33</f>
        <v>0.33333333333333326</v>
      </c>
      <c r="M33" s="31">
        <f>Main!C33</f>
        <v>2.4473684210526319</v>
      </c>
      <c r="N33" s="1">
        <f t="shared" si="2"/>
        <v>0.8157894736842104</v>
      </c>
      <c r="O33" s="1">
        <f t="shared" si="3"/>
        <v>7.3421052631578974</v>
      </c>
      <c r="P33" s="16">
        <f ca="1">'Aerodynamics-Constants'!AC33</f>
        <v>5.000592072206575E-2</v>
      </c>
      <c r="Q33" s="16">
        <f>'Aerodynamics-Constants'!AD33</f>
        <v>3.6710526315789487</v>
      </c>
      <c r="R33" s="63">
        <f>Stability!G33</f>
        <v>5.6500000000000012</v>
      </c>
      <c r="S33" s="16">
        <f ca="1">'Aerodynamics-Constants'!AM33</f>
        <v>1.8537607723557867E-2</v>
      </c>
      <c r="T33" s="16">
        <f>'Aerodynamics-Constants'!AN33</f>
        <v>3.6710526315789487</v>
      </c>
      <c r="V33" s="81">
        <f t="shared" ca="1" si="4"/>
        <v>324530.02704008069</v>
      </c>
      <c r="W33" s="63">
        <f ca="1">'Aerodynamics-Cruise'!W33</f>
        <v>0.9</v>
      </c>
      <c r="X33" s="42">
        <f ca="1">'Airfoil-RCmax'!V33</f>
        <v>8.2408925143109147E-3</v>
      </c>
      <c r="Y33" s="14">
        <f t="shared" ca="1" si="5"/>
        <v>109.21147174739677</v>
      </c>
      <c r="Z33" s="16">
        <f ca="1">'Airfoil-RCmax'!AF33</f>
        <v>-0.154999999999999</v>
      </c>
      <c r="AA33" s="31">
        <f>Main!I33</f>
        <v>1.149264745760594</v>
      </c>
      <c r="AB33" s="12">
        <f t="shared" si="6"/>
        <v>-0.12987846909182721</v>
      </c>
      <c r="AC33" s="30">
        <f t="shared" ca="1" si="7"/>
        <v>1.9441264968346204</v>
      </c>
      <c r="AD33" s="13">
        <f t="shared" ca="1" si="8"/>
        <v>1.9441264968346204</v>
      </c>
      <c r="AE33" s="13">
        <f ca="1">DEGREES(AF33/BP33)+'Airfoil-RCmax'!K33</f>
        <v>3.2105448755450858</v>
      </c>
      <c r="AF33" s="1">
        <f t="shared" ca="1" si="9"/>
        <v>0.89948194649194757</v>
      </c>
      <c r="AG33" s="16">
        <f ca="1">0.9*'Airfoil-RCmax'!I33</f>
        <v>1.4231063433726094</v>
      </c>
      <c r="AH33" s="42">
        <f ca="1">0.455/(LOG10(MIN(V33,'Aerodynamics-Constants'!L33)))^2.58</f>
        <v>5.56653718793634E-3</v>
      </c>
      <c r="AI33" s="42">
        <f ca="1">+AH33*'Aerodynamics-Constants'!J33*'Aerodynamics-Constants'!M33</f>
        <v>0</v>
      </c>
      <c r="AJ33" s="10">
        <f ca="1">X33*COS(RADIANS(AC33))*'Aerodynamics-Constants'!M33+AI33</f>
        <v>8.236148932892557E-3</v>
      </c>
      <c r="AK33" s="10">
        <f ca="1">AF33^2/(PI()*'Aerodynamics-Constants'!I33*AA33)</f>
        <v>3.0520689315346412E-2</v>
      </c>
      <c r="AL33" s="10">
        <f t="shared" ca="1" si="10"/>
        <v>3.8756838248238973E-2</v>
      </c>
      <c r="AM33" s="1">
        <f t="shared" ca="1" si="11"/>
        <v>-0.154999999999999</v>
      </c>
      <c r="AN33" s="1">
        <f t="shared" ca="1" si="12"/>
        <v>-0.33550409664813946</v>
      </c>
      <c r="AO33" s="12">
        <f t="shared" si="27"/>
        <v>0.9460498447561202</v>
      </c>
      <c r="AP33" s="12">
        <f t="shared" si="13"/>
        <v>5.7026757673415585E-2</v>
      </c>
      <c r="AQ33" s="81">
        <f ca="1">B33*H33*'Aerodynamics-Constants'!AA33/C33</f>
        <v>113629.61866074814</v>
      </c>
      <c r="AR33" s="10">
        <f ca="1">0.455/(LOG10(MIN(AQ33,'Aerodynamics-Constants'!AG33)))^2.58</f>
        <v>6.9550755782117127E-3</v>
      </c>
      <c r="AS33" s="15">
        <f ca="1">AR33*'Aerodynamics-Constants'!AI33*'Aerodynamics-Constants'!AJ33*'Aerodynamics-Constants'!AE33/P33</f>
        <v>1.9346356255986262E-2</v>
      </c>
      <c r="AT33" s="10">
        <f t="shared" ca="1" si="14"/>
        <v>1.0316708328524639E-2</v>
      </c>
      <c r="AU33" s="10">
        <f t="shared" ca="1" si="15"/>
        <v>2.9663064584510901E-2</v>
      </c>
      <c r="AV33" s="12">
        <f t="shared" si="16"/>
        <v>0.94797368421052641</v>
      </c>
      <c r="AW33" s="12">
        <f t="shared" si="17"/>
        <v>5.4881603420037006E-2</v>
      </c>
      <c r="AX33" s="81">
        <f ca="1">B33*H33*'Aerodynamics-Constants'!AK33/C33</f>
        <v>69184.320377230906</v>
      </c>
      <c r="AY33" s="10">
        <f ca="1">0.455/(LOG10(MIN(AX33,'Aerodynamics-Constants'!AQ33)))^2.58</f>
        <v>7.7823110646420548E-3</v>
      </c>
      <c r="AZ33" s="15">
        <f ca="1">AY33*'Aerodynamics-Constants'!AS33*'Aerodynamics-Constants'!AT33*'Aerodynamics-Constants'!AO33/S33</f>
        <v>2.1647408523227104E-2</v>
      </c>
      <c r="BA33" s="81">
        <f ca="1">B33*H33*'Aerodynamics-Constants'!N33/C33</f>
        <v>2482654.7068566177</v>
      </c>
      <c r="BB33" s="10">
        <f ca="1">0.455/(LOG10(MIN(BA33,'Aerodynamics-Constants'!V33)))^2.58</f>
        <v>3.7927781672387317E-3</v>
      </c>
      <c r="BC33" s="10">
        <f ca="1">BB33*'Aerodynamics-Constants'!W33*'Aerodynamics-Constants'!X33*'Aerodynamics-Constants'!S33/N33+'Aerodynamics-Constants'!Z33</f>
        <v>2.2328633734915696E-3</v>
      </c>
      <c r="BD33" s="15">
        <f ca="1">BC33*'Aerodynamics-Constants'!AU33+(AJ33+AS33+AZ33)*('Aerodynamics-Constants'!AU33-1)</f>
        <v>7.3791410820513237E-3</v>
      </c>
      <c r="BE33" s="16">
        <f t="shared" ca="1" si="18"/>
        <v>0.87891635720682582</v>
      </c>
      <c r="BF33" s="10">
        <f t="shared" ca="1" si="19"/>
        <v>1.7293080141913216E-2</v>
      </c>
      <c r="BG33" s="10">
        <f t="shared" ca="1" si="20"/>
        <v>3.1153078571926326E-2</v>
      </c>
      <c r="BH33" s="10">
        <f t="shared" ca="1" si="21"/>
        <v>4.8446158713839546E-2</v>
      </c>
      <c r="BI33" s="13">
        <f t="shared" ca="1" si="28"/>
        <v>131.66480106818821</v>
      </c>
      <c r="BJ33" s="13">
        <f t="shared" ca="1" si="29"/>
        <v>7.2574071437773213</v>
      </c>
      <c r="BK33" s="13">
        <f t="shared" ca="1" si="22"/>
        <v>18.142126858775015</v>
      </c>
      <c r="BL33" s="14">
        <f t="shared" ca="1" si="23"/>
        <v>171.23649982974374</v>
      </c>
      <c r="BO33" s="16">
        <f ca="1">'Airfoil-RCmax'!J33</f>
        <v>5.1630477180641652</v>
      </c>
      <c r="BP33" s="1">
        <f ca="1">BO33/(1+BO33/(PI()*'Aerodynamics-Constants'!I33)*(1+AB33))</f>
        <v>4.3213842786912098</v>
      </c>
      <c r="BR33" s="12">
        <v>6</v>
      </c>
      <c r="BS33" s="1">
        <f t="shared" si="24"/>
        <v>3.8711762947279209</v>
      </c>
      <c r="BT33" s="1">
        <f>Stability!W33</f>
        <v>2.7373350091707258</v>
      </c>
      <c r="BV33" s="12">
        <v>6</v>
      </c>
      <c r="BW33" s="1">
        <f t="shared" si="25"/>
        <v>3.8739657330797428</v>
      </c>
      <c r="BX33" s="1">
        <f>Stability!Y33</f>
        <v>2.739307439945001</v>
      </c>
    </row>
    <row r="34" spans="2:76">
      <c r="B34" s="16">
        <f>'RC'!F34</f>
        <v>0.65969672852566186</v>
      </c>
      <c r="C34" s="74">
        <f>'Airfoil-RCmax'!E34</f>
        <v>1.5987591530356481E-5</v>
      </c>
      <c r="E34" s="19">
        <f ca="1">'RC'!H34</f>
        <v>131.64808624958647</v>
      </c>
      <c r="F34" s="63">
        <f>Weight!G34</f>
        <v>0.3</v>
      </c>
      <c r="H34" s="20">
        <f t="shared" ca="1" si="26"/>
        <v>23.221306277875662</v>
      </c>
      <c r="I34" s="20">
        <f t="shared" ca="1" si="0"/>
        <v>18.251408915192314</v>
      </c>
      <c r="J34" s="20">
        <f t="shared" ca="1" si="1"/>
        <v>1.2723021212102945</v>
      </c>
      <c r="L34" s="31">
        <f>Main!B34</f>
        <v>0.33333333333333326</v>
      </c>
      <c r="M34" s="31">
        <f>Main!C34</f>
        <v>2.5263157894736845</v>
      </c>
      <c r="N34" s="1">
        <f t="shared" si="2"/>
        <v>0.84210526315789469</v>
      </c>
      <c r="O34" s="1">
        <f t="shared" si="3"/>
        <v>7.5789473684210549</v>
      </c>
      <c r="P34" s="16">
        <f ca="1">'Aerodynamics-Constants'!AC34</f>
        <v>5.1212083567651716E-2</v>
      </c>
      <c r="Q34" s="16">
        <f>'Aerodynamics-Constants'!AD34</f>
        <v>3.7894736842105274</v>
      </c>
      <c r="R34" s="63">
        <f>Stability!G34</f>
        <v>5.6500000000000012</v>
      </c>
      <c r="S34" s="16">
        <f ca="1">'Aerodynamics-Constants'!AM34</f>
        <v>1.9502585994958192E-2</v>
      </c>
      <c r="T34" s="16">
        <f>'Aerodynamics-Constants'!AN34</f>
        <v>3.7894736842105274</v>
      </c>
      <c r="V34" s="81">
        <f t="shared" ca="1" si="4"/>
        <v>319393.94487114076</v>
      </c>
      <c r="W34" s="63">
        <f ca="1">'Aerodynamics-Cruise'!W34</f>
        <v>0.9</v>
      </c>
      <c r="X34" s="42">
        <f ca="1">'Airfoil-RCmax'!V34</f>
        <v>8.3435615594175637E-3</v>
      </c>
      <c r="Y34" s="14">
        <f t="shared" ca="1" si="5"/>
        <v>107.86760469024766</v>
      </c>
      <c r="Z34" s="16">
        <f ca="1">'Airfoil-RCmax'!AF34</f>
        <v>-0.154999999999999</v>
      </c>
      <c r="AA34" s="31">
        <f>Main!I34</f>
        <v>1.1424833074368379</v>
      </c>
      <c r="AB34" s="12">
        <f t="shared" si="6"/>
        <v>-0.12471368860215504</v>
      </c>
      <c r="AC34" s="30">
        <f t="shared" ca="1" si="7"/>
        <v>1.8946065526567784</v>
      </c>
      <c r="AD34" s="13">
        <f t="shared" ca="1" si="8"/>
        <v>1.8946065526567784</v>
      </c>
      <c r="AE34" s="13">
        <f ca="1">DEGREES(AF34/BP34)+'Airfoil-RCmax'!K34</f>
        <v>3.2003824453666656</v>
      </c>
      <c r="AF34" s="1">
        <f t="shared" ca="1" si="9"/>
        <v>0.89950799927140002</v>
      </c>
      <c r="AG34" s="16">
        <f ca="1">0.9*'Airfoil-RCmax'!I34</f>
        <v>1.4227907825829067</v>
      </c>
      <c r="AH34" s="42">
        <f ca="1">0.455/(LOG10(MIN(V34,'Aerodynamics-Constants'!L34)))^2.58</f>
        <v>5.584631965229959E-3</v>
      </c>
      <c r="AI34" s="42">
        <f ca="1">+AH34*'Aerodynamics-Constants'!J34*'Aerodynamics-Constants'!M34</f>
        <v>0</v>
      </c>
      <c r="AJ34" s="10">
        <f ca="1">X34*COS(RADIANS(AC34))*'Aerodynamics-Constants'!M34+AI34</f>
        <v>8.3390004056771716E-3</v>
      </c>
      <c r="AK34" s="10">
        <f ca="1">AF34^2/(PI()*'Aerodynamics-Constants'!I34*AA34)</f>
        <v>2.9744141088047515E-2</v>
      </c>
      <c r="AL34" s="10">
        <f t="shared" ca="1" si="10"/>
        <v>3.8083141493724687E-2</v>
      </c>
      <c r="AM34" s="1">
        <f t="shared" ca="1" si="11"/>
        <v>-0.154999999999999</v>
      </c>
      <c r="AN34" s="1">
        <f t="shared" ca="1" si="12"/>
        <v>-0.33816600949220377</v>
      </c>
      <c r="AO34" s="12">
        <f t="shared" si="27"/>
        <v>0.94181710644360173</v>
      </c>
      <c r="AP34" s="12">
        <f t="shared" si="13"/>
        <v>6.1777274120771608E-2</v>
      </c>
      <c r="AQ34" s="81">
        <f ca="1">B34*H34*'Aerodynamics-Constants'!AA34/C34</f>
        <v>111389.61635795578</v>
      </c>
      <c r="AR34" s="10">
        <f ca="1">0.455/(LOG10(MIN(AQ34,'Aerodynamics-Constants'!AG34)))^2.58</f>
        <v>6.9858611139182181E-3</v>
      </c>
      <c r="AS34" s="15">
        <f ca="1">AR34*'Aerodynamics-Constants'!AI34*'Aerodynamics-Constants'!AJ34*'Aerodynamics-Constants'!AE34/P34</f>
        <v>1.9431989824538018E-2</v>
      </c>
      <c r="AT34" s="10">
        <f t="shared" ca="1" si="14"/>
        <v>1.019916370879902E-2</v>
      </c>
      <c r="AU34" s="10">
        <f t="shared" ca="1" si="15"/>
        <v>2.9631153533337038E-2</v>
      </c>
      <c r="AV34" s="12">
        <f t="shared" si="16"/>
        <v>0.94726315789473692</v>
      </c>
      <c r="AW34" s="12">
        <f t="shared" si="17"/>
        <v>5.5672852539170981E-2</v>
      </c>
      <c r="AX34" s="81">
        <f ca="1">B34*H34*'Aerodynamics-Constants'!AK34/C34</f>
        <v>68739.217850459143</v>
      </c>
      <c r="AY34" s="10">
        <f ca="1">0.455/(LOG10(MIN(AX34,'Aerodynamics-Constants'!AQ34)))^2.58</f>
        <v>7.7939515238858665E-3</v>
      </c>
      <c r="AZ34" s="15">
        <f ca="1">AY34*'Aerodynamics-Constants'!AS34*'Aerodynamics-Constants'!AT34*'Aerodynamics-Constants'!AO34/S34</f>
        <v>2.1679787822198281E-2</v>
      </c>
      <c r="BA34" s="81">
        <f ca="1">B34*H34*'Aerodynamics-Constants'!N34/C34</f>
        <v>2443363.6782642272</v>
      </c>
      <c r="BB34" s="10">
        <f ca="1">0.455/(LOG10(MIN(BA34,'Aerodynamics-Constants'!V34)))^2.58</f>
        <v>3.8034001590415462E-3</v>
      </c>
      <c r="BC34" s="10">
        <f ca="1">BB34*'Aerodynamics-Constants'!W34*'Aerodynamics-Constants'!X34*'Aerodynamics-Constants'!S34/N34+'Aerodynamics-Constants'!Z34</f>
        <v>2.1691391710954642E-3</v>
      </c>
      <c r="BD34" s="15">
        <f ca="1">BC34*'Aerodynamics-Constants'!AU34+(AJ34+AS34+AZ34)*('Aerodynamics-Constants'!AU34-1)</f>
        <v>7.331130893446362E-3</v>
      </c>
      <c r="BE34" s="16">
        <f t="shared" ca="1" si="18"/>
        <v>0.87894265347019829</v>
      </c>
      <c r="BF34" s="10">
        <f t="shared" ca="1" si="19"/>
        <v>1.735396427722119E-2</v>
      </c>
      <c r="BG34" s="10">
        <f t="shared" ca="1" si="20"/>
        <v>3.0364396591755535E-2</v>
      </c>
      <c r="BH34" s="10">
        <f t="shared" ca="1" si="21"/>
        <v>4.7718360868976725E-2</v>
      </c>
      <c r="BI34" s="13">
        <f t="shared" ca="1" si="28"/>
        <v>131.64808624958647</v>
      </c>
      <c r="BJ34" s="13">
        <f t="shared" ca="1" si="29"/>
        <v>7.1472591102110403</v>
      </c>
      <c r="BK34" s="13">
        <f t="shared" ca="1" si="22"/>
        <v>18.419380663211921</v>
      </c>
      <c r="BL34" s="14">
        <f t="shared" ca="1" si="23"/>
        <v>165.96869284554765</v>
      </c>
      <c r="BO34" s="16">
        <f ca="1">'Airfoil-RCmax'!J34</f>
        <v>5.1908252281472196</v>
      </c>
      <c r="BP34" s="1">
        <f ca="1">BO34/(1+BO34/(PI()*'Aerodynamics-Constants'!I34)*(1+AB34))</f>
        <v>4.3590280493035714</v>
      </c>
      <c r="BR34" s="12">
        <v>6</v>
      </c>
      <c r="BS34" s="1">
        <f t="shared" si="24"/>
        <v>3.9084744159557685</v>
      </c>
      <c r="BT34" s="1">
        <f>Stability!W34</f>
        <v>2.7637087636164548</v>
      </c>
      <c r="BV34" s="12">
        <v>6</v>
      </c>
      <c r="BW34" s="1">
        <f t="shared" si="25"/>
        <v>3.9163231849688693</v>
      </c>
      <c r="BX34" s="1">
        <f>Stability!Y34</f>
        <v>2.7692586814095854</v>
      </c>
    </row>
    <row r="35" spans="2:76">
      <c r="B35" s="16">
        <f>'RC'!F35</f>
        <v>0.65969672852566186</v>
      </c>
      <c r="C35" s="74">
        <f>'Airfoil-RCmax'!E35</f>
        <v>1.5987591530356481E-5</v>
      </c>
      <c r="E35" s="19">
        <f ca="1">'RC'!H35</f>
        <v>131.66397514989566</v>
      </c>
      <c r="F35" s="63">
        <f>Weight!G35</f>
        <v>0.3</v>
      </c>
      <c r="H35" s="20">
        <f t="shared" ca="1" si="26"/>
        <v>22.867828371575957</v>
      </c>
      <c r="I35" s="20">
        <f t="shared" ca="1" si="0"/>
        <v>17.975746070671946</v>
      </c>
      <c r="J35" s="20">
        <f t="shared" ca="1" si="1"/>
        <v>1.2721490547135406</v>
      </c>
      <c r="L35" s="31">
        <f>Main!B35</f>
        <v>0.33333333333333326</v>
      </c>
      <c r="M35" s="31">
        <f>Main!C35</f>
        <v>2.6052631578947372</v>
      </c>
      <c r="N35" s="1">
        <f t="shared" si="2"/>
        <v>0.86842105263157887</v>
      </c>
      <c r="O35" s="1">
        <f t="shared" si="3"/>
        <v>7.8157894736842133</v>
      </c>
      <c r="P35" s="16">
        <f ca="1">'Aerodynamics-Constants'!AC35</f>
        <v>5.2417396335312914E-2</v>
      </c>
      <c r="Q35" s="16">
        <f>'Aerodynamics-Constants'!AD35</f>
        <v>3.9078947368421066</v>
      </c>
      <c r="R35" s="63">
        <f>Stability!G35</f>
        <v>5.6500000000000012</v>
      </c>
      <c r="S35" s="16">
        <f ca="1">'Aerodynamics-Constants'!AM35</f>
        <v>2.0494814609083551E-2</v>
      </c>
      <c r="T35" s="16">
        <f>'Aerodynamics-Constants'!AN35</f>
        <v>3.9078947368421066</v>
      </c>
      <c r="V35" s="81">
        <f t="shared" ca="1" si="4"/>
        <v>314532.08647407807</v>
      </c>
      <c r="W35" s="63">
        <f ca="1">'Aerodynamics-Cruise'!W35</f>
        <v>0.9</v>
      </c>
      <c r="X35" s="42">
        <f ca="1">'Airfoil-RCmax'!V35</f>
        <v>8.4434876229700986E-3</v>
      </c>
      <c r="Y35" s="14">
        <f t="shared" ca="1" si="5"/>
        <v>106.59102496361736</v>
      </c>
      <c r="Z35" s="16">
        <f ca="1">'Airfoil-RCmax'!AF35</f>
        <v>-0.15499999999999903</v>
      </c>
      <c r="AA35" s="31">
        <f>Main!I35</f>
        <v>1.1357693582334683</v>
      </c>
      <c r="AB35" s="12">
        <f t="shared" si="6"/>
        <v>-0.11953955021699003</v>
      </c>
      <c r="AC35" s="30">
        <f t="shared" ca="1" si="7"/>
        <v>1.8481035697317774</v>
      </c>
      <c r="AD35" s="13">
        <f t="shared" ca="1" si="8"/>
        <v>1.8481035697317774</v>
      </c>
      <c r="AE35" s="13">
        <f ca="1">DEGREES(AF35/BP35)+'Airfoil-RCmax'!K35</f>
        <v>3.1910510136285524</v>
      </c>
      <c r="AF35" s="1">
        <f t="shared" ca="1" si="9"/>
        <v>0.89953185304114758</v>
      </c>
      <c r="AG35" s="16">
        <f ca="1">0.9*'Airfoil-RCmax'!I35</f>
        <v>1.4224874254367541</v>
      </c>
      <c r="AH35" s="42">
        <f ca="1">0.455/(LOG10(MIN(V35,'Aerodynamics-Constants'!L35)))^2.58</f>
        <v>5.6021078097905005E-3</v>
      </c>
      <c r="AI35" s="42">
        <f ca="1">+AH35*'Aerodynamics-Constants'!J35*'Aerodynamics-Constants'!M35</f>
        <v>0</v>
      </c>
      <c r="AJ35" s="10">
        <f ca="1">X35*COS(RADIANS(AC35))*'Aerodynamics-Constants'!M35+AI35</f>
        <v>8.4390956306892081E-3</v>
      </c>
      <c r="AK35" s="10">
        <f ca="1">AF35^2/(PI()*'Aerodynamics-Constants'!I35*AA35)</f>
        <v>2.9014842678127872E-2</v>
      </c>
      <c r="AL35" s="10">
        <f t="shared" ca="1" si="10"/>
        <v>3.7453938308817082E-2</v>
      </c>
      <c r="AM35" s="1">
        <f t="shared" ca="1" si="11"/>
        <v>-0.15499999999999903</v>
      </c>
      <c r="AN35" s="1">
        <f t="shared" ca="1" si="12"/>
        <v>-0.34071104056664281</v>
      </c>
      <c r="AO35" s="12">
        <f t="shared" si="27"/>
        <v>0.93762649249643182</v>
      </c>
      <c r="AP35" s="12">
        <f t="shared" si="13"/>
        <v>6.6522765731052091E-2</v>
      </c>
      <c r="AQ35" s="81">
        <f ca="1">B35*H35*'Aerodynamics-Constants'!AA35/C35</f>
        <v>109282.97381984621</v>
      </c>
      <c r="AR35" s="10">
        <f ca="1">0.455/(LOG10(MIN(AQ35,'Aerodynamics-Constants'!AG35)))^2.58</f>
        <v>7.0155619229732924E-3</v>
      </c>
      <c r="AS35" s="15">
        <f ca="1">AR35*'Aerodynamics-Constants'!AI35*'Aerodynamics-Constants'!AJ35*'Aerodynamics-Constants'!AE35/P35</f>
        <v>1.9514606099028345E-2</v>
      </c>
      <c r="AT35" s="10">
        <f t="shared" ca="1" si="14"/>
        <v>1.0084394207348127E-2</v>
      </c>
      <c r="AU35" s="10">
        <f t="shared" ca="1" si="15"/>
        <v>2.9599000306376473E-2</v>
      </c>
      <c r="AV35" s="12">
        <f t="shared" si="16"/>
        <v>0.94655263157894742</v>
      </c>
      <c r="AW35" s="12">
        <f t="shared" si="17"/>
        <v>5.6465289554894493E-2</v>
      </c>
      <c r="AX35" s="81">
        <f ca="1">B35*H35*'Aerodynamics-Constants'!AK35/C35</f>
        <v>68333.989901927693</v>
      </c>
      <c r="AY35" s="10">
        <f ca="1">0.455/(LOG10(MIN(AX35,'Aerodynamics-Constants'!AQ35)))^2.58</f>
        <v>7.8046361209301689E-3</v>
      </c>
      <c r="AZ35" s="15">
        <f ca="1">AY35*'Aerodynamics-Constants'!AS35*'Aerodynamics-Constants'!AT35*'Aerodynamics-Constants'!AO35/S35</f>
        <v>2.1709508278654324E-2</v>
      </c>
      <c r="BA35" s="81">
        <f ca="1">B35*H35*'Aerodynamics-Constants'!N35/C35</f>
        <v>2406170.4615266975</v>
      </c>
      <c r="BB35" s="10">
        <f ca="1">0.455/(LOG10(MIN(BA35,'Aerodynamics-Constants'!V35)))^2.58</f>
        <v>3.8136525557568774E-3</v>
      </c>
      <c r="BC35" s="10">
        <f ca="1">BB35*'Aerodynamics-Constants'!W35*'Aerodynamics-Constants'!X35*'Aerodynamics-Constants'!S35/N35+'Aerodynamics-Constants'!Z35</f>
        <v>2.1090728155800315E-3</v>
      </c>
      <c r="BD35" s="15">
        <f ca="1">BC35*'Aerodynamics-Constants'!AU35+(AJ35+AS35+AZ35)*('Aerodynamics-Constants'!AU35-1)</f>
        <v>7.2863010979752271E-3</v>
      </c>
      <c r="BE35" s="16">
        <f t="shared" ca="1" si="18"/>
        <v>0.87896673017237348</v>
      </c>
      <c r="BF35" s="10">
        <f t="shared" ca="1" si="19"/>
        <v>1.741563349249884E-2</v>
      </c>
      <c r="BG35" s="10">
        <f t="shared" ca="1" si="20"/>
        <v>2.9623530924879019E-2</v>
      </c>
      <c r="BH35" s="10">
        <f t="shared" ca="1" si="21"/>
        <v>4.7039164417377863E-2</v>
      </c>
      <c r="BI35" s="13">
        <f t="shared" ca="1" si="28"/>
        <v>131.66397514989569</v>
      </c>
      <c r="BJ35" s="13">
        <f t="shared" ca="1" si="29"/>
        <v>7.0461863484945786</v>
      </c>
      <c r="BK35" s="13">
        <f t="shared" ca="1" si="22"/>
        <v>18.685849144200645</v>
      </c>
      <c r="BL35" s="14">
        <f t="shared" ca="1" si="23"/>
        <v>161.13098009151551</v>
      </c>
      <c r="BO35" s="16">
        <f ca="1">'Airfoil-RCmax'!J35</f>
        <v>5.2176752338374115</v>
      </c>
      <c r="BP35" s="1">
        <f ca="1">BO35/(1+BO35/(PI()*'Aerodynamics-Constants'!I35)*(1+AB35))</f>
        <v>4.3953276422368015</v>
      </c>
      <c r="BR35" s="12">
        <v>6</v>
      </c>
      <c r="BS35" s="1">
        <f t="shared" si="24"/>
        <v>3.9441790955022142</v>
      </c>
      <c r="BT35" s="1">
        <f>Stability!W35</f>
        <v>2.7889557846438393</v>
      </c>
      <c r="BV35" s="12">
        <v>6</v>
      </c>
      <c r="BW35" s="1">
        <f t="shared" si="25"/>
        <v>3.9569645174604378</v>
      </c>
      <c r="BX35" s="1">
        <f>Stability!Y35</f>
        <v>2.7979964432108306</v>
      </c>
    </row>
    <row r="36" spans="2:76">
      <c r="B36" s="16">
        <f>'RC'!F36</f>
        <v>0.65969672852566186</v>
      </c>
      <c r="C36" s="74">
        <f>'Airfoil-RCmax'!E36</f>
        <v>1.5987591530356481E-5</v>
      </c>
      <c r="E36" s="19">
        <f ca="1">'RC'!H36</f>
        <v>131.71508343743108</v>
      </c>
      <c r="F36" s="63">
        <f>Weight!G36</f>
        <v>0.3</v>
      </c>
      <c r="H36" s="20">
        <f t="shared" ca="1" si="26"/>
        <v>22.533115808140305</v>
      </c>
      <c r="I36" s="20">
        <f t="shared" ca="1" si="0"/>
        <v>17.714676263175932</v>
      </c>
      <c r="J36" s="20">
        <f t="shared" ca="1" si="1"/>
        <v>1.2720026871154637</v>
      </c>
      <c r="L36" s="31">
        <f>Main!B36</f>
        <v>0.33333333333333326</v>
      </c>
      <c r="M36" s="31">
        <f>Main!C36</f>
        <v>2.6842105263157898</v>
      </c>
      <c r="N36" s="1">
        <f t="shared" si="2"/>
        <v>0.89473684210526305</v>
      </c>
      <c r="O36" s="1">
        <f t="shared" si="3"/>
        <v>8.0526315789473717</v>
      </c>
      <c r="P36" s="16">
        <f ca="1">'Aerodynamics-Constants'!AC36</f>
        <v>5.3621746106374713E-2</v>
      </c>
      <c r="Q36" s="16">
        <f>'Aerodynamics-Constants'!AD36</f>
        <v>4.0263157894736858</v>
      </c>
      <c r="R36" s="63">
        <f>Stability!G36</f>
        <v>5.6500000000000012</v>
      </c>
      <c r="S36" s="16">
        <f ca="1">'Aerodynamics-Constants'!AM36</f>
        <v>2.1514190560189127E-2</v>
      </c>
      <c r="T36" s="16">
        <f>'Aerodynamics-Constants'!AN36</f>
        <v>4.0263157894736858</v>
      </c>
      <c r="V36" s="81">
        <f t="shared" ca="1" si="4"/>
        <v>309928.33314709575</v>
      </c>
      <c r="W36" s="63">
        <f ca="1">'Aerodynamics-Cruise'!W36</f>
        <v>0.9</v>
      </c>
      <c r="X36" s="42">
        <f ca="1">'Airfoil-RCmax'!V36</f>
        <v>8.5406709143692212E-3</v>
      </c>
      <c r="Y36" s="14">
        <f t="shared" ca="1" si="5"/>
        <v>105.37813820759658</v>
      </c>
      <c r="Z36" s="16">
        <f ca="1">'Airfoil-RCmax'!AF36</f>
        <v>-0.15499999999999903</v>
      </c>
      <c r="AA36" s="31">
        <f>Main!I36</f>
        <v>1.1291202108009399</v>
      </c>
      <c r="AB36" s="12">
        <f t="shared" si="6"/>
        <v>-0.11435470693536576</v>
      </c>
      <c r="AC36" s="30">
        <f t="shared" ca="1" si="7"/>
        <v>1.8043545063672561</v>
      </c>
      <c r="AD36" s="13">
        <f t="shared" ca="1" si="8"/>
        <v>1.8043545063672561</v>
      </c>
      <c r="AE36" s="13">
        <f ca="1">DEGREES(AF36/BP36)+'Airfoil-RCmax'!K36</f>
        <v>3.1824209759912225</v>
      </c>
      <c r="AF36" s="1">
        <f t="shared" ca="1" si="9"/>
        <v>0.89955375322190667</v>
      </c>
      <c r="AG36" s="16">
        <f ca="1">0.9*'Airfoil-RCmax'!I36</f>
        <v>1.4221958800465335</v>
      </c>
      <c r="AH36" s="42">
        <f ca="1">0.455/(LOG10(MIN(V36,'Aerodynamics-Constants'!L36)))^2.58</f>
        <v>5.6189783259579752E-3</v>
      </c>
      <c r="AI36" s="42">
        <f ca="1">+AH36*'Aerodynamics-Constants'!J36*'Aerodynamics-Constants'!M36</f>
        <v>0</v>
      </c>
      <c r="AJ36" s="10">
        <f ca="1">X36*COS(RADIANS(AC36))*'Aerodynamics-Constants'!M36+AI36</f>
        <v>8.5364361956155616E-3</v>
      </c>
      <c r="AK36" s="10">
        <f ca="1">AF36^2/(PI()*'Aerodynamics-Constants'!I36*AA36)</f>
        <v>2.8328681137411188E-2</v>
      </c>
      <c r="AL36" s="10">
        <f t="shared" ca="1" si="10"/>
        <v>3.6865117333026748E-2</v>
      </c>
      <c r="AM36" s="1">
        <f t="shared" ca="1" si="11"/>
        <v>-0.15499999999999903</v>
      </c>
      <c r="AN36" s="1">
        <f t="shared" ca="1" si="12"/>
        <v>-0.34314790731950845</v>
      </c>
      <c r="AO36" s="12">
        <f t="shared" si="27"/>
        <v>0.93347632556434401</v>
      </c>
      <c r="AP36" s="12">
        <f t="shared" si="13"/>
        <v>7.1264447328579283E-2</v>
      </c>
      <c r="AQ36" s="81">
        <f ca="1">B36*H36*'Aerodynamics-Constants'!AA36/C36</f>
        <v>107299.84489039093</v>
      </c>
      <c r="AR36" s="10">
        <f ca="1">0.455/(LOG10(MIN(AQ36,'Aerodynamics-Constants'!AG36)))^2.58</f>
        <v>7.0442141320665201E-3</v>
      </c>
      <c r="AS36" s="15">
        <f ca="1">AR36*'Aerodynamics-Constants'!AI36*'Aerodynamics-Constants'!AJ36*'Aerodynamics-Constants'!AE36/P36</f>
        <v>1.959430557007005E-2</v>
      </c>
      <c r="AT36" s="10">
        <f t="shared" ca="1" si="14"/>
        <v>9.9724460265066522E-3</v>
      </c>
      <c r="AU36" s="10">
        <f t="shared" ca="1" si="15"/>
        <v>2.95667515965767E-2</v>
      </c>
      <c r="AV36" s="12">
        <f t="shared" si="16"/>
        <v>0.94584210526315793</v>
      </c>
      <c r="AW36" s="12">
        <f t="shared" si="17"/>
        <v>5.725891714428788E-2</v>
      </c>
      <c r="AX36" s="81">
        <f ca="1">B36*H36*'Aerodynamics-Constants'!AK36/C36</f>
        <v>67965.90806238442</v>
      </c>
      <c r="AY36" s="10">
        <f ca="1">0.455/(LOG10(MIN(AX36,'Aerodynamics-Constants'!AQ36)))^2.58</f>
        <v>7.8144141207017355E-3</v>
      </c>
      <c r="AZ36" s="15">
        <f ca="1">AY36*'Aerodynamics-Constants'!AS36*'Aerodynamics-Constants'!AT36*'Aerodynamics-Constants'!AO36/S36</f>
        <v>2.1736706928751577E-2</v>
      </c>
      <c r="BA36" s="81">
        <f ca="1">B36*H36*'Aerodynamics-Constants'!N36/C36</f>
        <v>2370951.7485752832</v>
      </c>
      <c r="BB36" s="10">
        <f ca="1">0.455/(LOG10(MIN(BA36,'Aerodynamics-Constants'!V36)))^2.58</f>
        <v>3.8235440016706796E-3</v>
      </c>
      <c r="BC36" s="10">
        <f ca="1">BB36*'Aerodynamics-Constants'!W36*'Aerodynamics-Constants'!X36*'Aerodynamics-Constants'!S36/N36+'Aerodynamics-Constants'!Z36</f>
        <v>2.0523461918091042E-3</v>
      </c>
      <c r="BD36" s="15">
        <f ca="1">BC36*'Aerodynamics-Constants'!AU36+(AJ36+AS36+AZ36)*('Aerodynamics-Constants'!AU36-1)</f>
        <v>7.2443256804337382E-3</v>
      </c>
      <c r="BE36" s="16">
        <f t="shared" ca="1" si="18"/>
        <v>0.87898883502771907</v>
      </c>
      <c r="BF36" s="10">
        <f t="shared" ca="1" si="19"/>
        <v>1.7477717295759782E-2</v>
      </c>
      <c r="BG36" s="10">
        <f t="shared" ca="1" si="20"/>
        <v>2.8926331690879683E-2</v>
      </c>
      <c r="BH36" s="10">
        <f t="shared" ca="1" si="21"/>
        <v>4.6404048986639468E-2</v>
      </c>
      <c r="BI36" s="13">
        <f t="shared" ca="1" si="28"/>
        <v>131.71508343743108</v>
      </c>
      <c r="BJ36" s="13">
        <f t="shared" ca="1" si="29"/>
        <v>6.9535731747003471</v>
      </c>
      <c r="BK36" s="13">
        <f t="shared" ca="1" si="22"/>
        <v>18.942071957574118</v>
      </c>
      <c r="BL36" s="14">
        <f t="shared" ca="1" si="23"/>
        <v>156.68566962590077</v>
      </c>
      <c r="BO36" s="16">
        <f ca="1">'Airfoil-RCmax'!J36</f>
        <v>5.2436160925509157</v>
      </c>
      <c r="BP36" s="1">
        <f ca="1">BO36/(1+BO36/(PI()*'Aerodynamics-Constants'!I36)*(1+AB36))</f>
        <v>4.4303367486735086</v>
      </c>
      <c r="BR36" s="12">
        <v>6</v>
      </c>
      <c r="BS36" s="1">
        <f t="shared" si="24"/>
        <v>3.9783893429633941</v>
      </c>
      <c r="BT36" s="1">
        <f>Stability!W36</f>
        <v>2.8131460826097094</v>
      </c>
      <c r="BV36" s="12">
        <v>6</v>
      </c>
      <c r="BW36" s="1">
        <f t="shared" si="25"/>
        <v>3.9959918173096995</v>
      </c>
      <c r="BX36" s="1">
        <f>Stability!Y36</f>
        <v>2.8255929115856442</v>
      </c>
    </row>
    <row r="37" spans="2:76">
      <c r="B37" s="16">
        <f>'RC'!F37</f>
        <v>0.65969672852566186</v>
      </c>
      <c r="C37" s="74">
        <f>'Airfoil-RCmax'!E37</f>
        <v>1.5987591530356481E-5</v>
      </c>
      <c r="E37" s="19">
        <f ca="1">'RC'!H37</f>
        <v>131.79789717184198</v>
      </c>
      <c r="F37" s="63">
        <f>Weight!G37</f>
        <v>0.3</v>
      </c>
      <c r="H37" s="20">
        <f t="shared" ca="1" si="26"/>
        <v>22.215604931101009</v>
      </c>
      <c r="I37" s="20">
        <f t="shared" ca="1" si="0"/>
        <v>17.46698627613241</v>
      </c>
      <c r="J37" s="20">
        <f t="shared" ca="1" si="1"/>
        <v>1.2718625056376955</v>
      </c>
      <c r="L37" s="31">
        <f>Main!B37</f>
        <v>0.33333333333333326</v>
      </c>
      <c r="M37" s="31">
        <f>Main!C37</f>
        <v>2.7631578947368425</v>
      </c>
      <c r="N37" s="1">
        <f t="shared" si="2"/>
        <v>0.92105263157894723</v>
      </c>
      <c r="O37" s="1">
        <f t="shared" si="3"/>
        <v>8.2894736842105292</v>
      </c>
      <c r="P37" s="16">
        <f ca="1">'Aerodynamics-Constants'!AC37</f>
        <v>5.482534386108661E-2</v>
      </c>
      <c r="Q37" s="16">
        <f>'Aerodynamics-Constants'!AD37</f>
        <v>4.1447368421052646</v>
      </c>
      <c r="R37" s="63">
        <f>Stability!G37</f>
        <v>5.6500000000000012</v>
      </c>
      <c r="S37" s="16">
        <f ca="1">'Aerodynamics-Constants'!AM37</f>
        <v>2.2560622713503117E-2</v>
      </c>
      <c r="T37" s="16">
        <f>'Aerodynamics-Constants'!AN37</f>
        <v>4.1447368421052646</v>
      </c>
      <c r="V37" s="81">
        <f t="shared" ca="1" si="4"/>
        <v>305561.17781381909</v>
      </c>
      <c r="W37" s="63">
        <f ca="1">'Aerodynamics-Cruise'!W37</f>
        <v>0.9</v>
      </c>
      <c r="X37" s="42">
        <f ca="1">'Airfoil-RCmax'!V37</f>
        <v>8.6352594413906195E-3</v>
      </c>
      <c r="Y37" s="14">
        <f t="shared" ca="1" si="5"/>
        <v>104.22385176826423</v>
      </c>
      <c r="Z37" s="16">
        <f ca="1">'Airfoil-RCmax'!AF37</f>
        <v>-0.15499999999999906</v>
      </c>
      <c r="AA37" s="31">
        <f>Main!I37</f>
        <v>1.1225333603782677</v>
      </c>
      <c r="AB37" s="12">
        <f t="shared" si="6"/>
        <v>-0.10915787869055116</v>
      </c>
      <c r="AC37" s="30">
        <f t="shared" ca="1" si="7"/>
        <v>1.7631261954450022</v>
      </c>
      <c r="AD37" s="13">
        <f t="shared" ca="1" si="8"/>
        <v>1.7631261954450022</v>
      </c>
      <c r="AE37" s="13">
        <f ca="1">DEGREES(AF37/BP37)+'Airfoil-RCmax'!K37</f>
        <v>3.1744323234645719</v>
      </c>
      <c r="AF37" s="1">
        <f t="shared" ca="1" si="9"/>
        <v>0.89957391153835953</v>
      </c>
      <c r="AG37" s="16">
        <f ca="1">0.9*'Airfoil-RCmax'!I37</f>
        <v>1.4219153437204048</v>
      </c>
      <c r="AH37" s="42">
        <f ca="1">0.455/(LOG10(MIN(V37,'Aerodynamics-Constants'!L37)))^2.58</f>
        <v>5.6352817059412462E-3</v>
      </c>
      <c r="AI37" s="42">
        <f ca="1">+AH37*'Aerodynamics-Constants'!J37*'Aerodynamics-Constants'!M37</f>
        <v>0</v>
      </c>
      <c r="AJ37" s="10">
        <f ca="1">X37*COS(RADIANS(AC37))*'Aerodynamics-Constants'!M37+AI37</f>
        <v>8.6311712364892327E-3</v>
      </c>
      <c r="AK37" s="10">
        <f ca="1">AF37^2/(PI()*'Aerodynamics-Constants'!I37*AA37)</f>
        <v>2.768200976845182E-2</v>
      </c>
      <c r="AL37" s="10">
        <f t="shared" ca="1" si="10"/>
        <v>3.6313181004941054E-2</v>
      </c>
      <c r="AM37" s="1">
        <f t="shared" ca="1" si="11"/>
        <v>-0.15499999999999906</v>
      </c>
      <c r="AN37" s="1">
        <f t="shared" ca="1" si="12"/>
        <v>-0.34548252988254824</v>
      </c>
      <c r="AO37" s="12">
        <f t="shared" si="27"/>
        <v>0.92936504226251027</v>
      </c>
      <c r="AP37" s="12">
        <f t="shared" si="13"/>
        <v>7.6003458840598448E-2</v>
      </c>
      <c r="AQ37" s="81">
        <f ca="1">B37*H37*'Aerodynamics-Constants'!AA37/C37</f>
        <v>105429.37487776033</v>
      </c>
      <c r="AR37" s="10">
        <f ca="1">0.455/(LOG10(MIN(AQ37,'Aerodynamics-Constants'!AG37)))^2.58</f>
        <v>7.0718811921031523E-3</v>
      </c>
      <c r="AS37" s="15">
        <f ca="1">AR37*'Aerodynamics-Constants'!AI37*'Aerodynamics-Constants'!AJ37*'Aerodynamics-Constants'!AE37/P37</f>
        <v>1.9671264733777956E-2</v>
      </c>
      <c r="AT37" s="10">
        <f t="shared" ca="1" si="14"/>
        <v>9.863226706692688E-3</v>
      </c>
      <c r="AU37" s="10">
        <f t="shared" ca="1" si="15"/>
        <v>2.9534491440470642E-2</v>
      </c>
      <c r="AV37" s="12">
        <f t="shared" si="16"/>
        <v>0.94513157894736843</v>
      </c>
      <c r="AW37" s="12">
        <f t="shared" si="17"/>
        <v>5.8053737992482146E-2</v>
      </c>
      <c r="AX37" s="81">
        <f ca="1">B37*H37*'Aerodynamics-Constants'!AK37/C37</f>
        <v>67631.106164812911</v>
      </c>
      <c r="AY37" s="10">
        <f ca="1">0.455/(LOG10(MIN(AX37,'Aerodynamics-Constants'!AQ37)))^2.58</f>
        <v>7.8233690285852368E-3</v>
      </c>
      <c r="AZ37" s="15">
        <f ca="1">AY37*'Aerodynamics-Constants'!AS37*'Aerodynamics-Constants'!AT37*'Aerodynamics-Constants'!AO37/S37</f>
        <v>2.1761616052485114E-2</v>
      </c>
      <c r="BA37" s="81">
        <f ca="1">B37*H37*'Aerodynamics-Constants'!N37/C37</f>
        <v>2337543.0102757164</v>
      </c>
      <c r="BB37" s="10">
        <f ca="1">0.455/(LOG10(MIN(BA37,'Aerodynamics-Constants'!V37)))^2.58</f>
        <v>3.8330975008195895E-3</v>
      </c>
      <c r="BC37" s="10">
        <f ca="1">BB37*'Aerodynamics-Constants'!W37*'Aerodynamics-Constants'!X37*'Aerodynamics-Constants'!S37/N37+'Aerodynamics-Constants'!Z37</f>
        <v>1.9986850219715245E-3</v>
      </c>
      <c r="BD37" s="15">
        <f ca="1">BC37*'Aerodynamics-Constants'!AU37+(AJ37+AS37+AZ37)*('Aerodynamics-Constants'!AU37-1)</f>
        <v>7.2049587264439111E-3</v>
      </c>
      <c r="BE37" s="16">
        <f t="shared" ca="1" si="18"/>
        <v>0.87900918173965281</v>
      </c>
      <c r="BF37" s="10">
        <f t="shared" ca="1" si="19"/>
        <v>1.7540092808050481E-2</v>
      </c>
      <c r="BG37" s="10">
        <f t="shared" ca="1" si="20"/>
        <v>2.8269114975292466E-2</v>
      </c>
      <c r="BH37" s="10">
        <f t="shared" ca="1" si="21"/>
        <v>4.5809207783342951E-2</v>
      </c>
      <c r="BI37" s="13">
        <f t="shared" ca="1" si="28"/>
        <v>131.79789717184198</v>
      </c>
      <c r="BJ37" s="13">
        <f t="shared" ca="1" si="29"/>
        <v>6.8685940743003489</v>
      </c>
      <c r="BK37" s="13">
        <f t="shared" ca="1" si="22"/>
        <v>19.18848249672801</v>
      </c>
      <c r="BL37" s="14">
        <f t="shared" ca="1" si="23"/>
        <v>152.58997238675801</v>
      </c>
      <c r="BO37" s="16">
        <f ca="1">'Airfoil-RCmax'!J37</f>
        <v>5.2687042043443979</v>
      </c>
      <c r="BP37" s="1">
        <f ca="1">BO37/(1+BO37/(PI()*'Aerodynamics-Constants'!I37)*(1+AB37))</f>
        <v>4.4641324182521096</v>
      </c>
      <c r="BR37" s="12">
        <v>6</v>
      </c>
      <c r="BS37" s="1">
        <f t="shared" si="24"/>
        <v>4.0111960541300551</v>
      </c>
      <c r="BT37" s="1">
        <f>Stability!W37</f>
        <v>2.8363439305440838</v>
      </c>
      <c r="BV37" s="12">
        <v>6</v>
      </c>
      <c r="BW37" s="1">
        <f t="shared" si="25"/>
        <v>4.0334992312104214</v>
      </c>
      <c r="BX37" s="1">
        <f>Stability!Y37</f>
        <v>2.8521146582996155</v>
      </c>
    </row>
    <row r="38" spans="2:76">
      <c r="B38" s="16">
        <f>'RC'!F38</f>
        <v>0.65969672852566186</v>
      </c>
      <c r="C38" s="74">
        <f>'Airfoil-RCmax'!E38</f>
        <v>1.5987591530356481E-5</v>
      </c>
      <c r="E38" s="19">
        <f ca="1">'RC'!H38</f>
        <v>131.90942506193599</v>
      </c>
      <c r="F38" s="63">
        <f>Weight!G38</f>
        <v>0.3</v>
      </c>
      <c r="H38" s="20">
        <f t="shared" ca="1" si="26"/>
        <v>21.91391388927908</v>
      </c>
      <c r="I38" s="20">
        <f t="shared" ca="1" si="0"/>
        <v>17.231603717765182</v>
      </c>
      <c r="J38" s="20">
        <f t="shared" ca="1" si="1"/>
        <v>1.2717280555080661</v>
      </c>
      <c r="L38" s="31">
        <f>Main!B38</f>
        <v>0.33333333333333326</v>
      </c>
      <c r="M38" s="31">
        <f>Main!C38</f>
        <v>2.8421052631578951</v>
      </c>
      <c r="N38" s="1">
        <f t="shared" si="2"/>
        <v>0.94736842105263153</v>
      </c>
      <c r="O38" s="1">
        <f t="shared" si="3"/>
        <v>8.5263157894736867</v>
      </c>
      <c r="P38" s="16">
        <f ca="1">'Aerodynamics-Constants'!AC38</f>
        <v>5.6028368192781342E-2</v>
      </c>
      <c r="Q38" s="16">
        <f>'Aerodynamics-Constants'!AD38</f>
        <v>4.2631578947368434</v>
      </c>
      <c r="R38" s="63">
        <f>Stability!G38</f>
        <v>5.6500000000000012</v>
      </c>
      <c r="S38" s="16">
        <f ca="1">'Aerodynamics-Constants'!AM38</f>
        <v>2.3634030155455236E-2</v>
      </c>
      <c r="T38" s="16">
        <f>'Aerodynamics-Constants'!AN38</f>
        <v>4.2631578947368434</v>
      </c>
      <c r="V38" s="81">
        <f t="shared" ca="1" si="4"/>
        <v>301411.61401121784</v>
      </c>
      <c r="W38" s="63">
        <f ca="1">'Aerodynamics-Cruise'!W38</f>
        <v>0.9</v>
      </c>
      <c r="X38" s="42">
        <f ca="1">'Airfoil-RCmax'!V38</f>
        <v>8.7273869110982161E-3</v>
      </c>
      <c r="Y38" s="14">
        <f t="shared" ca="1" si="5"/>
        <v>103.12365077518352</v>
      </c>
      <c r="Z38" s="16">
        <f ca="1">'Airfoil-RCmax'!AF38</f>
        <v>-0.15499999999999906</v>
      </c>
      <c r="AA38" s="31">
        <f>Main!I38</f>
        <v>1.1160064675431407</v>
      </c>
      <c r="AB38" s="12">
        <f t="shared" si="6"/>
        <v>-0.10394784521144029</v>
      </c>
      <c r="AC38" s="30">
        <f t="shared" ca="1" si="7"/>
        <v>1.7242112174423909</v>
      </c>
      <c r="AD38" s="13">
        <f t="shared" ca="1" si="8"/>
        <v>1.7242112174423909</v>
      </c>
      <c r="AE38" s="13">
        <f ca="1">DEGREES(AF38/BP38)+'Airfoil-RCmax'!K38</f>
        <v>3.1670306396449472</v>
      </c>
      <c r="AF38" s="1">
        <f t="shared" ca="1" si="9"/>
        <v>0.89959251145336527</v>
      </c>
      <c r="AG38" s="16">
        <f ca="1">0.9*'Airfoil-RCmax'!I38</f>
        <v>1.4216450974493022</v>
      </c>
      <c r="AH38" s="42">
        <f ca="1">0.455/(LOG10(MIN(V38,'Aerodynamics-Constants'!L38)))^2.58</f>
        <v>5.6510522765290559E-3</v>
      </c>
      <c r="AI38" s="42">
        <f ca="1">+AH38*'Aerodynamics-Constants'!J38*'Aerodynamics-Constants'!M38</f>
        <v>0</v>
      </c>
      <c r="AJ38" s="10">
        <f ca="1">X38*COS(RADIANS(AC38))*'Aerodynamics-Constants'!M38+AI38</f>
        <v>8.7234354553111914E-3</v>
      </c>
      <c r="AK38" s="10">
        <f ca="1">AF38^2/(PI()*'Aerodynamics-Constants'!I38*AA38)</f>
        <v>2.7071583850620369E-2</v>
      </c>
      <c r="AL38" s="10">
        <f t="shared" ca="1" si="10"/>
        <v>3.5795019305931562E-2</v>
      </c>
      <c r="AM38" s="1">
        <f t="shared" ca="1" si="11"/>
        <v>-0.15499999999999906</v>
      </c>
      <c r="AN38" s="1">
        <f t="shared" ca="1" si="12"/>
        <v>-0.34772047705830811</v>
      </c>
      <c r="AO38" s="12">
        <f t="shared" si="27"/>
        <v>0.92529118240476216</v>
      </c>
      <c r="AP38" s="12">
        <f t="shared" si="13"/>
        <v>8.0740872728382929E-2</v>
      </c>
      <c r="AQ38" s="81">
        <f ca="1">B38*H38*'Aerodynamics-Constants'!AA38/C38</f>
        <v>103661.98369068732</v>
      </c>
      <c r="AR38" s="10">
        <f ca="1">0.455/(LOG10(MIN(AQ38,'Aerodynamics-Constants'!AG38)))^2.58</f>
        <v>7.0986207004393714E-3</v>
      </c>
      <c r="AS38" s="15">
        <f ca="1">AR38*'Aerodynamics-Constants'!AI38*'Aerodynamics-Constants'!AJ38*'Aerodynamics-Constants'!AE38/P38</f>
        <v>1.9745643803935439E-2</v>
      </c>
      <c r="AT38" s="10">
        <f t="shared" ca="1" si="14"/>
        <v>9.7566521017900341E-3</v>
      </c>
      <c r="AU38" s="10">
        <f t="shared" ca="1" si="15"/>
        <v>2.9502295905725472E-2</v>
      </c>
      <c r="AV38" s="12">
        <f t="shared" si="16"/>
        <v>0.94442105263157905</v>
      </c>
      <c r="AW38" s="12">
        <f t="shared" si="17"/>
        <v>5.884975479268828E-2</v>
      </c>
      <c r="AX38" s="81">
        <f ca="1">B38*H38*'Aerodynamics-Constants'!AK38/C38</f>
        <v>67326.249314450499</v>
      </c>
      <c r="AY38" s="10">
        <f ca="1">0.455/(LOG10(MIN(AX38,'Aerodynamics-Constants'!AQ38)))^2.58</f>
        <v>7.8315741220120246E-3</v>
      </c>
      <c r="AZ38" s="15">
        <f ca="1">AY38*'Aerodynamics-Constants'!AS38*'Aerodynamics-Constants'!AT38*'Aerodynamics-Constants'!AO38/S38</f>
        <v>2.17844394796015E-2</v>
      </c>
      <c r="BA38" s="81">
        <f ca="1">B38*H38*'Aerodynamics-Constants'!N38/C38</f>
        <v>2305798.8471858166</v>
      </c>
      <c r="BB38" s="10">
        <f ca="1">0.455/(LOG10(MIN(BA38,'Aerodynamics-Constants'!V38)))^2.58</f>
        <v>3.8423337208346809E-3</v>
      </c>
      <c r="BC38" s="10">
        <f ca="1">BB38*'Aerodynamics-Constants'!W38*'Aerodynamics-Constants'!X38*'Aerodynamics-Constants'!S38/N38+'Aerodynamics-Constants'!Z38</f>
        <v>1.9478443201332563E-3</v>
      </c>
      <c r="BD38" s="15">
        <f ca="1">BC38*'Aerodynamics-Constants'!AU38+(AJ38+AS38+AZ38)*('Aerodynamics-Constants'!AU38-1)</f>
        <v>7.1679806260313995E-3</v>
      </c>
      <c r="BE38" s="16">
        <f t="shared" ca="1" si="18"/>
        <v>0.87902795548563994</v>
      </c>
      <c r="BF38" s="10">
        <f t="shared" ca="1" si="19"/>
        <v>1.7602651398886421E-2</v>
      </c>
      <c r="BG38" s="10">
        <f t="shared" ca="1" si="20"/>
        <v>2.7648602552257668E-2</v>
      </c>
      <c r="BH38" s="10">
        <f t="shared" ca="1" si="21"/>
        <v>4.5251253951144085E-2</v>
      </c>
      <c r="BI38" s="13">
        <f t="shared" ca="1" si="28"/>
        <v>131.90942506193599</v>
      </c>
      <c r="BJ38" s="13">
        <f t="shared" ca="1" si="29"/>
        <v>6.7905313531573892</v>
      </c>
      <c r="BK38" s="13">
        <f t="shared" ca="1" si="22"/>
        <v>19.425493853378963</v>
      </c>
      <c r="BL38" s="14">
        <f t="shared" ca="1" si="23"/>
        <v>148.80711933554076</v>
      </c>
      <c r="BO38" s="16">
        <f ca="1">'Airfoil-RCmax'!J38</f>
        <v>5.2929903038098889</v>
      </c>
      <c r="BP38" s="1">
        <f ca="1">BO38/(1+BO38/(PI()*'Aerodynamics-Constants'!I38)*(1+AB38))</f>
        <v>4.4967847538679271</v>
      </c>
      <c r="BR38" s="12">
        <v>6</v>
      </c>
      <c r="BS38" s="1">
        <f t="shared" si="24"/>
        <v>4.0426828290456038</v>
      </c>
      <c r="BT38" s="1">
        <f>Stability!W38</f>
        <v>2.858608442604563</v>
      </c>
      <c r="BV38" s="12">
        <v>6</v>
      </c>
      <c r="BW38" s="1">
        <f t="shared" si="25"/>
        <v>4.0695737230182569</v>
      </c>
      <c r="BX38" s="1">
        <f>Stability!Y38</f>
        <v>2.8776231760847946</v>
      </c>
    </row>
    <row r="39" spans="2:76">
      <c r="B39" s="16">
        <f>'RC'!F39</f>
        <v>0.65969672852566186</v>
      </c>
      <c r="C39" s="74">
        <f>'Airfoil-RCmax'!E39</f>
        <v>1.5987591530356481E-5</v>
      </c>
      <c r="E39" s="19">
        <f ca="1">'RC'!H39</f>
        <v>132.04710507840423</v>
      </c>
      <c r="F39" s="63">
        <f>Weight!G39</f>
        <v>0.3</v>
      </c>
      <c r="H39" s="20">
        <f t="shared" ca="1" si="26"/>
        <v>21.626815672181614</v>
      </c>
      <c r="I39" s="20">
        <f t="shared" ca="1" si="0"/>
        <v>17.007576159570835</v>
      </c>
      <c r="J39" s="20">
        <f t="shared" ca="1" si="1"/>
        <v>1.2715989315156675</v>
      </c>
      <c r="L39" s="31">
        <f>Main!B39</f>
        <v>0.33333333333333326</v>
      </c>
      <c r="M39" s="31">
        <f>Main!C39</f>
        <v>2.9210526315789478</v>
      </c>
      <c r="N39" s="1">
        <f t="shared" si="2"/>
        <v>0.97368421052631571</v>
      </c>
      <c r="O39" s="1">
        <f t="shared" si="3"/>
        <v>8.763157894736846</v>
      </c>
      <c r="P39" s="16">
        <f ca="1">'Aerodynamics-Constants'!AC39</f>
        <v>5.7230970130204631E-2</v>
      </c>
      <c r="Q39" s="16">
        <f>'Aerodynamics-Constants'!AD39</f>
        <v>4.381578947368423</v>
      </c>
      <c r="R39" s="63">
        <f>Stability!G39</f>
        <v>5.6500000000000012</v>
      </c>
      <c r="S39" s="16">
        <f ca="1">'Aerodynamics-Constants'!AM39</f>
        <v>2.4734340811647802E-2</v>
      </c>
      <c r="T39" s="16">
        <f>'Aerodynamics-Constants'!AN39</f>
        <v>4.381578947368423</v>
      </c>
      <c r="V39" s="81">
        <f t="shared" ca="1" si="4"/>
        <v>297462.76500905823</v>
      </c>
      <c r="W39" s="63">
        <f ca="1">'Aerodynamics-Cruise'!W39</f>
        <v>0.9</v>
      </c>
      <c r="X39" s="42">
        <f ca="1">'Airfoil-RCmax'!V39</f>
        <v>8.8171746691044113E-3</v>
      </c>
      <c r="Y39" s="14">
        <f t="shared" ca="1" si="5"/>
        <v>102.07351377007663</v>
      </c>
      <c r="Z39" s="16">
        <f ca="1">'Airfoil-RCmax'!AF39</f>
        <v>-0.15499999999999906</v>
      </c>
      <c r="AA39" s="31">
        <f>Main!I39</f>
        <v>1.1095373430241193</v>
      </c>
      <c r="AB39" s="12">
        <f t="shared" si="6"/>
        <v>-9.8723439740719177E-2</v>
      </c>
      <c r="AC39" s="30">
        <f t="shared" ca="1" si="7"/>
        <v>1.6874244395727225</v>
      </c>
      <c r="AD39" s="13">
        <f t="shared" ca="1" si="8"/>
        <v>1.6874244395727225</v>
      </c>
      <c r="AE39" s="13">
        <f ca="1">DEGREES(AF39/BP39)+'Airfoil-RCmax'!K39</f>
        <v>3.1601666236910972</v>
      </c>
      <c r="AF39" s="1">
        <f t="shared" ca="1" si="9"/>
        <v>0.89960971260308598</v>
      </c>
      <c r="AG39" s="16">
        <f ca="1">0.9*'Airfoil-RCmax'!I39</f>
        <v>1.4213844942604157</v>
      </c>
      <c r="AH39" s="42">
        <f ca="1">0.455/(LOG10(MIN(V39,'Aerodynamics-Constants'!L39)))^2.58</f>
        <v>5.6663210300703579E-3</v>
      </c>
      <c r="AI39" s="42">
        <f ca="1">+AH39*'Aerodynamics-Constants'!J39*'Aerodynamics-Constants'!M39</f>
        <v>0</v>
      </c>
      <c r="AJ39" s="10">
        <f ca="1">X39*COS(RADIANS(AC39))*'Aerodynamics-Constants'!M39+AI39</f>
        <v>8.8133510778269208E-3</v>
      </c>
      <c r="AK39" s="10">
        <f ca="1">AF39^2/(PI()*'Aerodynamics-Constants'!I39*AA39)</f>
        <v>2.6494506716272712E-2</v>
      </c>
      <c r="AL39" s="10">
        <f t="shared" ca="1" si="10"/>
        <v>3.5307857794099631E-2</v>
      </c>
      <c r="AM39" s="1">
        <f t="shared" ca="1" si="11"/>
        <v>-0.15499999999999906</v>
      </c>
      <c r="AN39" s="1">
        <f t="shared" ca="1" si="12"/>
        <v>-0.34986698406091055</v>
      </c>
      <c r="AO39" s="12">
        <f t="shared" si="27"/>
        <v>0.92125337952389075</v>
      </c>
      <c r="AP39" s="12">
        <f t="shared" si="13"/>
        <v>8.5477700517968325E-2</v>
      </c>
      <c r="AQ39" s="81">
        <f ca="1">B39*H39*'Aerodynamics-Constants'!AA39/C39</f>
        <v>101989.17964025083</v>
      </c>
      <c r="AR39" s="10">
        <f ca="1">0.455/(LOG10(MIN(AQ39,'Aerodynamics-Constants'!AG39)))^2.58</f>
        <v>7.1244851325519979E-3</v>
      </c>
      <c r="AS39" s="15">
        <f ca="1">AR39*'Aerodynamics-Constants'!AI39*'Aerodynamics-Constants'!AJ39*'Aerodynamics-Constants'!AE39/P39</f>
        <v>1.9817588747219336E-2</v>
      </c>
      <c r="AT39" s="10">
        <f t="shared" ca="1" si="14"/>
        <v>9.652644564715266E-3</v>
      </c>
      <c r="AU39" s="10">
        <f t="shared" ca="1" si="15"/>
        <v>2.9470233311934602E-2</v>
      </c>
      <c r="AV39" s="12">
        <f t="shared" si="16"/>
        <v>0.94371052631578956</v>
      </c>
      <c r="AW39" s="12">
        <f t="shared" si="17"/>
        <v>5.9646970246228337E-2</v>
      </c>
      <c r="AX39" s="81">
        <f ca="1">B39*H39*'Aerodynamics-Constants'!AK39/C39</f>
        <v>67048.445750163883</v>
      </c>
      <c r="AY39" s="10">
        <f ca="1">0.455/(LOG10(MIN(AX39,'Aerodynamics-Constants'!AQ39)))^2.58</f>
        <v>7.8390939751816751E-3</v>
      </c>
      <c r="AZ39" s="15">
        <f ca="1">AY39*'Aerodynamics-Constants'!AS39*'Aerodynamics-Constants'!AT39*'Aerodynamics-Constants'!AO39/S39</f>
        <v>2.1805356830790105E-2</v>
      </c>
      <c r="BA39" s="81">
        <f ca="1">B39*H39*'Aerodynamics-Constants'!N39/C39</f>
        <v>2275590.1523192958</v>
      </c>
      <c r="BB39" s="10">
        <f ca="1">0.455/(LOG10(MIN(BA39,'Aerodynamics-Constants'!V39)))^2.58</f>
        <v>3.8512713143136509E-3</v>
      </c>
      <c r="BC39" s="10">
        <f ca="1">BB39*'Aerodynamics-Constants'!W39*'Aerodynamics-Constants'!X39*'Aerodynamics-Constants'!S39/N39+'Aerodynamics-Constants'!Z39</f>
        <v>1.8996045922574274E-3</v>
      </c>
      <c r="BD39" s="15">
        <f ca="1">BC39*'Aerodynamics-Constants'!AU39+(AJ39+AS39+AZ39)*('Aerodynamics-Constants'!AU39-1)</f>
        <v>7.1331947170668111E-3</v>
      </c>
      <c r="BE39" s="16">
        <f t="shared" ca="1" si="18"/>
        <v>0.87904531739376923</v>
      </c>
      <c r="BF39" s="10">
        <f t="shared" ca="1" si="19"/>
        <v>1.7665297048046473E-2</v>
      </c>
      <c r="BG39" s="10">
        <f t="shared" ca="1" si="20"/>
        <v>2.7061867475324245E-2</v>
      </c>
      <c r="BH39" s="10">
        <f t="shared" ca="1" si="21"/>
        <v>4.4727164523370715E-2</v>
      </c>
      <c r="BI39" s="13">
        <f t="shared" ca="1" si="28"/>
        <v>132.04710507840423</v>
      </c>
      <c r="BJ39" s="13">
        <f t="shared" ca="1" si="29"/>
        <v>6.7187578123813232</v>
      </c>
      <c r="BK39" s="13">
        <f t="shared" ca="1" si="22"/>
        <v>19.653499763761076</v>
      </c>
      <c r="BL39" s="14">
        <f t="shared" ca="1" si="23"/>
        <v>145.30533675440105</v>
      </c>
      <c r="BO39" s="16">
        <f ca="1">'Airfoil-RCmax'!J39</f>
        <v>5.3165202356346235</v>
      </c>
      <c r="BP39" s="1">
        <f ca="1">BO39/(1+BO39/(PI()*'Aerodynamics-Constants'!I39)*(1+AB39))</f>
        <v>4.5283577376795465</v>
      </c>
      <c r="BR39" s="12">
        <v>6</v>
      </c>
      <c r="BS39" s="1">
        <f t="shared" si="24"/>
        <v>4.07292669268785</v>
      </c>
      <c r="BT39" s="1">
        <f>Stability!W39</f>
        <v>2.8799940836752764</v>
      </c>
      <c r="BV39" s="12">
        <v>6</v>
      </c>
      <c r="BW39" s="1">
        <f t="shared" si="25"/>
        <v>4.1042957459386722</v>
      </c>
      <c r="BX39" s="1">
        <f>Stability!Y39</f>
        <v>2.9021753539483348</v>
      </c>
    </row>
    <row r="40" spans="2:76">
      <c r="B40" s="16">
        <f>'RC'!F40</f>
        <v>0.65969672852566186</v>
      </c>
      <c r="C40" s="74">
        <f>'Airfoil-RCmax'!E40</f>
        <v>1.5987591530356481E-5</v>
      </c>
      <c r="E40" s="19">
        <f ca="1">'RC'!H40</f>
        <v>109.48016672982719</v>
      </c>
      <c r="F40" s="63">
        <f>Weight!G40</f>
        <v>0.3</v>
      </c>
      <c r="H40" s="20">
        <f t="shared" ca="1" si="26"/>
        <v>19.43125944445308</v>
      </c>
      <c r="I40" s="20">
        <f t="shared" ca="1" si="0"/>
        <v>15.292476722185658</v>
      </c>
      <c r="J40" s="20">
        <f t="shared" ca="1" si="1"/>
        <v>1.2706417539457855</v>
      </c>
      <c r="L40" s="31">
        <f>Main!B40</f>
        <v>0.33333333333333326</v>
      </c>
      <c r="M40" s="31">
        <f>Main!C40</f>
        <v>3</v>
      </c>
      <c r="N40" s="1">
        <f t="shared" si="2"/>
        <v>0.99999999999999978</v>
      </c>
      <c r="O40" s="1">
        <f t="shared" si="3"/>
        <v>9.0000000000000018</v>
      </c>
      <c r="P40" s="16">
        <f ca="1">'Aerodynamics-Constants'!AC40</f>
        <v>6.0005710882722572E-2</v>
      </c>
      <c r="Q40" s="16">
        <f>'Aerodynamics-Constants'!AD40</f>
        <v>4.5000000000000009</v>
      </c>
      <c r="R40" s="63">
        <f>Stability!G40</f>
        <v>5.6500000000000012</v>
      </c>
      <c r="S40" s="16">
        <f ca="1">'Aerodynamics-Constants'!AM40</f>
        <v>2.5861490283211861E-2</v>
      </c>
      <c r="T40" s="16">
        <f>'Aerodynamics-Constants'!AN40</f>
        <v>4.5000000000000009</v>
      </c>
      <c r="V40" s="81">
        <f t="shared" ca="1" si="4"/>
        <v>267264.31896260404</v>
      </c>
      <c r="W40" s="63">
        <f ca="1">'Aerodynamics-Cruise'!W40</f>
        <v>0.9</v>
      </c>
      <c r="X40" s="42">
        <f ca="1">'Airfoil-RCmax'!V40</f>
        <v>9.5809030225815148E-3</v>
      </c>
      <c r="Y40" s="14">
        <f t="shared" ca="1" si="5"/>
        <v>93.936865646042264</v>
      </c>
      <c r="Z40" s="16">
        <f ca="1">'Airfoil-RCmax'!AF40</f>
        <v>-0.15499999999999919</v>
      </c>
      <c r="AA40" s="31">
        <f>Main!I40</f>
        <v>1.1031239342794878</v>
      </c>
      <c r="AB40" s="12">
        <f t="shared" si="6"/>
        <v>-9.3483543484933929E-2</v>
      </c>
      <c r="AC40" s="30">
        <f t="shared" ca="1" si="7"/>
        <v>1.652600098867558</v>
      </c>
      <c r="AD40" s="13">
        <f t="shared" ca="1" si="8"/>
        <v>1.652600098867558</v>
      </c>
      <c r="AE40" s="13">
        <f ca="1">DEGREES(AF40/BP40)+'Airfoil-RCmax'!K40</f>
        <v>3.3506903618113153</v>
      </c>
      <c r="AF40" s="1">
        <f t="shared" ca="1" si="9"/>
        <v>0.89962565443801656</v>
      </c>
      <c r="AG40" s="16">
        <f ca="1">0.9*'Airfoil-RCmax'!I40</f>
        <v>1.4192712262506735</v>
      </c>
      <c r="AH40" s="42">
        <f ca="1">0.455/(LOG10(MIN(V40,'Aerodynamics-Constants'!L40)))^2.58</f>
        <v>5.79240929907417E-3</v>
      </c>
      <c r="AI40" s="42">
        <f ca="1">+AH40*'Aerodynamics-Constants'!J40*'Aerodynamics-Constants'!M40</f>
        <v>0</v>
      </c>
      <c r="AJ40" s="10">
        <f ca="1">X40*COS(RADIANS(AC40))*'Aerodynamics-Constants'!M40+AI40</f>
        <v>9.5769179464411849E-3</v>
      </c>
      <c r="AK40" s="10">
        <f ca="1">AF40^2/(PI()*'Aerodynamics-Constants'!I40*AA40)</f>
        <v>2.5948184283426934E-2</v>
      </c>
      <c r="AL40" s="10">
        <f t="shared" ca="1" si="10"/>
        <v>3.552510222986812E-2</v>
      </c>
      <c r="AM40" s="1">
        <f t="shared" ca="1" si="11"/>
        <v>-0.15499999999999919</v>
      </c>
      <c r="AN40" s="1">
        <f t="shared" ca="1" si="12"/>
        <v>-0.3427048178863647</v>
      </c>
      <c r="AO40" s="12">
        <f>MAX(0,(1.78*(1-0.045*Q40^0.68)-0.64))*1</f>
        <v>0.9172503524946326</v>
      </c>
      <c r="AP40" s="12">
        <f t="shared" si="13"/>
        <v>9.0214898561024714E-2</v>
      </c>
      <c r="AQ40" s="81">
        <f ca="1">B40*H40*'Aerodynamics-Constants'!AA40/C40</f>
        <v>92587.48257053984</v>
      </c>
      <c r="AR40" s="10">
        <f ca="1">0.455/(LOG10(MIN(AQ40,'Aerodynamics-Constants'!AG40)))^2.58</f>
        <v>7.280973798278691E-3</v>
      </c>
      <c r="AS40" s="15">
        <f ca="1">AR40*'Aerodynamics-Constants'!AI40*'Aerodynamics-Constants'!AJ40*'Aerodynamics-Constants'!AE40/P40</f>
        <v>2.0252880275417363E-2</v>
      </c>
      <c r="AT40" s="10">
        <f t="shared" ca="1" si="14"/>
        <v>9.057120506349681E-3</v>
      </c>
      <c r="AU40" s="10">
        <f t="shared" ca="1" si="15"/>
        <v>2.9310000781767043E-2</v>
      </c>
      <c r="AV40" s="12">
        <f t="shared" si="16"/>
        <v>0.94300000000000006</v>
      </c>
      <c r="AW40" s="12">
        <f t="shared" si="17"/>
        <v>6.0445387062566303E-2</v>
      </c>
      <c r="AX40" s="81">
        <f ca="1">B40*H40*'Aerodynamics-Constants'!AK40/C40</f>
        <v>60783.087153237779</v>
      </c>
      <c r="AY40" s="10">
        <f ca="1">0.455/(LOG10(MIN(AX40,'Aerodynamics-Constants'!AQ40)))^2.58</f>
        <v>8.0204929006890725E-3</v>
      </c>
      <c r="AZ40" s="15">
        <f ca="1">AY40*'Aerodynamics-Constants'!AS40*'Aerodynamics-Constants'!AT40*'Aerodynamics-Constants'!AO40/S40</f>
        <v>2.2309939160321247E-2</v>
      </c>
      <c r="BA40" s="81">
        <f ca="1">B40*H40*'Aerodynamics-Constants'!N40/C40</f>
        <v>2044572.0400639211</v>
      </c>
      <c r="BB40" s="10">
        <f ca="1">0.455/(LOG10(MIN(BA40,'Aerodynamics-Constants'!V40)))^2.58</f>
        <v>3.9249007798347058E-3</v>
      </c>
      <c r="BC40" s="10">
        <f ca="1">BB40*'Aerodynamics-Constants'!W40*'Aerodynamics-Constants'!X40*'Aerodynamics-Constants'!S40/N40+'Aerodynamics-Constants'!Z40</f>
        <v>1.8849468832736322E-3</v>
      </c>
      <c r="BD40" s="15">
        <f ca="1">BC40*'Aerodynamics-Constants'!AU40+(AJ40+AS40+AZ40)*('Aerodynamics-Constants'!AU40-1)</f>
        <v>7.2874153098189797E-3</v>
      </c>
      <c r="BE40" s="16">
        <f t="shared" ca="1" si="18"/>
        <v>0.87906140821781131</v>
      </c>
      <c r="BF40" s="10">
        <f t="shared" ca="1" si="19"/>
        <v>1.8656590009422949E-2</v>
      </c>
      <c r="BG40" s="10">
        <f t="shared" ca="1" si="20"/>
        <v>2.6491663237960931E-2</v>
      </c>
      <c r="BH40" s="10">
        <f t="shared" ca="1" si="21"/>
        <v>4.5148253247383884E-2</v>
      </c>
      <c r="BI40" s="13">
        <f t="shared" ca="1" si="28"/>
        <v>109.48016672982715</v>
      </c>
      <c r="BJ40" s="13">
        <f t="shared" ca="1" si="29"/>
        <v>5.6228589344003206</v>
      </c>
      <c r="BK40" s="13">
        <f t="shared" ca="1" si="22"/>
        <v>19.470551903771572</v>
      </c>
      <c r="BL40" s="14">
        <f t="shared" ca="1" si="23"/>
        <v>109.25923077389361</v>
      </c>
      <c r="BO40" s="16">
        <f ca="1">'Airfoil-RCmax'!J40</f>
        <v>5.5113977821917333</v>
      </c>
      <c r="BP40" s="1">
        <f ca="1">BO40/(1+BO40/(PI()*'Aerodynamics-Constants'!I40)*(1+AB40))</f>
        <v>4.6837609837535341</v>
      </c>
      <c r="BR40" s="12">
        <v>6</v>
      </c>
      <c r="BS40" s="1">
        <f t="shared" si="24"/>
        <v>4.101998731574878</v>
      </c>
      <c r="BT40" s="1">
        <f>Stability!W40</f>
        <v>2.9005511195152129</v>
      </c>
      <c r="BV40" s="12">
        <v>6</v>
      </c>
      <c r="BW40" s="1">
        <f t="shared" si="25"/>
        <v>4.1377398406157262</v>
      </c>
      <c r="BX40" s="1">
        <f>Stability!Y40</f>
        <v>2.9258239000851245</v>
      </c>
    </row>
    <row r="42" spans="2:76">
      <c r="D42" s="4"/>
    </row>
    <row r="44" spans="2:76">
      <c r="I44" s="14"/>
      <c r="M44" s="1"/>
      <c r="N44" s="1"/>
      <c r="O44" s="1"/>
      <c r="P44" s="1"/>
    </row>
    <row r="45" spans="2:76">
      <c r="I45" s="14"/>
    </row>
    <row r="46" spans="2:76">
      <c r="I46" s="14"/>
    </row>
    <row r="47" spans="2:76">
      <c r="I47" s="14"/>
    </row>
    <row r="48" spans="2:76">
      <c r="I48" s="14"/>
    </row>
    <row r="49" spans="9:9">
      <c r="I49" s="14"/>
    </row>
    <row r="50" spans="9:9">
      <c r="I50" s="14"/>
    </row>
    <row r="51" spans="9:9">
      <c r="I51" s="14"/>
    </row>
    <row r="52" spans="9:9">
      <c r="I52" s="14"/>
    </row>
    <row r="53" spans="9:9">
      <c r="I53" s="14"/>
    </row>
    <row r="54" spans="9:9">
      <c r="I54" s="14"/>
    </row>
    <row r="55" spans="9:9">
      <c r="I55" s="14"/>
    </row>
    <row r="56" spans="9:9">
      <c r="I56" s="14"/>
    </row>
    <row r="57" spans="9:9">
      <c r="I57" s="14"/>
    </row>
    <row r="58" spans="9:9">
      <c r="I58" s="14"/>
    </row>
    <row r="59" spans="9:9">
      <c r="I59" s="14"/>
    </row>
    <row r="60" spans="9:9">
      <c r="I60" s="14"/>
    </row>
    <row r="61" spans="9:9">
      <c r="I61" s="14"/>
    </row>
    <row r="62" spans="9:9">
      <c r="I62" s="14"/>
    </row>
    <row r="63" spans="9:9">
      <c r="I63" s="14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BX63"/>
  <sheetViews>
    <sheetView zoomScale="90" workbookViewId="0">
      <selection activeCell="AO21" sqref="AO21:AO40"/>
    </sheetView>
  </sheetViews>
  <sheetFormatPr defaultRowHeight="12.75"/>
  <cols>
    <col min="23" max="23" width="9.5703125" bestFit="1" customWidth="1"/>
    <col min="47" max="47" width="9.42578125" customWidth="1"/>
    <col min="53" max="53" width="9.5703125" bestFit="1" customWidth="1"/>
    <col min="54" max="54" width="9.5703125" customWidth="1"/>
  </cols>
  <sheetData>
    <row r="1" spans="1:74">
      <c r="A1" s="17" t="s">
        <v>373</v>
      </c>
    </row>
    <row r="3" spans="1:74">
      <c r="A3" t="s">
        <v>270</v>
      </c>
    </row>
    <row r="4" spans="1:74">
      <c r="A4" s="17"/>
    </row>
    <row r="5" spans="1:74">
      <c r="A5" t="s">
        <v>367</v>
      </c>
      <c r="F5" s="6"/>
      <c r="G5" s="6"/>
      <c r="H5" s="6"/>
    </row>
    <row r="6" spans="1:74">
      <c r="A6" s="3" t="s">
        <v>48</v>
      </c>
      <c r="B6" s="16">
        <f>'Aerodynamics-Takeoff'!B6</f>
        <v>0.25</v>
      </c>
      <c r="E6" s="16"/>
      <c r="F6" s="6"/>
      <c r="G6" s="16"/>
      <c r="H6" s="6"/>
    </row>
    <row r="7" spans="1:74">
      <c r="A7" s="17"/>
    </row>
    <row r="8" spans="1:74">
      <c r="A8" s="17"/>
    </row>
    <row r="9" spans="1:74">
      <c r="A9" s="17"/>
    </row>
    <row r="15" spans="1:74">
      <c r="B15" t="s">
        <v>273</v>
      </c>
      <c r="E15" t="s">
        <v>277</v>
      </c>
      <c r="H15" t="s">
        <v>286</v>
      </c>
      <c r="L15" t="s">
        <v>279</v>
      </c>
      <c r="V15" t="s">
        <v>278</v>
      </c>
    </row>
    <row r="16" spans="1:74">
      <c r="L16" t="s">
        <v>367</v>
      </c>
      <c r="P16" t="s">
        <v>44</v>
      </c>
      <c r="S16" t="s">
        <v>46</v>
      </c>
      <c r="V16" t="s">
        <v>367</v>
      </c>
      <c r="AN16" t="s">
        <v>44</v>
      </c>
      <c r="AV16" t="s">
        <v>46</v>
      </c>
      <c r="BA16" t="s">
        <v>393</v>
      </c>
      <c r="BE16" t="s">
        <v>391</v>
      </c>
      <c r="BH16" s="10"/>
      <c r="BO16" t="s">
        <v>367</v>
      </c>
      <c r="BR16" t="s">
        <v>44</v>
      </c>
      <c r="BV16" t="s">
        <v>46</v>
      </c>
    </row>
    <row r="18" spans="2:76">
      <c r="B18" s="9" t="s">
        <v>29</v>
      </c>
      <c r="C18" s="9" t="s">
        <v>31</v>
      </c>
      <c r="E18" s="9" t="s">
        <v>34</v>
      </c>
      <c r="F18" s="9" t="s">
        <v>139</v>
      </c>
      <c r="H18" s="9" t="s">
        <v>40</v>
      </c>
      <c r="I18" s="9" t="s">
        <v>198</v>
      </c>
      <c r="J18" s="9" t="s">
        <v>199</v>
      </c>
      <c r="L18" s="9" t="s">
        <v>281</v>
      </c>
      <c r="M18" s="9" t="s">
        <v>280</v>
      </c>
      <c r="N18" s="9" t="s">
        <v>282</v>
      </c>
      <c r="O18" s="9" t="s">
        <v>100</v>
      </c>
      <c r="P18" s="9" t="s">
        <v>45</v>
      </c>
      <c r="Q18" s="9" t="s">
        <v>69</v>
      </c>
      <c r="R18" s="9" t="s">
        <v>49</v>
      </c>
      <c r="S18" s="9" t="s">
        <v>47</v>
      </c>
      <c r="T18" s="9" t="s">
        <v>173</v>
      </c>
      <c r="V18" s="9" t="s">
        <v>50</v>
      </c>
      <c r="W18" s="9" t="s">
        <v>52</v>
      </c>
      <c r="X18" s="9" t="s">
        <v>51</v>
      </c>
      <c r="Y18" s="9" t="s">
        <v>246</v>
      </c>
      <c r="Z18" s="9" t="s">
        <v>53</v>
      </c>
      <c r="AA18" s="9" t="s">
        <v>62</v>
      </c>
      <c r="AB18" s="9" t="s">
        <v>63</v>
      </c>
      <c r="AC18" s="9" t="s">
        <v>369</v>
      </c>
      <c r="AD18" s="9" t="s">
        <v>370</v>
      </c>
      <c r="AE18" s="9" t="s">
        <v>378</v>
      </c>
      <c r="AF18" s="9" t="s">
        <v>60</v>
      </c>
      <c r="AG18" s="9" t="s">
        <v>192</v>
      </c>
      <c r="AH18" s="47" t="s">
        <v>483</v>
      </c>
      <c r="AI18" s="47" t="s">
        <v>485</v>
      </c>
      <c r="AJ18" s="9" t="s">
        <v>65</v>
      </c>
      <c r="AK18" s="9" t="s">
        <v>61</v>
      </c>
      <c r="AL18" s="9" t="s">
        <v>67</v>
      </c>
      <c r="AM18" s="9" t="s">
        <v>66</v>
      </c>
      <c r="AN18" s="9" t="s">
        <v>64</v>
      </c>
      <c r="AO18" s="9" t="s">
        <v>68</v>
      </c>
      <c r="AP18" s="9" t="s">
        <v>167</v>
      </c>
      <c r="AQ18" s="9" t="s">
        <v>50</v>
      </c>
      <c r="AR18" s="9" t="s">
        <v>411</v>
      </c>
      <c r="AS18" s="9" t="s">
        <v>71</v>
      </c>
      <c r="AT18" s="9" t="s">
        <v>70</v>
      </c>
      <c r="AU18" s="9" t="s">
        <v>148</v>
      </c>
      <c r="AV18" s="9" t="s">
        <v>174</v>
      </c>
      <c r="AW18" s="9" t="s">
        <v>175</v>
      </c>
      <c r="AX18" s="9" t="s">
        <v>50</v>
      </c>
      <c r="AY18" s="9" t="s">
        <v>411</v>
      </c>
      <c r="AZ18" s="9" t="s">
        <v>72</v>
      </c>
      <c r="BA18" s="9" t="s">
        <v>50</v>
      </c>
      <c r="BB18" s="9" t="s">
        <v>406</v>
      </c>
      <c r="BC18" s="9" t="s">
        <v>410</v>
      </c>
      <c r="BD18" s="9" t="s">
        <v>638</v>
      </c>
      <c r="BE18" s="9" t="s">
        <v>54</v>
      </c>
      <c r="BF18" s="9" t="s">
        <v>149</v>
      </c>
      <c r="BG18" s="9" t="s">
        <v>150</v>
      </c>
      <c r="BH18" s="9" t="s">
        <v>55</v>
      </c>
      <c r="BI18" s="9" t="s">
        <v>56</v>
      </c>
      <c r="BJ18" s="9" t="s">
        <v>57</v>
      </c>
      <c r="BK18" s="9" t="s">
        <v>58</v>
      </c>
      <c r="BL18" s="9" t="s">
        <v>59</v>
      </c>
      <c r="BO18" s="9" t="s">
        <v>163</v>
      </c>
      <c r="BP18" s="9" t="s">
        <v>8</v>
      </c>
      <c r="BR18" s="9" t="s">
        <v>164</v>
      </c>
      <c r="BS18" s="9" t="s">
        <v>165</v>
      </c>
      <c r="BT18" s="9" t="s">
        <v>166</v>
      </c>
      <c r="BV18" s="9" t="s">
        <v>170</v>
      </c>
      <c r="BW18" s="9" t="s">
        <v>171</v>
      </c>
      <c r="BX18" s="9" t="s">
        <v>172</v>
      </c>
    </row>
    <row r="19" spans="2:76">
      <c r="B19" s="9" t="s">
        <v>30</v>
      </c>
      <c r="C19" s="9" t="s">
        <v>32</v>
      </c>
      <c r="E19" s="9" t="s">
        <v>35</v>
      </c>
      <c r="H19" s="9" t="s">
        <v>1</v>
      </c>
      <c r="I19" s="9" t="s">
        <v>1</v>
      </c>
      <c r="J19" s="9"/>
      <c r="L19" s="9" t="s">
        <v>4</v>
      </c>
      <c r="M19" s="9" t="s">
        <v>4</v>
      </c>
      <c r="N19" s="9" t="s">
        <v>43</v>
      </c>
      <c r="P19" s="9" t="s">
        <v>43</v>
      </c>
      <c r="S19" s="9" t="s">
        <v>43</v>
      </c>
      <c r="T19" s="9"/>
      <c r="AC19" s="9" t="s">
        <v>303</v>
      </c>
      <c r="AD19" s="9" t="s">
        <v>303</v>
      </c>
      <c r="AE19" s="9" t="s">
        <v>303</v>
      </c>
      <c r="BI19" s="9" t="s">
        <v>35</v>
      </c>
      <c r="BJ19" s="9" t="s">
        <v>35</v>
      </c>
      <c r="BK19" s="9"/>
      <c r="BL19" s="9" t="s">
        <v>34</v>
      </c>
      <c r="BO19" s="9" t="s">
        <v>162</v>
      </c>
      <c r="BP19" s="9" t="s">
        <v>162</v>
      </c>
      <c r="BR19" s="9" t="s">
        <v>162</v>
      </c>
      <c r="BS19" s="9" t="s">
        <v>162</v>
      </c>
      <c r="BT19" s="9" t="s">
        <v>162</v>
      </c>
      <c r="BV19" s="9" t="s">
        <v>162</v>
      </c>
      <c r="BW19" s="9" t="s">
        <v>162</v>
      </c>
      <c r="BX19" s="9" t="s">
        <v>162</v>
      </c>
    </row>
    <row r="20" spans="2:76" ht="12" customHeight="1"/>
    <row r="21" spans="2:76">
      <c r="B21" s="16">
        <f>'RC'!F21</f>
        <v>0.65969672852566186</v>
      </c>
      <c r="C21" s="74">
        <f>'Airfoil-RC'!E21</f>
        <v>1.5987591530356481E-5</v>
      </c>
      <c r="E21" s="19">
        <f ca="1">'RC'!H21</f>
        <v>129.6027712490764</v>
      </c>
      <c r="F21" s="63">
        <f>Weight!G21</f>
        <v>0.3</v>
      </c>
      <c r="H21" s="20">
        <f ca="1">IF(ISERROR(BE21),5,SQRT(E21/(0.5*B21*N21*BE21)))</f>
        <v>29.912886947178414</v>
      </c>
      <c r="I21" s="20">
        <f t="shared" ref="I21:I40" ca="1" si="0">SQRT(E21/(0.5*B21*N21*AG21))</f>
        <v>23.460111671375437</v>
      </c>
      <c r="J21" s="20">
        <f t="shared" ref="J21:J40" ca="1" si="1">H21/I21</f>
        <v>1.2750530503090594</v>
      </c>
      <c r="L21" s="31">
        <f>Main!B21</f>
        <v>0.33333333333333326</v>
      </c>
      <c r="M21" s="31">
        <f>Main!C21</f>
        <v>1.5</v>
      </c>
      <c r="N21" s="1">
        <f t="shared" ref="N21:N40" si="2">L21*M21</f>
        <v>0.49999999999999989</v>
      </c>
      <c r="O21" s="1">
        <f t="shared" ref="O21:O40" si="3">M21^2/N21</f>
        <v>4.5000000000000009</v>
      </c>
      <c r="P21" s="16">
        <f ca="1">'Aerodynamics-Constants'!AC21</f>
        <v>3.5563162306008866E-2</v>
      </c>
      <c r="Q21" s="16">
        <f>'Aerodynamics-Constants'!AD21</f>
        <v>2.2500000000000004</v>
      </c>
      <c r="R21" s="63">
        <f>Stability!G21</f>
        <v>5.6500000000000012</v>
      </c>
      <c r="S21" s="16">
        <f ca="1">'Aerodynamics-Constants'!AM21</f>
        <v>9.1507568586259112E-3</v>
      </c>
      <c r="T21" s="16">
        <f>'Aerodynamics-Constants'!AN21</f>
        <v>2.2500000000000004</v>
      </c>
      <c r="V21" s="81">
        <f t="shared" ref="V21:V40" ca="1" si="4">B21*H21*L21/C21</f>
        <v>411432.27905513806</v>
      </c>
      <c r="W21" s="63">
        <f ca="1">'Aerodynamics-Cruise'!W21</f>
        <v>0.9</v>
      </c>
      <c r="X21" s="42">
        <f ca="1">'Airfoil-RC'!V21</f>
        <v>6.8548600734317641E-3</v>
      </c>
      <c r="Y21" s="14">
        <f t="shared" ref="Y21:Y40" ca="1" si="5">W21/X21</f>
        <v>131.29370845777615</v>
      </c>
      <c r="Z21" s="16">
        <f ca="1">'Airfoil-RC'!AF21</f>
        <v>-0.15499999999999875</v>
      </c>
      <c r="AA21" s="31">
        <f>Main!I21</f>
        <v>1.2372503524946326</v>
      </c>
      <c r="AB21" s="12">
        <f t="shared" ref="AB21:AB40" si="6">1/AA21-1</f>
        <v>-0.19175614055495838</v>
      </c>
      <c r="AC21" s="30">
        <f t="shared" ref="AC21:AC40" ca="1" si="7">IF(ISERROR(AD21),1,AD21)</f>
        <v>2.9442285792068441</v>
      </c>
      <c r="AD21" s="13">
        <f t="shared" ref="AD21:AD40" ca="1" si="8">DEGREES(W21*COS(RADIANS(AC21))/(PI()*O21)*(1+AB21))</f>
        <v>2.9442285792068441</v>
      </c>
      <c r="AE21" s="13">
        <f ca="1">DEGREES(AF21/BP21)+'Airfoil-RC'!K21</f>
        <v>3.5331833295784989</v>
      </c>
      <c r="AF21" s="1">
        <f t="shared" ref="AF21:AF40" ca="1" si="9">W21*COS(RADIANS(AC21))</f>
        <v>0.89881200468089772</v>
      </c>
      <c r="AG21" s="16">
        <f ca="1">0.9*'Airfoil-RC'!I21</f>
        <v>1.4278079600608771</v>
      </c>
      <c r="AH21" s="42">
        <f ca="1">0.455/(LOG10(MIN(V21,'Aerodynamics-Constants'!L21)))^2.58</f>
        <v>5.3067549766413835E-3</v>
      </c>
      <c r="AI21" s="42">
        <f ca="1">+AH21*'Aerodynamics-Constants'!J21*'Aerodynamics-Constants'!M21</f>
        <v>0</v>
      </c>
      <c r="AJ21" s="10">
        <f ca="1">X21*COS(RADIANS(AC21))*'Aerodynamics-Constants'!M21+AI21</f>
        <v>6.845811693786944E-3</v>
      </c>
      <c r="AK21" s="10">
        <f ca="1">AF21^2/(PI()*'Aerodynamics-Constants'!I21*AA21)</f>
        <v>4.6186787473787037E-2</v>
      </c>
      <c r="AL21" s="10">
        <f t="shared" ref="AL21:AL40" ca="1" si="10">AJ21+AK21</f>
        <v>5.3032599167573982E-2</v>
      </c>
      <c r="AM21" s="1">
        <f t="shared" ref="AM21:AM40" ca="1" si="11">Z21</f>
        <v>-0.15499999999999875</v>
      </c>
      <c r="AN21" s="1">
        <f t="shared" ref="AN21:AN40" ca="1" si="12">N21/(P21*(R21-F21))*(AM21+AF21*(F21-$B$6))</f>
        <v>-0.28922976880583656</v>
      </c>
      <c r="AO21" s="12">
        <f>MAX(0,(1.78*(1-0.045*Q21^0.68)-0.64))*1</f>
        <v>1.000967405130992</v>
      </c>
      <c r="AP21" s="12">
        <f t="shared" ref="AP21:AP40" si="13">1/AO21-1</f>
        <v>-9.6647016279760578E-4</v>
      </c>
      <c r="AQ21" s="81">
        <f ca="1">B21*H21*'Aerodynamics-Constants'!AA21/C21</f>
        <v>155177.42573139278</v>
      </c>
      <c r="AR21" s="10">
        <f ca="1">0.455/(LOG10(MIN(AQ21,'Aerodynamics-Constants'!AG21)))^2.58</f>
        <v>6.4968187644365103E-3</v>
      </c>
      <c r="AS21" s="15">
        <f ca="1">AR21*'Aerodynamics-Constants'!AI21*'Aerodynamics-Constants'!AJ21*'Aerodynamics-Constants'!AE21/P21</f>
        <v>1.8071661326171027E-2</v>
      </c>
      <c r="AT21" s="10">
        <f t="shared" ref="AT21:AT40" ca="1" si="14">AN21^2/(PI()*Q21*AO21)</f>
        <v>1.1823162385004828E-2</v>
      </c>
      <c r="AU21" s="10">
        <f t="shared" ref="AU21:AU40" ca="1" si="15">AS21+AT21</f>
        <v>2.9894823711175855E-2</v>
      </c>
      <c r="AV21" s="12">
        <f t="shared" ref="AV21:AV40" si="16">MIN(1,MAX(0,(1.78*(1-0.045*T21^0.68)-0.64)))*0+0.9*0+(0.91+(0.85-0.91)/(20-10)*(T21-10))</f>
        <v>0.95650000000000013</v>
      </c>
      <c r="AW21" s="12">
        <f t="shared" ref="AW21:AW40" si="17">1/AV21-1</f>
        <v>4.5478306325143603E-2</v>
      </c>
      <c r="AX21" s="81">
        <f ca="1">B21*H21*'Aerodynamics-Constants'!AK21/C21</f>
        <v>78714.884962586933</v>
      </c>
      <c r="AY21" s="10">
        <f ca="1">0.455/(LOG10(MIN(AX21,'Aerodynamics-Constants'!AQ21)))^2.58</f>
        <v>7.5545316882728846E-3</v>
      </c>
      <c r="AZ21" s="15">
        <f ca="1">AY21*'Aerodynamics-Constants'!AS21*'Aerodynamics-Constants'!AT21*'Aerodynamics-Constants'!AO21/S21</f>
        <v>2.1013813544502605E-2</v>
      </c>
      <c r="BA21" s="81">
        <f ca="1">B21*H21*'Aerodynamics-Constants'!N21/C21</f>
        <v>3147456.9347718065</v>
      </c>
      <c r="BB21" s="10">
        <f ca="1">0.455/(LOG10(MIN(BA21,'Aerodynamics-Constants'!V21)))^2.58</f>
        <v>3.6395415775561323E-3</v>
      </c>
      <c r="BC21" s="10">
        <f ca="1">BB21*'Aerodynamics-Constants'!W21*'Aerodynamics-Constants'!X21*'Aerodynamics-Constants'!S21/N21+'Aerodynamics-Constants'!Z21</f>
        <v>3.4960284436362505E-3</v>
      </c>
      <c r="BD21" s="15">
        <f ca="1">BC21*'Aerodynamics-Constants'!AU21+(AJ21+AS21+AZ21)*('Aerodynamics-Constants'!AU21-1)</f>
        <v>8.4387599444459387E-3</v>
      </c>
      <c r="BE21" s="16">
        <f t="shared" ref="BE21:BE40" ca="1" si="18">AF21+P21/N21*AN21</f>
        <v>0.87824015425735491</v>
      </c>
      <c r="BF21" s="10">
        <f t="shared" ref="BF21:BF40" ca="1" si="19">AJ21+P21/N21*AS21+S21/N21*AZ21+BD21</f>
        <v>1.6954527084833058E-2</v>
      </c>
      <c r="BG21" s="10">
        <f t="shared" ref="BG21:BG40" ca="1" si="20">AK21+P21/N21*AT21</f>
        <v>4.7027725559523489E-2</v>
      </c>
      <c r="BH21" s="10">
        <f t="shared" ref="BH21:BH40" ca="1" si="21">AL21+P21/N21*AU21+S21/N21*AZ21+BD21</f>
        <v>6.3982252644356544E-2</v>
      </c>
      <c r="BI21" s="13">
        <f t="shared" ref="BI21:BI40" ca="1" si="22">0.5*B21*H21^2*N21*BE21</f>
        <v>129.60277124907643</v>
      </c>
      <c r="BJ21" s="13">
        <f t="shared" ref="BJ21:BJ40" ca="1" si="23">0.5*B21*H21^2*N21*BH21</f>
        <v>9.4419245274422181</v>
      </c>
      <c r="BK21" s="13">
        <f t="shared" ref="BK21:BK40" ca="1" si="24">BI21/BJ21</f>
        <v>13.726308749068695</v>
      </c>
      <c r="BL21" s="14">
        <f t="shared" ref="BL21:BL40" ca="1" si="25">BJ21*H21</f>
        <v>282.43522095317002</v>
      </c>
      <c r="BO21" s="16">
        <f ca="1">'Airfoil-RC'!J21</f>
        <v>4.7670310826758584</v>
      </c>
      <c r="BP21" s="1">
        <f ca="1">BO21/(1+BO21/(PI()*'Aerodynamics-Constants'!I21)*(1+AB21))</f>
        <v>3.7460797695240875</v>
      </c>
      <c r="BR21" s="12">
        <v>6</v>
      </c>
      <c r="BS21" s="1">
        <f t="shared" ref="BS21:BS40" si="26">BR21/(1+BR21/(PI()*Q21)*(1+AP21))</f>
        <v>3.2467427092400318</v>
      </c>
      <c r="BT21" s="1">
        <f>Stability!W21</f>
        <v>2.2957937864716098</v>
      </c>
      <c r="BV21" s="12">
        <v>6</v>
      </c>
      <c r="BW21" s="1">
        <f t="shared" ref="BW21:BW40" si="27">BV21/(1+BV21/(PI()*T21)*(1+AW21))</f>
        <v>3.1789266013735289</v>
      </c>
      <c r="BX21" s="1">
        <f>Stability!Y21</f>
        <v>2.2478405567255271</v>
      </c>
    </row>
    <row r="22" spans="2:76">
      <c r="B22" s="16">
        <f>'RC'!F22</f>
        <v>0.65969672852566186</v>
      </c>
      <c r="C22" s="74">
        <f>'Airfoil-RC'!E22</f>
        <v>1.5987591530356481E-5</v>
      </c>
      <c r="E22" s="19">
        <f ca="1">'RC'!H22</f>
        <v>131.99424477485522</v>
      </c>
      <c r="F22" s="63">
        <f>Weight!G22</f>
        <v>0.3</v>
      </c>
      <c r="H22" s="20">
        <f t="shared" ref="H22:H40" ca="1" si="28">IF(ISERROR(BE22),5,SQRT(E22/(0.5*B22*N22*BE22)))</f>
        <v>29.421519599165652</v>
      </c>
      <c r="I22" s="20">
        <f t="shared" ca="1" si="0"/>
        <v>23.078747160519566</v>
      </c>
      <c r="J22" s="20">
        <f t="shared" ca="1" si="1"/>
        <v>1.2748317486443357</v>
      </c>
      <c r="L22" s="31">
        <f>Main!B22</f>
        <v>0.33333333333333326</v>
      </c>
      <c r="M22" s="31">
        <f>Main!C22</f>
        <v>1.5789473684210527</v>
      </c>
      <c r="N22" s="1">
        <f t="shared" si="2"/>
        <v>0.52631578947368407</v>
      </c>
      <c r="O22" s="1">
        <f t="shared" si="3"/>
        <v>4.7368421052631593</v>
      </c>
      <c r="P22" s="16">
        <f ca="1">'Aerodynamics-Constants'!AC22</f>
        <v>3.6702909021930567E-2</v>
      </c>
      <c r="Q22" s="16">
        <f>'Aerodynamics-Constants'!AD22</f>
        <v>2.3684210526315796</v>
      </c>
      <c r="R22" s="63">
        <f>Stability!G22</f>
        <v>5.6500000000000012</v>
      </c>
      <c r="S22" s="16">
        <f ca="1">'Aerodynamics-Constants'!AM22</f>
        <v>9.7716352702972523E-3</v>
      </c>
      <c r="T22" s="16">
        <f>'Aerodynamics-Constants'!AN22</f>
        <v>2.3684210526315796</v>
      </c>
      <c r="V22" s="81">
        <f t="shared" ca="1" si="4"/>
        <v>404673.84118843661</v>
      </c>
      <c r="W22" s="63">
        <f ca="1">'Aerodynamics-Cruise'!W22</f>
        <v>0.9</v>
      </c>
      <c r="X22" s="42">
        <f ca="1">'Airfoil-RC'!V22</f>
        <v>6.9435491164787184E-3</v>
      </c>
      <c r="Y22" s="14">
        <f t="shared" ca="1" si="5"/>
        <v>129.61671112314633</v>
      </c>
      <c r="Z22" s="16">
        <f ca="1">'Airfoil-RC'!AF22</f>
        <v>-0.15499999999999875</v>
      </c>
      <c r="AA22" s="31">
        <f>Main!I22</f>
        <v>1.2293438844505524</v>
      </c>
      <c r="AB22" s="12">
        <f t="shared" si="6"/>
        <v>-0.1865579577459372</v>
      </c>
      <c r="AC22" s="30">
        <f t="shared" ca="1" si="7"/>
        <v>2.8153246389356452</v>
      </c>
      <c r="AD22" s="13">
        <f t="shared" ca="1" si="8"/>
        <v>2.8153246389356452</v>
      </c>
      <c r="AE22" s="13">
        <f ca="1">DEGREES(AF22/BP22)+'Airfoil-RC'!K22</f>
        <v>3.4579920551174244</v>
      </c>
      <c r="AF22" s="1">
        <f t="shared" ca="1" si="9"/>
        <v>0.89891373239271433</v>
      </c>
      <c r="AG22" s="16">
        <f ca="1">0.9*'Airfoil-RC'!I22</f>
        <v>1.4274792472156521</v>
      </c>
      <c r="AH22" s="42">
        <f ca="1">0.455/(LOG10(MIN(V22,'Aerodynamics-Constants'!L22)))^2.58</f>
        <v>5.3243372084149738E-3</v>
      </c>
      <c r="AI22" s="42">
        <f ca="1">+AH22*'Aerodynamics-Constants'!J22*'Aerodynamics-Constants'!M22</f>
        <v>0</v>
      </c>
      <c r="AJ22" s="10">
        <f ca="1">X22*COS(RADIANS(AC22))*'Aerodynamics-Constants'!M22+AI22</f>
        <v>6.9351685026066874E-3</v>
      </c>
      <c r="AK22" s="10">
        <f ca="1">AF22^2/(PI()*'Aerodynamics-Constants'!I22*AA22)</f>
        <v>4.4169640427092371E-2</v>
      </c>
      <c r="AL22" s="10">
        <f t="shared" ca="1" si="10"/>
        <v>5.1104808929699055E-2</v>
      </c>
      <c r="AM22" s="1">
        <f t="shared" ca="1" si="11"/>
        <v>-0.15499999999999875</v>
      </c>
      <c r="AN22" s="1">
        <f t="shared" ca="1" si="12"/>
        <v>-0.29498450130697684</v>
      </c>
      <c r="AO22" s="12">
        <f t="shared" ref="AO22:AO39" si="29">MAX(0,(1.78*(1-0.045*Q22^0.68)-0.64))*1</f>
        <v>0.9960324623343223</v>
      </c>
      <c r="AP22" s="12">
        <f t="shared" si="13"/>
        <v>3.9833417240029423E-3</v>
      </c>
      <c r="AQ22" s="81">
        <f ca="1">B22*H22*'Aerodynamics-Constants'!AA22/C22</f>
        <v>151128.77901896567</v>
      </c>
      <c r="AR22" s="10">
        <f ca="1">0.455/(LOG10(MIN(AQ22,'Aerodynamics-Constants'!AG22)))^2.58</f>
        <v>6.5340407328755967E-3</v>
      </c>
      <c r="AS22" s="15">
        <f ca="1">AR22*'Aerodynamics-Constants'!AI22*'Aerodynamics-Constants'!AJ22*'Aerodynamics-Constants'!AE22/P22</f>
        <v>1.8175198585237997E-2</v>
      </c>
      <c r="AT22" s="10">
        <f t="shared" ca="1" si="14"/>
        <v>1.1741298203752998E-2</v>
      </c>
      <c r="AU22" s="10">
        <f t="shared" ca="1" si="15"/>
        <v>2.9916496788990995E-2</v>
      </c>
      <c r="AV22" s="12">
        <f t="shared" si="16"/>
        <v>0.95578947368421063</v>
      </c>
      <c r="AW22" s="12">
        <f t="shared" si="17"/>
        <v>4.625550660792932E-2</v>
      </c>
      <c r="AX22" s="81">
        <f ca="1">B22*H22*'Aerodynamics-Constants'!AK22/C22</f>
        <v>77979.519406588806</v>
      </c>
      <c r="AY22" s="10">
        <f ca="1">0.455/(LOG10(MIN(AX22,'Aerodynamics-Constants'!AQ22)))^2.58</f>
        <v>7.5707832709367255E-3</v>
      </c>
      <c r="AZ22" s="15">
        <f ca="1">AY22*'Aerodynamics-Constants'!AS22*'Aerodynamics-Constants'!AT22*'Aerodynamics-Constants'!AO22/S22</f>
        <v>2.1059019222629701E-2</v>
      </c>
      <c r="BA22" s="81">
        <f ca="1">B22*H22*'Aerodynamics-Constants'!N22/C22</f>
        <v>3095754.8850915404</v>
      </c>
      <c r="BB22" s="10">
        <f ca="1">0.455/(LOG10(MIN(BA22,'Aerodynamics-Constants'!V22)))^2.58</f>
        <v>3.6499569418664431E-3</v>
      </c>
      <c r="BC22" s="10">
        <f ca="1">BB22*'Aerodynamics-Constants'!W22*'Aerodynamics-Constants'!X22*'Aerodynamics-Constants'!S22/N22+'Aerodynamics-Constants'!Z22</f>
        <v>3.3307230767171997E-3</v>
      </c>
      <c r="BD22" s="15">
        <f ca="1">BC22*'Aerodynamics-Constants'!AU22+(AJ22+AS22+AZ22)*('Aerodynamics-Constants'!AU22-1)</f>
        <v>8.2807340154363619E-3</v>
      </c>
      <c r="BE22" s="16">
        <f t="shared" ca="1" si="18"/>
        <v>0.87834283269545022</v>
      </c>
      <c r="BF22" s="10">
        <f t="shared" ca="1" si="19"/>
        <v>1.6874343576777182E-2</v>
      </c>
      <c r="BG22" s="10">
        <f t="shared" ca="1" si="20"/>
        <v>4.4988426046658606E-2</v>
      </c>
      <c r="BH22" s="10">
        <f t="shared" ca="1" si="21"/>
        <v>6.1862769623435787E-2</v>
      </c>
      <c r="BI22" s="13">
        <f t="shared" ca="1" si="22"/>
        <v>131.99424477485519</v>
      </c>
      <c r="BJ22" s="13">
        <f t="shared" ca="1" si="23"/>
        <v>9.2965175466485679</v>
      </c>
      <c r="BK22" s="13">
        <f t="shared" ca="1" si="24"/>
        <v>14.198246183318359</v>
      </c>
      <c r="BL22" s="14">
        <f t="shared" ca="1" si="25"/>
        <v>273.51767320270824</v>
      </c>
      <c r="BO22" s="16">
        <f ca="1">'Airfoil-RC'!J22</f>
        <v>4.7936617965003281</v>
      </c>
      <c r="BP22" s="1">
        <f ca="1">BO22/(1+BO22/(PI()*'Aerodynamics-Constants'!I22)*(1+AB22))</f>
        <v>3.798366246985649</v>
      </c>
      <c r="BR22" s="12">
        <v>6</v>
      </c>
      <c r="BS22" s="1">
        <f t="shared" si="26"/>
        <v>3.3156550852903828</v>
      </c>
      <c r="BT22" s="1">
        <f>Stability!W22</f>
        <v>2.3445221948844903</v>
      </c>
      <c r="BV22" s="12">
        <v>6</v>
      </c>
      <c r="BW22" s="1">
        <f t="shared" si="27"/>
        <v>3.2543523818462479</v>
      </c>
      <c r="BX22" s="1">
        <f>Stability!Y22</f>
        <v>2.3011746375740749</v>
      </c>
    </row>
    <row r="23" spans="2:76">
      <c r="B23" s="16">
        <f>'RC'!F23</f>
        <v>0.65969672852566186</v>
      </c>
      <c r="C23" s="74">
        <f>'Airfoil-RC'!E23</f>
        <v>1.5987591530356481E-5</v>
      </c>
      <c r="E23" s="19">
        <f ca="1">'RC'!H23</f>
        <v>134.24051129324812</v>
      </c>
      <c r="F23" s="63">
        <f>Weight!G23</f>
        <v>0.3</v>
      </c>
      <c r="H23" s="20">
        <f t="shared" ca="1" si="28"/>
        <v>28.954278467473443</v>
      </c>
      <c r="I23" s="20">
        <f t="shared" ca="1" si="0"/>
        <v>22.715913401688795</v>
      </c>
      <c r="J23" s="20">
        <f t="shared" ca="1" si="1"/>
        <v>1.2746253234668901</v>
      </c>
      <c r="L23" s="31">
        <f>Main!B23</f>
        <v>0.33333333333333326</v>
      </c>
      <c r="M23" s="31">
        <f>Main!C23</f>
        <v>1.6578947368421053</v>
      </c>
      <c r="N23" s="1">
        <f t="shared" si="2"/>
        <v>0.55263157894736836</v>
      </c>
      <c r="O23" s="1">
        <f t="shared" si="3"/>
        <v>4.9736842105263168</v>
      </c>
      <c r="P23" s="16">
        <f ca="1">'Aerodynamics-Constants'!AC23</f>
        <v>3.7836985495348238E-2</v>
      </c>
      <c r="Q23" s="16">
        <f>'Aerodynamics-Constants'!AD23</f>
        <v>2.4868421052631584</v>
      </c>
      <c r="R23" s="63">
        <f>Stability!G23</f>
        <v>5.6500000000000012</v>
      </c>
      <c r="S23" s="16">
        <f ca="1">'Aerodynamics-Constants'!AM23</f>
        <v>1.0423408148040733E-2</v>
      </c>
      <c r="T23" s="16">
        <f>'Aerodynamics-Constants'!AN23</f>
        <v>2.4868421052631584</v>
      </c>
      <c r="V23" s="81">
        <f t="shared" ca="1" si="4"/>
        <v>398247.24371491658</v>
      </c>
      <c r="W23" s="63">
        <f ca="1">'Aerodynamics-Cruise'!W23</f>
        <v>0.9</v>
      </c>
      <c r="X23" s="42">
        <f ca="1">'Airfoil-RC'!V23</f>
        <v>7.0303585865637676E-3</v>
      </c>
      <c r="Y23" s="14">
        <f t="shared" ca="1" si="5"/>
        <v>128.0162297439644</v>
      </c>
      <c r="Z23" s="16">
        <f ca="1">'Airfoil-RC'!AF23</f>
        <v>-0.15499999999999878</v>
      </c>
      <c r="AA23" s="31">
        <f>Main!I23</f>
        <v>1.2215629734834355</v>
      </c>
      <c r="AB23" s="12">
        <f t="shared" si="6"/>
        <v>-0.18137662837931445</v>
      </c>
      <c r="AC23" s="30">
        <f t="shared" ca="1" si="7"/>
        <v>2.6986049380059223</v>
      </c>
      <c r="AD23" s="13">
        <f t="shared" ca="1" si="8"/>
        <v>2.6986049380059223</v>
      </c>
      <c r="AE23" s="13">
        <f ca="1">DEGREES(AF23/BP23)+'Airfoil-RC'!K23</f>
        <v>3.392191967803857</v>
      </c>
      <c r="AF23" s="1">
        <f t="shared" ca="1" si="9"/>
        <v>0.89900191947038521</v>
      </c>
      <c r="AG23" s="16">
        <f ca="1">0.9*'Airfoil-RC'!I23</f>
        <v>1.4271616137554182</v>
      </c>
      <c r="AH23" s="42">
        <f ca="1">0.455/(LOG10(MIN(V23,'Aerodynamics-Constants'!L23)))^2.58</f>
        <v>5.3414075821616343E-3</v>
      </c>
      <c r="AI23" s="42">
        <f ca="1">+AH23*'Aerodynamics-Constants'!J23*'Aerodynamics-Constants'!M23</f>
        <v>0</v>
      </c>
      <c r="AJ23" s="10">
        <f ca="1">X23*COS(RADIANS(AC23))*'Aerodynamics-Constants'!M23+AI23</f>
        <v>7.0225620709843681E-3</v>
      </c>
      <c r="AK23" s="10">
        <f ca="1">AF23^2/(PI()*'Aerodynamics-Constants'!I23*AA23)</f>
        <v>4.2342578105698775E-2</v>
      </c>
      <c r="AL23" s="10">
        <f t="shared" ca="1" si="10"/>
        <v>4.9365140176683142E-2</v>
      </c>
      <c r="AM23" s="1">
        <f t="shared" ca="1" si="11"/>
        <v>-0.15499999999999878</v>
      </c>
      <c r="AN23" s="1">
        <f t="shared" ca="1" si="12"/>
        <v>-0.30043813386009655</v>
      </c>
      <c r="AO23" s="12">
        <f t="shared" si="29"/>
        <v>0.9911758879050544</v>
      </c>
      <c r="AP23" s="12">
        <f t="shared" si="13"/>
        <v>8.9026702552219561E-3</v>
      </c>
      <c r="AQ23" s="81">
        <f ca="1">B23*H23*'Aerodynamics-Constants'!AA23/C23</f>
        <v>147369.69738951378</v>
      </c>
      <c r="AR23" s="10">
        <f ca="1">0.455/(LOG10(MIN(AQ23,'Aerodynamics-Constants'!AG23)))^2.58</f>
        <v>6.569780152113909E-3</v>
      </c>
      <c r="AS23" s="15">
        <f ca="1">AR23*'Aerodynamics-Constants'!AI23*'Aerodynamics-Constants'!AJ23*'Aerodynamics-Constants'!AE23/P23</f>
        <v>1.827461196028923E-2</v>
      </c>
      <c r="AT23" s="10">
        <f t="shared" ca="1" si="14"/>
        <v>1.1656315619786372E-2</v>
      </c>
      <c r="AU23" s="10">
        <f t="shared" ca="1" si="15"/>
        <v>2.9930927580075602E-2</v>
      </c>
      <c r="AV23" s="12">
        <f t="shared" si="16"/>
        <v>0.95507894736842114</v>
      </c>
      <c r="AW23" s="12">
        <f t="shared" si="17"/>
        <v>4.7033863279420274E-2</v>
      </c>
      <c r="AX23" s="81">
        <f ca="1">B23*H23*'Aerodynamics-Constants'!AK23/C23</f>
        <v>77349.017099878314</v>
      </c>
      <c r="AY23" s="10">
        <f ca="1">0.455/(LOG10(MIN(AX23,'Aerodynamics-Constants'!AQ23)))^2.58</f>
        <v>7.5848790295549931E-3</v>
      </c>
      <c r="AZ23" s="15">
        <f ca="1">AY23*'Aerodynamics-Constants'!AS23*'Aerodynamics-Constants'!AT23*'Aerodynamics-Constants'!AO23/S23</f>
        <v>2.1098228224007299E-2</v>
      </c>
      <c r="BA23" s="81">
        <f ca="1">B23*H23*'Aerodynamics-Constants'!N23/C23</f>
        <v>3046591.4144191123</v>
      </c>
      <c r="BB23" s="10">
        <f ca="1">0.455/(LOG10(MIN(BA23,'Aerodynamics-Constants'!V23)))^2.58</f>
        <v>3.6600628770535847E-3</v>
      </c>
      <c r="BC23" s="10">
        <f ca="1">BB23*'Aerodynamics-Constants'!W23*'Aerodynamics-Constants'!X23*'Aerodynamics-Constants'!S23/N23+'Aerodynamics-Constants'!Z23</f>
        <v>3.1808923947873788E-3</v>
      </c>
      <c r="BD23" s="15">
        <f ca="1">BC23*'Aerodynamics-Constants'!AU23+(AJ23+AS23+AZ23)*('Aerodynamics-Constants'!AU23-1)</f>
        <v>8.1385218597942108E-3</v>
      </c>
      <c r="BE23" s="16">
        <f t="shared" ca="1" si="18"/>
        <v>0.87843184395141705</v>
      </c>
      <c r="BF23" s="10">
        <f t="shared" ca="1" si="19"/>
        <v>1.6810232669961865E-2</v>
      </c>
      <c r="BG23" s="10">
        <f t="shared" ca="1" si="20"/>
        <v>4.3140650206238404E-2</v>
      </c>
      <c r="BH23" s="10">
        <f t="shared" ca="1" si="21"/>
        <v>5.9950882876200269E-2</v>
      </c>
      <c r="BI23" s="13">
        <f t="shared" ca="1" si="22"/>
        <v>134.24051129324815</v>
      </c>
      <c r="BJ23" s="13">
        <f t="shared" ca="1" si="23"/>
        <v>9.1615954330406275</v>
      </c>
      <c r="BK23" s="13">
        <f t="shared" ca="1" si="24"/>
        <v>14.652525564392366</v>
      </c>
      <c r="BL23" s="14">
        <f t="shared" ca="1" si="25"/>
        <v>265.2673853745913</v>
      </c>
      <c r="BO23" s="16">
        <f ca="1">'Airfoil-RC'!J23</f>
        <v>4.819542111633532</v>
      </c>
      <c r="BP23" s="1">
        <f ca="1">BO23/(1+BO23/(PI()*'Aerodynamics-Constants'!I23)*(1+AB23))</f>
        <v>3.8479369988210261</v>
      </c>
      <c r="BR23" s="12">
        <v>6</v>
      </c>
      <c r="BS23" s="1">
        <f t="shared" si="26"/>
        <v>3.3806190262133535</v>
      </c>
      <c r="BT23" s="1">
        <f>Stability!W23</f>
        <v>2.3904586380437252</v>
      </c>
      <c r="BV23" s="12">
        <v>6</v>
      </c>
      <c r="BW23" s="1">
        <f t="shared" si="27"/>
        <v>3.3257449178841254</v>
      </c>
      <c r="BX23" s="1">
        <f>Stability!Y23</f>
        <v>2.3516567839325631</v>
      </c>
    </row>
    <row r="24" spans="2:76">
      <c r="B24" s="16">
        <f>'RC'!F24</f>
        <v>0.65969672852566186</v>
      </c>
      <c r="C24" s="74">
        <f>'Airfoil-RC'!E24</f>
        <v>1.5987591530356481E-5</v>
      </c>
      <c r="E24" s="19">
        <f ca="1">'RC'!H24</f>
        <v>126.40792205809124</v>
      </c>
      <c r="F24" s="63">
        <f>Weight!G24</f>
        <v>0.3</v>
      </c>
      <c r="H24" s="20">
        <f t="shared" ca="1" si="28"/>
        <v>27.44967418854808</v>
      </c>
      <c r="I24" s="20">
        <f t="shared" ca="1" si="0"/>
        <v>21.544426827351217</v>
      </c>
      <c r="J24" s="20">
        <f t="shared" ca="1" si="1"/>
        <v>1.2740962852490463</v>
      </c>
      <c r="L24" s="31">
        <f>Main!B24</f>
        <v>0.33333333333333326</v>
      </c>
      <c r="M24" s="31">
        <f>Main!C24</f>
        <v>1.736842105263158</v>
      </c>
      <c r="N24" s="1">
        <f t="shared" si="2"/>
        <v>0.57894736842105254</v>
      </c>
      <c r="O24" s="1">
        <f t="shared" si="3"/>
        <v>5.2105263157894752</v>
      </c>
      <c r="P24" s="16">
        <f ca="1">'Aerodynamics-Constants'!AC24</f>
        <v>3.9367122344217041E-2</v>
      </c>
      <c r="Q24" s="16">
        <f>'Aerodynamics-Constants'!AD24</f>
        <v>2.6052631578947376</v>
      </c>
      <c r="R24" s="63">
        <f>Stability!G24</f>
        <v>5.6500000000000012</v>
      </c>
      <c r="S24" s="16">
        <f ca="1">'Aerodynamics-Constants'!AM24</f>
        <v>1.1105416987830716E-2</v>
      </c>
      <c r="T24" s="16">
        <f>'Aerodynamics-Constants'!AN24</f>
        <v>2.6052631578947376</v>
      </c>
      <c r="V24" s="81">
        <f t="shared" ca="1" si="4"/>
        <v>377552.39173865929</v>
      </c>
      <c r="W24" s="63">
        <f ca="1">'Aerodynamics-Cruise'!W24</f>
        <v>0.9</v>
      </c>
      <c r="X24" s="42">
        <f ca="1">'Airfoil-RC'!V24</f>
        <v>7.3276520093846264E-3</v>
      </c>
      <c r="Y24" s="14">
        <f t="shared" ca="1" si="5"/>
        <v>122.82242645357032</v>
      </c>
      <c r="Z24" s="16">
        <f ca="1">'Airfoil-RC'!AF24</f>
        <v>-0.15499999999999881</v>
      </c>
      <c r="AA24" s="31">
        <f>Main!I24</f>
        <v>1.2138997812328405</v>
      </c>
      <c r="AB24" s="12">
        <f t="shared" si="6"/>
        <v>-0.17620876495718873</v>
      </c>
      <c r="AC24" s="30">
        <f t="shared" ca="1" si="7"/>
        <v>2.5924246355551017</v>
      </c>
      <c r="AD24" s="13">
        <f t="shared" ca="1" si="8"/>
        <v>2.5924246355551017</v>
      </c>
      <c r="AE24" s="13">
        <f ca="1">DEGREES(AF24/BP24)+'Airfoil-RC'!K24</f>
        <v>3.4471603791675971</v>
      </c>
      <c r="AF24" s="1">
        <f t="shared" ca="1" si="9"/>
        <v>0.89907890285619119</v>
      </c>
      <c r="AG24" s="16">
        <f ca="1">0.9*'Airfoil-RC'!I24</f>
        <v>1.4261032983164139</v>
      </c>
      <c r="AH24" s="42">
        <f ca="1">0.455/(LOG10(MIN(V24,'Aerodynamics-Constants'!L24)))^2.58</f>
        <v>5.3988630296151561E-3</v>
      </c>
      <c r="AI24" s="42">
        <f ca="1">+AH24*'Aerodynamics-Constants'!J24*'Aerodynamics-Constants'!M24</f>
        <v>0</v>
      </c>
      <c r="AJ24" s="10">
        <f ca="1">X24*COS(RADIANS(AC24))*'Aerodynamics-Constants'!M24+AI24</f>
        <v>7.3201525878994382E-3</v>
      </c>
      <c r="AK24" s="10">
        <f ca="1">AF24^2/(PI()*'Aerodynamics-Constants'!I24*AA24)</f>
        <v>4.0680034670617447E-2</v>
      </c>
      <c r="AL24" s="10">
        <f t="shared" ca="1" si="10"/>
        <v>4.8000187258516888E-2</v>
      </c>
      <c r="AM24" s="1">
        <f t="shared" ca="1" si="11"/>
        <v>-0.15499999999999881</v>
      </c>
      <c r="AN24" s="1">
        <f t="shared" ca="1" si="12"/>
        <v>-0.3025005091817875</v>
      </c>
      <c r="AO24" s="12">
        <f t="shared" si="29"/>
        <v>0.98639278941079256</v>
      </c>
      <c r="AP24" s="12">
        <f t="shared" si="13"/>
        <v>1.3794920984099512E-2</v>
      </c>
      <c r="AQ24" s="81">
        <f ca="1">B24*H24*'Aerodynamics-Constants'!AA24/C24</f>
        <v>139232.14583073187</v>
      </c>
      <c r="AR24" s="10">
        <f ca="1">0.455/(LOG10(MIN(AQ24,'Aerodynamics-Constants'!AG24)))^2.58</f>
        <v>6.6513784761143818E-3</v>
      </c>
      <c r="AS24" s="15">
        <f ca="1">AR24*'Aerodynamics-Constants'!AI24*'Aerodynamics-Constants'!AJ24*'Aerodynamics-Constants'!AE24/P24</f>
        <v>1.8501587243052502E-2</v>
      </c>
      <c r="AT24" s="10">
        <f t="shared" ca="1" si="14"/>
        <v>1.1334460686671516E-2</v>
      </c>
      <c r="AU24" s="10">
        <f t="shared" ca="1" si="15"/>
        <v>2.9836047929724017E-2</v>
      </c>
      <c r="AV24" s="12">
        <f t="shared" si="16"/>
        <v>0.95436842105263164</v>
      </c>
      <c r="AW24" s="12">
        <f t="shared" si="17"/>
        <v>4.7813378922406669E-2</v>
      </c>
      <c r="AX24" s="81">
        <f ca="1">B24*H24*'Aerodynamics-Constants'!AK24/C24</f>
        <v>73950.330042336587</v>
      </c>
      <c r="AY24" s="10">
        <f ca="1">0.455/(LOG10(MIN(AX24,'Aerodynamics-Constants'!AQ24)))^2.58</f>
        <v>7.6635599495004925E-3</v>
      </c>
      <c r="AZ24" s="15">
        <f ca="1">AY24*'Aerodynamics-Constants'!AS24*'Aerodynamics-Constants'!AT24*'Aerodynamics-Constants'!AO24/S24</f>
        <v>2.1317088406142909E-2</v>
      </c>
      <c r="BA24" s="81">
        <f ca="1">B24*H24*'Aerodynamics-Constants'!N24/C24</f>
        <v>2888275.7968007443</v>
      </c>
      <c r="BB24" s="10">
        <f ca="1">0.455/(LOG10(MIN(BA24,'Aerodynamics-Constants'!V24)))^2.58</f>
        <v>3.6940326585928815E-3</v>
      </c>
      <c r="BC24" s="10">
        <f ca="1">BB24*'Aerodynamics-Constants'!W24*'Aerodynamics-Constants'!X24*'Aerodynamics-Constants'!S24/N24+'Aerodynamics-Constants'!Z24</f>
        <v>3.0644622394133524E-3</v>
      </c>
      <c r="BD24" s="15">
        <f ca="1">BC24*'Aerodynamics-Constants'!AU24+(AJ24+AS24+AZ24)*('Aerodynamics-Constants'!AU24-1)</f>
        <v>8.0847912870641771E-3</v>
      </c>
      <c r="BE24" s="16">
        <f t="shared" ca="1" si="18"/>
        <v>0.87850954680811844</v>
      </c>
      <c r="BF24" s="10">
        <f t="shared" ca="1" si="19"/>
        <v>1.7071916482349646E-2</v>
      </c>
      <c r="BG24" s="10">
        <f t="shared" ca="1" si="20"/>
        <v>4.1450752571581123E-2</v>
      </c>
      <c r="BH24" s="10">
        <f t="shared" ca="1" si="21"/>
        <v>5.8522669053930769E-2</v>
      </c>
      <c r="BI24" s="13">
        <f t="shared" ca="1" si="22"/>
        <v>126.40792205809124</v>
      </c>
      <c r="BJ24" s="13">
        <f t="shared" ca="1" si="23"/>
        <v>8.4207724495184575</v>
      </c>
      <c r="BK24" s="13">
        <f t="shared" ca="1" si="24"/>
        <v>15.011440199327543</v>
      </c>
      <c r="BL24" s="14">
        <f t="shared" ca="1" si="25"/>
        <v>231.14746015518358</v>
      </c>
      <c r="BO24" s="16">
        <f ca="1">'Airfoil-RC'!J24</f>
        <v>4.9068271558908192</v>
      </c>
      <c r="BP24" s="1">
        <f ca="1">BO24/(1+BO24/(PI()*'Aerodynamics-Constants'!I24)*(1+AB24))</f>
        <v>3.9351037785960563</v>
      </c>
      <c r="BR24" s="12">
        <v>6</v>
      </c>
      <c r="BS24" s="1">
        <f t="shared" si="26"/>
        <v>3.4419654787715577</v>
      </c>
      <c r="BT24" s="1">
        <f>Stability!W24</f>
        <v>2.4338371306493705</v>
      </c>
      <c r="BV24" s="12">
        <v>6</v>
      </c>
      <c r="BW24" s="1">
        <f t="shared" si="27"/>
        <v>3.3934190644503546</v>
      </c>
      <c r="BX24" s="1">
        <f>Stability!Y24</f>
        <v>2.399509631880556</v>
      </c>
    </row>
    <row r="25" spans="2:76">
      <c r="B25" s="16">
        <f>'RC'!F25</f>
        <v>0.65969672852566186</v>
      </c>
      <c r="C25" s="74">
        <f>'Airfoil-RC'!E25</f>
        <v>1.5987591530356481E-5</v>
      </c>
      <c r="E25" s="19">
        <f ca="1">'RC'!H25</f>
        <v>128.23739388407131</v>
      </c>
      <c r="F25" s="63">
        <f>Weight!G25</f>
        <v>0.3</v>
      </c>
      <c r="H25" s="20">
        <f t="shared" ca="1" si="28"/>
        <v>27.038832775819852</v>
      </c>
      <c r="I25" s="20">
        <f t="shared" ca="1" si="0"/>
        <v>21.225018832745462</v>
      </c>
      <c r="J25" s="20">
        <f t="shared" ca="1" si="1"/>
        <v>1.2739132525105219</v>
      </c>
      <c r="L25" s="31">
        <f>Main!B25</f>
        <v>0.33333333333333326</v>
      </c>
      <c r="M25" s="31">
        <f>Main!C25</f>
        <v>1.8157894736842106</v>
      </c>
      <c r="N25" s="1">
        <f t="shared" si="2"/>
        <v>0.60526315789473673</v>
      </c>
      <c r="O25" s="1">
        <f t="shared" si="3"/>
        <v>5.4473684210526327</v>
      </c>
      <c r="P25" s="16">
        <f ca="1">'Aerodynamics-Constants'!AC25</f>
        <v>4.0508118560052687E-2</v>
      </c>
      <c r="Q25" s="16">
        <f>'Aerodynamics-Constants'!AD25</f>
        <v>2.7236842105263164</v>
      </c>
      <c r="R25" s="63">
        <f>Stability!G25</f>
        <v>5.6500000000000012</v>
      </c>
      <c r="S25" s="16">
        <f ca="1">'Aerodynamics-Constants'!AM25</f>
        <v>1.1817118078367429E-2</v>
      </c>
      <c r="T25" s="16">
        <f>'Aerodynamics-Constants'!AN25</f>
        <v>2.7236842105263164</v>
      </c>
      <c r="V25" s="81">
        <f t="shared" ca="1" si="4"/>
        <v>371901.53566891607</v>
      </c>
      <c r="W25" s="63">
        <f ca="1">'Aerodynamics-Cruise'!W25</f>
        <v>0.9</v>
      </c>
      <c r="X25" s="42">
        <f ca="1">'Airfoil-RC'!V25</f>
        <v>7.4139208002394581E-3</v>
      </c>
      <c r="Y25" s="14">
        <f t="shared" ca="1" si="5"/>
        <v>121.39325793322899</v>
      </c>
      <c r="Z25" s="16">
        <f ca="1">'Airfoil-RC'!AF25</f>
        <v>-0.15499999999999886</v>
      </c>
      <c r="AA25" s="31">
        <f>Main!I25</f>
        <v>1.2063472907833321</v>
      </c>
      <c r="AB25" s="12">
        <f t="shared" si="6"/>
        <v>-0.17105131528860329</v>
      </c>
      <c r="AC25" s="30">
        <f t="shared" ca="1" si="7"/>
        <v>2.4954227585215292</v>
      </c>
      <c r="AD25" s="13">
        <f t="shared" ca="1" si="8"/>
        <v>2.4954227585215292</v>
      </c>
      <c r="AE25" s="13">
        <f ca="1">DEGREES(AF25/BP25)+'Airfoil-RC'!K25</f>
        <v>3.3945957248856207</v>
      </c>
      <c r="AF25" s="1">
        <f t="shared" ca="1" si="9"/>
        <v>0.89914653275094825</v>
      </c>
      <c r="AG25" s="16">
        <f ca="1">0.9*'Airfoil-RC'!I25</f>
        <v>1.425804367798865</v>
      </c>
      <c r="AH25" s="42">
        <f ca="1">0.455/(LOG10(MIN(V25,'Aerodynamics-Constants'!L25)))^2.58</f>
        <v>5.4152549026023778E-3</v>
      </c>
      <c r="AI25" s="42">
        <f ca="1">+AH25*'Aerodynamics-Constants'!J25*'Aerodynamics-Constants'!M25</f>
        <v>0</v>
      </c>
      <c r="AJ25" s="10">
        <f ca="1">X25*COS(RADIANS(AC25))*'Aerodynamics-Constants'!M25+AI25</f>
        <v>7.4068902018060495E-3</v>
      </c>
      <c r="AK25" s="10">
        <f ca="1">AF25^2/(PI()*'Aerodynamics-Constants'!I25*AA25)</f>
        <v>3.9160837676710997E-2</v>
      </c>
      <c r="AL25" s="10">
        <f t="shared" ca="1" si="10"/>
        <v>4.6567727878517047E-2</v>
      </c>
      <c r="AM25" s="1">
        <f t="shared" ca="1" si="11"/>
        <v>-0.15499999999999886</v>
      </c>
      <c r="AN25" s="1">
        <f t="shared" ca="1" si="12"/>
        <v>-0.30733322801455421</v>
      </c>
      <c r="AO25" s="12">
        <f t="shared" si="29"/>
        <v>0.98167878713658807</v>
      </c>
      <c r="AP25" s="12">
        <f t="shared" si="13"/>
        <v>1.8663144302885737E-2</v>
      </c>
      <c r="AQ25" s="81">
        <f ca="1">B25*H25*'Aerodynamics-Constants'!AA25/C25</f>
        <v>136063.57762086909</v>
      </c>
      <c r="AR25" s="10">
        <f ca="1">0.455/(LOG10(MIN(AQ25,'Aerodynamics-Constants'!AG25)))^2.58</f>
        <v>6.6848489843378761E-3</v>
      </c>
      <c r="AS25" s="15">
        <f ca="1">AR25*'Aerodynamics-Constants'!AI25*'Aerodynamics-Constants'!AJ25*'Aerodynamics-Constants'!AE25/P25</f>
        <v>1.8594689376721499E-2</v>
      </c>
      <c r="AT25" s="10">
        <f t="shared" ca="1" si="14"/>
        <v>1.1244573889994868E-2</v>
      </c>
      <c r="AU25" s="10">
        <f t="shared" ca="1" si="15"/>
        <v>2.9839263266716369E-2</v>
      </c>
      <c r="AV25" s="12">
        <f t="shared" si="16"/>
        <v>0.95365789473684215</v>
      </c>
      <c r="AW25" s="12">
        <f t="shared" si="17"/>
        <v>4.859405612737655E-2</v>
      </c>
      <c r="AX25" s="81">
        <f ca="1">B25*H25*'Aerodynamics-Constants'!AK25/C25</f>
        <v>73489.727554540877</v>
      </c>
      <c r="AY25" s="10">
        <f ca="1">0.455/(LOG10(MIN(AX25,'Aerodynamics-Constants'!AQ25)))^2.58</f>
        <v>7.6745899550917348E-3</v>
      </c>
      <c r="AZ25" s="15">
        <f ca="1">AY25*'Aerodynamics-Constants'!AS25*'Aerodynamics-Constants'!AT25*'Aerodynamics-Constants'!AO25/S25</f>
        <v>2.134776965687471E-2</v>
      </c>
      <c r="BA25" s="81">
        <f ca="1">B25*H25*'Aerodynamics-Constants'!N25/C25</f>
        <v>2845046.7478672084</v>
      </c>
      <c r="BB25" s="10">
        <f ca="1">0.455/(LOG10(MIN(BA25,'Aerodynamics-Constants'!V25)))^2.58</f>
        <v>3.7037115447730476E-3</v>
      </c>
      <c r="BC25" s="10">
        <f ca="1">BB25*'Aerodynamics-Constants'!W25*'Aerodynamics-Constants'!X25*'Aerodynamics-Constants'!S25/N25+'Aerodynamics-Constants'!Z25</f>
        <v>2.9388983004447295E-3</v>
      </c>
      <c r="BD25" s="15">
        <f ca="1">BC25*'Aerodynamics-Constants'!AU25+(AJ25+AS25+AZ25)*('Aerodynamics-Constants'!AU25-1)</f>
        <v>7.9677230540294332E-3</v>
      </c>
      <c r="BE25" s="16">
        <f t="shared" ca="1" si="18"/>
        <v>0.87857780875796665</v>
      </c>
      <c r="BF25" s="10">
        <f t="shared" ca="1" si="19"/>
        <v>1.7035882380660582E-2</v>
      </c>
      <c r="BG25" s="10">
        <f t="shared" ca="1" si="20"/>
        <v>3.9913397164847562E-2</v>
      </c>
      <c r="BH25" s="10">
        <f t="shared" ca="1" si="21"/>
        <v>5.6949279545508144E-2</v>
      </c>
      <c r="BI25" s="13">
        <f t="shared" ca="1" si="22"/>
        <v>128.23739388407131</v>
      </c>
      <c r="BJ25" s="13">
        <f t="shared" ca="1" si="23"/>
        <v>8.3123283102444869</v>
      </c>
      <c r="BK25" s="13">
        <f t="shared" ca="1" si="24"/>
        <v>15.427373546594133</v>
      </c>
      <c r="BL25" s="14">
        <f t="shared" ca="1" si="25"/>
        <v>224.75565515841387</v>
      </c>
      <c r="BO25" s="16">
        <f ca="1">'Airfoil-RC'!J25</f>
        <v>4.9317785666768117</v>
      </c>
      <c r="BP25" s="1">
        <f ca="1">BO25/(1+BO25/(PI()*'Aerodynamics-Constants'!I25)*(1+AB25))</f>
        <v>3.9808102089981716</v>
      </c>
      <c r="BR25" s="12">
        <v>6</v>
      </c>
      <c r="BS25" s="1">
        <f t="shared" si="26"/>
        <v>3.4999890744031426</v>
      </c>
      <c r="BT25" s="1">
        <f>Stability!W25</f>
        <v>2.4748660085892902</v>
      </c>
      <c r="BV25" s="12">
        <v>6</v>
      </c>
      <c r="BW25" s="1">
        <f t="shared" si="27"/>
        <v>3.4576577348594704</v>
      </c>
      <c r="BX25" s="1">
        <f>Stability!Y25</f>
        <v>2.4449332313412491</v>
      </c>
    </row>
    <row r="26" spans="2:76">
      <c r="B26" s="16">
        <f>'RC'!F26</f>
        <v>0.65969672852566186</v>
      </c>
      <c r="C26" s="74">
        <f>'Airfoil-RC'!E26</f>
        <v>1.5987591530356481E-5</v>
      </c>
      <c r="E26" s="19">
        <f ca="1">'RC'!H26</f>
        <v>129.96953292078499</v>
      </c>
      <c r="F26" s="63">
        <f>Weight!G26</f>
        <v>0.3</v>
      </c>
      <c r="H26" s="20">
        <f t="shared" ca="1" si="28"/>
        <v>26.646781908845327</v>
      </c>
      <c r="I26" s="20">
        <f t="shared" ca="1" si="0"/>
        <v>20.920107320760781</v>
      </c>
      <c r="J26" s="20">
        <f t="shared" ca="1" si="1"/>
        <v>1.2737402108067335</v>
      </c>
      <c r="L26" s="31">
        <f>Main!B26</f>
        <v>0.33333333333333326</v>
      </c>
      <c r="M26" s="31">
        <f>Main!C26</f>
        <v>1.8947368421052633</v>
      </c>
      <c r="N26" s="1">
        <f t="shared" si="2"/>
        <v>0.63157894736842091</v>
      </c>
      <c r="O26" s="1">
        <f t="shared" si="3"/>
        <v>5.6842105263157912</v>
      </c>
      <c r="P26" s="16">
        <f ca="1">'Aerodynamics-Constants'!AC26</f>
        <v>4.1646113608309603E-2</v>
      </c>
      <c r="Q26" s="16">
        <f>'Aerodynamics-Constants'!AD26</f>
        <v>2.8421052631578956</v>
      </c>
      <c r="R26" s="63">
        <f>Stability!G26</f>
        <v>5.6500000000000012</v>
      </c>
      <c r="S26" s="16">
        <f ca="1">'Aerodynamics-Constants'!AM26</f>
        <v>1.2558058561189744E-2</v>
      </c>
      <c r="T26" s="16">
        <f>'Aerodynamics-Constants'!AN26</f>
        <v>2.8421052631578956</v>
      </c>
      <c r="V26" s="81">
        <f t="shared" ca="1" si="4"/>
        <v>366509.13131858682</v>
      </c>
      <c r="W26" s="63">
        <f ca="1">'Aerodynamics-Cruise'!W26</f>
        <v>0.9</v>
      </c>
      <c r="X26" s="42">
        <f ca="1">'Airfoil-RC'!V26</f>
        <v>7.4984431111499083E-3</v>
      </c>
      <c r="Y26" s="14">
        <f t="shared" ca="1" si="5"/>
        <v>120.02491539366795</v>
      </c>
      <c r="Z26" s="16">
        <f ca="1">'Airfoil-RC'!AF26</f>
        <v>-0.15499999999999886</v>
      </c>
      <c r="AA26" s="31">
        <f>Main!I26</f>
        <v>1.1988991887661258</v>
      </c>
      <c r="AB26" s="12">
        <f t="shared" si="6"/>
        <v>-0.16590151251234675</v>
      </c>
      <c r="AC26" s="30">
        <f t="shared" ca="1" si="7"/>
        <v>2.4064634778408105</v>
      </c>
      <c r="AD26" s="13">
        <f t="shared" ca="1" si="8"/>
        <v>2.4064634778408105</v>
      </c>
      <c r="AE26" s="13">
        <f ca="1">DEGREES(AF26/BP26)+'Airfoil-RC'!K26</f>
        <v>3.3479318593069021</v>
      </c>
      <c r="AF26" s="1">
        <f t="shared" ca="1" si="9"/>
        <v>0.89920628981295814</v>
      </c>
      <c r="AG26" s="16">
        <f ca="1">0.9*'Airfoil-RC'!I26</f>
        <v>1.4255149032946268</v>
      </c>
      <c r="AH26" s="42">
        <f ca="1">0.455/(LOG10(MIN(V26,'Aerodynamics-Constants'!L26)))^2.58</f>
        <v>5.4311968887991056E-3</v>
      </c>
      <c r="AI26" s="42">
        <f ca="1">+AH26*'Aerodynamics-Constants'!J26*'Aerodynamics-Constants'!M26</f>
        <v>0</v>
      </c>
      <c r="AJ26" s="10">
        <f ca="1">X26*COS(RADIANS(AC26))*'Aerodynamics-Constants'!M26+AI26</f>
        <v>7.4918302326118262E-3</v>
      </c>
      <c r="AK26" s="10">
        <f ca="1">AF26^2/(PI()*'Aerodynamics-Constants'!I26*AA26)</f>
        <v>3.7767303523386725E-2</v>
      </c>
      <c r="AL26" s="10">
        <f t="shared" ca="1" si="10"/>
        <v>4.5259133755998548E-2</v>
      </c>
      <c r="AM26" s="1">
        <f t="shared" ca="1" si="11"/>
        <v>-0.15499999999999886</v>
      </c>
      <c r="AN26" s="1">
        <f t="shared" ca="1" si="12"/>
        <v>-0.31192395160626263</v>
      </c>
      <c r="AO26" s="12">
        <f t="shared" si="29"/>
        <v>0.97702994049688086</v>
      </c>
      <c r="AP26" s="12">
        <f t="shared" si="13"/>
        <v>2.3510087614548869E-2</v>
      </c>
      <c r="AQ26" s="81">
        <f ca="1">B26*H26*'Aerodynamics-Constants'!AA26/C26</f>
        <v>133098.51631298254</v>
      </c>
      <c r="AR26" s="10">
        <f ca="1">0.455/(LOG10(MIN(AQ26,'Aerodynamics-Constants'!AG26)))^2.58</f>
        <v>6.7171026882755077E-3</v>
      </c>
      <c r="AS26" s="15">
        <f ca="1">AR26*'Aerodynamics-Constants'!AI26*'Aerodynamics-Constants'!AJ26*'Aerodynamics-Constants'!AE26/P26</f>
        <v>1.8684406826939774E-2</v>
      </c>
      <c r="AT26" s="10">
        <f t="shared" ca="1" si="14"/>
        <v>1.1153201383974706E-2</v>
      </c>
      <c r="AU26" s="10">
        <f t="shared" ca="1" si="15"/>
        <v>2.9837608210914482E-2</v>
      </c>
      <c r="AV26" s="12">
        <f t="shared" si="16"/>
        <v>0.95294736842105265</v>
      </c>
      <c r="AW26" s="12">
        <f t="shared" si="17"/>
        <v>4.9375897492543785E-2</v>
      </c>
      <c r="AX26" s="81">
        <f ca="1">B26*H26*'Aerodynamics-Constants'!AK26/C26</f>
        <v>73088.193302769112</v>
      </c>
      <c r="AY26" s="10">
        <f ca="1">0.455/(LOG10(MIN(AX26,'Aerodynamics-Constants'!AQ26)))^2.58</f>
        <v>7.6842801434908797E-3</v>
      </c>
      <c r="AZ26" s="15">
        <f ca="1">AY26*'Aerodynamics-Constants'!AS26*'Aerodynamics-Constants'!AT26*'Aerodynamics-Constants'!AO26/S26</f>
        <v>2.1374724049368264E-2</v>
      </c>
      <c r="BA26" s="81">
        <f ca="1">B26*H26*'Aerodynamics-Constants'!N26/C26</f>
        <v>2803794.8545871894</v>
      </c>
      <c r="BB26" s="10">
        <f ca="1">0.455/(LOG10(MIN(BA26,'Aerodynamics-Constants'!V26)))^2.58</f>
        <v>3.7131194493096116E-3</v>
      </c>
      <c r="BC26" s="10">
        <f ca="1">BB26*'Aerodynamics-Constants'!W26*'Aerodynamics-Constants'!X26*'Aerodynamics-Constants'!S26/N26+'Aerodynamics-Constants'!Z26</f>
        <v>2.8235921367826193E-3</v>
      </c>
      <c r="BD26" s="15">
        <f ca="1">BC26*'Aerodynamics-Constants'!AU26+(AJ26+AS26+AZ26)*('Aerodynamics-Constants'!AU26-1)</f>
        <v>7.8610474613528721E-3</v>
      </c>
      <c r="BE26" s="16">
        <f t="shared" ca="1" si="18"/>
        <v>0.87863812429719157</v>
      </c>
      <c r="BF26" s="10">
        <f t="shared" ca="1" si="19"/>
        <v>1.7009927806417788E-2</v>
      </c>
      <c r="BG26" s="10">
        <f t="shared" ca="1" si="20"/>
        <v>3.8502742052281221E-2</v>
      </c>
      <c r="BH26" s="10">
        <f t="shared" ca="1" si="21"/>
        <v>5.5512669858699001E-2</v>
      </c>
      <c r="BI26" s="13">
        <f t="shared" ca="1" si="22"/>
        <v>129.96953292078496</v>
      </c>
      <c r="BJ26" s="13">
        <f t="shared" ca="1" si="23"/>
        <v>8.2115214138835295</v>
      </c>
      <c r="BK26" s="13">
        <f t="shared" ca="1" si="24"/>
        <v>15.827704315675359</v>
      </c>
      <c r="BL26" s="14">
        <f t="shared" ca="1" si="25"/>
        <v>218.81062025556764</v>
      </c>
      <c r="BO26" s="16">
        <f ca="1">'Airfoil-RC'!J26</f>
        <v>4.9560657919840949</v>
      </c>
      <c r="BP26" s="1">
        <f ca="1">BO26/(1+BO26/(PI()*'Aerodynamics-Constants'!I26)*(1+AB26))</f>
        <v>4.0244429212776138</v>
      </c>
      <c r="BR26" s="12">
        <v>6</v>
      </c>
      <c r="BS26" s="1">
        <f t="shared" si="26"/>
        <v>3.5549530075966391</v>
      </c>
      <c r="BT26" s="1">
        <f>Stability!W26</f>
        <v>2.5137313784710957</v>
      </c>
      <c r="BV26" s="12">
        <v>6</v>
      </c>
      <c r="BW26" s="1">
        <f t="shared" si="27"/>
        <v>3.5187158511365184</v>
      </c>
      <c r="BX26" s="1">
        <f>Stability!Y26</f>
        <v>2.4881078394072267</v>
      </c>
    </row>
    <row r="27" spans="2:76">
      <c r="B27" s="16">
        <f>'RC'!F27</f>
        <v>0.65969672852566186</v>
      </c>
      <c r="C27" s="74">
        <f>'Airfoil-RC'!E27</f>
        <v>1.5987591530356481E-5</v>
      </c>
      <c r="E27" s="19">
        <f ca="1">'RC'!H27</f>
        <v>131.61371211454065</v>
      </c>
      <c r="F27" s="63">
        <f>Weight!G27</f>
        <v>0.3</v>
      </c>
      <c r="H27" s="20">
        <f t="shared" ca="1" si="28"/>
        <v>26.272229755675468</v>
      </c>
      <c r="I27" s="20">
        <f t="shared" ca="1" si="0"/>
        <v>20.628708852163498</v>
      </c>
      <c r="J27" s="20">
        <f t="shared" ca="1" si="1"/>
        <v>1.2735760606229163</v>
      </c>
      <c r="L27" s="31">
        <f>Main!B27</f>
        <v>0.33333333333333326</v>
      </c>
      <c r="M27" s="31">
        <f>Main!C27</f>
        <v>1.9736842105263159</v>
      </c>
      <c r="N27" s="1">
        <f t="shared" si="2"/>
        <v>0.6578947368421052</v>
      </c>
      <c r="O27" s="1">
        <f t="shared" si="3"/>
        <v>5.9210526315789487</v>
      </c>
      <c r="P27" s="16">
        <f ca="1">'Aerodynamics-Constants'!AC27</f>
        <v>4.2781781196446295E-2</v>
      </c>
      <c r="Q27" s="16">
        <f>'Aerodynamics-Constants'!AD27</f>
        <v>2.9605263157894743</v>
      </c>
      <c r="R27" s="63">
        <f>Stability!G27</f>
        <v>5.6500000000000012</v>
      </c>
      <c r="S27" s="16">
        <f ca="1">'Aerodynamics-Constants'!AM27</f>
        <v>1.3327858239092206E-2</v>
      </c>
      <c r="T27" s="16">
        <f>'Aerodynamics-Constants'!AN27</f>
        <v>2.9605263157894743</v>
      </c>
      <c r="V27" s="81">
        <f t="shared" ca="1" si="4"/>
        <v>361357.410380524</v>
      </c>
      <c r="W27" s="63">
        <f ca="1">'Aerodynamics-Cruise'!W27</f>
        <v>0.9</v>
      </c>
      <c r="X27" s="42">
        <f ca="1">'Airfoil-RC'!V27</f>
        <v>7.5812819861602546E-3</v>
      </c>
      <c r="Y27" s="14">
        <f t="shared" ca="1" si="5"/>
        <v>118.71343153347463</v>
      </c>
      <c r="Z27" s="16">
        <f ca="1">'Airfoil-RC'!AF27</f>
        <v>-0.15499999999999886</v>
      </c>
      <c r="AA27" s="31">
        <f>Main!I27</f>
        <v>1.1915497685716252</v>
      </c>
      <c r="AB27" s="12">
        <f t="shared" si="6"/>
        <v>-0.16075683418683062</v>
      </c>
      <c r="AC27" s="30">
        <f t="shared" ca="1" si="7"/>
        <v>2.3245913831253802</v>
      </c>
      <c r="AD27" s="13">
        <f t="shared" ca="1" si="8"/>
        <v>2.3245913831253802</v>
      </c>
      <c r="AE27" s="13">
        <f ca="1">DEGREES(AF27/BP27)+'Airfoil-RC'!K27</f>
        <v>3.3063691683476293</v>
      </c>
      <c r="AF27" s="1">
        <f t="shared" ca="1" si="9"/>
        <v>0.89925937064373429</v>
      </c>
      <c r="AG27" s="16">
        <f ca="1">0.9*'Airfoil-RC'!I27</f>
        <v>1.4252344089486764</v>
      </c>
      <c r="AH27" s="42">
        <f ca="1">0.455/(LOG10(MIN(V27,'Aerodynamics-Constants'!L27)))^2.58</f>
        <v>5.446710153078323E-3</v>
      </c>
      <c r="AI27" s="42">
        <f ca="1">+AH27*'Aerodynamics-Constants'!J27*'Aerodynamics-Constants'!M27</f>
        <v>0</v>
      </c>
      <c r="AJ27" s="10">
        <f ca="1">X27*COS(RADIANS(AC27))*'Aerodynamics-Constants'!M27+AI27</f>
        <v>7.5750431861635005E-3</v>
      </c>
      <c r="AK27" s="10">
        <f ca="1">AF27^2/(PI()*'Aerodynamics-Constants'!I27*AA27)</f>
        <v>3.6484547412709074E-2</v>
      </c>
      <c r="AL27" s="10">
        <f t="shared" ca="1" si="10"/>
        <v>4.4059590598872572E-2</v>
      </c>
      <c r="AM27" s="1">
        <f t="shared" ca="1" si="11"/>
        <v>-0.15499999999999886</v>
      </c>
      <c r="AN27" s="1">
        <f t="shared" ca="1" si="12"/>
        <v>-0.31628794058621723</v>
      </c>
      <c r="AO27" s="12">
        <f t="shared" si="29"/>
        <v>0.972442687624126</v>
      </c>
      <c r="AP27" s="12">
        <f t="shared" si="13"/>
        <v>2.8338238054113063E-2</v>
      </c>
      <c r="AQ27" s="81">
        <f ca="1">B27*H27*'Aerodynamics-Constants'!AA27/C27</f>
        <v>130317.63450726451</v>
      </c>
      <c r="AR27" s="10">
        <f ca="1">0.455/(LOG10(MIN(AQ27,'Aerodynamics-Constants'!AG27)))^2.58</f>
        <v>6.7482156404959246E-3</v>
      </c>
      <c r="AS27" s="15">
        <f ca="1">AR27*'Aerodynamics-Constants'!AI27*'Aerodynamics-Constants'!AJ27*'Aerodynamics-Constants'!AE27/P27</f>
        <v>1.877095114282288E-2</v>
      </c>
      <c r="AT27" s="10">
        <f t="shared" ca="1" si="14"/>
        <v>1.106069593450958E-2</v>
      </c>
      <c r="AU27" s="10">
        <f t="shared" ca="1" si="15"/>
        <v>2.9831647077332459E-2</v>
      </c>
      <c r="AV27" s="12">
        <f t="shared" si="16"/>
        <v>0.95223684210526327</v>
      </c>
      <c r="AW27" s="12">
        <f t="shared" si="17"/>
        <v>5.0158905623877148E-2</v>
      </c>
      <c r="AX27" s="81">
        <f ca="1">B27*H27*'Aerodynamics-Constants'!AK27/C27</f>
        <v>72736.757918629693</v>
      </c>
      <c r="AY27" s="10">
        <f ca="1">0.455/(LOG10(MIN(AX27,'Aerodynamics-Constants'!AQ27)))^2.58</f>
        <v>7.692819131909911E-3</v>
      </c>
      <c r="AZ27" s="15">
        <f ca="1">AY27*'Aerodynamics-Constants'!AS27*'Aerodynamics-Constants'!AT27*'Aerodynamics-Constants'!AO27/S27</f>
        <v>2.1398476244461274E-2</v>
      </c>
      <c r="BA27" s="81">
        <f ca="1">B27*H27*'Aerodynamics-Constants'!N27/C27</f>
        <v>2764384.1894110087</v>
      </c>
      <c r="BB27" s="10">
        <f ca="1">0.455/(LOG10(MIN(BA27,'Aerodynamics-Constants'!V27)))^2.58</f>
        <v>3.722269310318221E-3</v>
      </c>
      <c r="BC27" s="10">
        <f ca="1">BB27*'Aerodynamics-Constants'!W27*'Aerodynamics-Constants'!X27*'Aerodynamics-Constants'!S27/N27+'Aerodynamics-Constants'!Z27</f>
        <v>2.7173222522995973E-3</v>
      </c>
      <c r="BD27" s="15">
        <f ca="1">BC27*'Aerodynamics-Constants'!AU27+(AJ27+AS27+AZ27)*('Aerodynamics-Constants'!AU27-1)</f>
        <v>7.763501534874327E-3</v>
      </c>
      <c r="BE27" s="16">
        <f t="shared" ca="1" si="18"/>
        <v>0.87869170121049833</v>
      </c>
      <c r="BF27" s="10">
        <f t="shared" ca="1" si="19"/>
        <v>1.6992685606529324E-2</v>
      </c>
      <c r="BG27" s="10">
        <f t="shared" ca="1" si="20"/>
        <v>3.7203805748202007E-2</v>
      </c>
      <c r="BH27" s="10">
        <f t="shared" ca="1" si="21"/>
        <v>5.4196491354731327E-2</v>
      </c>
      <c r="BI27" s="13">
        <f t="shared" ca="1" si="22"/>
        <v>131.61371211454065</v>
      </c>
      <c r="BJ27" s="13">
        <f t="shared" ca="1" si="23"/>
        <v>8.117752109133697</v>
      </c>
      <c r="BK27" s="13">
        <f t="shared" ca="1" si="24"/>
        <v>16.21307356336434</v>
      </c>
      <c r="BL27" s="14">
        <f t="shared" ca="1" si="25"/>
        <v>213.27144851077961</v>
      </c>
      <c r="BO27" s="16">
        <f ca="1">'Airfoil-RC'!J27</f>
        <v>4.979719222451954</v>
      </c>
      <c r="BP27" s="1">
        <f ca="1">BO27/(1+BO27/(PI()*'Aerodynamics-Constants'!I27)*(1+AB27))</f>
        <v>4.066174371705034</v>
      </c>
      <c r="BR27" s="12">
        <v>6</v>
      </c>
      <c r="BS27" s="1">
        <f t="shared" si="26"/>
        <v>3.6070931443035468</v>
      </c>
      <c r="BT27" s="1">
        <f>Stability!W27</f>
        <v>2.5506000227085441</v>
      </c>
      <c r="BV27" s="12">
        <v>6</v>
      </c>
      <c r="BW27" s="1">
        <f t="shared" si="27"/>
        <v>3.5768237222582537</v>
      </c>
      <c r="BX27" s="1">
        <f>Stability!Y27</f>
        <v>2.5291963091177196</v>
      </c>
    </row>
    <row r="28" spans="2:76">
      <c r="B28" s="16">
        <f>'RC'!F28</f>
        <v>0.65969672852566186</v>
      </c>
      <c r="C28" s="74">
        <f>'Airfoil-RC'!E28</f>
        <v>1.5987591530356481E-5</v>
      </c>
      <c r="E28" s="19">
        <f ca="1">'RC'!H28</f>
        <v>132.52501256898603</v>
      </c>
      <c r="F28" s="63">
        <f>Weight!G28</f>
        <v>0.3</v>
      </c>
      <c r="H28" s="20">
        <f t="shared" ca="1" si="28"/>
        <v>25.850372382768445</v>
      </c>
      <c r="I28" s="20">
        <f t="shared" ca="1" si="0"/>
        <v>20.300306672848205</v>
      </c>
      <c r="J28" s="20">
        <f t="shared" ca="1" si="1"/>
        <v>1.2733981214847108</v>
      </c>
      <c r="L28" s="31">
        <f>Main!B28</f>
        <v>0.33333333333333326</v>
      </c>
      <c r="M28" s="31">
        <f>Main!C28</f>
        <v>2.0526315789473686</v>
      </c>
      <c r="N28" s="1">
        <f t="shared" si="2"/>
        <v>0.68421052631578938</v>
      </c>
      <c r="O28" s="1">
        <f t="shared" si="3"/>
        <v>6.1578947368421071</v>
      </c>
      <c r="P28" s="16">
        <f ca="1">'Aerodynamics-Constants'!AC28</f>
        <v>4.394550651802915E-2</v>
      </c>
      <c r="Q28" s="16">
        <f>'Aerodynamics-Constants'!AD28</f>
        <v>3.0789473684210535</v>
      </c>
      <c r="R28" s="63">
        <f>Stability!G28</f>
        <v>5.6500000000000012</v>
      </c>
      <c r="S28" s="16">
        <f ca="1">'Aerodynamics-Constants'!AM28</f>
        <v>1.4126195587998653E-2</v>
      </c>
      <c r="T28" s="16">
        <f>'Aerodynamics-Constants'!AN28</f>
        <v>3.0789473684210535</v>
      </c>
      <c r="V28" s="81">
        <f t="shared" ca="1" si="4"/>
        <v>355555.03695271548</v>
      </c>
      <c r="W28" s="63">
        <f ca="1">'Aerodynamics-Cruise'!W28</f>
        <v>0.9</v>
      </c>
      <c r="X28" s="42">
        <f ca="1">'Airfoil-RC'!V28</f>
        <v>7.677131522487916E-3</v>
      </c>
      <c r="Y28" s="14">
        <f t="shared" ca="1" si="5"/>
        <v>117.2312858472872</v>
      </c>
      <c r="Z28" s="16">
        <f ca="1">'Airfoil-RC'!AF28</f>
        <v>-0.15499999999999889</v>
      </c>
      <c r="AA28" s="31">
        <f>Main!I28</f>
        <v>1.1842938502019895</v>
      </c>
      <c r="AB28" s="12">
        <f t="shared" si="6"/>
        <v>-0.15561496850680845</v>
      </c>
      <c r="AC28" s="30">
        <f t="shared" ca="1" si="7"/>
        <v>2.2489970121968086</v>
      </c>
      <c r="AD28" s="13">
        <f t="shared" ca="1" si="8"/>
        <v>2.2489970121968086</v>
      </c>
      <c r="AE28" s="13">
        <f ca="1">DEGREES(AF28/BP28)+'Airfoil-RC'!K28</f>
        <v>3.2759688631054065</v>
      </c>
      <c r="AF28" s="1">
        <f t="shared" ca="1" si="9"/>
        <v>0.89930675101315616</v>
      </c>
      <c r="AG28" s="16">
        <f ca="1">0.9*'Airfoil-RC'!I28</f>
        <v>1.424913727580472</v>
      </c>
      <c r="AH28" s="42">
        <f ca="1">0.455/(LOG10(MIN(V28,'Aerodynamics-Constants'!L28)))^2.58</f>
        <v>5.4645252335116072E-3</v>
      </c>
      <c r="AI28" s="42">
        <f ca="1">+AH28*'Aerodynamics-Constants'!J28*'Aerodynamics-Constants'!M28</f>
        <v>0</v>
      </c>
      <c r="AJ28" s="10">
        <f ca="1">X28*COS(RADIANS(AC28))*'Aerodynamics-Constants'!M28+AI28</f>
        <v>7.6712180073214356E-3</v>
      </c>
      <c r="AK28" s="10">
        <f ca="1">AF28^2/(PI()*'Aerodynamics-Constants'!I28*AA28)</f>
        <v>3.5299950768890434E-2</v>
      </c>
      <c r="AL28" s="10">
        <f t="shared" ca="1" si="10"/>
        <v>4.297116877621187E-2</v>
      </c>
      <c r="AM28" s="1">
        <f t="shared" ca="1" si="11"/>
        <v>-0.15499999999999889</v>
      </c>
      <c r="AN28" s="1">
        <f t="shared" ca="1" si="12"/>
        <v>-0.32022188545918978</v>
      </c>
      <c r="AO28" s="12">
        <f t="shared" si="29"/>
        <v>0.96791379534354982</v>
      </c>
      <c r="AP28" s="12">
        <f t="shared" si="13"/>
        <v>3.3149857777428959E-2</v>
      </c>
      <c r="AQ28" s="81">
        <f ca="1">B28*H28*'Aerodynamics-Constants'!AA28/C28</f>
        <v>127433.67122949008</v>
      </c>
      <c r="AR28" s="10">
        <f ca="1">0.455/(LOG10(MIN(AQ28,'Aerodynamics-Constants'!AG28)))^2.58</f>
        <v>6.7814098948666759E-3</v>
      </c>
      <c r="AS28" s="15">
        <f ca="1">AR28*'Aerodynamics-Constants'!AI28*'Aerodynamics-Constants'!AJ28*'Aerodynamics-Constants'!AE28/P28</f>
        <v>1.8863284844087058E-2</v>
      </c>
      <c r="AT28" s="10">
        <f t="shared" ca="1" si="14"/>
        <v>1.0952498516993718E-2</v>
      </c>
      <c r="AU28" s="10">
        <f t="shared" ca="1" si="15"/>
        <v>2.9815783361080775E-2</v>
      </c>
      <c r="AV28" s="12">
        <f t="shared" si="16"/>
        <v>0.95152631578947378</v>
      </c>
      <c r="AW28" s="12">
        <f t="shared" si="17"/>
        <v>5.0943083135128964E-2</v>
      </c>
      <c r="AX28" s="81">
        <f ca="1">B28*H28*'Aerodynamics-Constants'!AK28/C28</f>
        <v>72250.285095674131</v>
      </c>
      <c r="AY28" s="10">
        <f ca="1">0.455/(LOG10(MIN(AX28,'Aerodynamics-Constants'!AQ28)))^2.58</f>
        <v>7.704729460982605E-3</v>
      </c>
      <c r="AZ28" s="15">
        <f ca="1">AY28*'Aerodynamics-Constants'!AS28*'Aerodynamics-Constants'!AT28*'Aerodynamics-Constants'!AO28/S28</f>
        <v>2.1431606217928167E-2</v>
      </c>
      <c r="BA28" s="81">
        <f ca="1">B28*H28*'Aerodynamics-Constants'!N28/C28</f>
        <v>2719996.0326882736</v>
      </c>
      <c r="BB28" s="10">
        <f ca="1">0.455/(LOG10(MIN(BA28,'Aerodynamics-Constants'!V28)))^2.58</f>
        <v>3.7327706859876073E-3</v>
      </c>
      <c r="BC28" s="10">
        <f ca="1">BB28*'Aerodynamics-Constants'!W28*'Aerodynamics-Constants'!X28*'Aerodynamics-Constants'!S28/N28+'Aerodynamics-Constants'!Z28</f>
        <v>2.620174838637837E-3</v>
      </c>
      <c r="BD28" s="15">
        <f ca="1">BC28*'Aerodynamics-Constants'!AU28+(AJ28+AS28+AZ28)*('Aerodynamics-Constants'!AU28-1)</f>
        <v>7.6788032294352916E-3</v>
      </c>
      <c r="BE28" s="16">
        <f t="shared" ca="1" si="18"/>
        <v>0.87873952438711112</v>
      </c>
      <c r="BF28" s="10">
        <f t="shared" ca="1" si="19"/>
        <v>1.7004049674992659E-2</v>
      </c>
      <c r="BG28" s="10">
        <f t="shared" ca="1" si="20"/>
        <v>3.6003408369227184E-2</v>
      </c>
      <c r="BH28" s="10">
        <f t="shared" ca="1" si="21"/>
        <v>5.3007458044219843E-2</v>
      </c>
      <c r="BI28" s="13">
        <f t="shared" ca="1" si="22"/>
        <v>132.52501256898603</v>
      </c>
      <c r="BJ28" s="13">
        <f t="shared" ca="1" si="23"/>
        <v>7.9941937839427286</v>
      </c>
      <c r="BK28" s="13">
        <f t="shared" ca="1" si="24"/>
        <v>16.577658254316773</v>
      </c>
      <c r="BL28" s="14">
        <f t="shared" ca="1" si="25"/>
        <v>206.65288621493229</v>
      </c>
      <c r="BO28" s="16">
        <f ca="1">'Airfoil-RC'!J28</f>
        <v>5.0069056188386423</v>
      </c>
      <c r="BP28" s="1">
        <f ca="1">BO28/(1+BO28/(PI()*'Aerodynamics-Constants'!I28)*(1+AB28))</f>
        <v>4.1089435833607544</v>
      </c>
      <c r="BR28" s="12">
        <v>6</v>
      </c>
      <c r="BS28" s="1">
        <f t="shared" si="26"/>
        <v>3.6566214992242547</v>
      </c>
      <c r="BT28" s="1">
        <f>Stability!W28</f>
        <v>2.5856218583339907</v>
      </c>
      <c r="BV28" s="12">
        <v>6</v>
      </c>
      <c r="BW28" s="1">
        <f t="shared" si="27"/>
        <v>3.632189944665718</v>
      </c>
      <c r="BX28" s="1">
        <f>Stability!Y28</f>
        <v>2.5683461404307204</v>
      </c>
    </row>
    <row r="29" spans="2:76">
      <c r="B29" s="16">
        <f>'RC'!F29</f>
        <v>0.65969672852566186</v>
      </c>
      <c r="C29" s="74">
        <f>'Airfoil-RC'!E29</f>
        <v>1.5987591530356481E-5</v>
      </c>
      <c r="E29" s="19">
        <f ca="1">'RC'!H29</f>
        <v>132.22241873640721</v>
      </c>
      <c r="F29" s="63">
        <f>Weight!G29</f>
        <v>0.3</v>
      </c>
      <c r="H29" s="20">
        <f t="shared" ca="1" si="28"/>
        <v>25.337550160627696</v>
      </c>
      <c r="I29" s="20">
        <f t="shared" ca="1" si="0"/>
        <v>19.900844140868582</v>
      </c>
      <c r="J29" s="20">
        <f t="shared" ca="1" si="1"/>
        <v>1.2731897190528836</v>
      </c>
      <c r="L29" s="31">
        <f>Main!B29</f>
        <v>0.33333333333333326</v>
      </c>
      <c r="M29" s="31">
        <f>Main!C29</f>
        <v>2.1315789473684212</v>
      </c>
      <c r="N29" s="1">
        <f t="shared" si="2"/>
        <v>0.71052631578947356</v>
      </c>
      <c r="O29" s="1">
        <f t="shared" si="3"/>
        <v>6.3947368421052664</v>
      </c>
      <c r="P29" s="16">
        <f ca="1">'Aerodynamics-Constants'!AC29</f>
        <v>4.5163073631874995E-2</v>
      </c>
      <c r="Q29" s="16">
        <f>'Aerodynamics-Constants'!AD29</f>
        <v>3.1973684210526327</v>
      </c>
      <c r="R29" s="63">
        <f>Stability!G29</f>
        <v>5.6500000000000012</v>
      </c>
      <c r="S29" s="16">
        <f ca="1">'Aerodynamics-Constants'!AM29</f>
        <v>1.4952796880420957E-2</v>
      </c>
      <c r="T29" s="16">
        <f>'Aerodynamics-Constants'!AN29</f>
        <v>3.1973684210526327</v>
      </c>
      <c r="V29" s="81">
        <f t="shared" ca="1" si="4"/>
        <v>348501.50126496761</v>
      </c>
      <c r="W29" s="63">
        <f ca="1">'Aerodynamics-Cruise'!W29</f>
        <v>0.9</v>
      </c>
      <c r="X29" s="42">
        <f ca="1">'Airfoil-RC'!V29</f>
        <v>7.7974580991343519E-3</v>
      </c>
      <c r="Y29" s="14">
        <f t="shared" ca="1" si="5"/>
        <v>115.42222972636621</v>
      </c>
      <c r="Z29" s="16">
        <f ca="1">'Airfoil-RC'!AF29</f>
        <v>-0.15499999999999892</v>
      </c>
      <c r="AA29" s="31">
        <f>Main!I29</f>
        <v>1.1771267133748404</v>
      </c>
      <c r="AB29" s="12">
        <f t="shared" si="6"/>
        <v>-0.15047378617975238</v>
      </c>
      <c r="AC29" s="30">
        <f t="shared" ca="1" si="7"/>
        <v>2.1789899936311525</v>
      </c>
      <c r="AD29" s="13">
        <f t="shared" ca="1" si="8"/>
        <v>2.1789899936311525</v>
      </c>
      <c r="AE29" s="13">
        <f ca="1">DEGREES(AF29/BP29)+'Airfoil-RC'!K29</f>
        <v>3.2606329124630768</v>
      </c>
      <c r="AF29" s="1">
        <f t="shared" ca="1" si="9"/>
        <v>0.89934923321890603</v>
      </c>
      <c r="AG29" s="16">
        <f ca="1">0.9*'Airfoil-RC'!I29</f>
        <v>1.424516875005178</v>
      </c>
      <c r="AH29" s="42">
        <f ca="1">0.455/(LOG10(MIN(V29,'Aerodynamics-Constants'!L29)))^2.58</f>
        <v>5.4866896496026957E-3</v>
      </c>
      <c r="AI29" s="42">
        <f ca="1">+AH29*'Aerodynamics-Constants'!J29*'Aerodynamics-Constants'!M29</f>
        <v>0</v>
      </c>
      <c r="AJ29" s="10">
        <f ca="1">X29*COS(RADIANS(AC29))*'Aerodynamics-Constants'!M29+AI29</f>
        <v>7.7918199583478084E-3</v>
      </c>
      <c r="AK29" s="10">
        <f ca="1">AF29^2/(PI()*'Aerodynamics-Constants'!I29*AA29)</f>
        <v>3.4202745762737977E-2</v>
      </c>
      <c r="AL29" s="10">
        <f t="shared" ca="1" si="10"/>
        <v>4.1994565721085786E-2</v>
      </c>
      <c r="AM29" s="1">
        <f t="shared" ca="1" si="11"/>
        <v>-0.15499999999999892</v>
      </c>
      <c r="AN29" s="1">
        <f t="shared" ca="1" si="12"/>
        <v>-0.32356685418466152</v>
      </c>
      <c r="AO29" s="12">
        <f t="shared" si="29"/>
        <v>0.96344031741880587</v>
      </c>
      <c r="AP29" s="12">
        <f t="shared" si="13"/>
        <v>3.7947013343953451E-2</v>
      </c>
      <c r="AQ29" s="81">
        <f ca="1">B29*H29*'Aerodynamics-Constants'!AA29/C29</f>
        <v>124257.12837753605</v>
      </c>
      <c r="AR29" s="10">
        <f ca="1">0.455/(LOG10(MIN(AQ29,'Aerodynamics-Constants'!AG29)))^2.58</f>
        <v>6.8191250693968395E-3</v>
      </c>
      <c r="AS29" s="15">
        <f ca="1">AR29*'Aerodynamics-Constants'!AI29*'Aerodynamics-Constants'!AJ29*'Aerodynamics-Constants'!AE29/P29</f>
        <v>1.8968194013586678E-2</v>
      </c>
      <c r="AT29" s="10">
        <f t="shared" ca="1" si="14"/>
        <v>1.0818341404152351E-2</v>
      </c>
      <c r="AU29" s="10">
        <f t="shared" ca="1" si="15"/>
        <v>2.9786535417739027E-2</v>
      </c>
      <c r="AV29" s="12">
        <f t="shared" si="16"/>
        <v>0.95081578947368428</v>
      </c>
      <c r="AW29" s="12">
        <f t="shared" si="17"/>
        <v>5.1728432647864642E-2</v>
      </c>
      <c r="AX29" s="81">
        <f ca="1">B29*H29*'Aerodynamics-Constants'!AK29/C29</f>
        <v>71497.48812416599</v>
      </c>
      <c r="AY29" s="10">
        <f ca="1">0.455/(LOG10(MIN(AX29,'Aerodynamics-Constants'!AQ29)))^2.58</f>
        <v>7.7233703991261829E-3</v>
      </c>
      <c r="AZ29" s="15">
        <f ca="1">AY29*'Aerodynamics-Constants'!AS29*'Aerodynamics-Constants'!AT29*'Aerodynamics-Constants'!AO29/S29</f>
        <v>2.1483458167805062E-2</v>
      </c>
      <c r="BA29" s="81">
        <f ca="1">B29*H29*'Aerodynamics-Constants'!N29/C29</f>
        <v>2666036.4846770028</v>
      </c>
      <c r="BB29" s="10">
        <f ca="1">0.455/(LOG10(MIN(BA29,'Aerodynamics-Constants'!V29)))^2.58</f>
        <v>3.7458267424450142E-3</v>
      </c>
      <c r="BC29" s="10">
        <f ca="1">BB29*'Aerodynamics-Constants'!W29*'Aerodynamics-Constants'!X29*'Aerodynamics-Constants'!S29/N29+'Aerodynamics-Constants'!Z29</f>
        <v>2.5319488575766061E-3</v>
      </c>
      <c r="BD29" s="15">
        <f ca="1">BC29*'Aerodynamics-Constants'!AU29+(AJ29+AS29+AZ29)*('Aerodynamics-Constants'!AU29-1)</f>
        <v>7.6094909573082258E-3</v>
      </c>
      <c r="BE29" s="16">
        <f t="shared" ca="1" si="18"/>
        <v>0.87878240362282123</v>
      </c>
      <c r="BF29" s="10">
        <f t="shared" ca="1" si="19"/>
        <v>1.7059095719675205E-2</v>
      </c>
      <c r="BG29" s="10">
        <f t="shared" ca="1" si="20"/>
        <v>3.4890390313760157E-2</v>
      </c>
      <c r="BH29" s="10">
        <f t="shared" ca="1" si="21"/>
        <v>5.1949486033435355E-2</v>
      </c>
      <c r="BI29" s="13">
        <f t="shared" ca="1" si="22"/>
        <v>132.22241873640721</v>
      </c>
      <c r="BJ29" s="13">
        <f t="shared" ca="1" si="23"/>
        <v>7.8163680418915122</v>
      </c>
      <c r="BK29" s="13">
        <f t="shared" ca="1" si="24"/>
        <v>16.916094281610903</v>
      </c>
      <c r="BL29" s="14">
        <f t="shared" ca="1" si="25"/>
        <v>198.04761733535346</v>
      </c>
      <c r="BO29" s="16">
        <f ca="1">'Airfoil-RC'!J29</f>
        <v>5.040763712117367</v>
      </c>
      <c r="BP29" s="1">
        <f ca="1">BO29/(1+BO29/(PI()*'Aerodynamics-Constants'!I29)*(1+AB29))</f>
        <v>4.1550778031390667</v>
      </c>
      <c r="BR29" s="12">
        <v>6</v>
      </c>
      <c r="BS29" s="1">
        <f t="shared" si="26"/>
        <v>3.7037291927749938</v>
      </c>
      <c r="BT29" s="1">
        <f>Stability!W29</f>
        <v>2.6189320278897759</v>
      </c>
      <c r="BV29" s="12">
        <v>6</v>
      </c>
      <c r="BW29" s="1">
        <f t="shared" si="27"/>
        <v>3.6850039020501306</v>
      </c>
      <c r="BX29" s="1">
        <f>Stability!Y29</f>
        <v>2.6056912478385357</v>
      </c>
    </row>
    <row r="30" spans="2:76">
      <c r="B30" s="16">
        <f>'RC'!F30</f>
        <v>0.65969672852566186</v>
      </c>
      <c r="C30" s="74">
        <f>'Airfoil-RC'!E30</f>
        <v>1.5987591530356481E-5</v>
      </c>
      <c r="E30" s="19">
        <f ca="1">'RC'!H30</f>
        <v>131.99460630550439</v>
      </c>
      <c r="F30" s="63">
        <f>Weight!G30</f>
        <v>0.3</v>
      </c>
      <c r="H30" s="20">
        <f t="shared" ca="1" si="28"/>
        <v>24.858990723186523</v>
      </c>
      <c r="I30" s="20">
        <f t="shared" ca="1" si="0"/>
        <v>19.527986586075098</v>
      </c>
      <c r="J30" s="20">
        <f t="shared" ca="1" si="1"/>
        <v>1.2729930253492097</v>
      </c>
      <c r="L30" s="31">
        <f>Main!B30</f>
        <v>0.33333333333333326</v>
      </c>
      <c r="M30" s="31">
        <f>Main!C30</f>
        <v>2.2105263157894739</v>
      </c>
      <c r="N30" s="1">
        <f t="shared" si="2"/>
        <v>0.73684210526315785</v>
      </c>
      <c r="O30" s="1">
        <f t="shared" si="3"/>
        <v>6.631578947368423</v>
      </c>
      <c r="P30" s="16">
        <f ca="1">'Aerodynamics-Constants'!AC30</f>
        <v>4.6377372192058779E-2</v>
      </c>
      <c r="Q30" s="16">
        <f>'Aerodynamics-Constants'!AD30</f>
        <v>3.3157894736842115</v>
      </c>
      <c r="R30" s="63">
        <f>Stability!G30</f>
        <v>5.6500000000000012</v>
      </c>
      <c r="S30" s="16">
        <f ca="1">'Aerodynamics-Constants'!AM30</f>
        <v>1.5807427641918392E-2</v>
      </c>
      <c r="T30" s="16">
        <f>'Aerodynamics-Constants'!AN30</f>
        <v>3.3157894736842115</v>
      </c>
      <c r="V30" s="81">
        <f t="shared" ca="1" si="4"/>
        <v>341919.22786696855</v>
      </c>
      <c r="W30" s="63">
        <f ca="1">'Aerodynamics-Cruise'!W30</f>
        <v>0.9</v>
      </c>
      <c r="X30" s="42">
        <f ca="1">'Airfoil-RC'!V30</f>
        <v>7.9137135193256061E-3</v>
      </c>
      <c r="Y30" s="14">
        <f t="shared" ca="1" si="5"/>
        <v>113.72663387449695</v>
      </c>
      <c r="Z30" s="16">
        <f ca="1">'Airfoil-RC'!AF30</f>
        <v>-0.15499999999999892</v>
      </c>
      <c r="AA30" s="31">
        <f>Main!I30</f>
        <v>1.1700440412790545</v>
      </c>
      <c r="AB30" s="12">
        <f t="shared" si="6"/>
        <v>-0.14533131683929423</v>
      </c>
      <c r="AC30" s="30">
        <f t="shared" ca="1" si="7"/>
        <v>2.1139779105158261</v>
      </c>
      <c r="AD30" s="13">
        <f t="shared" ca="1" si="8"/>
        <v>2.1139779105158261</v>
      </c>
      <c r="AE30" s="13">
        <f ca="1">DEGREES(AF30/BP30)+'Airfoil-RC'!K30</f>
        <v>3.2465227228120508</v>
      </c>
      <c r="AF30" s="1">
        <f t="shared" ca="1" si="9"/>
        <v>0.89938748197855645</v>
      </c>
      <c r="AG30" s="16">
        <f ca="1">0.9*'Airfoil-RC'!I30</f>
        <v>1.4241393266801281</v>
      </c>
      <c r="AH30" s="42">
        <f ca="1">0.455/(LOG10(MIN(V30,'Aerodynamics-Constants'!L30)))^2.58</f>
        <v>5.5078976521881059E-3</v>
      </c>
      <c r="AI30" s="42">
        <f ca="1">+AH30*'Aerodynamics-Constants'!J30*'Aerodynamics-Constants'!M30</f>
        <v>0</v>
      </c>
      <c r="AJ30" s="10">
        <f ca="1">X30*COS(RADIANS(AC30))*'Aerodynamics-Constants'!M30+AI30</f>
        <v>7.9083276391621309E-3</v>
      </c>
      <c r="AK30" s="10">
        <f ca="1">AF30^2/(PI()*'Aerodynamics-Constants'!I30*AA30)</f>
        <v>3.3183687979373759E-2</v>
      </c>
      <c r="AL30" s="10">
        <f t="shared" ca="1" si="10"/>
        <v>4.1092015618535892E-2</v>
      </c>
      <c r="AM30" s="1">
        <f t="shared" ca="1" si="11"/>
        <v>-0.15499999999999892</v>
      </c>
      <c r="AN30" s="1">
        <f t="shared" ca="1" si="12"/>
        <v>-0.32675940672351028</v>
      </c>
      <c r="AO30" s="12">
        <f t="shared" si="29"/>
        <v>0.95901955944629458</v>
      </c>
      <c r="AP30" s="12">
        <f t="shared" si="13"/>
        <v>4.2731600362109656E-2</v>
      </c>
      <c r="AQ30" s="81">
        <f ca="1">B30*H30*'Aerodynamics-Constants'!AA30/C30</f>
        <v>121312.17051296719</v>
      </c>
      <c r="AR30" s="10">
        <f ca="1">0.455/(LOG10(MIN(AQ30,'Aerodynamics-Constants'!AG30)))^2.58</f>
        <v>6.855232271731306E-3</v>
      </c>
      <c r="AS30" s="15">
        <f ca="1">AR30*'Aerodynamics-Constants'!AI30*'Aerodynamics-Constants'!AJ30*'Aerodynamics-Constants'!AE30/P30</f>
        <v>1.906863042033945E-2</v>
      </c>
      <c r="AT30" s="10">
        <f t="shared" ca="1" si="14"/>
        <v>1.0687888433504855E-2</v>
      </c>
      <c r="AU30" s="10">
        <f t="shared" ca="1" si="15"/>
        <v>2.9756518853844303E-2</v>
      </c>
      <c r="AV30" s="12">
        <f t="shared" si="16"/>
        <v>0.95010526315789479</v>
      </c>
      <c r="AW30" s="12">
        <f t="shared" si="17"/>
        <v>5.2514956791491096E-2</v>
      </c>
      <c r="AX30" s="81">
        <f ca="1">B30*H30*'Aerodynamics-Constants'!AK30/C30</f>
        <v>70824.23721409541</v>
      </c>
      <c r="AY30" s="10">
        <f ca="1">0.455/(LOG10(MIN(AX30,'Aerodynamics-Constants'!AQ30)))^2.58</f>
        <v>7.7402624524002452E-3</v>
      </c>
      <c r="AZ30" s="15">
        <f ca="1">AY30*'Aerodynamics-Constants'!AS30*'Aerodynamics-Constants'!AT30*'Aerodynamics-Constants'!AO30/S30</f>
        <v>2.1530445389850338E-2</v>
      </c>
      <c r="BA30" s="81">
        <f ca="1">B30*H30*'Aerodynamics-Constants'!N30/C30</f>
        <v>2615682.09318231</v>
      </c>
      <c r="BB30" s="10">
        <f ca="1">0.455/(LOG10(MIN(BA30,'Aerodynamics-Constants'!V30)))^2.58</f>
        <v>3.7583099999805658E-3</v>
      </c>
      <c r="BC30" s="10">
        <f ca="1">BB30*'Aerodynamics-Constants'!W30*'Aerodynamics-Constants'!X30*'Aerodynamics-Constants'!S30/N30+'Aerodynamics-Constants'!Z30</f>
        <v>2.4496517030236161E-3</v>
      </c>
      <c r="BD30" s="15">
        <f ca="1">BC30*'Aerodynamics-Constants'!AU30+(AJ30+AS30+AZ30)*('Aerodynamics-Constants'!AU30-1)</f>
        <v>7.5453572182611747E-3</v>
      </c>
      <c r="BE30" s="16">
        <f t="shared" ca="1" si="18"/>
        <v>0.8788210098475151</v>
      </c>
      <c r="BF30" s="10">
        <f t="shared" ca="1" si="19"/>
        <v>1.7115769473716833E-2</v>
      </c>
      <c r="BG30" s="10">
        <f t="shared" ca="1" si="20"/>
        <v>3.385639136628299E-2</v>
      </c>
      <c r="BH30" s="10">
        <f t="shared" ca="1" si="21"/>
        <v>5.0972160839999829E-2</v>
      </c>
      <c r="BI30" s="13">
        <f t="shared" ca="1" si="22"/>
        <v>131.99460630550439</v>
      </c>
      <c r="BJ30" s="13">
        <f t="shared" ca="1" si="23"/>
        <v>7.6557686118405561</v>
      </c>
      <c r="BK30" s="13">
        <f t="shared" ca="1" si="24"/>
        <v>17.241195887419984</v>
      </c>
      <c r="BL30" s="14">
        <f t="shared" ca="1" si="25"/>
        <v>190.31468090060696</v>
      </c>
      <c r="BO30" s="16">
        <f ca="1">'Airfoil-RC'!J30</f>
        <v>5.0731961754621828</v>
      </c>
      <c r="BP30" s="1">
        <f ca="1">BO30/(1+BO30/(PI()*'Aerodynamics-Constants'!I30)*(1+AB30))</f>
        <v>4.1992505412699987</v>
      </c>
      <c r="BR30" s="12">
        <v>6</v>
      </c>
      <c r="BS30" s="1">
        <f t="shared" si="26"/>
        <v>3.7485889767549225</v>
      </c>
      <c r="BT30" s="1">
        <f>Stability!W30</f>
        <v>2.6506526853445473</v>
      </c>
      <c r="BV30" s="12">
        <v>6</v>
      </c>
      <c r="BW30" s="1">
        <f t="shared" si="27"/>
        <v>3.735437927548761</v>
      </c>
      <c r="BX30" s="1">
        <f>Stability!Y30</f>
        <v>2.6413534892711525</v>
      </c>
    </row>
    <row r="31" spans="2:76">
      <c r="B31" s="16">
        <f>'RC'!F31</f>
        <v>0.65969672852566186</v>
      </c>
      <c r="C31" s="74">
        <f>'Airfoil-RC'!E31</f>
        <v>1.5987591530356481E-5</v>
      </c>
      <c r="E31" s="19">
        <f ca="1">'RC'!H31</f>
        <v>131.83112185491365</v>
      </c>
      <c r="F31" s="63">
        <f>Weight!G31</f>
        <v>0.3</v>
      </c>
      <c r="H31" s="20">
        <f t="shared" ca="1" si="28"/>
        <v>24.411011139716784</v>
      </c>
      <c r="I31" s="20">
        <f t="shared" ca="1" si="0"/>
        <v>19.178880836749308</v>
      </c>
      <c r="J31" s="20">
        <f t="shared" ca="1" si="1"/>
        <v>1.2728068622722768</v>
      </c>
      <c r="L31" s="31">
        <f>Main!B31</f>
        <v>0.33333333333333326</v>
      </c>
      <c r="M31" s="31">
        <f>Main!C31</f>
        <v>2.2894736842105265</v>
      </c>
      <c r="N31" s="1">
        <f t="shared" si="2"/>
        <v>0.76315789473684204</v>
      </c>
      <c r="O31" s="1">
        <f t="shared" si="3"/>
        <v>6.8684210526315805</v>
      </c>
      <c r="P31" s="16">
        <f ca="1">'Aerodynamics-Constants'!AC31</f>
        <v>4.758897211975064E-2</v>
      </c>
      <c r="Q31" s="16">
        <f>'Aerodynamics-Constants'!AD31</f>
        <v>3.4342105263157907</v>
      </c>
      <c r="R31" s="63">
        <f>Stability!G31</f>
        <v>5.6500000000000012</v>
      </c>
      <c r="S31" s="16">
        <f ca="1">'Aerodynamics-Constants'!AM31</f>
        <v>1.6689885877140986E-2</v>
      </c>
      <c r="T31" s="16">
        <f>'Aerodynamics-Constants'!AN31</f>
        <v>3.4342105263157907</v>
      </c>
      <c r="V31" s="81">
        <f t="shared" ca="1" si="4"/>
        <v>335757.56044507801</v>
      </c>
      <c r="W31" s="63">
        <f ca="1">'Aerodynamics-Cruise'!W31</f>
        <v>0.9</v>
      </c>
      <c r="X31" s="42">
        <f ca="1">'Airfoil-RC'!V31</f>
        <v>8.0262008722650352E-3</v>
      </c>
      <c r="Y31" s="14">
        <f t="shared" ca="1" si="5"/>
        <v>112.13275300771477</v>
      </c>
      <c r="Z31" s="16">
        <f ca="1">'Airfoil-RC'!AF31</f>
        <v>-0.15499999999999894</v>
      </c>
      <c r="AA31" s="31">
        <f>Main!I31</f>
        <v>1.163041872967743</v>
      </c>
      <c r="AB31" s="12">
        <f t="shared" si="6"/>
        <v>-0.1401857291274542</v>
      </c>
      <c r="AC31" s="30">
        <f t="shared" ca="1" si="7"/>
        <v>2.0534495123663086</v>
      </c>
      <c r="AD31" s="13">
        <f t="shared" ca="1" si="8"/>
        <v>2.0534495123663086</v>
      </c>
      <c r="AE31" s="13">
        <f ca="1">DEGREES(AF31/BP31)+'Airfoil-RC'!K31</f>
        <v>3.2335347519101063</v>
      </c>
      <c r="AF31" s="1">
        <f t="shared" ca="1" si="9"/>
        <v>0.89942205192581293</v>
      </c>
      <c r="AG31" s="16">
        <f ca="1">0.9*'Airfoil-RC'!I31</f>
        <v>1.4237793515879102</v>
      </c>
      <c r="AH31" s="42">
        <f ca="1">0.455/(LOG10(MIN(V31,'Aerodynamics-Constants'!L31)))^2.58</f>
        <v>5.528229871221221E-3</v>
      </c>
      <c r="AI31" s="42">
        <f ca="1">+AH31*'Aerodynamics-Constants'!J31*'Aerodynamics-Constants'!M31</f>
        <v>0</v>
      </c>
      <c r="AJ31" s="10">
        <f ca="1">X31*COS(RADIANS(AC31))*'Aerodynamics-Constants'!M31+AI31</f>
        <v>8.0210467307792969E-3</v>
      </c>
      <c r="AK31" s="10">
        <f ca="1">AF31^2/(PI()*'Aerodynamics-Constants'!I31*AA31)</f>
        <v>3.2234796168832285E-2</v>
      </c>
      <c r="AL31" s="10">
        <f t="shared" ca="1" si="10"/>
        <v>4.025584289961158E-2</v>
      </c>
      <c r="AM31" s="1">
        <f t="shared" ca="1" si="11"/>
        <v>-0.15499999999999894</v>
      </c>
      <c r="AN31" s="1">
        <f t="shared" ca="1" si="12"/>
        <v>-0.3298079010906152</v>
      </c>
      <c r="AO31" s="12">
        <f t="shared" si="29"/>
        <v>0.95464904914051385</v>
      </c>
      <c r="AP31" s="12">
        <f t="shared" si="13"/>
        <v>4.7505364301484665E-2</v>
      </c>
      <c r="AQ31" s="81">
        <f ca="1">B31*H31*'Aerodynamics-Constants'!AA31/C31</f>
        <v>118573.25995320233</v>
      </c>
      <c r="AR31" s="10">
        <f ca="1">0.455/(LOG10(MIN(AQ31,'Aerodynamics-Constants'!AG31)))^2.58</f>
        <v>6.8898556988726805E-3</v>
      </c>
      <c r="AS31" s="15">
        <f ca="1">AR31*'Aerodynamics-Constants'!AI31*'Aerodynamics-Constants'!AJ31*'Aerodynamics-Constants'!AE31/P31</f>
        <v>1.9164939532835459E-2</v>
      </c>
      <c r="AT31" s="10">
        <f t="shared" ca="1" si="14"/>
        <v>1.0560915779889466E-2</v>
      </c>
      <c r="AU31" s="10">
        <f t="shared" ca="1" si="15"/>
        <v>2.9725855312724925E-2</v>
      </c>
      <c r="AV31" s="12">
        <f t="shared" si="16"/>
        <v>0.94939473684210529</v>
      </c>
      <c r="AW31" s="12">
        <f t="shared" si="17"/>
        <v>5.330265820328739E-2</v>
      </c>
      <c r="AX31" s="81">
        <f ca="1">B31*H31*'Aerodynamics-Constants'!AK31/C31</f>
        <v>70219.912089765596</v>
      </c>
      <c r="AY31" s="10">
        <f ca="1">0.455/(LOG10(MIN(AX31,'Aerodynamics-Constants'!AQ31)))^2.58</f>
        <v>7.7556067387917829E-3</v>
      </c>
      <c r="AZ31" s="15">
        <f ca="1">AY31*'Aerodynamics-Constants'!AS31*'Aerodynamics-Constants'!AT31*'Aerodynamics-Constants'!AO31/S31</f>
        <v>2.157312731726958E-2</v>
      </c>
      <c r="BA31" s="81">
        <f ca="1">B31*H31*'Aerodynamics-Constants'!N31/C31</f>
        <v>2568545.3374048471</v>
      </c>
      <c r="BB31" s="10">
        <f ca="1">0.455/(LOG10(MIN(BA31,'Aerodynamics-Constants'!V31)))^2.58</f>
        <v>3.770269141997453E-3</v>
      </c>
      <c r="BC31" s="10">
        <f ca="1">BB31*'Aerodynamics-Constants'!W31*'Aerodynamics-Constants'!X31*'Aerodynamics-Constants'!S31/N31+'Aerodynamics-Constants'!Z31</f>
        <v>2.3727006593932004E-3</v>
      </c>
      <c r="BD31" s="15">
        <f ca="1">BC31*'Aerodynamics-Constants'!AU31+(AJ31+AS31+AZ31)*('Aerodynamics-Constants'!AU31-1)</f>
        <v>7.4858820834209586E-3</v>
      </c>
      <c r="BE31" s="16">
        <f t="shared" ca="1" si="18"/>
        <v>0.87885590287839077</v>
      </c>
      <c r="BF31" s="10">
        <f t="shared" ca="1" si="19"/>
        <v>1.7173809042808422E-2</v>
      </c>
      <c r="BG31" s="10">
        <f t="shared" ca="1" si="20"/>
        <v>3.2893353369215436E-2</v>
      </c>
      <c r="BH31" s="10">
        <f t="shared" ca="1" si="21"/>
        <v>5.0067162412023851E-2</v>
      </c>
      <c r="BI31" s="13">
        <f t="shared" ca="1" si="22"/>
        <v>131.83112185491368</v>
      </c>
      <c r="BJ31" s="13">
        <f t="shared" ca="1" si="23"/>
        <v>7.5102302519126196</v>
      </c>
      <c r="BK31" s="13">
        <f t="shared" ca="1" si="24"/>
        <v>17.553539296793254</v>
      </c>
      <c r="BL31" s="14">
        <f t="shared" ca="1" si="25"/>
        <v>183.33231434127694</v>
      </c>
      <c r="BO31" s="16">
        <f ca="1">'Airfoil-RC'!J31</f>
        <v>5.1043214409384863</v>
      </c>
      <c r="BP31" s="1">
        <f ca="1">BO31/(1+BO31/(PI()*'Aerodynamics-Constants'!I31)*(1+AB31))</f>
        <v>4.2416082528776489</v>
      </c>
      <c r="BR31" s="12">
        <v>6</v>
      </c>
      <c r="BS31" s="1">
        <f t="shared" si="26"/>
        <v>3.7913574006695518</v>
      </c>
      <c r="BT31" s="1">
        <f>Stability!W31</f>
        <v>2.6808945279152425</v>
      </c>
      <c r="BV31" s="12">
        <v>6</v>
      </c>
      <c r="BW31" s="1">
        <f t="shared" si="27"/>
        <v>3.783649180369149</v>
      </c>
      <c r="BX31" s="1">
        <f>Stability!Y31</f>
        <v>2.6754439930699481</v>
      </c>
    </row>
    <row r="32" spans="2:76">
      <c r="B32" s="16">
        <f>'RC'!F32</f>
        <v>0.65969672852566186</v>
      </c>
      <c r="C32" s="74">
        <f>'Airfoil-RC'!E32</f>
        <v>1.5987591530356481E-5</v>
      </c>
      <c r="E32" s="19">
        <f ca="1">'RC'!H32</f>
        <v>131.72349764200382</v>
      </c>
      <c r="F32" s="63">
        <f>Weight!G32</f>
        <v>0.3</v>
      </c>
      <c r="H32" s="20">
        <f t="shared" ca="1" si="28"/>
        <v>23.990482001631204</v>
      </c>
      <c r="I32" s="20">
        <f t="shared" ca="1" si="0"/>
        <v>18.851101889972814</v>
      </c>
      <c r="J32" s="20">
        <f t="shared" ca="1" si="1"/>
        <v>1.2726302229787483</v>
      </c>
      <c r="L32" s="31">
        <f>Main!B32</f>
        <v>0.33333333333333326</v>
      </c>
      <c r="M32" s="31">
        <f>Main!C32</f>
        <v>2.3684210526315792</v>
      </c>
      <c r="N32" s="1">
        <f t="shared" si="2"/>
        <v>0.78947368421052622</v>
      </c>
      <c r="O32" s="1">
        <f t="shared" si="3"/>
        <v>7.1052631578947389</v>
      </c>
      <c r="P32" s="16">
        <f ca="1">'Aerodynamics-Constants'!AC32</f>
        <v>4.8798353242644012E-2</v>
      </c>
      <c r="Q32" s="16">
        <f>'Aerodynamics-Constants'!AD32</f>
        <v>3.5526315789473695</v>
      </c>
      <c r="R32" s="63">
        <f>Stability!G32</f>
        <v>5.6500000000000012</v>
      </c>
      <c r="S32" s="16">
        <f ca="1">'Aerodynamics-Constants'!AM32</f>
        <v>1.7599996651648308E-2</v>
      </c>
      <c r="T32" s="16">
        <f>'Aerodynamics-Constants'!AN32</f>
        <v>3.5526315789473695</v>
      </c>
      <c r="V32" s="81">
        <f t="shared" ca="1" si="4"/>
        <v>329973.45602221938</v>
      </c>
      <c r="W32" s="63">
        <f ca="1">'Aerodynamics-Cruise'!W32</f>
        <v>0.9</v>
      </c>
      <c r="X32" s="42">
        <f ca="1">'Airfoil-RC'!V32</f>
        <v>8.1351835691857305E-3</v>
      </c>
      <c r="Y32" s="14">
        <f t="shared" ca="1" si="5"/>
        <v>110.63057057605931</v>
      </c>
      <c r="Z32" s="16">
        <f ca="1">'Airfoil-RC'!AF32</f>
        <v>-0.15499999999999894</v>
      </c>
      <c r="AA32" s="31">
        <f>Main!I32</f>
        <v>1.1561165628108239</v>
      </c>
      <c r="AB32" s="12">
        <f t="shared" si="6"/>
        <v>-0.13503531376737943</v>
      </c>
      <c r="AC32" s="30">
        <f t="shared" ca="1" si="7"/>
        <v>1.996961266212564</v>
      </c>
      <c r="AD32" s="13">
        <f t="shared" ca="1" si="8"/>
        <v>1.996961266212564</v>
      </c>
      <c r="AE32" s="13">
        <f ca="1">DEGREES(AF32/BP32)+'Airfoil-RC'!K32</f>
        <v>3.2215720112191377</v>
      </c>
      <c r="AF32" s="1">
        <f t="shared" ca="1" si="9"/>
        <v>0.89945340888609249</v>
      </c>
      <c r="AG32" s="16">
        <f ca="1">0.9*'Airfoil-RC'!I32</f>
        <v>1.4234354566743255</v>
      </c>
      <c r="AH32" s="42">
        <f ca="1">0.455/(LOG10(MIN(V32,'Aerodynamics-Constants'!L32)))^2.58</f>
        <v>5.5477560850271754E-3</v>
      </c>
      <c r="AI32" s="42">
        <f ca="1">+AH32*'Aerodynamics-Constants'!J32*'Aerodynamics-Constants'!M32</f>
        <v>0</v>
      </c>
      <c r="AJ32" s="10">
        <f ca="1">X32*COS(RADIANS(AC32))*'Aerodynamics-Constants'!M32+AI32</f>
        <v>8.1302428813535936E-3</v>
      </c>
      <c r="AK32" s="10">
        <f ca="1">AF32^2/(PI()*'Aerodynamics-Constants'!I32*AA32)</f>
        <v>3.1349143576941102E-2</v>
      </c>
      <c r="AL32" s="10">
        <f t="shared" ca="1" si="10"/>
        <v>3.9479386458294699E-2</v>
      </c>
      <c r="AM32" s="1">
        <f t="shared" ca="1" si="11"/>
        <v>-0.15499999999999894</v>
      </c>
      <c r="AN32" s="1">
        <f t="shared" ca="1" si="12"/>
        <v>-0.33272028705543799</v>
      </c>
      <c r="AO32" s="12">
        <f t="shared" si="29"/>
        <v>0.9503265110257636</v>
      </c>
      <c r="AP32" s="12">
        <f t="shared" si="13"/>
        <v>5.2269918178563524E-2</v>
      </c>
      <c r="AQ32" s="81">
        <f ca="1">B32*H32*'Aerodynamics-Constants'!AA32/C32</f>
        <v>116018.63658046031</v>
      </c>
      <c r="AR32" s="10">
        <f ca="1">0.455/(LOG10(MIN(AQ32,'Aerodynamics-Constants'!AG32)))^2.58</f>
        <v>6.923104560295117E-3</v>
      </c>
      <c r="AS32" s="15">
        <f ca="1">AR32*'Aerodynamics-Constants'!AI32*'Aerodynamics-Constants'!AJ32*'Aerodynamics-Constants'!AE32/P32</f>
        <v>1.9257425130001282E-2</v>
      </c>
      <c r="AT32" s="10">
        <f t="shared" ca="1" si="14"/>
        <v>1.0437240112370603E-2</v>
      </c>
      <c r="AU32" s="10">
        <f t="shared" ca="1" si="15"/>
        <v>2.9694665242371885E-2</v>
      </c>
      <c r="AV32" s="12">
        <f t="shared" si="16"/>
        <v>0.9486842105263158</v>
      </c>
      <c r="AW32" s="12">
        <f t="shared" si="17"/>
        <v>5.4091539528432708E-2</v>
      </c>
      <c r="AX32" s="81">
        <f ca="1">B32*H32*'Aerodynamics-Constants'!AK32/C32</f>
        <v>69675.720253733962</v>
      </c>
      <c r="AY32" s="10">
        <f ca="1">0.455/(LOG10(MIN(AX32,'Aerodynamics-Constants'!AQ32)))^2.58</f>
        <v>7.7695741977060135E-3</v>
      </c>
      <c r="AZ32" s="15">
        <f ca="1">AY32*'Aerodynamics-Constants'!AS32*'Aerodynamics-Constants'!AT32*'Aerodynamics-Constants'!AO32/S32</f>
        <v>2.1611979438013181E-2</v>
      </c>
      <c r="BA32" s="81">
        <f ca="1">B32*H32*'Aerodynamics-Constants'!N32/C32</f>
        <v>2524296.9385699783</v>
      </c>
      <c r="BB32" s="10">
        <f ca="1">0.455/(LOG10(MIN(BA32,'Aerodynamics-Constants'!V32)))^2.58</f>
        <v>3.7817462844085639E-3</v>
      </c>
      <c r="BC32" s="10">
        <f ca="1">BB32*'Aerodynamics-Constants'!W32*'Aerodynamics-Constants'!X32*'Aerodynamics-Constants'!S32/N32+'Aerodynamics-Constants'!Z32</f>
        <v>2.3005867146359718E-3</v>
      </c>
      <c r="BD32" s="15">
        <f ca="1">BC32*'Aerodynamics-Constants'!AU32+(AJ32+AS32+AZ32)*('Aerodynamics-Constants'!AU32-1)</f>
        <v>7.4306101310363786E-3</v>
      </c>
      <c r="BE32" s="16">
        <f t="shared" ca="1" si="18"/>
        <v>0.87888755289437392</v>
      </c>
      <c r="BF32" s="10">
        <f t="shared" ca="1" si="19"/>
        <v>1.7232981452113959E-2</v>
      </c>
      <c r="BG32" s="10">
        <f t="shared" ca="1" si="20"/>
        <v>3.1994282408124658E-2</v>
      </c>
      <c r="BH32" s="10">
        <f t="shared" ca="1" si="21"/>
        <v>4.9227263860238624E-2</v>
      </c>
      <c r="BI32" s="13">
        <f t="shared" ca="1" si="22"/>
        <v>131.72349764200382</v>
      </c>
      <c r="BJ32" s="13">
        <f t="shared" ca="1" si="23"/>
        <v>7.3779488100177311</v>
      </c>
      <c r="BK32" s="13">
        <f t="shared" ca="1" si="24"/>
        <v>17.853674650486937</v>
      </c>
      <c r="BL32" s="14">
        <f t="shared" ca="1" si="25"/>
        <v>177.00054813568673</v>
      </c>
      <c r="BO32" s="16">
        <f ca="1">'Airfoil-RC'!J32</f>
        <v>5.1342420892456291</v>
      </c>
      <c r="BP32" s="1">
        <f ca="1">BO32/(1+BO32/(PI()*'Aerodynamics-Constants'!I32)*(1+AB32))</f>
        <v>4.2822808671650572</v>
      </c>
      <c r="BR32" s="12">
        <v>6</v>
      </c>
      <c r="BS32" s="1">
        <f t="shared" si="26"/>
        <v>3.8321766772122796</v>
      </c>
      <c r="BT32" s="1">
        <f>Stability!W32</f>
        <v>2.7097581151617343</v>
      </c>
      <c r="BV32" s="12">
        <v>6</v>
      </c>
      <c r="BW32" s="1">
        <f t="shared" si="27"/>
        <v>3.8297812798968627</v>
      </c>
      <c r="BX32" s="1">
        <f>Stability!Y32</f>
        <v>2.7080643134763669</v>
      </c>
    </row>
    <row r="33" spans="2:76">
      <c r="B33" s="16">
        <f>'RC'!F33</f>
        <v>0.65969672852566186</v>
      </c>
      <c r="C33" s="74">
        <f>'Airfoil-RC'!E33</f>
        <v>1.5987591530356481E-5</v>
      </c>
      <c r="E33" s="19">
        <f ca="1">'RC'!H33</f>
        <v>131.66480106818827</v>
      </c>
      <c r="F33" s="63">
        <f>Weight!G33</f>
        <v>0.3</v>
      </c>
      <c r="H33" s="20">
        <f t="shared" ca="1" si="28"/>
        <v>23.594721425621834</v>
      </c>
      <c r="I33" s="20">
        <f t="shared" ca="1" si="0"/>
        <v>18.54257099234928</v>
      </c>
      <c r="J33" s="20">
        <f t="shared" ca="1" si="1"/>
        <v>1.2724622402878807</v>
      </c>
      <c r="L33" s="31">
        <f>Main!B33</f>
        <v>0.33333333333333326</v>
      </c>
      <c r="M33" s="31">
        <f>Main!C33</f>
        <v>2.4473684210526319</v>
      </c>
      <c r="N33" s="1">
        <f t="shared" si="2"/>
        <v>0.8157894736842104</v>
      </c>
      <c r="O33" s="1">
        <f t="shared" si="3"/>
        <v>7.3421052631578974</v>
      </c>
      <c r="P33" s="16">
        <f ca="1">'Aerodynamics-Constants'!AC33</f>
        <v>5.000592072206575E-2</v>
      </c>
      <c r="Q33" s="16">
        <f>'Aerodynamics-Constants'!AD33</f>
        <v>3.6710526315789487</v>
      </c>
      <c r="R33" s="63">
        <f>Stability!G33</f>
        <v>5.6500000000000012</v>
      </c>
      <c r="S33" s="16">
        <f ca="1">'Aerodynamics-Constants'!AM33</f>
        <v>1.8537607723557867E-2</v>
      </c>
      <c r="T33" s="16">
        <f>'Aerodynamics-Constants'!AN33</f>
        <v>3.6710526315789487</v>
      </c>
      <c r="V33" s="81">
        <f t="shared" ca="1" si="4"/>
        <v>324530.02704008069</v>
      </c>
      <c r="W33" s="63">
        <f ca="1">'Aerodynamics-Cruise'!W33</f>
        <v>0.9</v>
      </c>
      <c r="X33" s="42">
        <f ca="1">'Airfoil-RC'!V33</f>
        <v>8.2408925143109147E-3</v>
      </c>
      <c r="Y33" s="14">
        <f t="shared" ca="1" si="5"/>
        <v>109.21147174739677</v>
      </c>
      <c r="Z33" s="16">
        <f ca="1">'Airfoil-RC'!AF33</f>
        <v>-0.154999999999999</v>
      </c>
      <c r="AA33" s="31">
        <f>Main!I33</f>
        <v>1.149264745760594</v>
      </c>
      <c r="AB33" s="12">
        <f t="shared" si="6"/>
        <v>-0.12987846909182721</v>
      </c>
      <c r="AC33" s="30">
        <f t="shared" ca="1" si="7"/>
        <v>1.9441264968346204</v>
      </c>
      <c r="AD33" s="13">
        <f t="shared" ca="1" si="8"/>
        <v>1.9441264968346204</v>
      </c>
      <c r="AE33" s="13">
        <f ca="1">DEGREES(AF33/BP33)+'Airfoil-RC'!K33</f>
        <v>3.2105448755450858</v>
      </c>
      <c r="AF33" s="1">
        <f t="shared" ca="1" si="9"/>
        <v>0.89948194649194757</v>
      </c>
      <c r="AG33" s="16">
        <f ca="1">0.9*'Airfoil-RC'!I33</f>
        <v>1.4231063433726094</v>
      </c>
      <c r="AH33" s="42">
        <f ca="1">0.455/(LOG10(MIN(V33,'Aerodynamics-Constants'!L33)))^2.58</f>
        <v>5.56653718793634E-3</v>
      </c>
      <c r="AI33" s="42">
        <f ca="1">+AH33*'Aerodynamics-Constants'!J33*'Aerodynamics-Constants'!M33</f>
        <v>0</v>
      </c>
      <c r="AJ33" s="10">
        <f ca="1">X33*COS(RADIANS(AC33))*'Aerodynamics-Constants'!M33+AI33</f>
        <v>8.236148932892557E-3</v>
      </c>
      <c r="AK33" s="10">
        <f ca="1">AF33^2/(PI()*'Aerodynamics-Constants'!I33*AA33)</f>
        <v>3.0520689315346412E-2</v>
      </c>
      <c r="AL33" s="10">
        <f t="shared" ca="1" si="10"/>
        <v>3.8756838248238973E-2</v>
      </c>
      <c r="AM33" s="1">
        <f t="shared" ca="1" si="11"/>
        <v>-0.154999999999999</v>
      </c>
      <c r="AN33" s="1">
        <f t="shared" ca="1" si="12"/>
        <v>-0.33550409664813946</v>
      </c>
      <c r="AO33" s="12">
        <f t="shared" si="29"/>
        <v>0.9460498447561202</v>
      </c>
      <c r="AP33" s="12">
        <f t="shared" si="13"/>
        <v>5.7026757673415585E-2</v>
      </c>
      <c r="AQ33" s="81">
        <f ca="1">B33*H33*'Aerodynamics-Constants'!AA33/C33</f>
        <v>113629.61866074814</v>
      </c>
      <c r="AR33" s="10">
        <f ca="1">0.455/(LOG10(MIN(AQ33,'Aerodynamics-Constants'!AG33)))^2.58</f>
        <v>6.9550755782117127E-3</v>
      </c>
      <c r="AS33" s="15">
        <f ca="1">AR33*'Aerodynamics-Constants'!AI33*'Aerodynamics-Constants'!AJ33*'Aerodynamics-Constants'!AE33/P33</f>
        <v>1.9346356255986262E-2</v>
      </c>
      <c r="AT33" s="10">
        <f t="shared" ca="1" si="14"/>
        <v>1.0316708328524639E-2</v>
      </c>
      <c r="AU33" s="10">
        <f t="shared" ca="1" si="15"/>
        <v>2.9663064584510901E-2</v>
      </c>
      <c r="AV33" s="12">
        <f t="shared" si="16"/>
        <v>0.94797368421052641</v>
      </c>
      <c r="AW33" s="12">
        <f t="shared" si="17"/>
        <v>5.4881603420037006E-2</v>
      </c>
      <c r="AX33" s="81">
        <f ca="1">B33*H33*'Aerodynamics-Constants'!AK33/C33</f>
        <v>69184.320377230906</v>
      </c>
      <c r="AY33" s="10">
        <f ca="1">0.455/(LOG10(MIN(AX33,'Aerodynamics-Constants'!AQ33)))^2.58</f>
        <v>7.7823110646420548E-3</v>
      </c>
      <c r="AZ33" s="15">
        <f ca="1">AY33*'Aerodynamics-Constants'!AS33*'Aerodynamics-Constants'!AT33*'Aerodynamics-Constants'!AO33/S33</f>
        <v>2.1647408523227104E-2</v>
      </c>
      <c r="BA33" s="81">
        <f ca="1">B33*H33*'Aerodynamics-Constants'!N33/C33</f>
        <v>2482654.7068566177</v>
      </c>
      <c r="BB33" s="10">
        <f ca="1">0.455/(LOG10(MIN(BA33,'Aerodynamics-Constants'!V33)))^2.58</f>
        <v>3.7927781672387317E-3</v>
      </c>
      <c r="BC33" s="10">
        <f ca="1">BB33*'Aerodynamics-Constants'!W33*'Aerodynamics-Constants'!X33*'Aerodynamics-Constants'!S33/N33+'Aerodynamics-Constants'!Z33</f>
        <v>2.2328633734915696E-3</v>
      </c>
      <c r="BD33" s="15">
        <f ca="1">BC33*'Aerodynamics-Constants'!AU33+(AJ33+AS33+AZ33)*('Aerodynamics-Constants'!AU33-1)</f>
        <v>7.3791410820513237E-3</v>
      </c>
      <c r="BE33" s="16">
        <f t="shared" ca="1" si="18"/>
        <v>0.87891635720682582</v>
      </c>
      <c r="BF33" s="10">
        <f t="shared" ca="1" si="19"/>
        <v>1.7293080141913216E-2</v>
      </c>
      <c r="BG33" s="10">
        <f t="shared" ca="1" si="20"/>
        <v>3.1153078571926326E-2</v>
      </c>
      <c r="BH33" s="10">
        <f t="shared" ca="1" si="21"/>
        <v>4.8446158713839546E-2</v>
      </c>
      <c r="BI33" s="13">
        <f t="shared" ca="1" si="22"/>
        <v>131.66480106818821</v>
      </c>
      <c r="BJ33" s="13">
        <f t="shared" ca="1" si="23"/>
        <v>7.2574071437773213</v>
      </c>
      <c r="BK33" s="13">
        <f t="shared" ca="1" si="24"/>
        <v>18.142126858775015</v>
      </c>
      <c r="BL33" s="14">
        <f t="shared" ca="1" si="25"/>
        <v>171.23649982974374</v>
      </c>
      <c r="BO33" s="16">
        <f ca="1">'Airfoil-RC'!J33</f>
        <v>5.1630477180641652</v>
      </c>
      <c r="BP33" s="1">
        <f ca="1">BO33/(1+BO33/(PI()*'Aerodynamics-Constants'!I33)*(1+AB33))</f>
        <v>4.3213842786912098</v>
      </c>
      <c r="BR33" s="12">
        <v>6</v>
      </c>
      <c r="BS33" s="1">
        <f t="shared" si="26"/>
        <v>3.8711762947279209</v>
      </c>
      <c r="BT33" s="1">
        <f>Stability!W33</f>
        <v>2.7373350091707258</v>
      </c>
      <c r="BV33" s="12">
        <v>6</v>
      </c>
      <c r="BW33" s="1">
        <f t="shared" si="27"/>
        <v>3.8739657330797428</v>
      </c>
      <c r="BX33" s="1">
        <f>Stability!Y33</f>
        <v>2.739307439945001</v>
      </c>
    </row>
    <row r="34" spans="2:76">
      <c r="B34" s="16">
        <f>'RC'!F34</f>
        <v>0.65969672852566186</v>
      </c>
      <c r="C34" s="74">
        <f>'Airfoil-RC'!E34</f>
        <v>1.5987591530356481E-5</v>
      </c>
      <c r="E34" s="19">
        <f ca="1">'RC'!H34</f>
        <v>131.64808624958647</v>
      </c>
      <c r="F34" s="63">
        <f>Weight!G34</f>
        <v>0.3</v>
      </c>
      <c r="H34" s="20">
        <f t="shared" ca="1" si="28"/>
        <v>23.221306277875662</v>
      </c>
      <c r="I34" s="20">
        <f t="shared" ca="1" si="0"/>
        <v>18.251408915192314</v>
      </c>
      <c r="J34" s="20">
        <f t="shared" ca="1" si="1"/>
        <v>1.2723021212102945</v>
      </c>
      <c r="L34" s="31">
        <f>Main!B34</f>
        <v>0.33333333333333326</v>
      </c>
      <c r="M34" s="31">
        <f>Main!C34</f>
        <v>2.5263157894736845</v>
      </c>
      <c r="N34" s="1">
        <f t="shared" si="2"/>
        <v>0.84210526315789469</v>
      </c>
      <c r="O34" s="1">
        <f t="shared" si="3"/>
        <v>7.5789473684210549</v>
      </c>
      <c r="P34" s="16">
        <f ca="1">'Aerodynamics-Constants'!AC34</f>
        <v>5.1212083567651716E-2</v>
      </c>
      <c r="Q34" s="16">
        <f>'Aerodynamics-Constants'!AD34</f>
        <v>3.7894736842105274</v>
      </c>
      <c r="R34" s="63">
        <f>Stability!G34</f>
        <v>5.6500000000000012</v>
      </c>
      <c r="S34" s="16">
        <f ca="1">'Aerodynamics-Constants'!AM34</f>
        <v>1.9502585994958192E-2</v>
      </c>
      <c r="T34" s="16">
        <f>'Aerodynamics-Constants'!AN34</f>
        <v>3.7894736842105274</v>
      </c>
      <c r="V34" s="81">
        <f t="shared" ca="1" si="4"/>
        <v>319393.94487114076</v>
      </c>
      <c r="W34" s="63">
        <f ca="1">'Aerodynamics-Cruise'!W34</f>
        <v>0.9</v>
      </c>
      <c r="X34" s="42">
        <f ca="1">'Airfoil-RC'!V34</f>
        <v>8.3435615594175637E-3</v>
      </c>
      <c r="Y34" s="14">
        <f t="shared" ca="1" si="5"/>
        <v>107.86760469024766</v>
      </c>
      <c r="Z34" s="16">
        <f ca="1">'Airfoil-RC'!AF34</f>
        <v>-0.154999999999999</v>
      </c>
      <c r="AA34" s="31">
        <f>Main!I34</f>
        <v>1.1424833074368379</v>
      </c>
      <c r="AB34" s="12">
        <f t="shared" si="6"/>
        <v>-0.12471368860215504</v>
      </c>
      <c r="AC34" s="30">
        <f t="shared" ca="1" si="7"/>
        <v>1.8946065526567784</v>
      </c>
      <c r="AD34" s="13">
        <f t="shared" ca="1" si="8"/>
        <v>1.8946065526567784</v>
      </c>
      <c r="AE34" s="13">
        <f ca="1">DEGREES(AF34/BP34)+'Airfoil-RC'!K34</f>
        <v>3.2003824453666656</v>
      </c>
      <c r="AF34" s="1">
        <f t="shared" ca="1" si="9"/>
        <v>0.89950799927140002</v>
      </c>
      <c r="AG34" s="16">
        <f ca="1">0.9*'Airfoil-RC'!I34</f>
        <v>1.4227907825829067</v>
      </c>
      <c r="AH34" s="42">
        <f ca="1">0.455/(LOG10(MIN(V34,'Aerodynamics-Constants'!L34)))^2.58</f>
        <v>5.584631965229959E-3</v>
      </c>
      <c r="AI34" s="42">
        <f ca="1">+AH34*'Aerodynamics-Constants'!J34*'Aerodynamics-Constants'!M34</f>
        <v>0</v>
      </c>
      <c r="AJ34" s="10">
        <f ca="1">X34*COS(RADIANS(AC34))*'Aerodynamics-Constants'!M34+AI34</f>
        <v>8.3390004056771716E-3</v>
      </c>
      <c r="AK34" s="10">
        <f ca="1">AF34^2/(PI()*'Aerodynamics-Constants'!I34*AA34)</f>
        <v>2.9744141088047515E-2</v>
      </c>
      <c r="AL34" s="10">
        <f t="shared" ca="1" si="10"/>
        <v>3.8083141493724687E-2</v>
      </c>
      <c r="AM34" s="1">
        <f t="shared" ca="1" si="11"/>
        <v>-0.154999999999999</v>
      </c>
      <c r="AN34" s="1">
        <f t="shared" ca="1" si="12"/>
        <v>-0.33816600949220377</v>
      </c>
      <c r="AO34" s="12">
        <f t="shared" si="29"/>
        <v>0.94181710644360173</v>
      </c>
      <c r="AP34" s="12">
        <f t="shared" si="13"/>
        <v>6.1777274120771608E-2</v>
      </c>
      <c r="AQ34" s="81">
        <f ca="1">B34*H34*'Aerodynamics-Constants'!AA34/C34</f>
        <v>111389.61635795578</v>
      </c>
      <c r="AR34" s="10">
        <f ca="1">0.455/(LOG10(MIN(AQ34,'Aerodynamics-Constants'!AG34)))^2.58</f>
        <v>6.9858611139182181E-3</v>
      </c>
      <c r="AS34" s="15">
        <f ca="1">AR34*'Aerodynamics-Constants'!AI34*'Aerodynamics-Constants'!AJ34*'Aerodynamics-Constants'!AE34/P34</f>
        <v>1.9431989824538018E-2</v>
      </c>
      <c r="AT34" s="10">
        <f t="shared" ca="1" si="14"/>
        <v>1.019916370879902E-2</v>
      </c>
      <c r="AU34" s="10">
        <f t="shared" ca="1" si="15"/>
        <v>2.9631153533337038E-2</v>
      </c>
      <c r="AV34" s="12">
        <f t="shared" si="16"/>
        <v>0.94726315789473692</v>
      </c>
      <c r="AW34" s="12">
        <f t="shared" si="17"/>
        <v>5.5672852539170981E-2</v>
      </c>
      <c r="AX34" s="81">
        <f ca="1">B34*H34*'Aerodynamics-Constants'!AK34/C34</f>
        <v>68739.217850459143</v>
      </c>
      <c r="AY34" s="10">
        <f ca="1">0.455/(LOG10(MIN(AX34,'Aerodynamics-Constants'!AQ34)))^2.58</f>
        <v>7.7939515238858665E-3</v>
      </c>
      <c r="AZ34" s="15">
        <f ca="1">AY34*'Aerodynamics-Constants'!AS34*'Aerodynamics-Constants'!AT34*'Aerodynamics-Constants'!AO34/S34</f>
        <v>2.1679787822198281E-2</v>
      </c>
      <c r="BA34" s="81">
        <f ca="1">B34*H34*'Aerodynamics-Constants'!N34/C34</f>
        <v>2443363.6782642272</v>
      </c>
      <c r="BB34" s="10">
        <f ca="1">0.455/(LOG10(MIN(BA34,'Aerodynamics-Constants'!V34)))^2.58</f>
        <v>3.8034001590415462E-3</v>
      </c>
      <c r="BC34" s="10">
        <f ca="1">BB34*'Aerodynamics-Constants'!W34*'Aerodynamics-Constants'!X34*'Aerodynamics-Constants'!S34/N34+'Aerodynamics-Constants'!Z34</f>
        <v>2.1691391710954642E-3</v>
      </c>
      <c r="BD34" s="15">
        <f ca="1">BC34*'Aerodynamics-Constants'!AU34+(AJ34+AS34+AZ34)*('Aerodynamics-Constants'!AU34-1)</f>
        <v>7.331130893446362E-3</v>
      </c>
      <c r="BE34" s="16">
        <f t="shared" ca="1" si="18"/>
        <v>0.87894265347019829</v>
      </c>
      <c r="BF34" s="10">
        <f t="shared" ca="1" si="19"/>
        <v>1.735396427722119E-2</v>
      </c>
      <c r="BG34" s="10">
        <f t="shared" ca="1" si="20"/>
        <v>3.0364396591755535E-2</v>
      </c>
      <c r="BH34" s="10">
        <f t="shared" ca="1" si="21"/>
        <v>4.7718360868976725E-2</v>
      </c>
      <c r="BI34" s="13">
        <f t="shared" ca="1" si="22"/>
        <v>131.64808624958647</v>
      </c>
      <c r="BJ34" s="13">
        <f t="shared" ca="1" si="23"/>
        <v>7.1472591102110403</v>
      </c>
      <c r="BK34" s="13">
        <f t="shared" ca="1" si="24"/>
        <v>18.419380663211921</v>
      </c>
      <c r="BL34" s="14">
        <f t="shared" ca="1" si="25"/>
        <v>165.96869284554765</v>
      </c>
      <c r="BO34" s="16">
        <f ca="1">'Airfoil-RC'!J34</f>
        <v>5.1908252281472196</v>
      </c>
      <c r="BP34" s="1">
        <f ca="1">BO34/(1+BO34/(PI()*'Aerodynamics-Constants'!I34)*(1+AB34))</f>
        <v>4.3590280493035714</v>
      </c>
      <c r="BR34" s="12">
        <v>6</v>
      </c>
      <c r="BS34" s="1">
        <f t="shared" si="26"/>
        <v>3.9084744159557685</v>
      </c>
      <c r="BT34" s="1">
        <f>Stability!W34</f>
        <v>2.7637087636164548</v>
      </c>
      <c r="BV34" s="12">
        <v>6</v>
      </c>
      <c r="BW34" s="1">
        <f t="shared" si="27"/>
        <v>3.9163231849688693</v>
      </c>
      <c r="BX34" s="1">
        <f>Stability!Y34</f>
        <v>2.7692586814095854</v>
      </c>
    </row>
    <row r="35" spans="2:76">
      <c r="B35" s="16">
        <f>'RC'!F35</f>
        <v>0.65969672852566186</v>
      </c>
      <c r="C35" s="74">
        <f>'Airfoil-RC'!E35</f>
        <v>1.5987591530356481E-5</v>
      </c>
      <c r="E35" s="19">
        <f ca="1">'RC'!H35</f>
        <v>131.66397514989566</v>
      </c>
      <c r="F35" s="63">
        <f>Weight!G35</f>
        <v>0.3</v>
      </c>
      <c r="H35" s="20">
        <f t="shared" ca="1" si="28"/>
        <v>22.867828371575957</v>
      </c>
      <c r="I35" s="20">
        <f t="shared" ca="1" si="0"/>
        <v>17.975746070671946</v>
      </c>
      <c r="J35" s="20">
        <f t="shared" ca="1" si="1"/>
        <v>1.2721490547135406</v>
      </c>
      <c r="L35" s="31">
        <f>Main!B35</f>
        <v>0.33333333333333326</v>
      </c>
      <c r="M35" s="31">
        <f>Main!C35</f>
        <v>2.6052631578947372</v>
      </c>
      <c r="N35" s="1">
        <f t="shared" si="2"/>
        <v>0.86842105263157887</v>
      </c>
      <c r="O35" s="1">
        <f t="shared" si="3"/>
        <v>7.8157894736842133</v>
      </c>
      <c r="P35" s="16">
        <f ca="1">'Aerodynamics-Constants'!AC35</f>
        <v>5.2417396335312914E-2</v>
      </c>
      <c r="Q35" s="16">
        <f>'Aerodynamics-Constants'!AD35</f>
        <v>3.9078947368421066</v>
      </c>
      <c r="R35" s="63">
        <f>Stability!G35</f>
        <v>5.6500000000000012</v>
      </c>
      <c r="S35" s="16">
        <f ca="1">'Aerodynamics-Constants'!AM35</f>
        <v>2.0494814609083551E-2</v>
      </c>
      <c r="T35" s="16">
        <f>'Aerodynamics-Constants'!AN35</f>
        <v>3.9078947368421066</v>
      </c>
      <c r="V35" s="81">
        <f t="shared" ca="1" si="4"/>
        <v>314532.08647407807</v>
      </c>
      <c r="W35" s="63">
        <f ca="1">'Aerodynamics-Cruise'!W35</f>
        <v>0.9</v>
      </c>
      <c r="X35" s="42">
        <f ca="1">'Airfoil-RC'!V35</f>
        <v>8.4434876229700986E-3</v>
      </c>
      <c r="Y35" s="14">
        <f t="shared" ca="1" si="5"/>
        <v>106.59102496361736</v>
      </c>
      <c r="Z35" s="16">
        <f ca="1">'Airfoil-RC'!AF35</f>
        <v>-0.15499999999999903</v>
      </c>
      <c r="AA35" s="31">
        <f>Main!I35</f>
        <v>1.1357693582334683</v>
      </c>
      <c r="AB35" s="12">
        <f t="shared" si="6"/>
        <v>-0.11953955021699003</v>
      </c>
      <c r="AC35" s="30">
        <f t="shared" ca="1" si="7"/>
        <v>1.8481035697317774</v>
      </c>
      <c r="AD35" s="13">
        <f t="shared" ca="1" si="8"/>
        <v>1.8481035697317774</v>
      </c>
      <c r="AE35" s="13">
        <f ca="1">DEGREES(AF35/BP35)+'Airfoil-RC'!K35</f>
        <v>3.1910510136285524</v>
      </c>
      <c r="AF35" s="1">
        <f t="shared" ca="1" si="9"/>
        <v>0.89953185304114758</v>
      </c>
      <c r="AG35" s="16">
        <f ca="1">0.9*'Airfoil-RC'!I35</f>
        <v>1.4224874254367541</v>
      </c>
      <c r="AH35" s="42">
        <f ca="1">0.455/(LOG10(MIN(V35,'Aerodynamics-Constants'!L35)))^2.58</f>
        <v>5.6021078097905005E-3</v>
      </c>
      <c r="AI35" s="42">
        <f ca="1">+AH35*'Aerodynamics-Constants'!J35*'Aerodynamics-Constants'!M35</f>
        <v>0</v>
      </c>
      <c r="AJ35" s="10">
        <f ca="1">X35*COS(RADIANS(AC35))*'Aerodynamics-Constants'!M35+AI35</f>
        <v>8.4390956306892081E-3</v>
      </c>
      <c r="AK35" s="10">
        <f ca="1">AF35^2/(PI()*'Aerodynamics-Constants'!I35*AA35)</f>
        <v>2.9014842678127872E-2</v>
      </c>
      <c r="AL35" s="10">
        <f t="shared" ca="1" si="10"/>
        <v>3.7453938308817082E-2</v>
      </c>
      <c r="AM35" s="1">
        <f t="shared" ca="1" si="11"/>
        <v>-0.15499999999999903</v>
      </c>
      <c r="AN35" s="1">
        <f t="shared" ca="1" si="12"/>
        <v>-0.34071104056664281</v>
      </c>
      <c r="AO35" s="12">
        <f t="shared" si="29"/>
        <v>0.93762649249643182</v>
      </c>
      <c r="AP35" s="12">
        <f t="shared" si="13"/>
        <v>6.6522765731052091E-2</v>
      </c>
      <c r="AQ35" s="81">
        <f ca="1">B35*H35*'Aerodynamics-Constants'!AA35/C35</f>
        <v>109282.97381984621</v>
      </c>
      <c r="AR35" s="10">
        <f ca="1">0.455/(LOG10(MIN(AQ35,'Aerodynamics-Constants'!AG35)))^2.58</f>
        <v>7.0155619229732924E-3</v>
      </c>
      <c r="AS35" s="15">
        <f ca="1">AR35*'Aerodynamics-Constants'!AI35*'Aerodynamics-Constants'!AJ35*'Aerodynamics-Constants'!AE35/P35</f>
        <v>1.9514606099028345E-2</v>
      </c>
      <c r="AT35" s="10">
        <f t="shared" ca="1" si="14"/>
        <v>1.0084394207348127E-2</v>
      </c>
      <c r="AU35" s="10">
        <f t="shared" ca="1" si="15"/>
        <v>2.9599000306376473E-2</v>
      </c>
      <c r="AV35" s="12">
        <f t="shared" si="16"/>
        <v>0.94655263157894742</v>
      </c>
      <c r="AW35" s="12">
        <f t="shared" si="17"/>
        <v>5.6465289554894493E-2</v>
      </c>
      <c r="AX35" s="81">
        <f ca="1">B35*H35*'Aerodynamics-Constants'!AK35/C35</f>
        <v>68333.989901927693</v>
      </c>
      <c r="AY35" s="10">
        <f ca="1">0.455/(LOG10(MIN(AX35,'Aerodynamics-Constants'!AQ35)))^2.58</f>
        <v>7.8046361209301689E-3</v>
      </c>
      <c r="AZ35" s="15">
        <f ca="1">AY35*'Aerodynamics-Constants'!AS35*'Aerodynamics-Constants'!AT35*'Aerodynamics-Constants'!AO35/S35</f>
        <v>2.1709508278654324E-2</v>
      </c>
      <c r="BA35" s="81">
        <f ca="1">B35*H35*'Aerodynamics-Constants'!N35/C35</f>
        <v>2406170.4615266975</v>
      </c>
      <c r="BB35" s="10">
        <f ca="1">0.455/(LOG10(MIN(BA35,'Aerodynamics-Constants'!V35)))^2.58</f>
        <v>3.8136525557568774E-3</v>
      </c>
      <c r="BC35" s="10">
        <f ca="1">BB35*'Aerodynamics-Constants'!W35*'Aerodynamics-Constants'!X35*'Aerodynamics-Constants'!S35/N35+'Aerodynamics-Constants'!Z35</f>
        <v>2.1090728155800315E-3</v>
      </c>
      <c r="BD35" s="15">
        <f ca="1">BC35*'Aerodynamics-Constants'!AU35+(AJ35+AS35+AZ35)*('Aerodynamics-Constants'!AU35-1)</f>
        <v>7.2863010979752271E-3</v>
      </c>
      <c r="BE35" s="16">
        <f t="shared" ca="1" si="18"/>
        <v>0.87896673017237348</v>
      </c>
      <c r="BF35" s="10">
        <f t="shared" ca="1" si="19"/>
        <v>1.741563349249884E-2</v>
      </c>
      <c r="BG35" s="10">
        <f t="shared" ca="1" si="20"/>
        <v>2.9623530924879019E-2</v>
      </c>
      <c r="BH35" s="10">
        <f t="shared" ca="1" si="21"/>
        <v>4.7039164417377863E-2</v>
      </c>
      <c r="BI35" s="13">
        <f t="shared" ca="1" si="22"/>
        <v>131.66397514989569</v>
      </c>
      <c r="BJ35" s="13">
        <f t="shared" ca="1" si="23"/>
        <v>7.0461863484945786</v>
      </c>
      <c r="BK35" s="13">
        <f t="shared" ca="1" si="24"/>
        <v>18.685849144200645</v>
      </c>
      <c r="BL35" s="14">
        <f t="shared" ca="1" si="25"/>
        <v>161.13098009151551</v>
      </c>
      <c r="BO35" s="16">
        <f ca="1">'Airfoil-RC'!J35</f>
        <v>5.2176752338374115</v>
      </c>
      <c r="BP35" s="1">
        <f ca="1">BO35/(1+BO35/(PI()*'Aerodynamics-Constants'!I35)*(1+AB35))</f>
        <v>4.3953276422368015</v>
      </c>
      <c r="BR35" s="12">
        <v>6</v>
      </c>
      <c r="BS35" s="1">
        <f t="shared" si="26"/>
        <v>3.9441790955022142</v>
      </c>
      <c r="BT35" s="1">
        <f>Stability!W35</f>
        <v>2.7889557846438393</v>
      </c>
      <c r="BV35" s="12">
        <v>6</v>
      </c>
      <c r="BW35" s="1">
        <f t="shared" si="27"/>
        <v>3.9569645174604378</v>
      </c>
      <c r="BX35" s="1">
        <f>Stability!Y35</f>
        <v>2.7979964432108306</v>
      </c>
    </row>
    <row r="36" spans="2:76">
      <c r="B36" s="16">
        <f>'RC'!F36</f>
        <v>0.65969672852566186</v>
      </c>
      <c r="C36" s="74">
        <f>'Airfoil-RC'!E36</f>
        <v>1.5987591530356481E-5</v>
      </c>
      <c r="E36" s="19">
        <f ca="1">'RC'!H36</f>
        <v>131.71508343743108</v>
      </c>
      <c r="F36" s="63">
        <f>Weight!G36</f>
        <v>0.3</v>
      </c>
      <c r="H36" s="20">
        <f t="shared" ca="1" si="28"/>
        <v>22.533115808140305</v>
      </c>
      <c r="I36" s="20">
        <f t="shared" ca="1" si="0"/>
        <v>17.714676263175932</v>
      </c>
      <c r="J36" s="20">
        <f t="shared" ca="1" si="1"/>
        <v>1.2720026871154637</v>
      </c>
      <c r="L36" s="31">
        <f>Main!B36</f>
        <v>0.33333333333333326</v>
      </c>
      <c r="M36" s="31">
        <f>Main!C36</f>
        <v>2.6842105263157898</v>
      </c>
      <c r="N36" s="1">
        <f t="shared" si="2"/>
        <v>0.89473684210526305</v>
      </c>
      <c r="O36" s="1">
        <f t="shared" si="3"/>
        <v>8.0526315789473717</v>
      </c>
      <c r="P36" s="16">
        <f ca="1">'Aerodynamics-Constants'!AC36</f>
        <v>5.3621746106374713E-2</v>
      </c>
      <c r="Q36" s="16">
        <f>'Aerodynamics-Constants'!AD36</f>
        <v>4.0263157894736858</v>
      </c>
      <c r="R36" s="63">
        <f>Stability!G36</f>
        <v>5.6500000000000012</v>
      </c>
      <c r="S36" s="16">
        <f ca="1">'Aerodynamics-Constants'!AM36</f>
        <v>2.1514190560189127E-2</v>
      </c>
      <c r="T36" s="16">
        <f>'Aerodynamics-Constants'!AN36</f>
        <v>4.0263157894736858</v>
      </c>
      <c r="V36" s="81">
        <f t="shared" ca="1" si="4"/>
        <v>309928.33314709575</v>
      </c>
      <c r="W36" s="63">
        <f ca="1">'Aerodynamics-Cruise'!W36</f>
        <v>0.9</v>
      </c>
      <c r="X36" s="42">
        <f ca="1">'Airfoil-RC'!V36</f>
        <v>8.5406709143692212E-3</v>
      </c>
      <c r="Y36" s="14">
        <f t="shared" ca="1" si="5"/>
        <v>105.37813820759658</v>
      </c>
      <c r="Z36" s="16">
        <f ca="1">'Airfoil-RC'!AF36</f>
        <v>-0.15499999999999903</v>
      </c>
      <c r="AA36" s="31">
        <f>Main!I36</f>
        <v>1.1291202108009399</v>
      </c>
      <c r="AB36" s="12">
        <f t="shared" si="6"/>
        <v>-0.11435470693536576</v>
      </c>
      <c r="AC36" s="30">
        <f t="shared" ca="1" si="7"/>
        <v>1.8043545063672561</v>
      </c>
      <c r="AD36" s="13">
        <f t="shared" ca="1" si="8"/>
        <v>1.8043545063672561</v>
      </c>
      <c r="AE36" s="13">
        <f ca="1">DEGREES(AF36/BP36)+'Airfoil-RC'!K36</f>
        <v>3.1824209759912225</v>
      </c>
      <c r="AF36" s="1">
        <f t="shared" ca="1" si="9"/>
        <v>0.89955375322190667</v>
      </c>
      <c r="AG36" s="16">
        <f ca="1">0.9*'Airfoil-RC'!I36</f>
        <v>1.4221958800465335</v>
      </c>
      <c r="AH36" s="42">
        <f ca="1">0.455/(LOG10(MIN(V36,'Aerodynamics-Constants'!L36)))^2.58</f>
        <v>5.6189783259579752E-3</v>
      </c>
      <c r="AI36" s="42">
        <f ca="1">+AH36*'Aerodynamics-Constants'!J36*'Aerodynamics-Constants'!M36</f>
        <v>0</v>
      </c>
      <c r="AJ36" s="10">
        <f ca="1">X36*COS(RADIANS(AC36))*'Aerodynamics-Constants'!M36+AI36</f>
        <v>8.5364361956155616E-3</v>
      </c>
      <c r="AK36" s="10">
        <f ca="1">AF36^2/(PI()*'Aerodynamics-Constants'!I36*AA36)</f>
        <v>2.8328681137411188E-2</v>
      </c>
      <c r="AL36" s="10">
        <f t="shared" ca="1" si="10"/>
        <v>3.6865117333026748E-2</v>
      </c>
      <c r="AM36" s="1">
        <f t="shared" ca="1" si="11"/>
        <v>-0.15499999999999903</v>
      </c>
      <c r="AN36" s="1">
        <f t="shared" ca="1" si="12"/>
        <v>-0.34314790731950845</v>
      </c>
      <c r="AO36" s="12">
        <f t="shared" si="29"/>
        <v>0.93347632556434401</v>
      </c>
      <c r="AP36" s="12">
        <f t="shared" si="13"/>
        <v>7.1264447328579283E-2</v>
      </c>
      <c r="AQ36" s="81">
        <f ca="1">B36*H36*'Aerodynamics-Constants'!AA36/C36</f>
        <v>107299.84489039093</v>
      </c>
      <c r="AR36" s="10">
        <f ca="1">0.455/(LOG10(MIN(AQ36,'Aerodynamics-Constants'!AG36)))^2.58</f>
        <v>7.0442141320665201E-3</v>
      </c>
      <c r="AS36" s="15">
        <f ca="1">AR36*'Aerodynamics-Constants'!AI36*'Aerodynamics-Constants'!AJ36*'Aerodynamics-Constants'!AE36/P36</f>
        <v>1.959430557007005E-2</v>
      </c>
      <c r="AT36" s="10">
        <f t="shared" ca="1" si="14"/>
        <v>9.9724460265066522E-3</v>
      </c>
      <c r="AU36" s="10">
        <f t="shared" ca="1" si="15"/>
        <v>2.95667515965767E-2</v>
      </c>
      <c r="AV36" s="12">
        <f t="shared" si="16"/>
        <v>0.94584210526315793</v>
      </c>
      <c r="AW36" s="12">
        <f t="shared" si="17"/>
        <v>5.725891714428788E-2</v>
      </c>
      <c r="AX36" s="81">
        <f ca="1">B36*H36*'Aerodynamics-Constants'!AK36/C36</f>
        <v>67965.90806238442</v>
      </c>
      <c r="AY36" s="10">
        <f ca="1">0.455/(LOG10(MIN(AX36,'Aerodynamics-Constants'!AQ36)))^2.58</f>
        <v>7.8144141207017355E-3</v>
      </c>
      <c r="AZ36" s="15">
        <f ca="1">AY36*'Aerodynamics-Constants'!AS36*'Aerodynamics-Constants'!AT36*'Aerodynamics-Constants'!AO36/S36</f>
        <v>2.1736706928751577E-2</v>
      </c>
      <c r="BA36" s="81">
        <f ca="1">B36*H36*'Aerodynamics-Constants'!N36/C36</f>
        <v>2370951.7485752832</v>
      </c>
      <c r="BB36" s="10">
        <f ca="1">0.455/(LOG10(MIN(BA36,'Aerodynamics-Constants'!V36)))^2.58</f>
        <v>3.8235440016706796E-3</v>
      </c>
      <c r="BC36" s="10">
        <f ca="1">BB36*'Aerodynamics-Constants'!W36*'Aerodynamics-Constants'!X36*'Aerodynamics-Constants'!S36/N36+'Aerodynamics-Constants'!Z36</f>
        <v>2.0523461918091042E-3</v>
      </c>
      <c r="BD36" s="15">
        <f ca="1">BC36*'Aerodynamics-Constants'!AU36+(AJ36+AS36+AZ36)*('Aerodynamics-Constants'!AU36-1)</f>
        <v>7.2443256804337382E-3</v>
      </c>
      <c r="BE36" s="16">
        <f t="shared" ca="1" si="18"/>
        <v>0.87898883502771907</v>
      </c>
      <c r="BF36" s="10">
        <f t="shared" ca="1" si="19"/>
        <v>1.7477717295759782E-2</v>
      </c>
      <c r="BG36" s="10">
        <f t="shared" ca="1" si="20"/>
        <v>2.8926331690879683E-2</v>
      </c>
      <c r="BH36" s="10">
        <f t="shared" ca="1" si="21"/>
        <v>4.6404048986639468E-2</v>
      </c>
      <c r="BI36" s="13">
        <f t="shared" ca="1" si="22"/>
        <v>131.71508343743108</v>
      </c>
      <c r="BJ36" s="13">
        <f t="shared" ca="1" si="23"/>
        <v>6.9535731747003471</v>
      </c>
      <c r="BK36" s="13">
        <f t="shared" ca="1" si="24"/>
        <v>18.942071957574118</v>
      </c>
      <c r="BL36" s="14">
        <f t="shared" ca="1" si="25"/>
        <v>156.68566962590077</v>
      </c>
      <c r="BO36" s="16">
        <f ca="1">'Airfoil-RC'!J36</f>
        <v>5.2436160925509157</v>
      </c>
      <c r="BP36" s="1">
        <f ca="1">BO36/(1+BO36/(PI()*'Aerodynamics-Constants'!I36)*(1+AB36))</f>
        <v>4.4303367486735086</v>
      </c>
      <c r="BR36" s="12">
        <v>6</v>
      </c>
      <c r="BS36" s="1">
        <f t="shared" si="26"/>
        <v>3.9783893429633941</v>
      </c>
      <c r="BT36" s="1">
        <f>Stability!W36</f>
        <v>2.8131460826097094</v>
      </c>
      <c r="BV36" s="12">
        <v>6</v>
      </c>
      <c r="BW36" s="1">
        <f t="shared" si="27"/>
        <v>3.9959918173096995</v>
      </c>
      <c r="BX36" s="1">
        <f>Stability!Y36</f>
        <v>2.8255929115856442</v>
      </c>
    </row>
    <row r="37" spans="2:76">
      <c r="B37" s="16">
        <f>'RC'!F37</f>
        <v>0.65969672852566186</v>
      </c>
      <c r="C37" s="74">
        <f>'Airfoil-RC'!E37</f>
        <v>1.5987591530356481E-5</v>
      </c>
      <c r="E37" s="19">
        <f ca="1">'RC'!H37</f>
        <v>131.79789717184198</v>
      </c>
      <c r="F37" s="63">
        <f>Weight!G37</f>
        <v>0.3</v>
      </c>
      <c r="H37" s="20">
        <f t="shared" ca="1" si="28"/>
        <v>22.215604931101009</v>
      </c>
      <c r="I37" s="20">
        <f t="shared" ca="1" si="0"/>
        <v>17.46698627613241</v>
      </c>
      <c r="J37" s="20">
        <f t="shared" ca="1" si="1"/>
        <v>1.2718625056376955</v>
      </c>
      <c r="L37" s="31">
        <f>Main!B37</f>
        <v>0.33333333333333326</v>
      </c>
      <c r="M37" s="31">
        <f>Main!C37</f>
        <v>2.7631578947368425</v>
      </c>
      <c r="N37" s="1">
        <f t="shared" si="2"/>
        <v>0.92105263157894723</v>
      </c>
      <c r="O37" s="1">
        <f t="shared" si="3"/>
        <v>8.2894736842105292</v>
      </c>
      <c r="P37" s="16">
        <f ca="1">'Aerodynamics-Constants'!AC37</f>
        <v>5.482534386108661E-2</v>
      </c>
      <c r="Q37" s="16">
        <f>'Aerodynamics-Constants'!AD37</f>
        <v>4.1447368421052646</v>
      </c>
      <c r="R37" s="63">
        <f>Stability!G37</f>
        <v>5.6500000000000012</v>
      </c>
      <c r="S37" s="16">
        <f ca="1">'Aerodynamics-Constants'!AM37</f>
        <v>2.2560622713503117E-2</v>
      </c>
      <c r="T37" s="16">
        <f>'Aerodynamics-Constants'!AN37</f>
        <v>4.1447368421052646</v>
      </c>
      <c r="V37" s="81">
        <f t="shared" ca="1" si="4"/>
        <v>305561.17781381909</v>
      </c>
      <c r="W37" s="63">
        <f ca="1">'Aerodynamics-Cruise'!W37</f>
        <v>0.9</v>
      </c>
      <c r="X37" s="42">
        <f ca="1">'Airfoil-RC'!V37</f>
        <v>8.6352594413906195E-3</v>
      </c>
      <c r="Y37" s="14">
        <f t="shared" ca="1" si="5"/>
        <v>104.22385176826423</v>
      </c>
      <c r="Z37" s="16">
        <f ca="1">'Airfoil-RC'!AF37</f>
        <v>-0.15499999999999906</v>
      </c>
      <c r="AA37" s="31">
        <f>Main!I37</f>
        <v>1.1225333603782677</v>
      </c>
      <c r="AB37" s="12">
        <f t="shared" si="6"/>
        <v>-0.10915787869055116</v>
      </c>
      <c r="AC37" s="30">
        <f t="shared" ca="1" si="7"/>
        <v>1.7631261954450022</v>
      </c>
      <c r="AD37" s="13">
        <f t="shared" ca="1" si="8"/>
        <v>1.7631261954450022</v>
      </c>
      <c r="AE37" s="13">
        <f ca="1">DEGREES(AF37/BP37)+'Airfoil-RC'!K37</f>
        <v>3.1744323234645719</v>
      </c>
      <c r="AF37" s="1">
        <f t="shared" ca="1" si="9"/>
        <v>0.89957391153835953</v>
      </c>
      <c r="AG37" s="16">
        <f ca="1">0.9*'Airfoil-RC'!I37</f>
        <v>1.4219153437204048</v>
      </c>
      <c r="AH37" s="42">
        <f ca="1">0.455/(LOG10(MIN(V37,'Aerodynamics-Constants'!L37)))^2.58</f>
        <v>5.6352817059412462E-3</v>
      </c>
      <c r="AI37" s="42">
        <f ca="1">+AH37*'Aerodynamics-Constants'!J37*'Aerodynamics-Constants'!M37</f>
        <v>0</v>
      </c>
      <c r="AJ37" s="10">
        <f ca="1">X37*COS(RADIANS(AC37))*'Aerodynamics-Constants'!M37+AI37</f>
        <v>8.6311712364892327E-3</v>
      </c>
      <c r="AK37" s="10">
        <f ca="1">AF37^2/(PI()*'Aerodynamics-Constants'!I37*AA37)</f>
        <v>2.768200976845182E-2</v>
      </c>
      <c r="AL37" s="10">
        <f t="shared" ca="1" si="10"/>
        <v>3.6313181004941054E-2</v>
      </c>
      <c r="AM37" s="1">
        <f t="shared" ca="1" si="11"/>
        <v>-0.15499999999999906</v>
      </c>
      <c r="AN37" s="1">
        <f t="shared" ca="1" si="12"/>
        <v>-0.34548252988254824</v>
      </c>
      <c r="AO37" s="12">
        <f t="shared" si="29"/>
        <v>0.92936504226251027</v>
      </c>
      <c r="AP37" s="12">
        <f t="shared" si="13"/>
        <v>7.6003458840598448E-2</v>
      </c>
      <c r="AQ37" s="81">
        <f ca="1">B37*H37*'Aerodynamics-Constants'!AA37/C37</f>
        <v>105429.37487776033</v>
      </c>
      <c r="AR37" s="10">
        <f ca="1">0.455/(LOG10(MIN(AQ37,'Aerodynamics-Constants'!AG37)))^2.58</f>
        <v>7.0718811921031523E-3</v>
      </c>
      <c r="AS37" s="15">
        <f ca="1">AR37*'Aerodynamics-Constants'!AI37*'Aerodynamics-Constants'!AJ37*'Aerodynamics-Constants'!AE37/P37</f>
        <v>1.9671264733777956E-2</v>
      </c>
      <c r="AT37" s="10">
        <f t="shared" ca="1" si="14"/>
        <v>9.863226706692688E-3</v>
      </c>
      <c r="AU37" s="10">
        <f t="shared" ca="1" si="15"/>
        <v>2.9534491440470642E-2</v>
      </c>
      <c r="AV37" s="12">
        <f t="shared" si="16"/>
        <v>0.94513157894736843</v>
      </c>
      <c r="AW37" s="12">
        <f t="shared" si="17"/>
        <v>5.8053737992482146E-2</v>
      </c>
      <c r="AX37" s="81">
        <f ca="1">B37*H37*'Aerodynamics-Constants'!AK37/C37</f>
        <v>67631.106164812911</v>
      </c>
      <c r="AY37" s="10">
        <f ca="1">0.455/(LOG10(MIN(AX37,'Aerodynamics-Constants'!AQ37)))^2.58</f>
        <v>7.8233690285852368E-3</v>
      </c>
      <c r="AZ37" s="15">
        <f ca="1">AY37*'Aerodynamics-Constants'!AS37*'Aerodynamics-Constants'!AT37*'Aerodynamics-Constants'!AO37/S37</f>
        <v>2.1761616052485114E-2</v>
      </c>
      <c r="BA37" s="81">
        <f ca="1">B37*H37*'Aerodynamics-Constants'!N37/C37</f>
        <v>2337543.0102757164</v>
      </c>
      <c r="BB37" s="10">
        <f ca="1">0.455/(LOG10(MIN(BA37,'Aerodynamics-Constants'!V37)))^2.58</f>
        <v>3.8330975008195895E-3</v>
      </c>
      <c r="BC37" s="10">
        <f ca="1">BB37*'Aerodynamics-Constants'!W37*'Aerodynamics-Constants'!X37*'Aerodynamics-Constants'!S37/N37+'Aerodynamics-Constants'!Z37</f>
        <v>1.9986850219715245E-3</v>
      </c>
      <c r="BD37" s="15">
        <f ca="1">BC37*'Aerodynamics-Constants'!AU37+(AJ37+AS37+AZ37)*('Aerodynamics-Constants'!AU37-1)</f>
        <v>7.2049587264439111E-3</v>
      </c>
      <c r="BE37" s="16">
        <f t="shared" ca="1" si="18"/>
        <v>0.87900918173965281</v>
      </c>
      <c r="BF37" s="10">
        <f t="shared" ca="1" si="19"/>
        <v>1.7540092808050481E-2</v>
      </c>
      <c r="BG37" s="10">
        <f t="shared" ca="1" si="20"/>
        <v>2.8269114975292466E-2</v>
      </c>
      <c r="BH37" s="10">
        <f t="shared" ca="1" si="21"/>
        <v>4.5809207783342951E-2</v>
      </c>
      <c r="BI37" s="13">
        <f t="shared" ca="1" si="22"/>
        <v>131.79789717184198</v>
      </c>
      <c r="BJ37" s="13">
        <f t="shared" ca="1" si="23"/>
        <v>6.8685940743003489</v>
      </c>
      <c r="BK37" s="13">
        <f t="shared" ca="1" si="24"/>
        <v>19.18848249672801</v>
      </c>
      <c r="BL37" s="14">
        <f t="shared" ca="1" si="25"/>
        <v>152.58997238675801</v>
      </c>
      <c r="BO37" s="16">
        <f ca="1">'Airfoil-RC'!J37</f>
        <v>5.2687042043443979</v>
      </c>
      <c r="BP37" s="1">
        <f ca="1">BO37/(1+BO37/(PI()*'Aerodynamics-Constants'!I37)*(1+AB37))</f>
        <v>4.4641324182521096</v>
      </c>
      <c r="BR37" s="12">
        <v>6</v>
      </c>
      <c r="BS37" s="1">
        <f t="shared" si="26"/>
        <v>4.0111960541300551</v>
      </c>
      <c r="BT37" s="1">
        <f>Stability!W37</f>
        <v>2.8363439305440838</v>
      </c>
      <c r="BV37" s="12">
        <v>6</v>
      </c>
      <c r="BW37" s="1">
        <f t="shared" si="27"/>
        <v>4.0334992312104214</v>
      </c>
      <c r="BX37" s="1">
        <f>Stability!Y37</f>
        <v>2.8521146582996155</v>
      </c>
    </row>
    <row r="38" spans="2:76">
      <c r="B38" s="16">
        <f>'RC'!F38</f>
        <v>0.65969672852566186</v>
      </c>
      <c r="C38" s="74">
        <f>'Airfoil-RC'!E38</f>
        <v>1.5987591530356481E-5</v>
      </c>
      <c r="E38" s="19">
        <f ca="1">'RC'!H38</f>
        <v>131.90942506193599</v>
      </c>
      <c r="F38" s="63">
        <f>Weight!G38</f>
        <v>0.3</v>
      </c>
      <c r="H38" s="20">
        <f t="shared" ca="1" si="28"/>
        <v>21.91391388927908</v>
      </c>
      <c r="I38" s="20">
        <f t="shared" ca="1" si="0"/>
        <v>17.231603717765182</v>
      </c>
      <c r="J38" s="20">
        <f t="shared" ca="1" si="1"/>
        <v>1.2717280555080661</v>
      </c>
      <c r="L38" s="31">
        <f>Main!B38</f>
        <v>0.33333333333333326</v>
      </c>
      <c r="M38" s="31">
        <f>Main!C38</f>
        <v>2.8421052631578951</v>
      </c>
      <c r="N38" s="1">
        <f t="shared" si="2"/>
        <v>0.94736842105263153</v>
      </c>
      <c r="O38" s="1">
        <f t="shared" si="3"/>
        <v>8.5263157894736867</v>
      </c>
      <c r="P38" s="16">
        <f ca="1">'Aerodynamics-Constants'!AC38</f>
        <v>5.6028368192781342E-2</v>
      </c>
      <c r="Q38" s="16">
        <f>'Aerodynamics-Constants'!AD38</f>
        <v>4.2631578947368434</v>
      </c>
      <c r="R38" s="63">
        <f>Stability!G38</f>
        <v>5.6500000000000012</v>
      </c>
      <c r="S38" s="16">
        <f ca="1">'Aerodynamics-Constants'!AM38</f>
        <v>2.3634030155455236E-2</v>
      </c>
      <c r="T38" s="16">
        <f>'Aerodynamics-Constants'!AN38</f>
        <v>4.2631578947368434</v>
      </c>
      <c r="V38" s="81">
        <f t="shared" ca="1" si="4"/>
        <v>301411.61401121784</v>
      </c>
      <c r="W38" s="63">
        <f ca="1">'Aerodynamics-Cruise'!W38</f>
        <v>0.9</v>
      </c>
      <c r="X38" s="42">
        <f ca="1">'Airfoil-RC'!V38</f>
        <v>8.7273869110982161E-3</v>
      </c>
      <c r="Y38" s="14">
        <f t="shared" ca="1" si="5"/>
        <v>103.12365077518352</v>
      </c>
      <c r="Z38" s="16">
        <f ca="1">'Airfoil-RC'!AF38</f>
        <v>-0.15499999999999906</v>
      </c>
      <c r="AA38" s="31">
        <f>Main!I38</f>
        <v>1.1160064675431407</v>
      </c>
      <c r="AB38" s="12">
        <f t="shared" si="6"/>
        <v>-0.10394784521144029</v>
      </c>
      <c r="AC38" s="30">
        <f t="shared" ca="1" si="7"/>
        <v>1.7242112174423909</v>
      </c>
      <c r="AD38" s="13">
        <f t="shared" ca="1" si="8"/>
        <v>1.7242112174423909</v>
      </c>
      <c r="AE38" s="13">
        <f ca="1">DEGREES(AF38/BP38)+'Airfoil-RC'!K38</f>
        <v>3.1670306396449472</v>
      </c>
      <c r="AF38" s="1">
        <f t="shared" ca="1" si="9"/>
        <v>0.89959251145336527</v>
      </c>
      <c r="AG38" s="16">
        <f ca="1">0.9*'Airfoil-RC'!I38</f>
        <v>1.4216450974493022</v>
      </c>
      <c r="AH38" s="42">
        <f ca="1">0.455/(LOG10(MIN(V38,'Aerodynamics-Constants'!L38)))^2.58</f>
        <v>5.6510522765290559E-3</v>
      </c>
      <c r="AI38" s="42">
        <f ca="1">+AH38*'Aerodynamics-Constants'!J38*'Aerodynamics-Constants'!M38</f>
        <v>0</v>
      </c>
      <c r="AJ38" s="10">
        <f ca="1">X38*COS(RADIANS(AC38))*'Aerodynamics-Constants'!M38+AI38</f>
        <v>8.7234354553111914E-3</v>
      </c>
      <c r="AK38" s="10">
        <f ca="1">AF38^2/(PI()*'Aerodynamics-Constants'!I38*AA38)</f>
        <v>2.7071583850620369E-2</v>
      </c>
      <c r="AL38" s="10">
        <f t="shared" ca="1" si="10"/>
        <v>3.5795019305931562E-2</v>
      </c>
      <c r="AM38" s="1">
        <f t="shared" ca="1" si="11"/>
        <v>-0.15499999999999906</v>
      </c>
      <c r="AN38" s="1">
        <f t="shared" ca="1" si="12"/>
        <v>-0.34772047705830811</v>
      </c>
      <c r="AO38" s="12">
        <f t="shared" si="29"/>
        <v>0.92529118240476216</v>
      </c>
      <c r="AP38" s="12">
        <f t="shared" si="13"/>
        <v>8.0740872728382929E-2</v>
      </c>
      <c r="AQ38" s="81">
        <f ca="1">B38*H38*'Aerodynamics-Constants'!AA38/C38</f>
        <v>103661.98369068732</v>
      </c>
      <c r="AR38" s="10">
        <f ca="1">0.455/(LOG10(MIN(AQ38,'Aerodynamics-Constants'!AG38)))^2.58</f>
        <v>7.0986207004393714E-3</v>
      </c>
      <c r="AS38" s="15">
        <f ca="1">AR38*'Aerodynamics-Constants'!AI38*'Aerodynamics-Constants'!AJ38*'Aerodynamics-Constants'!AE38/P38</f>
        <v>1.9745643803935439E-2</v>
      </c>
      <c r="AT38" s="10">
        <f t="shared" ca="1" si="14"/>
        <v>9.7566521017900341E-3</v>
      </c>
      <c r="AU38" s="10">
        <f t="shared" ca="1" si="15"/>
        <v>2.9502295905725472E-2</v>
      </c>
      <c r="AV38" s="12">
        <f t="shared" si="16"/>
        <v>0.94442105263157905</v>
      </c>
      <c r="AW38" s="12">
        <f t="shared" si="17"/>
        <v>5.884975479268828E-2</v>
      </c>
      <c r="AX38" s="81">
        <f ca="1">B38*H38*'Aerodynamics-Constants'!AK38/C38</f>
        <v>67326.249314450499</v>
      </c>
      <c r="AY38" s="10">
        <f ca="1">0.455/(LOG10(MIN(AX38,'Aerodynamics-Constants'!AQ38)))^2.58</f>
        <v>7.8315741220120246E-3</v>
      </c>
      <c r="AZ38" s="15">
        <f ca="1">AY38*'Aerodynamics-Constants'!AS38*'Aerodynamics-Constants'!AT38*'Aerodynamics-Constants'!AO38/S38</f>
        <v>2.17844394796015E-2</v>
      </c>
      <c r="BA38" s="81">
        <f ca="1">B38*H38*'Aerodynamics-Constants'!N38/C38</f>
        <v>2305798.8471858166</v>
      </c>
      <c r="BB38" s="10">
        <f ca="1">0.455/(LOG10(MIN(BA38,'Aerodynamics-Constants'!V38)))^2.58</f>
        <v>3.8423337208346809E-3</v>
      </c>
      <c r="BC38" s="10">
        <f ca="1">BB38*'Aerodynamics-Constants'!W38*'Aerodynamics-Constants'!X38*'Aerodynamics-Constants'!S38/N38+'Aerodynamics-Constants'!Z38</f>
        <v>1.9478443201332563E-3</v>
      </c>
      <c r="BD38" s="15">
        <f ca="1">BC38*'Aerodynamics-Constants'!AU38+(AJ38+AS38+AZ38)*('Aerodynamics-Constants'!AU38-1)</f>
        <v>7.1679806260313995E-3</v>
      </c>
      <c r="BE38" s="16">
        <f t="shared" ca="1" si="18"/>
        <v>0.87902795548563994</v>
      </c>
      <c r="BF38" s="10">
        <f t="shared" ca="1" si="19"/>
        <v>1.7602651398886421E-2</v>
      </c>
      <c r="BG38" s="10">
        <f t="shared" ca="1" si="20"/>
        <v>2.7648602552257668E-2</v>
      </c>
      <c r="BH38" s="10">
        <f t="shared" ca="1" si="21"/>
        <v>4.5251253951144085E-2</v>
      </c>
      <c r="BI38" s="13">
        <f t="shared" ca="1" si="22"/>
        <v>131.90942506193599</v>
      </c>
      <c r="BJ38" s="13">
        <f t="shared" ca="1" si="23"/>
        <v>6.7905313531573892</v>
      </c>
      <c r="BK38" s="13">
        <f t="shared" ca="1" si="24"/>
        <v>19.425493853378963</v>
      </c>
      <c r="BL38" s="14">
        <f t="shared" ca="1" si="25"/>
        <v>148.80711933554076</v>
      </c>
      <c r="BO38" s="16">
        <f ca="1">'Airfoil-RC'!J38</f>
        <v>5.2929903038098889</v>
      </c>
      <c r="BP38" s="1">
        <f ca="1">BO38/(1+BO38/(PI()*'Aerodynamics-Constants'!I38)*(1+AB38))</f>
        <v>4.4967847538679271</v>
      </c>
      <c r="BR38" s="12">
        <v>6</v>
      </c>
      <c r="BS38" s="1">
        <f t="shared" si="26"/>
        <v>4.0426828290456038</v>
      </c>
      <c r="BT38" s="1">
        <f>Stability!W38</f>
        <v>2.858608442604563</v>
      </c>
      <c r="BV38" s="12">
        <v>6</v>
      </c>
      <c r="BW38" s="1">
        <f t="shared" si="27"/>
        <v>4.0695737230182569</v>
      </c>
      <c r="BX38" s="1">
        <f>Stability!Y38</f>
        <v>2.8776231760847946</v>
      </c>
    </row>
    <row r="39" spans="2:76">
      <c r="B39" s="16">
        <f>'RC'!F39</f>
        <v>0.65969672852566186</v>
      </c>
      <c r="C39" s="74">
        <f>'Airfoil-RC'!E39</f>
        <v>1.5987591530356481E-5</v>
      </c>
      <c r="E39" s="19">
        <f ca="1">'RC'!H39</f>
        <v>132.04710507840423</v>
      </c>
      <c r="F39" s="63">
        <f>Weight!G39</f>
        <v>0.3</v>
      </c>
      <c r="H39" s="20">
        <f t="shared" ca="1" si="28"/>
        <v>21.626815672181614</v>
      </c>
      <c r="I39" s="20">
        <f t="shared" ca="1" si="0"/>
        <v>17.007576159570835</v>
      </c>
      <c r="J39" s="20">
        <f t="shared" ca="1" si="1"/>
        <v>1.2715989315156675</v>
      </c>
      <c r="L39" s="31">
        <f>Main!B39</f>
        <v>0.33333333333333326</v>
      </c>
      <c r="M39" s="31">
        <f>Main!C39</f>
        <v>2.9210526315789478</v>
      </c>
      <c r="N39" s="1">
        <f t="shared" si="2"/>
        <v>0.97368421052631571</v>
      </c>
      <c r="O39" s="1">
        <f t="shared" si="3"/>
        <v>8.763157894736846</v>
      </c>
      <c r="P39" s="16">
        <f ca="1">'Aerodynamics-Constants'!AC39</f>
        <v>5.7230970130204631E-2</v>
      </c>
      <c r="Q39" s="16">
        <f>'Aerodynamics-Constants'!AD39</f>
        <v>4.381578947368423</v>
      </c>
      <c r="R39" s="63">
        <f>Stability!G39</f>
        <v>5.6500000000000012</v>
      </c>
      <c r="S39" s="16">
        <f ca="1">'Aerodynamics-Constants'!AM39</f>
        <v>2.4734340811647802E-2</v>
      </c>
      <c r="T39" s="16">
        <f>'Aerodynamics-Constants'!AN39</f>
        <v>4.381578947368423</v>
      </c>
      <c r="V39" s="81">
        <f t="shared" ca="1" si="4"/>
        <v>297462.76500905823</v>
      </c>
      <c r="W39" s="63">
        <f ca="1">'Aerodynamics-Cruise'!W39</f>
        <v>0.9</v>
      </c>
      <c r="X39" s="42">
        <f ca="1">'Airfoil-RC'!V39</f>
        <v>8.8171746691044113E-3</v>
      </c>
      <c r="Y39" s="14">
        <f t="shared" ca="1" si="5"/>
        <v>102.07351377007663</v>
      </c>
      <c r="Z39" s="16">
        <f ca="1">'Airfoil-RC'!AF39</f>
        <v>-0.15499999999999906</v>
      </c>
      <c r="AA39" s="31">
        <f>Main!I39</f>
        <v>1.1095373430241193</v>
      </c>
      <c r="AB39" s="12">
        <f t="shared" si="6"/>
        <v>-9.8723439740719177E-2</v>
      </c>
      <c r="AC39" s="30">
        <f t="shared" ca="1" si="7"/>
        <v>1.6874244395727225</v>
      </c>
      <c r="AD39" s="13">
        <f t="shared" ca="1" si="8"/>
        <v>1.6874244395727225</v>
      </c>
      <c r="AE39" s="13">
        <f ca="1">DEGREES(AF39/BP39)+'Airfoil-RC'!K39</f>
        <v>3.1601666236910972</v>
      </c>
      <c r="AF39" s="1">
        <f t="shared" ca="1" si="9"/>
        <v>0.89960971260308598</v>
      </c>
      <c r="AG39" s="16">
        <f ca="1">0.9*'Airfoil-RC'!I39</f>
        <v>1.4213844942604157</v>
      </c>
      <c r="AH39" s="42">
        <f ca="1">0.455/(LOG10(MIN(V39,'Aerodynamics-Constants'!L39)))^2.58</f>
        <v>5.6663210300703579E-3</v>
      </c>
      <c r="AI39" s="42">
        <f ca="1">+AH39*'Aerodynamics-Constants'!J39*'Aerodynamics-Constants'!M39</f>
        <v>0</v>
      </c>
      <c r="AJ39" s="10">
        <f ca="1">X39*COS(RADIANS(AC39))*'Aerodynamics-Constants'!M39+AI39</f>
        <v>8.8133510778269208E-3</v>
      </c>
      <c r="AK39" s="10">
        <f ca="1">AF39^2/(PI()*'Aerodynamics-Constants'!I39*AA39)</f>
        <v>2.6494506716272712E-2</v>
      </c>
      <c r="AL39" s="10">
        <f t="shared" ca="1" si="10"/>
        <v>3.5307857794099631E-2</v>
      </c>
      <c r="AM39" s="1">
        <f t="shared" ca="1" si="11"/>
        <v>-0.15499999999999906</v>
      </c>
      <c r="AN39" s="1">
        <f t="shared" ca="1" si="12"/>
        <v>-0.34986698406091055</v>
      </c>
      <c r="AO39" s="12">
        <f t="shared" si="29"/>
        <v>0.92125337952389075</v>
      </c>
      <c r="AP39" s="12">
        <f t="shared" si="13"/>
        <v>8.5477700517968325E-2</v>
      </c>
      <c r="AQ39" s="81">
        <f ca="1">B39*H39*'Aerodynamics-Constants'!AA39/C39</f>
        <v>101989.17964025083</v>
      </c>
      <c r="AR39" s="10">
        <f ca="1">0.455/(LOG10(MIN(AQ39,'Aerodynamics-Constants'!AG39)))^2.58</f>
        <v>7.1244851325519979E-3</v>
      </c>
      <c r="AS39" s="15">
        <f ca="1">AR39*'Aerodynamics-Constants'!AI39*'Aerodynamics-Constants'!AJ39*'Aerodynamics-Constants'!AE39/P39</f>
        <v>1.9817588747219336E-2</v>
      </c>
      <c r="AT39" s="10">
        <f t="shared" ca="1" si="14"/>
        <v>9.652644564715266E-3</v>
      </c>
      <c r="AU39" s="10">
        <f t="shared" ca="1" si="15"/>
        <v>2.9470233311934602E-2</v>
      </c>
      <c r="AV39" s="12">
        <f t="shared" si="16"/>
        <v>0.94371052631578956</v>
      </c>
      <c r="AW39" s="12">
        <f t="shared" si="17"/>
        <v>5.9646970246228337E-2</v>
      </c>
      <c r="AX39" s="81">
        <f ca="1">B39*H39*'Aerodynamics-Constants'!AK39/C39</f>
        <v>67048.445750163883</v>
      </c>
      <c r="AY39" s="10">
        <f ca="1">0.455/(LOG10(MIN(AX39,'Aerodynamics-Constants'!AQ39)))^2.58</f>
        <v>7.8390939751816751E-3</v>
      </c>
      <c r="AZ39" s="15">
        <f ca="1">AY39*'Aerodynamics-Constants'!AS39*'Aerodynamics-Constants'!AT39*'Aerodynamics-Constants'!AO39/S39</f>
        <v>2.1805356830790105E-2</v>
      </c>
      <c r="BA39" s="81">
        <f ca="1">B39*H39*'Aerodynamics-Constants'!N39/C39</f>
        <v>2275590.1523192958</v>
      </c>
      <c r="BB39" s="10">
        <f ca="1">0.455/(LOG10(MIN(BA39,'Aerodynamics-Constants'!V39)))^2.58</f>
        <v>3.8512713143136509E-3</v>
      </c>
      <c r="BC39" s="10">
        <f ca="1">BB39*'Aerodynamics-Constants'!W39*'Aerodynamics-Constants'!X39*'Aerodynamics-Constants'!S39/N39+'Aerodynamics-Constants'!Z39</f>
        <v>1.8996045922574274E-3</v>
      </c>
      <c r="BD39" s="15">
        <f ca="1">BC39*'Aerodynamics-Constants'!AU39+(AJ39+AS39+AZ39)*('Aerodynamics-Constants'!AU39-1)</f>
        <v>7.1331947170668111E-3</v>
      </c>
      <c r="BE39" s="16">
        <f t="shared" ca="1" si="18"/>
        <v>0.87904531739376923</v>
      </c>
      <c r="BF39" s="10">
        <f t="shared" ca="1" si="19"/>
        <v>1.7665297048046473E-2</v>
      </c>
      <c r="BG39" s="10">
        <f t="shared" ca="1" si="20"/>
        <v>2.7061867475324245E-2</v>
      </c>
      <c r="BH39" s="10">
        <f t="shared" ca="1" si="21"/>
        <v>4.4727164523370715E-2</v>
      </c>
      <c r="BI39" s="13">
        <f t="shared" ca="1" si="22"/>
        <v>132.04710507840423</v>
      </c>
      <c r="BJ39" s="13">
        <f t="shared" ca="1" si="23"/>
        <v>6.7187578123813232</v>
      </c>
      <c r="BK39" s="13">
        <f t="shared" ca="1" si="24"/>
        <v>19.653499763761076</v>
      </c>
      <c r="BL39" s="14">
        <f t="shared" ca="1" si="25"/>
        <v>145.30533675440105</v>
      </c>
      <c r="BO39" s="16">
        <f ca="1">'Airfoil-RC'!J39</f>
        <v>5.3165202356346235</v>
      </c>
      <c r="BP39" s="1">
        <f ca="1">BO39/(1+BO39/(PI()*'Aerodynamics-Constants'!I39)*(1+AB39))</f>
        <v>4.5283577376795465</v>
      </c>
      <c r="BR39" s="12">
        <v>6</v>
      </c>
      <c r="BS39" s="1">
        <f t="shared" si="26"/>
        <v>4.07292669268785</v>
      </c>
      <c r="BT39" s="1">
        <f>Stability!W39</f>
        <v>2.8799940836752764</v>
      </c>
      <c r="BV39" s="12">
        <v>6</v>
      </c>
      <c r="BW39" s="1">
        <f t="shared" si="27"/>
        <v>4.1042957459386722</v>
      </c>
      <c r="BX39" s="1">
        <f>Stability!Y39</f>
        <v>2.9021753539483348</v>
      </c>
    </row>
    <row r="40" spans="2:76">
      <c r="B40" s="16">
        <f>'RC'!F40</f>
        <v>0.65969672852566186</v>
      </c>
      <c r="C40" s="74">
        <f>'Airfoil-RC'!E40</f>
        <v>1.5987591530356481E-5</v>
      </c>
      <c r="E40" s="19">
        <f ca="1">'RC'!H40</f>
        <v>109.48016672982719</v>
      </c>
      <c r="F40" s="63">
        <f>Weight!G40</f>
        <v>0.3</v>
      </c>
      <c r="H40" s="20">
        <f t="shared" ca="1" si="28"/>
        <v>19.43125944445308</v>
      </c>
      <c r="I40" s="20">
        <f t="shared" ca="1" si="0"/>
        <v>15.292476722185658</v>
      </c>
      <c r="J40" s="20">
        <f t="shared" ca="1" si="1"/>
        <v>1.2706417539457855</v>
      </c>
      <c r="L40" s="31">
        <f>Main!B40</f>
        <v>0.33333333333333326</v>
      </c>
      <c r="M40" s="31">
        <f>Main!C40</f>
        <v>3</v>
      </c>
      <c r="N40" s="1">
        <f t="shared" si="2"/>
        <v>0.99999999999999978</v>
      </c>
      <c r="O40" s="1">
        <f t="shared" si="3"/>
        <v>9.0000000000000018</v>
      </c>
      <c r="P40" s="16">
        <f ca="1">'Aerodynamics-Constants'!AC40</f>
        <v>6.0005710882722572E-2</v>
      </c>
      <c r="Q40" s="16">
        <f>'Aerodynamics-Constants'!AD40</f>
        <v>4.5000000000000009</v>
      </c>
      <c r="R40" s="63">
        <f>Stability!G40</f>
        <v>5.6500000000000012</v>
      </c>
      <c r="S40" s="16">
        <f ca="1">'Aerodynamics-Constants'!AM40</f>
        <v>2.5861490283211861E-2</v>
      </c>
      <c r="T40" s="16">
        <f>'Aerodynamics-Constants'!AN40</f>
        <v>4.5000000000000009</v>
      </c>
      <c r="V40" s="81">
        <f t="shared" ca="1" si="4"/>
        <v>267264.31896260404</v>
      </c>
      <c r="W40" s="63">
        <f ca="1">'Aerodynamics-Cruise'!W40</f>
        <v>0.9</v>
      </c>
      <c r="X40" s="42">
        <f ca="1">'Airfoil-RC'!V40</f>
        <v>9.5809030225815148E-3</v>
      </c>
      <c r="Y40" s="14">
        <f t="shared" ca="1" si="5"/>
        <v>93.936865646042264</v>
      </c>
      <c r="Z40" s="16">
        <f ca="1">'Airfoil-RC'!AF40</f>
        <v>-0.15499999999999919</v>
      </c>
      <c r="AA40" s="31">
        <f>Main!I40</f>
        <v>1.1031239342794878</v>
      </c>
      <c r="AB40" s="12">
        <f t="shared" si="6"/>
        <v>-9.3483543484933929E-2</v>
      </c>
      <c r="AC40" s="30">
        <f t="shared" ca="1" si="7"/>
        <v>1.652600098867558</v>
      </c>
      <c r="AD40" s="13">
        <f t="shared" ca="1" si="8"/>
        <v>1.652600098867558</v>
      </c>
      <c r="AE40" s="13">
        <f ca="1">DEGREES(AF40/BP40)+'Airfoil-RC'!K40</f>
        <v>3.3506903618113153</v>
      </c>
      <c r="AF40" s="1">
        <f t="shared" ca="1" si="9"/>
        <v>0.89962565443801656</v>
      </c>
      <c r="AG40" s="16">
        <f ca="1">0.9*'Airfoil-RC'!I40</f>
        <v>1.4192712262506735</v>
      </c>
      <c r="AH40" s="42">
        <f ca="1">0.455/(LOG10(MIN(V40,'Aerodynamics-Constants'!L40)))^2.58</f>
        <v>5.79240929907417E-3</v>
      </c>
      <c r="AI40" s="42">
        <f ca="1">+AH40*'Aerodynamics-Constants'!J40*'Aerodynamics-Constants'!M40</f>
        <v>0</v>
      </c>
      <c r="AJ40" s="10">
        <f ca="1">X40*COS(RADIANS(AC40))*'Aerodynamics-Constants'!M40+AI40</f>
        <v>9.5769179464411849E-3</v>
      </c>
      <c r="AK40" s="10">
        <f ca="1">AF40^2/(PI()*'Aerodynamics-Constants'!I40*AA40)</f>
        <v>2.5948184283426934E-2</v>
      </c>
      <c r="AL40" s="10">
        <f t="shared" ca="1" si="10"/>
        <v>3.552510222986812E-2</v>
      </c>
      <c r="AM40" s="1">
        <f t="shared" ca="1" si="11"/>
        <v>-0.15499999999999919</v>
      </c>
      <c r="AN40" s="1">
        <f t="shared" ca="1" si="12"/>
        <v>-0.3427048178863647</v>
      </c>
      <c r="AO40" s="12">
        <f>MAX(0,(1.78*(1-0.045*Q40^0.68)-0.64))*1</f>
        <v>0.9172503524946326</v>
      </c>
      <c r="AP40" s="12">
        <f t="shared" si="13"/>
        <v>9.0214898561024714E-2</v>
      </c>
      <c r="AQ40" s="81">
        <f ca="1">B40*H40*'Aerodynamics-Constants'!AA40/C40</f>
        <v>92587.48257053984</v>
      </c>
      <c r="AR40" s="10">
        <f ca="1">0.455/(LOG10(MIN(AQ40,'Aerodynamics-Constants'!AG40)))^2.58</f>
        <v>7.280973798278691E-3</v>
      </c>
      <c r="AS40" s="15">
        <f ca="1">AR40*'Aerodynamics-Constants'!AI40*'Aerodynamics-Constants'!AJ40*'Aerodynamics-Constants'!AE40/P40</f>
        <v>2.0252880275417363E-2</v>
      </c>
      <c r="AT40" s="10">
        <f t="shared" ca="1" si="14"/>
        <v>9.057120506349681E-3</v>
      </c>
      <c r="AU40" s="10">
        <f t="shared" ca="1" si="15"/>
        <v>2.9310000781767043E-2</v>
      </c>
      <c r="AV40" s="12">
        <f t="shared" si="16"/>
        <v>0.94300000000000006</v>
      </c>
      <c r="AW40" s="12">
        <f t="shared" si="17"/>
        <v>6.0445387062566303E-2</v>
      </c>
      <c r="AX40" s="81">
        <f ca="1">B40*H40*'Aerodynamics-Constants'!AK40/C40</f>
        <v>60783.087153237779</v>
      </c>
      <c r="AY40" s="10">
        <f ca="1">0.455/(LOG10(MIN(AX40,'Aerodynamics-Constants'!AQ40)))^2.58</f>
        <v>8.0204929006890725E-3</v>
      </c>
      <c r="AZ40" s="15">
        <f ca="1">AY40*'Aerodynamics-Constants'!AS40*'Aerodynamics-Constants'!AT40*'Aerodynamics-Constants'!AO40/S40</f>
        <v>2.2309939160321247E-2</v>
      </c>
      <c r="BA40" s="81">
        <f ca="1">B40*H40*'Aerodynamics-Constants'!N40/C40</f>
        <v>2044572.0400639211</v>
      </c>
      <c r="BB40" s="10">
        <f ca="1">0.455/(LOG10(MIN(BA40,'Aerodynamics-Constants'!V40)))^2.58</f>
        <v>3.9249007798347058E-3</v>
      </c>
      <c r="BC40" s="10">
        <f ca="1">BB40*'Aerodynamics-Constants'!W40*'Aerodynamics-Constants'!X40*'Aerodynamics-Constants'!S40/N40+'Aerodynamics-Constants'!Z40</f>
        <v>1.8849468832736322E-3</v>
      </c>
      <c r="BD40" s="15">
        <f ca="1">BC40*'Aerodynamics-Constants'!AU40+(AJ40+AS40+AZ40)*('Aerodynamics-Constants'!AU40-1)</f>
        <v>7.2874153098189797E-3</v>
      </c>
      <c r="BE40" s="16">
        <f t="shared" ca="1" si="18"/>
        <v>0.87906140821781131</v>
      </c>
      <c r="BF40" s="10">
        <f t="shared" ca="1" si="19"/>
        <v>1.8656590009422949E-2</v>
      </c>
      <c r="BG40" s="10">
        <f t="shared" ca="1" si="20"/>
        <v>2.6491663237960931E-2</v>
      </c>
      <c r="BH40" s="10">
        <f t="shared" ca="1" si="21"/>
        <v>4.5148253247383884E-2</v>
      </c>
      <c r="BI40" s="13">
        <f t="shared" ca="1" si="22"/>
        <v>109.48016672982715</v>
      </c>
      <c r="BJ40" s="13">
        <f t="shared" ca="1" si="23"/>
        <v>5.6228589344003206</v>
      </c>
      <c r="BK40" s="13">
        <f t="shared" ca="1" si="24"/>
        <v>19.470551903771572</v>
      </c>
      <c r="BL40" s="14">
        <f t="shared" ca="1" si="25"/>
        <v>109.25923077389361</v>
      </c>
      <c r="BO40" s="16">
        <f ca="1">'Airfoil-RC'!J40</f>
        <v>5.5113977821917333</v>
      </c>
      <c r="BP40" s="1">
        <f ca="1">BO40/(1+BO40/(PI()*'Aerodynamics-Constants'!I40)*(1+AB40))</f>
        <v>4.6837609837535341</v>
      </c>
      <c r="BR40" s="12">
        <v>6</v>
      </c>
      <c r="BS40" s="1">
        <f t="shared" si="26"/>
        <v>4.101998731574878</v>
      </c>
      <c r="BT40" s="1">
        <f>Stability!W40</f>
        <v>2.9005511195152129</v>
      </c>
      <c r="BV40" s="12">
        <v>6</v>
      </c>
      <c r="BW40" s="1">
        <f t="shared" si="27"/>
        <v>4.1377398406157262</v>
      </c>
      <c r="BX40" s="1">
        <f>Stability!Y40</f>
        <v>2.9258239000851245</v>
      </c>
    </row>
    <row r="42" spans="2:76">
      <c r="D42" s="4"/>
    </row>
    <row r="44" spans="2:76">
      <c r="I44" s="14"/>
      <c r="M44" s="1"/>
      <c r="N44" s="1"/>
      <c r="O44" s="1"/>
      <c r="P44" s="1"/>
    </row>
    <row r="45" spans="2:76">
      <c r="I45" s="14"/>
    </row>
    <row r="46" spans="2:76">
      <c r="I46" s="14"/>
    </row>
    <row r="47" spans="2:76">
      <c r="I47" s="14"/>
    </row>
    <row r="48" spans="2:76">
      <c r="I48" s="14"/>
    </row>
    <row r="49" spans="9:9">
      <c r="I49" s="14"/>
    </row>
    <row r="50" spans="9:9">
      <c r="I50" s="14"/>
    </row>
    <row r="51" spans="9:9">
      <c r="I51" s="14"/>
    </row>
    <row r="52" spans="9:9">
      <c r="I52" s="14"/>
    </row>
    <row r="53" spans="9:9">
      <c r="I53" s="14"/>
    </row>
    <row r="54" spans="9:9">
      <c r="I54" s="14"/>
    </row>
    <row r="55" spans="9:9">
      <c r="I55" s="14"/>
    </row>
    <row r="56" spans="9:9">
      <c r="I56" s="14"/>
    </row>
    <row r="57" spans="9:9">
      <c r="I57" s="14"/>
    </row>
    <row r="58" spans="9:9">
      <c r="I58" s="14"/>
    </row>
    <row r="59" spans="9:9">
      <c r="I59" s="14"/>
    </row>
    <row r="60" spans="9:9">
      <c r="I60" s="14"/>
    </row>
    <row r="61" spans="9:9">
      <c r="I61" s="14"/>
    </row>
    <row r="62" spans="9:9">
      <c r="I62" s="14"/>
    </row>
    <row r="63" spans="9:9">
      <c r="I63" s="14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BX63"/>
  <sheetViews>
    <sheetView topLeftCell="S1" zoomScale="90" workbookViewId="0">
      <selection activeCell="AO21" sqref="AO21:AO40"/>
    </sheetView>
  </sheetViews>
  <sheetFormatPr defaultRowHeight="12.75"/>
  <cols>
    <col min="23" max="23" width="9.5703125" bestFit="1" customWidth="1"/>
    <col min="47" max="47" width="9.42578125" customWidth="1"/>
    <col min="53" max="53" width="9.5703125" bestFit="1" customWidth="1"/>
    <col min="54" max="54" width="9.5703125" customWidth="1"/>
  </cols>
  <sheetData>
    <row r="1" spans="1:74">
      <c r="A1" s="17" t="s">
        <v>438</v>
      </c>
    </row>
    <row r="3" spans="1:74">
      <c r="A3" t="s">
        <v>270</v>
      </c>
    </row>
    <row r="4" spans="1:74">
      <c r="A4" s="17"/>
    </row>
    <row r="5" spans="1:74">
      <c r="A5" t="s">
        <v>367</v>
      </c>
      <c r="F5" s="6"/>
      <c r="G5" s="6"/>
      <c r="H5" s="6"/>
    </row>
    <row r="6" spans="1:74">
      <c r="A6" s="3" t="s">
        <v>48</v>
      </c>
      <c r="B6" s="16">
        <f>'Aerodynamics-Takeoff'!B6</f>
        <v>0.25</v>
      </c>
      <c r="E6" s="16"/>
      <c r="F6" s="6"/>
      <c r="G6" s="16"/>
      <c r="H6" s="6"/>
    </row>
    <row r="7" spans="1:74">
      <c r="A7" s="17"/>
    </row>
    <row r="8" spans="1:74">
      <c r="A8" s="17"/>
    </row>
    <row r="9" spans="1:74">
      <c r="A9" s="17"/>
    </row>
    <row r="15" spans="1:74">
      <c r="B15" t="s">
        <v>273</v>
      </c>
      <c r="E15" t="s">
        <v>277</v>
      </c>
      <c r="H15" t="s">
        <v>286</v>
      </c>
      <c r="L15" t="s">
        <v>279</v>
      </c>
      <c r="V15" t="s">
        <v>278</v>
      </c>
    </row>
    <row r="16" spans="1:74">
      <c r="L16" t="s">
        <v>367</v>
      </c>
      <c r="P16" t="s">
        <v>44</v>
      </c>
      <c r="S16" t="s">
        <v>46</v>
      </c>
      <c r="V16" t="s">
        <v>367</v>
      </c>
      <c r="AN16" t="s">
        <v>44</v>
      </c>
      <c r="AV16" t="s">
        <v>46</v>
      </c>
      <c r="BA16" t="s">
        <v>393</v>
      </c>
      <c r="BE16" t="s">
        <v>391</v>
      </c>
      <c r="BH16" s="10"/>
      <c r="BO16" t="s">
        <v>367</v>
      </c>
      <c r="BR16" t="s">
        <v>44</v>
      </c>
      <c r="BV16" t="s">
        <v>46</v>
      </c>
    </row>
    <row r="18" spans="2:76">
      <c r="B18" s="9" t="s">
        <v>29</v>
      </c>
      <c r="C18" s="9" t="s">
        <v>31</v>
      </c>
      <c r="E18" s="9" t="s">
        <v>34</v>
      </c>
      <c r="F18" s="9" t="s">
        <v>139</v>
      </c>
      <c r="H18" s="9" t="s">
        <v>40</v>
      </c>
      <c r="I18" s="9" t="s">
        <v>198</v>
      </c>
      <c r="J18" s="9" t="s">
        <v>199</v>
      </c>
      <c r="L18" s="9" t="s">
        <v>281</v>
      </c>
      <c r="M18" s="9" t="s">
        <v>280</v>
      </c>
      <c r="N18" s="9" t="s">
        <v>282</v>
      </c>
      <c r="O18" s="9" t="s">
        <v>100</v>
      </c>
      <c r="P18" s="9" t="s">
        <v>45</v>
      </c>
      <c r="Q18" s="9" t="s">
        <v>69</v>
      </c>
      <c r="R18" s="9" t="s">
        <v>49</v>
      </c>
      <c r="S18" s="9" t="s">
        <v>47</v>
      </c>
      <c r="T18" s="9" t="s">
        <v>173</v>
      </c>
      <c r="V18" s="9" t="s">
        <v>50</v>
      </c>
      <c r="W18" s="9" t="s">
        <v>52</v>
      </c>
      <c r="X18" s="9" t="s">
        <v>51</v>
      </c>
      <c r="Y18" s="9" t="s">
        <v>246</v>
      </c>
      <c r="Z18" s="9" t="s">
        <v>53</v>
      </c>
      <c r="AA18" s="9" t="s">
        <v>62</v>
      </c>
      <c r="AB18" s="9" t="s">
        <v>63</v>
      </c>
      <c r="AC18" s="9" t="s">
        <v>369</v>
      </c>
      <c r="AD18" s="9" t="s">
        <v>370</v>
      </c>
      <c r="AE18" s="9" t="s">
        <v>378</v>
      </c>
      <c r="AF18" s="9" t="s">
        <v>60</v>
      </c>
      <c r="AG18" s="9" t="s">
        <v>192</v>
      </c>
      <c r="AH18" s="47" t="s">
        <v>483</v>
      </c>
      <c r="AI18" s="47" t="s">
        <v>485</v>
      </c>
      <c r="AJ18" s="9" t="s">
        <v>65</v>
      </c>
      <c r="AK18" s="9" t="s">
        <v>61</v>
      </c>
      <c r="AL18" s="9" t="s">
        <v>67</v>
      </c>
      <c r="AM18" s="9" t="s">
        <v>66</v>
      </c>
      <c r="AN18" s="9" t="s">
        <v>64</v>
      </c>
      <c r="AO18" s="9" t="s">
        <v>68</v>
      </c>
      <c r="AP18" s="9" t="s">
        <v>167</v>
      </c>
      <c r="AQ18" s="9" t="s">
        <v>50</v>
      </c>
      <c r="AR18" s="9" t="s">
        <v>411</v>
      </c>
      <c r="AS18" s="9" t="s">
        <v>71</v>
      </c>
      <c r="AT18" s="9" t="s">
        <v>70</v>
      </c>
      <c r="AU18" s="9" t="s">
        <v>148</v>
      </c>
      <c r="AV18" s="9" t="s">
        <v>174</v>
      </c>
      <c r="AW18" s="9" t="s">
        <v>175</v>
      </c>
      <c r="AX18" s="9" t="s">
        <v>50</v>
      </c>
      <c r="AY18" s="9" t="s">
        <v>411</v>
      </c>
      <c r="AZ18" s="9" t="s">
        <v>72</v>
      </c>
      <c r="BA18" s="9" t="s">
        <v>50</v>
      </c>
      <c r="BB18" s="9" t="s">
        <v>406</v>
      </c>
      <c r="BC18" s="9" t="s">
        <v>410</v>
      </c>
      <c r="BD18" s="9" t="s">
        <v>73</v>
      </c>
      <c r="BE18" s="9" t="s">
        <v>54</v>
      </c>
      <c r="BF18" s="9" t="s">
        <v>149</v>
      </c>
      <c r="BG18" s="9" t="s">
        <v>150</v>
      </c>
      <c r="BH18" s="9" t="s">
        <v>55</v>
      </c>
      <c r="BI18" s="9" t="s">
        <v>56</v>
      </c>
      <c r="BJ18" s="9" t="s">
        <v>57</v>
      </c>
      <c r="BK18" s="9" t="s">
        <v>58</v>
      </c>
      <c r="BL18" s="9" t="s">
        <v>59</v>
      </c>
      <c r="BM18" s="9" t="s">
        <v>304</v>
      </c>
      <c r="BO18" s="9" t="s">
        <v>163</v>
      </c>
      <c r="BP18" s="9" t="s">
        <v>8</v>
      </c>
      <c r="BR18" s="9" t="s">
        <v>164</v>
      </c>
      <c r="BS18" s="9" t="s">
        <v>165</v>
      </c>
      <c r="BT18" s="9" t="s">
        <v>166</v>
      </c>
      <c r="BV18" s="9" t="s">
        <v>170</v>
      </c>
      <c r="BW18" s="9" t="s">
        <v>171</v>
      </c>
      <c r="BX18" s="9" t="s">
        <v>172</v>
      </c>
    </row>
    <row r="19" spans="2:76">
      <c r="B19" s="9" t="s">
        <v>30</v>
      </c>
      <c r="C19" s="9" t="s">
        <v>32</v>
      </c>
      <c r="E19" s="9" t="s">
        <v>35</v>
      </c>
      <c r="H19" s="9" t="s">
        <v>1</v>
      </c>
      <c r="I19" s="9" t="s">
        <v>1</v>
      </c>
      <c r="J19" s="9"/>
      <c r="L19" s="9" t="s">
        <v>4</v>
      </c>
      <c r="M19" s="9" t="s">
        <v>4</v>
      </c>
      <c r="N19" s="9" t="s">
        <v>43</v>
      </c>
      <c r="P19" s="9" t="s">
        <v>43</v>
      </c>
      <c r="S19" s="9" t="s">
        <v>43</v>
      </c>
      <c r="T19" s="9"/>
      <c r="AC19" s="9" t="s">
        <v>303</v>
      </c>
      <c r="AD19" s="9" t="s">
        <v>303</v>
      </c>
      <c r="AE19" s="9" t="s">
        <v>303</v>
      </c>
      <c r="BI19" s="9" t="s">
        <v>35</v>
      </c>
      <c r="BJ19" s="9" t="s">
        <v>35</v>
      </c>
      <c r="BK19" s="9"/>
      <c r="BL19" s="9" t="s">
        <v>34</v>
      </c>
      <c r="BO19" s="9" t="s">
        <v>162</v>
      </c>
      <c r="BP19" s="9" t="s">
        <v>162</v>
      </c>
      <c r="BR19" s="9" t="s">
        <v>162</v>
      </c>
      <c r="BS19" s="9" t="s">
        <v>162</v>
      </c>
      <c r="BT19" s="9" t="s">
        <v>162</v>
      </c>
      <c r="BV19" s="9" t="s">
        <v>162</v>
      </c>
      <c r="BW19" s="9" t="s">
        <v>162</v>
      </c>
      <c r="BX19" s="9" t="s">
        <v>162</v>
      </c>
    </row>
    <row r="21" spans="2:76">
      <c r="B21" s="16">
        <f>Turn!F21</f>
        <v>0.65969672852566186</v>
      </c>
      <c r="C21" s="74">
        <f>'Airfoil-Turn'!E21</f>
        <v>1.5987591530356481E-5</v>
      </c>
      <c r="E21" s="19">
        <f ca="1">Turn!H21</f>
        <v>129.6027712490764</v>
      </c>
      <c r="F21" s="63">
        <f>Weight!G21</f>
        <v>0.3</v>
      </c>
      <c r="H21" s="20">
        <f ca="1">'Aerodynamics-Cruise'!H21</f>
        <v>29.912886947189744</v>
      </c>
      <c r="I21" s="20">
        <f ca="1">SQRT(E21/(0.5*B21*N21*AG21))</f>
        <v>23.460111671375373</v>
      </c>
      <c r="J21" s="20">
        <f t="shared" ref="J21:J40" ca="1" si="0">H21/I21</f>
        <v>1.2750530503095456</v>
      </c>
      <c r="L21" s="31">
        <f>Main!B21</f>
        <v>0.33333333333333326</v>
      </c>
      <c r="M21" s="31">
        <f>Main!C21</f>
        <v>1.5</v>
      </c>
      <c r="N21" s="1">
        <f t="shared" ref="N21:N40" si="1">L21*M21</f>
        <v>0.49999999999999989</v>
      </c>
      <c r="O21" s="1">
        <f t="shared" ref="O21:O40" si="2">M21^2/N21</f>
        <v>4.5000000000000009</v>
      </c>
      <c r="P21" s="16">
        <f ca="1">'Aerodynamics-Constants'!AC21</f>
        <v>3.5563162306008866E-2</v>
      </c>
      <c r="Q21" s="16">
        <f>'Aerodynamics-Constants'!AD21</f>
        <v>2.2500000000000004</v>
      </c>
      <c r="R21" s="63">
        <f>Stability!G21</f>
        <v>5.6500000000000012</v>
      </c>
      <c r="S21" s="16">
        <f ca="1">'Aerodynamics-Constants'!AM21</f>
        <v>9.1507568586259112E-3</v>
      </c>
      <c r="T21" s="16">
        <f>'Aerodynamics-Constants'!AN21</f>
        <v>2.2500000000000004</v>
      </c>
      <c r="V21" s="81">
        <f t="shared" ref="V21:V40" ca="1" si="3">B21*H21*L21/C21</f>
        <v>411432.27905529388</v>
      </c>
      <c r="W21" s="63">
        <f ca="1">'Aerodynamics-Cruise'!W21*Turn!$B$9</f>
        <v>1.0392304845413263</v>
      </c>
      <c r="X21" s="42">
        <f ca="1">'Airfoil-Turn'!V21</f>
        <v>8.0190047455799204E-3</v>
      </c>
      <c r="Y21" s="14">
        <f t="shared" ref="Y21:Y40" ca="1" si="4">W21/X21</f>
        <v>129.59594332627756</v>
      </c>
      <c r="Z21" s="16">
        <f ca="1">'Airfoil-Turn'!AF21</f>
        <v>-0.15499999999999875</v>
      </c>
      <c r="AA21" s="31">
        <f>Main!I21</f>
        <v>1.2372503524946326</v>
      </c>
      <c r="AB21" s="12">
        <f t="shared" ref="AB21:AB40" si="5">1/AA21-1</f>
        <v>-0.19175614055495838</v>
      </c>
      <c r="AC21" s="30">
        <f t="shared" ref="AC21:AC40" ca="1" si="6">IF(ISERROR(AD21),1,AD21)</f>
        <v>3.3982101809083343</v>
      </c>
      <c r="AD21" s="13">
        <f t="shared" ref="AD21:AD40" ca="1" si="7">DEGREES(W21*COS(RADIANS(AC21))/(PI()*O21)*(1+AB21))</f>
        <v>3.3982101809083343</v>
      </c>
      <c r="AE21" s="13">
        <f ca="1">DEGREES(AF21/BP21)+'Airfoil-RCmax'!K21</f>
        <v>5.6529165415324982</v>
      </c>
      <c r="AF21" s="1">
        <f t="shared" ref="AF21:AF40" ca="1" si="8">W21*COS(RADIANS(AC21))</f>
        <v>1.0374031848614413</v>
      </c>
      <c r="AG21" s="16">
        <f ca="1">0.9*'Airfoil-Cruise'!I21</f>
        <v>1.4278079600608844</v>
      </c>
      <c r="AH21" s="42">
        <f ca="1">0.455/(LOG10(MIN(V21,'Aerodynamics-Constants'!L21)))^2.58</f>
        <v>5.3067549766409837E-3</v>
      </c>
      <c r="AI21" s="42">
        <f ca="1">+AH21*'Aerodynamics-Constants'!J21*'Aerodynamics-Constants'!M21</f>
        <v>0</v>
      </c>
      <c r="AJ21" s="10">
        <f ca="1">X21*COS(RADIANS(AC21))*'Aerodynamics-Constants'!M21+AI21</f>
        <v>8.0049047696625856E-3</v>
      </c>
      <c r="AK21" s="10">
        <f ca="1">AF21^2/(PI()*'Aerodynamics-Constants'!I21*AA21)</f>
        <v>6.1528337592439031E-2</v>
      </c>
      <c r="AL21" s="10">
        <f t="shared" ref="AL21:AL40" ca="1" si="9">AJ21+AK21</f>
        <v>6.9533242362101622E-2</v>
      </c>
      <c r="AM21" s="1">
        <f t="shared" ref="AM21:AM40" ca="1" si="10">Z21</f>
        <v>-0.15499999999999875</v>
      </c>
      <c r="AN21" s="1">
        <f t="shared" ref="AN21:AN40" ca="1" si="11">N21/(P21*(R21-F21))*(AM21+AF21*(F21-$B$6))</f>
        <v>-0.27101928651745927</v>
      </c>
      <c r="AO21" s="12">
        <f>MAX(0,(1.78*(1-0.045*Q21^0.68)-0.64))*1</f>
        <v>1.000967405130992</v>
      </c>
      <c r="AP21" s="12">
        <f t="shared" ref="AP21:AP40" si="12">1/AO21-1</f>
        <v>-9.6647016279760578E-4</v>
      </c>
      <c r="AQ21" s="81">
        <f ca="1">B21*H21*'Aerodynamics-Constants'!AA21/C21</f>
        <v>155177.42573145154</v>
      </c>
      <c r="AR21" s="10">
        <f ca="1">0.455/(LOG10(MIN(AQ21,'Aerodynamics-Constants'!AG21)))^2.58</f>
        <v>6.4968187644359786E-3</v>
      </c>
      <c r="AS21" s="15">
        <f ca="1">AR21*'Aerodynamics-Constants'!AI21*'Aerodynamics-Constants'!AJ21*'Aerodynamics-Constants'!AE21/P21</f>
        <v>1.8071661326169549E-2</v>
      </c>
      <c r="AT21" s="10">
        <f t="shared" ref="AT21:AT40" ca="1" si="13">AN21^2/(PI()*Q21*AO21)</f>
        <v>1.0381212209136091E-2</v>
      </c>
      <c r="AU21" s="10">
        <f t="shared" ref="AU21:AU40" ca="1" si="14">AS21+AT21</f>
        <v>2.845287353530564E-2</v>
      </c>
      <c r="AV21" s="12">
        <f t="shared" ref="AV21:AV40" si="15">MIN(1,MAX(0,(1.78*(1-0.045*T21^0.68)-0.64)))*0+0.9*0+(0.91+(0.85-0.91)/(20-10)*(T21-10))</f>
        <v>0.95650000000000013</v>
      </c>
      <c r="AW21" s="12">
        <f t="shared" ref="AW21:AW40" si="16">1/AV21-1</f>
        <v>4.5478306325143603E-2</v>
      </c>
      <c r="AX21" s="81">
        <f ca="1">B21*H21*'Aerodynamics-Constants'!AK21/C21</f>
        <v>78714.884962616736</v>
      </c>
      <c r="AY21" s="10">
        <f ca="1">0.455/(LOG10(MIN(AX21,'Aerodynamics-Constants'!AQ21)))^2.58</f>
        <v>7.5545316882722341E-3</v>
      </c>
      <c r="AZ21" s="15">
        <f ca="1">AY21*'Aerodynamics-Constants'!AS21*'Aerodynamics-Constants'!AT21*'Aerodynamics-Constants'!AO21/S21</f>
        <v>2.1013813544500794E-2</v>
      </c>
      <c r="BA21" s="81">
        <f ca="1">B21*H21*'Aerodynamics-Constants'!N21/C21</f>
        <v>3147456.9347729986</v>
      </c>
      <c r="BB21" s="10">
        <f ca="1">0.455/(LOG10(MIN(BA21,'Aerodynamics-Constants'!V21)))^2.58</f>
        <v>3.6395415775558964E-3</v>
      </c>
      <c r="BC21" s="10">
        <f ca="1">BB21*'Aerodynamics-Constants'!W21*'Aerodynamics-Constants'!X21*'Aerodynamics-Constants'!S21/N21+'Aerodynamics-Constants'!Z21</f>
        <v>3.4960284436360237E-3</v>
      </c>
      <c r="BD21" s="15">
        <f ca="1">BC21*'Aerodynamics-Constants'!AU21+(AJ21+AS21+AZ21)*('Aerodynamics-Constants'!AU21-1)</f>
        <v>8.5546692520329232E-3</v>
      </c>
      <c r="BE21" s="16">
        <f t="shared" ref="BE21:BE40" ca="1" si="17">AF21+P21/N21*AN21</f>
        <v>1.0181265791124832</v>
      </c>
      <c r="BF21" s="10">
        <f t="shared" ref="BF21:BF40" ca="1" si="18">AJ21+P21/N21*AS21+S21/N21*AZ21+BD21</f>
        <v>1.8229529468295542E-2</v>
      </c>
      <c r="BG21" s="10">
        <f t="shared" ref="BG21:BG40" ca="1" si="19">AK21+P21/N21*AT21</f>
        <v>6.2266715061892283E-2</v>
      </c>
      <c r="BH21" s="10">
        <f t="shared" ref="BH21:BH40" ca="1" si="20">AL21+P21/N21*AU21+S21/N21*AZ21+BD21</f>
        <v>8.0496244530187833E-2</v>
      </c>
      <c r="BI21" s="13">
        <f t="shared" ref="BI21:BI40" ca="1" si="21">0.5*B21*H21^2*N21*BE21</f>
        <v>150.24594980742964</v>
      </c>
      <c r="BJ21" s="13">
        <f t="shared" ref="BJ21:BJ40" ca="1" si="22">0.5*B21*H21^2*N21*BH21</f>
        <v>11.878910700781349</v>
      </c>
      <c r="BK21" s="13">
        <f t="shared" ref="BK21:BK40" ca="1" si="23">BI21/BJ21</f>
        <v>12.648125202047948</v>
      </c>
      <c r="BL21" s="14">
        <f t="shared" ref="BL21:BL40" ca="1" si="24">BJ21*H21</f>
        <v>355.33251284823496</v>
      </c>
      <c r="BM21" s="1">
        <f ca="1">BI21/E21</f>
        <v>1.159280379265041</v>
      </c>
      <c r="BO21" s="16">
        <f ca="1">'Airfoil-Turn'!J21</f>
        <v>4.7670310826752447</v>
      </c>
      <c r="BP21" s="1">
        <f ca="1">BO21/(1+BO21/(PI()*'Aerodynamics-Constants'!I21)*(1+AB21))</f>
        <v>3.7460797695237082</v>
      </c>
      <c r="BR21" s="12">
        <v>6</v>
      </c>
      <c r="BS21" s="1">
        <f t="shared" ref="BS21:BS40" si="25">BR21/(1+BR21/(PI()*Q21)*(1+AP21))</f>
        <v>3.2467427092400318</v>
      </c>
      <c r="BT21" s="1">
        <f>Stability!W21</f>
        <v>2.2957937864716098</v>
      </c>
      <c r="BV21" s="12">
        <v>6</v>
      </c>
      <c r="BW21" s="1">
        <f t="shared" ref="BW21:BW40" si="26">BV21/(1+BV21/(PI()*T21)*(1+AW21))</f>
        <v>3.1789266013735289</v>
      </c>
      <c r="BX21" s="1">
        <f>Stability!Y21</f>
        <v>2.2478405567255271</v>
      </c>
    </row>
    <row r="22" spans="2:76">
      <c r="B22" s="16">
        <f>Turn!F22</f>
        <v>0.65969672852566186</v>
      </c>
      <c r="C22" s="74">
        <f>'Airfoil-Turn'!E22</f>
        <v>1.5987591530356481E-5</v>
      </c>
      <c r="E22" s="19">
        <f ca="1">Turn!H22</f>
        <v>131.99424477485522</v>
      </c>
      <c r="F22" s="63">
        <f>Weight!G22</f>
        <v>0.3</v>
      </c>
      <c r="H22" s="20">
        <f ca="1">'Aerodynamics-Cruise'!H22</f>
        <v>29.421519599178584</v>
      </c>
      <c r="I22" s="20">
        <f t="shared" ref="I22:I40" ca="1" si="27">SQRT(E22/(0.5*B22*N22*AG22))</f>
        <v>23.078747160519494</v>
      </c>
      <c r="J22" s="20">
        <f t="shared" ca="1" si="0"/>
        <v>1.2748317486448999</v>
      </c>
      <c r="L22" s="31">
        <f>Main!B22</f>
        <v>0.33333333333333326</v>
      </c>
      <c r="M22" s="31">
        <f>Main!C22</f>
        <v>1.5789473684210527</v>
      </c>
      <c r="N22" s="1">
        <f t="shared" si="1"/>
        <v>0.52631578947368407</v>
      </c>
      <c r="O22" s="1">
        <f t="shared" si="2"/>
        <v>4.7368421052631593</v>
      </c>
      <c r="P22" s="16">
        <f ca="1">'Aerodynamics-Constants'!AC22</f>
        <v>3.6702909021930567E-2</v>
      </c>
      <c r="Q22" s="16">
        <f>'Aerodynamics-Constants'!AD22</f>
        <v>2.3684210526315796</v>
      </c>
      <c r="R22" s="63">
        <f>Stability!G22</f>
        <v>5.6500000000000012</v>
      </c>
      <c r="S22" s="16">
        <f ca="1">'Aerodynamics-Constants'!AM22</f>
        <v>9.7716352702972523E-3</v>
      </c>
      <c r="T22" s="16">
        <f>'Aerodynamics-Constants'!AN22</f>
        <v>2.3684210526315796</v>
      </c>
      <c r="V22" s="81">
        <f t="shared" ca="1" si="3"/>
        <v>404673.84118861449</v>
      </c>
      <c r="W22" s="63">
        <f ca="1">'Aerodynamics-Cruise'!W22*Turn!$B$9</f>
        <v>1.0392304845413263</v>
      </c>
      <c r="X22" s="42">
        <f ca="1">'Airfoil-Turn'!V22</f>
        <v>8.1133064234671162E-3</v>
      </c>
      <c r="Y22" s="14">
        <f t="shared" ca="1" si="4"/>
        <v>128.08963821894264</v>
      </c>
      <c r="Z22" s="16">
        <f ca="1">'Airfoil-Turn'!AF22</f>
        <v>-0.15499999999999875</v>
      </c>
      <c r="AA22" s="31">
        <f>Main!I22</f>
        <v>1.2293438844505524</v>
      </c>
      <c r="AB22" s="12">
        <f t="shared" si="5"/>
        <v>-0.1865579577459372</v>
      </c>
      <c r="AC22" s="30">
        <f t="shared" ca="1" si="6"/>
        <v>3.2495519608059578</v>
      </c>
      <c r="AD22" s="13">
        <f t="shared" ca="1" si="7"/>
        <v>3.2495519608059578</v>
      </c>
      <c r="AE22" s="13">
        <f ca="1">DEGREES(AF22/BP22)+'Airfoil-RCmax'!K22</f>
        <v>5.5493697618332494</v>
      </c>
      <c r="AF22" s="1">
        <f t="shared" ca="1" si="8"/>
        <v>1.0375595202393704</v>
      </c>
      <c r="AG22" s="16">
        <f ca="1">0.9*'Airfoil-Cruise'!I22</f>
        <v>1.4274792472156612</v>
      </c>
      <c r="AH22" s="42">
        <f ca="1">0.455/(LOG10(MIN(V22,'Aerodynamics-Constants'!L22)))^2.58</f>
        <v>5.3243372084145054E-3</v>
      </c>
      <c r="AI22" s="42">
        <f ca="1">+AH22*'Aerodynamics-Constants'!J22*'Aerodynamics-Constants'!M22</f>
        <v>0</v>
      </c>
      <c r="AJ22" s="10">
        <f ca="1">X22*COS(RADIANS(AC22))*'Aerodynamics-Constants'!M22+AI22</f>
        <v>8.1002611504443316E-3</v>
      </c>
      <c r="AK22" s="10">
        <f ca="1">AF22^2/(PI()*'Aerodynamics-Constants'!I22*AA22)</f>
        <v>5.8845583428651982E-2</v>
      </c>
      <c r="AL22" s="10">
        <f t="shared" ca="1" si="9"/>
        <v>6.6945844579096317E-2</v>
      </c>
      <c r="AM22" s="1">
        <f t="shared" ca="1" si="10"/>
        <v>-0.15499999999999875</v>
      </c>
      <c r="AN22" s="1">
        <f t="shared" ca="1" si="11"/>
        <v>-0.27640351282499509</v>
      </c>
      <c r="AO22" s="12">
        <f t="shared" ref="AO22:AO39" si="28">MAX(0,(1.78*(1-0.045*Q22^0.68)-0.64))*1</f>
        <v>0.9960324623343223</v>
      </c>
      <c r="AP22" s="12">
        <f t="shared" si="12"/>
        <v>3.9833417240029423E-3</v>
      </c>
      <c r="AQ22" s="81">
        <f ca="1">B22*H22*'Aerodynamics-Constants'!AA22/C22</f>
        <v>151128.77901903208</v>
      </c>
      <c r="AR22" s="10">
        <f ca="1">0.455/(LOG10(MIN(AQ22,'Aerodynamics-Constants'!AG22)))^2.58</f>
        <v>6.5340407328749748E-3</v>
      </c>
      <c r="AS22" s="15">
        <f ca="1">AR22*'Aerodynamics-Constants'!AI22*'Aerodynamics-Constants'!AJ22*'Aerodynamics-Constants'!AE22/P22</f>
        <v>1.8175198585236266E-2</v>
      </c>
      <c r="AT22" s="10">
        <f t="shared" ca="1" si="13"/>
        <v>1.0308722235104678E-2</v>
      </c>
      <c r="AU22" s="10">
        <f t="shared" ca="1" si="14"/>
        <v>2.8483920820340944E-2</v>
      </c>
      <c r="AV22" s="12">
        <f t="shared" si="15"/>
        <v>0.95578947368421063</v>
      </c>
      <c r="AW22" s="12">
        <f t="shared" si="16"/>
        <v>4.625550660792932E-2</v>
      </c>
      <c r="AX22" s="81">
        <f ca="1">B22*H22*'Aerodynamics-Constants'!AK22/C22</f>
        <v>77979.519406623091</v>
      </c>
      <c r="AY22" s="10">
        <f ca="1">0.455/(LOG10(MIN(AX22,'Aerodynamics-Constants'!AQ22)))^2.58</f>
        <v>7.5707832709359648E-3</v>
      </c>
      <c r="AZ22" s="15">
        <f ca="1">AY22*'Aerodynamics-Constants'!AS22*'Aerodynamics-Constants'!AT22*'Aerodynamics-Constants'!AO22/S22</f>
        <v>2.1059019222627588E-2</v>
      </c>
      <c r="BA22" s="81">
        <f ca="1">B22*H22*'Aerodynamics-Constants'!N22/C22</f>
        <v>3095754.8850929015</v>
      </c>
      <c r="BB22" s="10">
        <f ca="1">0.455/(LOG10(MIN(BA22,'Aerodynamics-Constants'!V22)))^2.58</f>
        <v>3.6499569418661673E-3</v>
      </c>
      <c r="BC22" s="10">
        <f ca="1">BB22*'Aerodynamics-Constants'!W22*'Aerodynamics-Constants'!X22*'Aerodynamics-Constants'!S22/N22+'Aerodynamics-Constants'!Z22</f>
        <v>3.3307230767169486E-3</v>
      </c>
      <c r="BD22" s="15">
        <f ca="1">BC22*'Aerodynamics-Constants'!AU22+(AJ22+AS22+AZ22)*('Aerodynamics-Constants'!AU22-1)</f>
        <v>8.3972432802194661E-3</v>
      </c>
      <c r="BE22" s="16">
        <f t="shared" ca="1" si="17"/>
        <v>1.0182843755687105</v>
      </c>
      <c r="BF22" s="10">
        <f t="shared" ca="1" si="18"/>
        <v>1.8155945489397772E-2</v>
      </c>
      <c r="BG22" s="10">
        <f t="shared" ca="1" si="19"/>
        <v>5.9564467607874039E-2</v>
      </c>
      <c r="BH22" s="10">
        <f t="shared" ca="1" si="20"/>
        <v>7.7720413097271818E-2</v>
      </c>
      <c r="BI22" s="13">
        <f t="shared" ca="1" si="21"/>
        <v>153.02416336326911</v>
      </c>
      <c r="BJ22" s="13">
        <f t="shared" ca="1" si="22"/>
        <v>11.679547949280279</v>
      </c>
      <c r="BK22" s="13">
        <f t="shared" ca="1" si="23"/>
        <v>13.101890931720419</v>
      </c>
      <c r="BL22" s="14">
        <f t="shared" ca="1" si="24"/>
        <v>343.63004889929579</v>
      </c>
      <c r="BM22" s="1">
        <f t="shared" ref="BM22:BM40" ca="1" si="29">BI22/E22</f>
        <v>1.159324511642799</v>
      </c>
      <c r="BO22" s="16">
        <f ca="1">'Airfoil-Turn'!J22</f>
        <v>4.7936617964996069</v>
      </c>
      <c r="BP22" s="1">
        <f ca="1">BO22/(1+BO22/(PI()*'Aerodynamics-Constants'!I22)*(1+AB22))</f>
        <v>3.798366246985196</v>
      </c>
      <c r="BR22" s="12">
        <v>6</v>
      </c>
      <c r="BS22" s="1">
        <f t="shared" si="25"/>
        <v>3.3156550852903828</v>
      </c>
      <c r="BT22" s="1">
        <f>Stability!W22</f>
        <v>2.3445221948844903</v>
      </c>
      <c r="BV22" s="12">
        <v>6</v>
      </c>
      <c r="BW22" s="1">
        <f t="shared" si="26"/>
        <v>3.2543523818462479</v>
      </c>
      <c r="BX22" s="1">
        <f>Stability!Y22</f>
        <v>2.3011746375740749</v>
      </c>
    </row>
    <row r="23" spans="2:76">
      <c r="B23" s="16">
        <f>Turn!F23</f>
        <v>0.65969672852566186</v>
      </c>
      <c r="C23" s="74">
        <f>'Airfoil-Turn'!E23</f>
        <v>1.5987591530356481E-5</v>
      </c>
      <c r="E23" s="19">
        <f ca="1">Turn!H23</f>
        <v>134.24051129324812</v>
      </c>
      <c r="F23" s="63">
        <f>Weight!G23</f>
        <v>0.3</v>
      </c>
      <c r="H23" s="20">
        <f ca="1">'Aerodynamics-Cruise'!H23</f>
        <v>28.954278467487942</v>
      </c>
      <c r="I23" s="20">
        <f t="shared" ca="1" si="27"/>
        <v>22.715913401688717</v>
      </c>
      <c r="J23" s="20">
        <f t="shared" ca="1" si="0"/>
        <v>1.2746253234675327</v>
      </c>
      <c r="L23" s="31">
        <f>Main!B23</f>
        <v>0.33333333333333326</v>
      </c>
      <c r="M23" s="31">
        <f>Main!C23</f>
        <v>1.6578947368421053</v>
      </c>
      <c r="N23" s="1">
        <f t="shared" si="1"/>
        <v>0.55263157894736836</v>
      </c>
      <c r="O23" s="1">
        <f t="shared" si="2"/>
        <v>4.9736842105263168</v>
      </c>
      <c r="P23" s="16">
        <f ca="1">'Aerodynamics-Constants'!AC23</f>
        <v>3.7836985495348238E-2</v>
      </c>
      <c r="Q23" s="16">
        <f>'Aerodynamics-Constants'!AD23</f>
        <v>2.4868421052631584</v>
      </c>
      <c r="R23" s="63">
        <f>Stability!G23</f>
        <v>5.6500000000000012</v>
      </c>
      <c r="S23" s="16">
        <f ca="1">'Aerodynamics-Constants'!AM23</f>
        <v>1.0423408148040733E-2</v>
      </c>
      <c r="T23" s="16">
        <f>'Aerodynamics-Constants'!AN23</f>
        <v>2.4868421052631584</v>
      </c>
      <c r="V23" s="81">
        <f t="shared" ca="1" si="3"/>
        <v>398247.243715116</v>
      </c>
      <c r="W23" s="63">
        <f ca="1">'Aerodynamics-Cruise'!W23*Turn!$B$9</f>
        <v>1.0392304845413263</v>
      </c>
      <c r="X23" s="42">
        <f ca="1">'Airfoil-Turn'!V23</f>
        <v>8.2055040083159163E-3</v>
      </c>
      <c r="Y23" s="14">
        <f t="shared" ca="1" si="4"/>
        <v>126.65041458612561</v>
      </c>
      <c r="Z23" s="16">
        <f ca="1">'Airfoil-Turn'!AF23</f>
        <v>-0.15499999999999878</v>
      </c>
      <c r="AA23" s="31">
        <f>Main!I23</f>
        <v>1.2215629734834355</v>
      </c>
      <c r="AB23" s="12">
        <f t="shared" si="5"/>
        <v>-0.18137662837931445</v>
      </c>
      <c r="AC23" s="30">
        <f t="shared" ca="1" si="6"/>
        <v>3.1149310929776255</v>
      </c>
      <c r="AD23" s="13">
        <f t="shared" ca="1" si="7"/>
        <v>3.1149310929776255</v>
      </c>
      <c r="AE23" s="13">
        <f ca="1">DEGREES(AF23/BP23)+'Airfoil-RCmax'!K23</f>
        <v>5.4573328461332196</v>
      </c>
      <c r="AF23" s="1">
        <f t="shared" ca="1" si="8"/>
        <v>1.0376950668718909</v>
      </c>
      <c r="AG23" s="16">
        <f ca="1">0.9*'Airfoil-Cruise'!I23</f>
        <v>1.4271616137554282</v>
      </c>
      <c r="AH23" s="42">
        <f ca="1">0.455/(LOG10(MIN(V23,'Aerodynamics-Constants'!L23)))^2.58</f>
        <v>5.3414075821610982E-3</v>
      </c>
      <c r="AI23" s="42">
        <f ca="1">+AH23*'Aerodynamics-Constants'!J23*'Aerodynamics-Constants'!M23</f>
        <v>0</v>
      </c>
      <c r="AJ23" s="10">
        <f ca="1">X23*COS(RADIANS(AC23))*'Aerodynamics-Constants'!M23+AI23</f>
        <v>8.1933807343854449E-3</v>
      </c>
      <c r="AK23" s="10">
        <f ca="1">AF23^2/(PI()*'Aerodynamics-Constants'!I23*AA23)</f>
        <v>5.6415126145385783E-2</v>
      </c>
      <c r="AL23" s="10">
        <f t="shared" ca="1" si="9"/>
        <v>6.4608506879771224E-2</v>
      </c>
      <c r="AM23" s="1">
        <f t="shared" ca="1" si="10"/>
        <v>-0.15499999999999878</v>
      </c>
      <c r="AN23" s="1">
        <f t="shared" ca="1" si="11"/>
        <v>-0.28150639977404701</v>
      </c>
      <c r="AO23" s="12">
        <f t="shared" si="28"/>
        <v>0.9911758879050544</v>
      </c>
      <c r="AP23" s="12">
        <f t="shared" si="12"/>
        <v>8.9026702552219561E-3</v>
      </c>
      <c r="AQ23" s="81">
        <f ca="1">B23*H23*'Aerodynamics-Constants'!AA23/C23</f>
        <v>147369.69738958756</v>
      </c>
      <c r="AR23" s="10">
        <f ca="1">0.455/(LOG10(MIN(AQ23,'Aerodynamics-Constants'!AG23)))^2.58</f>
        <v>6.569780152113203E-3</v>
      </c>
      <c r="AS23" s="15">
        <f ca="1">AR23*'Aerodynamics-Constants'!AI23*'Aerodynamics-Constants'!AJ23*'Aerodynamics-Constants'!AE23/P23</f>
        <v>1.8274611960287266E-2</v>
      </c>
      <c r="AT23" s="10">
        <f t="shared" ca="1" si="13"/>
        <v>1.023358337078196E-2</v>
      </c>
      <c r="AU23" s="10">
        <f t="shared" ca="1" si="14"/>
        <v>2.8508195331069228E-2</v>
      </c>
      <c r="AV23" s="12">
        <f t="shared" si="15"/>
        <v>0.95507894736842114</v>
      </c>
      <c r="AW23" s="12">
        <f t="shared" si="16"/>
        <v>4.7033863279420274E-2</v>
      </c>
      <c r="AX23" s="81">
        <f ca="1">B23*H23*'Aerodynamics-Constants'!AK23/C23</f>
        <v>77349.017099917037</v>
      </c>
      <c r="AY23" s="10">
        <f ca="1">0.455/(LOG10(MIN(AX23,'Aerodynamics-Constants'!AQ23)))^2.58</f>
        <v>7.5848790295541171E-3</v>
      </c>
      <c r="AZ23" s="15">
        <f ca="1">AY23*'Aerodynamics-Constants'!AS23*'Aerodynamics-Constants'!AT23*'Aerodynamics-Constants'!AO23/S23</f>
        <v>2.1098228224004863E-2</v>
      </c>
      <c r="BA23" s="81">
        <f ca="1">B23*H23*'Aerodynamics-Constants'!N23/C23</f>
        <v>3046591.4144206378</v>
      </c>
      <c r="BB23" s="10">
        <f ca="1">0.455/(LOG10(MIN(BA23,'Aerodynamics-Constants'!V23)))^2.58</f>
        <v>3.6600628770532663E-3</v>
      </c>
      <c r="BC23" s="10">
        <f ca="1">BB23*'Aerodynamics-Constants'!W23*'Aerodynamics-Constants'!X23*'Aerodynamics-Constants'!S23/N23+'Aerodynamics-Constants'!Z23</f>
        <v>3.1808923947871026E-3</v>
      </c>
      <c r="BD23" s="15">
        <f ca="1">BC23*'Aerodynamics-Constants'!AU23+(AJ23+AS23+AZ23)*('Aerodynamics-Constants'!AU23-1)</f>
        <v>8.2556037261335737E-3</v>
      </c>
      <c r="BE23" s="16">
        <f t="shared" ca="1" si="17"/>
        <v>1.0184211889921893</v>
      </c>
      <c r="BF23" s="10">
        <f t="shared" ca="1" si="18"/>
        <v>1.8098133199702125E-2</v>
      </c>
      <c r="BG23" s="10">
        <f t="shared" ca="1" si="19"/>
        <v>5.7115788142123744E-2</v>
      </c>
      <c r="BH23" s="10">
        <f t="shared" ca="1" si="20"/>
        <v>7.5213921341825862E-2</v>
      </c>
      <c r="BI23" s="13">
        <f t="shared" ca="1" si="21"/>
        <v>155.6334530261943</v>
      </c>
      <c r="BJ23" s="13">
        <f t="shared" ca="1" si="22"/>
        <v>11.494067897048346</v>
      </c>
      <c r="BK23" s="13">
        <f t="shared" ca="1" si="23"/>
        <v>13.540328317197488</v>
      </c>
      <c r="BL23" s="14">
        <f t="shared" ca="1" si="24"/>
        <v>332.80244261535137</v>
      </c>
      <c r="BM23" s="1">
        <f t="shared" ca="1" si="29"/>
        <v>1.1593627849510595</v>
      </c>
      <c r="BO23" s="16">
        <f ca="1">'Airfoil-Turn'!J23</f>
        <v>4.8195421116327051</v>
      </c>
      <c r="BP23" s="1">
        <f ca="1">BO23/(1+BO23/(PI()*'Aerodynamics-Constants'!I23)*(1+AB23))</f>
        <v>3.847936998820499</v>
      </c>
      <c r="BR23" s="12">
        <v>6</v>
      </c>
      <c r="BS23" s="1">
        <f t="shared" si="25"/>
        <v>3.3806190262133535</v>
      </c>
      <c r="BT23" s="1">
        <f>Stability!W23</f>
        <v>2.3904586380437252</v>
      </c>
      <c r="BV23" s="12">
        <v>6</v>
      </c>
      <c r="BW23" s="1">
        <f t="shared" si="26"/>
        <v>3.3257449178841254</v>
      </c>
      <c r="BX23" s="1">
        <f>Stability!Y23</f>
        <v>2.3516567839325631</v>
      </c>
    </row>
    <row r="24" spans="2:76">
      <c r="B24" s="16">
        <f>Turn!F24</f>
        <v>0.65969672852566186</v>
      </c>
      <c r="C24" s="74">
        <f>'Airfoil-Turn'!E24</f>
        <v>1.5987591530356481E-5</v>
      </c>
      <c r="E24" s="19">
        <f ca="1">Turn!H24</f>
        <v>126.40792205809124</v>
      </c>
      <c r="F24" s="63">
        <f>Weight!G24</f>
        <v>0.3</v>
      </c>
      <c r="H24" s="20">
        <f ca="1">'Aerodynamics-Cruise'!H24</f>
        <v>27.44967418856622</v>
      </c>
      <c r="I24" s="20">
        <f t="shared" ca="1" si="27"/>
        <v>21.544426827351113</v>
      </c>
      <c r="J24" s="20">
        <f t="shared" ca="1" si="0"/>
        <v>1.2740962852498943</v>
      </c>
      <c r="L24" s="31">
        <f>Main!B24</f>
        <v>0.33333333333333326</v>
      </c>
      <c r="M24" s="31">
        <f>Main!C24</f>
        <v>1.736842105263158</v>
      </c>
      <c r="N24" s="1">
        <f t="shared" si="1"/>
        <v>0.57894736842105254</v>
      </c>
      <c r="O24" s="1">
        <f t="shared" si="2"/>
        <v>5.2105263157894752</v>
      </c>
      <c r="P24" s="16">
        <f ca="1">'Aerodynamics-Constants'!AC24</f>
        <v>3.9367122344217041E-2</v>
      </c>
      <c r="Q24" s="16">
        <f>'Aerodynamics-Constants'!AD24</f>
        <v>2.6052631578947376</v>
      </c>
      <c r="R24" s="63">
        <f>Stability!G24</f>
        <v>5.6500000000000012</v>
      </c>
      <c r="S24" s="16">
        <f ca="1">'Aerodynamics-Constants'!AM24</f>
        <v>1.1105416987830716E-2</v>
      </c>
      <c r="T24" s="16">
        <f>'Aerodynamics-Constants'!AN24</f>
        <v>2.6052631578947376</v>
      </c>
      <c r="V24" s="81">
        <f t="shared" ca="1" si="3"/>
        <v>377552.39173890883</v>
      </c>
      <c r="W24" s="63">
        <f ca="1">'Aerodynamics-Cruise'!W24*Turn!$B$9</f>
        <v>1.0392304845413263</v>
      </c>
      <c r="X24" s="42">
        <f ca="1">'Airfoil-Turn'!V24</f>
        <v>8.5204776606748796E-3</v>
      </c>
      <c r="Y24" s="14">
        <f t="shared" ca="1" si="4"/>
        <v>121.96857100368386</v>
      </c>
      <c r="Z24" s="16">
        <f ca="1">'Airfoil-Turn'!AF24</f>
        <v>-0.15499999999999881</v>
      </c>
      <c r="AA24" s="31">
        <f>Main!I24</f>
        <v>1.2138997812328405</v>
      </c>
      <c r="AB24" s="12">
        <f t="shared" si="5"/>
        <v>-0.17620876495718873</v>
      </c>
      <c r="AC24" s="30">
        <f t="shared" ca="1" si="6"/>
        <v>2.9924548769940422</v>
      </c>
      <c r="AD24" s="13">
        <f t="shared" ca="1" si="7"/>
        <v>2.9924548769940422</v>
      </c>
      <c r="AE24" s="13">
        <f ca="1">DEGREES(AF24/BP24)+'Airfoil-RCmax'!K24</f>
        <v>5.4671583515718041</v>
      </c>
      <c r="AF24" s="1">
        <f t="shared" ca="1" si="8"/>
        <v>1.0378134086348745</v>
      </c>
      <c r="AG24" s="16">
        <f ca="1">0.9*'Airfoil-Cruise'!I24</f>
        <v>1.4261032983164272</v>
      </c>
      <c r="AH24" s="42">
        <f ca="1">0.455/(LOG10(MIN(V24,'Aerodynamics-Constants'!L24)))^2.58</f>
        <v>5.3988630296144414E-3</v>
      </c>
      <c r="AI24" s="42">
        <f ca="1">+AH24*'Aerodynamics-Constants'!J24*'Aerodynamics-Constants'!M24</f>
        <v>0</v>
      </c>
      <c r="AJ24" s="10">
        <f ca="1">X24*COS(RADIANS(AC24))*'Aerodynamics-Constants'!M24+AI24</f>
        <v>8.5088592913294767E-3</v>
      </c>
      <c r="AK24" s="10">
        <f ca="1">AF24^2/(PI()*'Aerodynamics-Constants'!I24*AA24)</f>
        <v>5.4203116223772448E-2</v>
      </c>
      <c r="AL24" s="10">
        <f t="shared" ca="1" si="9"/>
        <v>6.2711975515101923E-2</v>
      </c>
      <c r="AM24" s="1">
        <f t="shared" ca="1" si="10"/>
        <v>-0.15499999999999881</v>
      </c>
      <c r="AN24" s="1">
        <f t="shared" ca="1" si="11"/>
        <v>-0.28343246594589061</v>
      </c>
      <c r="AO24" s="12">
        <f t="shared" si="28"/>
        <v>0.98639278941079256</v>
      </c>
      <c r="AP24" s="12">
        <f t="shared" si="12"/>
        <v>1.3794920984099512E-2</v>
      </c>
      <c r="AQ24" s="81">
        <f ca="1">B24*H24*'Aerodynamics-Constants'!AA24/C24</f>
        <v>139232.14583082387</v>
      </c>
      <c r="AR24" s="10">
        <f ca="1">0.455/(LOG10(MIN(AQ24,'Aerodynamics-Constants'!AG24)))^2.58</f>
        <v>6.651378476113419E-3</v>
      </c>
      <c r="AS24" s="15">
        <f ca="1">AR24*'Aerodynamics-Constants'!AI24*'Aerodynamics-Constants'!AJ24*'Aerodynamics-Constants'!AE24/P24</f>
        <v>1.8501587243049827E-2</v>
      </c>
      <c r="AT24" s="10">
        <f t="shared" ca="1" si="13"/>
        <v>9.9505670628471325E-3</v>
      </c>
      <c r="AU24" s="10">
        <f t="shared" ca="1" si="14"/>
        <v>2.8452154305896961E-2</v>
      </c>
      <c r="AV24" s="12">
        <f t="shared" si="15"/>
        <v>0.95436842105263164</v>
      </c>
      <c r="AW24" s="12">
        <f t="shared" si="16"/>
        <v>4.7813378922406669E-2</v>
      </c>
      <c r="AX24" s="81">
        <f ca="1">B24*H24*'Aerodynamics-Constants'!AK24/C24</f>
        <v>73950.330042385453</v>
      </c>
      <c r="AY24" s="10">
        <f ca="1">0.455/(LOG10(MIN(AX24,'Aerodynamics-Constants'!AQ24)))^2.58</f>
        <v>7.6635599494993285E-3</v>
      </c>
      <c r="AZ24" s="15">
        <f ca="1">AY24*'Aerodynamics-Constants'!AS24*'Aerodynamics-Constants'!AT24*'Aerodynamics-Constants'!AO24/S24</f>
        <v>2.1317088406139672E-2</v>
      </c>
      <c r="BA24" s="81">
        <f ca="1">B24*H24*'Aerodynamics-Constants'!N24/C24</f>
        <v>2888275.796802653</v>
      </c>
      <c r="BB24" s="10">
        <f ca="1">0.455/(LOG10(MIN(BA24,'Aerodynamics-Constants'!V24)))^2.58</f>
        <v>3.6940326585924582E-3</v>
      </c>
      <c r="BC24" s="10">
        <f ca="1">BB24*'Aerodynamics-Constants'!W24*'Aerodynamics-Constants'!X24*'Aerodynamics-Constants'!S24/N24+'Aerodynamics-Constants'!Z24</f>
        <v>3.0644622394130016E-3</v>
      </c>
      <c r="BD24" s="15">
        <f ca="1">BC24*'Aerodynamics-Constants'!AU24+(AJ24+AS24+AZ24)*('Aerodynamics-Constants'!AU24-1)</f>
        <v>8.2036619574062039E-3</v>
      </c>
      <c r="BE24" s="16">
        <f t="shared" ca="1" si="17"/>
        <v>1.0185406367529577</v>
      </c>
      <c r="BF24" s="10">
        <f t="shared" ca="1" si="18"/>
        <v>1.8379493856121466E-2</v>
      </c>
      <c r="BG24" s="10">
        <f t="shared" ca="1" si="19"/>
        <v>5.4879732462698935E-2</v>
      </c>
      <c r="BH24" s="10">
        <f t="shared" ca="1" si="20"/>
        <v>7.3259226318820397E-2</v>
      </c>
      <c r="BI24" s="13">
        <f t="shared" ca="1" si="21"/>
        <v>146.55686542238368</v>
      </c>
      <c r="BJ24" s="13">
        <f t="shared" ca="1" si="22"/>
        <v>10.541201975782762</v>
      </c>
      <c r="BK24" s="13">
        <f t="shared" ca="1" si="23"/>
        <v>13.903240423538204</v>
      </c>
      <c r="BL24" s="14">
        <f t="shared" ca="1" si="24"/>
        <v>289.35255979110735</v>
      </c>
      <c r="BM24" s="1">
        <f t="shared" ca="1" si="29"/>
        <v>1.159396207423083</v>
      </c>
      <c r="BO24" s="16">
        <f ca="1">'Airfoil-Turn'!J24</f>
        <v>4.9068271558897125</v>
      </c>
      <c r="BP24" s="1">
        <f ca="1">BO24/(1+BO24/(PI()*'Aerodynamics-Constants'!I24)*(1+AB24))</f>
        <v>3.9351037785953449</v>
      </c>
      <c r="BR24" s="12">
        <v>6</v>
      </c>
      <c r="BS24" s="1">
        <f t="shared" si="25"/>
        <v>3.4419654787715577</v>
      </c>
      <c r="BT24" s="1">
        <f>Stability!W24</f>
        <v>2.4338371306493705</v>
      </c>
      <c r="BV24" s="12">
        <v>6</v>
      </c>
      <c r="BW24" s="1">
        <f t="shared" si="26"/>
        <v>3.3934190644503546</v>
      </c>
      <c r="BX24" s="1">
        <f>Stability!Y24</f>
        <v>2.399509631880556</v>
      </c>
    </row>
    <row r="25" spans="2:76">
      <c r="B25" s="16">
        <f>Turn!F25</f>
        <v>0.65969672852566186</v>
      </c>
      <c r="C25" s="74">
        <f>'Airfoil-Turn'!E25</f>
        <v>1.5987591530356481E-5</v>
      </c>
      <c r="E25" s="19">
        <f ca="1">Turn!H25</f>
        <v>128.23739388407131</v>
      </c>
      <c r="F25" s="63">
        <f>Weight!G25</f>
        <v>0.3</v>
      </c>
      <c r="H25" s="20">
        <f ca="1">'Aerodynamics-Cruise'!H25</f>
        <v>27.03883277583968</v>
      </c>
      <c r="I25" s="20">
        <f t="shared" ca="1" si="27"/>
        <v>21.225018832745352</v>
      </c>
      <c r="J25" s="20">
        <f t="shared" ca="1" si="0"/>
        <v>1.2739132525114627</v>
      </c>
      <c r="L25" s="31">
        <f>Main!B25</f>
        <v>0.33333333333333326</v>
      </c>
      <c r="M25" s="31">
        <f>Main!C25</f>
        <v>1.8157894736842106</v>
      </c>
      <c r="N25" s="1">
        <f t="shared" si="1"/>
        <v>0.60526315789473673</v>
      </c>
      <c r="O25" s="1">
        <f t="shared" si="2"/>
        <v>5.4473684210526327</v>
      </c>
      <c r="P25" s="16">
        <f ca="1">'Aerodynamics-Constants'!AC25</f>
        <v>4.0508118560052687E-2</v>
      </c>
      <c r="Q25" s="16">
        <f>'Aerodynamics-Constants'!AD25</f>
        <v>2.7236842105263164</v>
      </c>
      <c r="R25" s="63">
        <f>Stability!G25</f>
        <v>5.6500000000000012</v>
      </c>
      <c r="S25" s="16">
        <f ca="1">'Aerodynamics-Constants'!AM25</f>
        <v>1.1817118078367429E-2</v>
      </c>
      <c r="T25" s="16">
        <f>'Aerodynamics-Constants'!AN25</f>
        <v>2.7236842105263164</v>
      </c>
      <c r="V25" s="81">
        <f t="shared" ca="1" si="3"/>
        <v>371901.53566918877</v>
      </c>
      <c r="W25" s="63">
        <f ca="1">'Aerodynamics-Cruise'!W25*Turn!$B$9</f>
        <v>1.0392304845413263</v>
      </c>
      <c r="X25" s="42">
        <f ca="1">'Airfoil-Turn'!V25</f>
        <v>8.6116583996881935E-3</v>
      </c>
      <c r="Y25" s="14">
        <f t="shared" ca="1" si="4"/>
        <v>120.67716069403707</v>
      </c>
      <c r="Z25" s="16">
        <f ca="1">'Airfoil-Turn'!AF25</f>
        <v>-0.15499999999999886</v>
      </c>
      <c r="AA25" s="31">
        <f>Main!I25</f>
        <v>1.2063472907833321</v>
      </c>
      <c r="AB25" s="12">
        <f t="shared" si="5"/>
        <v>-0.17105131528860329</v>
      </c>
      <c r="AC25" s="30">
        <f t="shared" ca="1" si="6"/>
        <v>2.8805568022733374</v>
      </c>
      <c r="AD25" s="13">
        <f t="shared" ca="1" si="7"/>
        <v>2.8805568022733374</v>
      </c>
      <c r="AE25" s="13">
        <f ca="1">DEGREES(AF25/BP25)+'Airfoil-RCmax'!K25</f>
        <v>5.391923824121772</v>
      </c>
      <c r="AF25" s="1">
        <f t="shared" ca="1" si="8"/>
        <v>1.0379173838627491</v>
      </c>
      <c r="AG25" s="16">
        <f ca="1">0.9*'Airfoil-Cruise'!I25</f>
        <v>1.4258043677988799</v>
      </c>
      <c r="AH25" s="42">
        <f ca="1">0.455/(LOG10(MIN(V25,'Aerodynamics-Constants'!L25)))^2.58</f>
        <v>5.4152549026015798E-3</v>
      </c>
      <c r="AI25" s="42">
        <f ca="1">+AH25*'Aerodynamics-Constants'!J25*'Aerodynamics-Constants'!M25</f>
        <v>0</v>
      </c>
      <c r="AJ25" s="10">
        <f ca="1">X25*COS(RADIANS(AC25))*'Aerodynamics-Constants'!M25+AI25</f>
        <v>8.6007772961635056E-3</v>
      </c>
      <c r="AK25" s="10">
        <f ca="1">AF25^2/(PI()*'Aerodynamics-Constants'!I25*AA25)</f>
        <v>5.2181504566159775E-2</v>
      </c>
      <c r="AL25" s="10">
        <f t="shared" ca="1" si="9"/>
        <v>6.0782281862323283E-2</v>
      </c>
      <c r="AM25" s="1">
        <f t="shared" ca="1" si="10"/>
        <v>-0.15499999999999886</v>
      </c>
      <c r="AN25" s="1">
        <f t="shared" ca="1" si="11"/>
        <v>-0.28795488490304022</v>
      </c>
      <c r="AO25" s="12">
        <f t="shared" si="28"/>
        <v>0.98167878713658807</v>
      </c>
      <c r="AP25" s="12">
        <f t="shared" si="12"/>
        <v>1.8663144302885737E-2</v>
      </c>
      <c r="AQ25" s="81">
        <f ca="1">B25*H25*'Aerodynamics-Constants'!AA25/C25</f>
        <v>136063.57762096889</v>
      </c>
      <c r="AR25" s="10">
        <f ca="1">0.455/(LOG10(MIN(AQ25,'Aerodynamics-Constants'!AG25)))^2.58</f>
        <v>6.6848489843368084E-3</v>
      </c>
      <c r="AS25" s="15">
        <f ca="1">AR25*'Aerodynamics-Constants'!AI25*'Aerodynamics-Constants'!AJ25*'Aerodynamics-Constants'!AE25/P25</f>
        <v>1.8594689376718532E-2</v>
      </c>
      <c r="AT25" s="10">
        <f t="shared" ca="1" si="13"/>
        <v>9.8712663035465074E-3</v>
      </c>
      <c r="AU25" s="10">
        <f t="shared" ca="1" si="14"/>
        <v>2.846595568026504E-2</v>
      </c>
      <c r="AV25" s="12">
        <f t="shared" si="15"/>
        <v>0.95365789473684215</v>
      </c>
      <c r="AW25" s="12">
        <f t="shared" si="16"/>
        <v>4.859405612737655E-2</v>
      </c>
      <c r="AX25" s="81">
        <f ca="1">B25*H25*'Aerodynamics-Constants'!AK25/C25</f>
        <v>73489.727554594778</v>
      </c>
      <c r="AY25" s="10">
        <f ca="1">0.455/(LOG10(MIN(AX25,'Aerodynamics-Constants'!AQ25)))^2.58</f>
        <v>7.6745899550904398E-3</v>
      </c>
      <c r="AZ25" s="15">
        <f ca="1">AY25*'Aerodynamics-Constants'!AS25*'Aerodynamics-Constants'!AT25*'Aerodynamics-Constants'!AO25/S25</f>
        <v>2.1347769656871102E-2</v>
      </c>
      <c r="BA25" s="81">
        <f ca="1">B25*H25*'Aerodynamics-Constants'!N25/C25</f>
        <v>2845046.7478692946</v>
      </c>
      <c r="BB25" s="10">
        <f ca="1">0.455/(LOG10(MIN(BA25,'Aerodynamics-Constants'!V25)))^2.58</f>
        <v>3.703711544772574E-3</v>
      </c>
      <c r="BC25" s="10">
        <f ca="1">BB25*'Aerodynamics-Constants'!W25*'Aerodynamics-Constants'!X25*'Aerodynamics-Constants'!S25/N25+'Aerodynamics-Constants'!Z25</f>
        <v>2.9388983004443548E-3</v>
      </c>
      <c r="BD25" s="15">
        <f ca="1">BC25*'Aerodynamics-Constants'!AU25+(AJ25+AS25+AZ25)*('Aerodynamics-Constants'!AU25-1)</f>
        <v>8.0871117634641089E-3</v>
      </c>
      <c r="BE25" s="16">
        <f t="shared" ca="1" si="17"/>
        <v>1.0186455837119339</v>
      </c>
      <c r="BF25" s="10">
        <f t="shared" ca="1" si="18"/>
        <v>1.8349158184452444E-2</v>
      </c>
      <c r="BG25" s="10">
        <f t="shared" ca="1" si="19"/>
        <v>5.2842153443505548E-2</v>
      </c>
      <c r="BH25" s="10">
        <f t="shared" ca="1" si="20"/>
        <v>7.1191311627957984E-2</v>
      </c>
      <c r="BI25" s="13">
        <f t="shared" ca="1" si="21"/>
        <v>148.68171452178632</v>
      </c>
      <c r="BJ25" s="13">
        <f t="shared" ca="1" si="22"/>
        <v>10.391098180908521</v>
      </c>
      <c r="BK25" s="13">
        <f t="shared" ca="1" si="23"/>
        <v>14.308566037318172</v>
      </c>
      <c r="BL25" s="14">
        <f t="shared" ca="1" si="24"/>
        <v>280.9631660709174</v>
      </c>
      <c r="BM25" s="1">
        <f t="shared" ca="1" si="29"/>
        <v>1.1594255779729663</v>
      </c>
      <c r="BO25" s="16">
        <f ca="1">'Airfoil-Turn'!J25</f>
        <v>4.9317785666755762</v>
      </c>
      <c r="BP25" s="1">
        <f ca="1">BO25/(1+BO25/(PI()*'Aerodynamics-Constants'!I25)*(1+AB25))</f>
        <v>3.980810208997366</v>
      </c>
      <c r="BR25" s="12">
        <v>6</v>
      </c>
      <c r="BS25" s="1">
        <f t="shared" si="25"/>
        <v>3.4999890744031426</v>
      </c>
      <c r="BT25" s="1">
        <f>Stability!W25</f>
        <v>2.4748660085892902</v>
      </c>
      <c r="BV25" s="12">
        <v>6</v>
      </c>
      <c r="BW25" s="1">
        <f t="shared" si="26"/>
        <v>3.4576577348594704</v>
      </c>
      <c r="BX25" s="1">
        <f>Stability!Y25</f>
        <v>2.4449332313412491</v>
      </c>
    </row>
    <row r="26" spans="2:76">
      <c r="B26" s="16">
        <f>Turn!F26</f>
        <v>0.65969672852566186</v>
      </c>
      <c r="C26" s="74">
        <f>'Airfoil-Turn'!E26</f>
        <v>1.5987591530356481E-5</v>
      </c>
      <c r="E26" s="19">
        <f ca="1">Turn!H26</f>
        <v>129.96953292078499</v>
      </c>
      <c r="F26" s="63">
        <f>Weight!G26</f>
        <v>0.3</v>
      </c>
      <c r="H26" s="20">
        <f ca="1">'Aerodynamics-Cruise'!H26</f>
        <v>26.646781908866753</v>
      </c>
      <c r="I26" s="20">
        <f t="shared" ca="1" si="27"/>
        <v>20.92010732076066</v>
      </c>
      <c r="J26" s="20">
        <f t="shared" ca="1" si="0"/>
        <v>1.2737402108077651</v>
      </c>
      <c r="L26" s="31">
        <f>Main!B26</f>
        <v>0.33333333333333326</v>
      </c>
      <c r="M26" s="31">
        <f>Main!C26</f>
        <v>1.8947368421052633</v>
      </c>
      <c r="N26" s="1">
        <f t="shared" si="1"/>
        <v>0.63157894736842091</v>
      </c>
      <c r="O26" s="1">
        <f t="shared" si="2"/>
        <v>5.6842105263157912</v>
      </c>
      <c r="P26" s="16">
        <f ca="1">'Aerodynamics-Constants'!AC26</f>
        <v>4.1646113608309603E-2</v>
      </c>
      <c r="Q26" s="16">
        <f>'Aerodynamics-Constants'!AD26</f>
        <v>2.8421052631578956</v>
      </c>
      <c r="R26" s="63">
        <f>Stability!G26</f>
        <v>5.6500000000000012</v>
      </c>
      <c r="S26" s="16">
        <f ca="1">'Aerodynamics-Constants'!AM26</f>
        <v>1.2558058561189744E-2</v>
      </c>
      <c r="T26" s="16">
        <f>'Aerodynamics-Constants'!AN26</f>
        <v>2.8421052631578956</v>
      </c>
      <c r="V26" s="81">
        <f t="shared" ca="1" si="3"/>
        <v>366509.13131888147</v>
      </c>
      <c r="W26" s="63">
        <f ca="1">'Aerodynamics-Cruise'!W26*Turn!$B$9</f>
        <v>1.0392304845413263</v>
      </c>
      <c r="X26" s="42">
        <f ca="1">'Airfoil-Turn'!V26</f>
        <v>8.7009000870850173E-3</v>
      </c>
      <c r="Y26" s="14">
        <f t="shared" ca="1" si="4"/>
        <v>119.43942283441277</v>
      </c>
      <c r="Z26" s="16">
        <f ca="1">'Airfoil-Turn'!AF26</f>
        <v>-0.15499999999999886</v>
      </c>
      <c r="AA26" s="31">
        <f>Main!I26</f>
        <v>1.1988991887661258</v>
      </c>
      <c r="AB26" s="12">
        <f t="shared" si="5"/>
        <v>-0.16590151251234675</v>
      </c>
      <c r="AC26" s="30">
        <f t="shared" ca="1" si="6"/>
        <v>2.7779291729614481</v>
      </c>
      <c r="AD26" s="13">
        <f t="shared" ca="1" si="7"/>
        <v>2.7779291729614481</v>
      </c>
      <c r="AE26" s="13">
        <f ca="1">DEGREES(AF26/BP26)+'Airfoil-RCmax'!K26</f>
        <v>5.3240624185431589</v>
      </c>
      <c r="AF26" s="1">
        <f t="shared" ca="1" si="8"/>
        <v>1.0380092646255747</v>
      </c>
      <c r="AG26" s="16">
        <f ca="1">0.9*'Airfoil-Cruise'!I26</f>
        <v>1.425514903294643</v>
      </c>
      <c r="AH26" s="42">
        <f ca="1">0.455/(LOG10(MIN(V26,'Aerodynamics-Constants'!L26)))^2.58</f>
        <v>5.4311968887982278E-3</v>
      </c>
      <c r="AI26" s="42">
        <f ca="1">+AH26*'Aerodynamics-Constants'!J26*'Aerodynamics-Constants'!M26</f>
        <v>0</v>
      </c>
      <c r="AJ26" s="10">
        <f ca="1">X26*COS(RADIANS(AC26))*'Aerodynamics-Constants'!M26+AI26</f>
        <v>8.6906754904922771E-3</v>
      </c>
      <c r="AK26" s="10">
        <f ca="1">AF26^2/(PI()*'Aerodynamics-Constants'!I26*AA26)</f>
        <v>5.0326852038887988E-2</v>
      </c>
      <c r="AL26" s="10">
        <f t="shared" ca="1" si="9"/>
        <v>5.9017527529380262E-2</v>
      </c>
      <c r="AM26" s="1">
        <f t="shared" ca="1" si="10"/>
        <v>-0.15499999999999886</v>
      </c>
      <c r="AN26" s="1">
        <f t="shared" ca="1" si="11"/>
        <v>-0.29225106168575449</v>
      </c>
      <c r="AO26" s="12">
        <f t="shared" si="28"/>
        <v>0.97702994049688086</v>
      </c>
      <c r="AP26" s="12">
        <f t="shared" si="12"/>
        <v>2.3510087614548869E-2</v>
      </c>
      <c r="AQ26" s="81">
        <f ca="1">B26*H26*'Aerodynamics-Constants'!AA26/C26</f>
        <v>133098.51631308955</v>
      </c>
      <c r="AR26" s="10">
        <f ca="1">0.455/(LOG10(MIN(AQ26,'Aerodynamics-Constants'!AG26)))^2.58</f>
        <v>6.7171026882743273E-3</v>
      </c>
      <c r="AS26" s="15">
        <f ca="1">AR26*'Aerodynamics-Constants'!AI26*'Aerodynamics-Constants'!AJ26*'Aerodynamics-Constants'!AE26/P26</f>
        <v>1.8684406826936489E-2</v>
      </c>
      <c r="AT26" s="10">
        <f t="shared" ca="1" si="13"/>
        <v>9.7907123422837743E-3</v>
      </c>
      <c r="AU26" s="10">
        <f t="shared" ca="1" si="14"/>
        <v>2.8475119169220263E-2</v>
      </c>
      <c r="AV26" s="12">
        <f t="shared" si="15"/>
        <v>0.95294736842105265</v>
      </c>
      <c r="AW26" s="12">
        <f t="shared" si="16"/>
        <v>4.9375897492543785E-2</v>
      </c>
      <c r="AX26" s="81">
        <f ca="1">B26*H26*'Aerodynamics-Constants'!AK26/C26</f>
        <v>73088.193302827873</v>
      </c>
      <c r="AY26" s="10">
        <f ca="1">0.455/(LOG10(MIN(AX26,'Aerodynamics-Constants'!AQ26)))^2.58</f>
        <v>7.6842801434894538E-3</v>
      </c>
      <c r="AZ26" s="15">
        <f ca="1">AY26*'Aerodynamics-Constants'!AS26*'Aerodynamics-Constants'!AT26*'Aerodynamics-Constants'!AO26/S26</f>
        <v>2.1374724049364299E-2</v>
      </c>
      <c r="BA26" s="81">
        <f ca="1">B26*H26*'Aerodynamics-Constants'!N26/C26</f>
        <v>2803794.8545894437</v>
      </c>
      <c r="BB26" s="10">
        <f ca="1">0.455/(LOG10(MIN(BA26,'Aerodynamics-Constants'!V26)))^2.58</f>
        <v>3.7131194493090903E-3</v>
      </c>
      <c r="BC26" s="10">
        <f ca="1">BB26*'Aerodynamics-Constants'!W26*'Aerodynamics-Constants'!X26*'Aerodynamics-Constants'!S26/N26+'Aerodynamics-Constants'!Z26</f>
        <v>2.8235921367822233E-3</v>
      </c>
      <c r="BD26" s="15">
        <f ca="1">BC26*'Aerodynamics-Constants'!AU26+(AJ26+AS26+AZ26)*('Aerodynamics-Constants'!AU26-1)</f>
        <v>7.9809319871397555E-3</v>
      </c>
      <c r="BE26" s="16">
        <f t="shared" ca="1" si="17"/>
        <v>1.0187383231734775</v>
      </c>
      <c r="BF26" s="10">
        <f t="shared" ca="1" si="18"/>
        <v>1.8328657590084826E-2</v>
      </c>
      <c r="BG26" s="10">
        <f t="shared" ca="1" si="19"/>
        <v>5.0972448476533615E-2</v>
      </c>
      <c r="BH26" s="10">
        <f t="shared" ca="1" si="20"/>
        <v>6.9301106066618434E-2</v>
      </c>
      <c r="BI26" s="13">
        <f t="shared" ca="1" si="21"/>
        <v>150.69337463302318</v>
      </c>
      <c r="BJ26" s="13">
        <f t="shared" ca="1" si="22"/>
        <v>10.251128578777799</v>
      </c>
      <c r="BK26" s="13">
        <f t="shared" ca="1" si="23"/>
        <v>14.700174080831767</v>
      </c>
      <c r="BL26" s="14">
        <f t="shared" ca="1" si="24"/>
        <v>273.15958755844321</v>
      </c>
      <c r="BM26" s="1">
        <f t="shared" ca="1" si="29"/>
        <v>1.1594515364217639</v>
      </c>
      <c r="BO26" s="16">
        <f ca="1">'Airfoil-Turn'!J26</f>
        <v>4.9560657919827387</v>
      </c>
      <c r="BP26" s="1">
        <f ca="1">BO26/(1+BO26/(PI()*'Aerodynamics-Constants'!I26)*(1+AB26))</f>
        <v>4.0244429212767194</v>
      </c>
      <c r="BR26" s="12">
        <v>6</v>
      </c>
      <c r="BS26" s="1">
        <f t="shared" si="25"/>
        <v>3.5549530075966391</v>
      </c>
      <c r="BT26" s="1">
        <f>Stability!W26</f>
        <v>2.5137313784710957</v>
      </c>
      <c r="BV26" s="12">
        <v>6</v>
      </c>
      <c r="BW26" s="1">
        <f t="shared" si="26"/>
        <v>3.5187158511365184</v>
      </c>
      <c r="BX26" s="1">
        <f>Stability!Y26</f>
        <v>2.4881078394072267</v>
      </c>
    </row>
    <row r="27" spans="2:76">
      <c r="B27" s="16">
        <f>Turn!F27</f>
        <v>0.65969672852566186</v>
      </c>
      <c r="C27" s="74">
        <f>'Airfoil-Turn'!E27</f>
        <v>1.5987591530356481E-5</v>
      </c>
      <c r="E27" s="19">
        <f ca="1">Turn!H27</f>
        <v>131.61371211454065</v>
      </c>
      <c r="F27" s="63">
        <f>Weight!G27</f>
        <v>0.3</v>
      </c>
      <c r="H27" s="20">
        <f ca="1">'Aerodynamics-Cruise'!H27</f>
        <v>26.272229755698174</v>
      </c>
      <c r="I27" s="20">
        <f t="shared" ca="1" si="27"/>
        <v>20.628708852163374</v>
      </c>
      <c r="J27" s="20">
        <f t="shared" ca="1" si="0"/>
        <v>1.2735760606240245</v>
      </c>
      <c r="L27" s="31">
        <f>Main!B27</f>
        <v>0.33333333333333326</v>
      </c>
      <c r="M27" s="31">
        <f>Main!C27</f>
        <v>1.9736842105263159</v>
      </c>
      <c r="N27" s="1">
        <f t="shared" si="1"/>
        <v>0.6578947368421052</v>
      </c>
      <c r="O27" s="1">
        <f t="shared" si="2"/>
        <v>5.9210526315789487</v>
      </c>
      <c r="P27" s="16">
        <f ca="1">'Aerodynamics-Constants'!AC27</f>
        <v>4.2781781196446295E-2</v>
      </c>
      <c r="Q27" s="16">
        <f>'Aerodynamics-Constants'!AD27</f>
        <v>2.9605263157894743</v>
      </c>
      <c r="R27" s="63">
        <f>Stability!G27</f>
        <v>5.6500000000000012</v>
      </c>
      <c r="S27" s="16">
        <f ca="1">'Aerodynamics-Constants'!AM27</f>
        <v>1.3327858239092206E-2</v>
      </c>
      <c r="T27" s="16">
        <f>'Aerodynamics-Constants'!AN27</f>
        <v>2.9605263157894743</v>
      </c>
      <c r="V27" s="81">
        <f t="shared" ca="1" si="3"/>
        <v>361357.4103808364</v>
      </c>
      <c r="W27" s="63">
        <f ca="1">'Aerodynamics-Cruise'!W27*Turn!$B$9</f>
        <v>1.0392304845413263</v>
      </c>
      <c r="X27" s="42">
        <f ca="1">'Airfoil-Turn'!V27</f>
        <v>8.7882759987631277E-3</v>
      </c>
      <c r="Y27" s="14">
        <f t="shared" ca="1" si="4"/>
        <v>118.25191706400537</v>
      </c>
      <c r="Z27" s="16">
        <f ca="1">'Airfoil-Turn'!AF27</f>
        <v>-0.15499999999999886</v>
      </c>
      <c r="AA27" s="31">
        <f>Main!I27</f>
        <v>1.1915497685716252</v>
      </c>
      <c r="AB27" s="12">
        <f t="shared" si="5"/>
        <v>-0.16075683418683062</v>
      </c>
      <c r="AC27" s="30">
        <f t="shared" ca="1" si="6"/>
        <v>2.6834717667741108</v>
      </c>
      <c r="AD27" s="13">
        <f t="shared" ca="1" si="7"/>
        <v>2.6834717667741108</v>
      </c>
      <c r="AE27" s="13">
        <f ca="1">DEGREES(AF27/BP27)+'Airfoil-RCmax'!K27</f>
        <v>5.2626207344957088</v>
      </c>
      <c r="AF27" s="1">
        <f t="shared" ca="1" si="8"/>
        <v>1.0380908875628232</v>
      </c>
      <c r="AG27" s="16">
        <f ca="1">0.9*'Airfoil-Cruise'!I27</f>
        <v>1.4252344089486937</v>
      </c>
      <c r="AH27" s="42">
        <f ca="1">0.455/(LOG10(MIN(V27,'Aerodynamics-Constants'!L27)))^2.58</f>
        <v>5.446710153077375E-3</v>
      </c>
      <c r="AI27" s="42">
        <f ca="1">+AH27*'Aerodynamics-Constants'!J27*'Aerodynamics-Constants'!M27</f>
        <v>0</v>
      </c>
      <c r="AJ27" s="10">
        <f ca="1">X27*COS(RADIANS(AC27))*'Aerodynamics-Constants'!M27+AI27</f>
        <v>8.7786389712476553E-3</v>
      </c>
      <c r="AK27" s="10">
        <f ca="1">AF27^2/(PI()*'Aerodynamics-Constants'!I27*AA27)</f>
        <v>4.8619420344639161E-2</v>
      </c>
      <c r="AL27" s="10">
        <f t="shared" ca="1" si="9"/>
        <v>5.7398059315886818E-2</v>
      </c>
      <c r="AM27" s="1">
        <f t="shared" ca="1" si="10"/>
        <v>-0.15499999999999886</v>
      </c>
      <c r="AN27" s="1">
        <f t="shared" ca="1" si="11"/>
        <v>-0.2963352328527103</v>
      </c>
      <c r="AO27" s="12">
        <f t="shared" si="28"/>
        <v>0.972442687624126</v>
      </c>
      <c r="AP27" s="12">
        <f t="shared" si="12"/>
        <v>2.8338238054113063E-2</v>
      </c>
      <c r="AQ27" s="81">
        <f ca="1">B27*H27*'Aerodynamics-Constants'!AA27/C27</f>
        <v>130317.63450737714</v>
      </c>
      <c r="AR27" s="10">
        <f ca="1">0.455/(LOG10(MIN(AQ27,'Aerodynamics-Constants'!AG27)))^2.58</f>
        <v>6.7482156404946418E-3</v>
      </c>
      <c r="AS27" s="15">
        <f ca="1">AR27*'Aerodynamics-Constants'!AI27*'Aerodynamics-Constants'!AJ27*'Aerodynamics-Constants'!AE27/P27</f>
        <v>1.8770951142819309E-2</v>
      </c>
      <c r="AT27" s="10">
        <f t="shared" ca="1" si="13"/>
        <v>9.7092071430121846E-3</v>
      </c>
      <c r="AU27" s="10">
        <f t="shared" ca="1" si="14"/>
        <v>2.8480158285831496E-2</v>
      </c>
      <c r="AV27" s="12">
        <f t="shared" si="15"/>
        <v>0.95223684210526327</v>
      </c>
      <c r="AW27" s="12">
        <f t="shared" si="16"/>
        <v>5.0158905623877148E-2</v>
      </c>
      <c r="AX27" s="81">
        <f ca="1">B27*H27*'Aerodynamics-Constants'!AK27/C27</f>
        <v>72736.757918692572</v>
      </c>
      <c r="AY27" s="10">
        <f ca="1">0.455/(LOG10(MIN(AX27,'Aerodynamics-Constants'!AQ27)))^2.58</f>
        <v>7.6928191319083801E-3</v>
      </c>
      <c r="AZ27" s="15">
        <f ca="1">AY27*'Aerodynamics-Constants'!AS27*'Aerodynamics-Constants'!AT27*'Aerodynamics-Constants'!AO27/S27</f>
        <v>2.1398476244457017E-2</v>
      </c>
      <c r="BA27" s="81">
        <f ca="1">B27*H27*'Aerodynamics-Constants'!N27/C27</f>
        <v>2764384.1894133985</v>
      </c>
      <c r="BB27" s="10">
        <f ca="1">0.455/(LOG10(MIN(BA27,'Aerodynamics-Constants'!V27)))^2.58</f>
        <v>3.722269310317662E-3</v>
      </c>
      <c r="BC27" s="10">
        <f ca="1">BB27*'Aerodynamics-Constants'!W27*'Aerodynamics-Constants'!X27*'Aerodynamics-Constants'!S27/N27+'Aerodynamics-Constants'!Z27</f>
        <v>2.7173222522991897E-3</v>
      </c>
      <c r="BD27" s="15">
        <f ca="1">BC27*'Aerodynamics-Constants'!AU27+(AJ27+AS27+AZ27)*('Aerodynamics-Constants'!AU27-1)</f>
        <v>7.8838611133815115E-3</v>
      </c>
      <c r="BE27" s="16">
        <f t="shared" ca="1" si="17"/>
        <v>1.0188207089419152</v>
      </c>
      <c r="BF27" s="10">
        <f t="shared" ca="1" si="18"/>
        <v>1.831664097012034E-2</v>
      </c>
      <c r="BG27" s="10">
        <f t="shared" ca="1" si="19"/>
        <v>4.9250793651525807E-2</v>
      </c>
      <c r="BH27" s="10">
        <f t="shared" ca="1" si="20"/>
        <v>6.7567434621646161E-2</v>
      </c>
      <c r="BI27" s="13">
        <f t="shared" ca="1" si="21"/>
        <v>152.60275623238482</v>
      </c>
      <c r="BJ27" s="13">
        <f t="shared" ca="1" si="22"/>
        <v>10.120501737271336</v>
      </c>
      <c r="BK27" s="13">
        <f t="shared" ca="1" si="23"/>
        <v>15.078576160941322</v>
      </c>
      <c r="BL27" s="14">
        <f t="shared" ca="1" si="24"/>
        <v>265.88814688453505</v>
      </c>
      <c r="BM27" s="1">
        <f t="shared" ca="1" si="29"/>
        <v>1.1594746001813083</v>
      </c>
      <c r="BO27" s="16">
        <f ca="1">'Airfoil-Turn'!J27</f>
        <v>4.9797192224504858</v>
      </c>
      <c r="BP27" s="1">
        <f ca="1">BO27/(1+BO27/(PI()*'Aerodynamics-Constants'!I27)*(1+AB27))</f>
        <v>4.0661743717040562</v>
      </c>
      <c r="BR27" s="12">
        <v>6</v>
      </c>
      <c r="BS27" s="1">
        <f t="shared" si="25"/>
        <v>3.6070931443035468</v>
      </c>
      <c r="BT27" s="1">
        <f>Stability!W27</f>
        <v>2.5506000227085441</v>
      </c>
      <c r="BV27" s="12">
        <v>6</v>
      </c>
      <c r="BW27" s="1">
        <f t="shared" si="26"/>
        <v>3.5768237222582537</v>
      </c>
      <c r="BX27" s="1">
        <f>Stability!Y27</f>
        <v>2.5291963091177196</v>
      </c>
    </row>
    <row r="28" spans="2:76">
      <c r="B28" s="16">
        <f>Turn!F28</f>
        <v>0.65969672852566186</v>
      </c>
      <c r="C28" s="74">
        <f>'Airfoil-Turn'!E28</f>
        <v>1.5987591530356481E-5</v>
      </c>
      <c r="E28" s="19">
        <f ca="1">Turn!H28</f>
        <v>132.52501256898603</v>
      </c>
      <c r="F28" s="63">
        <f>Weight!G28</f>
        <v>0.3</v>
      </c>
      <c r="H28" s="20">
        <f ca="1">'Aerodynamics-Cruise'!H28</f>
        <v>25.850372382859632</v>
      </c>
      <c r="I28" s="20">
        <f t="shared" ca="1" si="27"/>
        <v>20.30030667284769</v>
      </c>
      <c r="J28" s="20">
        <f t="shared" ca="1" si="0"/>
        <v>1.2733981214892351</v>
      </c>
      <c r="L28" s="31">
        <f>Main!B28</f>
        <v>0.33333333333333326</v>
      </c>
      <c r="M28" s="31">
        <f>Main!C28</f>
        <v>2.0526315789473686</v>
      </c>
      <c r="N28" s="1">
        <f t="shared" si="1"/>
        <v>0.68421052631578938</v>
      </c>
      <c r="O28" s="1">
        <f t="shared" si="2"/>
        <v>6.1578947368421071</v>
      </c>
      <c r="P28" s="16">
        <f ca="1">'Aerodynamics-Constants'!AC28</f>
        <v>4.394550651802915E-2</v>
      </c>
      <c r="Q28" s="16">
        <f>'Aerodynamics-Constants'!AD28</f>
        <v>3.0789473684210535</v>
      </c>
      <c r="R28" s="63">
        <f>Stability!G28</f>
        <v>5.6500000000000012</v>
      </c>
      <c r="S28" s="16">
        <f ca="1">'Aerodynamics-Constants'!AM28</f>
        <v>1.4126195587998653E-2</v>
      </c>
      <c r="T28" s="16">
        <f>'Aerodynamics-Constants'!AN28</f>
        <v>3.0789473684210535</v>
      </c>
      <c r="V28" s="81">
        <f t="shared" ca="1" si="3"/>
        <v>355555.03695396968</v>
      </c>
      <c r="W28" s="63">
        <f ca="1">'Aerodynamics-Cruise'!W28*Turn!$B$9</f>
        <v>1.0392304845413263</v>
      </c>
      <c r="X28" s="42">
        <f ca="1">'Airfoil-Turn'!V28</f>
        <v>8.8892673963456865E-3</v>
      </c>
      <c r="Y28" s="14">
        <f t="shared" ca="1" si="4"/>
        <v>116.90845130483378</v>
      </c>
      <c r="Z28" s="16">
        <f ca="1">'Airfoil-Turn'!AF28</f>
        <v>-0.15499999999999889</v>
      </c>
      <c r="AA28" s="31">
        <f>Main!I28</f>
        <v>1.1842938502019895</v>
      </c>
      <c r="AB28" s="12">
        <f t="shared" si="5"/>
        <v>-0.15561496850680845</v>
      </c>
      <c r="AC28" s="30">
        <f t="shared" ca="1" si="6"/>
        <v>2.5962522474638252</v>
      </c>
      <c r="AD28" s="13">
        <f t="shared" ca="1" si="7"/>
        <v>2.5962522474638252</v>
      </c>
      <c r="AE28" s="13">
        <f ca="1">DEGREES(AF28/BP28)+'Airfoil-RCmax'!K28</f>
        <v>5.212213514828294</v>
      </c>
      <c r="AF28" s="1">
        <f t="shared" ca="1" si="8"/>
        <v>1.038163750691981</v>
      </c>
      <c r="AG28" s="16">
        <f ca="1">0.9*'Airfoil-Cruise'!I28</f>
        <v>1.4249137275805428</v>
      </c>
      <c r="AH28" s="42">
        <f ca="1">0.455/(LOG10(MIN(V28,'Aerodynamics-Constants'!L28)))^2.58</f>
        <v>5.4645252335077154E-3</v>
      </c>
      <c r="AI28" s="42">
        <f ca="1">+AH28*'Aerodynamics-Constants'!J28*'Aerodynamics-Constants'!M28</f>
        <v>0</v>
      </c>
      <c r="AJ28" s="10">
        <f ca="1">X28*COS(RADIANS(AC28))*'Aerodynamics-Constants'!M28+AI28</f>
        <v>8.8801428733754524E-3</v>
      </c>
      <c r="AK28" s="10">
        <f ca="1">AF28^2/(PI()*'Aerodynamics-Constants'!I28*AA28)</f>
        <v>4.7042469687564079E-2</v>
      </c>
      <c r="AL28" s="10">
        <f t="shared" ca="1" si="9"/>
        <v>5.5922612560939527E-2</v>
      </c>
      <c r="AM28" s="1">
        <f t="shared" ca="1" si="10"/>
        <v>-0.15499999999999889</v>
      </c>
      <c r="AN28" s="1">
        <f t="shared" ca="1" si="11"/>
        <v>-0.30001686585146808</v>
      </c>
      <c r="AO28" s="12">
        <f t="shared" si="28"/>
        <v>0.96791379534354982</v>
      </c>
      <c r="AP28" s="12">
        <f t="shared" si="12"/>
        <v>3.3149857777428959E-2</v>
      </c>
      <c r="AQ28" s="81">
        <f ca="1">B28*H28*'Aerodynamics-Constants'!AA28/C28</f>
        <v>127433.67122993959</v>
      </c>
      <c r="AR28" s="10">
        <f ca="1">0.455/(LOG10(MIN(AQ28,'Aerodynamics-Constants'!AG28)))^2.58</f>
        <v>6.7814098948614232E-3</v>
      </c>
      <c r="AS28" s="15">
        <f ca="1">AR28*'Aerodynamics-Constants'!AI28*'Aerodynamics-Constants'!AJ28*'Aerodynamics-Constants'!AE28/P28</f>
        <v>1.8863284844072448E-2</v>
      </c>
      <c r="AT28" s="10">
        <f t="shared" ca="1" si="13"/>
        <v>9.6139646768377048E-3</v>
      </c>
      <c r="AU28" s="10">
        <f t="shared" ca="1" si="14"/>
        <v>2.8477249520910151E-2</v>
      </c>
      <c r="AV28" s="12">
        <f t="shared" si="15"/>
        <v>0.95152631578947378</v>
      </c>
      <c r="AW28" s="12">
        <f t="shared" si="16"/>
        <v>5.0943083135128964E-2</v>
      </c>
      <c r="AX28" s="81">
        <f ca="1">B28*H28*'Aerodynamics-Constants'!AK28/C28</f>
        <v>72250.285095928994</v>
      </c>
      <c r="AY28" s="10">
        <f ca="1">0.455/(LOG10(MIN(AX28,'Aerodynamics-Constants'!AQ28)))^2.58</f>
        <v>7.7047294609763435E-3</v>
      </c>
      <c r="AZ28" s="15">
        <f ca="1">AY28*'Aerodynamics-Constants'!AS28*'Aerodynamics-Constants'!AT28*'Aerodynamics-Constants'!AO28/S28</f>
        <v>2.1431606217910744E-2</v>
      </c>
      <c r="BA28" s="81">
        <f ca="1">B28*H28*'Aerodynamics-Constants'!N28/C28</f>
        <v>2719996.0326978681</v>
      </c>
      <c r="BB28" s="10">
        <f ca="1">0.455/(LOG10(MIN(BA28,'Aerodynamics-Constants'!V28)))^2.58</f>
        <v>3.7327706859853166E-3</v>
      </c>
      <c r="BC28" s="10">
        <f ca="1">BB28*'Aerodynamics-Constants'!W28*'Aerodynamics-Constants'!X28*'Aerodynamics-Constants'!S28/N28+'Aerodynamics-Constants'!Z28</f>
        <v>2.6201748386362306E-3</v>
      </c>
      <c r="BD28" s="15">
        <f ca="1">BC28*'Aerodynamics-Constants'!AU28+(AJ28+AS28+AZ28)*('Aerodynamics-Constants'!AU28-1)</f>
        <v>7.7996957160357226E-3</v>
      </c>
      <c r="BE28" s="16">
        <f t="shared" ca="1" si="17"/>
        <v>1.018894253034897</v>
      </c>
      <c r="BF28" s="10">
        <f t="shared" ca="1" si="18"/>
        <v>1.8333867027645806E-2</v>
      </c>
      <c r="BG28" s="10">
        <f t="shared" ca="1" si="19"/>
        <v>4.7659955872181879E-2</v>
      </c>
      <c r="BH28" s="10">
        <f t="shared" ca="1" si="20"/>
        <v>6.5993822899827678E-2</v>
      </c>
      <c r="BI28" s="13">
        <f t="shared" ca="1" si="21"/>
        <v>153.66211481729786</v>
      </c>
      <c r="BJ28" s="13">
        <f t="shared" ca="1" si="22"/>
        <v>9.9527015305664133</v>
      </c>
      <c r="BK28" s="13">
        <f t="shared" ca="1" si="23"/>
        <v>15.439236708282246</v>
      </c>
      <c r="BL28" s="14">
        <f t="shared" ca="1" si="24"/>
        <v>257.2810407805988</v>
      </c>
      <c r="BM28" s="1">
        <f t="shared" ca="1" si="29"/>
        <v>1.1594951914251574</v>
      </c>
      <c r="BO28" s="16">
        <f ca="1">'Airfoil-Turn'!J28</f>
        <v>5.0069056188325991</v>
      </c>
      <c r="BP28" s="1">
        <f ca="1">BO28/(1+BO28/(PI()*'Aerodynamics-Constants'!I28)*(1+AB28))</f>
        <v>4.1089435833566847</v>
      </c>
      <c r="BR28" s="12">
        <v>6</v>
      </c>
      <c r="BS28" s="1">
        <f t="shared" si="25"/>
        <v>3.6566214992242547</v>
      </c>
      <c r="BT28" s="1">
        <f>Stability!W28</f>
        <v>2.5856218583339907</v>
      </c>
      <c r="BV28" s="12">
        <v>6</v>
      </c>
      <c r="BW28" s="1">
        <f t="shared" si="26"/>
        <v>3.632189944665718</v>
      </c>
      <c r="BX28" s="1">
        <f>Stability!Y28</f>
        <v>2.5683461404307204</v>
      </c>
    </row>
    <row r="29" spans="2:76">
      <c r="B29" s="16">
        <f>Turn!F29</f>
        <v>0.65969672852566186</v>
      </c>
      <c r="C29" s="74">
        <f>'Airfoil-Turn'!E29</f>
        <v>1.5987591530356481E-5</v>
      </c>
      <c r="E29" s="19">
        <f ca="1">Turn!H29</f>
        <v>132.22241873640721</v>
      </c>
      <c r="F29" s="63">
        <f>Weight!G29</f>
        <v>0.3</v>
      </c>
      <c r="H29" s="20">
        <f ca="1">'Aerodynamics-Cruise'!H29</f>
        <v>25.337550160719807</v>
      </c>
      <c r="I29" s="20">
        <f t="shared" ca="1" si="27"/>
        <v>19.90084414086807</v>
      </c>
      <c r="J29" s="20">
        <f t="shared" ca="1" si="0"/>
        <v>1.273189719057545</v>
      </c>
      <c r="L29" s="31">
        <f>Main!B29</f>
        <v>0.33333333333333326</v>
      </c>
      <c r="M29" s="31">
        <f>Main!C29</f>
        <v>2.1315789473684212</v>
      </c>
      <c r="N29" s="1">
        <f t="shared" si="1"/>
        <v>0.71052631578947356</v>
      </c>
      <c r="O29" s="1">
        <f t="shared" si="2"/>
        <v>6.3947368421052664</v>
      </c>
      <c r="P29" s="16">
        <f ca="1">'Aerodynamics-Constants'!AC29</f>
        <v>4.5163073631874995E-2</v>
      </c>
      <c r="Q29" s="16">
        <f>'Aerodynamics-Constants'!AD29</f>
        <v>3.1973684210526327</v>
      </c>
      <c r="R29" s="63">
        <f>Stability!G29</f>
        <v>5.6500000000000012</v>
      </c>
      <c r="S29" s="16">
        <f ca="1">'Aerodynamics-Constants'!AM29</f>
        <v>1.4952796880420957E-2</v>
      </c>
      <c r="T29" s="16">
        <f>'Aerodynamics-Constants'!AN29</f>
        <v>3.1973684210526327</v>
      </c>
      <c r="V29" s="81">
        <f t="shared" ca="1" si="3"/>
        <v>348501.50126623455</v>
      </c>
      <c r="W29" s="63">
        <f ca="1">'Aerodynamics-Cruise'!W29*Turn!$B$9</f>
        <v>1.0392304845413263</v>
      </c>
      <c r="X29" s="42">
        <f ca="1">'Airfoil-Turn'!V29</f>
        <v>9.015887558150415E-3</v>
      </c>
      <c r="Y29" s="14">
        <f t="shared" ca="1" si="4"/>
        <v>115.26657556879753</v>
      </c>
      <c r="Z29" s="16">
        <f ca="1">'Airfoil-Turn'!AF29</f>
        <v>-0.15499999999999892</v>
      </c>
      <c r="AA29" s="31">
        <f>Main!I29</f>
        <v>1.1771267133748404</v>
      </c>
      <c r="AB29" s="12">
        <f t="shared" si="5"/>
        <v>-0.15047378617975238</v>
      </c>
      <c r="AC29" s="30">
        <f t="shared" ca="1" si="6"/>
        <v>2.5154753079531798</v>
      </c>
      <c r="AD29" s="13">
        <f t="shared" ca="1" si="7"/>
        <v>2.5154753079531798</v>
      </c>
      <c r="AE29" s="13">
        <f ca="1">DEGREES(AF29/BP29)+'Airfoil-RCmax'!K29</f>
        <v>5.1756943861928875</v>
      </c>
      <c r="AF29" s="1">
        <f t="shared" ca="1" si="8"/>
        <v>1.038229085953174</v>
      </c>
      <c r="AG29" s="16">
        <f ca="1">0.9*'Airfoil-Cruise'!I29</f>
        <v>1.4245168750052513</v>
      </c>
      <c r="AH29" s="42">
        <f ca="1">0.455/(LOG10(MIN(V29,'Aerodynamics-Constants'!L29)))^2.58</f>
        <v>5.486689649598666E-3</v>
      </c>
      <c r="AI29" s="42">
        <f ca="1">+AH29*'Aerodynamics-Constants'!J29*'Aerodynamics-Constants'!M29</f>
        <v>0</v>
      </c>
      <c r="AJ29" s="10">
        <f ca="1">X29*COS(RADIANS(AC29))*'Aerodynamics-Constants'!M29+AI29</f>
        <v>9.0071998827925687E-3</v>
      </c>
      <c r="AK29" s="10">
        <f ca="1">AF29^2/(PI()*'Aerodynamics-Constants'!I29*AA29)</f>
        <v>4.5581710414074987E-2</v>
      </c>
      <c r="AL29" s="10">
        <f t="shared" ca="1" si="9"/>
        <v>5.4588910296867556E-2</v>
      </c>
      <c r="AM29" s="1">
        <f t="shared" ca="1" si="10"/>
        <v>-0.15499999999999892</v>
      </c>
      <c r="AN29" s="1">
        <f t="shared" ca="1" si="11"/>
        <v>-0.30314702304326419</v>
      </c>
      <c r="AO29" s="12">
        <f t="shared" si="28"/>
        <v>0.96344031741880587</v>
      </c>
      <c r="AP29" s="12">
        <f t="shared" si="12"/>
        <v>3.7947013343953451E-2</v>
      </c>
      <c r="AQ29" s="81">
        <f ca="1">B29*H29*'Aerodynamics-Constants'!AA29/C29</f>
        <v>124257.12837798778</v>
      </c>
      <c r="AR29" s="10">
        <f ca="1">0.455/(LOG10(MIN(AQ29,'Aerodynamics-Constants'!AG29)))^2.58</f>
        <v>6.819125069391389E-3</v>
      </c>
      <c r="AS29" s="15">
        <f ca="1">AR29*'Aerodynamics-Constants'!AI29*'Aerodynamics-Constants'!AJ29*'Aerodynamics-Constants'!AE29/P29</f>
        <v>1.8968194013571516E-2</v>
      </c>
      <c r="AT29" s="10">
        <f t="shared" ca="1" si="13"/>
        <v>9.4959680569843153E-3</v>
      </c>
      <c r="AU29" s="10">
        <f t="shared" ca="1" si="14"/>
        <v>2.8464162070555833E-2</v>
      </c>
      <c r="AV29" s="12">
        <f t="shared" si="15"/>
        <v>0.95081578947368428</v>
      </c>
      <c r="AW29" s="12">
        <f t="shared" si="16"/>
        <v>5.1728432647864642E-2</v>
      </c>
      <c r="AX29" s="81">
        <f ca="1">B29*H29*'Aerodynamics-Constants'!AK29/C29</f>
        <v>71497.488124425901</v>
      </c>
      <c r="AY29" s="10">
        <f ca="1">0.455/(LOG10(MIN(AX29,'Aerodynamics-Constants'!AQ29)))^2.58</f>
        <v>7.7233703991197002E-3</v>
      </c>
      <c r="AZ29" s="15">
        <f ca="1">AY29*'Aerodynamics-Constants'!AS29*'Aerodynamics-Constants'!AT29*'Aerodynamics-Constants'!AO29/S29</f>
        <v>2.1483458167787028E-2</v>
      </c>
      <c r="BA29" s="81">
        <f ca="1">B29*H29*'Aerodynamics-Constants'!N29/C29</f>
        <v>2666036.484686695</v>
      </c>
      <c r="BB29" s="10">
        <f ca="1">0.455/(LOG10(MIN(BA29,'Aerodynamics-Constants'!V29)))^2.58</f>
        <v>3.7458267424426419E-3</v>
      </c>
      <c r="BC29" s="10">
        <f ca="1">BB29*'Aerodynamics-Constants'!W29*'Aerodynamics-Constants'!X29*'Aerodynamics-Constants'!S29/N29+'Aerodynamics-Constants'!Z29</f>
        <v>2.5319488575750036E-3</v>
      </c>
      <c r="BD29" s="15">
        <f ca="1">BC29*'Aerodynamics-Constants'!AU29+(AJ29+AS29+AZ29)*('Aerodynamics-Constants'!AU29-1)</f>
        <v>7.73102894974762E-3</v>
      </c>
      <c r="BE29" s="16">
        <f t="shared" ca="1" si="17"/>
        <v>1.0189601989060075</v>
      </c>
      <c r="BF29" s="10">
        <f t="shared" ca="1" si="18"/>
        <v>1.8396013636558017E-2</v>
      </c>
      <c r="BG29" s="10">
        <f t="shared" ca="1" si="19"/>
        <v>4.6185301153831043E-2</v>
      </c>
      <c r="BH29" s="10">
        <f t="shared" ca="1" si="20"/>
        <v>6.4581314790389061E-2</v>
      </c>
      <c r="BI29" s="13">
        <f t="shared" ca="1" si="21"/>
        <v>153.31370034383295</v>
      </c>
      <c r="BJ29" s="13">
        <f t="shared" ca="1" si="22"/>
        <v>9.7169647589913151</v>
      </c>
      <c r="BK29" s="13">
        <f t="shared" ca="1" si="23"/>
        <v>15.777941378450354</v>
      </c>
      <c r="BL29" s="14">
        <f t="shared" ca="1" si="24"/>
        <v>246.20408199088911</v>
      </c>
      <c r="BM29" s="1">
        <f t="shared" ca="1" si="29"/>
        <v>1.1595136574340876</v>
      </c>
      <c r="BO29" s="16">
        <f ca="1">'Airfoil-Turn'!J29</f>
        <v>5.040763712111108</v>
      </c>
      <c r="BP29" s="1">
        <f ca="1">BO29/(1+BO29/(PI()*'Aerodynamics-Constants'!I29)*(1+AB29))</f>
        <v>4.1550778031348141</v>
      </c>
      <c r="BR29" s="12">
        <v>6</v>
      </c>
      <c r="BS29" s="1">
        <f t="shared" si="25"/>
        <v>3.7037291927749938</v>
      </c>
      <c r="BT29" s="1">
        <f>Stability!W29</f>
        <v>2.6189320278897759</v>
      </c>
      <c r="BV29" s="12">
        <v>6</v>
      </c>
      <c r="BW29" s="1">
        <f t="shared" si="26"/>
        <v>3.6850039020501306</v>
      </c>
      <c r="BX29" s="1">
        <f>Stability!Y29</f>
        <v>2.6056912478385357</v>
      </c>
    </row>
    <row r="30" spans="2:76">
      <c r="B30" s="16">
        <f>Turn!F30</f>
        <v>0.65969672852566186</v>
      </c>
      <c r="C30" s="74">
        <f>'Airfoil-Turn'!E30</f>
        <v>1.5987591530356481E-5</v>
      </c>
      <c r="E30" s="19">
        <f ca="1">Turn!H30</f>
        <v>131.99460630550439</v>
      </c>
      <c r="F30" s="63">
        <f>Weight!G30</f>
        <v>0.3</v>
      </c>
      <c r="H30" s="20">
        <f ca="1">'Aerodynamics-Cruise'!H30</f>
        <v>24.858990723279437</v>
      </c>
      <c r="I30" s="20">
        <f t="shared" ca="1" si="27"/>
        <v>19.527986586074579</v>
      </c>
      <c r="J30" s="20">
        <f t="shared" ca="1" si="0"/>
        <v>1.2729930253540014</v>
      </c>
      <c r="L30" s="31">
        <f>Main!B30</f>
        <v>0.33333333333333326</v>
      </c>
      <c r="M30" s="31">
        <f>Main!C30</f>
        <v>2.2105263157894739</v>
      </c>
      <c r="N30" s="1">
        <f t="shared" si="1"/>
        <v>0.73684210526315785</v>
      </c>
      <c r="O30" s="1">
        <f t="shared" si="2"/>
        <v>6.631578947368423</v>
      </c>
      <c r="P30" s="16">
        <f ca="1">'Aerodynamics-Constants'!AC30</f>
        <v>4.6377372192058779E-2</v>
      </c>
      <c r="Q30" s="16">
        <f>'Aerodynamics-Constants'!AD30</f>
        <v>3.3157894736842115</v>
      </c>
      <c r="R30" s="63">
        <f>Stability!G30</f>
        <v>5.6500000000000012</v>
      </c>
      <c r="S30" s="16">
        <f ca="1">'Aerodynamics-Constants'!AM30</f>
        <v>1.5807427641918392E-2</v>
      </c>
      <c r="T30" s="16">
        <f>'Aerodynamics-Constants'!AN30</f>
        <v>3.3157894736842115</v>
      </c>
      <c r="V30" s="81">
        <f t="shared" ca="1" si="3"/>
        <v>341919.22786824655</v>
      </c>
      <c r="W30" s="63">
        <f ca="1">'Aerodynamics-Cruise'!W30*Turn!$B$9</f>
        <v>1.0392304845413263</v>
      </c>
      <c r="X30" s="42">
        <f ca="1">'Airfoil-Turn'!V30</f>
        <v>9.1380556603281489E-3</v>
      </c>
      <c r="Y30" s="14">
        <f t="shared" ca="1" si="4"/>
        <v>113.72555860575787</v>
      </c>
      <c r="Z30" s="16">
        <f ca="1">'Airfoil-Turn'!AF30</f>
        <v>-0.15499999999999892</v>
      </c>
      <c r="AA30" s="31">
        <f>Main!I30</f>
        <v>1.1700440412790545</v>
      </c>
      <c r="AB30" s="12">
        <f t="shared" si="5"/>
        <v>-0.14533131683929423</v>
      </c>
      <c r="AC30" s="30">
        <f t="shared" ca="1" si="6"/>
        <v>2.440458377920061</v>
      </c>
      <c r="AD30" s="13">
        <f t="shared" ca="1" si="7"/>
        <v>2.440458377920061</v>
      </c>
      <c r="AE30" s="13">
        <f ca="1">DEGREES(AF30/BP30)+'Airfoil-RCmax'!K30</f>
        <v>5.1417200827075309</v>
      </c>
      <c r="AF30" s="1">
        <f t="shared" ca="1" si="8"/>
        <v>1.0382879142078736</v>
      </c>
      <c r="AG30" s="16">
        <f ca="1">0.9*'Airfoil-Cruise'!I30</f>
        <v>1.4241393266802032</v>
      </c>
      <c r="AH30" s="42">
        <f ca="1">0.455/(LOG10(MIN(V30,'Aerodynamics-Constants'!L30)))^2.58</f>
        <v>5.507897652183933E-3</v>
      </c>
      <c r="AI30" s="42">
        <f ca="1">+AH30*'Aerodynamics-Constants'!J30*'Aerodynamics-Constants'!M30</f>
        <v>0</v>
      </c>
      <c r="AJ30" s="10">
        <f ca="1">X30*COS(RADIANS(AC30))*'Aerodynamics-Constants'!M30+AI30</f>
        <v>9.1297675468644014E-3</v>
      </c>
      <c r="AK30" s="10">
        <f ca="1">AF30^2/(PI()*'Aerodynamics-Constants'!I30*AA30)</f>
        <v>4.4224870670328986E-2</v>
      </c>
      <c r="AL30" s="10">
        <f t="shared" ca="1" si="9"/>
        <v>5.3354638217193384E-2</v>
      </c>
      <c r="AM30" s="1">
        <f t="shared" ca="1" si="10"/>
        <v>-0.15499999999999892</v>
      </c>
      <c r="AN30" s="1">
        <f t="shared" ca="1" si="11"/>
        <v>-0.30613468408051708</v>
      </c>
      <c r="AO30" s="12">
        <f t="shared" si="28"/>
        <v>0.95901955944629458</v>
      </c>
      <c r="AP30" s="12">
        <f t="shared" si="12"/>
        <v>4.2731600362109656E-2</v>
      </c>
      <c r="AQ30" s="81">
        <f ca="1">B30*H30*'Aerodynamics-Constants'!AA30/C30</f>
        <v>121312.17051342061</v>
      </c>
      <c r="AR30" s="10">
        <f ca="1">0.455/(LOG10(MIN(AQ30,'Aerodynamics-Constants'!AG30)))^2.58</f>
        <v>6.855232271725663E-3</v>
      </c>
      <c r="AS30" s="15">
        <f ca="1">AR30*'Aerodynamics-Constants'!AI30*'Aerodynamics-Constants'!AJ30*'Aerodynamics-Constants'!AE30/P30</f>
        <v>1.9068630420323751E-2</v>
      </c>
      <c r="AT30" s="10">
        <f t="shared" ca="1" si="13"/>
        <v>9.3812516747827923E-3</v>
      </c>
      <c r="AU30" s="10">
        <f t="shared" ca="1" si="14"/>
        <v>2.8449882095106543E-2</v>
      </c>
      <c r="AV30" s="12">
        <f t="shared" si="15"/>
        <v>0.95010526315789479</v>
      </c>
      <c r="AW30" s="12">
        <f t="shared" si="16"/>
        <v>5.2514956791491096E-2</v>
      </c>
      <c r="AX30" s="81">
        <f ca="1">B30*H30*'Aerodynamics-Constants'!AK30/C30</f>
        <v>70824.237214360124</v>
      </c>
      <c r="AY30" s="10">
        <f ca="1">0.455/(LOG10(MIN(AX30,'Aerodynamics-Constants'!AQ30)))^2.58</f>
        <v>7.7402624523935631E-3</v>
      </c>
      <c r="AZ30" s="15">
        <f ca="1">AY30*'Aerodynamics-Constants'!AS30*'Aerodynamics-Constants'!AT30*'Aerodynamics-Constants'!AO30/S30</f>
        <v>2.1530445389831752E-2</v>
      </c>
      <c r="BA30" s="81">
        <f ca="1">B30*H30*'Aerodynamics-Constants'!N30/C30</f>
        <v>2615682.0931920866</v>
      </c>
      <c r="BB30" s="10">
        <f ca="1">0.455/(LOG10(MIN(BA30,'Aerodynamics-Constants'!V30)))^2.58</f>
        <v>3.7583099999781155E-3</v>
      </c>
      <c r="BC30" s="10">
        <f ca="1">BB30*'Aerodynamics-Constants'!W30*'Aerodynamics-Constants'!X30*'Aerodynamics-Constants'!S30/N30+'Aerodynamics-Constants'!Z30</f>
        <v>2.4496517030220197E-3</v>
      </c>
      <c r="BD30" s="15">
        <f ca="1">BC30*'Aerodynamics-Constants'!AU30+(AJ30+AS30+AZ30)*('Aerodynamics-Constants'!AU30-1)</f>
        <v>7.6675012090262167E-3</v>
      </c>
      <c r="BE30" s="16">
        <f t="shared" ca="1" si="17"/>
        <v>1.0190195769574801</v>
      </c>
      <c r="BF30" s="10">
        <f t="shared" ca="1" si="18"/>
        <v>1.8459353372182762E-2</v>
      </c>
      <c r="BG30" s="10">
        <f t="shared" ca="1" si="19"/>
        <v>4.4815333399645184E-2</v>
      </c>
      <c r="BH30" s="10">
        <f t="shared" ca="1" si="20"/>
        <v>6.3274686771827932E-2</v>
      </c>
      <c r="BI30" s="13">
        <f t="shared" ca="1" si="21"/>
        <v>153.05174361096326</v>
      </c>
      <c r="BJ30" s="13">
        <f t="shared" ca="1" si="22"/>
        <v>9.5035476803895662</v>
      </c>
      <c r="BK30" s="13">
        <f t="shared" ca="1" si="23"/>
        <v>16.104695715557185</v>
      </c>
      <c r="BL30" s="14">
        <f t="shared" ca="1" si="24"/>
        <v>236.24860362504805</v>
      </c>
      <c r="BM30" s="1">
        <f t="shared" ca="1" si="29"/>
        <v>1.1595302860839758</v>
      </c>
      <c r="BO30" s="16">
        <f ca="1">'Airfoil-Turn'!J30</f>
        <v>5.073196175455708</v>
      </c>
      <c r="BP30" s="1">
        <f ca="1">BO30/(1+BO30/(PI()*'Aerodynamics-Constants'!I30)*(1+AB30))</f>
        <v>4.1992505412655623</v>
      </c>
      <c r="BR30" s="12">
        <v>6</v>
      </c>
      <c r="BS30" s="1">
        <f t="shared" si="25"/>
        <v>3.7485889767549225</v>
      </c>
      <c r="BT30" s="1">
        <f>Stability!W30</f>
        <v>2.6506526853445473</v>
      </c>
      <c r="BV30" s="12">
        <v>6</v>
      </c>
      <c r="BW30" s="1">
        <f t="shared" si="26"/>
        <v>3.735437927548761</v>
      </c>
      <c r="BX30" s="1">
        <f>Stability!Y30</f>
        <v>2.6413534892711525</v>
      </c>
    </row>
    <row r="31" spans="2:76">
      <c r="B31" s="16">
        <f>Turn!F31</f>
        <v>0.65969672852566186</v>
      </c>
      <c r="C31" s="74">
        <f>'Airfoil-Turn'!E31</f>
        <v>1.5987591530356481E-5</v>
      </c>
      <c r="E31" s="19">
        <f ca="1">Turn!H31</f>
        <v>131.83112185491365</v>
      </c>
      <c r="F31" s="63">
        <f>Weight!G31</f>
        <v>0.3</v>
      </c>
      <c r="H31" s="20">
        <f ca="1">'Aerodynamics-Cruise'!H31</f>
        <v>24.411011139810388</v>
      </c>
      <c r="I31" s="20">
        <f t="shared" ca="1" si="27"/>
        <v>19.178880836748785</v>
      </c>
      <c r="J31" s="20">
        <f t="shared" ca="1" si="0"/>
        <v>1.272806862277192</v>
      </c>
      <c r="L31" s="31">
        <f>Main!B31</f>
        <v>0.33333333333333326</v>
      </c>
      <c r="M31" s="31">
        <f>Main!C31</f>
        <v>2.2894736842105265</v>
      </c>
      <c r="N31" s="1">
        <f t="shared" si="1"/>
        <v>0.76315789473684204</v>
      </c>
      <c r="O31" s="1">
        <f t="shared" si="2"/>
        <v>6.8684210526315805</v>
      </c>
      <c r="P31" s="16">
        <f ca="1">'Aerodynamics-Constants'!AC31</f>
        <v>4.758897211975064E-2</v>
      </c>
      <c r="Q31" s="16">
        <f>'Aerodynamics-Constants'!AD31</f>
        <v>3.4342105263157907</v>
      </c>
      <c r="R31" s="63">
        <f>Stability!G31</f>
        <v>5.6500000000000012</v>
      </c>
      <c r="S31" s="16">
        <f ca="1">'Aerodynamics-Constants'!AM31</f>
        <v>1.6689885877140986E-2</v>
      </c>
      <c r="T31" s="16">
        <f>'Aerodynamics-Constants'!AN31</f>
        <v>3.4342105263157907</v>
      </c>
      <c r="V31" s="81">
        <f t="shared" ca="1" si="3"/>
        <v>335757.56044636539</v>
      </c>
      <c r="W31" s="63">
        <f ca="1">'Aerodynamics-Cruise'!W31*Turn!$B$9</f>
        <v>1.0392304845413263</v>
      </c>
      <c r="X31" s="42">
        <f ca="1">'Airfoil-Turn'!V31</f>
        <v>9.2561094371387768E-3</v>
      </c>
      <c r="Y31" s="14">
        <f t="shared" ca="1" si="4"/>
        <v>112.27508615785882</v>
      </c>
      <c r="Z31" s="16">
        <f ca="1">'Airfoil-Turn'!AF31</f>
        <v>-0.15499999999999894</v>
      </c>
      <c r="AA31" s="31">
        <f>Main!I31</f>
        <v>1.163041872967743</v>
      </c>
      <c r="AB31" s="12">
        <f t="shared" si="5"/>
        <v>-0.1401857291274542</v>
      </c>
      <c r="AC31" s="30">
        <f t="shared" ca="1" si="6"/>
        <v>2.3706123226541678</v>
      </c>
      <c r="AD31" s="13">
        <f t="shared" ca="1" si="7"/>
        <v>2.3706123226541678</v>
      </c>
      <c r="AE31" s="13">
        <f ca="1">DEGREES(AF31/BP31)+'Airfoil-RCmax'!K31</f>
        <v>5.1100575120113358</v>
      </c>
      <c r="AF31" s="1">
        <f t="shared" ca="1" si="8"/>
        <v>1.0383410873857781</v>
      </c>
      <c r="AG31" s="16">
        <f ca="1">0.9*'Airfoil-Cruise'!I31</f>
        <v>1.4237793515879875</v>
      </c>
      <c r="AH31" s="42">
        <f ca="1">0.455/(LOG10(MIN(V31,'Aerodynamics-Constants'!L31)))^2.58</f>
        <v>5.5282298712169197E-3</v>
      </c>
      <c r="AI31" s="42">
        <f ca="1">+AH31*'Aerodynamics-Constants'!J31*'Aerodynamics-Constants'!M31</f>
        <v>0</v>
      </c>
      <c r="AJ31" s="10">
        <f ca="1">X31*COS(RADIANS(AC31))*'Aerodynamics-Constants'!M31+AI31</f>
        <v>9.2481878475325335E-3</v>
      </c>
      <c r="AK31" s="10">
        <f ca="1">AF31^2/(PI()*'Aerodynamics-Constants'!I31*AA31)</f>
        <v>4.2961352438059056E-2</v>
      </c>
      <c r="AL31" s="10">
        <f t="shared" ca="1" si="9"/>
        <v>5.2209540285591591E-2</v>
      </c>
      <c r="AM31" s="1">
        <f t="shared" ca="1" si="10"/>
        <v>-0.15499999999999894</v>
      </c>
      <c r="AN31" s="1">
        <f t="shared" ca="1" si="11"/>
        <v>-0.30898764541792695</v>
      </c>
      <c r="AO31" s="12">
        <f t="shared" si="28"/>
        <v>0.95464904914051385</v>
      </c>
      <c r="AP31" s="12">
        <f t="shared" si="12"/>
        <v>4.7505364301484665E-2</v>
      </c>
      <c r="AQ31" s="81">
        <f ca="1">B31*H31*'Aerodynamics-Constants'!AA31/C31</f>
        <v>118573.25995365698</v>
      </c>
      <c r="AR31" s="10">
        <f ca="1">0.455/(LOG10(MIN(AQ31,'Aerodynamics-Constants'!AG31)))^2.58</f>
        <v>6.8898556988668492E-3</v>
      </c>
      <c r="AS31" s="15">
        <f ca="1">AR31*'Aerodynamics-Constants'!AI31*'Aerodynamics-Constants'!AJ31*'Aerodynamics-Constants'!AE31/P31</f>
        <v>1.9164939532819239E-2</v>
      </c>
      <c r="AT31" s="10">
        <f t="shared" ca="1" si="13"/>
        <v>9.2696150218467277E-3</v>
      </c>
      <c r="AU31" s="10">
        <f t="shared" ca="1" si="14"/>
        <v>2.8434554554665967E-2</v>
      </c>
      <c r="AV31" s="12">
        <f t="shared" si="15"/>
        <v>0.94939473684210529</v>
      </c>
      <c r="AW31" s="12">
        <f t="shared" si="16"/>
        <v>5.330265820328739E-2</v>
      </c>
      <c r="AX31" s="81">
        <f ca="1">B31*H31*'Aerodynamics-Constants'!AK31/C31</f>
        <v>70219.91209003485</v>
      </c>
      <c r="AY31" s="10">
        <f ca="1">0.455/(LOG10(MIN(AX31,'Aerodynamics-Constants'!AQ31)))^2.58</f>
        <v>7.7556067387849091E-3</v>
      </c>
      <c r="AZ31" s="15">
        <f ca="1">AY31*'Aerodynamics-Constants'!AS31*'Aerodynamics-Constants'!AT31*'Aerodynamics-Constants'!AO31/S31</f>
        <v>2.1573127317250456E-2</v>
      </c>
      <c r="BA31" s="81">
        <f ca="1">B31*H31*'Aerodynamics-Constants'!N31/C31</f>
        <v>2568545.3374146959</v>
      </c>
      <c r="BB31" s="10">
        <f ca="1">0.455/(LOG10(MIN(BA31,'Aerodynamics-Constants'!V31)))^2.58</f>
        <v>3.7702691419949246E-3</v>
      </c>
      <c r="BC31" s="10">
        <f ca="1">BB31*'Aerodynamics-Constants'!W31*'Aerodynamics-Constants'!X31*'Aerodynamics-Constants'!S31/N31+'Aerodynamics-Constants'!Z31</f>
        <v>2.3727006593916105E-3</v>
      </c>
      <c r="BD31" s="15">
        <f ca="1">BC31*'Aerodynamics-Constants'!AU31+(AJ31+AS31+AZ31)*('Aerodynamics-Constants'!AU31-1)</f>
        <v>7.6085961950909994E-3</v>
      </c>
      <c r="BE31" s="16">
        <f t="shared" ca="1" si="17"/>
        <v>1.0190732470809725</v>
      </c>
      <c r="BF31" s="10">
        <f t="shared" ca="1" si="18"/>
        <v>1.852366427123027E-2</v>
      </c>
      <c r="BG31" s="10">
        <f t="shared" ca="1" si="19"/>
        <v>4.3539386752946933E-2</v>
      </c>
      <c r="BH31" s="10">
        <f t="shared" ca="1" si="20"/>
        <v>6.206305102417721E-2</v>
      </c>
      <c r="BI31" s="13">
        <f t="shared" ca="1" si="21"/>
        <v>152.86416006997473</v>
      </c>
      <c r="BJ31" s="13">
        <f t="shared" ca="1" si="22"/>
        <v>9.3096508944435161</v>
      </c>
      <c r="BK31" s="13">
        <f t="shared" ca="1" si="23"/>
        <v>16.41996695721555</v>
      </c>
      <c r="BL31" s="14">
        <f t="shared" ca="1" si="24"/>
        <v>227.25799169200641</v>
      </c>
      <c r="BM31" s="1">
        <f t="shared" ca="1" si="29"/>
        <v>1.1595453176694417</v>
      </c>
      <c r="BO31" s="16">
        <f ca="1">'Airfoil-Turn'!J31</f>
        <v>5.104321440931809</v>
      </c>
      <c r="BP31" s="1">
        <f ca="1">BO31/(1+BO31/(PI()*'Aerodynamics-Constants'!I31)*(1+AB31))</f>
        <v>4.2416082528730383</v>
      </c>
      <c r="BR31" s="12">
        <v>6</v>
      </c>
      <c r="BS31" s="1">
        <f t="shared" si="25"/>
        <v>3.7913574006695518</v>
      </c>
      <c r="BT31" s="1">
        <f>Stability!W31</f>
        <v>2.6808945279152425</v>
      </c>
      <c r="BV31" s="12">
        <v>6</v>
      </c>
      <c r="BW31" s="1">
        <f t="shared" si="26"/>
        <v>3.783649180369149</v>
      </c>
      <c r="BX31" s="1">
        <f>Stability!Y31</f>
        <v>2.6754439930699481</v>
      </c>
    </row>
    <row r="32" spans="2:76">
      <c r="B32" s="16">
        <f>Turn!F32</f>
        <v>0.65969672852566186</v>
      </c>
      <c r="C32" s="74">
        <f>'Airfoil-Turn'!E32</f>
        <v>1.5987591530356481E-5</v>
      </c>
      <c r="E32" s="19">
        <f ca="1">Turn!H32</f>
        <v>131.72349764200382</v>
      </c>
      <c r="F32" s="63">
        <f>Weight!G32</f>
        <v>0.3</v>
      </c>
      <c r="H32" s="20">
        <f ca="1">'Aerodynamics-Cruise'!H32</f>
        <v>23.990482001725344</v>
      </c>
      <c r="I32" s="20">
        <f t="shared" ca="1" si="27"/>
        <v>18.851101889972288</v>
      </c>
      <c r="J32" s="20">
        <f t="shared" ca="1" si="0"/>
        <v>1.2726302229837776</v>
      </c>
      <c r="L32" s="31">
        <f>Main!B32</f>
        <v>0.33333333333333326</v>
      </c>
      <c r="M32" s="31">
        <f>Main!C32</f>
        <v>2.3684210526315792</v>
      </c>
      <c r="N32" s="1">
        <f t="shared" si="1"/>
        <v>0.78947368421052622</v>
      </c>
      <c r="O32" s="1">
        <f t="shared" si="2"/>
        <v>7.1052631578947389</v>
      </c>
      <c r="P32" s="16">
        <f ca="1">'Aerodynamics-Constants'!AC32</f>
        <v>4.8798353242644012E-2</v>
      </c>
      <c r="Q32" s="16">
        <f>'Aerodynamics-Constants'!AD32</f>
        <v>3.5526315789473695</v>
      </c>
      <c r="R32" s="63">
        <f>Stability!G32</f>
        <v>5.6500000000000012</v>
      </c>
      <c r="S32" s="16">
        <f ca="1">'Aerodynamics-Constants'!AM32</f>
        <v>1.7599996651648308E-2</v>
      </c>
      <c r="T32" s="16">
        <f>'Aerodynamics-Constants'!AN32</f>
        <v>3.5526315789473695</v>
      </c>
      <c r="V32" s="81">
        <f t="shared" ca="1" si="3"/>
        <v>329973.45602351421</v>
      </c>
      <c r="W32" s="63">
        <f ca="1">'Aerodynamics-Cruise'!W32*Turn!$B$9</f>
        <v>1.0392304845413263</v>
      </c>
      <c r="X32" s="42">
        <f ca="1">'Airfoil-Turn'!V32</f>
        <v>9.3703423118614067E-3</v>
      </c>
      <c r="Y32" s="14">
        <f t="shared" ca="1" si="4"/>
        <v>110.90635218585568</v>
      </c>
      <c r="Z32" s="16">
        <f ca="1">'Airfoil-Turn'!AF32</f>
        <v>-0.15499999999999894</v>
      </c>
      <c r="AA32" s="31">
        <f>Main!I32</f>
        <v>1.1561165628108239</v>
      </c>
      <c r="AB32" s="12">
        <f t="shared" si="5"/>
        <v>-0.13503531376737943</v>
      </c>
      <c r="AC32" s="30">
        <f t="shared" ca="1" si="6"/>
        <v>2.3054259764995795</v>
      </c>
      <c r="AD32" s="13">
        <f t="shared" ca="1" si="7"/>
        <v>2.3054259764995795</v>
      </c>
      <c r="AE32" s="13">
        <f ca="1">DEGREES(AF32/BP32)+'Airfoil-RCmax'!K32</f>
        <v>5.0804975791575639</v>
      </c>
      <c r="AF32" s="1">
        <f t="shared" ca="1" si="8"/>
        <v>1.0383893211058262</v>
      </c>
      <c r="AG32" s="16">
        <f ca="1">0.9*'Airfoil-Cruise'!I32</f>
        <v>1.4234354566744043</v>
      </c>
      <c r="AH32" s="42">
        <f ca="1">0.455/(LOG10(MIN(V32,'Aerodynamics-Constants'!L32)))^2.58</f>
        <v>5.5477560850227554E-3</v>
      </c>
      <c r="AI32" s="42">
        <f ca="1">+AH32*'Aerodynamics-Constants'!J32*'Aerodynamics-Constants'!M32</f>
        <v>0</v>
      </c>
      <c r="AJ32" s="10">
        <f ca="1">X32*COS(RADIANS(AC32))*'Aerodynamics-Constants'!M32+AI32</f>
        <v>9.362757864091539E-3</v>
      </c>
      <c r="AK32" s="10">
        <f ca="1">AF32^2/(PI()*'Aerodynamics-Constants'!I32*AA32)</f>
        <v>4.1781955581048157E-2</v>
      </c>
      <c r="AL32" s="10">
        <f t="shared" ca="1" si="9"/>
        <v>5.1144713445139697E-2</v>
      </c>
      <c r="AM32" s="1">
        <f t="shared" ca="1" si="10"/>
        <v>-0.15499999999999894</v>
      </c>
      <c r="AN32" s="1">
        <f t="shared" ca="1" si="11"/>
        <v>-0.3117133259746187</v>
      </c>
      <c r="AO32" s="12">
        <f t="shared" si="28"/>
        <v>0.9503265110257636</v>
      </c>
      <c r="AP32" s="12">
        <f t="shared" si="12"/>
        <v>5.2269918178563524E-2</v>
      </c>
      <c r="AQ32" s="81">
        <f ca="1">B32*H32*'Aerodynamics-Constants'!AA32/C32</f>
        <v>116018.63658091558</v>
      </c>
      <c r="AR32" s="10">
        <f ca="1">0.455/(LOG10(MIN(AQ32,'Aerodynamics-Constants'!AG32)))^2.58</f>
        <v>6.9231045602891096E-3</v>
      </c>
      <c r="AS32" s="15">
        <f ca="1">AR32*'Aerodynamics-Constants'!AI32*'Aerodynamics-Constants'!AJ32*'Aerodynamics-Constants'!AE32/P32</f>
        <v>1.9257425129984577E-2</v>
      </c>
      <c r="AT32" s="10">
        <f t="shared" ca="1" si="13"/>
        <v>9.160893805329964E-3</v>
      </c>
      <c r="AU32" s="10">
        <f t="shared" ca="1" si="14"/>
        <v>2.8418318935314539E-2</v>
      </c>
      <c r="AV32" s="12">
        <f t="shared" si="15"/>
        <v>0.9486842105263158</v>
      </c>
      <c r="AW32" s="12">
        <f t="shared" si="16"/>
        <v>5.4091539528432708E-2</v>
      </c>
      <c r="AX32" s="81">
        <f ca="1">B32*H32*'Aerodynamics-Constants'!AK32/C32</f>
        <v>69675.720254007378</v>
      </c>
      <c r="AY32" s="10">
        <f ca="1">0.455/(LOG10(MIN(AX32,'Aerodynamics-Constants'!AQ32)))^2.58</f>
        <v>7.7695741976989618E-3</v>
      </c>
      <c r="AZ32" s="15">
        <f ca="1">AY32*'Aerodynamics-Constants'!AS32*'Aerodynamics-Constants'!AT32*'Aerodynamics-Constants'!AO32/S32</f>
        <v>2.1611979437993568E-2</v>
      </c>
      <c r="BA32" s="81">
        <f ca="1">B32*H32*'Aerodynamics-Constants'!N32/C32</f>
        <v>2524296.9385798844</v>
      </c>
      <c r="BB32" s="10">
        <f ca="1">0.455/(LOG10(MIN(BA32,'Aerodynamics-Constants'!V32)))^2.58</f>
        <v>3.781746284405967E-3</v>
      </c>
      <c r="BC32" s="10">
        <f ca="1">BB32*'Aerodynamics-Constants'!W32*'Aerodynamics-Constants'!X32*'Aerodynamics-Constants'!S32/N32+'Aerodynamics-Constants'!Z32</f>
        <v>2.3005867146343941E-3</v>
      </c>
      <c r="BD32" s="15">
        <f ca="1">BC32*'Aerodynamics-Constants'!AU32+(AJ32+AS32+AZ32)*('Aerodynamics-Constants'!AU32-1)</f>
        <v>7.5538616293048064E-3</v>
      </c>
      <c r="BE32" s="16">
        <f t="shared" ca="1" si="17"/>
        <v>1.019121931583451</v>
      </c>
      <c r="BF32" s="10">
        <f t="shared" ca="1" si="18"/>
        <v>1.8588747933118863E-2</v>
      </c>
      <c r="BG32" s="10">
        <f t="shared" ca="1" si="19"/>
        <v>4.2348201854827225E-2</v>
      </c>
      <c r="BH32" s="10">
        <f t="shared" ca="1" si="20"/>
        <v>6.0936949787946088E-2</v>
      </c>
      <c r="BI32" s="13">
        <f t="shared" ca="1" si="21"/>
        <v>152.74116115401864</v>
      </c>
      <c r="BJ32" s="13">
        <f t="shared" ca="1" si="22"/>
        <v>9.1329409949341898</v>
      </c>
      <c r="BK32" s="13">
        <f t="shared" ca="1" si="23"/>
        <v>16.724203215452754</v>
      </c>
      <c r="BL32" s="14">
        <f t="shared" ca="1" si="24"/>
        <v>219.10365656178823</v>
      </c>
      <c r="BM32" s="1">
        <f t="shared" ca="1" si="29"/>
        <v>1.1595589540837756</v>
      </c>
      <c r="BO32" s="16">
        <f ca="1">'Airfoil-Turn'!J32</f>
        <v>5.1342420892387466</v>
      </c>
      <c r="BP32" s="1">
        <f ca="1">BO32/(1+BO32/(PI()*'Aerodynamics-Constants'!I32)*(1+AB32))</f>
        <v>4.282280867160269</v>
      </c>
      <c r="BR32" s="12">
        <v>6</v>
      </c>
      <c r="BS32" s="1">
        <f t="shared" si="25"/>
        <v>3.8321766772122796</v>
      </c>
      <c r="BT32" s="1">
        <f>Stability!W32</f>
        <v>2.7097581151617343</v>
      </c>
      <c r="BV32" s="12">
        <v>6</v>
      </c>
      <c r="BW32" s="1">
        <f t="shared" si="26"/>
        <v>3.8297812798968627</v>
      </c>
      <c r="BX32" s="1">
        <f>Stability!Y32</f>
        <v>2.7080643134763669</v>
      </c>
    </row>
    <row r="33" spans="2:76">
      <c r="B33" s="16">
        <f>Turn!F33</f>
        <v>0.65969672852566186</v>
      </c>
      <c r="C33" s="74">
        <f>'Airfoil-Turn'!E33</f>
        <v>1.5987591530356481E-5</v>
      </c>
      <c r="E33" s="19">
        <f ca="1">Turn!H33</f>
        <v>131.66480106818827</v>
      </c>
      <c r="F33" s="63">
        <f>Weight!G33</f>
        <v>0.3</v>
      </c>
      <c r="H33" s="20">
        <f ca="1">'Aerodynamics-Cruise'!H33</f>
        <v>23.594721425716866</v>
      </c>
      <c r="I33" s="20">
        <f t="shared" ca="1" si="27"/>
        <v>18.542570992348747</v>
      </c>
      <c r="J33" s="20">
        <f t="shared" ca="1" si="0"/>
        <v>1.2724622402930423</v>
      </c>
      <c r="L33" s="31">
        <f>Main!B33</f>
        <v>0.33333333333333326</v>
      </c>
      <c r="M33" s="31">
        <f>Main!C33</f>
        <v>2.4473684210526319</v>
      </c>
      <c r="N33" s="1">
        <f t="shared" si="1"/>
        <v>0.8157894736842104</v>
      </c>
      <c r="O33" s="1">
        <f t="shared" si="2"/>
        <v>7.3421052631578974</v>
      </c>
      <c r="P33" s="16">
        <f ca="1">'Aerodynamics-Constants'!AC33</f>
        <v>5.000592072206575E-2</v>
      </c>
      <c r="Q33" s="16">
        <f>'Aerodynamics-Constants'!AD33</f>
        <v>3.6710526315789487</v>
      </c>
      <c r="R33" s="63">
        <f>Stability!G33</f>
        <v>5.6500000000000012</v>
      </c>
      <c r="S33" s="16">
        <f ca="1">'Aerodynamics-Constants'!AM33</f>
        <v>1.8537607723557867E-2</v>
      </c>
      <c r="T33" s="16">
        <f>'Aerodynamics-Constants'!AN33</f>
        <v>3.6710526315789487</v>
      </c>
      <c r="V33" s="81">
        <f t="shared" ca="1" si="3"/>
        <v>324530.0270413878</v>
      </c>
      <c r="W33" s="63">
        <f ca="1">'Aerodynamics-Cruise'!W33*Turn!$B$9</f>
        <v>1.0392304845413263</v>
      </c>
      <c r="X33" s="42">
        <f ca="1">'Airfoil-Turn'!V33</f>
        <v>9.4810113978998772E-3</v>
      </c>
      <c r="Y33" s="14">
        <f t="shared" ca="1" si="4"/>
        <v>109.61177462264463</v>
      </c>
      <c r="Z33" s="16">
        <f ca="1">'Airfoil-Turn'!AF33</f>
        <v>-0.154999999999999</v>
      </c>
      <c r="AA33" s="31">
        <f>Main!I33</f>
        <v>1.149264745760594</v>
      </c>
      <c r="AB33" s="12">
        <f t="shared" si="5"/>
        <v>-0.12987846909182721</v>
      </c>
      <c r="AC33" s="30">
        <f t="shared" ca="1" si="6"/>
        <v>2.2444536506565136</v>
      </c>
      <c r="AD33" s="13">
        <f t="shared" ca="1" si="7"/>
        <v>2.2444536506565136</v>
      </c>
      <c r="AE33" s="13">
        <f ca="1">DEGREES(AF33/BP33)+'Airfoil-RCmax'!K33</f>
        <v>5.0528530401759078</v>
      </c>
      <c r="AF33" s="1">
        <f t="shared" ca="1" si="8"/>
        <v>1.0384332201585205</v>
      </c>
      <c r="AG33" s="16">
        <f ca="1">0.9*'Airfoil-Cruise'!I33</f>
        <v>1.4231063433726903</v>
      </c>
      <c r="AH33" s="42">
        <f ca="1">0.455/(LOG10(MIN(V33,'Aerodynamics-Constants'!L33)))^2.58</f>
        <v>5.566537187931782E-3</v>
      </c>
      <c r="AI33" s="42">
        <f ca="1">+AH33*'Aerodynamics-Constants'!J33*'Aerodynamics-Constants'!M33</f>
        <v>0</v>
      </c>
      <c r="AJ33" s="10">
        <f ca="1">X33*COS(RADIANS(AC33))*'Aerodynamics-Constants'!M33+AI33</f>
        <v>9.4737378692525166E-3</v>
      </c>
      <c r="AK33" s="10">
        <f ca="1">AF33^2/(PI()*'Aerodynamics-Constants'!I33*AA33)</f>
        <v>4.0678654723872276E-2</v>
      </c>
      <c r="AL33" s="10">
        <f t="shared" ca="1" si="9"/>
        <v>5.0152392593124789E-2</v>
      </c>
      <c r="AM33" s="1">
        <f t="shared" ca="1" si="10"/>
        <v>-0.154999999999999</v>
      </c>
      <c r="AN33" s="1">
        <f t="shared" ca="1" si="11"/>
        <v>-0.31431875737073928</v>
      </c>
      <c r="AO33" s="12">
        <f t="shared" si="28"/>
        <v>0.9460498447561202</v>
      </c>
      <c r="AP33" s="12">
        <f t="shared" si="12"/>
        <v>5.7026757673415585E-2</v>
      </c>
      <c r="AQ33" s="81">
        <f ca="1">B33*H33*'Aerodynamics-Constants'!AA33/C33</f>
        <v>113629.61866120579</v>
      </c>
      <c r="AR33" s="10">
        <f ca="1">0.455/(LOG10(MIN(AQ33,'Aerodynamics-Constants'!AG33)))^2.58</f>
        <v>6.955075578205505E-3</v>
      </c>
      <c r="AS33" s="15">
        <f ca="1">AR33*'Aerodynamics-Constants'!AI33*'Aerodynamics-Constants'!AJ33*'Aerodynamics-Constants'!AE33/P33</f>
        <v>1.9346356255968991E-2</v>
      </c>
      <c r="AT33" s="10">
        <f t="shared" ca="1" si="13"/>
        <v>9.0549508070887925E-3</v>
      </c>
      <c r="AU33" s="10">
        <f t="shared" ca="1" si="14"/>
        <v>2.8401307063057782E-2</v>
      </c>
      <c r="AV33" s="12">
        <f t="shared" si="15"/>
        <v>0.94797368421052641</v>
      </c>
      <c r="AW33" s="12">
        <f t="shared" si="16"/>
        <v>5.4881603420037006E-2</v>
      </c>
      <c r="AX33" s="81">
        <f ca="1">B33*H33*'Aerodynamics-Constants'!AK33/C33</f>
        <v>69184.320377509546</v>
      </c>
      <c r="AY33" s="10">
        <f ca="1">0.455/(LOG10(MIN(AX33,'Aerodynamics-Constants'!AQ33)))^2.58</f>
        <v>7.7823110646348045E-3</v>
      </c>
      <c r="AZ33" s="15">
        <f ca="1">AY33*'Aerodynamics-Constants'!AS33*'Aerodynamics-Constants'!AT33*'Aerodynamics-Constants'!AO33/S33</f>
        <v>2.1647408523206936E-2</v>
      </c>
      <c r="BA33" s="81">
        <f ca="1">B33*H33*'Aerodynamics-Constants'!N33/C33</f>
        <v>2482654.7068666168</v>
      </c>
      <c r="BB33" s="10">
        <f ca="1">0.455/(LOG10(MIN(BA33,'Aerodynamics-Constants'!V33)))^2.58</f>
        <v>3.7927781672360572E-3</v>
      </c>
      <c r="BC33" s="10">
        <f ca="1">BB33*'Aerodynamics-Constants'!W33*'Aerodynamics-Constants'!X33*'Aerodynamics-Constants'!S33/N33+'Aerodynamics-Constants'!Z33</f>
        <v>2.232863373489997E-3</v>
      </c>
      <c r="BD33" s="15">
        <f ca="1">BC33*'Aerodynamics-Constants'!AU33+(AJ33+AS33+AZ33)*('Aerodynamics-Constants'!AU33-1)</f>
        <v>7.5028999756818465E-3</v>
      </c>
      <c r="BE33" s="16">
        <f t="shared" ca="1" si="17"/>
        <v>1.0191662409076656</v>
      </c>
      <c r="BF33" s="10">
        <f t="shared" ca="1" si="18"/>
        <v>1.8654427971902178E-2</v>
      </c>
      <c r="BG33" s="10">
        <f t="shared" ca="1" si="19"/>
        <v>4.1233701297538616E-2</v>
      </c>
      <c r="BH33" s="10">
        <f t="shared" ca="1" si="20"/>
        <v>5.9888129269440794E-2</v>
      </c>
      <c r="BI33" s="13">
        <f t="shared" ca="1" si="21"/>
        <v>152.67473322723112</v>
      </c>
      <c r="BJ33" s="13">
        <f t="shared" ca="1" si="22"/>
        <v>8.9714550901398802</v>
      </c>
      <c r="BK33" s="13">
        <f t="shared" ca="1" si="23"/>
        <v>17.017833973780796</v>
      </c>
      <c r="BL33" s="14">
        <f t="shared" ca="1" si="24"/>
        <v>211.67898363518006</v>
      </c>
      <c r="BM33" s="1">
        <f t="shared" ca="1" si="29"/>
        <v>1.1595713659884084</v>
      </c>
      <c r="BO33" s="16">
        <f ca="1">'Airfoil-Turn'!J33</f>
        <v>5.1630477180570669</v>
      </c>
      <c r="BP33" s="1">
        <f ca="1">BO33/(1+BO33/(PI()*'Aerodynamics-Constants'!I33)*(1+AB33))</f>
        <v>4.3213842786862369</v>
      </c>
      <c r="BR33" s="12">
        <v>6</v>
      </c>
      <c r="BS33" s="1">
        <f t="shared" si="25"/>
        <v>3.8711762947279209</v>
      </c>
      <c r="BT33" s="1">
        <f>Stability!W33</f>
        <v>2.7373350091707258</v>
      </c>
      <c r="BV33" s="12">
        <v>6</v>
      </c>
      <c r="BW33" s="1">
        <f t="shared" si="26"/>
        <v>3.8739657330797428</v>
      </c>
      <c r="BX33" s="1">
        <f>Stability!Y33</f>
        <v>2.739307439945001</v>
      </c>
    </row>
    <row r="34" spans="2:76">
      <c r="B34" s="16">
        <f>Turn!F34</f>
        <v>0.65969672852566186</v>
      </c>
      <c r="C34" s="74">
        <f>'Airfoil-Turn'!E34</f>
        <v>1.5987591530356481E-5</v>
      </c>
      <c r="E34" s="19">
        <f ca="1">Turn!H34</f>
        <v>131.64808624958647</v>
      </c>
      <c r="F34" s="63">
        <f>Weight!G34</f>
        <v>0.3</v>
      </c>
      <c r="H34" s="20">
        <f ca="1">'Aerodynamics-Cruise'!H34</f>
        <v>23.221306277971916</v>
      </c>
      <c r="I34" s="20">
        <f t="shared" ca="1" si="27"/>
        <v>18.251408915191778</v>
      </c>
      <c r="J34" s="20">
        <f t="shared" ca="1" si="0"/>
        <v>1.2723021212156056</v>
      </c>
      <c r="L34" s="31">
        <f>Main!B34</f>
        <v>0.33333333333333326</v>
      </c>
      <c r="M34" s="31">
        <f>Main!C34</f>
        <v>2.5263157894736845</v>
      </c>
      <c r="N34" s="1">
        <f t="shared" si="1"/>
        <v>0.84210526315789469</v>
      </c>
      <c r="O34" s="1">
        <f t="shared" si="2"/>
        <v>7.5789473684210549</v>
      </c>
      <c r="P34" s="16">
        <f ca="1">'Aerodynamics-Constants'!AC34</f>
        <v>5.1212083567651716E-2</v>
      </c>
      <c r="Q34" s="16">
        <f>'Aerodynamics-Constants'!AD34</f>
        <v>3.7894736842105274</v>
      </c>
      <c r="R34" s="63">
        <f>Stability!G34</f>
        <v>5.6500000000000012</v>
      </c>
      <c r="S34" s="16">
        <f ca="1">'Aerodynamics-Constants'!AM34</f>
        <v>1.9502585994958192E-2</v>
      </c>
      <c r="T34" s="16">
        <f>'Aerodynamics-Constants'!AN34</f>
        <v>3.7894736842105274</v>
      </c>
      <c r="V34" s="81">
        <f t="shared" ca="1" si="3"/>
        <v>319393.94487246464</v>
      </c>
      <c r="W34" s="63">
        <f ca="1">'Aerodynamics-Cruise'!W34*Turn!$B$9</f>
        <v>1.0392304845413263</v>
      </c>
      <c r="X34" s="42">
        <f ca="1">'Airfoil-Turn'!V34</f>
        <v>9.5883749486866156E-3</v>
      </c>
      <c r="Y34" s="14">
        <f t="shared" ca="1" si="4"/>
        <v>108.38442281438698</v>
      </c>
      <c r="Z34" s="16">
        <f ca="1">'Airfoil-Turn'!AF34</f>
        <v>-0.154999999999999</v>
      </c>
      <c r="AA34" s="31">
        <f>Main!I34</f>
        <v>1.1424833074368379</v>
      </c>
      <c r="AB34" s="12">
        <f t="shared" si="5"/>
        <v>-0.12471368860215504</v>
      </c>
      <c r="AC34" s="30">
        <f t="shared" ca="1" si="6"/>
        <v>2.1873049687709418</v>
      </c>
      <c r="AD34" s="13">
        <f t="shared" ca="1" si="7"/>
        <v>2.1873049687709418</v>
      </c>
      <c r="AE34" s="13">
        <f ca="1">DEGREES(AF34/BP34)+'Airfoil-RCmax'!K34</f>
        <v>5.0269651283371726</v>
      </c>
      <c r="AF34" s="1">
        <f t="shared" ca="1" si="8"/>
        <v>1.0384732985835761</v>
      </c>
      <c r="AG34" s="16">
        <f ca="1">0.9*'Airfoil-Cruise'!I34</f>
        <v>1.42279078258299</v>
      </c>
      <c r="AH34" s="42">
        <f ca="1">0.455/(LOG10(MIN(V34,'Aerodynamics-Constants'!L34)))^2.58</f>
        <v>5.5846319652252466E-3</v>
      </c>
      <c r="AI34" s="42">
        <f ca="1">+AH34*'Aerodynamics-Constants'!J34*'Aerodynamics-Constants'!M34</f>
        <v>0</v>
      </c>
      <c r="AJ34" s="10">
        <f ca="1">X34*COS(RADIANS(AC34))*'Aerodynamics-Constants'!M34+AI34</f>
        <v>9.581388834463845E-3</v>
      </c>
      <c r="AK34" s="10">
        <f ca="1">AF34^2/(PI()*'Aerodynamics-Constants'!I34*AA34)</f>
        <v>3.9644417533566581E-2</v>
      </c>
      <c r="AL34" s="10">
        <f t="shared" ca="1" si="9"/>
        <v>4.9225806368030423E-2</v>
      </c>
      <c r="AM34" s="1">
        <f t="shared" ca="1" si="10"/>
        <v>-0.154999999999999</v>
      </c>
      <c r="AN34" s="1">
        <f t="shared" ca="1" si="11"/>
        <v>-0.31681017601917644</v>
      </c>
      <c r="AO34" s="12">
        <f t="shared" si="28"/>
        <v>0.94181710644360173</v>
      </c>
      <c r="AP34" s="12">
        <f t="shared" si="12"/>
        <v>6.1777274120771608E-2</v>
      </c>
      <c r="AQ34" s="81">
        <f ca="1">B34*H34*'Aerodynamics-Constants'!AA34/C34</f>
        <v>111389.61635841749</v>
      </c>
      <c r="AR34" s="10">
        <f ca="1">0.455/(LOG10(MIN(AQ34,'Aerodynamics-Constants'!AG34)))^2.58</f>
        <v>6.9858611139117883E-3</v>
      </c>
      <c r="AS34" s="15">
        <f ca="1">AR34*'Aerodynamics-Constants'!AI34*'Aerodynamics-Constants'!AJ34*'Aerodynamics-Constants'!AE34/P34</f>
        <v>1.9431989824520133E-2</v>
      </c>
      <c r="AT34" s="10">
        <f t="shared" ca="1" si="13"/>
        <v>8.9516460760514626E-3</v>
      </c>
      <c r="AU34" s="10">
        <f t="shared" ca="1" si="14"/>
        <v>2.8383635900571594E-2</v>
      </c>
      <c r="AV34" s="12">
        <f t="shared" si="15"/>
        <v>0.94726315789473692</v>
      </c>
      <c r="AW34" s="12">
        <f t="shared" si="16"/>
        <v>5.5672852539170981E-2</v>
      </c>
      <c r="AX34" s="81">
        <f ca="1">B34*H34*'Aerodynamics-Constants'!AK34/C34</f>
        <v>68739.217850744069</v>
      </c>
      <c r="AY34" s="10">
        <f ca="1">0.455/(LOG10(MIN(AX34,'Aerodynamics-Constants'!AQ34)))^2.58</f>
        <v>7.7939515238783837E-3</v>
      </c>
      <c r="AZ34" s="15">
        <f ca="1">AY34*'Aerodynamics-Constants'!AS34*'Aerodynamics-Constants'!AT34*'Aerodynamics-Constants'!AO34/S34</f>
        <v>2.1679787822177471E-2</v>
      </c>
      <c r="BA34" s="81">
        <f ca="1">B34*H34*'Aerodynamics-Constants'!N34/C34</f>
        <v>2443363.6782743549</v>
      </c>
      <c r="BB34" s="10">
        <f ca="1">0.455/(LOG10(MIN(BA34,'Aerodynamics-Constants'!V34)))^2.58</f>
        <v>3.8034001590387793E-3</v>
      </c>
      <c r="BC34" s="10">
        <f ca="1">BB34*'Aerodynamics-Constants'!W34*'Aerodynamics-Constants'!X34*'Aerodynamics-Constants'!S34/N34+'Aerodynamics-Constants'!Z34</f>
        <v>2.1691391710938874E-3</v>
      </c>
      <c r="BD34" s="15">
        <f ca="1">BC34*'Aerodynamics-Constants'!AU34+(AJ34+AS34+AZ34)*('Aerodynamics-Constants'!AU34-1)</f>
        <v>7.4553697363194255E-3</v>
      </c>
      <c r="BE34" s="16">
        <f t="shared" ca="1" si="17"/>
        <v>1.0192066938974416</v>
      </c>
      <c r="BF34" s="10">
        <f t="shared" ca="1" si="18"/>
        <v>1.8720591548879357E-2</v>
      </c>
      <c r="BG34" s="10">
        <f t="shared" ca="1" si="19"/>
        <v>4.0188806064277896E-2</v>
      </c>
      <c r="BH34" s="10">
        <f t="shared" ca="1" si="20"/>
        <v>5.8909397613157249E-2</v>
      </c>
      <c r="BI34" s="13">
        <f t="shared" ca="1" si="21"/>
        <v>152.65684310088844</v>
      </c>
      <c r="BJ34" s="13">
        <f t="shared" ca="1" si="22"/>
        <v>8.8234533019114139</v>
      </c>
      <c r="BK34" s="13">
        <f t="shared" ca="1" si="23"/>
        <v>17.301258121671996</v>
      </c>
      <c r="BL34" s="14">
        <f t="shared" ca="1" si="24"/>
        <v>204.89211155306754</v>
      </c>
      <c r="BM34" s="1">
        <f t="shared" ca="1" si="29"/>
        <v>1.1595826984637838</v>
      </c>
      <c r="BO34" s="16">
        <f ca="1">'Airfoil-Turn'!J34</f>
        <v>5.1908252281398797</v>
      </c>
      <c r="BP34" s="1">
        <f ca="1">BO34/(1+BO34/(PI()*'Aerodynamics-Constants'!I34)*(1+AB34))</f>
        <v>4.359028049298395</v>
      </c>
      <c r="BR34" s="12">
        <v>6</v>
      </c>
      <c r="BS34" s="1">
        <f t="shared" si="25"/>
        <v>3.9084744159557685</v>
      </c>
      <c r="BT34" s="1">
        <f>Stability!W34</f>
        <v>2.7637087636164548</v>
      </c>
      <c r="BV34" s="12">
        <v>6</v>
      </c>
      <c r="BW34" s="1">
        <f t="shared" si="26"/>
        <v>3.9163231849688693</v>
      </c>
      <c r="BX34" s="1">
        <f>Stability!Y34</f>
        <v>2.7692586814095854</v>
      </c>
    </row>
    <row r="35" spans="2:76">
      <c r="B35" s="16">
        <f>Turn!F35</f>
        <v>0.65969672852566186</v>
      </c>
      <c r="C35" s="74">
        <f>'Airfoil-Turn'!E35</f>
        <v>1.5987591530356481E-5</v>
      </c>
      <c r="E35" s="19">
        <f ca="1">Turn!H35</f>
        <v>131.66397514989566</v>
      </c>
      <c r="F35" s="63">
        <f>Weight!G35</f>
        <v>0.3</v>
      </c>
      <c r="H35" s="20">
        <f ca="1">'Aerodynamics-Cruise'!H35</f>
        <v>22.867828371672989</v>
      </c>
      <c r="I35" s="20">
        <f t="shared" ca="1" si="27"/>
        <v>17.975746070671402</v>
      </c>
      <c r="J35" s="20">
        <f t="shared" ca="1" si="0"/>
        <v>1.2721490547189769</v>
      </c>
      <c r="L35" s="31">
        <f>Main!B35</f>
        <v>0.33333333333333326</v>
      </c>
      <c r="M35" s="31">
        <f>Main!C35</f>
        <v>2.6052631578947372</v>
      </c>
      <c r="N35" s="1">
        <f t="shared" si="1"/>
        <v>0.86842105263157887</v>
      </c>
      <c r="O35" s="1">
        <f t="shared" si="2"/>
        <v>7.8157894736842133</v>
      </c>
      <c r="P35" s="16">
        <f ca="1">'Aerodynamics-Constants'!AC35</f>
        <v>5.2417396335312914E-2</v>
      </c>
      <c r="Q35" s="16">
        <f>'Aerodynamics-Constants'!AD35</f>
        <v>3.9078947368421066</v>
      </c>
      <c r="R35" s="63">
        <f>Stability!G35</f>
        <v>5.6500000000000012</v>
      </c>
      <c r="S35" s="16">
        <f ca="1">'Aerodynamics-Constants'!AM35</f>
        <v>2.0494814609083551E-2</v>
      </c>
      <c r="T35" s="16">
        <f>'Aerodynamics-Constants'!AN35</f>
        <v>3.9078947368421066</v>
      </c>
      <c r="V35" s="81">
        <f t="shared" ca="1" si="3"/>
        <v>314532.08647541265</v>
      </c>
      <c r="W35" s="63">
        <f ca="1">'Aerodynamics-Cruise'!W35*Turn!$B$9</f>
        <v>1.0392304845413263</v>
      </c>
      <c r="X35" s="42">
        <f ca="1">'Airfoil-Turn'!V35</f>
        <v>9.6927552720029661E-3</v>
      </c>
      <c r="Y35" s="14">
        <f t="shared" ca="1" si="4"/>
        <v>107.21724167978232</v>
      </c>
      <c r="Z35" s="16">
        <f ca="1">'Airfoil-Turn'!AF35</f>
        <v>-0.15499999999999903</v>
      </c>
      <c r="AA35" s="31">
        <f>Main!I35</f>
        <v>1.1357693582334683</v>
      </c>
      <c r="AB35" s="12">
        <f t="shared" si="5"/>
        <v>-0.11953955021699003</v>
      </c>
      <c r="AC35" s="30">
        <f t="shared" ca="1" si="6"/>
        <v>2.1336365395093004</v>
      </c>
      <c r="AD35" s="13">
        <f t="shared" ca="1" si="7"/>
        <v>2.1336365395093004</v>
      </c>
      <c r="AE35" s="13">
        <f ca="1">DEGREES(AF35/BP35)+'Airfoil-RCmax'!K35</f>
        <v>5.0027159593092012</v>
      </c>
      <c r="AF35" s="1">
        <f t="shared" ca="1" si="8"/>
        <v>1.0385099956165631</v>
      </c>
      <c r="AG35" s="16">
        <f ca="1">0.9*'Airfoil-Cruise'!I35</f>
        <v>1.4224874254368394</v>
      </c>
      <c r="AH35" s="42">
        <f ca="1">0.455/(LOG10(MIN(V35,'Aerodynamics-Constants'!L35)))^2.58</f>
        <v>5.6021078097856581E-3</v>
      </c>
      <c r="AI35" s="42">
        <f ca="1">+AH35*'Aerodynamics-Constants'!J35*'Aerodynamics-Constants'!M35</f>
        <v>0</v>
      </c>
      <c r="AJ35" s="10">
        <f ca="1">X35*COS(RADIANS(AC35))*'Aerodynamics-Constants'!M35+AI35</f>
        <v>9.6860353740324985E-3</v>
      </c>
      <c r="AK35" s="10">
        <f ca="1">AF35^2/(PI()*'Aerodynamics-Constants'!I35*AA35)</f>
        <v>3.8673055714116063E-2</v>
      </c>
      <c r="AL35" s="10">
        <f t="shared" ca="1" si="9"/>
        <v>4.8359091088148565E-2</v>
      </c>
      <c r="AM35" s="1">
        <f t="shared" ca="1" si="10"/>
        <v>-0.15499999999999903</v>
      </c>
      <c r="AN35" s="1">
        <f t="shared" ca="1" si="11"/>
        <v>-0.31919226164756087</v>
      </c>
      <c r="AO35" s="12">
        <f t="shared" si="28"/>
        <v>0.93762649249643182</v>
      </c>
      <c r="AP35" s="12">
        <f t="shared" si="12"/>
        <v>6.6522765731052091E-2</v>
      </c>
      <c r="AQ35" s="81">
        <f ca="1">B35*H35*'Aerodynamics-Constants'!AA35/C35</f>
        <v>109282.97382030991</v>
      </c>
      <c r="AR35" s="10">
        <f ca="1">0.455/(LOG10(MIN(AQ35,'Aerodynamics-Constants'!AG35)))^2.58</f>
        <v>7.0155619229666701E-3</v>
      </c>
      <c r="AS35" s="15">
        <f ca="1">AR35*'Aerodynamics-Constants'!AI35*'Aerodynamics-Constants'!AJ35*'Aerodynamics-Constants'!AE35/P35</f>
        <v>1.9514606099009922E-2</v>
      </c>
      <c r="AT35" s="10">
        <f t="shared" ca="1" si="13"/>
        <v>8.8507914660020462E-3</v>
      </c>
      <c r="AU35" s="10">
        <f t="shared" ca="1" si="14"/>
        <v>2.8365397565011968E-2</v>
      </c>
      <c r="AV35" s="12">
        <f t="shared" si="15"/>
        <v>0.94655263157894742</v>
      </c>
      <c r="AW35" s="12">
        <f t="shared" si="16"/>
        <v>5.6465289554894493E-2</v>
      </c>
      <c r="AX35" s="81">
        <f ca="1">B35*H35*'Aerodynamics-Constants'!AK35/C35</f>
        <v>68333.989902217654</v>
      </c>
      <c r="AY35" s="10">
        <f ca="1">0.455/(LOG10(MIN(AX35,'Aerodynamics-Constants'!AQ35)))^2.58</f>
        <v>7.8046361209224945E-3</v>
      </c>
      <c r="AZ35" s="15">
        <f ca="1">AY35*'Aerodynamics-Constants'!AS35*'Aerodynamics-Constants'!AT35*'Aerodynamics-Constants'!AO35/S35</f>
        <v>2.170950827863298E-2</v>
      </c>
      <c r="BA35" s="81">
        <f ca="1">B35*H35*'Aerodynamics-Constants'!N35/C35</f>
        <v>2406170.4615369071</v>
      </c>
      <c r="BB35" s="10">
        <f ca="1">0.455/(LOG10(MIN(BA35,'Aerodynamics-Constants'!V35)))^2.58</f>
        <v>3.8136525557540355E-3</v>
      </c>
      <c r="BC35" s="10">
        <f ca="1">BB35*'Aerodynamics-Constants'!W35*'Aerodynamics-Constants'!X35*'Aerodynamics-Constants'!S35/N35+'Aerodynamics-Constants'!Z35</f>
        <v>2.1090728155784616E-3</v>
      </c>
      <c r="BD35" s="15">
        <f ca="1">BC35*'Aerodynamics-Constants'!AU35+(AJ35+AS35+AZ35)*('Aerodynamics-Constants'!AU35-1)</f>
        <v>7.4109950723038531E-3</v>
      </c>
      <c r="BE35" s="16">
        <f t="shared" ca="1" si="17"/>
        <v>1.0192437338933535</v>
      </c>
      <c r="BF35" s="10">
        <f t="shared" ca="1" si="18"/>
        <v>1.8787267210169142E-2</v>
      </c>
      <c r="BG35" s="10">
        <f t="shared" ca="1" si="19"/>
        <v>3.9207284407385037E-2</v>
      </c>
      <c r="BH35" s="10">
        <f t="shared" ca="1" si="20"/>
        <v>5.799455161755418E-2</v>
      </c>
      <c r="BI35" s="13">
        <f t="shared" ca="1" si="21"/>
        <v>152.67663387650956</v>
      </c>
      <c r="BJ35" s="13">
        <f t="shared" ca="1" si="22"/>
        <v>8.687238027280447</v>
      </c>
      <c r="BK35" s="13">
        <f t="shared" ca="1" si="23"/>
        <v>17.57481876254117</v>
      </c>
      <c r="BL35" s="14">
        <f t="shared" ca="1" si="24"/>
        <v>198.65826823172029</v>
      </c>
      <c r="BM35" s="1">
        <f t="shared" ca="1" si="29"/>
        <v>1.1595930754991377</v>
      </c>
      <c r="BO35" s="16">
        <f ca="1">'Airfoil-Turn'!J35</f>
        <v>5.2176752338298567</v>
      </c>
      <c r="BP35" s="1">
        <f ca="1">BO35/(1+BO35/(PI()*'Aerodynamics-Constants'!I35)*(1+AB35))</f>
        <v>4.3953276422314405</v>
      </c>
      <c r="BR35" s="12">
        <v>6</v>
      </c>
      <c r="BS35" s="1">
        <f t="shared" si="25"/>
        <v>3.9441790955022142</v>
      </c>
      <c r="BT35" s="1">
        <f>Stability!W35</f>
        <v>2.7889557846438393</v>
      </c>
      <c r="BV35" s="12">
        <v>6</v>
      </c>
      <c r="BW35" s="1">
        <f t="shared" si="26"/>
        <v>3.9569645174604378</v>
      </c>
      <c r="BX35" s="1">
        <f>Stability!Y35</f>
        <v>2.7979964432108306</v>
      </c>
    </row>
    <row r="36" spans="2:76">
      <c r="B36" s="16">
        <f>Turn!F36</f>
        <v>0.65969672852566186</v>
      </c>
      <c r="C36" s="74">
        <f>'Airfoil-Turn'!E36</f>
        <v>1.5987591530356481E-5</v>
      </c>
      <c r="E36" s="19">
        <f ca="1">Turn!H36</f>
        <v>131.71508343743108</v>
      </c>
      <c r="F36" s="63">
        <f>Weight!G36</f>
        <v>0.3</v>
      </c>
      <c r="H36" s="20">
        <f ca="1">'Aerodynamics-Cruise'!H36</f>
        <v>22.533115808238001</v>
      </c>
      <c r="I36" s="20">
        <f t="shared" ca="1" si="27"/>
        <v>17.714676263175388</v>
      </c>
      <c r="J36" s="20">
        <f t="shared" ca="1" si="0"/>
        <v>1.2720026871210177</v>
      </c>
      <c r="L36" s="31">
        <f>Main!B36</f>
        <v>0.33333333333333326</v>
      </c>
      <c r="M36" s="31">
        <f>Main!C36</f>
        <v>2.6842105263157898</v>
      </c>
      <c r="N36" s="1">
        <f t="shared" si="1"/>
        <v>0.89473684210526305</v>
      </c>
      <c r="O36" s="1">
        <f t="shared" si="2"/>
        <v>8.0526315789473717</v>
      </c>
      <c r="P36" s="16">
        <f ca="1">'Aerodynamics-Constants'!AC36</f>
        <v>5.3621746106374713E-2</v>
      </c>
      <c r="Q36" s="16">
        <f>'Aerodynamics-Constants'!AD36</f>
        <v>4.0263157894736858</v>
      </c>
      <c r="R36" s="63">
        <f>Stability!G36</f>
        <v>5.6500000000000012</v>
      </c>
      <c r="S36" s="16">
        <f ca="1">'Aerodynamics-Constants'!AM36</f>
        <v>2.1514190560189127E-2</v>
      </c>
      <c r="T36" s="16">
        <f>'Aerodynamics-Constants'!AN36</f>
        <v>4.0263157894736858</v>
      </c>
      <c r="V36" s="81">
        <f t="shared" ca="1" si="3"/>
        <v>309928.33314843953</v>
      </c>
      <c r="W36" s="63">
        <f ca="1">'Aerodynamics-Cruise'!W36*Turn!$B$9</f>
        <v>1.0392304845413263</v>
      </c>
      <c r="X36" s="42">
        <f ca="1">'Airfoil-Turn'!V36</f>
        <v>9.7941633158833731E-3</v>
      </c>
      <c r="Y36" s="14">
        <f t="shared" ca="1" si="4"/>
        <v>106.10712227516028</v>
      </c>
      <c r="Z36" s="16">
        <f ca="1">'Airfoil-Turn'!AF36</f>
        <v>-0.15499999999999903</v>
      </c>
      <c r="AA36" s="31">
        <f>Main!I36</f>
        <v>1.1291202108009399</v>
      </c>
      <c r="AB36" s="12">
        <f t="shared" si="5"/>
        <v>-0.11435470693536576</v>
      </c>
      <c r="AC36" s="30">
        <f t="shared" ca="1" si="6"/>
        <v>2.0831450901094919</v>
      </c>
      <c r="AD36" s="13">
        <f t="shared" ca="1" si="7"/>
        <v>2.0831450901094919</v>
      </c>
      <c r="AE36" s="13">
        <f ca="1">DEGREES(AF36/BP36)+'Airfoil-RCmax'!K36</f>
        <v>4.9799224155438253</v>
      </c>
      <c r="AF36" s="1">
        <f t="shared" ca="1" si="8"/>
        <v>1.0385436884498622</v>
      </c>
      <c r="AG36" s="16">
        <f ca="1">0.9*'Airfoil-Cruise'!I36</f>
        <v>1.4221958800466206</v>
      </c>
      <c r="AH36" s="42">
        <f ca="1">0.455/(LOG10(MIN(V36,'Aerodynamics-Constants'!L36)))^2.58</f>
        <v>5.6189783259530043E-3</v>
      </c>
      <c r="AI36" s="42">
        <f ca="1">+AH36*'Aerodynamics-Constants'!J36*'Aerodynamics-Constants'!M36</f>
        <v>0</v>
      </c>
      <c r="AJ36" s="10">
        <f ca="1">X36*COS(RADIANS(AC36))*'Aerodynamics-Constants'!M36+AI36</f>
        <v>9.7876906486699233E-3</v>
      </c>
      <c r="AK36" s="10">
        <f ca="1">AF36^2/(PI()*'Aerodynamics-Constants'!I36*AA36)</f>
        <v>3.7759102046330574E-2</v>
      </c>
      <c r="AL36" s="10">
        <f t="shared" ca="1" si="9"/>
        <v>4.7546792695000499E-2</v>
      </c>
      <c r="AM36" s="1">
        <f t="shared" ca="1" si="10"/>
        <v>-0.15499999999999903</v>
      </c>
      <c r="AN36" s="1">
        <f t="shared" ca="1" si="11"/>
        <v>-0.32147316498859202</v>
      </c>
      <c r="AO36" s="12">
        <f t="shared" si="28"/>
        <v>0.93347632556434401</v>
      </c>
      <c r="AP36" s="12">
        <f t="shared" si="12"/>
        <v>7.1264447328579283E-2</v>
      </c>
      <c r="AQ36" s="81">
        <f ca="1">B36*H36*'Aerodynamics-Constants'!AA36/C36</f>
        <v>107299.84489085614</v>
      </c>
      <c r="AR36" s="10">
        <f ca="1">0.455/(LOG10(MIN(AQ36,'Aerodynamics-Constants'!AG36)))^2.58</f>
        <v>7.044214132059713E-3</v>
      </c>
      <c r="AS36" s="15">
        <f ca="1">AR36*'Aerodynamics-Constants'!AI36*'Aerodynamics-Constants'!AJ36*'Aerodynamics-Constants'!AE36/P36</f>
        <v>1.9594305570051117E-2</v>
      </c>
      <c r="AT36" s="10">
        <f t="shared" ca="1" si="13"/>
        <v>8.7524257878354977E-3</v>
      </c>
      <c r="AU36" s="10">
        <f t="shared" ca="1" si="14"/>
        <v>2.8346731357886616E-2</v>
      </c>
      <c r="AV36" s="12">
        <f t="shared" si="15"/>
        <v>0.94584210526315793</v>
      </c>
      <c r="AW36" s="12">
        <f t="shared" si="16"/>
        <v>5.725891714428788E-2</v>
      </c>
      <c r="AX36" s="81">
        <f ca="1">B36*H36*'Aerodynamics-Constants'!AK36/C36</f>
        <v>67965.908062679082</v>
      </c>
      <c r="AY36" s="10">
        <f ca="1">0.455/(LOG10(MIN(AX36,'Aerodynamics-Constants'!AQ36)))^2.58</f>
        <v>7.8144141206938789E-3</v>
      </c>
      <c r="AZ36" s="15">
        <f ca="1">AY36*'Aerodynamics-Constants'!AS36*'Aerodynamics-Constants'!AT36*'Aerodynamics-Constants'!AO36/S36</f>
        <v>2.173670692872972E-2</v>
      </c>
      <c r="BA36" s="81">
        <f ca="1">B36*H36*'Aerodynamics-Constants'!N36/C36</f>
        <v>2370951.7485855627</v>
      </c>
      <c r="BB36" s="10">
        <f ca="1">0.455/(LOG10(MIN(BA36,'Aerodynamics-Constants'!V36)))^2.58</f>
        <v>3.8235440016677661E-3</v>
      </c>
      <c r="BC36" s="10">
        <f ca="1">BB36*'Aerodynamics-Constants'!W36*'Aerodynamics-Constants'!X36*'Aerodynamics-Constants'!S36/N36+'Aerodynamics-Constants'!Z36</f>
        <v>2.0523461918075412E-3</v>
      </c>
      <c r="BD36" s="15">
        <f ca="1">BC36*'Aerodynamics-Constants'!AU36+(AJ36+AS36+AZ36)*('Aerodynamics-Constants'!AU36-1)</f>
        <v>7.3694511257333759E-3</v>
      </c>
      <c r="BE36" s="16">
        <f t="shared" ca="1" si="17"/>
        <v>1.0192777416129453</v>
      </c>
      <c r="BF36" s="10">
        <f t="shared" ca="1" si="18"/>
        <v>1.8854097194112119E-2</v>
      </c>
      <c r="BG36" s="10">
        <f t="shared" ca="1" si="19"/>
        <v>3.8283636558965509E-2</v>
      </c>
      <c r="BH36" s="10">
        <f t="shared" ca="1" si="20"/>
        <v>5.7137733753077624E-2</v>
      </c>
      <c r="BI36" s="13">
        <f t="shared" ca="1" si="21"/>
        <v>152.73715368568455</v>
      </c>
      <c r="BJ36" s="13">
        <f t="shared" ca="1" si="22"/>
        <v>8.5619988205427777</v>
      </c>
      <c r="BK36" s="13">
        <f t="shared" ca="1" si="23"/>
        <v>17.838959907261696</v>
      </c>
      <c r="BL36" s="14">
        <f t="shared" ca="1" si="24"/>
        <v>192.92851097328759</v>
      </c>
      <c r="BM36" s="1">
        <f t="shared" ca="1" si="29"/>
        <v>1.1596026035867004</v>
      </c>
      <c r="BO36" s="16">
        <f ca="1">'Airfoil-Turn'!J36</f>
        <v>5.2436160925431574</v>
      </c>
      <c r="BP36" s="1">
        <f ca="1">BO36/(1+BO36/(PI()*'Aerodynamics-Constants'!I36)*(1+AB36))</f>
        <v>4.4303367486679699</v>
      </c>
      <c r="BR36" s="12">
        <v>6</v>
      </c>
      <c r="BS36" s="1">
        <f t="shared" si="25"/>
        <v>3.9783893429633941</v>
      </c>
      <c r="BT36" s="1">
        <f>Stability!W36</f>
        <v>2.8131460826097094</v>
      </c>
      <c r="BV36" s="12">
        <v>6</v>
      </c>
      <c r="BW36" s="1">
        <f t="shared" si="26"/>
        <v>3.9959918173096995</v>
      </c>
      <c r="BX36" s="1">
        <f>Stability!Y36</f>
        <v>2.8255929115856442</v>
      </c>
    </row>
    <row r="37" spans="2:76">
      <c r="B37" s="16">
        <f>Turn!F37</f>
        <v>0.65969672852566186</v>
      </c>
      <c r="C37" s="74">
        <f>'Airfoil-Turn'!E37</f>
        <v>1.5987591530356481E-5</v>
      </c>
      <c r="E37" s="19">
        <f ca="1">Turn!H37</f>
        <v>131.79789717184198</v>
      </c>
      <c r="F37" s="63">
        <f>Weight!G37</f>
        <v>0.3</v>
      </c>
      <c r="H37" s="20">
        <f ca="1">'Aerodynamics-Cruise'!H37</f>
        <v>22.215604931199326</v>
      </c>
      <c r="I37" s="20">
        <f t="shared" ca="1" si="27"/>
        <v>17.466986276131863</v>
      </c>
      <c r="J37" s="20">
        <f t="shared" ca="1" si="0"/>
        <v>1.2718625056433641</v>
      </c>
      <c r="L37" s="31">
        <f>Main!B37</f>
        <v>0.33333333333333326</v>
      </c>
      <c r="M37" s="31">
        <f>Main!C37</f>
        <v>2.7631578947368425</v>
      </c>
      <c r="N37" s="1">
        <f t="shared" si="1"/>
        <v>0.92105263157894723</v>
      </c>
      <c r="O37" s="1">
        <f t="shared" si="2"/>
        <v>8.2894736842105292</v>
      </c>
      <c r="P37" s="16">
        <f ca="1">'Aerodynamics-Constants'!AC37</f>
        <v>5.482534386108661E-2</v>
      </c>
      <c r="Q37" s="16">
        <f>'Aerodynamics-Constants'!AD37</f>
        <v>4.1447368421052646</v>
      </c>
      <c r="R37" s="63">
        <f>Stability!G37</f>
        <v>5.6500000000000012</v>
      </c>
      <c r="S37" s="16">
        <f ca="1">'Aerodynamics-Constants'!AM37</f>
        <v>2.2560622713503117E-2</v>
      </c>
      <c r="T37" s="16">
        <f>'Aerodynamics-Constants'!AN37</f>
        <v>4.1447368421052646</v>
      </c>
      <c r="V37" s="81">
        <f t="shared" ca="1" si="3"/>
        <v>305561.17781517137</v>
      </c>
      <c r="W37" s="63">
        <f ca="1">'Aerodynamics-Cruise'!W37*Turn!$B$9</f>
        <v>1.0392304845413263</v>
      </c>
      <c r="X37" s="42">
        <f ca="1">'Airfoil-Turn'!V37</f>
        <v>9.8927634996860952E-3</v>
      </c>
      <c r="Y37" s="14">
        <f t="shared" ca="1" si="4"/>
        <v>105.04956320590317</v>
      </c>
      <c r="Z37" s="16">
        <f ca="1">'Airfoil-Turn'!AF37</f>
        <v>-0.15499999999999906</v>
      </c>
      <c r="AA37" s="31">
        <f>Main!I37</f>
        <v>1.1225333603782677</v>
      </c>
      <c r="AB37" s="12">
        <f t="shared" si="5"/>
        <v>-0.10915787869055116</v>
      </c>
      <c r="AC37" s="30">
        <f t="shared" ca="1" si="6"/>
        <v>2.0355617703515936</v>
      </c>
      <c r="AD37" s="13">
        <f t="shared" ca="1" si="7"/>
        <v>2.0355617703515936</v>
      </c>
      <c r="AE37" s="13">
        <f ca="1">DEGREES(AF37/BP37)+'Airfoil-RCmax'!K37</f>
        <v>4.9584651266908555</v>
      </c>
      <c r="AF37" s="1">
        <f t="shared" ca="1" si="8"/>
        <v>1.0385747025163805</v>
      </c>
      <c r="AG37" s="16">
        <f ca="1">0.9*'Airfoil-Cruise'!I37</f>
        <v>1.4219153437204937</v>
      </c>
      <c r="AH37" s="42">
        <f ca="1">0.455/(LOG10(MIN(V37,'Aerodynamics-Constants'!L37)))^2.58</f>
        <v>5.6352817059361513E-3</v>
      </c>
      <c r="AI37" s="42">
        <f ca="1">+AH37*'Aerodynamics-Constants'!J37*'Aerodynamics-Constants'!M37</f>
        <v>0</v>
      </c>
      <c r="AJ37" s="10">
        <f ca="1">X37*COS(RADIANS(AC37))*'Aerodynamics-Constants'!M37+AI37</f>
        <v>9.8865209032874754E-3</v>
      </c>
      <c r="AK37" s="10">
        <f ca="1">AF37^2/(PI()*'Aerodynamics-Constants'!I37*AA37)</f>
        <v>3.6897708313993964E-2</v>
      </c>
      <c r="AL37" s="10">
        <f t="shared" ca="1" si="9"/>
        <v>4.6784229217281439E-2</v>
      </c>
      <c r="AM37" s="1">
        <f t="shared" ca="1" si="10"/>
        <v>-0.15499999999999906</v>
      </c>
      <c r="AN37" s="1">
        <f t="shared" ca="1" si="11"/>
        <v>-0.32365841810048163</v>
      </c>
      <c r="AO37" s="12">
        <f t="shared" si="28"/>
        <v>0.92936504226251027</v>
      </c>
      <c r="AP37" s="12">
        <f t="shared" si="12"/>
        <v>7.6003458840598448E-2</v>
      </c>
      <c r="AQ37" s="81">
        <f ca="1">B37*H37*'Aerodynamics-Constants'!AA37/C37</f>
        <v>105429.37487822691</v>
      </c>
      <c r="AR37" s="10">
        <f ca="1">0.455/(LOG10(MIN(AQ37,'Aerodynamics-Constants'!AG37)))^2.58</f>
        <v>7.0718811920961666E-3</v>
      </c>
      <c r="AS37" s="15">
        <f ca="1">AR37*'Aerodynamics-Constants'!AI37*'Aerodynamics-Constants'!AJ37*'Aerodynamics-Constants'!AE37/P37</f>
        <v>1.9671264733758527E-2</v>
      </c>
      <c r="AT37" s="10">
        <f t="shared" ca="1" si="13"/>
        <v>8.6564663967997457E-3</v>
      </c>
      <c r="AU37" s="10">
        <f t="shared" ca="1" si="14"/>
        <v>2.8327731130558274E-2</v>
      </c>
      <c r="AV37" s="12">
        <f t="shared" si="15"/>
        <v>0.94513157894736843</v>
      </c>
      <c r="AW37" s="12">
        <f t="shared" si="16"/>
        <v>5.8053737992482146E-2</v>
      </c>
      <c r="AX37" s="81">
        <f ca="1">B37*H37*'Aerodynamics-Constants'!AK37/C37</f>
        <v>67631.106165112229</v>
      </c>
      <c r="AY37" s="10">
        <f ca="1">0.455/(LOG10(MIN(AX37,'Aerodynamics-Constants'!AQ37)))^2.58</f>
        <v>7.8233690285772119E-3</v>
      </c>
      <c r="AZ37" s="15">
        <f ca="1">AY37*'Aerodynamics-Constants'!AS37*'Aerodynamics-Constants'!AT37*'Aerodynamics-Constants'!AO37/S37</f>
        <v>2.1761616052462789E-2</v>
      </c>
      <c r="BA37" s="81">
        <f ca="1">B37*H37*'Aerodynamics-Constants'!N37/C37</f>
        <v>2337543.0102860616</v>
      </c>
      <c r="BB37" s="10">
        <f ca="1">0.455/(LOG10(MIN(BA37,'Aerodynamics-Constants'!V37)))^2.58</f>
        <v>3.8330975008166036E-3</v>
      </c>
      <c r="BC37" s="10">
        <f ca="1">BB37*'Aerodynamics-Constants'!W37*'Aerodynamics-Constants'!X37*'Aerodynamics-Constants'!S37/N37+'Aerodynamics-Constants'!Z37</f>
        <v>1.9986850219699689E-3</v>
      </c>
      <c r="BD37" s="15">
        <f ca="1">BC37*'Aerodynamics-Constants'!AU37+(AJ37+AS37+AZ37)*('Aerodynamics-Constants'!AU37-1)</f>
        <v>7.33049369311785E-3</v>
      </c>
      <c r="BE37" s="16">
        <f t="shared" ca="1" si="17"/>
        <v>1.0193090455305525</v>
      </c>
      <c r="BF37" s="10">
        <f t="shared" ca="1" si="18"/>
        <v>1.8920977441520957E-2</v>
      </c>
      <c r="BG37" s="10">
        <f t="shared" ca="1" si="19"/>
        <v>3.7412981524834153E-2</v>
      </c>
      <c r="BH37" s="10">
        <f t="shared" ca="1" si="20"/>
        <v>5.633395896635511E-2</v>
      </c>
      <c r="BI37" s="13">
        <f t="shared" ca="1" si="21"/>
        <v>152.83434071129332</v>
      </c>
      <c r="BJ37" s="13">
        <f t="shared" ca="1" si="22"/>
        <v>8.4466664119502006</v>
      </c>
      <c r="BK37" s="13">
        <f t="shared" ca="1" si="23"/>
        <v>18.094042460948366</v>
      </c>
      <c r="BL37" s="14">
        <f t="shared" ca="1" si="24"/>
        <v>187.64780399351659</v>
      </c>
      <c r="BM37" s="1">
        <f t="shared" ca="1" si="29"/>
        <v>1.1596113746186967</v>
      </c>
      <c r="BO37" s="16">
        <f ca="1">'Airfoil-Turn'!J37</f>
        <v>5.2687042043364389</v>
      </c>
      <c r="BP37" s="1">
        <f ca="1">BO37/(1+BO37/(PI()*'Aerodynamics-Constants'!I37)*(1+AB37))</f>
        <v>4.464132418246396</v>
      </c>
      <c r="BR37" s="12">
        <v>6</v>
      </c>
      <c r="BS37" s="1">
        <f t="shared" si="25"/>
        <v>4.0111960541300551</v>
      </c>
      <c r="BT37" s="1">
        <f>Stability!W37</f>
        <v>2.8363439305440838</v>
      </c>
      <c r="BV37" s="12">
        <v>6</v>
      </c>
      <c r="BW37" s="1">
        <f t="shared" si="26"/>
        <v>4.0334992312104214</v>
      </c>
      <c r="BX37" s="1">
        <f>Stability!Y37</f>
        <v>2.8521146582996155</v>
      </c>
    </row>
    <row r="38" spans="2:76">
      <c r="B38" s="16">
        <f>Turn!F38</f>
        <v>0.65969672852566186</v>
      </c>
      <c r="C38" s="74">
        <f>'Airfoil-Turn'!E38</f>
        <v>1.5987591530356481E-5</v>
      </c>
      <c r="E38" s="19">
        <f ca="1">Turn!H38</f>
        <v>131.90942506193599</v>
      </c>
      <c r="F38" s="63">
        <f>Weight!G38</f>
        <v>0.3</v>
      </c>
      <c r="H38" s="20">
        <f ca="1">'Aerodynamics-Cruise'!H38</f>
        <v>21.913913889377955</v>
      </c>
      <c r="I38" s="20">
        <f t="shared" ca="1" si="27"/>
        <v>17.231603717764628</v>
      </c>
      <c r="J38" s="20">
        <f t="shared" ca="1" si="0"/>
        <v>1.271728055513845</v>
      </c>
      <c r="L38" s="31">
        <f>Main!B38</f>
        <v>0.33333333333333326</v>
      </c>
      <c r="M38" s="31">
        <f>Main!C38</f>
        <v>2.8421052631578951</v>
      </c>
      <c r="N38" s="1">
        <f t="shared" si="1"/>
        <v>0.94736842105263153</v>
      </c>
      <c r="O38" s="1">
        <f t="shared" si="2"/>
        <v>8.5263157894736867</v>
      </c>
      <c r="P38" s="16">
        <f ca="1">'Aerodynamics-Constants'!AC38</f>
        <v>5.6028368192781342E-2</v>
      </c>
      <c r="Q38" s="16">
        <f>'Aerodynamics-Constants'!AD38</f>
        <v>4.2631578947368434</v>
      </c>
      <c r="R38" s="63">
        <f>Stability!G38</f>
        <v>5.6500000000000012</v>
      </c>
      <c r="S38" s="16">
        <f ca="1">'Aerodynamics-Constants'!AM38</f>
        <v>2.3634030155455236E-2</v>
      </c>
      <c r="T38" s="16">
        <f>'Aerodynamics-Constants'!AN38</f>
        <v>4.2631578947368434</v>
      </c>
      <c r="V38" s="81">
        <f t="shared" ca="1" si="3"/>
        <v>301411.6140125778</v>
      </c>
      <c r="W38" s="63">
        <f ca="1">'Aerodynamics-Cruise'!W38*Turn!$B$9</f>
        <v>1.0392304845413263</v>
      </c>
      <c r="X38" s="42">
        <f ca="1">'Airfoil-Turn'!V38</f>
        <v>9.9887042738891936E-3</v>
      </c>
      <c r="Y38" s="14">
        <f t="shared" ca="1" si="4"/>
        <v>104.04056983225637</v>
      </c>
      <c r="Z38" s="16">
        <f ca="1">'Airfoil-Turn'!AF38</f>
        <v>-0.15499999999999906</v>
      </c>
      <c r="AA38" s="31">
        <f>Main!I38</f>
        <v>1.1160064675431407</v>
      </c>
      <c r="AB38" s="12">
        <f t="shared" si="5"/>
        <v>-0.10394784521144029</v>
      </c>
      <c r="AC38" s="30">
        <f t="shared" ca="1" si="6"/>
        <v>1.9906474006034274</v>
      </c>
      <c r="AD38" s="13">
        <f t="shared" ca="1" si="7"/>
        <v>1.9906474006034274</v>
      </c>
      <c r="AE38" s="13">
        <f ca="1">DEGREES(AF38/BP38)+'Airfoil-RCmax'!K38</f>
        <v>4.9382367486377863</v>
      </c>
      <c r="AF38" s="1">
        <f t="shared" ca="1" si="8"/>
        <v>1.0386033198318312</v>
      </c>
      <c r="AG38" s="16">
        <f ca="1">0.9*'Airfoil-Cruise'!I38</f>
        <v>1.4216450974493928</v>
      </c>
      <c r="AH38" s="42">
        <f ca="1">0.455/(LOG10(MIN(V38,'Aerodynamics-Constants'!L38)))^2.58</f>
        <v>5.6510522765238465E-3</v>
      </c>
      <c r="AI38" s="42">
        <f ca="1">+AH38*'Aerodynamics-Constants'!J38*'Aerodynamics-Constants'!M38</f>
        <v>0</v>
      </c>
      <c r="AJ38" s="10">
        <f ca="1">X38*COS(RADIANS(AC38))*'Aerodynamics-Constants'!M38+AI38</f>
        <v>9.9826761955106695E-3</v>
      </c>
      <c r="AK38" s="10">
        <f ca="1">AF38^2/(PI()*'Aerodynamics-Constants'!I38*AA38)</f>
        <v>3.608456009241056E-2</v>
      </c>
      <c r="AL38" s="10">
        <f t="shared" ca="1" si="9"/>
        <v>4.6067236287921226E-2</v>
      </c>
      <c r="AM38" s="1">
        <f t="shared" ca="1" si="10"/>
        <v>-0.15499999999999906</v>
      </c>
      <c r="AN38" s="1">
        <f t="shared" ca="1" si="11"/>
        <v>-0.32575322560273884</v>
      </c>
      <c r="AO38" s="12">
        <f t="shared" si="28"/>
        <v>0.92529118240476216</v>
      </c>
      <c r="AP38" s="12">
        <f t="shared" si="12"/>
        <v>8.0740872728382929E-2</v>
      </c>
      <c r="AQ38" s="81">
        <f ca="1">B38*H38*'Aerodynamics-Constants'!AA38/C38</f>
        <v>103661.98369115505</v>
      </c>
      <c r="AR38" s="10">
        <f ca="1">0.455/(LOG10(MIN(AQ38,'Aerodynamics-Constants'!AG38)))^2.58</f>
        <v>7.0986207004322087E-3</v>
      </c>
      <c r="AS38" s="15">
        <f ca="1">AR38*'Aerodynamics-Constants'!AI38*'Aerodynamics-Constants'!AJ38*'Aerodynamics-Constants'!AE38/P38</f>
        <v>1.9745643803915514E-2</v>
      </c>
      <c r="AT38" s="10">
        <f t="shared" ca="1" si="13"/>
        <v>8.5628381514846318E-3</v>
      </c>
      <c r="AU38" s="10">
        <f t="shared" ca="1" si="14"/>
        <v>2.8308481955400144E-2</v>
      </c>
      <c r="AV38" s="12">
        <f t="shared" si="15"/>
        <v>0.94442105263157905</v>
      </c>
      <c r="AW38" s="12">
        <f t="shared" si="16"/>
        <v>5.884975479268828E-2</v>
      </c>
      <c r="AX38" s="81">
        <f ca="1">B38*H38*'Aerodynamics-Constants'!AK38/C38</f>
        <v>67326.249314754285</v>
      </c>
      <c r="AY38" s="10">
        <f ca="1">0.455/(LOG10(MIN(AX38,'Aerodynamics-Constants'!AQ38)))^2.58</f>
        <v>7.8315741220038246E-3</v>
      </c>
      <c r="AZ38" s="15">
        <f ca="1">AY38*'Aerodynamics-Constants'!AS38*'Aerodynamics-Constants'!AT38*'Aerodynamics-Constants'!AO38/S38</f>
        <v>2.1784439479578685E-2</v>
      </c>
      <c r="BA38" s="81">
        <f ca="1">B38*H38*'Aerodynamics-Constants'!N38/C38</f>
        <v>2305798.8471962204</v>
      </c>
      <c r="BB38" s="10">
        <f ca="1">0.455/(LOG10(MIN(BA38,'Aerodynamics-Constants'!V38)))^2.58</f>
        <v>3.8423337208316265E-3</v>
      </c>
      <c r="BC38" s="10">
        <f ca="1">BB38*'Aerodynamics-Constants'!W38*'Aerodynamics-Constants'!X38*'Aerodynamics-Constants'!S38/N38+'Aerodynamics-Constants'!Z38</f>
        <v>1.9478443201317089E-3</v>
      </c>
      <c r="BD38" s="15">
        <f ca="1">BC38*'Aerodynamics-Constants'!AU38+(AJ38+AS38+AZ38)*('Aerodynamics-Constants'!AU38-1)</f>
        <v>7.293904700045371E-3</v>
      </c>
      <c r="BE38" s="16">
        <f t="shared" ca="1" si="17"/>
        <v>1.0193379302975494</v>
      </c>
      <c r="BF38" s="10">
        <f t="shared" ca="1" si="18"/>
        <v>1.8987816213098124E-2</v>
      </c>
      <c r="BG38" s="10">
        <f t="shared" ca="1" si="19"/>
        <v>3.6590975377177502E-2</v>
      </c>
      <c r="BH38" s="10">
        <f t="shared" ca="1" si="20"/>
        <v>5.5578791590275622E-2</v>
      </c>
      <c r="BI38" s="13">
        <f t="shared" ca="1" si="21"/>
        <v>152.96473734592558</v>
      </c>
      <c r="BJ38" s="13">
        <f t="shared" ca="1" si="22"/>
        <v>8.3403109066379919</v>
      </c>
      <c r="BK38" s="13">
        <f t="shared" ca="1" si="23"/>
        <v>18.340411893300296</v>
      </c>
      <c r="BL38" s="14">
        <f t="shared" ca="1" si="24"/>
        <v>182.76885501870473</v>
      </c>
      <c r="BM38" s="1">
        <f t="shared" ca="1" si="29"/>
        <v>1.1596194682381749</v>
      </c>
      <c r="BO38" s="16">
        <f ca="1">'Airfoil-Turn'!J38</f>
        <v>5.292990303801739</v>
      </c>
      <c r="BP38" s="1">
        <f ca="1">BO38/(1+BO38/(PI()*'Aerodynamics-Constants'!I38)*(1+AB38))</f>
        <v>4.4967847538620438</v>
      </c>
      <c r="BR38" s="12">
        <v>6</v>
      </c>
      <c r="BS38" s="1">
        <f t="shared" si="25"/>
        <v>4.0426828290456038</v>
      </c>
      <c r="BT38" s="1">
        <f>Stability!W38</f>
        <v>2.858608442604563</v>
      </c>
      <c r="BV38" s="12">
        <v>6</v>
      </c>
      <c r="BW38" s="1">
        <f t="shared" si="26"/>
        <v>4.0695737230182569</v>
      </c>
      <c r="BX38" s="1">
        <f>Stability!Y38</f>
        <v>2.8776231760847946</v>
      </c>
    </row>
    <row r="39" spans="2:76">
      <c r="B39" s="16">
        <f>Turn!F39</f>
        <v>0.65969672852566186</v>
      </c>
      <c r="C39" s="74">
        <f>'Airfoil-Turn'!E39</f>
        <v>1.5987591530356481E-5</v>
      </c>
      <c r="E39" s="19">
        <f ca="1">Turn!H39</f>
        <v>132.04710507840423</v>
      </c>
      <c r="F39" s="63">
        <f>Weight!G39</f>
        <v>0.3</v>
      </c>
      <c r="H39" s="20">
        <f ca="1">'Aerodynamics-Cruise'!H39</f>
        <v>21.626815672280991</v>
      </c>
      <c r="I39" s="20">
        <f t="shared" ca="1" si="27"/>
        <v>17.007576159570281</v>
      </c>
      <c r="J39" s="20">
        <f t="shared" ca="1" si="0"/>
        <v>1.2715989315215521</v>
      </c>
      <c r="L39" s="31">
        <f>Main!B39</f>
        <v>0.33333333333333326</v>
      </c>
      <c r="M39" s="31">
        <f>Main!C39</f>
        <v>2.9210526315789478</v>
      </c>
      <c r="N39" s="1">
        <f t="shared" si="1"/>
        <v>0.97368421052631571</v>
      </c>
      <c r="O39" s="1">
        <f t="shared" si="2"/>
        <v>8.763157894736846</v>
      </c>
      <c r="P39" s="16">
        <f ca="1">'Aerodynamics-Constants'!AC39</f>
        <v>5.7230970130204631E-2</v>
      </c>
      <c r="Q39" s="16">
        <f>'Aerodynamics-Constants'!AD39</f>
        <v>4.381578947368423</v>
      </c>
      <c r="R39" s="63">
        <f>Stability!G39</f>
        <v>5.6500000000000012</v>
      </c>
      <c r="S39" s="16">
        <f ca="1">'Aerodynamics-Constants'!AM39</f>
        <v>2.4734340811647802E-2</v>
      </c>
      <c r="T39" s="16">
        <f>'Aerodynamics-Constants'!AN39</f>
        <v>4.381578947368423</v>
      </c>
      <c r="V39" s="81">
        <f t="shared" ca="1" si="3"/>
        <v>297462.76501042506</v>
      </c>
      <c r="W39" s="63">
        <f ca="1">'Aerodynamics-Cruise'!W39*Turn!$B$9</f>
        <v>1.0392304845413263</v>
      </c>
      <c r="X39" s="42">
        <f ca="1">'Airfoil-Turn'!V39</f>
        <v>1.0082120286141685E-2</v>
      </c>
      <c r="Y39" s="14">
        <f t="shared" ca="1" si="4"/>
        <v>103.07658062459282</v>
      </c>
      <c r="Z39" s="16">
        <f ca="1">'Airfoil-Turn'!AF39</f>
        <v>-0.15499999999999906</v>
      </c>
      <c r="AA39" s="31">
        <f>Main!I39</f>
        <v>1.1095373430241193</v>
      </c>
      <c r="AB39" s="12">
        <f t="shared" si="5"/>
        <v>-9.8723439740719177E-2</v>
      </c>
      <c r="AC39" s="30">
        <f t="shared" ca="1" si="6"/>
        <v>1.948188486274804</v>
      </c>
      <c r="AD39" s="13">
        <f t="shared" ca="1" si="7"/>
        <v>1.948188486274804</v>
      </c>
      <c r="AE39" s="13">
        <f ca="1">DEGREES(AF39/BP39)+'Airfoil-RCmax'!K39</f>
        <v>4.919140610185428</v>
      </c>
      <c r="AF39" s="1">
        <f t="shared" ca="1" si="8"/>
        <v>1.0386297858042761</v>
      </c>
      <c r="AG39" s="16">
        <f ca="1">0.9*'Airfoil-Cruise'!I39</f>
        <v>1.4213844942605081</v>
      </c>
      <c r="AH39" s="42">
        <f ca="1">0.455/(LOG10(MIN(V39,'Aerodynamics-Constants'!L39)))^2.58</f>
        <v>5.6663210300650331E-3</v>
      </c>
      <c r="AI39" s="42">
        <f ca="1">+AH39*'Aerodynamics-Constants'!J39*'Aerodynamics-Constants'!M39</f>
        <v>0</v>
      </c>
      <c r="AJ39" s="10">
        <f ca="1">X39*COS(RADIANS(AC39))*'Aerodynamics-Constants'!M39+AI39</f>
        <v>1.0076292592465681E-2</v>
      </c>
      <c r="AK39" s="10">
        <f ca="1">AF39^2/(PI()*'Aerodynamics-Constants'!I39*AA39)</f>
        <v>3.5315805237346391E-2</v>
      </c>
      <c r="AL39" s="10">
        <f t="shared" ca="1" si="9"/>
        <v>4.5392097829812073E-2</v>
      </c>
      <c r="AM39" s="1">
        <f t="shared" ca="1" si="10"/>
        <v>-0.15499999999999906</v>
      </c>
      <c r="AN39" s="1">
        <f t="shared" ca="1" si="11"/>
        <v>-0.32776248104914363</v>
      </c>
      <c r="AO39" s="12">
        <f t="shared" si="28"/>
        <v>0.92125337952389075</v>
      </c>
      <c r="AP39" s="12">
        <f t="shared" si="12"/>
        <v>8.5477700517968325E-2</v>
      </c>
      <c r="AQ39" s="81">
        <f ca="1">B39*H39*'Aerodynamics-Constants'!AA39/C39</f>
        <v>101989.17964071946</v>
      </c>
      <c r="AR39" s="10">
        <f ca="1">0.455/(LOG10(MIN(AQ39,'Aerodynamics-Constants'!AG39)))^2.58</f>
        <v>7.1244851325446773E-3</v>
      </c>
      <c r="AS39" s="15">
        <f ca="1">AR39*'Aerodynamics-Constants'!AI39*'Aerodynamics-Constants'!AJ39*'Aerodynamics-Constants'!AE39/P39</f>
        <v>1.9817588747198973E-2</v>
      </c>
      <c r="AT39" s="10">
        <f t="shared" ca="1" si="13"/>
        <v>8.4714717880743744E-3</v>
      </c>
      <c r="AU39" s="10">
        <f t="shared" ca="1" si="14"/>
        <v>2.8289060535273348E-2</v>
      </c>
      <c r="AV39" s="12">
        <f t="shared" si="15"/>
        <v>0.94371052631578956</v>
      </c>
      <c r="AW39" s="12">
        <f t="shared" si="16"/>
        <v>5.9646970246228337E-2</v>
      </c>
      <c r="AX39" s="81">
        <f ca="1">B39*H39*'Aerodynamics-Constants'!AK39/C39</f>
        <v>67048.445750471976</v>
      </c>
      <c r="AY39" s="10">
        <f ca="1">0.455/(LOG10(MIN(AX39,'Aerodynamics-Constants'!AQ39)))^2.58</f>
        <v>7.839093975173312E-3</v>
      </c>
      <c r="AZ39" s="15">
        <f ca="1">AY39*'Aerodynamics-Constants'!AS39*'Aerodynamics-Constants'!AT39*'Aerodynamics-Constants'!AO39/S39</f>
        <v>2.1805356830766839E-2</v>
      </c>
      <c r="BA39" s="81">
        <f ca="1">B39*H39*'Aerodynamics-Constants'!N39/C39</f>
        <v>2275590.1523297527</v>
      </c>
      <c r="BB39" s="10">
        <f ca="1">0.455/(LOG10(MIN(BA39,'Aerodynamics-Constants'!V39)))^2.58</f>
        <v>3.851271314310531E-3</v>
      </c>
      <c r="BC39" s="10">
        <f ca="1">BB39*'Aerodynamics-Constants'!W39*'Aerodynamics-Constants'!X39*'Aerodynamics-Constants'!S39/N39+'Aerodynamics-Constants'!Z39</f>
        <v>1.89960459225589E-3</v>
      </c>
      <c r="BD39" s="15">
        <f ca="1">BC39*'Aerodynamics-Constants'!AU39+(AJ39+AS39+AZ39)*('Aerodynamics-Constants'!AU39-1)</f>
        <v>7.2594888685246339E-3</v>
      </c>
      <c r="BE39" s="16">
        <f t="shared" ca="1" si="17"/>
        <v>1.0193646436155313</v>
      </c>
      <c r="BF39" s="10">
        <f t="shared" ca="1" si="18"/>
        <v>1.9054532714141273E-2</v>
      </c>
      <c r="BG39" s="10">
        <f t="shared" ca="1" si="19"/>
        <v>3.581373931455617E-2</v>
      </c>
      <c r="BH39" s="10">
        <f t="shared" ca="1" si="20"/>
        <v>5.4868272028697443E-2</v>
      </c>
      <c r="BI39" s="13">
        <f t="shared" ca="1" si="21"/>
        <v>153.12538221468176</v>
      </c>
      <c r="BJ39" s="13">
        <f t="shared" ca="1" si="22"/>
        <v>8.2421194206361612</v>
      </c>
      <c r="BK39" s="13">
        <f t="shared" ca="1" si="23"/>
        <v>18.578398880183041</v>
      </c>
      <c r="BL39" s="14">
        <f t="shared" ca="1" si="24"/>
        <v>178.25079745902565</v>
      </c>
      <c r="BM39" s="1">
        <f t="shared" ca="1" si="29"/>
        <v>1.1596269537583737</v>
      </c>
      <c r="BO39" s="16">
        <f ca="1">'Airfoil-Turn'!J39</f>
        <v>5.3165202356262853</v>
      </c>
      <c r="BP39" s="1">
        <f ca="1">BO39/(1+BO39/(PI()*'Aerodynamics-Constants'!I39)*(1+AB39))</f>
        <v>4.5283577376734971</v>
      </c>
      <c r="BR39" s="12">
        <v>6</v>
      </c>
      <c r="BS39" s="1">
        <f t="shared" si="25"/>
        <v>4.07292669268785</v>
      </c>
      <c r="BT39" s="1">
        <f>Stability!W39</f>
        <v>2.8799940836752764</v>
      </c>
      <c r="BV39" s="12">
        <v>6</v>
      </c>
      <c r="BW39" s="1">
        <f t="shared" si="26"/>
        <v>4.1042957459386722</v>
      </c>
      <c r="BX39" s="1">
        <f>Stability!Y39</f>
        <v>2.9021753539483348</v>
      </c>
    </row>
    <row r="40" spans="2:76">
      <c r="B40" s="16">
        <f>Turn!F40</f>
        <v>0.65969672852566186</v>
      </c>
      <c r="C40" s="74">
        <f>'Airfoil-Turn'!E40</f>
        <v>1.5987591530356481E-5</v>
      </c>
      <c r="E40" s="19">
        <f ca="1">Turn!H40</f>
        <v>109.48016672982719</v>
      </c>
      <c r="F40" s="63">
        <f>Weight!G40</f>
        <v>0.3</v>
      </c>
      <c r="H40" s="20">
        <f ca="1">'Aerodynamics-Cruise'!H40</f>
        <v>19.43145462796252</v>
      </c>
      <c r="I40" s="20">
        <f t="shared" ca="1" si="27"/>
        <v>15.292475643279261</v>
      </c>
      <c r="J40" s="20">
        <f t="shared" ca="1" si="0"/>
        <v>1.2706546069604014</v>
      </c>
      <c r="L40" s="31">
        <f>Main!B40</f>
        <v>0.33333333333333326</v>
      </c>
      <c r="M40" s="31">
        <f>Main!C40</f>
        <v>3</v>
      </c>
      <c r="N40" s="1">
        <f t="shared" si="1"/>
        <v>0.99999999999999978</v>
      </c>
      <c r="O40" s="1">
        <f t="shared" si="2"/>
        <v>9.0000000000000018</v>
      </c>
      <c r="P40" s="16">
        <f ca="1">'Aerodynamics-Constants'!AC40</f>
        <v>6.0005710882722572E-2</v>
      </c>
      <c r="Q40" s="16">
        <f>'Aerodynamics-Constants'!AD40</f>
        <v>4.5000000000000009</v>
      </c>
      <c r="R40" s="63">
        <f>Stability!G40</f>
        <v>5.6500000000000012</v>
      </c>
      <c r="S40" s="16">
        <f ca="1">'Aerodynamics-Constants'!AM40</f>
        <v>2.5861490283211861E-2</v>
      </c>
      <c r="T40" s="16">
        <f>'Aerodynamics-Constants'!AN40</f>
        <v>4.5000000000000009</v>
      </c>
      <c r="V40" s="81">
        <f t="shared" ca="1" si="3"/>
        <v>267267.00358466222</v>
      </c>
      <c r="W40" s="63">
        <f ca="1">'Aerodynamics-Cruise'!W40*Turn!$B$9</f>
        <v>1.0392304845413263</v>
      </c>
      <c r="X40" s="42">
        <f ca="1">'Airfoil-Turn'!V40</f>
        <v>1.0873244503040148E-2</v>
      </c>
      <c r="Y40" s="14">
        <f t="shared" ca="1" si="4"/>
        <v>95.576852360007024</v>
      </c>
      <c r="Z40" s="16">
        <f ca="1">'Airfoil-Turn'!AF40</f>
        <v>-0.15499999999999919</v>
      </c>
      <c r="AA40" s="31">
        <f>Main!I40</f>
        <v>1.1031239342794878</v>
      </c>
      <c r="AB40" s="12">
        <f t="shared" si="5"/>
        <v>-9.3483543484933929E-2</v>
      </c>
      <c r="AC40" s="30">
        <f t="shared" ca="1" si="6"/>
        <v>1.9079938582249449</v>
      </c>
      <c r="AD40" s="13">
        <f t="shared" ca="1" si="7"/>
        <v>1.9079938582249449</v>
      </c>
      <c r="AE40" s="13">
        <f ca="1">DEGREES(AF40/BP40)+'Airfoil-RCmax'!K40</f>
        <v>5.0514498989464869</v>
      </c>
      <c r="AF40" s="1">
        <f t="shared" ca="1" si="8"/>
        <v>1.0386543148251945</v>
      </c>
      <c r="AG40" s="16">
        <f ca="1">0.9*'Airfoil-Cruise'!I40</f>
        <v>1.4192714258176737</v>
      </c>
      <c r="AH40" s="42">
        <f ca="1">0.455/(LOG10(MIN(V40,'Aerodynamics-Constants'!L40)))^2.58</f>
        <v>5.7923972861834427E-3</v>
      </c>
      <c r="AI40" s="42">
        <f ca="1">+AH40*'Aerodynamics-Constants'!J40*'Aerodynamics-Constants'!M40</f>
        <v>0</v>
      </c>
      <c r="AJ40" s="10">
        <f ca="1">X40*COS(RADIANS(AC40))*'Aerodynamics-Constants'!M40+AI40</f>
        <v>1.086721616352169E-2</v>
      </c>
      <c r="AK40" s="10">
        <f ca="1">AF40^2/(PI()*'Aerodynamics-Constants'!I40*AA40)</f>
        <v>3.4587993572071367E-2</v>
      </c>
      <c r="AL40" s="10">
        <f t="shared" ca="1" si="9"/>
        <v>4.5455209735593055E-2</v>
      </c>
      <c r="AM40" s="1">
        <f t="shared" ca="1" si="10"/>
        <v>-0.15499999999999919</v>
      </c>
      <c r="AN40" s="1">
        <f t="shared" ca="1" si="11"/>
        <v>-0.32105132431829442</v>
      </c>
      <c r="AO40" s="12">
        <f>MAX(0,(1.78*(1-0.045*Q40^0.68)-0.64))*1</f>
        <v>0.9172503524946326</v>
      </c>
      <c r="AP40" s="12">
        <f t="shared" si="12"/>
        <v>9.0214898561024714E-2</v>
      </c>
      <c r="AQ40" s="81">
        <f ca="1">B40*H40*'Aerodynamics-Constants'!AA40/C40</f>
        <v>92588.41259516486</v>
      </c>
      <c r="AR40" s="10">
        <f ca="1">0.455/(LOG10(MIN(AQ40,'Aerodynamics-Constants'!AG40)))^2.58</f>
        <v>7.2809572985127989E-3</v>
      </c>
      <c r="AS40" s="15">
        <f ca="1">AR40*'Aerodynamics-Constants'!AI40*'Aerodynamics-Constants'!AJ40*'Aerodynamics-Constants'!AE40/P40</f>
        <v>2.0252834379388553E-2</v>
      </c>
      <c r="AT40" s="10">
        <f t="shared" ca="1" si="13"/>
        <v>7.9487466983035309E-3</v>
      </c>
      <c r="AU40" s="10">
        <f t="shared" ca="1" si="14"/>
        <v>2.8201581077692085E-2</v>
      </c>
      <c r="AV40" s="12">
        <f t="shared" si="15"/>
        <v>0.94300000000000006</v>
      </c>
      <c r="AW40" s="12">
        <f t="shared" si="16"/>
        <v>6.0445387062566303E-2</v>
      </c>
      <c r="AX40" s="81">
        <f ca="1">B40*H40*'Aerodynamics-Constants'!AK40/C40</f>
        <v>60783.697708425883</v>
      </c>
      <c r="AY40" s="10">
        <f ca="1">0.455/(LOG10(MIN(AX40,'Aerodynamics-Constants'!AQ40)))^2.58</f>
        <v>8.0204740306452395E-3</v>
      </c>
      <c r="AZ40" s="15">
        <f ca="1">AY40*'Aerodynamics-Constants'!AS40*'Aerodynamics-Constants'!AT40*'Aerodynamics-Constants'!AO40/S40</f>
        <v>2.23098866710871E-2</v>
      </c>
      <c r="BA40" s="81">
        <f ca="1">B40*H40*'Aerodynamics-Constants'!N40/C40</f>
        <v>2044592.5774226666</v>
      </c>
      <c r="BB40" s="10">
        <f ca="1">0.455/(LOG10(MIN(BA40,'Aerodynamics-Constants'!V40)))^2.58</f>
        <v>3.9248937797816165E-3</v>
      </c>
      <c r="BC40" s="10">
        <f ca="1">BB40*'Aerodynamics-Constants'!W40*'Aerodynamics-Constants'!X40*'Aerodynamics-Constants'!S40/N40+'Aerodynamics-Constants'!Z40</f>
        <v>1.8849435242233818E-3</v>
      </c>
      <c r="BD40" s="15">
        <f ca="1">BC40*'Aerodynamics-Constants'!AU40+(AJ40+AS40+AZ40)*('Aerodynamics-Constants'!AU40-1)</f>
        <v>7.4164315980454597E-3</v>
      </c>
      <c r="BE40" s="16">
        <f t="shared" ca="1" si="17"/>
        <v>1.0193894018796357</v>
      </c>
      <c r="BF40" s="10">
        <f t="shared" ca="1" si="18"/>
        <v>2.0075900403256283E-2</v>
      </c>
      <c r="BG40" s="10">
        <f t="shared" ca="1" si="19"/>
        <v>3.5064963768329765E-2</v>
      </c>
      <c r="BH40" s="10">
        <f t="shared" ca="1" si="20"/>
        <v>5.5140864171586049E-2</v>
      </c>
      <c r="BI40" s="13">
        <f t="shared" ca="1" si="21"/>
        <v>126.95946234349589</v>
      </c>
      <c r="BJ40" s="13">
        <f t="shared" ca="1" si="22"/>
        <v>6.8674977937497745</v>
      </c>
      <c r="BK40" s="13">
        <f t="shared" ca="1" si="23"/>
        <v>18.487004460204389</v>
      </c>
      <c r="BL40" s="14">
        <f t="shared" ca="1" si="24"/>
        <v>133.44547178688146</v>
      </c>
      <c r="BM40" s="1">
        <f t="shared" ca="1" si="29"/>
        <v>1.1596571884732669</v>
      </c>
      <c r="BO40" s="16">
        <f ca="1">'Airfoil-Turn'!J40</f>
        <v>5.5113790317283726</v>
      </c>
      <c r="BP40" s="1">
        <f ca="1">BO40/(1+BO40/(PI()*'Aerodynamics-Constants'!I40)*(1+AB40))</f>
        <v>4.6837474418984737</v>
      </c>
      <c r="BR40" s="12">
        <v>6</v>
      </c>
      <c r="BS40" s="1">
        <f t="shared" si="25"/>
        <v>4.101998731574878</v>
      </c>
      <c r="BT40" s="1">
        <f>Stability!W40</f>
        <v>2.9005511195152129</v>
      </c>
      <c r="BV40" s="12">
        <v>6</v>
      </c>
      <c r="BW40" s="1">
        <f t="shared" si="26"/>
        <v>4.1377398406157262</v>
      </c>
      <c r="BX40" s="1">
        <f>Stability!Y40</f>
        <v>2.9258239000851245</v>
      </c>
    </row>
    <row r="42" spans="2:76">
      <c r="D42" s="4"/>
    </row>
    <row r="44" spans="2:76">
      <c r="I44" s="14"/>
      <c r="M44" s="1"/>
      <c r="N44" s="1"/>
      <c r="O44" s="1"/>
      <c r="P44" s="1"/>
    </row>
    <row r="45" spans="2:76">
      <c r="I45" s="14"/>
    </row>
    <row r="46" spans="2:76">
      <c r="I46" s="14"/>
    </row>
    <row r="47" spans="2:76">
      <c r="I47" s="14"/>
    </row>
    <row r="48" spans="2:76">
      <c r="I48" s="14"/>
    </row>
    <row r="49" spans="9:9">
      <c r="I49" s="14"/>
    </row>
    <row r="50" spans="9:9">
      <c r="I50" s="14"/>
    </row>
    <row r="51" spans="9:9">
      <c r="I51" s="14"/>
    </row>
    <row r="52" spans="9:9">
      <c r="I52" s="14"/>
    </row>
    <row r="53" spans="9:9">
      <c r="I53" s="14"/>
    </row>
    <row r="54" spans="9:9">
      <c r="I54" s="14"/>
    </row>
    <row r="55" spans="9:9">
      <c r="I55" s="14"/>
    </row>
    <row r="56" spans="9:9">
      <c r="I56" s="14"/>
    </row>
    <row r="57" spans="9:9">
      <c r="I57" s="14"/>
    </row>
    <row r="58" spans="9:9">
      <c r="I58" s="14"/>
    </row>
    <row r="59" spans="9:9">
      <c r="I59" s="14"/>
    </row>
    <row r="60" spans="9:9">
      <c r="I60" s="14"/>
    </row>
    <row r="61" spans="9:9">
      <c r="I61" s="14"/>
    </row>
    <row r="62" spans="9:9">
      <c r="I62" s="14"/>
    </row>
    <row r="63" spans="9:9">
      <c r="I63" s="14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BX63"/>
  <sheetViews>
    <sheetView topLeftCell="A7" zoomScale="110" zoomScaleNormal="110" workbookViewId="0">
      <selection activeCell="BS21" sqref="BS21"/>
    </sheetView>
  </sheetViews>
  <sheetFormatPr defaultRowHeight="12.75"/>
  <cols>
    <col min="23" max="23" width="9.5703125" bestFit="1" customWidth="1"/>
    <col min="47" max="47" width="9.42578125" customWidth="1"/>
    <col min="53" max="53" width="9.5703125" bestFit="1" customWidth="1"/>
    <col min="54" max="54" width="9.5703125" customWidth="1"/>
  </cols>
  <sheetData>
    <row r="1" spans="1:74">
      <c r="A1" s="17" t="s">
        <v>435</v>
      </c>
    </row>
    <row r="3" spans="1:74">
      <c r="A3" t="s">
        <v>270</v>
      </c>
    </row>
    <row r="4" spans="1:74">
      <c r="A4" s="17"/>
    </row>
    <row r="5" spans="1:74">
      <c r="A5" t="s">
        <v>367</v>
      </c>
      <c r="F5" s="6"/>
      <c r="G5" s="6"/>
      <c r="H5" s="6"/>
    </row>
    <row r="6" spans="1:74">
      <c r="A6" s="3" t="s">
        <v>48</v>
      </c>
      <c r="B6" s="16">
        <f>'Aerodynamics-Takeoff'!B6</f>
        <v>0.25</v>
      </c>
      <c r="E6" s="16"/>
      <c r="F6" s="6"/>
      <c r="G6" s="16"/>
      <c r="H6" s="6"/>
    </row>
    <row r="7" spans="1:74">
      <c r="A7" s="17"/>
    </row>
    <row r="8" spans="1:74">
      <c r="A8" s="17"/>
    </row>
    <row r="9" spans="1:74">
      <c r="A9" s="17"/>
    </row>
    <row r="15" spans="1:74">
      <c r="B15" t="s">
        <v>273</v>
      </c>
      <c r="E15" t="s">
        <v>277</v>
      </c>
      <c r="H15" t="s">
        <v>286</v>
      </c>
      <c r="L15" t="s">
        <v>279</v>
      </c>
      <c r="V15" t="s">
        <v>278</v>
      </c>
    </row>
    <row r="16" spans="1:74">
      <c r="L16" t="s">
        <v>367</v>
      </c>
      <c r="P16" t="s">
        <v>44</v>
      </c>
      <c r="S16" t="s">
        <v>46</v>
      </c>
      <c r="V16" t="s">
        <v>367</v>
      </c>
      <c r="AN16" t="s">
        <v>44</v>
      </c>
      <c r="AV16" t="s">
        <v>46</v>
      </c>
      <c r="BA16" t="s">
        <v>393</v>
      </c>
      <c r="BE16" t="s">
        <v>391</v>
      </c>
      <c r="BH16" s="10"/>
      <c r="BO16" t="s">
        <v>367</v>
      </c>
      <c r="BR16" t="s">
        <v>44</v>
      </c>
      <c r="BV16" t="s">
        <v>46</v>
      </c>
    </row>
    <row r="18" spans="2:76">
      <c r="B18" s="9" t="s">
        <v>29</v>
      </c>
      <c r="C18" s="9" t="s">
        <v>31</v>
      </c>
      <c r="E18" s="9" t="s">
        <v>34</v>
      </c>
      <c r="F18" s="9" t="s">
        <v>139</v>
      </c>
      <c r="H18" s="9" t="s">
        <v>40</v>
      </c>
      <c r="I18" s="9" t="s">
        <v>198</v>
      </c>
      <c r="J18" s="9" t="s">
        <v>199</v>
      </c>
      <c r="L18" s="9" t="s">
        <v>281</v>
      </c>
      <c r="M18" s="9" t="s">
        <v>280</v>
      </c>
      <c r="N18" s="9" t="s">
        <v>282</v>
      </c>
      <c r="O18" s="9" t="s">
        <v>100</v>
      </c>
      <c r="P18" s="9" t="s">
        <v>45</v>
      </c>
      <c r="Q18" s="9" t="s">
        <v>69</v>
      </c>
      <c r="R18" s="9" t="s">
        <v>49</v>
      </c>
      <c r="S18" s="9" t="s">
        <v>47</v>
      </c>
      <c r="T18" s="9" t="s">
        <v>173</v>
      </c>
      <c r="V18" s="9" t="s">
        <v>50</v>
      </c>
      <c r="W18" s="9" t="s">
        <v>52</v>
      </c>
      <c r="X18" s="9" t="s">
        <v>51</v>
      </c>
      <c r="Y18" s="9" t="s">
        <v>246</v>
      </c>
      <c r="Z18" s="9" t="s">
        <v>53</v>
      </c>
      <c r="AA18" s="9" t="s">
        <v>62</v>
      </c>
      <c r="AB18" s="9" t="s">
        <v>63</v>
      </c>
      <c r="AC18" s="9" t="s">
        <v>369</v>
      </c>
      <c r="AD18" s="9" t="s">
        <v>370</v>
      </c>
      <c r="AE18" s="9" t="s">
        <v>378</v>
      </c>
      <c r="AF18" s="9" t="s">
        <v>60</v>
      </c>
      <c r="AG18" s="9" t="s">
        <v>192</v>
      </c>
      <c r="AH18" s="47" t="s">
        <v>483</v>
      </c>
      <c r="AI18" s="47" t="s">
        <v>485</v>
      </c>
      <c r="AJ18" s="9" t="s">
        <v>65</v>
      </c>
      <c r="AK18" s="9" t="s">
        <v>61</v>
      </c>
      <c r="AL18" s="9" t="s">
        <v>67</v>
      </c>
      <c r="AM18" s="9" t="s">
        <v>66</v>
      </c>
      <c r="AN18" s="9" t="s">
        <v>64</v>
      </c>
      <c r="AO18" s="9" t="s">
        <v>68</v>
      </c>
      <c r="AP18" s="9" t="s">
        <v>167</v>
      </c>
      <c r="AQ18" s="9" t="s">
        <v>50</v>
      </c>
      <c r="AR18" s="9" t="s">
        <v>411</v>
      </c>
      <c r="AS18" s="9" t="s">
        <v>71</v>
      </c>
      <c r="AT18" s="9" t="s">
        <v>70</v>
      </c>
      <c r="AU18" s="9" t="s">
        <v>148</v>
      </c>
      <c r="AV18" s="9" t="s">
        <v>174</v>
      </c>
      <c r="AW18" s="9" t="s">
        <v>175</v>
      </c>
      <c r="AX18" s="9" t="s">
        <v>50</v>
      </c>
      <c r="AY18" s="9" t="s">
        <v>411</v>
      </c>
      <c r="AZ18" s="9" t="s">
        <v>72</v>
      </c>
      <c r="BA18" s="9" t="s">
        <v>50</v>
      </c>
      <c r="BB18" s="9" t="s">
        <v>406</v>
      </c>
      <c r="BC18" s="9" t="s">
        <v>410</v>
      </c>
      <c r="BD18" s="9" t="s">
        <v>638</v>
      </c>
      <c r="BE18" s="9" t="s">
        <v>54</v>
      </c>
      <c r="BF18" s="9" t="s">
        <v>149</v>
      </c>
      <c r="BG18" s="9" t="s">
        <v>150</v>
      </c>
      <c r="BH18" s="9" t="s">
        <v>55</v>
      </c>
      <c r="BI18" s="9" t="s">
        <v>56</v>
      </c>
      <c r="BJ18" s="9" t="s">
        <v>57</v>
      </c>
      <c r="BK18" s="9" t="s">
        <v>58</v>
      </c>
      <c r="BL18" s="9" t="s">
        <v>59</v>
      </c>
      <c r="BO18" s="9" t="s">
        <v>163</v>
      </c>
      <c r="BP18" s="9" t="s">
        <v>8</v>
      </c>
      <c r="BR18" s="9" t="s">
        <v>164</v>
      </c>
      <c r="BS18" s="9" t="s">
        <v>165</v>
      </c>
      <c r="BT18" s="9" t="s">
        <v>166</v>
      </c>
      <c r="BV18" s="9" t="s">
        <v>170</v>
      </c>
      <c r="BW18" s="9" t="s">
        <v>171</v>
      </c>
      <c r="BX18" s="9" t="s">
        <v>172</v>
      </c>
    </row>
    <row r="19" spans="2:76">
      <c r="B19" s="9" t="s">
        <v>30</v>
      </c>
      <c r="C19" s="9" t="s">
        <v>32</v>
      </c>
      <c r="E19" s="9" t="s">
        <v>35</v>
      </c>
      <c r="H19" s="9" t="s">
        <v>1</v>
      </c>
      <c r="I19" s="9" t="s">
        <v>1</v>
      </c>
      <c r="J19" s="9"/>
      <c r="L19" s="9" t="s">
        <v>4</v>
      </c>
      <c r="M19" s="9" t="s">
        <v>4</v>
      </c>
      <c r="N19" s="9" t="s">
        <v>43</v>
      </c>
      <c r="P19" s="9" t="s">
        <v>43</v>
      </c>
      <c r="S19" s="9" t="s">
        <v>43</v>
      </c>
      <c r="T19" s="9"/>
      <c r="AC19" s="9" t="s">
        <v>303</v>
      </c>
      <c r="AD19" s="9" t="s">
        <v>303</v>
      </c>
      <c r="AE19" s="9" t="s">
        <v>303</v>
      </c>
      <c r="BI19" s="9" t="s">
        <v>35</v>
      </c>
      <c r="BJ19" s="9" t="s">
        <v>35</v>
      </c>
      <c r="BK19" s="9"/>
      <c r="BL19" s="9" t="s">
        <v>34</v>
      </c>
      <c r="BO19" s="9" t="s">
        <v>162</v>
      </c>
      <c r="BP19" s="9" t="s">
        <v>162</v>
      </c>
      <c r="BR19" s="9" t="s">
        <v>162</v>
      </c>
      <c r="BS19" s="9" t="s">
        <v>162</v>
      </c>
      <c r="BT19" s="9" t="s">
        <v>162</v>
      </c>
      <c r="BV19" s="9" t="s">
        <v>162</v>
      </c>
      <c r="BW19" s="9" t="s">
        <v>162</v>
      </c>
      <c r="BX19" s="9" t="s">
        <v>162</v>
      </c>
    </row>
    <row r="21" spans="2:76">
      <c r="B21" s="16">
        <f>Cruise!F21</f>
        <v>0.65969672852566186</v>
      </c>
      <c r="C21" s="74">
        <f>'Airfoil-Cruise'!E21</f>
        <v>1.5987591530356481E-5</v>
      </c>
      <c r="E21" s="19">
        <f ca="1">Cruise!H21</f>
        <v>129.60277124917457</v>
      </c>
      <c r="F21" s="63">
        <f>Weight!G21</f>
        <v>0.3</v>
      </c>
      <c r="H21" s="20">
        <f ca="1">IF(ISERROR(BE21),5,SQRT(E21/(0.5*B21*N21*BE21)))</f>
        <v>29.912886947189744</v>
      </c>
      <c r="I21" s="20">
        <f ca="1">SQRT(E21/(0.5*B21*N21*AG21))</f>
        <v>23.460111671384258</v>
      </c>
      <c r="J21" s="20">
        <f t="shared" ref="J21:J40" ca="1" si="0">H21/I21</f>
        <v>1.2750530503090629</v>
      </c>
      <c r="L21" s="31">
        <f>Main!B21</f>
        <v>0.33333333333333326</v>
      </c>
      <c r="M21" s="31">
        <f>Main!C21</f>
        <v>1.5</v>
      </c>
      <c r="N21" s="1">
        <f t="shared" ref="N21:N40" si="1">L21*M21</f>
        <v>0.49999999999999989</v>
      </c>
      <c r="O21" s="1">
        <f t="shared" ref="O21:O40" si="2">M21^2/N21</f>
        <v>4.5000000000000009</v>
      </c>
      <c r="P21" s="16">
        <f ca="1">'Aerodynamics-Constants'!AC21</f>
        <v>3.5563162306008866E-2</v>
      </c>
      <c r="Q21" s="16">
        <f>'Aerodynamics-Constants'!AD21</f>
        <v>2.2500000000000004</v>
      </c>
      <c r="R21" s="63">
        <f>Stability!G21</f>
        <v>5.6500000000000012</v>
      </c>
      <c r="S21" s="16">
        <f ca="1">'Aerodynamics-Constants'!AM21</f>
        <v>9.1507568586259112E-3</v>
      </c>
      <c r="T21" s="16">
        <f>'Aerodynamics-Constants'!AN21</f>
        <v>2.2500000000000004</v>
      </c>
      <c r="V21" s="81">
        <f t="shared" ref="V21:V40" ca="1" si="3">B21*H21*L21/C21</f>
        <v>411432.27905529388</v>
      </c>
      <c r="W21" s="63">
        <f ca="1">MIN(Main!H21,'Airfoil 2'!$K$71*V21^'Airfoil 2'!$L$70*2,1*'Airfoil-Cruise'!I21/Takeoff!$B$10^2*0.9)</f>
        <v>0.9</v>
      </c>
      <c r="X21" s="42">
        <f ca="1">'Airfoil-Cruise'!V21</f>
        <v>6.8548600734297188E-3</v>
      </c>
      <c r="Y21" s="14">
        <f t="shared" ref="Y21:Y40" ca="1" si="4">W21/X21</f>
        <v>131.29370845781531</v>
      </c>
      <c r="Z21" s="16">
        <f ca="1">'Airfoil-Cruise'!AF21</f>
        <v>-0.15499999999999875</v>
      </c>
      <c r="AA21" s="31">
        <f>Main!I21</f>
        <v>1.2372503524946326</v>
      </c>
      <c r="AB21" s="12">
        <f>1/AA21-1</f>
        <v>-0.19175614055495838</v>
      </c>
      <c r="AC21" s="30">
        <f t="shared" ref="AC21:AC40" ca="1" si="5">IF(ISERROR(AD21),1,AD21)</f>
        <v>2.9442285792068441</v>
      </c>
      <c r="AD21" s="13">
        <f ca="1">DEGREES(W21*COS(RADIANS(AC21))/(PI()*O21)*(1+AB21))</f>
        <v>2.9442285792068441</v>
      </c>
      <c r="AE21" s="13">
        <f ca="1">DEGREES(AF21/BP21)+'Airfoil-Cruise'!K21</f>
        <v>3.5331833295772785</v>
      </c>
      <c r="AF21" s="1">
        <f ca="1">W21*COS(RADIANS(AC21))</f>
        <v>0.89881200468089772</v>
      </c>
      <c r="AG21" s="16">
        <f ca="1">0.9*'Airfoil-Cruise'!I21</f>
        <v>1.4278079600608844</v>
      </c>
      <c r="AH21" s="42">
        <f ca="1">0.455/(LOG10(MIN(V21,'Aerodynamics-Constants'!L21)))^2.58</f>
        <v>5.3067549766409837E-3</v>
      </c>
      <c r="AI21" s="42">
        <f ca="1">+AH21*'Aerodynamics-Constants'!J21*'Aerodynamics-Constants'!M21/N21</f>
        <v>0</v>
      </c>
      <c r="AJ21" s="10">
        <f ca="1">X21*COS(RADIANS(AC21))*'Aerodynamics-Constants'!M21+AI21</f>
        <v>6.8458116937849013E-3</v>
      </c>
      <c r="AK21" s="10">
        <f ca="1">AF21^2/(PI()*'Aerodynamics-Constants'!I21*AA21)</f>
        <v>4.6186787473787037E-2</v>
      </c>
      <c r="AL21" s="10">
        <f t="shared" ref="AL21:AL40" ca="1" si="6">AJ21+AK21</f>
        <v>5.3032599167571942E-2</v>
      </c>
      <c r="AM21" s="1">
        <f t="shared" ref="AM21:AM40" ca="1" si="7">Z21</f>
        <v>-0.15499999999999875</v>
      </c>
      <c r="AN21" s="1">
        <f t="shared" ref="AN21:AN40" ca="1" si="8">N21/(P21*(R21-F21))*(AM21+AF21*(F21-$B$6))</f>
        <v>-0.28922976880583656</v>
      </c>
      <c r="AO21" s="12">
        <f>MAX(0,(1.78*(1-0.045*Q21^0.68)-0.64))*1</f>
        <v>1.000967405130992</v>
      </c>
      <c r="AP21" s="12">
        <f t="shared" ref="AP21:AP40" si="9">1/AO21-1</f>
        <v>-9.6647016279760578E-4</v>
      </c>
      <c r="AQ21" s="81">
        <f ca="1">B21*H21*'Aerodynamics-Constants'!AA21/C21</f>
        <v>155177.42573145154</v>
      </c>
      <c r="AR21" s="10">
        <f ca="1">0.455/(LOG10(MIN(AQ21,'Aerodynamics-Constants'!AG21)))^2.58</f>
        <v>6.4968187644359786E-3</v>
      </c>
      <c r="AS21" s="15">
        <f ca="1">AR21*'Aerodynamics-Constants'!AI21*'Aerodynamics-Constants'!AJ21*'Aerodynamics-Constants'!AE21/P21</f>
        <v>1.8071661326169549E-2</v>
      </c>
      <c r="AT21" s="10">
        <f ca="1">AN21^2/(PI()*Q21*AO21)</f>
        <v>1.1823162385004828E-2</v>
      </c>
      <c r="AU21" s="10">
        <f t="shared" ref="AU21:AU40" ca="1" si="10">AS21+AT21</f>
        <v>2.9894823711174377E-2</v>
      </c>
      <c r="AV21" s="12">
        <f t="shared" ref="AV21:AV40" si="11">MIN(1,MAX(0,(1.78*(1-0.045*T21^0.68)-0.64)))*0+0.9*0+(0.91+(0.85-0.91)/(20-10)*(T21-10))</f>
        <v>0.95650000000000013</v>
      </c>
      <c r="AW21" s="12">
        <f t="shared" ref="AW21:AW40" si="12">1/AV21-1</f>
        <v>4.5478306325143603E-2</v>
      </c>
      <c r="AX21" s="81">
        <f ca="1">B21*H21*'Aerodynamics-Constants'!AK21/C21</f>
        <v>78714.884962616736</v>
      </c>
      <c r="AY21" s="10">
        <f ca="1">0.455/(LOG10(MIN(AX21,'Aerodynamics-Constants'!AQ21)))^2.58</f>
        <v>7.5545316882722341E-3</v>
      </c>
      <c r="AZ21" s="15">
        <f ca="1">AY21*'Aerodynamics-Constants'!AS21*'Aerodynamics-Constants'!AT21*'Aerodynamics-Constants'!AO21/S21</f>
        <v>2.1013813544500794E-2</v>
      </c>
      <c r="BA21" s="81">
        <f ca="1">B21*H21*'Aerodynamics-Constants'!N21/C21</f>
        <v>3147456.9347729986</v>
      </c>
      <c r="BB21" s="10">
        <f ca="1">0.455/(LOG10(MIN(BA21,'Aerodynamics-Constants'!V21)))^2.58</f>
        <v>3.6395415775558964E-3</v>
      </c>
      <c r="BC21" s="10">
        <f ca="1">BB21*'Aerodynamics-Constants'!W21*'Aerodynamics-Constants'!X21*'Aerodynamics-Constants'!S21/N21+'Aerodynamics-Constants'!Z21</f>
        <v>3.4960284436360237E-3</v>
      </c>
      <c r="BD21" s="15">
        <f ca="1">BC21*'Aerodynamics-Constants'!AU21+(AJ21+AS21*P21/N21+AZ21*S21/N21)*('Aerodynamics-Constants'!AU21-1)</f>
        <v>4.697208002038121E-3</v>
      </c>
      <c r="BE21" s="16">
        <f t="shared" ref="BE21:BE40" ca="1" si="13">AF21+P21/N21*AN21</f>
        <v>0.87824015425735491</v>
      </c>
      <c r="BF21" s="10">
        <f ca="1">AJ21+P21/N21*AS21+S21/N21*AZ21+BD21</f>
        <v>1.321297514242306E-2</v>
      </c>
      <c r="BG21" s="10">
        <f ca="1">AK21+P21/N21*AT21</f>
        <v>4.7027725559523489E-2</v>
      </c>
      <c r="BH21" s="10">
        <f t="shared" ref="BH21:BH40" ca="1" si="14">AL21+P21/N21*AU21+S21/N21*AZ21+BD21</f>
        <v>6.0240700701946551E-2</v>
      </c>
      <c r="BI21" s="13">
        <f t="shared" ref="BI21:BI40" ca="1" si="15">0.5*B21*H21^2*N21*BE21</f>
        <v>129.60277124917459</v>
      </c>
      <c r="BJ21" s="13">
        <f t="shared" ref="BJ21:BJ40" ca="1" si="16">0.5*B21*H21^2*N21*BH21</f>
        <v>8.8897799936810245</v>
      </c>
      <c r="BK21" s="13">
        <f t="shared" ref="BK21:BK40" ca="1" si="17">BI21/BJ21</f>
        <v>14.578850246158847</v>
      </c>
      <c r="BL21" s="14">
        <f t="shared" ref="BL21:BL40" ca="1" si="18">BJ21*H21</f>
        <v>265.91898393636961</v>
      </c>
      <c r="BO21" s="16">
        <f ca="1">'Airfoil-Cruise'!J21</f>
        <v>4.7670310826752447</v>
      </c>
      <c r="BP21" s="1">
        <f ca="1">BO21/(1+BO21/(PI()*'Aerodynamics-Constants'!I21)*(1+AB21))</f>
        <v>3.7460797695237082</v>
      </c>
      <c r="BR21" s="12">
        <v>6</v>
      </c>
      <c r="BS21" s="1">
        <f t="shared" ref="BS21:BS40" si="19">BR21/(1+BR21/(PI()*Q21)*(1+AP21))</f>
        <v>3.2467427092400318</v>
      </c>
      <c r="BT21" s="1">
        <f>Stability!W21</f>
        <v>2.2957937864716098</v>
      </c>
      <c r="BV21" s="12">
        <v>6</v>
      </c>
      <c r="BW21" s="1">
        <f t="shared" ref="BW21:BW40" si="20">BV21/(1+BV21/(PI()*T21)*(1+AW21))</f>
        <v>3.1789266013735289</v>
      </c>
      <c r="BX21" s="1">
        <f>Stability!Y21</f>
        <v>2.2478405567255271</v>
      </c>
    </row>
    <row r="22" spans="2:76">
      <c r="B22" s="16">
        <f>Cruise!F22</f>
        <v>0.65969672852566186</v>
      </c>
      <c r="C22" s="74">
        <f>'Airfoil-Cruise'!E22</f>
        <v>1.5987591530356481E-5</v>
      </c>
      <c r="E22" s="19">
        <f ca="1">Cruise!H22</f>
        <v>131.99424477497124</v>
      </c>
      <c r="F22" s="63">
        <f>Weight!G22</f>
        <v>0.3</v>
      </c>
      <c r="H22" s="20">
        <f ca="1">IF(ISERROR(BE22),5,SQRT(E22/(0.5*B22*N22*BE22)))</f>
        <v>29.421519599178584</v>
      </c>
      <c r="I22" s="20">
        <f t="shared" ref="I22:I40" ca="1" si="21">SQRT(E22/(0.5*B22*N22*AG22))</f>
        <v>23.078747160529637</v>
      </c>
      <c r="J22" s="20">
        <f t="shared" ca="1" si="0"/>
        <v>1.2748317486443395</v>
      </c>
      <c r="L22" s="31">
        <f>Main!B22</f>
        <v>0.33333333333333326</v>
      </c>
      <c r="M22" s="31">
        <f>Main!C22</f>
        <v>1.5789473684210527</v>
      </c>
      <c r="N22" s="1">
        <f t="shared" si="1"/>
        <v>0.52631578947368407</v>
      </c>
      <c r="O22" s="1">
        <f t="shared" si="2"/>
        <v>4.7368421052631593</v>
      </c>
      <c r="P22" s="16">
        <f ca="1">'Aerodynamics-Constants'!AC22</f>
        <v>3.6702909021930567E-2</v>
      </c>
      <c r="Q22" s="16">
        <f>'Aerodynamics-Constants'!AD22</f>
        <v>2.3684210526315796</v>
      </c>
      <c r="R22" s="63">
        <f>Stability!G22</f>
        <v>5.6500000000000012</v>
      </c>
      <c r="S22" s="16">
        <f ca="1">'Aerodynamics-Constants'!AM22</f>
        <v>9.7716352702972523E-3</v>
      </c>
      <c r="T22" s="16">
        <f>'Aerodynamics-Constants'!AN22</f>
        <v>2.3684210526315796</v>
      </c>
      <c r="V22" s="81">
        <f t="shared" ca="1" si="3"/>
        <v>404673.84118861449</v>
      </c>
      <c r="W22" s="63">
        <f ca="1">MIN(Main!H22,'Airfoil 2'!$K$71*V22^'Airfoil 2'!$L$70*2,1*'Airfoil-Cruise'!I22/Takeoff!$B$10^2*0.9)</f>
        <v>0.9</v>
      </c>
      <c r="X22" s="42">
        <f ca="1">'Airfoil-Cruise'!V22</f>
        <v>6.9435491164763132E-3</v>
      </c>
      <c r="Y22" s="14">
        <f t="shared" ca="1" si="4"/>
        <v>129.61671112319124</v>
      </c>
      <c r="Z22" s="16">
        <f ca="1">'Airfoil-Cruise'!AF22</f>
        <v>-0.15499999999999875</v>
      </c>
      <c r="AA22" s="31">
        <f>Main!I22</f>
        <v>1.2293438844505524</v>
      </c>
      <c r="AB22" s="12">
        <f t="shared" ref="AB22:AB40" si="22">1/AA22-1</f>
        <v>-0.1865579577459372</v>
      </c>
      <c r="AC22" s="30">
        <f t="shared" ca="1" si="5"/>
        <v>2.8153246389356452</v>
      </c>
      <c r="AD22" s="13">
        <f t="shared" ref="AD22:AD40" ca="1" si="23">DEGREES(W22*COS(RADIANS(AC22))/(PI()*O22)*(1+AB22))</f>
        <v>2.8153246389356452</v>
      </c>
      <c r="AE22" s="13">
        <f ca="1">DEGREES(AF22/BP22)+'Airfoil-Cruise'!K22</f>
        <v>3.4579920551160299</v>
      </c>
      <c r="AF22" s="1">
        <f t="shared" ref="AF22:AF40" ca="1" si="24">W22*COS(RADIANS(AC22))</f>
        <v>0.89891373239271433</v>
      </c>
      <c r="AG22" s="16">
        <f ca="1">0.9*'Airfoil-Cruise'!I22</f>
        <v>1.4274792472156612</v>
      </c>
      <c r="AH22" s="42">
        <f ca="1">0.455/(LOG10(MIN(V22,'Aerodynamics-Constants'!L22)))^2.58</f>
        <v>5.3243372084145054E-3</v>
      </c>
      <c r="AI22" s="42">
        <f ca="1">+AH22*'Aerodynamics-Constants'!J22*'Aerodynamics-Constants'!M22/N22</f>
        <v>0</v>
      </c>
      <c r="AJ22" s="10">
        <f ca="1">X22*COS(RADIANS(AC22))*'Aerodynamics-Constants'!M22+AI22</f>
        <v>6.9351685026042857E-3</v>
      </c>
      <c r="AK22" s="10">
        <f ca="1">AF22^2/(PI()*'Aerodynamics-Constants'!I22*AA22)</f>
        <v>4.4169640427092371E-2</v>
      </c>
      <c r="AL22" s="10">
        <f t="shared" ca="1" si="6"/>
        <v>5.1104808929696655E-2</v>
      </c>
      <c r="AM22" s="1">
        <f t="shared" ca="1" si="7"/>
        <v>-0.15499999999999875</v>
      </c>
      <c r="AN22" s="1">
        <f t="shared" ca="1" si="8"/>
        <v>-0.29498450130697684</v>
      </c>
      <c r="AO22" s="12">
        <f t="shared" ref="AO22:AO39" si="25">MAX(0,(1.78*(1-0.045*Q22^0.68)-0.64))*1</f>
        <v>0.9960324623343223</v>
      </c>
      <c r="AP22" s="12">
        <f t="shared" si="9"/>
        <v>3.9833417240029423E-3</v>
      </c>
      <c r="AQ22" s="81">
        <f ca="1">B22*H22*'Aerodynamics-Constants'!AA22/C22</f>
        <v>151128.77901903208</v>
      </c>
      <c r="AR22" s="10">
        <f ca="1">0.455/(LOG10(MIN(AQ22,'Aerodynamics-Constants'!AG22)))^2.58</f>
        <v>6.5340407328749748E-3</v>
      </c>
      <c r="AS22" s="15">
        <f ca="1">AR22*'Aerodynamics-Constants'!AI22*'Aerodynamics-Constants'!AJ22*'Aerodynamics-Constants'!AE22/P22</f>
        <v>1.8175198585236266E-2</v>
      </c>
      <c r="AT22" s="10">
        <f t="shared" ref="AT22:AT40" ca="1" si="26">AN22^2/(PI()*Q22*AO22)</f>
        <v>1.1741298203752998E-2</v>
      </c>
      <c r="AU22" s="10">
        <f t="shared" ca="1" si="10"/>
        <v>2.9916496788989264E-2</v>
      </c>
      <c r="AV22" s="12">
        <f t="shared" si="11"/>
        <v>0.95578947368421063</v>
      </c>
      <c r="AW22" s="12">
        <f t="shared" si="12"/>
        <v>4.625550660792932E-2</v>
      </c>
      <c r="AX22" s="81">
        <f ca="1">B22*H22*'Aerodynamics-Constants'!AK22/C22</f>
        <v>77979.519406623091</v>
      </c>
      <c r="AY22" s="10">
        <f ca="1">0.455/(LOG10(MIN(AX22,'Aerodynamics-Constants'!AQ22)))^2.58</f>
        <v>7.5707832709359648E-3</v>
      </c>
      <c r="AZ22" s="15">
        <f ca="1">AY22*'Aerodynamics-Constants'!AS22*'Aerodynamics-Constants'!AT22*'Aerodynamics-Constants'!AO22/S22</f>
        <v>2.1059019222627588E-2</v>
      </c>
      <c r="BA22" s="81">
        <f ca="1">B22*H22*'Aerodynamics-Constants'!N22/C22</f>
        <v>3095754.8850929015</v>
      </c>
      <c r="BB22" s="10">
        <f ca="1">0.455/(LOG10(MIN(BA22,'Aerodynamics-Constants'!V22)))^2.58</f>
        <v>3.6499569418661673E-3</v>
      </c>
      <c r="BC22" s="10">
        <f ca="1">BB22*'Aerodynamics-Constants'!W22*'Aerodynamics-Constants'!X22*'Aerodynamics-Constants'!S22/N22+'Aerodynamics-Constants'!Z22</f>
        <v>3.3307230767169486E-3</v>
      </c>
      <c r="BD22" s="15">
        <f ca="1">BC22*'Aerodynamics-Constants'!AU22+(AJ22+AS22*P22/N22+AZ22*S22/N22)*('Aerodynamics-Constants'!AU22-1)</f>
        <v>4.5231563405224709E-3</v>
      </c>
      <c r="BE22" s="16">
        <f t="shared" ca="1" si="13"/>
        <v>0.87834283269545022</v>
      </c>
      <c r="BF22" s="10">
        <f t="shared" ref="BF22:BF40" ca="1" si="27">AJ22+P22/N22*AS22+S22/N22*AZ22+BD22</f>
        <v>1.3116765901860731E-2</v>
      </c>
      <c r="BG22" s="10">
        <f t="shared" ref="BG22:BG40" ca="1" si="28">AK22+P22/N22*AT22</f>
        <v>4.4988426046658606E-2</v>
      </c>
      <c r="BH22" s="10">
        <f t="shared" ca="1" si="14"/>
        <v>5.810519194851934E-2</v>
      </c>
      <c r="BI22" s="13">
        <f t="shared" ca="1" si="15"/>
        <v>131.99424477497124</v>
      </c>
      <c r="BJ22" s="13">
        <f t="shared" ca="1" si="16"/>
        <v>8.7318421045382735</v>
      </c>
      <c r="BK22" s="13">
        <f t="shared" ca="1" si="17"/>
        <v>15.116425972289257</v>
      </c>
      <c r="BL22" s="14">
        <f t="shared" ca="1" si="18"/>
        <v>256.90406361560559</v>
      </c>
      <c r="BO22" s="16">
        <f ca="1">'Airfoil-Cruise'!J22</f>
        <v>4.7936617964996069</v>
      </c>
      <c r="BP22" s="1">
        <f ca="1">BO22/(1+BO22/(PI()*'Aerodynamics-Constants'!I22)*(1+AB22))</f>
        <v>3.798366246985196</v>
      </c>
      <c r="BR22" s="12">
        <v>6</v>
      </c>
      <c r="BS22" s="1">
        <f t="shared" si="19"/>
        <v>3.3156550852903828</v>
      </c>
      <c r="BT22" s="1">
        <f>Stability!W22</f>
        <v>2.3445221948844903</v>
      </c>
      <c r="BV22" s="12">
        <v>6</v>
      </c>
      <c r="BW22" s="1">
        <f t="shared" si="20"/>
        <v>3.2543523818462479</v>
      </c>
      <c r="BX22" s="1">
        <f>Stability!Y22</f>
        <v>2.3011746375740749</v>
      </c>
    </row>
    <row r="23" spans="2:76">
      <c r="B23" s="16">
        <f>Cruise!F23</f>
        <v>0.65969672852566186</v>
      </c>
      <c r="C23" s="74">
        <f>'Airfoil-Cruise'!E23</f>
        <v>1.5987591530356481E-5</v>
      </c>
      <c r="E23" s="19">
        <f ca="1">Cruise!H23</f>
        <v>134.24051129338258</v>
      </c>
      <c r="F23" s="63">
        <f>Weight!G23</f>
        <v>0.3</v>
      </c>
      <c r="H23" s="20">
        <f ca="1">IF(ISERROR(BE23),5,SQRT(E23/(0.5*B23*N23*BE23)))</f>
        <v>28.954278467487942</v>
      </c>
      <c r="I23" s="20">
        <f t="shared" ca="1" si="21"/>
        <v>22.715913401700096</v>
      </c>
      <c r="J23" s="20">
        <f t="shared" ca="1" si="0"/>
        <v>1.2746253234668943</v>
      </c>
      <c r="L23" s="31">
        <f>Main!B23</f>
        <v>0.33333333333333326</v>
      </c>
      <c r="M23" s="31">
        <f>Main!C23</f>
        <v>1.6578947368421053</v>
      </c>
      <c r="N23" s="1">
        <f t="shared" si="1"/>
        <v>0.55263157894736836</v>
      </c>
      <c r="O23" s="1">
        <f t="shared" si="2"/>
        <v>4.9736842105263168</v>
      </c>
      <c r="P23" s="16">
        <f ca="1">'Aerodynamics-Constants'!AC23</f>
        <v>3.7836985495348238E-2</v>
      </c>
      <c r="Q23" s="16">
        <f>'Aerodynamics-Constants'!AD23</f>
        <v>2.4868421052631584</v>
      </c>
      <c r="R23" s="63">
        <f>Stability!G23</f>
        <v>5.6500000000000012</v>
      </c>
      <c r="S23" s="16">
        <f ca="1">'Aerodynamics-Constants'!AM23</f>
        <v>1.0423408148040733E-2</v>
      </c>
      <c r="T23" s="16">
        <f>'Aerodynamics-Constants'!AN23</f>
        <v>2.4868421052631584</v>
      </c>
      <c r="V23" s="81">
        <f t="shared" ca="1" si="3"/>
        <v>398247.243715116</v>
      </c>
      <c r="W23" s="63">
        <f ca="1">MIN(Main!H23,'Airfoil 2'!$K$71*V23^'Airfoil 2'!$L$70*2,1*'Airfoil-Cruise'!I23/Takeoff!$B$10^2*0.9)</f>
        <v>0.9</v>
      </c>
      <c r="X23" s="42">
        <f ca="1">'Airfoil-Cruise'!V23</f>
        <v>7.0303585865609947E-3</v>
      </c>
      <c r="Y23" s="14">
        <f t="shared" ca="1" si="4"/>
        <v>128.01622974401488</v>
      </c>
      <c r="Z23" s="16">
        <f ca="1">'Airfoil-Cruise'!AF23</f>
        <v>-0.15499999999999878</v>
      </c>
      <c r="AA23" s="31">
        <f>Main!I23</f>
        <v>1.2215629734834355</v>
      </c>
      <c r="AB23" s="12">
        <f t="shared" si="22"/>
        <v>-0.18137662837931445</v>
      </c>
      <c r="AC23" s="30">
        <f t="shared" ca="1" si="5"/>
        <v>2.6986049380059223</v>
      </c>
      <c r="AD23" s="13">
        <f t="shared" ca="1" si="23"/>
        <v>2.6986049380059223</v>
      </c>
      <c r="AE23" s="13">
        <f ca="1">DEGREES(AF23/BP23)+'Airfoil-Cruise'!K23</f>
        <v>3.392191967802292</v>
      </c>
      <c r="AF23" s="1">
        <f t="shared" ca="1" si="24"/>
        <v>0.89900191947038521</v>
      </c>
      <c r="AG23" s="16">
        <f ca="1">0.9*'Airfoil-Cruise'!I23</f>
        <v>1.4271616137554282</v>
      </c>
      <c r="AH23" s="42">
        <f ca="1">0.455/(LOG10(MIN(V23,'Aerodynamics-Constants'!L23)))^2.58</f>
        <v>5.3414075821610982E-3</v>
      </c>
      <c r="AI23" s="42">
        <f ca="1">+AH23*'Aerodynamics-Constants'!J23*'Aerodynamics-Constants'!M23/N23</f>
        <v>0</v>
      </c>
      <c r="AJ23" s="10">
        <f ca="1">X23*COS(RADIANS(AC23))*'Aerodynamics-Constants'!M23+AI23</f>
        <v>7.0225620709815978E-3</v>
      </c>
      <c r="AK23" s="10">
        <f ca="1">AF23^2/(PI()*'Aerodynamics-Constants'!I23*AA23)</f>
        <v>4.2342578105698775E-2</v>
      </c>
      <c r="AL23" s="10">
        <f t="shared" ca="1" si="6"/>
        <v>4.9365140176680374E-2</v>
      </c>
      <c r="AM23" s="1">
        <f t="shared" ca="1" si="7"/>
        <v>-0.15499999999999878</v>
      </c>
      <c r="AN23" s="1">
        <f t="shared" ca="1" si="8"/>
        <v>-0.30043813386009655</v>
      </c>
      <c r="AO23" s="12">
        <f t="shared" si="25"/>
        <v>0.9911758879050544</v>
      </c>
      <c r="AP23" s="12">
        <f t="shared" si="9"/>
        <v>8.9026702552219561E-3</v>
      </c>
      <c r="AQ23" s="81">
        <f ca="1">B23*H23*'Aerodynamics-Constants'!AA23/C23</f>
        <v>147369.69738958756</v>
      </c>
      <c r="AR23" s="10">
        <f ca="1">0.455/(LOG10(MIN(AQ23,'Aerodynamics-Constants'!AG23)))^2.58</f>
        <v>6.569780152113203E-3</v>
      </c>
      <c r="AS23" s="15">
        <f ca="1">AR23*'Aerodynamics-Constants'!AI23*'Aerodynamics-Constants'!AJ23*'Aerodynamics-Constants'!AE23/P23</f>
        <v>1.8274611960287266E-2</v>
      </c>
      <c r="AT23" s="10">
        <f t="shared" ca="1" si="26"/>
        <v>1.1656315619786372E-2</v>
      </c>
      <c r="AU23" s="10">
        <f t="shared" ca="1" si="10"/>
        <v>2.9930927580073638E-2</v>
      </c>
      <c r="AV23" s="12">
        <f t="shared" si="11"/>
        <v>0.95507894736842114</v>
      </c>
      <c r="AW23" s="12">
        <f t="shared" si="12"/>
        <v>4.7033863279420274E-2</v>
      </c>
      <c r="AX23" s="81">
        <f ca="1">B23*H23*'Aerodynamics-Constants'!AK23/C23</f>
        <v>77349.017099917037</v>
      </c>
      <c r="AY23" s="10">
        <f ca="1">0.455/(LOG10(MIN(AX23,'Aerodynamics-Constants'!AQ23)))^2.58</f>
        <v>7.5848790295541171E-3</v>
      </c>
      <c r="AZ23" s="15">
        <f ca="1">AY23*'Aerodynamics-Constants'!AS23*'Aerodynamics-Constants'!AT23*'Aerodynamics-Constants'!AO23/S23</f>
        <v>2.1098228224004863E-2</v>
      </c>
      <c r="BA23" s="81">
        <f ca="1">B23*H23*'Aerodynamics-Constants'!N23/C23</f>
        <v>3046591.4144206378</v>
      </c>
      <c r="BB23" s="10">
        <f ca="1">0.455/(LOG10(MIN(BA23,'Aerodynamics-Constants'!V23)))^2.58</f>
        <v>3.6600628770532663E-3</v>
      </c>
      <c r="BC23" s="10">
        <f ca="1">BB23*'Aerodynamics-Constants'!W23*'Aerodynamics-Constants'!X23*'Aerodynamics-Constants'!S23/N23+'Aerodynamics-Constants'!Z23</f>
        <v>3.1808923947871026E-3</v>
      </c>
      <c r="BD23" s="15">
        <f ca="1">BC23*'Aerodynamics-Constants'!AU23+(AJ23+AS23*P23/N23+AZ23*S23/N23)*('Aerodynamics-Constants'!AU23-1)</f>
        <v>4.3661527152822847E-3</v>
      </c>
      <c r="BE23" s="16">
        <f t="shared" ca="1" si="13"/>
        <v>0.87843184395141705</v>
      </c>
      <c r="BF23" s="10">
        <f t="shared" ca="1" si="27"/>
        <v>1.303786352544699E-2</v>
      </c>
      <c r="BG23" s="10">
        <f t="shared" ca="1" si="28"/>
        <v>4.3140650206238404E-2</v>
      </c>
      <c r="BH23" s="10">
        <f t="shared" ca="1" si="14"/>
        <v>5.6178513731685392E-2</v>
      </c>
      <c r="BI23" s="13">
        <f t="shared" ca="1" si="15"/>
        <v>134.24051129338261</v>
      </c>
      <c r="BJ23" s="13">
        <f t="shared" ca="1" si="16"/>
        <v>8.5851081776821978</v>
      </c>
      <c r="BK23" s="13">
        <f t="shared" ca="1" si="17"/>
        <v>15.636437947555924</v>
      </c>
      <c r="BL23" s="14">
        <f t="shared" ca="1" si="18"/>
        <v>248.57561285011832</v>
      </c>
      <c r="BO23" s="16">
        <f ca="1">'Airfoil-Cruise'!J23</f>
        <v>4.8195421116327051</v>
      </c>
      <c r="BP23" s="1">
        <f ca="1">BO23/(1+BO23/(PI()*'Aerodynamics-Constants'!I23)*(1+AB23))</f>
        <v>3.847936998820499</v>
      </c>
      <c r="BR23" s="12">
        <v>6</v>
      </c>
      <c r="BS23" s="1">
        <f t="shared" si="19"/>
        <v>3.3806190262133535</v>
      </c>
      <c r="BT23" s="1">
        <f>Stability!W23</f>
        <v>2.3904586380437252</v>
      </c>
      <c r="BV23" s="12">
        <v>6</v>
      </c>
      <c r="BW23" s="1">
        <f t="shared" si="20"/>
        <v>3.3257449178841254</v>
      </c>
      <c r="BX23" s="1">
        <f>Stability!Y23</f>
        <v>2.3516567839325631</v>
      </c>
    </row>
    <row r="24" spans="2:76">
      <c r="B24" s="16">
        <f>Cruise!F24</f>
        <v>0.65969672852566186</v>
      </c>
      <c r="C24" s="74">
        <f>'Airfoil-Cruise'!E24</f>
        <v>1.5987591530356481E-5</v>
      </c>
      <c r="E24" s="19">
        <f ca="1">Cruise!H24</f>
        <v>126.40792205825835</v>
      </c>
      <c r="F24" s="63">
        <f>Weight!G24</f>
        <v>0.3</v>
      </c>
      <c r="H24" s="20">
        <f ca="1">IF(ISERROR(BE24),5,SQRT(E24/(0.5*B24*N24*BE24)))</f>
        <v>27.44967418856622</v>
      </c>
      <c r="I24" s="20">
        <f t="shared" ca="1" si="21"/>
        <v>21.544426827365353</v>
      </c>
      <c r="J24" s="20">
        <f t="shared" ca="1" si="0"/>
        <v>1.2740962852490523</v>
      </c>
      <c r="L24" s="31">
        <f>Main!B24</f>
        <v>0.33333333333333326</v>
      </c>
      <c r="M24" s="31">
        <f>Main!C24</f>
        <v>1.736842105263158</v>
      </c>
      <c r="N24" s="1">
        <f t="shared" si="1"/>
        <v>0.57894736842105254</v>
      </c>
      <c r="O24" s="1">
        <f t="shared" si="2"/>
        <v>5.2105263157894752</v>
      </c>
      <c r="P24" s="16">
        <f ca="1">'Aerodynamics-Constants'!AC24</f>
        <v>3.9367122344217041E-2</v>
      </c>
      <c r="Q24" s="16">
        <f>'Aerodynamics-Constants'!AD24</f>
        <v>2.6052631578947376</v>
      </c>
      <c r="R24" s="63">
        <f>Stability!G24</f>
        <v>5.6500000000000012</v>
      </c>
      <c r="S24" s="16">
        <f ca="1">'Aerodynamics-Constants'!AM24</f>
        <v>1.1105416987830716E-2</v>
      </c>
      <c r="T24" s="16">
        <f>'Aerodynamics-Constants'!AN24</f>
        <v>2.6052631578947376</v>
      </c>
      <c r="V24" s="81">
        <f t="shared" ca="1" si="3"/>
        <v>377552.39173890883</v>
      </c>
      <c r="W24" s="63">
        <f ca="1">MIN(Main!H24,'Airfoil 2'!$K$71*V24^'Airfoil 2'!$L$70*2,1*'Airfoil-Cruise'!I24/Takeoff!$B$10^2*0.9)</f>
        <v>0.9</v>
      </c>
      <c r="X24" s="42">
        <f ca="1">'Airfoil-Cruise'!V24</f>
        <v>7.3276520093808126E-3</v>
      </c>
      <c r="Y24" s="14">
        <f t="shared" ca="1" si="4"/>
        <v>122.82242645363424</v>
      </c>
      <c r="Z24" s="16">
        <f ca="1">'Airfoil-Cruise'!AF24</f>
        <v>-0.15499999999999881</v>
      </c>
      <c r="AA24" s="31">
        <f>Main!I24</f>
        <v>1.2138997812328405</v>
      </c>
      <c r="AB24" s="12">
        <f t="shared" si="22"/>
        <v>-0.17620876495718873</v>
      </c>
      <c r="AC24" s="30">
        <f t="shared" ca="1" si="5"/>
        <v>2.5924246355551017</v>
      </c>
      <c r="AD24" s="13">
        <f t="shared" ca="1" si="23"/>
        <v>2.5924246355551017</v>
      </c>
      <c r="AE24" s="13">
        <f ca="1">DEGREES(AF24/BP24)+'Airfoil-Cruise'!K24</f>
        <v>3.4471603791656662</v>
      </c>
      <c r="AF24" s="1">
        <f t="shared" ca="1" si="24"/>
        <v>0.89907890285619119</v>
      </c>
      <c r="AG24" s="16">
        <f ca="1">0.9*'Airfoil-Cruise'!I24</f>
        <v>1.4261032983164272</v>
      </c>
      <c r="AH24" s="42">
        <f ca="1">0.455/(LOG10(MIN(V24,'Aerodynamics-Constants'!L24)))^2.58</f>
        <v>5.3988630296144414E-3</v>
      </c>
      <c r="AI24" s="42">
        <f ca="1">+AH24*'Aerodynamics-Constants'!J24*'Aerodynamics-Constants'!M24/N24</f>
        <v>0</v>
      </c>
      <c r="AJ24" s="10">
        <f ca="1">X24*COS(RADIANS(AC24))*'Aerodynamics-Constants'!M24+AI24</f>
        <v>7.3201525878956288E-3</v>
      </c>
      <c r="AK24" s="10">
        <f ca="1">AF24^2/(PI()*'Aerodynamics-Constants'!I24*AA24)</f>
        <v>4.0680034670617447E-2</v>
      </c>
      <c r="AL24" s="10">
        <f t="shared" ca="1" si="6"/>
        <v>4.8000187258513079E-2</v>
      </c>
      <c r="AM24" s="1">
        <f t="shared" ca="1" si="7"/>
        <v>-0.15499999999999881</v>
      </c>
      <c r="AN24" s="1">
        <f t="shared" ca="1" si="8"/>
        <v>-0.3025005091817875</v>
      </c>
      <c r="AO24" s="12">
        <f t="shared" si="25"/>
        <v>0.98639278941079256</v>
      </c>
      <c r="AP24" s="12">
        <f t="shared" si="9"/>
        <v>1.3794920984099512E-2</v>
      </c>
      <c r="AQ24" s="81">
        <f ca="1">B24*H24*'Aerodynamics-Constants'!AA24/C24</f>
        <v>139232.14583082387</v>
      </c>
      <c r="AR24" s="10">
        <f ca="1">0.455/(LOG10(MIN(AQ24,'Aerodynamics-Constants'!AG24)))^2.58</f>
        <v>6.651378476113419E-3</v>
      </c>
      <c r="AS24" s="15">
        <f ca="1">AR24*'Aerodynamics-Constants'!AI24*'Aerodynamics-Constants'!AJ24*'Aerodynamics-Constants'!AE24/P24</f>
        <v>1.8501587243049827E-2</v>
      </c>
      <c r="AT24" s="10">
        <f t="shared" ca="1" si="26"/>
        <v>1.1334460686671516E-2</v>
      </c>
      <c r="AU24" s="10">
        <f t="shared" ca="1" si="10"/>
        <v>2.9836047929721343E-2</v>
      </c>
      <c r="AV24" s="12">
        <f t="shared" si="11"/>
        <v>0.95436842105263164</v>
      </c>
      <c r="AW24" s="12">
        <f t="shared" si="12"/>
        <v>4.7813378922406669E-2</v>
      </c>
      <c r="AX24" s="81">
        <f ca="1">B24*H24*'Aerodynamics-Constants'!AK24/C24</f>
        <v>73950.330042385453</v>
      </c>
      <c r="AY24" s="10">
        <f ca="1">0.455/(LOG10(MIN(AX24,'Aerodynamics-Constants'!AQ24)))^2.58</f>
        <v>7.6635599494993285E-3</v>
      </c>
      <c r="AZ24" s="15">
        <f ca="1">AY24*'Aerodynamics-Constants'!AS24*'Aerodynamics-Constants'!AT24*'Aerodynamics-Constants'!AO24/S24</f>
        <v>2.1317088406139672E-2</v>
      </c>
      <c r="BA24" s="81">
        <f ca="1">B24*H24*'Aerodynamics-Constants'!N24/C24</f>
        <v>2888275.796802653</v>
      </c>
      <c r="BB24" s="10">
        <f ca="1">0.455/(LOG10(MIN(BA24,'Aerodynamics-Constants'!V24)))^2.58</f>
        <v>3.6940326585924582E-3</v>
      </c>
      <c r="BC24" s="10">
        <f ca="1">BB24*'Aerodynamics-Constants'!W24*'Aerodynamics-Constants'!X24*'Aerodynamics-Constants'!S24/N24+'Aerodynamics-Constants'!Z24</f>
        <v>3.0644622394130016E-3</v>
      </c>
      <c r="BD24" s="15">
        <f ca="1">BC24*'Aerodynamics-Constants'!AU24+(AJ24+AS24*P24/N24+AZ24*S24/N24)*('Aerodynamics-Constants'!AU24-1)</f>
        <v>4.2696209828824447E-3</v>
      </c>
      <c r="BE24" s="16">
        <f t="shared" ca="1" si="13"/>
        <v>0.87850954680811844</v>
      </c>
      <c r="BF24" s="10">
        <f t="shared" ca="1" si="27"/>
        <v>1.3256746178163858E-2</v>
      </c>
      <c r="BG24" s="10">
        <f t="shared" ca="1" si="28"/>
        <v>4.1450752571581123E-2</v>
      </c>
      <c r="BH24" s="10">
        <f t="shared" ca="1" si="14"/>
        <v>5.4707498749744982E-2</v>
      </c>
      <c r="BI24" s="13">
        <f t="shared" ca="1" si="15"/>
        <v>126.40792205825834</v>
      </c>
      <c r="BJ24" s="13">
        <f t="shared" ca="1" si="16"/>
        <v>7.8718111409100988</v>
      </c>
      <c r="BK24" s="13">
        <f t="shared" ca="1" si="17"/>
        <v>16.05830218681335</v>
      </c>
      <c r="BL24" s="14">
        <f t="shared" ca="1" si="18"/>
        <v>216.07865109190794</v>
      </c>
      <c r="BO24" s="16">
        <f ca="1">'Airfoil-Cruise'!J24</f>
        <v>4.9068271558897125</v>
      </c>
      <c r="BP24" s="1">
        <f ca="1">BO24/(1+BO24/(PI()*'Aerodynamics-Constants'!I24)*(1+AB24))</f>
        <v>3.9351037785953449</v>
      </c>
      <c r="BR24" s="12">
        <v>6</v>
      </c>
      <c r="BS24" s="1">
        <f t="shared" si="19"/>
        <v>3.4419654787715577</v>
      </c>
      <c r="BT24" s="1">
        <f>Stability!W24</f>
        <v>2.4338371306493705</v>
      </c>
      <c r="BV24" s="12">
        <v>6</v>
      </c>
      <c r="BW24" s="1">
        <f t="shared" si="20"/>
        <v>3.3934190644503546</v>
      </c>
      <c r="BX24" s="1">
        <f>Stability!Y24</f>
        <v>2.399509631880556</v>
      </c>
    </row>
    <row r="25" spans="2:76">
      <c r="B25" s="16">
        <f>Cruise!F25</f>
        <v>0.65969672852566186</v>
      </c>
      <c r="C25" s="74">
        <f>'Airfoil-Cruise'!E25</f>
        <v>1.5987591530356481E-5</v>
      </c>
      <c r="E25" s="19">
        <f ca="1">Cruise!H25</f>
        <v>128.2373938842594</v>
      </c>
      <c r="F25" s="63">
        <f>Weight!G25</f>
        <v>0.3</v>
      </c>
      <c r="H25" s="20">
        <f t="shared" ref="H25:H40" ca="1" si="29">IF(ISERROR(BE25),5,SQRT(E25/(0.5*B25*N25*BE25)))</f>
        <v>27.03883277583968</v>
      </c>
      <c r="I25" s="20">
        <f t="shared" ca="1" si="21"/>
        <v>21.22501883276092</v>
      </c>
      <c r="J25" s="20">
        <f t="shared" ca="1" si="0"/>
        <v>1.2739132525105283</v>
      </c>
      <c r="L25" s="31">
        <f>Main!B25</f>
        <v>0.33333333333333326</v>
      </c>
      <c r="M25" s="31">
        <f>Main!C25</f>
        <v>1.8157894736842106</v>
      </c>
      <c r="N25" s="1">
        <f t="shared" si="1"/>
        <v>0.60526315789473673</v>
      </c>
      <c r="O25" s="1">
        <f t="shared" si="2"/>
        <v>5.4473684210526327</v>
      </c>
      <c r="P25" s="16">
        <f ca="1">'Aerodynamics-Constants'!AC25</f>
        <v>4.0508118560052687E-2</v>
      </c>
      <c r="Q25" s="16">
        <f>'Aerodynamics-Constants'!AD25</f>
        <v>2.7236842105263164</v>
      </c>
      <c r="R25" s="63">
        <f>Stability!G25</f>
        <v>5.6500000000000012</v>
      </c>
      <c r="S25" s="16">
        <f ca="1">'Aerodynamics-Constants'!AM25</f>
        <v>1.1817118078367429E-2</v>
      </c>
      <c r="T25" s="16">
        <f>'Aerodynamics-Constants'!AN25</f>
        <v>2.7236842105263164</v>
      </c>
      <c r="V25" s="81">
        <f t="shared" ca="1" si="3"/>
        <v>371901.53566918877</v>
      </c>
      <c r="W25" s="63">
        <f ca="1">MIN(Main!H25,'Airfoil 2'!$K$71*V25^'Airfoil 2'!$L$70*2,1*'Airfoil-Cruise'!I25/Takeoff!$B$10^2*0.9)</f>
        <v>0.9</v>
      </c>
      <c r="X25" s="42">
        <f ca="1">'Airfoil-Cruise'!V25</f>
        <v>7.4139208002351768E-3</v>
      </c>
      <c r="Y25" s="14">
        <f t="shared" ca="1" si="4"/>
        <v>121.3932579332991</v>
      </c>
      <c r="Z25" s="16">
        <f ca="1">'Airfoil-Cruise'!AF25</f>
        <v>-0.15499999999999886</v>
      </c>
      <c r="AA25" s="31">
        <f>Main!I25</f>
        <v>1.2063472907833321</v>
      </c>
      <c r="AB25" s="12">
        <f t="shared" si="22"/>
        <v>-0.17105131528860329</v>
      </c>
      <c r="AC25" s="30">
        <f t="shared" ca="1" si="5"/>
        <v>2.4954227585215292</v>
      </c>
      <c r="AD25" s="13">
        <f t="shared" ca="1" si="23"/>
        <v>2.4954227585215292</v>
      </c>
      <c r="AE25" s="13">
        <f ca="1">DEGREES(AF25/BP25)+'Airfoil-Cruise'!K25</f>
        <v>3.3945957248834979</v>
      </c>
      <c r="AF25" s="1">
        <f t="shared" ca="1" si="24"/>
        <v>0.89914653275094825</v>
      </c>
      <c r="AG25" s="16">
        <f ca="1">0.9*'Airfoil-Cruise'!I25</f>
        <v>1.4258043677988799</v>
      </c>
      <c r="AH25" s="42">
        <f ca="1">0.455/(LOG10(MIN(V25,'Aerodynamics-Constants'!L25)))^2.58</f>
        <v>5.4152549026015798E-3</v>
      </c>
      <c r="AI25" s="42">
        <f ca="1">+AH25*'Aerodynamics-Constants'!J25*'Aerodynamics-Constants'!M25/N25</f>
        <v>0</v>
      </c>
      <c r="AJ25" s="10">
        <f ca="1">X25*COS(RADIANS(AC25))*'Aerodynamics-Constants'!M25+AI25</f>
        <v>7.4068902018017725E-3</v>
      </c>
      <c r="AK25" s="10">
        <f ca="1">AF25^2/(PI()*'Aerodynamics-Constants'!I25*AA25)</f>
        <v>3.9160837676710997E-2</v>
      </c>
      <c r="AL25" s="10">
        <f t="shared" ca="1" si="6"/>
        <v>4.6567727878512766E-2</v>
      </c>
      <c r="AM25" s="1">
        <f t="shared" ca="1" si="7"/>
        <v>-0.15499999999999886</v>
      </c>
      <c r="AN25" s="1">
        <f t="shared" ca="1" si="8"/>
        <v>-0.30733322801455421</v>
      </c>
      <c r="AO25" s="12">
        <f t="shared" si="25"/>
        <v>0.98167878713658807</v>
      </c>
      <c r="AP25" s="12">
        <f t="shared" si="9"/>
        <v>1.8663144302885737E-2</v>
      </c>
      <c r="AQ25" s="81">
        <f ca="1">B25*H25*'Aerodynamics-Constants'!AA25/C25</f>
        <v>136063.57762096889</v>
      </c>
      <c r="AR25" s="10">
        <f ca="1">0.455/(LOG10(MIN(AQ25,'Aerodynamics-Constants'!AG25)))^2.58</f>
        <v>6.6848489843368084E-3</v>
      </c>
      <c r="AS25" s="15">
        <f ca="1">AR25*'Aerodynamics-Constants'!AI25*'Aerodynamics-Constants'!AJ25*'Aerodynamics-Constants'!AE25/P25</f>
        <v>1.8594689376718532E-2</v>
      </c>
      <c r="AT25" s="10">
        <f t="shared" ca="1" si="26"/>
        <v>1.1244573889994868E-2</v>
      </c>
      <c r="AU25" s="10">
        <f t="shared" ca="1" si="10"/>
        <v>2.9839263266713399E-2</v>
      </c>
      <c r="AV25" s="12">
        <f t="shared" si="11"/>
        <v>0.95365789473684215</v>
      </c>
      <c r="AW25" s="12">
        <f t="shared" si="12"/>
        <v>4.859405612737655E-2</v>
      </c>
      <c r="AX25" s="81">
        <f ca="1">B25*H25*'Aerodynamics-Constants'!AK25/C25</f>
        <v>73489.727554594778</v>
      </c>
      <c r="AY25" s="10">
        <f ca="1">0.455/(LOG10(MIN(AX25,'Aerodynamics-Constants'!AQ25)))^2.58</f>
        <v>7.6745899550904398E-3</v>
      </c>
      <c r="AZ25" s="15">
        <f ca="1">AY25*'Aerodynamics-Constants'!AS25*'Aerodynamics-Constants'!AT25*'Aerodynamics-Constants'!AO25/S25</f>
        <v>2.1347769656871102E-2</v>
      </c>
      <c r="BA25" s="81">
        <f ca="1">B25*H25*'Aerodynamics-Constants'!N25/C25</f>
        <v>2845046.7478692946</v>
      </c>
      <c r="BB25" s="10">
        <f ca="1">0.455/(LOG10(MIN(BA25,'Aerodynamics-Constants'!V25)))^2.58</f>
        <v>3.703711544772574E-3</v>
      </c>
      <c r="BC25" s="10">
        <f ca="1">BB25*'Aerodynamics-Constants'!W25*'Aerodynamics-Constants'!X25*'Aerodynamics-Constants'!S25/N25+'Aerodynamics-Constants'!Z25</f>
        <v>2.9388983004443548E-3</v>
      </c>
      <c r="BD25" s="15">
        <f ca="1">BC25*'Aerodynamics-Constants'!AU25+(AJ25+AS25*P25/N25+AZ25*S25/N25)*('Aerodynamics-Constants'!AU25-1)</f>
        <v>4.1396040631514518E-3</v>
      </c>
      <c r="BE25" s="16">
        <f t="shared" ca="1" si="13"/>
        <v>0.87857780875796665</v>
      </c>
      <c r="BF25" s="10">
        <f t="shared" ca="1" si="27"/>
        <v>1.3207763389778054E-2</v>
      </c>
      <c r="BG25" s="10">
        <f t="shared" ca="1" si="28"/>
        <v>3.9913397164847562E-2</v>
      </c>
      <c r="BH25" s="10">
        <f t="shared" ca="1" si="14"/>
        <v>5.3121160554625617E-2</v>
      </c>
      <c r="BI25" s="13">
        <f t="shared" ca="1" si="15"/>
        <v>128.23739388425938</v>
      </c>
      <c r="BJ25" s="13">
        <f t="shared" ca="1" si="16"/>
        <v>7.7535752914846618</v>
      </c>
      <c r="BK25" s="13">
        <f t="shared" ca="1" si="17"/>
        <v>16.539130538281569</v>
      </c>
      <c r="BL25" s="14">
        <f t="shared" ca="1" si="18"/>
        <v>209.64762572133617</v>
      </c>
      <c r="BO25" s="16">
        <f ca="1">'Airfoil-Cruise'!J25</f>
        <v>4.9317785666755762</v>
      </c>
      <c r="BP25" s="1">
        <f ca="1">BO25/(1+BO25/(PI()*'Aerodynamics-Constants'!I25)*(1+AB25))</f>
        <v>3.980810208997366</v>
      </c>
      <c r="BR25" s="12">
        <v>6</v>
      </c>
      <c r="BS25" s="1">
        <f t="shared" si="19"/>
        <v>3.4999890744031426</v>
      </c>
      <c r="BT25" s="1">
        <f>Stability!W25</f>
        <v>2.4748660085892902</v>
      </c>
      <c r="BV25" s="12">
        <v>6</v>
      </c>
      <c r="BW25" s="1">
        <f t="shared" si="20"/>
        <v>3.4576577348594704</v>
      </c>
      <c r="BX25" s="1">
        <f>Stability!Y25</f>
        <v>2.4449332313412491</v>
      </c>
    </row>
    <row r="26" spans="2:76">
      <c r="B26" s="16">
        <f>Cruise!F26</f>
        <v>0.65969672852566186</v>
      </c>
      <c r="C26" s="74">
        <f>'Airfoil-Cruise'!E26</f>
        <v>1.5987591530356481E-5</v>
      </c>
      <c r="E26" s="19">
        <f ca="1">Cruise!H26</f>
        <v>129.96953292099397</v>
      </c>
      <c r="F26" s="63">
        <f>Weight!G26</f>
        <v>0.3</v>
      </c>
      <c r="H26" s="20">
        <f t="shared" ca="1" si="29"/>
        <v>26.646781908866753</v>
      </c>
      <c r="I26" s="20">
        <f t="shared" ca="1" si="21"/>
        <v>20.920107320777479</v>
      </c>
      <c r="J26" s="20">
        <f t="shared" ca="1" si="0"/>
        <v>1.273740210806741</v>
      </c>
      <c r="L26" s="31">
        <f>Main!B26</f>
        <v>0.33333333333333326</v>
      </c>
      <c r="M26" s="31">
        <f>Main!C26</f>
        <v>1.8947368421052633</v>
      </c>
      <c r="N26" s="1">
        <f t="shared" si="1"/>
        <v>0.63157894736842091</v>
      </c>
      <c r="O26" s="1">
        <f t="shared" si="2"/>
        <v>5.6842105263157912</v>
      </c>
      <c r="P26" s="16">
        <f ca="1">'Aerodynamics-Constants'!AC26</f>
        <v>4.1646113608309603E-2</v>
      </c>
      <c r="Q26" s="16">
        <f>'Aerodynamics-Constants'!AD26</f>
        <v>2.8421052631578956</v>
      </c>
      <c r="R26" s="63">
        <f>Stability!G26</f>
        <v>5.6500000000000012</v>
      </c>
      <c r="S26" s="16">
        <f ca="1">'Aerodynamics-Constants'!AM26</f>
        <v>1.2558058561189744E-2</v>
      </c>
      <c r="T26" s="16">
        <f>'Aerodynamics-Constants'!AN26</f>
        <v>2.8421052631578956</v>
      </c>
      <c r="V26" s="81">
        <f t="shared" ca="1" si="3"/>
        <v>366509.13131888147</v>
      </c>
      <c r="W26" s="63">
        <f ca="1">MIN(Main!H26,'Airfoil 2'!$K$71*V26^'Airfoil 2'!$L$70*2,1*'Airfoil-Cruise'!I26/Takeoff!$B$10^2*0.9)</f>
        <v>0.9</v>
      </c>
      <c r="X26" s="42">
        <f ca="1">'Airfoil-Cruise'!V26</f>
        <v>7.4984431111451656E-3</v>
      </c>
      <c r="Y26" s="14">
        <f t="shared" ca="1" si="4"/>
        <v>120.02491539374387</v>
      </c>
      <c r="Z26" s="16">
        <f ca="1">'Airfoil-Cruise'!AF26</f>
        <v>-0.15499999999999886</v>
      </c>
      <c r="AA26" s="31">
        <f>Main!I26</f>
        <v>1.1988991887661258</v>
      </c>
      <c r="AB26" s="12">
        <f t="shared" si="22"/>
        <v>-0.16590151251234675</v>
      </c>
      <c r="AC26" s="30">
        <f t="shared" ca="1" si="5"/>
        <v>2.4064634778408105</v>
      </c>
      <c r="AD26" s="13">
        <f t="shared" ca="1" si="23"/>
        <v>2.4064634778408105</v>
      </c>
      <c r="AE26" s="13">
        <f ca="1">DEGREES(AF26/BP26)+'Airfoil-Cruise'!K26</f>
        <v>3.3479318593046372</v>
      </c>
      <c r="AF26" s="1">
        <f t="shared" ca="1" si="24"/>
        <v>0.89920628981295814</v>
      </c>
      <c r="AG26" s="16">
        <f ca="1">0.9*'Airfoil-Cruise'!I26</f>
        <v>1.425514903294643</v>
      </c>
      <c r="AH26" s="42">
        <f ca="1">0.455/(LOG10(MIN(V26,'Aerodynamics-Constants'!L26)))^2.58</f>
        <v>5.4311968887982278E-3</v>
      </c>
      <c r="AI26" s="42">
        <f ca="1">+AH26*'Aerodynamics-Constants'!J26*'Aerodynamics-Constants'!M26/N26</f>
        <v>0</v>
      </c>
      <c r="AJ26" s="10">
        <f ca="1">X26*COS(RADIANS(AC26))*'Aerodynamics-Constants'!M26+AI26</f>
        <v>7.4918302326070878E-3</v>
      </c>
      <c r="AK26" s="10">
        <f ca="1">AF26^2/(PI()*'Aerodynamics-Constants'!I26*AA26)</f>
        <v>3.7767303523386725E-2</v>
      </c>
      <c r="AL26" s="10">
        <f t="shared" ca="1" si="6"/>
        <v>4.5259133755993816E-2</v>
      </c>
      <c r="AM26" s="1">
        <f t="shared" ca="1" si="7"/>
        <v>-0.15499999999999886</v>
      </c>
      <c r="AN26" s="1">
        <f t="shared" ca="1" si="8"/>
        <v>-0.31192395160626263</v>
      </c>
      <c r="AO26" s="12">
        <f t="shared" si="25"/>
        <v>0.97702994049688086</v>
      </c>
      <c r="AP26" s="12">
        <f t="shared" si="9"/>
        <v>2.3510087614548869E-2</v>
      </c>
      <c r="AQ26" s="81">
        <f ca="1">B26*H26*'Aerodynamics-Constants'!AA26/C26</f>
        <v>133098.51631308955</v>
      </c>
      <c r="AR26" s="10">
        <f ca="1">0.455/(LOG10(MIN(AQ26,'Aerodynamics-Constants'!AG26)))^2.58</f>
        <v>6.7171026882743273E-3</v>
      </c>
      <c r="AS26" s="15">
        <f ca="1">AR26*'Aerodynamics-Constants'!AI26*'Aerodynamics-Constants'!AJ26*'Aerodynamics-Constants'!AE26/P26</f>
        <v>1.8684406826936489E-2</v>
      </c>
      <c r="AT26" s="10">
        <f t="shared" ca="1" si="26"/>
        <v>1.1153201383974706E-2</v>
      </c>
      <c r="AU26" s="10">
        <f t="shared" ca="1" si="10"/>
        <v>2.9837608210911193E-2</v>
      </c>
      <c r="AV26" s="12">
        <f t="shared" si="11"/>
        <v>0.95294736842105265</v>
      </c>
      <c r="AW26" s="12">
        <f t="shared" si="12"/>
        <v>4.9375897492543785E-2</v>
      </c>
      <c r="AX26" s="81">
        <f ca="1">B26*H26*'Aerodynamics-Constants'!AK26/C26</f>
        <v>73088.193302827873</v>
      </c>
      <c r="AY26" s="10">
        <f ca="1">0.455/(LOG10(MIN(AX26,'Aerodynamics-Constants'!AQ26)))^2.58</f>
        <v>7.6842801434894538E-3</v>
      </c>
      <c r="AZ26" s="15">
        <f ca="1">AY26*'Aerodynamics-Constants'!AS26*'Aerodynamics-Constants'!AT26*'Aerodynamics-Constants'!AO26/S26</f>
        <v>2.1374724049364299E-2</v>
      </c>
      <c r="BA26" s="81">
        <f ca="1">B26*H26*'Aerodynamics-Constants'!N26/C26</f>
        <v>2803794.8545894437</v>
      </c>
      <c r="BB26" s="10">
        <f ca="1">0.455/(LOG10(MIN(BA26,'Aerodynamics-Constants'!V26)))^2.58</f>
        <v>3.7131194493090903E-3</v>
      </c>
      <c r="BC26" s="10">
        <f ca="1">BB26*'Aerodynamics-Constants'!W26*'Aerodynamics-Constants'!X26*'Aerodynamics-Constants'!S26/N26+'Aerodynamics-Constants'!Z26</f>
        <v>2.8235921367822233E-3</v>
      </c>
      <c r="BD26" s="15">
        <f ca="1">BC26*'Aerodynamics-Constants'!AU26+(AJ26+AS26*P26/N26+AZ26*S26/N26)*('Aerodynamics-Constants'!AU26-1)</f>
        <v>4.0208393849664346E-3</v>
      </c>
      <c r="BE26" s="16">
        <f t="shared" ca="1" si="13"/>
        <v>0.87863812429719157</v>
      </c>
      <c r="BF26" s="10">
        <f t="shared" ca="1" si="27"/>
        <v>1.3169719730026317E-2</v>
      </c>
      <c r="BG26" s="10">
        <f t="shared" ca="1" si="28"/>
        <v>3.8502742052281221E-2</v>
      </c>
      <c r="BH26" s="10">
        <f t="shared" ca="1" si="14"/>
        <v>5.1672461782307541E-2</v>
      </c>
      <c r="BI26" s="13">
        <f t="shared" ca="1" si="15"/>
        <v>129.96953292099397</v>
      </c>
      <c r="BJ26" s="13">
        <f t="shared" ca="1" si="16"/>
        <v>7.6434717968746453</v>
      </c>
      <c r="BK26" s="13">
        <f t="shared" ca="1" si="17"/>
        <v>17.003991952209137</v>
      </c>
      <c r="BL26" s="14">
        <f t="shared" ca="1" si="18"/>
        <v>203.67392599789255</v>
      </c>
      <c r="BO26" s="16">
        <f ca="1">'Airfoil-Cruise'!J26</f>
        <v>4.9560657919827387</v>
      </c>
      <c r="BP26" s="1">
        <f ca="1">BO26/(1+BO26/(PI()*'Aerodynamics-Constants'!I26)*(1+AB26))</f>
        <v>4.0244429212767194</v>
      </c>
      <c r="BR26" s="12">
        <v>6</v>
      </c>
      <c r="BS26" s="1">
        <f t="shared" si="19"/>
        <v>3.5549530075966391</v>
      </c>
      <c r="BT26" s="1">
        <f>Stability!W26</f>
        <v>2.5137313784710957</v>
      </c>
      <c r="BV26" s="12">
        <v>6</v>
      </c>
      <c r="BW26" s="1">
        <f t="shared" si="20"/>
        <v>3.5187158511365184</v>
      </c>
      <c r="BX26" s="1">
        <f>Stability!Y26</f>
        <v>2.4881078394072267</v>
      </c>
    </row>
    <row r="27" spans="2:76">
      <c r="B27" s="16">
        <f>Cruise!F27</f>
        <v>0.65969672852566186</v>
      </c>
      <c r="C27" s="74">
        <f>'Airfoil-Cruise'!E27</f>
        <v>1.5987591530356481E-5</v>
      </c>
      <c r="E27" s="19">
        <f ca="1">Cruise!H27</f>
        <v>131.61371211476811</v>
      </c>
      <c r="F27" s="63">
        <f>Weight!G27</f>
        <v>0.3</v>
      </c>
      <c r="H27" s="20">
        <f t="shared" ca="1" si="29"/>
        <v>26.272229755698174</v>
      </c>
      <c r="I27" s="20">
        <f t="shared" ca="1" si="21"/>
        <v>20.628708852181202</v>
      </c>
      <c r="J27" s="20">
        <f t="shared" ca="1" si="0"/>
        <v>1.2735760606229238</v>
      </c>
      <c r="L27" s="31">
        <f>Main!B27</f>
        <v>0.33333333333333326</v>
      </c>
      <c r="M27" s="31">
        <f>Main!C27</f>
        <v>1.9736842105263159</v>
      </c>
      <c r="N27" s="1">
        <f t="shared" si="1"/>
        <v>0.6578947368421052</v>
      </c>
      <c r="O27" s="1">
        <f t="shared" si="2"/>
        <v>5.9210526315789487</v>
      </c>
      <c r="P27" s="16">
        <f ca="1">'Aerodynamics-Constants'!AC27</f>
        <v>4.2781781196446295E-2</v>
      </c>
      <c r="Q27" s="16">
        <f>'Aerodynamics-Constants'!AD27</f>
        <v>2.9605263157894743</v>
      </c>
      <c r="R27" s="63">
        <f>Stability!G27</f>
        <v>5.6500000000000012</v>
      </c>
      <c r="S27" s="16">
        <f ca="1">'Aerodynamics-Constants'!AM27</f>
        <v>1.3327858239092206E-2</v>
      </c>
      <c r="T27" s="16">
        <f>'Aerodynamics-Constants'!AN27</f>
        <v>2.9605263157894743</v>
      </c>
      <c r="V27" s="81">
        <f t="shared" ca="1" si="3"/>
        <v>361357.4103808364</v>
      </c>
      <c r="W27" s="63">
        <f ca="1">MIN(Main!H27,'Airfoil 2'!$K$71*V27^'Airfoil 2'!$L$70*2,1*'Airfoil-Cruise'!I27/Takeoff!$B$10^2*0.9)</f>
        <v>0.9</v>
      </c>
      <c r="X27" s="42">
        <f ca="1">'Airfoil-Cruise'!V27</f>
        <v>7.5812819861551103E-3</v>
      </c>
      <c r="Y27" s="14">
        <f t="shared" ca="1" si="4"/>
        <v>118.71343153355519</v>
      </c>
      <c r="Z27" s="16">
        <f ca="1">'Airfoil-Cruise'!AF27</f>
        <v>-0.15499999999999886</v>
      </c>
      <c r="AA27" s="31">
        <f>Main!I27</f>
        <v>1.1915497685716252</v>
      </c>
      <c r="AB27" s="12">
        <f t="shared" si="22"/>
        <v>-0.16075683418683062</v>
      </c>
      <c r="AC27" s="30">
        <f t="shared" ca="1" si="5"/>
        <v>2.3245913831253802</v>
      </c>
      <c r="AD27" s="13">
        <f t="shared" ca="1" si="23"/>
        <v>2.3245913831253802</v>
      </c>
      <c r="AE27" s="13">
        <f ca="1">DEGREES(AF27/BP27)+'Airfoil-Cruise'!K27</f>
        <v>3.3063691683451992</v>
      </c>
      <c r="AF27" s="1">
        <f t="shared" ca="1" si="24"/>
        <v>0.89925937064373429</v>
      </c>
      <c r="AG27" s="16">
        <f ca="1">0.9*'Airfoil-Cruise'!I27</f>
        <v>1.4252344089486937</v>
      </c>
      <c r="AH27" s="42">
        <f ca="1">0.455/(LOG10(MIN(V27,'Aerodynamics-Constants'!L27)))^2.58</f>
        <v>5.446710153077375E-3</v>
      </c>
      <c r="AI27" s="42">
        <f ca="1">+AH27*'Aerodynamics-Constants'!J27*'Aerodynamics-Constants'!M27/N27</f>
        <v>0</v>
      </c>
      <c r="AJ27" s="10">
        <f ca="1">X27*COS(RADIANS(AC27))*'Aerodynamics-Constants'!M27+AI27</f>
        <v>7.5750431861583605E-3</v>
      </c>
      <c r="AK27" s="10">
        <f ca="1">AF27^2/(PI()*'Aerodynamics-Constants'!I27*AA27)</f>
        <v>3.6484547412709074E-2</v>
      </c>
      <c r="AL27" s="10">
        <f t="shared" ca="1" si="6"/>
        <v>4.4059590598867437E-2</v>
      </c>
      <c r="AM27" s="1">
        <f t="shared" ca="1" si="7"/>
        <v>-0.15499999999999886</v>
      </c>
      <c r="AN27" s="1">
        <f t="shared" ca="1" si="8"/>
        <v>-0.31628794058621723</v>
      </c>
      <c r="AO27" s="12">
        <f t="shared" si="25"/>
        <v>0.972442687624126</v>
      </c>
      <c r="AP27" s="12">
        <f t="shared" si="9"/>
        <v>2.8338238054113063E-2</v>
      </c>
      <c r="AQ27" s="81">
        <f ca="1">B27*H27*'Aerodynamics-Constants'!AA27/C27</f>
        <v>130317.63450737714</v>
      </c>
      <c r="AR27" s="10">
        <f ca="1">0.455/(LOG10(MIN(AQ27,'Aerodynamics-Constants'!AG27)))^2.58</f>
        <v>6.7482156404946418E-3</v>
      </c>
      <c r="AS27" s="15">
        <f ca="1">AR27*'Aerodynamics-Constants'!AI27*'Aerodynamics-Constants'!AJ27*'Aerodynamics-Constants'!AE27/P27</f>
        <v>1.8770951142819309E-2</v>
      </c>
      <c r="AT27" s="10">
        <f t="shared" ca="1" si="26"/>
        <v>1.106069593450958E-2</v>
      </c>
      <c r="AU27" s="10">
        <f t="shared" ca="1" si="10"/>
        <v>2.9831647077328889E-2</v>
      </c>
      <c r="AV27" s="12">
        <f t="shared" si="11"/>
        <v>0.95223684210526327</v>
      </c>
      <c r="AW27" s="12">
        <f t="shared" si="12"/>
        <v>5.0158905623877148E-2</v>
      </c>
      <c r="AX27" s="81">
        <f ca="1">B27*H27*'Aerodynamics-Constants'!AK27/C27</f>
        <v>72736.757918692572</v>
      </c>
      <c r="AY27" s="10">
        <f ca="1">0.455/(LOG10(MIN(AX27,'Aerodynamics-Constants'!AQ27)))^2.58</f>
        <v>7.6928191319083801E-3</v>
      </c>
      <c r="AZ27" s="15">
        <f ca="1">AY27*'Aerodynamics-Constants'!AS27*'Aerodynamics-Constants'!AT27*'Aerodynamics-Constants'!AO27/S27</f>
        <v>2.1398476244457017E-2</v>
      </c>
      <c r="BA27" s="81">
        <f ca="1">B27*H27*'Aerodynamics-Constants'!N27/C27</f>
        <v>2764384.1894133985</v>
      </c>
      <c r="BB27" s="10">
        <f ca="1">0.455/(LOG10(MIN(BA27,'Aerodynamics-Constants'!V27)))^2.58</f>
        <v>3.722269310317662E-3</v>
      </c>
      <c r="BC27" s="10">
        <f ca="1">BB27*'Aerodynamics-Constants'!W27*'Aerodynamics-Constants'!X27*'Aerodynamics-Constants'!S27/N27+'Aerodynamics-Constants'!Z27</f>
        <v>2.7173222522991897E-3</v>
      </c>
      <c r="BD27" s="15">
        <f ca="1">BC27*'Aerodynamics-Constants'!AU27+(AJ27+AS27*P27/N27+AZ27*S27/N27)*('Aerodynamics-Constants'!AU27-1)</f>
        <v>3.9119728846940633E-3</v>
      </c>
      <c r="BE27" s="16">
        <f t="shared" ca="1" si="13"/>
        <v>0.87869170121049833</v>
      </c>
      <c r="BF27" s="10">
        <f t="shared" ca="1" si="27"/>
        <v>1.3141156956343599E-2</v>
      </c>
      <c r="BG27" s="10">
        <f t="shared" ca="1" si="28"/>
        <v>3.7203805748202007E-2</v>
      </c>
      <c r="BH27" s="10">
        <f t="shared" ca="1" si="14"/>
        <v>5.0344962704545602E-2</v>
      </c>
      <c r="BI27" s="13">
        <f t="shared" ca="1" si="15"/>
        <v>131.61371211476813</v>
      </c>
      <c r="BJ27" s="13">
        <f t="shared" ca="1" si="16"/>
        <v>7.540855818595543</v>
      </c>
      <c r="BK27" s="13">
        <f t="shared" ca="1" si="17"/>
        <v>17.453418455530251</v>
      </c>
      <c r="BL27" s="14">
        <f t="shared" ca="1" si="18"/>
        <v>198.11509662073553</v>
      </c>
      <c r="BO27" s="16">
        <f ca="1">'Airfoil-Cruise'!J27</f>
        <v>4.9797192224504858</v>
      </c>
      <c r="BP27" s="1">
        <f ca="1">BO27/(1+BO27/(PI()*'Aerodynamics-Constants'!I27)*(1+AB27))</f>
        <v>4.0661743717040562</v>
      </c>
      <c r="BR27" s="12">
        <v>6</v>
      </c>
      <c r="BS27" s="1">
        <f t="shared" si="19"/>
        <v>3.6070931443035468</v>
      </c>
      <c r="BT27" s="1">
        <f>Stability!W27</f>
        <v>2.5506000227085441</v>
      </c>
      <c r="BV27" s="12">
        <v>6</v>
      </c>
      <c r="BW27" s="1">
        <f t="shared" si="20"/>
        <v>3.5768237222582537</v>
      </c>
      <c r="BX27" s="1">
        <f>Stability!Y27</f>
        <v>2.5291963091177196</v>
      </c>
    </row>
    <row r="28" spans="2:76">
      <c r="B28" s="16">
        <f>Cruise!F28</f>
        <v>0.65969672852566186</v>
      </c>
      <c r="C28" s="74">
        <f>'Airfoil-Cruise'!E28</f>
        <v>1.5987591530356481E-5</v>
      </c>
      <c r="E28" s="19">
        <f ca="1">Cruise!H28</f>
        <v>132.52501256992099</v>
      </c>
      <c r="F28" s="63">
        <f>Weight!G28</f>
        <v>0.3</v>
      </c>
      <c r="H28" s="20">
        <f t="shared" ca="1" si="29"/>
        <v>25.850372382859632</v>
      </c>
      <c r="I28" s="20">
        <f t="shared" ca="1" si="21"/>
        <v>20.300306672919298</v>
      </c>
      <c r="J28" s="20">
        <f t="shared" ca="1" si="0"/>
        <v>1.2733981214847432</v>
      </c>
      <c r="L28" s="31">
        <f>Main!B28</f>
        <v>0.33333333333333326</v>
      </c>
      <c r="M28" s="31">
        <f>Main!C28</f>
        <v>2.0526315789473686</v>
      </c>
      <c r="N28" s="1">
        <f t="shared" si="1"/>
        <v>0.68421052631578938</v>
      </c>
      <c r="O28" s="1">
        <f t="shared" si="2"/>
        <v>6.1578947368421071</v>
      </c>
      <c r="P28" s="16">
        <f ca="1">'Aerodynamics-Constants'!AC28</f>
        <v>4.394550651802915E-2</v>
      </c>
      <c r="Q28" s="16">
        <f>'Aerodynamics-Constants'!AD28</f>
        <v>3.0789473684210535</v>
      </c>
      <c r="R28" s="63">
        <f>Stability!G28</f>
        <v>5.6500000000000012</v>
      </c>
      <c r="S28" s="16">
        <f ca="1">'Aerodynamics-Constants'!AM28</f>
        <v>1.4126195587998653E-2</v>
      </c>
      <c r="T28" s="16">
        <f>'Aerodynamics-Constants'!AN28</f>
        <v>3.0789473684210535</v>
      </c>
      <c r="V28" s="81">
        <f t="shared" ca="1" si="3"/>
        <v>355555.03695396968</v>
      </c>
      <c r="W28" s="63">
        <f ca="1">MIN(Main!H28,'Airfoil 2'!$K$71*V28^'Airfoil 2'!$L$70*2,1*'Airfoil-Cruise'!I28/Takeoff!$B$10^2*0.9)</f>
        <v>0.9</v>
      </c>
      <c r="X28" s="42">
        <f ca="1">'Airfoil-Cruise'!V28</f>
        <v>7.6771315224665477E-3</v>
      </c>
      <c r="Y28" s="14">
        <f t="shared" ca="1" si="4"/>
        <v>117.23128584761349</v>
      </c>
      <c r="Z28" s="16">
        <f ca="1">'Airfoil-Cruise'!AF28</f>
        <v>-0.15499999999999889</v>
      </c>
      <c r="AA28" s="31">
        <f>Main!I28</f>
        <v>1.1842938502019895</v>
      </c>
      <c r="AB28" s="12">
        <f t="shared" si="22"/>
        <v>-0.15561496850680845</v>
      </c>
      <c r="AC28" s="30">
        <f t="shared" ca="1" si="5"/>
        <v>2.2489970121968086</v>
      </c>
      <c r="AD28" s="13">
        <f t="shared" ca="1" si="23"/>
        <v>2.2489970121968086</v>
      </c>
      <c r="AE28" s="13">
        <f ca="1">DEGREES(AF28/BP28)+'Airfoil-Cruise'!K28</f>
        <v>3.2759688630957076</v>
      </c>
      <c r="AF28" s="1">
        <f t="shared" ca="1" si="24"/>
        <v>0.89930675101315616</v>
      </c>
      <c r="AG28" s="16">
        <f ca="1">0.9*'Airfoil-Cruise'!I28</f>
        <v>1.4249137275805428</v>
      </c>
      <c r="AH28" s="42">
        <f ca="1">0.455/(LOG10(MIN(V28,'Aerodynamics-Constants'!L28)))^2.58</f>
        <v>5.4645252335077154E-3</v>
      </c>
      <c r="AI28" s="42">
        <f ca="1">+AH28*'Aerodynamics-Constants'!J28*'Aerodynamics-Constants'!M28/N28</f>
        <v>0</v>
      </c>
      <c r="AJ28" s="10">
        <f ca="1">X28*COS(RADIANS(AC28))*'Aerodynamics-Constants'!M28+AI28</f>
        <v>7.6712180073000838E-3</v>
      </c>
      <c r="AK28" s="10">
        <f ca="1">AF28^2/(PI()*'Aerodynamics-Constants'!I28*AA28)</f>
        <v>3.5299950768890434E-2</v>
      </c>
      <c r="AL28" s="10">
        <f t="shared" ca="1" si="6"/>
        <v>4.2971168776190519E-2</v>
      </c>
      <c r="AM28" s="1">
        <f t="shared" ca="1" si="7"/>
        <v>-0.15499999999999889</v>
      </c>
      <c r="AN28" s="1">
        <f t="shared" ca="1" si="8"/>
        <v>-0.32022188545918978</v>
      </c>
      <c r="AO28" s="12">
        <f t="shared" si="25"/>
        <v>0.96791379534354982</v>
      </c>
      <c r="AP28" s="12">
        <f t="shared" si="9"/>
        <v>3.3149857777428959E-2</v>
      </c>
      <c r="AQ28" s="81">
        <f ca="1">B28*H28*'Aerodynamics-Constants'!AA28/C28</f>
        <v>127433.67122993959</v>
      </c>
      <c r="AR28" s="10">
        <f ca="1">0.455/(LOG10(MIN(AQ28,'Aerodynamics-Constants'!AG28)))^2.58</f>
        <v>6.7814098948614232E-3</v>
      </c>
      <c r="AS28" s="15">
        <f ca="1">AR28*'Aerodynamics-Constants'!AI28*'Aerodynamics-Constants'!AJ28*'Aerodynamics-Constants'!AE28/P28</f>
        <v>1.8863284844072448E-2</v>
      </c>
      <c r="AT28" s="10">
        <f t="shared" ca="1" si="26"/>
        <v>1.0952498516993718E-2</v>
      </c>
      <c r="AU28" s="10">
        <f t="shared" ca="1" si="10"/>
        <v>2.9815783361066168E-2</v>
      </c>
      <c r="AV28" s="12">
        <f t="shared" si="11"/>
        <v>0.95152631578947378</v>
      </c>
      <c r="AW28" s="12">
        <f t="shared" si="12"/>
        <v>5.0943083135128964E-2</v>
      </c>
      <c r="AX28" s="81">
        <f ca="1">B28*H28*'Aerodynamics-Constants'!AK28/C28</f>
        <v>72250.285095928994</v>
      </c>
      <c r="AY28" s="10">
        <f ca="1">0.455/(LOG10(MIN(AX28,'Aerodynamics-Constants'!AQ28)))^2.58</f>
        <v>7.7047294609763435E-3</v>
      </c>
      <c r="AZ28" s="15">
        <f ca="1">AY28*'Aerodynamics-Constants'!AS28*'Aerodynamics-Constants'!AT28*'Aerodynamics-Constants'!AO28/S28</f>
        <v>2.1431606217910744E-2</v>
      </c>
      <c r="BA28" s="81">
        <f ca="1">B28*H28*'Aerodynamics-Constants'!N28/C28</f>
        <v>2719996.0326978681</v>
      </c>
      <c r="BB28" s="10">
        <f ca="1">0.455/(LOG10(MIN(BA28,'Aerodynamics-Constants'!V28)))^2.58</f>
        <v>3.7327706859853166E-3</v>
      </c>
      <c r="BC28" s="10">
        <f ca="1">BB28*'Aerodynamics-Constants'!W28*'Aerodynamics-Constants'!X28*'Aerodynamics-Constants'!S28/N28+'Aerodynamics-Constants'!Z28</f>
        <v>2.6201748386362306E-3</v>
      </c>
      <c r="BD28" s="15">
        <f ca="1">BC28*'Aerodynamics-Constants'!AU28+(AJ28+AS28*P28/N28+AZ28*S28/N28)*('Aerodynamics-Constants'!AU28-1)</f>
        <v>3.8147169670533264E-3</v>
      </c>
      <c r="BE28" s="16">
        <f t="shared" ca="1" si="13"/>
        <v>0.87873952438711112</v>
      </c>
      <c r="BF28" s="10">
        <f t="shared" ca="1" si="27"/>
        <v>1.3139963412588045E-2</v>
      </c>
      <c r="BG28" s="10">
        <f t="shared" ca="1" si="28"/>
        <v>3.6003408369227184E-2</v>
      </c>
      <c r="BH28" s="10">
        <f t="shared" ca="1" si="14"/>
        <v>4.9143371781815229E-2</v>
      </c>
      <c r="BI28" s="13">
        <f t="shared" ca="1" si="15"/>
        <v>132.52501256992099</v>
      </c>
      <c r="BJ28" s="13">
        <f t="shared" ca="1" si="16"/>
        <v>7.4114407994288793</v>
      </c>
      <c r="BK28" s="13">
        <f t="shared" ca="1" si="17"/>
        <v>17.881140274389466</v>
      </c>
      <c r="BL28" s="14">
        <f t="shared" ca="1" si="18"/>
        <v>191.5885045587554</v>
      </c>
      <c r="BO28" s="16">
        <f ca="1">'Airfoil-Cruise'!J28</f>
        <v>5.0069056188325991</v>
      </c>
      <c r="BP28" s="1">
        <f ca="1">BO28/(1+BO28/(PI()*'Aerodynamics-Constants'!I28)*(1+AB28))</f>
        <v>4.1089435833566847</v>
      </c>
      <c r="BR28" s="12">
        <v>6</v>
      </c>
      <c r="BS28" s="1">
        <f t="shared" si="19"/>
        <v>3.6566214992242547</v>
      </c>
      <c r="BT28" s="1">
        <f>Stability!W28</f>
        <v>2.5856218583339907</v>
      </c>
      <c r="BV28" s="12">
        <v>6</v>
      </c>
      <c r="BW28" s="1">
        <f t="shared" si="20"/>
        <v>3.632189944665718</v>
      </c>
      <c r="BX28" s="1">
        <f>Stability!Y28</f>
        <v>2.5683461404307204</v>
      </c>
    </row>
    <row r="29" spans="2:76">
      <c r="B29" s="16">
        <f>Cruise!F29</f>
        <v>0.65969672852566186</v>
      </c>
      <c r="C29" s="74">
        <f>'Airfoil-Cruise'!E29</f>
        <v>1.5987591530356481E-5</v>
      </c>
      <c r="E29" s="19">
        <f ca="1">Cruise!H29</f>
        <v>132.22241873736857</v>
      </c>
      <c r="F29" s="63">
        <f>Weight!G29</f>
        <v>0.3</v>
      </c>
      <c r="H29" s="20">
        <f t="shared" ca="1" si="29"/>
        <v>25.337550160719807</v>
      </c>
      <c r="I29" s="20">
        <f t="shared" ca="1" si="21"/>
        <v>19.900844140940418</v>
      </c>
      <c r="J29" s="20">
        <f t="shared" ca="1" si="0"/>
        <v>1.2731897190529164</v>
      </c>
      <c r="L29" s="31">
        <f>Main!B29</f>
        <v>0.33333333333333326</v>
      </c>
      <c r="M29" s="31">
        <f>Main!C29</f>
        <v>2.1315789473684212</v>
      </c>
      <c r="N29" s="1">
        <f t="shared" si="1"/>
        <v>0.71052631578947356</v>
      </c>
      <c r="O29" s="1">
        <f t="shared" si="2"/>
        <v>6.3947368421052664</v>
      </c>
      <c r="P29" s="16">
        <f ca="1">'Aerodynamics-Constants'!AC29</f>
        <v>4.5163073631874995E-2</v>
      </c>
      <c r="Q29" s="16">
        <f>'Aerodynamics-Constants'!AD29</f>
        <v>3.1973684210526327</v>
      </c>
      <c r="R29" s="63">
        <f>Stability!G29</f>
        <v>5.6500000000000012</v>
      </c>
      <c r="S29" s="16">
        <f ca="1">'Aerodynamics-Constants'!AM29</f>
        <v>1.4952796880420957E-2</v>
      </c>
      <c r="T29" s="16">
        <f>'Aerodynamics-Constants'!AN29</f>
        <v>3.1973684210526327</v>
      </c>
      <c r="V29" s="81">
        <f t="shared" ca="1" si="3"/>
        <v>348501.50126623455</v>
      </c>
      <c r="W29" s="63">
        <f ca="1">MIN(Main!H29,'Airfoil 2'!$K$71*V29^'Airfoil 2'!$L$70*2,1*'Airfoil-Cruise'!I29/Takeoff!$B$10^2*0.9)</f>
        <v>0.9</v>
      </c>
      <c r="X29" s="42">
        <f ca="1">'Airfoil-Cruise'!V29</f>
        <v>7.7974580991119974E-3</v>
      </c>
      <c r="Y29" s="14">
        <f t="shared" ca="1" si="4"/>
        <v>115.42222972669713</v>
      </c>
      <c r="Z29" s="16">
        <f ca="1">'Airfoil-Cruise'!AF29</f>
        <v>-0.15499999999999892</v>
      </c>
      <c r="AA29" s="31">
        <f>Main!I29</f>
        <v>1.1771267133748404</v>
      </c>
      <c r="AB29" s="12">
        <f t="shared" si="22"/>
        <v>-0.15047378617975238</v>
      </c>
      <c r="AC29" s="30">
        <f t="shared" ca="1" si="5"/>
        <v>2.1789899936311525</v>
      </c>
      <c r="AD29" s="13">
        <f t="shared" ca="1" si="23"/>
        <v>2.1789899936311525</v>
      </c>
      <c r="AE29" s="13">
        <f ca="1">DEGREES(AF29/BP29)+'Airfoil-Cruise'!K29</f>
        <v>3.2606329124532945</v>
      </c>
      <c r="AF29" s="1">
        <f t="shared" ca="1" si="24"/>
        <v>0.89934923321890603</v>
      </c>
      <c r="AG29" s="16">
        <f ca="1">0.9*'Airfoil-Cruise'!I29</f>
        <v>1.4245168750052513</v>
      </c>
      <c r="AH29" s="42">
        <f ca="1">0.455/(LOG10(MIN(V29,'Aerodynamics-Constants'!L29)))^2.58</f>
        <v>5.486689649598666E-3</v>
      </c>
      <c r="AI29" s="42">
        <f ca="1">+AH29*'Aerodynamics-Constants'!J29*'Aerodynamics-Constants'!M29/N29</f>
        <v>0</v>
      </c>
      <c r="AJ29" s="10">
        <f ca="1">X29*COS(RADIANS(AC29))*'Aerodynamics-Constants'!M29+AI29</f>
        <v>7.7918199583254704E-3</v>
      </c>
      <c r="AK29" s="10">
        <f ca="1">AF29^2/(PI()*'Aerodynamics-Constants'!I29*AA29)</f>
        <v>3.4202745762737977E-2</v>
      </c>
      <c r="AL29" s="10">
        <f t="shared" ca="1" si="6"/>
        <v>4.199456572106345E-2</v>
      </c>
      <c r="AM29" s="1">
        <f t="shared" ca="1" si="7"/>
        <v>-0.15499999999999892</v>
      </c>
      <c r="AN29" s="1">
        <f t="shared" ca="1" si="8"/>
        <v>-0.32356685418466152</v>
      </c>
      <c r="AO29" s="12">
        <f t="shared" si="25"/>
        <v>0.96344031741880587</v>
      </c>
      <c r="AP29" s="12">
        <f t="shared" si="9"/>
        <v>3.7947013343953451E-2</v>
      </c>
      <c r="AQ29" s="81">
        <f ca="1">B29*H29*'Aerodynamics-Constants'!AA29/C29</f>
        <v>124257.12837798778</v>
      </c>
      <c r="AR29" s="10">
        <f ca="1">0.455/(LOG10(MIN(AQ29,'Aerodynamics-Constants'!AG29)))^2.58</f>
        <v>6.819125069391389E-3</v>
      </c>
      <c r="AS29" s="15">
        <f ca="1">AR29*'Aerodynamics-Constants'!AI29*'Aerodynamics-Constants'!AJ29*'Aerodynamics-Constants'!AE29/P29</f>
        <v>1.8968194013571516E-2</v>
      </c>
      <c r="AT29" s="10">
        <f t="shared" ca="1" si="26"/>
        <v>1.0818341404152351E-2</v>
      </c>
      <c r="AU29" s="10">
        <f t="shared" ca="1" si="10"/>
        <v>2.9786535417723865E-2</v>
      </c>
      <c r="AV29" s="12">
        <f t="shared" si="11"/>
        <v>0.95081578947368428</v>
      </c>
      <c r="AW29" s="12">
        <f t="shared" si="12"/>
        <v>5.1728432647864642E-2</v>
      </c>
      <c r="AX29" s="81">
        <f ca="1">B29*H29*'Aerodynamics-Constants'!AK29/C29</f>
        <v>71497.488124425901</v>
      </c>
      <c r="AY29" s="10">
        <f ca="1">0.455/(LOG10(MIN(AX29,'Aerodynamics-Constants'!AQ29)))^2.58</f>
        <v>7.7233703991197002E-3</v>
      </c>
      <c r="AZ29" s="15">
        <f ca="1">AY29*'Aerodynamics-Constants'!AS29*'Aerodynamics-Constants'!AT29*'Aerodynamics-Constants'!AO29/S29</f>
        <v>2.1483458167787028E-2</v>
      </c>
      <c r="BA29" s="81">
        <f ca="1">B29*H29*'Aerodynamics-Constants'!N29/C29</f>
        <v>2666036.484686695</v>
      </c>
      <c r="BB29" s="10">
        <f ca="1">0.455/(LOG10(MIN(BA29,'Aerodynamics-Constants'!V29)))^2.58</f>
        <v>3.7458267424426419E-3</v>
      </c>
      <c r="BC29" s="10">
        <f ca="1">BB29*'Aerodynamics-Constants'!W29*'Aerodynamics-Constants'!X29*'Aerodynamics-Constants'!S29/N29+'Aerodynamics-Constants'!Z29</f>
        <v>2.5319488575750036E-3</v>
      </c>
      <c r="BD29" s="15">
        <f ca="1">BC29*'Aerodynamics-Constants'!AU29+(AJ29+AS29*P29/N29+AZ29*S29/N29)*('Aerodynamics-Constants'!AU29-1)</f>
        <v>3.7301042195668349E-3</v>
      </c>
      <c r="BE29" s="16">
        <f t="shared" ca="1" si="13"/>
        <v>0.87878240362282123</v>
      </c>
      <c r="BF29" s="10">
        <f t="shared" ca="1" si="27"/>
        <v>1.3179708981910133E-2</v>
      </c>
      <c r="BG29" s="10">
        <f t="shared" ca="1" si="28"/>
        <v>3.4890390313760157E-2</v>
      </c>
      <c r="BH29" s="10">
        <f t="shared" ca="1" si="14"/>
        <v>4.8070099295670285E-2</v>
      </c>
      <c r="BI29" s="13">
        <f t="shared" ca="1" si="15"/>
        <v>132.22241873736857</v>
      </c>
      <c r="BJ29" s="13">
        <f t="shared" ca="1" si="16"/>
        <v>7.2326719010489109</v>
      </c>
      <c r="BK29" s="13">
        <f t="shared" ca="1" si="17"/>
        <v>18.281268740836033</v>
      </c>
      <c r="BL29" s="14">
        <f t="shared" ca="1" si="18"/>
        <v>183.25818708885546</v>
      </c>
      <c r="BO29" s="16">
        <f ca="1">'Airfoil-Cruise'!J29</f>
        <v>5.040763712111108</v>
      </c>
      <c r="BP29" s="1">
        <f ca="1">BO29/(1+BO29/(PI()*'Aerodynamics-Constants'!I29)*(1+AB29))</f>
        <v>4.1550778031348141</v>
      </c>
      <c r="BR29" s="12">
        <v>6</v>
      </c>
      <c r="BS29" s="1">
        <f t="shared" si="19"/>
        <v>3.7037291927749938</v>
      </c>
      <c r="BT29" s="1">
        <f>Stability!W29</f>
        <v>2.6189320278897759</v>
      </c>
      <c r="BV29" s="12">
        <v>6</v>
      </c>
      <c r="BW29" s="1">
        <f t="shared" si="20"/>
        <v>3.6850039020501306</v>
      </c>
      <c r="BX29" s="1">
        <f>Stability!Y29</f>
        <v>2.6056912478385357</v>
      </c>
    </row>
    <row r="30" spans="2:76">
      <c r="B30" s="16">
        <f>Cruise!F30</f>
        <v>0.65969672852566186</v>
      </c>
      <c r="C30" s="74">
        <f>'Airfoil-Cruise'!E30</f>
        <v>1.5987591530356481E-5</v>
      </c>
      <c r="E30" s="19">
        <f ca="1">Cruise!H30</f>
        <v>131.99460630649114</v>
      </c>
      <c r="F30" s="63">
        <f>Weight!G30</f>
        <v>0.3</v>
      </c>
      <c r="H30" s="20">
        <f t="shared" ca="1" si="29"/>
        <v>24.858990723279437</v>
      </c>
      <c r="I30" s="20">
        <f t="shared" ca="1" si="21"/>
        <v>19.52798658614757</v>
      </c>
      <c r="J30" s="20">
        <f t="shared" ca="1" si="0"/>
        <v>1.2729930253492434</v>
      </c>
      <c r="L30" s="31">
        <f>Main!B30</f>
        <v>0.33333333333333326</v>
      </c>
      <c r="M30" s="31">
        <f>Main!C30</f>
        <v>2.2105263157894739</v>
      </c>
      <c r="N30" s="1">
        <f t="shared" si="1"/>
        <v>0.73684210526315785</v>
      </c>
      <c r="O30" s="1">
        <f t="shared" si="2"/>
        <v>6.631578947368423</v>
      </c>
      <c r="P30" s="16">
        <f ca="1">'Aerodynamics-Constants'!AC30</f>
        <v>4.6377372192058779E-2</v>
      </c>
      <c r="Q30" s="16">
        <f>'Aerodynamics-Constants'!AD30</f>
        <v>3.3157894736842115</v>
      </c>
      <c r="R30" s="63">
        <f>Stability!G30</f>
        <v>5.6500000000000012</v>
      </c>
      <c r="S30" s="16">
        <f ca="1">'Aerodynamics-Constants'!AM30</f>
        <v>1.5807427641918392E-2</v>
      </c>
      <c r="T30" s="16">
        <f>'Aerodynamics-Constants'!AN30</f>
        <v>3.3157894736842115</v>
      </c>
      <c r="V30" s="81">
        <f t="shared" ca="1" si="3"/>
        <v>341919.22786824655</v>
      </c>
      <c r="W30" s="63">
        <f ca="1">MIN(Main!H30,'Airfoil 2'!$K$71*V30^'Airfoil 2'!$L$70*2,1*'Airfoil-Cruise'!I30/Takeoff!$B$10^2*0.9)</f>
        <v>0.9</v>
      </c>
      <c r="X30" s="42">
        <f ca="1">'Airfoil-Cruise'!V30</f>
        <v>7.9137135193022845E-3</v>
      </c>
      <c r="Y30" s="14">
        <f t="shared" ca="1" si="4"/>
        <v>113.7266338748321</v>
      </c>
      <c r="Z30" s="16">
        <f ca="1">'Airfoil-Cruise'!AF30</f>
        <v>-0.15499999999999892</v>
      </c>
      <c r="AA30" s="31">
        <f>Main!I30</f>
        <v>1.1700440412790545</v>
      </c>
      <c r="AB30" s="12">
        <f t="shared" si="22"/>
        <v>-0.14533131683929423</v>
      </c>
      <c r="AC30" s="30">
        <f t="shared" ca="1" si="5"/>
        <v>2.1139779105158261</v>
      </c>
      <c r="AD30" s="13">
        <f t="shared" ca="1" si="23"/>
        <v>2.1139779105158261</v>
      </c>
      <c r="AE30" s="13">
        <f ca="1">DEGREES(AF30/BP30)+'Airfoil-Cruise'!K30</f>
        <v>3.2465227228021973</v>
      </c>
      <c r="AF30" s="1">
        <f t="shared" ca="1" si="24"/>
        <v>0.89938748197855645</v>
      </c>
      <c r="AG30" s="16">
        <f ca="1">0.9*'Airfoil-Cruise'!I30</f>
        <v>1.4241393266802032</v>
      </c>
      <c r="AH30" s="42">
        <f ca="1">0.455/(LOG10(MIN(V30,'Aerodynamics-Constants'!L30)))^2.58</f>
        <v>5.507897652183933E-3</v>
      </c>
      <c r="AI30" s="42">
        <f ca="1">+AH30*'Aerodynamics-Constants'!J30*'Aerodynamics-Constants'!M30/N30</f>
        <v>0</v>
      </c>
      <c r="AJ30" s="10">
        <f ca="1">X30*COS(RADIANS(AC30))*'Aerodynamics-Constants'!M30+AI30</f>
        <v>7.9083276391388249E-3</v>
      </c>
      <c r="AK30" s="10">
        <f ca="1">AF30^2/(PI()*'Aerodynamics-Constants'!I30*AA30)</f>
        <v>3.3183687979373759E-2</v>
      </c>
      <c r="AL30" s="10">
        <f t="shared" ca="1" si="6"/>
        <v>4.1092015618512584E-2</v>
      </c>
      <c r="AM30" s="1">
        <f t="shared" ca="1" si="7"/>
        <v>-0.15499999999999892</v>
      </c>
      <c r="AN30" s="1">
        <f t="shared" ca="1" si="8"/>
        <v>-0.32675940672351028</v>
      </c>
      <c r="AO30" s="12">
        <f t="shared" si="25"/>
        <v>0.95901955944629458</v>
      </c>
      <c r="AP30" s="12">
        <f t="shared" si="9"/>
        <v>4.2731600362109656E-2</v>
      </c>
      <c r="AQ30" s="81">
        <f ca="1">B30*H30*'Aerodynamics-Constants'!AA30/C30</f>
        <v>121312.17051342061</v>
      </c>
      <c r="AR30" s="10">
        <f ca="1">0.455/(LOG10(MIN(AQ30,'Aerodynamics-Constants'!AG30)))^2.58</f>
        <v>6.855232271725663E-3</v>
      </c>
      <c r="AS30" s="15">
        <f ca="1">AR30*'Aerodynamics-Constants'!AI30*'Aerodynamics-Constants'!AJ30*'Aerodynamics-Constants'!AE30/P30</f>
        <v>1.9068630420323751E-2</v>
      </c>
      <c r="AT30" s="10">
        <f t="shared" ca="1" si="26"/>
        <v>1.0687888433504855E-2</v>
      </c>
      <c r="AU30" s="10">
        <f t="shared" ca="1" si="10"/>
        <v>2.9756518853828608E-2</v>
      </c>
      <c r="AV30" s="12">
        <f t="shared" si="11"/>
        <v>0.95010526315789479</v>
      </c>
      <c r="AW30" s="12">
        <f t="shared" si="12"/>
        <v>5.2514956791491096E-2</v>
      </c>
      <c r="AX30" s="81">
        <f ca="1">B30*H30*'Aerodynamics-Constants'!AK30/C30</f>
        <v>70824.237214360124</v>
      </c>
      <c r="AY30" s="10">
        <f ca="1">0.455/(LOG10(MIN(AX30,'Aerodynamics-Constants'!AQ30)))^2.58</f>
        <v>7.7402624523935631E-3</v>
      </c>
      <c r="AZ30" s="15">
        <f ca="1">AY30*'Aerodynamics-Constants'!AS30*'Aerodynamics-Constants'!AT30*'Aerodynamics-Constants'!AO30/S30</f>
        <v>2.1530445389831752E-2</v>
      </c>
      <c r="BA30" s="81">
        <f ca="1">B30*H30*'Aerodynamics-Constants'!N30/C30</f>
        <v>2615682.0931920866</v>
      </c>
      <c r="BB30" s="10">
        <f ca="1">0.455/(LOG10(MIN(BA30,'Aerodynamics-Constants'!V30)))^2.58</f>
        <v>3.7583099999781155E-3</v>
      </c>
      <c r="BC30" s="10">
        <f ca="1">BB30*'Aerodynamics-Constants'!W30*'Aerodynamics-Constants'!X30*'Aerodynamics-Constants'!S30/N30+'Aerodynamics-Constants'!Z30</f>
        <v>2.4496517030220197E-3</v>
      </c>
      <c r="BD30" s="15">
        <f ca="1">BC30*'Aerodynamics-Constants'!AU30+(AJ30+AS30*P30/N30+AZ30*S30/N30)*('Aerodynamics-Constants'!AU30-1)</f>
        <v>3.6516580988673192E-3</v>
      </c>
      <c r="BE30" s="16">
        <f t="shared" ca="1" si="13"/>
        <v>0.8788210098475151</v>
      </c>
      <c r="BF30" s="10">
        <f t="shared" ca="1" si="27"/>
        <v>1.3222070354298286E-2</v>
      </c>
      <c r="BG30" s="10">
        <f t="shared" ca="1" si="28"/>
        <v>3.385639136628299E-2</v>
      </c>
      <c r="BH30" s="10">
        <f t="shared" ca="1" si="14"/>
        <v>4.7078461720581277E-2</v>
      </c>
      <c r="BI30" s="13">
        <f t="shared" ca="1" si="15"/>
        <v>131.99460630649111</v>
      </c>
      <c r="BJ30" s="13">
        <f t="shared" ca="1" si="16"/>
        <v>7.070954097241656</v>
      </c>
      <c r="BK30" s="13">
        <f t="shared" ca="1" si="17"/>
        <v>18.667156439041452</v>
      </c>
      <c r="BL30" s="14">
        <f t="shared" ca="1" si="18"/>
        <v>175.77678230806504</v>
      </c>
      <c r="BO30" s="16">
        <f ca="1">'Airfoil-Cruise'!J30</f>
        <v>5.073196175455708</v>
      </c>
      <c r="BP30" s="1">
        <f ca="1">BO30/(1+BO30/(PI()*'Aerodynamics-Constants'!I30)*(1+AB30))</f>
        <v>4.1992505412655623</v>
      </c>
      <c r="BR30" s="12">
        <v>6</v>
      </c>
      <c r="BS30" s="1">
        <f t="shared" si="19"/>
        <v>3.7485889767549225</v>
      </c>
      <c r="BT30" s="1">
        <f>Stability!W30</f>
        <v>2.6506526853445473</v>
      </c>
      <c r="BV30" s="12">
        <v>6</v>
      </c>
      <c r="BW30" s="1">
        <f t="shared" si="20"/>
        <v>3.735437927548761</v>
      </c>
      <c r="BX30" s="1">
        <f>Stability!Y30</f>
        <v>2.6413534892711525</v>
      </c>
    </row>
    <row r="31" spans="2:76">
      <c r="B31" s="16">
        <f>Cruise!F31</f>
        <v>0.65969672852566186</v>
      </c>
      <c r="C31" s="74">
        <f>'Airfoil-Cruise'!E31</f>
        <v>1.5987591530356481E-5</v>
      </c>
      <c r="E31" s="19">
        <f ca="1">Cruise!H31</f>
        <v>131.83112185592466</v>
      </c>
      <c r="F31" s="63">
        <f>Weight!G31</f>
        <v>0.3</v>
      </c>
      <c r="H31" s="20">
        <f t="shared" ca="1" si="29"/>
        <v>24.411011139810388</v>
      </c>
      <c r="I31" s="20">
        <f t="shared" ca="1" si="21"/>
        <v>19.17888083682233</v>
      </c>
      <c r="J31" s="20">
        <f t="shared" ca="1" si="0"/>
        <v>1.2728068622723112</v>
      </c>
      <c r="L31" s="31">
        <f>Main!B31</f>
        <v>0.33333333333333326</v>
      </c>
      <c r="M31" s="31">
        <f>Main!C31</f>
        <v>2.2894736842105265</v>
      </c>
      <c r="N31" s="1">
        <f t="shared" si="1"/>
        <v>0.76315789473684204</v>
      </c>
      <c r="O31" s="1">
        <f t="shared" si="2"/>
        <v>6.8684210526315805</v>
      </c>
      <c r="P31" s="16">
        <f ca="1">'Aerodynamics-Constants'!AC31</f>
        <v>4.758897211975064E-2</v>
      </c>
      <c r="Q31" s="16">
        <f>'Aerodynamics-Constants'!AD31</f>
        <v>3.4342105263157907</v>
      </c>
      <c r="R31" s="63">
        <f>Stability!G31</f>
        <v>5.6500000000000012</v>
      </c>
      <c r="S31" s="16">
        <f ca="1">'Aerodynamics-Constants'!AM31</f>
        <v>1.6689885877140986E-2</v>
      </c>
      <c r="T31" s="16">
        <f>'Aerodynamics-Constants'!AN31</f>
        <v>3.4342105263157907</v>
      </c>
      <c r="V31" s="81">
        <f t="shared" ca="1" si="3"/>
        <v>335757.56044636539</v>
      </c>
      <c r="W31" s="63">
        <f ca="1">MIN(Main!H31,'Airfoil 2'!$K$71*V31^'Airfoil 2'!$L$70*2,1*'Airfoil-Cruise'!I31/Takeoff!$B$10^2*0.9)</f>
        <v>0.9</v>
      </c>
      <c r="X31" s="42">
        <f ca="1">'Airfoil-Cruise'!V31</f>
        <v>8.0262008722407994E-3</v>
      </c>
      <c r="Y31" s="14">
        <f t="shared" ca="1" si="4"/>
        <v>112.13275300805336</v>
      </c>
      <c r="Z31" s="16">
        <f ca="1">'Airfoil-Cruise'!AF31</f>
        <v>-0.15499999999999894</v>
      </c>
      <c r="AA31" s="31">
        <f>Main!I31</f>
        <v>1.163041872967743</v>
      </c>
      <c r="AB31" s="12">
        <f t="shared" si="22"/>
        <v>-0.1401857291274542</v>
      </c>
      <c r="AC31" s="30">
        <f t="shared" ca="1" si="5"/>
        <v>2.0534495123663086</v>
      </c>
      <c r="AD31" s="13">
        <f t="shared" ca="1" si="23"/>
        <v>2.0534495123663086</v>
      </c>
      <c r="AE31" s="13">
        <f ca="1">DEGREES(AF31/BP31)+'Airfoil-Cruise'!K31</f>
        <v>3.2335347519002262</v>
      </c>
      <c r="AF31" s="1">
        <f t="shared" ca="1" si="24"/>
        <v>0.89942205192581293</v>
      </c>
      <c r="AG31" s="16">
        <f ca="1">0.9*'Airfoil-Cruise'!I31</f>
        <v>1.4237793515879875</v>
      </c>
      <c r="AH31" s="42">
        <f ca="1">0.455/(LOG10(MIN(V31,'Aerodynamics-Constants'!L31)))^2.58</f>
        <v>5.5282298712169197E-3</v>
      </c>
      <c r="AI31" s="42">
        <f ca="1">+AH31*'Aerodynamics-Constants'!J31*'Aerodynamics-Constants'!M31/N31</f>
        <v>0</v>
      </c>
      <c r="AJ31" s="10">
        <f ca="1">X31*COS(RADIANS(AC31))*'Aerodynamics-Constants'!M31+AI31</f>
        <v>8.0210467307550767E-3</v>
      </c>
      <c r="AK31" s="10">
        <f ca="1">AF31^2/(PI()*'Aerodynamics-Constants'!I31*AA31)</f>
        <v>3.2234796168832285E-2</v>
      </c>
      <c r="AL31" s="10">
        <f t="shared" ca="1" si="6"/>
        <v>4.0255842899587363E-2</v>
      </c>
      <c r="AM31" s="1">
        <f t="shared" ca="1" si="7"/>
        <v>-0.15499999999999894</v>
      </c>
      <c r="AN31" s="1">
        <f t="shared" ca="1" si="8"/>
        <v>-0.3298079010906152</v>
      </c>
      <c r="AO31" s="12">
        <f t="shared" si="25"/>
        <v>0.95464904914051385</v>
      </c>
      <c r="AP31" s="12">
        <f t="shared" si="9"/>
        <v>4.7505364301484665E-2</v>
      </c>
      <c r="AQ31" s="81">
        <f ca="1">B31*H31*'Aerodynamics-Constants'!AA31/C31</f>
        <v>118573.25995365698</v>
      </c>
      <c r="AR31" s="10">
        <f ca="1">0.455/(LOG10(MIN(AQ31,'Aerodynamics-Constants'!AG31)))^2.58</f>
        <v>6.8898556988668492E-3</v>
      </c>
      <c r="AS31" s="15">
        <f ca="1">AR31*'Aerodynamics-Constants'!AI31*'Aerodynamics-Constants'!AJ31*'Aerodynamics-Constants'!AE31/P31</f>
        <v>1.9164939532819239E-2</v>
      </c>
      <c r="AT31" s="10">
        <f t="shared" ca="1" si="26"/>
        <v>1.0560915779889466E-2</v>
      </c>
      <c r="AU31" s="10">
        <f t="shared" ca="1" si="10"/>
        <v>2.9725855312708705E-2</v>
      </c>
      <c r="AV31" s="12">
        <f t="shared" si="11"/>
        <v>0.94939473684210529</v>
      </c>
      <c r="AW31" s="12">
        <f t="shared" si="12"/>
        <v>5.330265820328739E-2</v>
      </c>
      <c r="AX31" s="81">
        <f ca="1">B31*H31*'Aerodynamics-Constants'!AK31/C31</f>
        <v>70219.91209003485</v>
      </c>
      <c r="AY31" s="10">
        <f ca="1">0.455/(LOG10(MIN(AX31,'Aerodynamics-Constants'!AQ31)))^2.58</f>
        <v>7.7556067387849091E-3</v>
      </c>
      <c r="AZ31" s="15">
        <f ca="1">AY31*'Aerodynamics-Constants'!AS31*'Aerodynamics-Constants'!AT31*'Aerodynamics-Constants'!AO31/S31</f>
        <v>2.1573127317250456E-2</v>
      </c>
      <c r="BA31" s="81">
        <f ca="1">B31*H31*'Aerodynamics-Constants'!N31/C31</f>
        <v>2568545.3374146959</v>
      </c>
      <c r="BB31" s="10">
        <f ca="1">0.455/(LOG10(MIN(BA31,'Aerodynamics-Constants'!V31)))^2.58</f>
        <v>3.7702691419949246E-3</v>
      </c>
      <c r="BC31" s="10">
        <f ca="1">BB31*'Aerodynamics-Constants'!W31*'Aerodynamics-Constants'!X31*'Aerodynamics-Constants'!S31/N31+'Aerodynamics-Constants'!Z31</f>
        <v>2.3727006593916105E-3</v>
      </c>
      <c r="BD31" s="15">
        <f ca="1">BC31*'Aerodynamics-Constants'!AU31+(AJ31+AS31*P31/N31+AZ31*S31/N31)*('Aerodynamics-Constants'!AU31-1)</f>
        <v>3.578763421266954E-3</v>
      </c>
      <c r="BE31" s="16">
        <f t="shared" ca="1" si="13"/>
        <v>0.87885590287839077</v>
      </c>
      <c r="BF31" s="10">
        <f t="shared" ca="1" si="27"/>
        <v>1.3266690380628769E-2</v>
      </c>
      <c r="BG31" s="10">
        <f t="shared" ca="1" si="28"/>
        <v>3.2893353369215436E-2</v>
      </c>
      <c r="BH31" s="10">
        <f t="shared" ca="1" si="14"/>
        <v>4.6160043749844212E-2</v>
      </c>
      <c r="BI31" s="13">
        <f t="shared" ca="1" si="15"/>
        <v>131.83112185592466</v>
      </c>
      <c r="BJ31" s="13">
        <f t="shared" ca="1" si="16"/>
        <v>6.9241502873566816</v>
      </c>
      <c r="BK31" s="13">
        <f t="shared" ca="1" si="17"/>
        <v>19.039321271903191</v>
      </c>
      <c r="BL31" s="14">
        <f t="shared" ca="1" si="18"/>
        <v>169.02550979838526</v>
      </c>
      <c r="BO31" s="16">
        <f ca="1">'Airfoil-Cruise'!J31</f>
        <v>5.104321440931809</v>
      </c>
      <c r="BP31" s="1">
        <f ca="1">BO31/(1+BO31/(PI()*'Aerodynamics-Constants'!I31)*(1+AB31))</f>
        <v>4.2416082528730383</v>
      </c>
      <c r="BR31" s="12">
        <v>6</v>
      </c>
      <c r="BS31" s="1">
        <f t="shared" si="19"/>
        <v>3.7913574006695518</v>
      </c>
      <c r="BT31" s="1">
        <f>Stability!W31</f>
        <v>2.6808945279152425</v>
      </c>
      <c r="BV31" s="12">
        <v>6</v>
      </c>
      <c r="BW31" s="1">
        <f t="shared" si="20"/>
        <v>3.783649180369149</v>
      </c>
      <c r="BX31" s="1">
        <f>Stability!Y31</f>
        <v>2.6754439930699481</v>
      </c>
    </row>
    <row r="32" spans="2:76">
      <c r="B32" s="16">
        <f>Cruise!F32</f>
        <v>0.65969672852566186</v>
      </c>
      <c r="C32" s="74">
        <f>'Airfoil-Cruise'!E32</f>
        <v>1.5987591530356481E-5</v>
      </c>
      <c r="E32" s="19">
        <f ca="1">Cruise!H32</f>
        <v>131.7234976430376</v>
      </c>
      <c r="F32" s="63">
        <f>Weight!G32</f>
        <v>0.3</v>
      </c>
      <c r="H32" s="20">
        <f t="shared" ca="1" si="29"/>
        <v>23.990482001725344</v>
      </c>
      <c r="I32" s="20">
        <f t="shared" ca="1" si="21"/>
        <v>18.851101890046259</v>
      </c>
      <c r="J32" s="20">
        <f t="shared" ca="1" si="0"/>
        <v>1.2726302229787838</v>
      </c>
      <c r="L32" s="31">
        <f>Main!B32</f>
        <v>0.33333333333333326</v>
      </c>
      <c r="M32" s="31">
        <f>Main!C32</f>
        <v>2.3684210526315792</v>
      </c>
      <c r="N32" s="1">
        <f t="shared" si="1"/>
        <v>0.78947368421052622</v>
      </c>
      <c r="O32" s="1">
        <f t="shared" si="2"/>
        <v>7.1052631578947389</v>
      </c>
      <c r="P32" s="16">
        <f ca="1">'Aerodynamics-Constants'!AC32</f>
        <v>4.8798353242644012E-2</v>
      </c>
      <c r="Q32" s="16">
        <f>'Aerodynamics-Constants'!AD32</f>
        <v>3.5526315789473695</v>
      </c>
      <c r="R32" s="63">
        <f>Stability!G32</f>
        <v>5.6500000000000012</v>
      </c>
      <c r="S32" s="16">
        <f ca="1">'Aerodynamics-Constants'!AM32</f>
        <v>1.7599996651648308E-2</v>
      </c>
      <c r="T32" s="16">
        <f>'Aerodynamics-Constants'!AN32</f>
        <v>3.5526315789473695</v>
      </c>
      <c r="V32" s="81">
        <f t="shared" ca="1" si="3"/>
        <v>329973.45602351421</v>
      </c>
      <c r="W32" s="63">
        <f ca="1">MIN(Main!H32,'Airfoil 2'!$K$71*V32^'Airfoil 2'!$L$70*2,1*'Airfoil-Cruise'!I32/Takeoff!$B$10^2*0.9)</f>
        <v>0.9</v>
      </c>
      <c r="X32" s="42">
        <f ca="1">'Airfoil-Cruise'!V32</f>
        <v>8.1351835691605857E-3</v>
      </c>
      <c r="Y32" s="14">
        <f t="shared" ca="1" si="4"/>
        <v>110.63057057640125</v>
      </c>
      <c r="Z32" s="16">
        <f ca="1">'Airfoil-Cruise'!AF32</f>
        <v>-0.15499999999999894</v>
      </c>
      <c r="AA32" s="31">
        <f>Main!I32</f>
        <v>1.1561165628108239</v>
      </c>
      <c r="AB32" s="12">
        <f t="shared" si="22"/>
        <v>-0.13503531376737943</v>
      </c>
      <c r="AC32" s="30">
        <f t="shared" ca="1" si="5"/>
        <v>1.996961266212564</v>
      </c>
      <c r="AD32" s="13">
        <f t="shared" ca="1" si="23"/>
        <v>1.996961266212564</v>
      </c>
      <c r="AE32" s="13">
        <f ca="1">DEGREES(AF32/BP32)+'Airfoil-Cruise'!K32</f>
        <v>3.2215720112091955</v>
      </c>
      <c r="AF32" s="1">
        <f t="shared" ca="1" si="24"/>
        <v>0.89945340888609249</v>
      </c>
      <c r="AG32" s="16">
        <f ca="1">0.9*'Airfoil-Cruise'!I32</f>
        <v>1.4234354566744043</v>
      </c>
      <c r="AH32" s="42">
        <f ca="1">0.455/(LOG10(MIN(V32,'Aerodynamics-Constants'!L32)))^2.58</f>
        <v>5.5477560850227554E-3</v>
      </c>
      <c r="AI32" s="42">
        <f ca="1">+AH32*'Aerodynamics-Constants'!J32*'Aerodynamics-Constants'!M32/N32</f>
        <v>0</v>
      </c>
      <c r="AJ32" s="10">
        <f ca="1">X32*COS(RADIANS(AC32))*'Aerodynamics-Constants'!M32+AI32</f>
        <v>8.1302428813284644E-3</v>
      </c>
      <c r="AK32" s="10">
        <f ca="1">AF32^2/(PI()*'Aerodynamics-Constants'!I32*AA32)</f>
        <v>3.1349143576941102E-2</v>
      </c>
      <c r="AL32" s="10">
        <f t="shared" ca="1" si="6"/>
        <v>3.9479386458269566E-2</v>
      </c>
      <c r="AM32" s="1">
        <f t="shared" ca="1" si="7"/>
        <v>-0.15499999999999894</v>
      </c>
      <c r="AN32" s="1">
        <f t="shared" ca="1" si="8"/>
        <v>-0.33272028705543799</v>
      </c>
      <c r="AO32" s="12">
        <f t="shared" si="25"/>
        <v>0.9503265110257636</v>
      </c>
      <c r="AP32" s="12">
        <f t="shared" si="9"/>
        <v>5.2269918178563524E-2</v>
      </c>
      <c r="AQ32" s="81">
        <f ca="1">B32*H32*'Aerodynamics-Constants'!AA32/C32</f>
        <v>116018.63658091558</v>
      </c>
      <c r="AR32" s="10">
        <f ca="1">0.455/(LOG10(MIN(AQ32,'Aerodynamics-Constants'!AG32)))^2.58</f>
        <v>6.9231045602891096E-3</v>
      </c>
      <c r="AS32" s="15">
        <f ca="1">AR32*'Aerodynamics-Constants'!AI32*'Aerodynamics-Constants'!AJ32*'Aerodynamics-Constants'!AE32/P32</f>
        <v>1.9257425129984577E-2</v>
      </c>
      <c r="AT32" s="10">
        <f t="shared" ca="1" si="26"/>
        <v>1.0437240112370603E-2</v>
      </c>
      <c r="AU32" s="10">
        <f t="shared" ca="1" si="10"/>
        <v>2.969466524235518E-2</v>
      </c>
      <c r="AV32" s="12">
        <f t="shared" si="11"/>
        <v>0.9486842105263158</v>
      </c>
      <c r="AW32" s="12">
        <f t="shared" si="12"/>
        <v>5.4091539528432708E-2</v>
      </c>
      <c r="AX32" s="81">
        <f ca="1">B32*H32*'Aerodynamics-Constants'!AK32/C32</f>
        <v>69675.720254007378</v>
      </c>
      <c r="AY32" s="10">
        <f ca="1">0.455/(LOG10(MIN(AX32,'Aerodynamics-Constants'!AQ32)))^2.58</f>
        <v>7.7695741976989618E-3</v>
      </c>
      <c r="AZ32" s="15">
        <f ca="1">AY32*'Aerodynamics-Constants'!AS32*'Aerodynamics-Constants'!AT32*'Aerodynamics-Constants'!AO32/S32</f>
        <v>2.1611979437993568E-2</v>
      </c>
      <c r="BA32" s="81">
        <f ca="1">B32*H32*'Aerodynamics-Constants'!N32/C32</f>
        <v>2524296.9385798844</v>
      </c>
      <c r="BB32" s="10">
        <f ca="1">0.455/(LOG10(MIN(BA32,'Aerodynamics-Constants'!V32)))^2.58</f>
        <v>3.781746284405967E-3</v>
      </c>
      <c r="BC32" s="10">
        <f ca="1">BB32*'Aerodynamics-Constants'!W32*'Aerodynamics-Constants'!X32*'Aerodynamics-Constants'!S32/N32+'Aerodynamics-Constants'!Z32</f>
        <v>2.3005867146343941E-3</v>
      </c>
      <c r="BD32" s="15">
        <f ca="1">BC32*'Aerodynamics-Constants'!AU32+(AJ32+AS32*P32/N32+AZ32*S32/N32)*('Aerodynamics-Constants'!AU32-1)</f>
        <v>3.5108825182029327E-3</v>
      </c>
      <c r="BE32" s="16">
        <f t="shared" ca="1" si="13"/>
        <v>0.87888755289437392</v>
      </c>
      <c r="BF32" s="10">
        <f t="shared" ca="1" si="27"/>
        <v>1.3313253839253917E-2</v>
      </c>
      <c r="BG32" s="10">
        <f t="shared" ca="1" si="28"/>
        <v>3.1994282408124658E-2</v>
      </c>
      <c r="BH32" s="10">
        <f t="shared" ca="1" si="14"/>
        <v>4.5307536247378578E-2</v>
      </c>
      <c r="BI32" s="13">
        <f t="shared" ca="1" si="15"/>
        <v>131.7234976430376</v>
      </c>
      <c r="BJ32" s="13">
        <f t="shared" ca="1" si="16"/>
        <v>6.7904786277143527</v>
      </c>
      <c r="BK32" s="13">
        <f t="shared" ca="1" si="17"/>
        <v>19.398264078974826</v>
      </c>
      <c r="BL32" s="14">
        <f t="shared" ca="1" si="18"/>
        <v>162.90685530128178</v>
      </c>
      <c r="BO32" s="16">
        <f ca="1">'Airfoil-Cruise'!J32</f>
        <v>5.1342420892387466</v>
      </c>
      <c r="BP32" s="1">
        <f ca="1">BO32/(1+BO32/(PI()*'Aerodynamics-Constants'!I32)*(1+AB32))</f>
        <v>4.282280867160269</v>
      </c>
      <c r="BR32" s="12">
        <v>6</v>
      </c>
      <c r="BS32" s="1">
        <f t="shared" si="19"/>
        <v>3.8321766772122796</v>
      </c>
      <c r="BT32" s="1">
        <f>Stability!W32</f>
        <v>2.7097581151617343</v>
      </c>
      <c r="BV32" s="12">
        <v>6</v>
      </c>
      <c r="BW32" s="1">
        <f t="shared" si="20"/>
        <v>3.8297812798968627</v>
      </c>
      <c r="BX32" s="1">
        <f>Stability!Y32</f>
        <v>2.7080643134763669</v>
      </c>
    </row>
    <row r="33" spans="2:76">
      <c r="B33" s="16">
        <f>Cruise!F33</f>
        <v>0.65969672852566186</v>
      </c>
      <c r="C33" s="74">
        <f>'Airfoil-Cruise'!E33</f>
        <v>1.5987591530356481E-5</v>
      </c>
      <c r="E33" s="19">
        <f ca="1">Cruise!H33</f>
        <v>131.66480106924885</v>
      </c>
      <c r="F33" s="63">
        <f>Weight!G33</f>
        <v>0.3</v>
      </c>
      <c r="H33" s="20">
        <f t="shared" ca="1" si="29"/>
        <v>23.594721425716866</v>
      </c>
      <c r="I33" s="20">
        <f t="shared" ca="1" si="21"/>
        <v>18.542570992423428</v>
      </c>
      <c r="J33" s="20">
        <f t="shared" ca="1" si="0"/>
        <v>1.2724622402879173</v>
      </c>
      <c r="L33" s="31">
        <f>Main!B33</f>
        <v>0.33333333333333326</v>
      </c>
      <c r="M33" s="31">
        <f>Main!C33</f>
        <v>2.4473684210526319</v>
      </c>
      <c r="N33" s="1">
        <f t="shared" si="1"/>
        <v>0.8157894736842104</v>
      </c>
      <c r="O33" s="1">
        <f t="shared" si="2"/>
        <v>7.3421052631578974</v>
      </c>
      <c r="P33" s="16">
        <f ca="1">'Aerodynamics-Constants'!AC33</f>
        <v>5.000592072206575E-2</v>
      </c>
      <c r="Q33" s="16">
        <f>'Aerodynamics-Constants'!AD33</f>
        <v>3.6710526315789487</v>
      </c>
      <c r="R33" s="63">
        <f>Stability!G33</f>
        <v>5.6500000000000012</v>
      </c>
      <c r="S33" s="16">
        <f ca="1">'Aerodynamics-Constants'!AM33</f>
        <v>1.8537607723557867E-2</v>
      </c>
      <c r="T33" s="16">
        <f>'Aerodynamics-Constants'!AN33</f>
        <v>3.6710526315789487</v>
      </c>
      <c r="V33" s="81">
        <f t="shared" ca="1" si="3"/>
        <v>324530.0270413878</v>
      </c>
      <c r="W33" s="63">
        <f ca="1">MIN(Main!H33,'Airfoil 2'!$K$71*V33^'Airfoil 2'!$L$70*2,1*'Airfoil-Cruise'!I33/Takeoff!$B$10^2*0.9)</f>
        <v>0.9</v>
      </c>
      <c r="X33" s="42">
        <f ca="1">'Airfoil-Cruise'!V33</f>
        <v>8.2408925142847707E-3</v>
      </c>
      <c r="Y33" s="14">
        <f t="shared" ca="1" si="4"/>
        <v>109.21147174774325</v>
      </c>
      <c r="Z33" s="16">
        <f ca="1">'Airfoil-Cruise'!AF33</f>
        <v>-0.154999999999999</v>
      </c>
      <c r="AA33" s="31">
        <f>Main!I33</f>
        <v>1.149264745760594</v>
      </c>
      <c r="AB33" s="12">
        <f t="shared" si="22"/>
        <v>-0.12987846909182721</v>
      </c>
      <c r="AC33" s="30">
        <f t="shared" ca="1" si="5"/>
        <v>1.9441264968346204</v>
      </c>
      <c r="AD33" s="13">
        <f t="shared" ca="1" si="23"/>
        <v>1.9441264968346204</v>
      </c>
      <c r="AE33" s="13">
        <f ca="1">DEGREES(AF33/BP33)+'Airfoil-Cruise'!K33</f>
        <v>3.2105448755350938</v>
      </c>
      <c r="AF33" s="1">
        <f t="shared" ca="1" si="24"/>
        <v>0.89948194649194757</v>
      </c>
      <c r="AG33" s="16">
        <f ca="1">0.9*'Airfoil-Cruise'!I33</f>
        <v>1.4231063433726903</v>
      </c>
      <c r="AH33" s="42">
        <f ca="1">0.455/(LOG10(MIN(V33,'Aerodynamics-Constants'!L33)))^2.58</f>
        <v>5.566537187931782E-3</v>
      </c>
      <c r="AI33" s="42">
        <f ca="1">+AH33*'Aerodynamics-Constants'!J33*'Aerodynamics-Constants'!M33/N33</f>
        <v>0</v>
      </c>
      <c r="AJ33" s="10">
        <f ca="1">X33*COS(RADIANS(AC33))*'Aerodynamics-Constants'!M33+AI33</f>
        <v>8.2361489328664269E-3</v>
      </c>
      <c r="AK33" s="10">
        <f ca="1">AF33^2/(PI()*'Aerodynamics-Constants'!I33*AA33)</f>
        <v>3.0520689315346412E-2</v>
      </c>
      <c r="AL33" s="10">
        <f t="shared" ca="1" si="6"/>
        <v>3.8756838248212841E-2</v>
      </c>
      <c r="AM33" s="1">
        <f t="shared" ca="1" si="7"/>
        <v>-0.154999999999999</v>
      </c>
      <c r="AN33" s="1">
        <f t="shared" ca="1" si="8"/>
        <v>-0.33550409664813946</v>
      </c>
      <c r="AO33" s="12">
        <f t="shared" si="25"/>
        <v>0.9460498447561202</v>
      </c>
      <c r="AP33" s="12">
        <f t="shared" si="9"/>
        <v>5.7026757673415585E-2</v>
      </c>
      <c r="AQ33" s="81">
        <f ca="1">B33*H33*'Aerodynamics-Constants'!AA33/C33</f>
        <v>113629.61866120579</v>
      </c>
      <c r="AR33" s="10">
        <f ca="1">0.455/(LOG10(MIN(AQ33,'Aerodynamics-Constants'!AG33)))^2.58</f>
        <v>6.955075578205505E-3</v>
      </c>
      <c r="AS33" s="15">
        <f ca="1">AR33*'Aerodynamics-Constants'!AI33*'Aerodynamics-Constants'!AJ33*'Aerodynamics-Constants'!AE33/P33</f>
        <v>1.9346356255968991E-2</v>
      </c>
      <c r="AT33" s="10">
        <f t="shared" ca="1" si="26"/>
        <v>1.0316708328524639E-2</v>
      </c>
      <c r="AU33" s="10">
        <f t="shared" ca="1" si="10"/>
        <v>2.966306458449363E-2</v>
      </c>
      <c r="AV33" s="12">
        <f t="shared" si="11"/>
        <v>0.94797368421052641</v>
      </c>
      <c r="AW33" s="12">
        <f t="shared" si="12"/>
        <v>5.4881603420037006E-2</v>
      </c>
      <c r="AX33" s="81">
        <f ca="1">B33*H33*'Aerodynamics-Constants'!AK33/C33</f>
        <v>69184.320377509546</v>
      </c>
      <c r="AY33" s="10">
        <f ca="1">0.455/(LOG10(MIN(AX33,'Aerodynamics-Constants'!AQ33)))^2.58</f>
        <v>7.7823110646348045E-3</v>
      </c>
      <c r="AZ33" s="15">
        <f ca="1">AY33*'Aerodynamics-Constants'!AS33*'Aerodynamics-Constants'!AT33*'Aerodynamics-Constants'!AO33/S33</f>
        <v>2.1647408523206936E-2</v>
      </c>
      <c r="BA33" s="81">
        <f ca="1">B33*H33*'Aerodynamics-Constants'!N33/C33</f>
        <v>2482654.7068666168</v>
      </c>
      <c r="BB33" s="10">
        <f ca="1">0.455/(LOG10(MIN(BA33,'Aerodynamics-Constants'!V33)))^2.58</f>
        <v>3.7927781672360572E-3</v>
      </c>
      <c r="BC33" s="10">
        <f ca="1">BB33*'Aerodynamics-Constants'!W33*'Aerodynamics-Constants'!X33*'Aerodynamics-Constants'!S33/N33+'Aerodynamics-Constants'!Z33</f>
        <v>2.232863373489997E-3</v>
      </c>
      <c r="BD33" s="15">
        <f ca="1">BC33*'Aerodynamics-Constants'!AU33+(AJ33+AS33*P33/N33+AZ33*S33/N33)*('Aerodynamics-Constants'!AU33-1)</f>
        <v>3.4475436168224221E-3</v>
      </c>
      <c r="BE33" s="16">
        <f t="shared" ca="1" si="13"/>
        <v>0.87891635720682582</v>
      </c>
      <c r="BF33" s="10">
        <f t="shared" ca="1" si="27"/>
        <v>1.3361482676656664E-2</v>
      </c>
      <c r="BG33" s="10">
        <f t="shared" ca="1" si="28"/>
        <v>3.1153078571926326E-2</v>
      </c>
      <c r="BH33" s="10">
        <f t="shared" ca="1" si="14"/>
        <v>4.4514561248583003E-2</v>
      </c>
      <c r="BI33" s="13">
        <f t="shared" ca="1" si="15"/>
        <v>131.66480106924882</v>
      </c>
      <c r="BJ33" s="13">
        <f t="shared" ca="1" si="16"/>
        <v>6.6684398389235664</v>
      </c>
      <c r="BK33" s="13">
        <f t="shared" ca="1" si="17"/>
        <v>19.744468608792673</v>
      </c>
      <c r="BL33" s="14">
        <f t="shared" ca="1" si="18"/>
        <v>157.3399803435538</v>
      </c>
      <c r="BO33" s="16">
        <f ca="1">'Airfoil-Cruise'!J33</f>
        <v>5.1630477180570669</v>
      </c>
      <c r="BP33" s="1">
        <f ca="1">BO33/(1+BO33/(PI()*'Aerodynamics-Constants'!I33)*(1+AB33))</f>
        <v>4.3213842786862369</v>
      </c>
      <c r="BR33" s="12">
        <v>6</v>
      </c>
      <c r="BS33" s="1">
        <f t="shared" si="19"/>
        <v>3.8711762947279209</v>
      </c>
      <c r="BT33" s="1">
        <f>Stability!W33</f>
        <v>2.7373350091707258</v>
      </c>
      <c r="BV33" s="12">
        <v>6</v>
      </c>
      <c r="BW33" s="1">
        <f t="shared" si="20"/>
        <v>3.8739657330797428</v>
      </c>
      <c r="BX33" s="1">
        <f>Stability!Y33</f>
        <v>2.739307439945001</v>
      </c>
    </row>
    <row r="34" spans="2:76">
      <c r="B34" s="16">
        <f>Cruise!F34</f>
        <v>0.65969672852566186</v>
      </c>
      <c r="C34" s="74">
        <f>'Airfoil-Cruise'!E34</f>
        <v>1.5987591530356481E-5</v>
      </c>
      <c r="E34" s="19">
        <f ca="1">Cruise!H34</f>
        <v>131.64808625067786</v>
      </c>
      <c r="F34" s="63">
        <f>Weight!G34</f>
        <v>0.3</v>
      </c>
      <c r="H34" s="20">
        <f t="shared" ca="1" si="29"/>
        <v>23.221306277971916</v>
      </c>
      <c r="I34" s="20">
        <f t="shared" ca="1" si="21"/>
        <v>18.251408915267429</v>
      </c>
      <c r="J34" s="20">
        <f t="shared" ca="1" si="0"/>
        <v>1.272302121210332</v>
      </c>
      <c r="L34" s="31">
        <f>Main!B34</f>
        <v>0.33333333333333326</v>
      </c>
      <c r="M34" s="31">
        <f>Main!C34</f>
        <v>2.5263157894736845</v>
      </c>
      <c r="N34" s="1">
        <f t="shared" si="1"/>
        <v>0.84210526315789469</v>
      </c>
      <c r="O34" s="1">
        <f t="shared" si="2"/>
        <v>7.5789473684210549</v>
      </c>
      <c r="P34" s="16">
        <f ca="1">'Aerodynamics-Constants'!AC34</f>
        <v>5.1212083567651716E-2</v>
      </c>
      <c r="Q34" s="16">
        <f>'Aerodynamics-Constants'!AD34</f>
        <v>3.7894736842105274</v>
      </c>
      <c r="R34" s="63">
        <f>Stability!G34</f>
        <v>5.6500000000000012</v>
      </c>
      <c r="S34" s="16">
        <f ca="1">'Aerodynamics-Constants'!AM34</f>
        <v>1.9502585994958192E-2</v>
      </c>
      <c r="T34" s="16">
        <f>'Aerodynamics-Constants'!AN34</f>
        <v>3.7894736842105274</v>
      </c>
      <c r="V34" s="81">
        <f t="shared" ca="1" si="3"/>
        <v>319393.94487246464</v>
      </c>
      <c r="W34" s="63">
        <f ca="1">MIN(Main!H34,'Airfoil 2'!$K$71*V34^'Airfoil 2'!$L$70*2,1*'Airfoil-Cruise'!I34/Takeoff!$B$10^2*0.9)</f>
        <v>0.9</v>
      </c>
      <c r="X34" s="42">
        <f ca="1">'Airfoil-Cruise'!V34</f>
        <v>8.3435615593903233E-3</v>
      </c>
      <c r="Y34" s="14">
        <f t="shared" ca="1" si="4"/>
        <v>107.86760469059982</v>
      </c>
      <c r="Z34" s="16">
        <f ca="1">'Airfoil-Cruise'!AF34</f>
        <v>-0.154999999999999</v>
      </c>
      <c r="AA34" s="31">
        <f>Main!I34</f>
        <v>1.1424833074368379</v>
      </c>
      <c r="AB34" s="12">
        <f t="shared" si="22"/>
        <v>-0.12471368860215504</v>
      </c>
      <c r="AC34" s="30">
        <f t="shared" ca="1" si="5"/>
        <v>1.8946065526567784</v>
      </c>
      <c r="AD34" s="13">
        <f t="shared" ca="1" si="23"/>
        <v>1.8946065526567784</v>
      </c>
      <c r="AE34" s="13">
        <f ca="1">DEGREES(AF34/BP34)+'Airfoil-Cruise'!K34</f>
        <v>3.2003824453565564</v>
      </c>
      <c r="AF34" s="1">
        <f t="shared" ca="1" si="24"/>
        <v>0.89950799927140002</v>
      </c>
      <c r="AG34" s="16">
        <f ca="1">0.9*'Airfoil-Cruise'!I34</f>
        <v>1.42279078258299</v>
      </c>
      <c r="AH34" s="42">
        <f ca="1">0.455/(LOG10(MIN(V34,'Aerodynamics-Constants'!L34)))^2.58</f>
        <v>5.5846319652252466E-3</v>
      </c>
      <c r="AI34" s="42">
        <f ca="1">+AH34*'Aerodynamics-Constants'!J34*'Aerodynamics-Constants'!M34/N34</f>
        <v>0</v>
      </c>
      <c r="AJ34" s="10">
        <f ca="1">X34*COS(RADIANS(AC34))*'Aerodynamics-Constants'!M34+AI34</f>
        <v>8.3390004056499469E-3</v>
      </c>
      <c r="AK34" s="10">
        <f ca="1">AF34^2/(PI()*'Aerodynamics-Constants'!I34*AA34)</f>
        <v>2.9744141088047515E-2</v>
      </c>
      <c r="AL34" s="10">
        <f t="shared" ca="1" si="6"/>
        <v>3.8083141493697459E-2</v>
      </c>
      <c r="AM34" s="1">
        <f t="shared" ca="1" si="7"/>
        <v>-0.154999999999999</v>
      </c>
      <c r="AN34" s="1">
        <f t="shared" ca="1" si="8"/>
        <v>-0.33816600949220377</v>
      </c>
      <c r="AO34" s="12">
        <f t="shared" si="25"/>
        <v>0.94181710644360173</v>
      </c>
      <c r="AP34" s="12">
        <f t="shared" si="9"/>
        <v>6.1777274120771608E-2</v>
      </c>
      <c r="AQ34" s="81">
        <f ca="1">B34*H34*'Aerodynamics-Constants'!AA34/C34</f>
        <v>111389.61635841749</v>
      </c>
      <c r="AR34" s="10">
        <f ca="1">0.455/(LOG10(MIN(AQ34,'Aerodynamics-Constants'!AG34)))^2.58</f>
        <v>6.9858611139117883E-3</v>
      </c>
      <c r="AS34" s="15">
        <f ca="1">AR34*'Aerodynamics-Constants'!AI34*'Aerodynamics-Constants'!AJ34*'Aerodynamics-Constants'!AE34/P34</f>
        <v>1.9431989824520133E-2</v>
      </c>
      <c r="AT34" s="10">
        <f t="shared" ca="1" si="26"/>
        <v>1.019916370879902E-2</v>
      </c>
      <c r="AU34" s="10">
        <f t="shared" ca="1" si="10"/>
        <v>2.9631153533319153E-2</v>
      </c>
      <c r="AV34" s="12">
        <f t="shared" si="11"/>
        <v>0.94726315789473692</v>
      </c>
      <c r="AW34" s="12">
        <f t="shared" si="12"/>
        <v>5.5672852539170981E-2</v>
      </c>
      <c r="AX34" s="81">
        <f ca="1">B34*H34*'Aerodynamics-Constants'!AK34/C34</f>
        <v>68739.217850744069</v>
      </c>
      <c r="AY34" s="10">
        <f ca="1">0.455/(LOG10(MIN(AX34,'Aerodynamics-Constants'!AQ34)))^2.58</f>
        <v>7.7939515238783837E-3</v>
      </c>
      <c r="AZ34" s="15">
        <f ca="1">AY34*'Aerodynamics-Constants'!AS34*'Aerodynamics-Constants'!AT34*'Aerodynamics-Constants'!AO34/S34</f>
        <v>2.1679787822177471E-2</v>
      </c>
      <c r="BA34" s="81">
        <f ca="1">B34*H34*'Aerodynamics-Constants'!N34/C34</f>
        <v>2443363.6782743549</v>
      </c>
      <c r="BB34" s="10">
        <f ca="1">0.455/(LOG10(MIN(BA34,'Aerodynamics-Constants'!V34)))^2.58</f>
        <v>3.8034001590387793E-3</v>
      </c>
      <c r="BC34" s="10">
        <f ca="1">BB34*'Aerodynamics-Constants'!W34*'Aerodynamics-Constants'!X34*'Aerodynamics-Constants'!S34/N34+'Aerodynamics-Constants'!Z34</f>
        <v>2.1691391710938874E-3</v>
      </c>
      <c r="BD34" s="15">
        <f ca="1">BC34*'Aerodynamics-Constants'!AU34+(AJ34+AS34*P34/N34+AZ34*S34/N34)*('Aerodynamics-Constants'!AU34-1)</f>
        <v>3.3883364265778803E-3</v>
      </c>
      <c r="BE34" s="16">
        <f t="shared" ca="1" si="13"/>
        <v>0.87894265347019829</v>
      </c>
      <c r="BF34" s="10">
        <f t="shared" ca="1" si="27"/>
        <v>1.3411169810323913E-2</v>
      </c>
      <c r="BG34" s="10">
        <f t="shared" ca="1" si="28"/>
        <v>3.0364396591755535E-2</v>
      </c>
      <c r="BH34" s="10">
        <f t="shared" ca="1" si="14"/>
        <v>4.3775566402079448E-2</v>
      </c>
      <c r="BI34" s="13">
        <f t="shared" ca="1" si="15"/>
        <v>131.64808625067786</v>
      </c>
      <c r="BJ34" s="13">
        <f t="shared" ca="1" si="16"/>
        <v>6.5567071055434125</v>
      </c>
      <c r="BK34" s="13">
        <f t="shared" ca="1" si="17"/>
        <v>20.078384489582444</v>
      </c>
      <c r="BL34" s="14">
        <f t="shared" ca="1" si="18"/>
        <v>152.25530387277831</v>
      </c>
      <c r="BO34" s="16">
        <f ca="1">'Airfoil-Cruise'!J34</f>
        <v>5.1908252281398797</v>
      </c>
      <c r="BP34" s="1">
        <f ca="1">BO34/(1+BO34/(PI()*'Aerodynamics-Constants'!I34)*(1+AB34))</f>
        <v>4.359028049298395</v>
      </c>
      <c r="BR34" s="12">
        <v>6</v>
      </c>
      <c r="BS34" s="1">
        <f t="shared" si="19"/>
        <v>3.9084744159557685</v>
      </c>
      <c r="BT34" s="1">
        <f>Stability!W34</f>
        <v>2.7637087636164548</v>
      </c>
      <c r="BV34" s="12">
        <v>6</v>
      </c>
      <c r="BW34" s="1">
        <f t="shared" si="20"/>
        <v>3.9163231849688693</v>
      </c>
      <c r="BX34" s="1">
        <f>Stability!Y34</f>
        <v>2.7692586814095854</v>
      </c>
    </row>
    <row r="35" spans="2:76">
      <c r="B35" s="16">
        <f>Cruise!F35</f>
        <v>0.65969672852566186</v>
      </c>
      <c r="C35" s="74">
        <f>'Airfoil-Cruise'!E35</f>
        <v>1.5987591530356481E-5</v>
      </c>
      <c r="E35" s="19">
        <f ca="1">Cruise!H35</f>
        <v>131.66397515101301</v>
      </c>
      <c r="F35" s="63">
        <f>Weight!G35</f>
        <v>0.3</v>
      </c>
      <c r="H35" s="20">
        <f t="shared" ca="1" si="29"/>
        <v>22.867828371672989</v>
      </c>
      <c r="I35" s="20">
        <f t="shared" ca="1" si="21"/>
        <v>17.975746070747679</v>
      </c>
      <c r="J35" s="20">
        <f t="shared" ca="1" si="0"/>
        <v>1.2721490547135788</v>
      </c>
      <c r="L35" s="31">
        <f>Main!B35</f>
        <v>0.33333333333333326</v>
      </c>
      <c r="M35" s="31">
        <f>Main!C35</f>
        <v>2.6052631578947372</v>
      </c>
      <c r="N35" s="1">
        <f t="shared" si="1"/>
        <v>0.86842105263157887</v>
      </c>
      <c r="O35" s="1">
        <f t="shared" si="2"/>
        <v>7.8157894736842133</v>
      </c>
      <c r="P35" s="16">
        <f ca="1">'Aerodynamics-Constants'!AC35</f>
        <v>5.2417396335312914E-2</v>
      </c>
      <c r="Q35" s="16">
        <f>'Aerodynamics-Constants'!AD35</f>
        <v>3.9078947368421066</v>
      </c>
      <c r="R35" s="63">
        <f>Stability!G35</f>
        <v>5.6500000000000012</v>
      </c>
      <c r="S35" s="16">
        <f ca="1">'Aerodynamics-Constants'!AM35</f>
        <v>2.0494814609083551E-2</v>
      </c>
      <c r="T35" s="16">
        <f>'Aerodynamics-Constants'!AN35</f>
        <v>3.9078947368421066</v>
      </c>
      <c r="V35" s="81">
        <f t="shared" ca="1" si="3"/>
        <v>314532.08647541265</v>
      </c>
      <c r="W35" s="63">
        <f ca="1">MIN(Main!H35,'Airfoil 2'!$K$71*V35^'Airfoil 2'!$L$70*2,1*'Airfoil-Cruise'!I35/Takeoff!$B$10^2*0.9)</f>
        <v>0.9</v>
      </c>
      <c r="X35" s="42">
        <f ca="1">'Airfoil-Cruise'!V35</f>
        <v>8.4434876229418695E-3</v>
      </c>
      <c r="Y35" s="14">
        <f t="shared" ca="1" si="4"/>
        <v>106.59102496397374</v>
      </c>
      <c r="Z35" s="16">
        <f ca="1">'Airfoil-Cruise'!AF35</f>
        <v>-0.15499999999999903</v>
      </c>
      <c r="AA35" s="31">
        <f>Main!I35</f>
        <v>1.1357693582334683</v>
      </c>
      <c r="AB35" s="12">
        <f t="shared" si="22"/>
        <v>-0.11953955021699003</v>
      </c>
      <c r="AC35" s="30">
        <f t="shared" ca="1" si="5"/>
        <v>1.8481035697317774</v>
      </c>
      <c r="AD35" s="13">
        <f t="shared" ca="1" si="23"/>
        <v>1.8481035697317774</v>
      </c>
      <c r="AE35" s="13">
        <f ca="1">DEGREES(AF35/BP35)+'Airfoil-Cruise'!K35</f>
        <v>3.1910510136183916</v>
      </c>
      <c r="AF35" s="1">
        <f t="shared" ca="1" si="24"/>
        <v>0.89953185304114758</v>
      </c>
      <c r="AG35" s="16">
        <f ca="1">0.9*'Airfoil-Cruise'!I35</f>
        <v>1.4224874254368394</v>
      </c>
      <c r="AH35" s="42">
        <f ca="1">0.455/(LOG10(MIN(V35,'Aerodynamics-Constants'!L35)))^2.58</f>
        <v>5.6021078097856581E-3</v>
      </c>
      <c r="AI35" s="42">
        <f ca="1">+AH35*'Aerodynamics-Constants'!J35*'Aerodynamics-Constants'!M35/N35</f>
        <v>0</v>
      </c>
      <c r="AJ35" s="10">
        <f ca="1">X35*COS(RADIANS(AC35))*'Aerodynamics-Constants'!M35+AI35</f>
        <v>8.4390956306609928E-3</v>
      </c>
      <c r="AK35" s="10">
        <f ca="1">AF35^2/(PI()*'Aerodynamics-Constants'!I35*AA35)</f>
        <v>2.9014842678127872E-2</v>
      </c>
      <c r="AL35" s="10">
        <f t="shared" ca="1" si="6"/>
        <v>3.7453938308788862E-2</v>
      </c>
      <c r="AM35" s="1">
        <f t="shared" ca="1" si="7"/>
        <v>-0.15499999999999903</v>
      </c>
      <c r="AN35" s="1">
        <f t="shared" ca="1" si="8"/>
        <v>-0.34071104056664281</v>
      </c>
      <c r="AO35" s="12">
        <f t="shared" si="25"/>
        <v>0.93762649249643182</v>
      </c>
      <c r="AP35" s="12">
        <f t="shared" si="9"/>
        <v>6.6522765731052091E-2</v>
      </c>
      <c r="AQ35" s="81">
        <f ca="1">B35*H35*'Aerodynamics-Constants'!AA35/C35</f>
        <v>109282.97382030991</v>
      </c>
      <c r="AR35" s="10">
        <f ca="1">0.455/(LOG10(MIN(AQ35,'Aerodynamics-Constants'!AG35)))^2.58</f>
        <v>7.0155619229666701E-3</v>
      </c>
      <c r="AS35" s="15">
        <f ca="1">AR35*'Aerodynamics-Constants'!AI35*'Aerodynamics-Constants'!AJ35*'Aerodynamics-Constants'!AE35/P35</f>
        <v>1.9514606099009922E-2</v>
      </c>
      <c r="AT35" s="10">
        <f t="shared" ca="1" si="26"/>
        <v>1.0084394207348127E-2</v>
      </c>
      <c r="AU35" s="10">
        <f t="shared" ca="1" si="10"/>
        <v>2.959900030635805E-2</v>
      </c>
      <c r="AV35" s="12">
        <f t="shared" si="11"/>
        <v>0.94655263157894742</v>
      </c>
      <c r="AW35" s="12">
        <f t="shared" si="12"/>
        <v>5.6465289554894493E-2</v>
      </c>
      <c r="AX35" s="81">
        <f ca="1">B35*H35*'Aerodynamics-Constants'!AK35/C35</f>
        <v>68333.989902217654</v>
      </c>
      <c r="AY35" s="10">
        <f ca="1">0.455/(LOG10(MIN(AX35,'Aerodynamics-Constants'!AQ35)))^2.58</f>
        <v>7.8046361209224945E-3</v>
      </c>
      <c r="AZ35" s="15">
        <f ca="1">AY35*'Aerodynamics-Constants'!AS35*'Aerodynamics-Constants'!AT35*'Aerodynamics-Constants'!AO35/S35</f>
        <v>2.170950827863298E-2</v>
      </c>
      <c r="BA35" s="81">
        <f ca="1">B35*H35*'Aerodynamics-Constants'!N35/C35</f>
        <v>2406170.4615369071</v>
      </c>
      <c r="BB35" s="10">
        <f ca="1">0.455/(LOG10(MIN(BA35,'Aerodynamics-Constants'!V35)))^2.58</f>
        <v>3.8136525557540355E-3</v>
      </c>
      <c r="BC35" s="10">
        <f ca="1">BB35*'Aerodynamics-Constants'!W35*'Aerodynamics-Constants'!X35*'Aerodynamics-Constants'!S35/N35+'Aerodynamics-Constants'!Z35</f>
        <v>2.1090728155784616E-3</v>
      </c>
      <c r="BD35" s="15">
        <f ca="1">BC35*'Aerodynamics-Constants'!AU35+(AJ35+AS35*P35/N35+AZ35*S35/N35)*('Aerodynamics-Constants'!AU35-1)</f>
        <v>3.3329133365856871E-3</v>
      </c>
      <c r="BE35" s="16">
        <f t="shared" ca="1" si="13"/>
        <v>0.87896673017237348</v>
      </c>
      <c r="BF35" s="10">
        <f t="shared" ca="1" si="27"/>
        <v>1.3462245731079469E-2</v>
      </c>
      <c r="BG35" s="10">
        <f t="shared" ca="1" si="28"/>
        <v>2.9623530924879019E-2</v>
      </c>
      <c r="BH35" s="10">
        <f t="shared" ca="1" si="14"/>
        <v>4.3085776655958481E-2</v>
      </c>
      <c r="BI35" s="13">
        <f t="shared" ca="1" si="15"/>
        <v>131.66397515101301</v>
      </c>
      <c r="BJ35" s="13">
        <f t="shared" ca="1" si="16"/>
        <v>6.4539924348214148</v>
      </c>
      <c r="BK35" s="13">
        <f t="shared" ca="1" si="17"/>
        <v>20.400391924949044</v>
      </c>
      <c r="BL35" s="14">
        <f t="shared" ca="1" si="18"/>
        <v>147.58879131157198</v>
      </c>
      <c r="BO35" s="16">
        <f ca="1">'Airfoil-Cruise'!J35</f>
        <v>5.2176752338298567</v>
      </c>
      <c r="BP35" s="1">
        <f ca="1">BO35/(1+BO35/(PI()*'Aerodynamics-Constants'!I35)*(1+AB35))</f>
        <v>4.3953276422314405</v>
      </c>
      <c r="BR35" s="12">
        <v>6</v>
      </c>
      <c r="BS35" s="1">
        <f t="shared" si="19"/>
        <v>3.9441790955022142</v>
      </c>
      <c r="BT35" s="1">
        <f>Stability!W35</f>
        <v>2.7889557846438393</v>
      </c>
      <c r="BV35" s="12">
        <v>6</v>
      </c>
      <c r="BW35" s="1">
        <f t="shared" si="20"/>
        <v>3.9569645174604378</v>
      </c>
      <c r="BX35" s="1">
        <f>Stability!Y35</f>
        <v>2.7979964432108306</v>
      </c>
    </row>
    <row r="36" spans="2:76">
      <c r="B36" s="16">
        <f>Cruise!F36</f>
        <v>0.65969672852566186</v>
      </c>
      <c r="C36" s="74">
        <f>'Airfoil-Cruise'!E36</f>
        <v>1.5987591530356481E-5</v>
      </c>
      <c r="E36" s="19">
        <f ca="1">Cruise!H36</f>
        <v>131.71508343857323</v>
      </c>
      <c r="F36" s="63">
        <f>Weight!G36</f>
        <v>0.3</v>
      </c>
      <c r="H36" s="20">
        <f t="shared" ca="1" si="29"/>
        <v>22.533115808238001</v>
      </c>
      <c r="I36" s="20">
        <f t="shared" ca="1" si="21"/>
        <v>17.714676263252194</v>
      </c>
      <c r="J36" s="20">
        <f t="shared" ca="1" si="0"/>
        <v>1.2720026871155026</v>
      </c>
      <c r="L36" s="31">
        <f>Main!B36</f>
        <v>0.33333333333333326</v>
      </c>
      <c r="M36" s="31">
        <f>Main!C36</f>
        <v>2.6842105263157898</v>
      </c>
      <c r="N36" s="1">
        <f t="shared" si="1"/>
        <v>0.89473684210526305</v>
      </c>
      <c r="O36" s="1">
        <f t="shared" si="2"/>
        <v>8.0526315789473717</v>
      </c>
      <c r="P36" s="16">
        <f ca="1">'Aerodynamics-Constants'!AC36</f>
        <v>5.3621746106374713E-2</v>
      </c>
      <c r="Q36" s="16">
        <f>'Aerodynamics-Constants'!AD36</f>
        <v>4.0263157894736858</v>
      </c>
      <c r="R36" s="63">
        <f>Stability!G36</f>
        <v>5.6500000000000012</v>
      </c>
      <c r="S36" s="16">
        <f ca="1">'Aerodynamics-Constants'!AM36</f>
        <v>2.1514190560189127E-2</v>
      </c>
      <c r="T36" s="16">
        <f>'Aerodynamics-Constants'!AN36</f>
        <v>4.0263157894736858</v>
      </c>
      <c r="V36" s="81">
        <f t="shared" ca="1" si="3"/>
        <v>309928.33314843953</v>
      </c>
      <c r="W36" s="63">
        <f ca="1">MIN(Main!H36,'Airfoil 2'!$K$71*V36^'Airfoil 2'!$L$70*2,1*'Airfoil-Cruise'!I36/Takeoff!$B$10^2*0.9)</f>
        <v>0.9</v>
      </c>
      <c r="X36" s="42">
        <f ca="1">'Airfoil-Cruise'!V36</f>
        <v>8.5406709143400605E-3</v>
      </c>
      <c r="Y36" s="14">
        <f t="shared" ca="1" si="4"/>
        <v>105.37813820795637</v>
      </c>
      <c r="Z36" s="16">
        <f ca="1">'Airfoil-Cruise'!AF36</f>
        <v>-0.15499999999999903</v>
      </c>
      <c r="AA36" s="31">
        <f>Main!I36</f>
        <v>1.1291202108009399</v>
      </c>
      <c r="AB36" s="12">
        <f t="shared" si="22"/>
        <v>-0.11435470693536576</v>
      </c>
      <c r="AC36" s="30">
        <f t="shared" ca="1" si="5"/>
        <v>1.8043545063672561</v>
      </c>
      <c r="AD36" s="13">
        <f t="shared" ca="1" si="23"/>
        <v>1.8043545063672561</v>
      </c>
      <c r="AE36" s="13">
        <f ca="1">DEGREES(AF36/BP36)+'Airfoil-Cruise'!K36</f>
        <v>3.1824209759810138</v>
      </c>
      <c r="AF36" s="1">
        <f t="shared" ca="1" si="24"/>
        <v>0.89955375322190667</v>
      </c>
      <c r="AG36" s="16">
        <f ca="1">0.9*'Airfoil-Cruise'!I36</f>
        <v>1.4221958800466206</v>
      </c>
      <c r="AH36" s="42">
        <f ca="1">0.455/(LOG10(MIN(V36,'Aerodynamics-Constants'!L36)))^2.58</f>
        <v>5.6189783259530043E-3</v>
      </c>
      <c r="AI36" s="42">
        <f ca="1">+AH36*'Aerodynamics-Constants'!J36*'Aerodynamics-Constants'!M36/N36</f>
        <v>0</v>
      </c>
      <c r="AJ36" s="10">
        <f ca="1">X36*COS(RADIANS(AC36))*'Aerodynamics-Constants'!M36+AI36</f>
        <v>8.5364361955864165E-3</v>
      </c>
      <c r="AK36" s="10">
        <f ca="1">AF36^2/(PI()*'Aerodynamics-Constants'!I36*AA36)</f>
        <v>2.8328681137411188E-2</v>
      </c>
      <c r="AL36" s="10">
        <f t="shared" ca="1" si="6"/>
        <v>3.6865117332997605E-2</v>
      </c>
      <c r="AM36" s="1">
        <f t="shared" ca="1" si="7"/>
        <v>-0.15499999999999903</v>
      </c>
      <c r="AN36" s="1">
        <f t="shared" ca="1" si="8"/>
        <v>-0.34314790731950845</v>
      </c>
      <c r="AO36" s="12">
        <f t="shared" si="25"/>
        <v>0.93347632556434401</v>
      </c>
      <c r="AP36" s="12">
        <f t="shared" si="9"/>
        <v>7.1264447328579283E-2</v>
      </c>
      <c r="AQ36" s="81">
        <f ca="1">B36*H36*'Aerodynamics-Constants'!AA36/C36</f>
        <v>107299.84489085614</v>
      </c>
      <c r="AR36" s="10">
        <f ca="1">0.455/(LOG10(MIN(AQ36,'Aerodynamics-Constants'!AG36)))^2.58</f>
        <v>7.044214132059713E-3</v>
      </c>
      <c r="AS36" s="15">
        <f ca="1">AR36*'Aerodynamics-Constants'!AI36*'Aerodynamics-Constants'!AJ36*'Aerodynamics-Constants'!AE36/P36</f>
        <v>1.9594305570051117E-2</v>
      </c>
      <c r="AT36" s="10">
        <f t="shared" ca="1" si="26"/>
        <v>9.9724460265066522E-3</v>
      </c>
      <c r="AU36" s="10">
        <f t="shared" ca="1" si="10"/>
        <v>2.9566751596557771E-2</v>
      </c>
      <c r="AV36" s="12">
        <f t="shared" si="11"/>
        <v>0.94584210526315793</v>
      </c>
      <c r="AW36" s="12">
        <f t="shared" si="12"/>
        <v>5.725891714428788E-2</v>
      </c>
      <c r="AX36" s="81">
        <f ca="1">B36*H36*'Aerodynamics-Constants'!AK36/C36</f>
        <v>67965.908062679082</v>
      </c>
      <c r="AY36" s="10">
        <f ca="1">0.455/(LOG10(MIN(AX36,'Aerodynamics-Constants'!AQ36)))^2.58</f>
        <v>7.8144141206938789E-3</v>
      </c>
      <c r="AZ36" s="15">
        <f ca="1">AY36*'Aerodynamics-Constants'!AS36*'Aerodynamics-Constants'!AT36*'Aerodynamics-Constants'!AO36/S36</f>
        <v>2.173670692872972E-2</v>
      </c>
      <c r="BA36" s="81">
        <f ca="1">B36*H36*'Aerodynamics-Constants'!N36/C36</f>
        <v>2370951.7485855627</v>
      </c>
      <c r="BB36" s="10">
        <f ca="1">0.455/(LOG10(MIN(BA36,'Aerodynamics-Constants'!V36)))^2.58</f>
        <v>3.8235440016677661E-3</v>
      </c>
      <c r="BC36" s="10">
        <f ca="1">BB36*'Aerodynamics-Constants'!W36*'Aerodynamics-Constants'!X36*'Aerodynamics-Constants'!S36/N36+'Aerodynamics-Constants'!Z36</f>
        <v>2.0523461918075412E-3</v>
      </c>
      <c r="BD36" s="15">
        <f ca="1">BC36*'Aerodynamics-Constants'!AU36+(AJ36+AS36*P36/N36+AZ36*S36/N36)*('Aerodynamics-Constants'!AU36-1)</f>
        <v>3.2809199725178199E-3</v>
      </c>
      <c r="BE36" s="16">
        <f t="shared" ca="1" si="13"/>
        <v>0.87898883502771907</v>
      </c>
      <c r="BF36" s="10">
        <f t="shared" ca="1" si="27"/>
        <v>1.3514311587813056E-2</v>
      </c>
      <c r="BG36" s="10">
        <f t="shared" ca="1" si="28"/>
        <v>2.8926331690879683E-2</v>
      </c>
      <c r="BH36" s="10">
        <f t="shared" ca="1" si="14"/>
        <v>4.2440643278692736E-2</v>
      </c>
      <c r="BI36" s="13">
        <f t="shared" ca="1" si="15"/>
        <v>131.71508343857323</v>
      </c>
      <c r="BJ36" s="13">
        <f t="shared" ca="1" si="16"/>
        <v>6.3596631127441468</v>
      </c>
      <c r="BK36" s="13">
        <f t="shared" ca="1" si="17"/>
        <v>20.711015835827688</v>
      </c>
      <c r="BL36" s="14">
        <f t="shared" ca="1" si="18"/>
        <v>143.30302542084323</v>
      </c>
      <c r="BO36" s="16">
        <f ca="1">'Airfoil-Cruise'!J36</f>
        <v>5.2436160925431574</v>
      </c>
      <c r="BP36" s="1">
        <f ca="1">BO36/(1+BO36/(PI()*'Aerodynamics-Constants'!I36)*(1+AB36))</f>
        <v>4.4303367486679699</v>
      </c>
      <c r="BR36" s="12">
        <v>6</v>
      </c>
      <c r="BS36" s="1">
        <f t="shared" si="19"/>
        <v>3.9783893429633941</v>
      </c>
      <c r="BT36" s="1">
        <f>Stability!W36</f>
        <v>2.8131460826097094</v>
      </c>
      <c r="BV36" s="12">
        <v>6</v>
      </c>
      <c r="BW36" s="1">
        <f t="shared" si="20"/>
        <v>3.9959918173096995</v>
      </c>
      <c r="BX36" s="1">
        <f>Stability!Y36</f>
        <v>2.8255929115856442</v>
      </c>
    </row>
    <row r="37" spans="2:76">
      <c r="B37" s="16">
        <f>Cruise!F37</f>
        <v>0.65969672852566186</v>
      </c>
      <c r="C37" s="74">
        <f>'Airfoil-Cruise'!E37</f>
        <v>1.5987591530356481E-5</v>
      </c>
      <c r="E37" s="19">
        <f ca="1">Cruise!H37</f>
        <v>131.79789717300858</v>
      </c>
      <c r="F37" s="63">
        <f>Weight!G37</f>
        <v>0.3</v>
      </c>
      <c r="H37" s="20">
        <f t="shared" ca="1" si="29"/>
        <v>22.215604931199326</v>
      </c>
      <c r="I37" s="20">
        <f t="shared" ca="1" si="21"/>
        <v>17.466986276209166</v>
      </c>
      <c r="J37" s="20">
        <f t="shared" ca="1" si="0"/>
        <v>1.2718625056377353</v>
      </c>
      <c r="L37" s="31">
        <f>Main!B37</f>
        <v>0.33333333333333326</v>
      </c>
      <c r="M37" s="31">
        <f>Main!C37</f>
        <v>2.7631578947368425</v>
      </c>
      <c r="N37" s="1">
        <f t="shared" si="1"/>
        <v>0.92105263157894723</v>
      </c>
      <c r="O37" s="1">
        <f t="shared" si="2"/>
        <v>8.2894736842105292</v>
      </c>
      <c r="P37" s="16">
        <f ca="1">'Aerodynamics-Constants'!AC37</f>
        <v>5.482534386108661E-2</v>
      </c>
      <c r="Q37" s="16">
        <f>'Aerodynamics-Constants'!AD37</f>
        <v>4.1447368421052646</v>
      </c>
      <c r="R37" s="63">
        <f>Stability!G37</f>
        <v>5.6500000000000012</v>
      </c>
      <c r="S37" s="16">
        <f ca="1">'Aerodynamics-Constants'!AM37</f>
        <v>2.2560622713503117E-2</v>
      </c>
      <c r="T37" s="16">
        <f>'Aerodynamics-Constants'!AN37</f>
        <v>4.1447368421052646</v>
      </c>
      <c r="V37" s="81">
        <f t="shared" ca="1" si="3"/>
        <v>305561.17781517137</v>
      </c>
      <c r="W37" s="63">
        <f ca="1">MIN(Main!H37,'Airfoil 2'!$K$71*V37^'Airfoil 2'!$L$70*2,1*'Airfoil-Cruise'!I37/Takeoff!$B$10^2*0.9)</f>
        <v>0.9</v>
      </c>
      <c r="X37" s="42">
        <f ca="1">'Airfoil-Cruise'!V37</f>
        <v>8.6352594413605255E-3</v>
      </c>
      <c r="Y37" s="14">
        <f t="shared" ca="1" si="4"/>
        <v>104.22385176862744</v>
      </c>
      <c r="Z37" s="16">
        <f ca="1">'Airfoil-Cruise'!AF37</f>
        <v>-0.15499999999999906</v>
      </c>
      <c r="AA37" s="31">
        <f>Main!I37</f>
        <v>1.1225333603782677</v>
      </c>
      <c r="AB37" s="12">
        <f t="shared" si="22"/>
        <v>-0.10915787869055116</v>
      </c>
      <c r="AC37" s="30">
        <f t="shared" ca="1" si="5"/>
        <v>1.7631261954450022</v>
      </c>
      <c r="AD37" s="13">
        <f t="shared" ca="1" si="23"/>
        <v>1.7631261954450022</v>
      </c>
      <c r="AE37" s="13">
        <f ca="1">DEGREES(AF37/BP37)+'Airfoil-Cruise'!K37</f>
        <v>3.1744323234543117</v>
      </c>
      <c r="AF37" s="1">
        <f t="shared" ca="1" si="24"/>
        <v>0.89957391153835953</v>
      </c>
      <c r="AG37" s="16">
        <f ca="1">0.9*'Airfoil-Cruise'!I37</f>
        <v>1.4219153437204937</v>
      </c>
      <c r="AH37" s="42">
        <f ca="1">0.455/(LOG10(MIN(V37,'Aerodynamics-Constants'!L37)))^2.58</f>
        <v>5.6352817059361513E-3</v>
      </c>
      <c r="AI37" s="42">
        <f ca="1">+AH37*'Aerodynamics-Constants'!J37*'Aerodynamics-Constants'!M37/N37</f>
        <v>0</v>
      </c>
      <c r="AJ37" s="10">
        <f ca="1">X37*COS(RADIANS(AC37))*'Aerodynamics-Constants'!M37+AI37</f>
        <v>8.6311712364591526E-3</v>
      </c>
      <c r="AK37" s="10">
        <f ca="1">AF37^2/(PI()*'Aerodynamics-Constants'!I37*AA37)</f>
        <v>2.768200976845182E-2</v>
      </c>
      <c r="AL37" s="10">
        <f t="shared" ca="1" si="6"/>
        <v>3.6313181004910974E-2</v>
      </c>
      <c r="AM37" s="1">
        <f t="shared" ca="1" si="7"/>
        <v>-0.15499999999999906</v>
      </c>
      <c r="AN37" s="1">
        <f t="shared" ca="1" si="8"/>
        <v>-0.34548252988254824</v>
      </c>
      <c r="AO37" s="12">
        <f t="shared" si="25"/>
        <v>0.92936504226251027</v>
      </c>
      <c r="AP37" s="12">
        <f t="shared" si="9"/>
        <v>7.6003458840598448E-2</v>
      </c>
      <c r="AQ37" s="81">
        <f ca="1">B37*H37*'Aerodynamics-Constants'!AA37/C37</f>
        <v>105429.37487822691</v>
      </c>
      <c r="AR37" s="10">
        <f ca="1">0.455/(LOG10(MIN(AQ37,'Aerodynamics-Constants'!AG37)))^2.58</f>
        <v>7.0718811920961666E-3</v>
      </c>
      <c r="AS37" s="15">
        <f ca="1">AR37*'Aerodynamics-Constants'!AI37*'Aerodynamics-Constants'!AJ37*'Aerodynamics-Constants'!AE37/P37</f>
        <v>1.9671264733758527E-2</v>
      </c>
      <c r="AT37" s="10">
        <f t="shared" ca="1" si="26"/>
        <v>9.863226706692688E-3</v>
      </c>
      <c r="AU37" s="10">
        <f t="shared" ca="1" si="10"/>
        <v>2.9534491440451213E-2</v>
      </c>
      <c r="AV37" s="12">
        <f t="shared" si="11"/>
        <v>0.94513157894736843</v>
      </c>
      <c r="AW37" s="12">
        <f t="shared" si="12"/>
        <v>5.8053737992482146E-2</v>
      </c>
      <c r="AX37" s="81">
        <f ca="1">B37*H37*'Aerodynamics-Constants'!AK37/C37</f>
        <v>67631.106165112229</v>
      </c>
      <c r="AY37" s="10">
        <f ca="1">0.455/(LOG10(MIN(AX37,'Aerodynamics-Constants'!AQ37)))^2.58</f>
        <v>7.8233690285772119E-3</v>
      </c>
      <c r="AZ37" s="15">
        <f ca="1">AY37*'Aerodynamics-Constants'!AS37*'Aerodynamics-Constants'!AT37*'Aerodynamics-Constants'!AO37/S37</f>
        <v>2.1761616052462789E-2</v>
      </c>
      <c r="BA37" s="81">
        <f ca="1">B37*H37*'Aerodynamics-Constants'!N37/C37</f>
        <v>2337543.0102860616</v>
      </c>
      <c r="BB37" s="10">
        <f ca="1">0.455/(LOG10(MIN(BA37,'Aerodynamics-Constants'!V37)))^2.58</f>
        <v>3.8330975008166036E-3</v>
      </c>
      <c r="BC37" s="10">
        <f ca="1">BB37*'Aerodynamics-Constants'!W37*'Aerodynamics-Constants'!X37*'Aerodynamics-Constants'!S37/N37+'Aerodynamics-Constants'!Z37</f>
        <v>1.9986850219699689E-3</v>
      </c>
      <c r="BD37" s="15">
        <f ca="1">BC37*'Aerodynamics-Constants'!AU37+(AJ37+AS37*P37/N37+AZ37*S37/N37)*('Aerodynamics-Constants'!AU37-1)</f>
        <v>3.2320669323244455E-3</v>
      </c>
      <c r="BE37" s="16">
        <f t="shared" ca="1" si="13"/>
        <v>0.87900918173965281</v>
      </c>
      <c r="BF37" s="10">
        <f t="shared" ca="1" si="27"/>
        <v>1.3567201013899232E-2</v>
      </c>
      <c r="BG37" s="10">
        <f t="shared" ca="1" si="28"/>
        <v>2.8269114975292466E-2</v>
      </c>
      <c r="BH37" s="10">
        <f t="shared" ca="1" si="14"/>
        <v>4.18363159891917E-2</v>
      </c>
      <c r="BI37" s="13">
        <f t="shared" ca="1" si="15"/>
        <v>131.79789717300858</v>
      </c>
      <c r="BJ37" s="13">
        <f t="shared" ca="1" si="16"/>
        <v>6.2729020212602444</v>
      </c>
      <c r="BK37" s="13">
        <f t="shared" ca="1" si="17"/>
        <v>21.010673644561404</v>
      </c>
      <c r="BL37" s="14">
        <f t="shared" ca="1" si="18"/>
        <v>139.35631307643931</v>
      </c>
      <c r="BO37" s="16">
        <f ca="1">'Airfoil-Cruise'!J37</f>
        <v>5.2687042043364389</v>
      </c>
      <c r="BP37" s="1">
        <f ca="1">BO37/(1+BO37/(PI()*'Aerodynamics-Constants'!I37)*(1+AB37))</f>
        <v>4.464132418246396</v>
      </c>
      <c r="BR37" s="12">
        <v>6</v>
      </c>
      <c r="BS37" s="1">
        <f t="shared" si="19"/>
        <v>4.0111960541300551</v>
      </c>
      <c r="BT37" s="1">
        <f>Stability!W37</f>
        <v>2.8363439305440838</v>
      </c>
      <c r="BV37" s="12">
        <v>6</v>
      </c>
      <c r="BW37" s="1">
        <f t="shared" si="20"/>
        <v>4.0334992312104214</v>
      </c>
      <c r="BX37" s="1">
        <f>Stability!Y37</f>
        <v>2.8521146582996155</v>
      </c>
    </row>
    <row r="38" spans="2:76">
      <c r="B38" s="16">
        <f>Cruise!F38</f>
        <v>0.65969672852566186</v>
      </c>
      <c r="C38" s="74">
        <f>'Airfoil-Cruise'!E38</f>
        <v>1.5987591530356481E-5</v>
      </c>
      <c r="E38" s="19">
        <f ca="1">Cruise!H38</f>
        <v>131.90942506312635</v>
      </c>
      <c r="F38" s="63">
        <f>Weight!G38</f>
        <v>0.3</v>
      </c>
      <c r="H38" s="20">
        <f t="shared" ca="1" si="29"/>
        <v>21.913913889377955</v>
      </c>
      <c r="I38" s="20">
        <f t="shared" ca="1" si="21"/>
        <v>17.231603717842379</v>
      </c>
      <c r="J38" s="20">
        <f t="shared" ca="1" si="0"/>
        <v>1.271728055508107</v>
      </c>
      <c r="L38" s="31">
        <f>Main!B38</f>
        <v>0.33333333333333326</v>
      </c>
      <c r="M38" s="31">
        <f>Main!C38</f>
        <v>2.8421052631578951</v>
      </c>
      <c r="N38" s="1">
        <f t="shared" si="1"/>
        <v>0.94736842105263153</v>
      </c>
      <c r="O38" s="1">
        <f t="shared" si="2"/>
        <v>8.5263157894736867</v>
      </c>
      <c r="P38" s="16">
        <f ca="1">'Aerodynamics-Constants'!AC38</f>
        <v>5.6028368192781342E-2</v>
      </c>
      <c r="Q38" s="16">
        <f>'Aerodynamics-Constants'!AD38</f>
        <v>4.2631578947368434</v>
      </c>
      <c r="R38" s="63">
        <f>Stability!G38</f>
        <v>5.6500000000000012</v>
      </c>
      <c r="S38" s="16">
        <f ca="1">'Aerodynamics-Constants'!AM38</f>
        <v>2.3634030155455236E-2</v>
      </c>
      <c r="T38" s="16">
        <f>'Aerodynamics-Constants'!AN38</f>
        <v>4.2631578947368434</v>
      </c>
      <c r="V38" s="81">
        <f t="shared" ca="1" si="3"/>
        <v>301411.6140125778</v>
      </c>
      <c r="W38" s="63">
        <f ca="1">MIN(Main!H38,'Airfoil 2'!$K$71*V38^'Airfoil 2'!$L$70*2,1*'Airfoil-Cruise'!I38/Takeoff!$B$10^2*0.9)</f>
        <v>0.9</v>
      </c>
      <c r="X38" s="42">
        <f ca="1">'Airfoil-Cruise'!V38</f>
        <v>8.7273869110671923E-3</v>
      </c>
      <c r="Y38" s="14">
        <f t="shared" ca="1" si="4"/>
        <v>103.12365077555009</v>
      </c>
      <c r="Z38" s="16">
        <f ca="1">'Airfoil-Cruise'!AF38</f>
        <v>-0.15499999999999906</v>
      </c>
      <c r="AA38" s="31">
        <f>Main!I38</f>
        <v>1.1160064675431407</v>
      </c>
      <c r="AB38" s="12">
        <f t="shared" si="22"/>
        <v>-0.10394784521144029</v>
      </c>
      <c r="AC38" s="30">
        <f t="shared" ca="1" si="5"/>
        <v>1.7242112174423909</v>
      </c>
      <c r="AD38" s="13">
        <f t="shared" ca="1" si="23"/>
        <v>1.7242112174423909</v>
      </c>
      <c r="AE38" s="13">
        <f ca="1">DEGREES(AF38/BP38)+'Airfoil-Cruise'!K38</f>
        <v>3.1670306396346461</v>
      </c>
      <c r="AF38" s="1">
        <f t="shared" ca="1" si="24"/>
        <v>0.89959251145336527</v>
      </c>
      <c r="AG38" s="16">
        <f ca="1">0.9*'Airfoil-Cruise'!I38</f>
        <v>1.4216450974493928</v>
      </c>
      <c r="AH38" s="42">
        <f ca="1">0.455/(LOG10(MIN(V38,'Aerodynamics-Constants'!L38)))^2.58</f>
        <v>5.6510522765238465E-3</v>
      </c>
      <c r="AI38" s="42">
        <f ca="1">+AH38*'Aerodynamics-Constants'!J38*'Aerodynamics-Constants'!M38/N38</f>
        <v>0</v>
      </c>
      <c r="AJ38" s="10">
        <f ca="1">X38*COS(RADIANS(AC38))*'Aerodynamics-Constants'!M38+AI38</f>
        <v>8.7234354552801815E-3</v>
      </c>
      <c r="AK38" s="10">
        <f ca="1">AF38^2/(PI()*'Aerodynamics-Constants'!I38*AA38)</f>
        <v>2.7071583850620369E-2</v>
      </c>
      <c r="AL38" s="10">
        <f t="shared" ca="1" si="6"/>
        <v>3.5795019305900552E-2</v>
      </c>
      <c r="AM38" s="1">
        <f t="shared" ca="1" si="7"/>
        <v>-0.15499999999999906</v>
      </c>
      <c r="AN38" s="1">
        <f t="shared" ca="1" si="8"/>
        <v>-0.34772047705830811</v>
      </c>
      <c r="AO38" s="12">
        <f t="shared" si="25"/>
        <v>0.92529118240476216</v>
      </c>
      <c r="AP38" s="12">
        <f t="shared" si="9"/>
        <v>8.0740872728382929E-2</v>
      </c>
      <c r="AQ38" s="81">
        <f ca="1">B38*H38*'Aerodynamics-Constants'!AA38/C38</f>
        <v>103661.98369115505</v>
      </c>
      <c r="AR38" s="10">
        <f ca="1">0.455/(LOG10(MIN(AQ38,'Aerodynamics-Constants'!AG38)))^2.58</f>
        <v>7.0986207004322087E-3</v>
      </c>
      <c r="AS38" s="15">
        <f ca="1">AR38*'Aerodynamics-Constants'!AI38*'Aerodynamics-Constants'!AJ38*'Aerodynamics-Constants'!AE38/P38</f>
        <v>1.9745643803915514E-2</v>
      </c>
      <c r="AT38" s="10">
        <f t="shared" ca="1" si="26"/>
        <v>9.7566521017900341E-3</v>
      </c>
      <c r="AU38" s="10">
        <f t="shared" ca="1" si="10"/>
        <v>2.950229590570555E-2</v>
      </c>
      <c r="AV38" s="12">
        <f t="shared" si="11"/>
        <v>0.94442105263157905</v>
      </c>
      <c r="AW38" s="12">
        <f t="shared" si="12"/>
        <v>5.884975479268828E-2</v>
      </c>
      <c r="AX38" s="81">
        <f ca="1">B38*H38*'Aerodynamics-Constants'!AK38/C38</f>
        <v>67326.249314754285</v>
      </c>
      <c r="AY38" s="10">
        <f ca="1">0.455/(LOG10(MIN(AX38,'Aerodynamics-Constants'!AQ38)))^2.58</f>
        <v>7.8315741220038246E-3</v>
      </c>
      <c r="AZ38" s="15">
        <f ca="1">AY38*'Aerodynamics-Constants'!AS38*'Aerodynamics-Constants'!AT38*'Aerodynamics-Constants'!AO38/S38</f>
        <v>2.1784439479578685E-2</v>
      </c>
      <c r="BA38" s="81">
        <f ca="1">B38*H38*'Aerodynamics-Constants'!N38/C38</f>
        <v>2305798.8471962204</v>
      </c>
      <c r="BB38" s="10">
        <f ca="1">0.455/(LOG10(MIN(BA38,'Aerodynamics-Constants'!V38)))^2.58</f>
        <v>3.8423337208316265E-3</v>
      </c>
      <c r="BC38" s="10">
        <f ca="1">BB38*'Aerodynamics-Constants'!W38*'Aerodynamics-Constants'!X38*'Aerodynamics-Constants'!S38/N38+'Aerodynamics-Constants'!Z38</f>
        <v>1.9478443201317089E-3</v>
      </c>
      <c r="BD38" s="15">
        <f ca="1">BC38*'Aerodynamics-Constants'!AU38+(AJ38+AS38*P38/N38+AZ38*S38/N38)*('Aerodynamics-Constants'!AU38-1)</f>
        <v>3.1860958294271076E-3</v>
      </c>
      <c r="BE38" s="16">
        <f t="shared" ca="1" si="13"/>
        <v>0.87902795548563994</v>
      </c>
      <c r="BF38" s="10">
        <f t="shared" ca="1" si="27"/>
        <v>1.3620766602249371E-2</v>
      </c>
      <c r="BG38" s="10">
        <f t="shared" ca="1" si="28"/>
        <v>2.7648602552257668E-2</v>
      </c>
      <c r="BH38" s="10">
        <f t="shared" ca="1" si="14"/>
        <v>4.1269369154507046E-2</v>
      </c>
      <c r="BI38" s="13">
        <f t="shared" ca="1" si="15"/>
        <v>131.90942506312632</v>
      </c>
      <c r="BJ38" s="13">
        <f t="shared" ca="1" si="16"/>
        <v>6.1929984409669618</v>
      </c>
      <c r="BK38" s="13">
        <f t="shared" ca="1" si="17"/>
        <v>21.299767200091569</v>
      </c>
      <c r="BL38" s="14">
        <f t="shared" ca="1" si="18"/>
        <v>135.71283455240192</v>
      </c>
      <c r="BO38" s="16">
        <f ca="1">'Airfoil-Cruise'!J38</f>
        <v>5.292990303801739</v>
      </c>
      <c r="BP38" s="1">
        <f ca="1">BO38/(1+BO38/(PI()*'Aerodynamics-Constants'!I38)*(1+AB38))</f>
        <v>4.4967847538620438</v>
      </c>
      <c r="BR38" s="12">
        <v>6</v>
      </c>
      <c r="BS38" s="1">
        <f t="shared" si="19"/>
        <v>4.0426828290456038</v>
      </c>
      <c r="BT38" s="1">
        <f>Stability!W38</f>
        <v>2.858608442604563</v>
      </c>
      <c r="BV38" s="12">
        <v>6</v>
      </c>
      <c r="BW38" s="1">
        <f t="shared" si="20"/>
        <v>4.0695737230182569</v>
      </c>
      <c r="BX38" s="1">
        <f>Stability!Y38</f>
        <v>2.8776231760847946</v>
      </c>
    </row>
    <row r="39" spans="2:76">
      <c r="B39" s="16">
        <f>Cruise!F39</f>
        <v>0.65969672852566186</v>
      </c>
      <c r="C39" s="74">
        <f>'Airfoil-Cruise'!E39</f>
        <v>1.5987591530356481E-5</v>
      </c>
      <c r="E39" s="19">
        <f ca="1">Cruise!H39</f>
        <v>132.04710507961775</v>
      </c>
      <c r="F39" s="63">
        <f>Weight!G39</f>
        <v>0.3</v>
      </c>
      <c r="H39" s="20">
        <f t="shared" ca="1" si="29"/>
        <v>21.626815672280991</v>
      </c>
      <c r="I39" s="20">
        <f t="shared" ca="1" si="21"/>
        <v>17.00757615964843</v>
      </c>
      <c r="J39" s="20">
        <f t="shared" ca="1" si="0"/>
        <v>1.271598931515709</v>
      </c>
      <c r="L39" s="31">
        <f>Main!B39</f>
        <v>0.33333333333333326</v>
      </c>
      <c r="M39" s="31">
        <f>Main!C39</f>
        <v>2.9210526315789478</v>
      </c>
      <c r="N39" s="1">
        <f t="shared" si="1"/>
        <v>0.97368421052631571</v>
      </c>
      <c r="O39" s="1">
        <f t="shared" si="2"/>
        <v>8.763157894736846</v>
      </c>
      <c r="P39" s="16">
        <f ca="1">'Aerodynamics-Constants'!AC39</f>
        <v>5.7230970130204631E-2</v>
      </c>
      <c r="Q39" s="16">
        <f>'Aerodynamics-Constants'!AD39</f>
        <v>4.381578947368423</v>
      </c>
      <c r="R39" s="63">
        <f>Stability!G39</f>
        <v>5.6500000000000012</v>
      </c>
      <c r="S39" s="16">
        <f ca="1">'Aerodynamics-Constants'!AM39</f>
        <v>2.4734340811647802E-2</v>
      </c>
      <c r="T39" s="16">
        <f>'Aerodynamics-Constants'!AN39</f>
        <v>4.381578947368423</v>
      </c>
      <c r="V39" s="81">
        <f t="shared" ca="1" si="3"/>
        <v>297462.76501042506</v>
      </c>
      <c r="W39" s="63">
        <f ca="1">MIN(Main!H39,'Airfoil 2'!$K$71*V39^'Airfoil 2'!$L$70*2,1*'Airfoil-Cruise'!I39/Takeoff!$B$10^2*0.9)</f>
        <v>0.9</v>
      </c>
      <c r="X39" s="42">
        <f ca="1">'Airfoil-Cruise'!V39</f>
        <v>8.8171746690725236E-3</v>
      </c>
      <c r="Y39" s="14">
        <f t="shared" ca="1" si="4"/>
        <v>102.07351377044579</v>
      </c>
      <c r="Z39" s="16">
        <f ca="1">'Airfoil-Cruise'!AF39</f>
        <v>-0.15499999999999906</v>
      </c>
      <c r="AA39" s="31">
        <f>Main!I39</f>
        <v>1.1095373430241193</v>
      </c>
      <c r="AB39" s="12">
        <f t="shared" si="22"/>
        <v>-9.8723439740719177E-2</v>
      </c>
      <c r="AC39" s="30">
        <f t="shared" ca="1" si="5"/>
        <v>1.6874244395727225</v>
      </c>
      <c r="AD39" s="13">
        <f t="shared" ca="1" si="23"/>
        <v>1.6874244395727225</v>
      </c>
      <c r="AE39" s="13">
        <f ca="1">DEGREES(AF39/BP39)+'Airfoil-Cruise'!K39</f>
        <v>3.160166623680789</v>
      </c>
      <c r="AF39" s="1">
        <f t="shared" ca="1" si="24"/>
        <v>0.89960971260308598</v>
      </c>
      <c r="AG39" s="16">
        <f ca="1">0.9*'Airfoil-Cruise'!I39</f>
        <v>1.4213844942605081</v>
      </c>
      <c r="AH39" s="42">
        <f ca="1">0.455/(LOG10(MIN(V39,'Aerodynamics-Constants'!L39)))^2.58</f>
        <v>5.6663210300650331E-3</v>
      </c>
      <c r="AI39" s="42">
        <f ca="1">+AH39*'Aerodynamics-Constants'!J39*'Aerodynamics-Constants'!M39/N39</f>
        <v>0</v>
      </c>
      <c r="AJ39" s="10">
        <f ca="1">X39*COS(RADIANS(AC39))*'Aerodynamics-Constants'!M39+AI39</f>
        <v>8.813351077795047E-3</v>
      </c>
      <c r="AK39" s="10">
        <f ca="1">AF39^2/(PI()*'Aerodynamics-Constants'!I39*AA39)</f>
        <v>2.6494506716272712E-2</v>
      </c>
      <c r="AL39" s="10">
        <f t="shared" ca="1" si="6"/>
        <v>3.5307857794067761E-2</v>
      </c>
      <c r="AM39" s="1">
        <f t="shared" ca="1" si="7"/>
        <v>-0.15499999999999906</v>
      </c>
      <c r="AN39" s="1">
        <f t="shared" ca="1" si="8"/>
        <v>-0.34986698406091055</v>
      </c>
      <c r="AO39" s="12">
        <f t="shared" si="25"/>
        <v>0.92125337952389075</v>
      </c>
      <c r="AP39" s="12">
        <f t="shared" si="9"/>
        <v>8.5477700517968325E-2</v>
      </c>
      <c r="AQ39" s="81">
        <f ca="1">B39*H39*'Aerodynamics-Constants'!AA39/C39</f>
        <v>101989.17964071946</v>
      </c>
      <c r="AR39" s="10">
        <f ca="1">0.455/(LOG10(MIN(AQ39,'Aerodynamics-Constants'!AG39)))^2.58</f>
        <v>7.1244851325446773E-3</v>
      </c>
      <c r="AS39" s="15">
        <f ca="1">AR39*'Aerodynamics-Constants'!AI39*'Aerodynamics-Constants'!AJ39*'Aerodynamics-Constants'!AE39/P39</f>
        <v>1.9817588747198973E-2</v>
      </c>
      <c r="AT39" s="10">
        <f t="shared" ca="1" si="26"/>
        <v>9.652644564715266E-3</v>
      </c>
      <c r="AU39" s="10">
        <f t="shared" ca="1" si="10"/>
        <v>2.9470233311914239E-2</v>
      </c>
      <c r="AV39" s="12">
        <f t="shared" si="11"/>
        <v>0.94371052631578956</v>
      </c>
      <c r="AW39" s="12">
        <f t="shared" si="12"/>
        <v>5.9646970246228337E-2</v>
      </c>
      <c r="AX39" s="81">
        <f ca="1">B39*H39*'Aerodynamics-Constants'!AK39/C39</f>
        <v>67048.445750471976</v>
      </c>
      <c r="AY39" s="10">
        <f ca="1">0.455/(LOG10(MIN(AX39,'Aerodynamics-Constants'!AQ39)))^2.58</f>
        <v>7.839093975173312E-3</v>
      </c>
      <c r="AZ39" s="15">
        <f ca="1">AY39*'Aerodynamics-Constants'!AS39*'Aerodynamics-Constants'!AT39*'Aerodynamics-Constants'!AO39/S39</f>
        <v>2.1805356830766839E-2</v>
      </c>
      <c r="BA39" s="81">
        <f ca="1">B39*H39*'Aerodynamics-Constants'!N39/C39</f>
        <v>2275590.1523297527</v>
      </c>
      <c r="BB39" s="10">
        <f ca="1">0.455/(LOG10(MIN(BA39,'Aerodynamics-Constants'!V39)))^2.58</f>
        <v>3.851271314310531E-3</v>
      </c>
      <c r="BC39" s="10">
        <f ca="1">BB39*'Aerodynamics-Constants'!W39*'Aerodynamics-Constants'!X39*'Aerodynamics-Constants'!S39/N39+'Aerodynamics-Constants'!Z39</f>
        <v>1.89960459225589E-3</v>
      </c>
      <c r="BD39" s="15">
        <f ca="1">BC39*'Aerodynamics-Constants'!AU39+(AJ39+AS39*P39/N39+AZ39*S39/N39)*('Aerodynamics-Constants'!AU39-1)</f>
        <v>3.1427752845760801E-3</v>
      </c>
      <c r="BE39" s="16">
        <f t="shared" ca="1" si="13"/>
        <v>0.87904531739376923</v>
      </c>
      <c r="BF39" s="10">
        <f t="shared" ca="1" si="27"/>
        <v>1.3674877615522081E-2</v>
      </c>
      <c r="BG39" s="10">
        <f t="shared" ca="1" si="28"/>
        <v>2.7061867475324245E-2</v>
      </c>
      <c r="BH39" s="10">
        <f t="shared" ca="1" si="14"/>
        <v>4.0736745090846328E-2</v>
      </c>
      <c r="BI39" s="13">
        <f t="shared" ca="1" si="15"/>
        <v>132.04710507961775</v>
      </c>
      <c r="BJ39" s="13">
        <f t="shared" ca="1" si="16"/>
        <v>6.1193309982709154</v>
      </c>
      <c r="BK39" s="13">
        <f t="shared" ca="1" si="17"/>
        <v>21.578683211764346</v>
      </c>
      <c r="BL39" s="14">
        <f t="shared" ca="1" si="18"/>
        <v>132.34164353728031</v>
      </c>
      <c r="BO39" s="16">
        <f ca="1">'Airfoil-Cruise'!J39</f>
        <v>5.3165202356262853</v>
      </c>
      <c r="BP39" s="1">
        <f ca="1">BO39/(1+BO39/(PI()*'Aerodynamics-Constants'!I39)*(1+AB39))</f>
        <v>4.5283577376734971</v>
      </c>
      <c r="BR39" s="12">
        <v>6</v>
      </c>
      <c r="BS39" s="1">
        <f t="shared" si="19"/>
        <v>4.07292669268785</v>
      </c>
      <c r="BT39" s="1">
        <f>Stability!W39</f>
        <v>2.8799940836752764</v>
      </c>
      <c r="BV39" s="12">
        <v>6</v>
      </c>
      <c r="BW39" s="1">
        <f t="shared" si="20"/>
        <v>4.1042957459386722</v>
      </c>
      <c r="BX39" s="1">
        <f>Stability!Y39</f>
        <v>2.9021753539483348</v>
      </c>
    </row>
    <row r="40" spans="2:76">
      <c r="B40" s="16">
        <f>Cruise!F40</f>
        <v>0.65969672852566186</v>
      </c>
      <c r="C40" s="74">
        <f>'Airfoil-Cruise'!E40</f>
        <v>1.5987591530356481E-5</v>
      </c>
      <c r="E40" s="19">
        <f ca="1">Cruise!H40</f>
        <v>109.4823661580773</v>
      </c>
      <c r="F40" s="63">
        <f>Weight!G40</f>
        <v>0.3</v>
      </c>
      <c r="H40" s="20">
        <f t="shared" ca="1" si="29"/>
        <v>19.43145462796252</v>
      </c>
      <c r="I40" s="20">
        <f t="shared" ca="1" si="21"/>
        <v>15.29262925344913</v>
      </c>
      <c r="J40" s="20">
        <f t="shared" ca="1" si="0"/>
        <v>1.2706418435914093</v>
      </c>
      <c r="L40" s="31">
        <f>Main!B40</f>
        <v>0.33333333333333326</v>
      </c>
      <c r="M40" s="31">
        <f>Main!C40</f>
        <v>3</v>
      </c>
      <c r="N40" s="1">
        <f t="shared" si="1"/>
        <v>0.99999999999999978</v>
      </c>
      <c r="O40" s="1">
        <f t="shared" si="2"/>
        <v>9.0000000000000018</v>
      </c>
      <c r="P40" s="16">
        <f ca="1">'Aerodynamics-Constants'!AC40</f>
        <v>6.0005710882722572E-2</v>
      </c>
      <c r="Q40" s="16">
        <f>'Aerodynamics-Constants'!AD40</f>
        <v>4.5000000000000009</v>
      </c>
      <c r="R40" s="63">
        <f>Stability!G40</f>
        <v>5.6500000000000012</v>
      </c>
      <c r="S40" s="16">
        <f ca="1">'Aerodynamics-Constants'!AM40</f>
        <v>2.5861490283211861E-2</v>
      </c>
      <c r="T40" s="16">
        <f>'Aerodynamics-Constants'!AN40</f>
        <v>4.5000000000000009</v>
      </c>
      <c r="V40" s="81">
        <f t="shared" ca="1" si="3"/>
        <v>267267.00358466222</v>
      </c>
      <c r="W40" s="63">
        <f ca="1">MIN(Main!H40,'Airfoil 2'!$K$71*V40^'Airfoil 2'!$L$70*2,1*'Airfoil-Cruise'!I40/Takeoff!$B$10^2*0.9)</f>
        <v>0.9</v>
      </c>
      <c r="X40" s="42">
        <f ca="1">'Airfoil-Cruise'!V40</f>
        <v>9.5808278069524425E-3</v>
      </c>
      <c r="Y40" s="14">
        <f t="shared" ca="1" si="4"/>
        <v>93.93760311054794</v>
      </c>
      <c r="Z40" s="16">
        <f ca="1">'Airfoil-Cruise'!AF40</f>
        <v>-0.15499999999999919</v>
      </c>
      <c r="AA40" s="31">
        <f>Main!I40</f>
        <v>1.1031239342794878</v>
      </c>
      <c r="AB40" s="12">
        <f t="shared" si="22"/>
        <v>-9.3483543484933929E-2</v>
      </c>
      <c r="AC40" s="30">
        <f t="shared" ca="1" si="5"/>
        <v>1.652600098867558</v>
      </c>
      <c r="AD40" s="13">
        <f t="shared" ca="1" si="23"/>
        <v>1.652600098867558</v>
      </c>
      <c r="AE40" s="13">
        <f ca="1">DEGREES(AF40/BP40)+'Airfoil-Cruise'!K40</f>
        <v>3.3506705138040234</v>
      </c>
      <c r="AF40" s="1">
        <f t="shared" ca="1" si="24"/>
        <v>0.89962565443801656</v>
      </c>
      <c r="AG40" s="16">
        <f ca="1">0.9*'Airfoil-Cruise'!I40</f>
        <v>1.4192714258176737</v>
      </c>
      <c r="AH40" s="42">
        <f ca="1">0.455/(LOG10(MIN(V40,'Aerodynamics-Constants'!L40)))^2.58</f>
        <v>5.7923972861834427E-3</v>
      </c>
      <c r="AI40" s="42">
        <f ca="1">+AH40*'Aerodynamics-Constants'!J40*'Aerodynamics-Constants'!M40/N40</f>
        <v>0</v>
      </c>
      <c r="AJ40" s="10">
        <f ca="1">X40*COS(RADIANS(AC40))*'Aerodynamics-Constants'!M40+AI40</f>
        <v>9.5768427620972641E-3</v>
      </c>
      <c r="AK40" s="10">
        <f ca="1">AF40^2/(PI()*'Aerodynamics-Constants'!I40*AA40)</f>
        <v>2.5948184283426934E-2</v>
      </c>
      <c r="AL40" s="10">
        <f t="shared" ca="1" si="6"/>
        <v>3.5525027045524196E-2</v>
      </c>
      <c r="AM40" s="1">
        <f t="shared" ca="1" si="7"/>
        <v>-0.15499999999999919</v>
      </c>
      <c r="AN40" s="1">
        <f t="shared" ca="1" si="8"/>
        <v>-0.3427048178863647</v>
      </c>
      <c r="AO40" s="12">
        <f>MAX(0,(1.78*(1-0.045*Q40^0.68)-0.64))*1</f>
        <v>0.9172503524946326</v>
      </c>
      <c r="AP40" s="12">
        <f t="shared" si="9"/>
        <v>9.0214898561024714E-2</v>
      </c>
      <c r="AQ40" s="81">
        <f ca="1">B40*H40*'Aerodynamics-Constants'!AA40/C40</f>
        <v>92588.41259516486</v>
      </c>
      <c r="AR40" s="10">
        <f ca="1">0.455/(LOG10(MIN(AQ40,'Aerodynamics-Constants'!AG40)))^2.58</f>
        <v>7.2809572985127989E-3</v>
      </c>
      <c r="AS40" s="15">
        <f ca="1">AR40*'Aerodynamics-Constants'!AI40*'Aerodynamics-Constants'!AJ40*'Aerodynamics-Constants'!AE40/P40</f>
        <v>2.0252834379388553E-2</v>
      </c>
      <c r="AT40" s="10">
        <f t="shared" ca="1" si="26"/>
        <v>9.057120506349681E-3</v>
      </c>
      <c r="AU40" s="10">
        <f t="shared" ca="1" si="10"/>
        <v>2.9309954885738232E-2</v>
      </c>
      <c r="AV40" s="12">
        <f t="shared" si="11"/>
        <v>0.94300000000000006</v>
      </c>
      <c r="AW40" s="12">
        <f t="shared" si="12"/>
        <v>6.0445387062566303E-2</v>
      </c>
      <c r="AX40" s="81">
        <f ca="1">B40*H40*'Aerodynamics-Constants'!AK40/C40</f>
        <v>60783.697708425883</v>
      </c>
      <c r="AY40" s="10">
        <f ca="1">0.455/(LOG10(MIN(AX40,'Aerodynamics-Constants'!AQ40)))^2.58</f>
        <v>8.0204740306452395E-3</v>
      </c>
      <c r="AZ40" s="15">
        <f ca="1">AY40*'Aerodynamics-Constants'!AS40*'Aerodynamics-Constants'!AT40*'Aerodynamics-Constants'!AO40/S40</f>
        <v>2.23098866710871E-2</v>
      </c>
      <c r="BA40" s="81">
        <f ca="1">B40*H40*'Aerodynamics-Constants'!N40/C40</f>
        <v>2044592.5774226666</v>
      </c>
      <c r="BB40" s="10">
        <f ca="1">0.455/(LOG10(MIN(BA40,'Aerodynamics-Constants'!V40)))^2.58</f>
        <v>3.9248937797816165E-3</v>
      </c>
      <c r="BC40" s="10">
        <f ca="1">BB40*'Aerodynamics-Constants'!W40*'Aerodynamics-Constants'!X40*'Aerodynamics-Constants'!S40/N40+'Aerodynamics-Constants'!Z40</f>
        <v>1.8849435242233818E-3</v>
      </c>
      <c r="BD40" s="15">
        <f ca="1">BC40*'Aerodynamics-Constants'!AU40+(AJ40+AS40*P40/N40+AZ40*S40/N40)*('Aerodynamics-Constants'!AU40-1)</f>
        <v>3.2103474170243609E-3</v>
      </c>
      <c r="BE40" s="16">
        <f t="shared" ca="1" si="13"/>
        <v>0.87906140821781131</v>
      </c>
      <c r="BF40" s="10">
        <f t="shared" ca="1" si="27"/>
        <v>1.4579442820810758E-2</v>
      </c>
      <c r="BG40" s="10">
        <f t="shared" ca="1" si="28"/>
        <v>2.6491663237960931E-2</v>
      </c>
      <c r="BH40" s="10">
        <f t="shared" ca="1" si="14"/>
        <v>4.1071106058771685E-2</v>
      </c>
      <c r="BI40" s="13">
        <f t="shared" ca="1" si="15"/>
        <v>109.4823661580773</v>
      </c>
      <c r="BJ40" s="13">
        <f t="shared" ca="1" si="16"/>
        <v>5.1151851622742646</v>
      </c>
      <c r="BK40" s="13">
        <f t="shared" ca="1" si="17"/>
        <v>21.403402356875837</v>
      </c>
      <c r="BL40" s="14">
        <f t="shared" ca="1" si="18"/>
        <v>99.395488394359475</v>
      </c>
      <c r="BO40" s="16">
        <f ca="1">'Airfoil-Cruise'!J40</f>
        <v>5.5113790317283726</v>
      </c>
      <c r="BP40" s="1">
        <f ca="1">BO40/(1+BO40/(PI()*'Aerodynamics-Constants'!I40)*(1+AB40))</f>
        <v>4.6837474418984737</v>
      </c>
      <c r="BR40" s="12">
        <v>6</v>
      </c>
      <c r="BS40" s="1">
        <f t="shared" si="19"/>
        <v>4.101998731574878</v>
      </c>
      <c r="BT40" s="1">
        <f>Stability!W40</f>
        <v>2.9005511195152129</v>
      </c>
      <c r="BV40" s="12">
        <v>6</v>
      </c>
      <c r="BW40" s="1">
        <f t="shared" si="20"/>
        <v>4.1377398406157262</v>
      </c>
      <c r="BX40" s="1">
        <f>Stability!Y40</f>
        <v>2.9258239000851245</v>
      </c>
    </row>
    <row r="42" spans="2:76">
      <c r="D42" s="4"/>
    </row>
    <row r="44" spans="2:76">
      <c r="I44" s="14"/>
      <c r="M44" s="1"/>
      <c r="N44" s="1"/>
      <c r="O44" s="1"/>
      <c r="P44" s="1"/>
    </row>
    <row r="45" spans="2:76">
      <c r="I45" s="14"/>
    </row>
    <row r="46" spans="2:76">
      <c r="I46" s="14"/>
    </row>
    <row r="47" spans="2:76">
      <c r="I47" s="14"/>
    </row>
    <row r="48" spans="2:76">
      <c r="I48" s="14"/>
    </row>
    <row r="49" spans="9:9">
      <c r="I49" s="14"/>
    </row>
    <row r="50" spans="9:9">
      <c r="I50" s="14"/>
    </row>
    <row r="51" spans="9:9">
      <c r="I51" s="14"/>
    </row>
    <row r="52" spans="9:9">
      <c r="I52" s="14"/>
    </row>
    <row r="53" spans="9:9">
      <c r="I53" s="14"/>
    </row>
    <row r="54" spans="9:9">
      <c r="I54" s="14"/>
    </row>
    <row r="55" spans="9:9">
      <c r="I55" s="14"/>
    </row>
    <row r="56" spans="9:9">
      <c r="I56" s="14"/>
    </row>
    <row r="57" spans="9:9">
      <c r="I57" s="14"/>
    </row>
    <row r="58" spans="9:9">
      <c r="I58" s="14"/>
    </row>
    <row r="59" spans="9:9">
      <c r="I59" s="14"/>
    </row>
    <row r="60" spans="9:9">
      <c r="I60" s="14"/>
    </row>
    <row r="61" spans="9:9">
      <c r="I61" s="14"/>
    </row>
    <row r="62" spans="9:9">
      <c r="I62" s="14"/>
    </row>
    <row r="63" spans="9:9">
      <c r="I63" s="14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BX63"/>
  <sheetViews>
    <sheetView topLeftCell="M7" zoomScale="90" workbookViewId="0">
      <selection activeCell="AO21" sqref="AO21:AO40"/>
    </sheetView>
  </sheetViews>
  <sheetFormatPr defaultRowHeight="12.75"/>
  <cols>
    <col min="23" max="23" width="9.5703125" bestFit="1" customWidth="1"/>
    <col min="47" max="47" width="9.42578125" customWidth="1"/>
    <col min="53" max="53" width="9.5703125" bestFit="1" customWidth="1"/>
    <col min="54" max="54" width="9.5703125" customWidth="1"/>
  </cols>
  <sheetData>
    <row r="1" spans="1:74">
      <c r="A1" s="17" t="s">
        <v>782</v>
      </c>
    </row>
    <row r="3" spans="1:74">
      <c r="A3" t="s">
        <v>270</v>
      </c>
    </row>
    <row r="4" spans="1:74">
      <c r="A4" s="17"/>
    </row>
    <row r="5" spans="1:74">
      <c r="A5" t="s">
        <v>367</v>
      </c>
      <c r="F5" s="6"/>
      <c r="G5" s="6"/>
      <c r="H5" s="6"/>
    </row>
    <row r="6" spans="1:74">
      <c r="A6" s="3" t="s">
        <v>48</v>
      </c>
      <c r="B6" s="16">
        <f>'Aerodynamics-Takeoff'!B6</f>
        <v>0.25</v>
      </c>
      <c r="E6" s="16"/>
      <c r="F6" s="6"/>
      <c r="G6" s="16"/>
      <c r="H6" s="6"/>
    </row>
    <row r="7" spans="1:74">
      <c r="A7" s="17"/>
    </row>
    <row r="8" spans="1:74">
      <c r="A8" s="17"/>
    </row>
    <row r="9" spans="1:74">
      <c r="A9" s="17"/>
    </row>
    <row r="15" spans="1:74">
      <c r="B15" t="s">
        <v>273</v>
      </c>
      <c r="E15" t="s">
        <v>277</v>
      </c>
      <c r="H15" t="s">
        <v>286</v>
      </c>
      <c r="L15" t="s">
        <v>279</v>
      </c>
      <c r="V15" t="s">
        <v>278</v>
      </c>
    </row>
    <row r="16" spans="1:74">
      <c r="L16" t="s">
        <v>367</v>
      </c>
      <c r="P16" t="s">
        <v>44</v>
      </c>
      <c r="S16" t="s">
        <v>46</v>
      </c>
      <c r="V16" t="s">
        <v>367</v>
      </c>
      <c r="AN16" t="s">
        <v>44</v>
      </c>
      <c r="AV16" t="s">
        <v>46</v>
      </c>
      <c r="BA16" t="s">
        <v>393</v>
      </c>
      <c r="BE16" t="s">
        <v>391</v>
      </c>
      <c r="BH16" s="10"/>
      <c r="BO16" t="s">
        <v>367</v>
      </c>
      <c r="BR16" t="s">
        <v>44</v>
      </c>
      <c r="BV16" t="s">
        <v>46</v>
      </c>
    </row>
    <row r="18" spans="2:76">
      <c r="B18" s="9" t="s">
        <v>29</v>
      </c>
      <c r="C18" s="9" t="s">
        <v>31</v>
      </c>
      <c r="E18" s="9" t="s">
        <v>34</v>
      </c>
      <c r="F18" s="9" t="s">
        <v>139</v>
      </c>
      <c r="H18" s="9" t="s">
        <v>40</v>
      </c>
      <c r="I18" s="9" t="s">
        <v>198</v>
      </c>
      <c r="J18" s="9" t="s">
        <v>199</v>
      </c>
      <c r="L18" s="9" t="s">
        <v>281</v>
      </c>
      <c r="M18" s="9" t="s">
        <v>280</v>
      </c>
      <c r="N18" s="9" t="s">
        <v>282</v>
      </c>
      <c r="O18" s="9" t="s">
        <v>100</v>
      </c>
      <c r="P18" s="9" t="s">
        <v>45</v>
      </c>
      <c r="Q18" s="9" t="s">
        <v>69</v>
      </c>
      <c r="R18" s="9" t="s">
        <v>49</v>
      </c>
      <c r="S18" s="9" t="s">
        <v>47</v>
      </c>
      <c r="T18" s="9" t="s">
        <v>173</v>
      </c>
      <c r="V18" s="9" t="s">
        <v>50</v>
      </c>
      <c r="W18" s="9" t="s">
        <v>52</v>
      </c>
      <c r="X18" s="9" t="s">
        <v>51</v>
      </c>
      <c r="Y18" s="9" t="s">
        <v>246</v>
      </c>
      <c r="Z18" s="9" t="s">
        <v>53</v>
      </c>
      <c r="AA18" s="9" t="s">
        <v>62</v>
      </c>
      <c r="AB18" s="9" t="s">
        <v>63</v>
      </c>
      <c r="AC18" s="9" t="s">
        <v>369</v>
      </c>
      <c r="AD18" s="9" t="s">
        <v>370</v>
      </c>
      <c r="AE18" s="9" t="s">
        <v>378</v>
      </c>
      <c r="AF18" s="9" t="s">
        <v>60</v>
      </c>
      <c r="AG18" s="9" t="s">
        <v>192</v>
      </c>
      <c r="AH18" s="47" t="s">
        <v>483</v>
      </c>
      <c r="AI18" s="47" t="s">
        <v>485</v>
      </c>
      <c r="AJ18" s="9" t="s">
        <v>65</v>
      </c>
      <c r="AK18" s="9" t="s">
        <v>61</v>
      </c>
      <c r="AL18" s="9" t="s">
        <v>67</v>
      </c>
      <c r="AM18" s="9" t="s">
        <v>66</v>
      </c>
      <c r="AN18" s="9" t="s">
        <v>64</v>
      </c>
      <c r="AO18" s="9" t="s">
        <v>68</v>
      </c>
      <c r="AP18" s="9" t="s">
        <v>167</v>
      </c>
      <c r="AQ18" s="9" t="s">
        <v>50</v>
      </c>
      <c r="AR18" s="9" t="s">
        <v>411</v>
      </c>
      <c r="AS18" s="9" t="s">
        <v>71</v>
      </c>
      <c r="AT18" s="9" t="s">
        <v>70</v>
      </c>
      <c r="AU18" s="9" t="s">
        <v>148</v>
      </c>
      <c r="AV18" s="9" t="s">
        <v>174</v>
      </c>
      <c r="AW18" s="9" t="s">
        <v>175</v>
      </c>
      <c r="AX18" s="9" t="s">
        <v>50</v>
      </c>
      <c r="AY18" s="9" t="s">
        <v>411</v>
      </c>
      <c r="AZ18" s="9" t="s">
        <v>72</v>
      </c>
      <c r="BA18" s="9" t="s">
        <v>50</v>
      </c>
      <c r="BB18" s="9" t="s">
        <v>406</v>
      </c>
      <c r="BC18" s="9" t="s">
        <v>410</v>
      </c>
      <c r="BD18" s="9" t="s">
        <v>638</v>
      </c>
      <c r="BE18" s="9" t="s">
        <v>54</v>
      </c>
      <c r="BF18" s="9" t="s">
        <v>149</v>
      </c>
      <c r="BG18" s="9" t="s">
        <v>150</v>
      </c>
      <c r="BH18" s="9" t="s">
        <v>55</v>
      </c>
      <c r="BI18" s="9" t="s">
        <v>56</v>
      </c>
      <c r="BJ18" s="9" t="s">
        <v>57</v>
      </c>
      <c r="BK18" s="9" t="s">
        <v>58</v>
      </c>
      <c r="BL18" s="9" t="s">
        <v>59</v>
      </c>
      <c r="BM18" s="9" t="s">
        <v>785</v>
      </c>
      <c r="BO18" s="9" t="s">
        <v>163</v>
      </c>
      <c r="BP18" s="9" t="s">
        <v>8</v>
      </c>
      <c r="BR18" s="9" t="s">
        <v>164</v>
      </c>
      <c r="BS18" s="9" t="s">
        <v>165</v>
      </c>
      <c r="BT18" s="9" t="s">
        <v>166</v>
      </c>
      <c r="BV18" s="9" t="s">
        <v>170</v>
      </c>
      <c r="BW18" s="9" t="s">
        <v>171</v>
      </c>
      <c r="BX18" s="9" t="s">
        <v>172</v>
      </c>
    </row>
    <row r="19" spans="2:76">
      <c r="B19" s="9" t="s">
        <v>30</v>
      </c>
      <c r="C19" s="9" t="s">
        <v>32</v>
      </c>
      <c r="E19" s="9" t="s">
        <v>35</v>
      </c>
      <c r="H19" s="9" t="s">
        <v>1</v>
      </c>
      <c r="I19" s="9" t="s">
        <v>1</v>
      </c>
      <c r="J19" s="9"/>
      <c r="L19" s="9" t="s">
        <v>4</v>
      </c>
      <c r="M19" s="9" t="s">
        <v>4</v>
      </c>
      <c r="N19" s="9" t="s">
        <v>43</v>
      </c>
      <c r="P19" s="9" t="s">
        <v>43</v>
      </c>
      <c r="S19" s="9" t="s">
        <v>43</v>
      </c>
      <c r="T19" s="9"/>
      <c r="AC19" s="9" t="s">
        <v>303</v>
      </c>
      <c r="AD19" s="9" t="s">
        <v>303</v>
      </c>
      <c r="AE19" s="9" t="s">
        <v>303</v>
      </c>
      <c r="BI19" s="9" t="s">
        <v>35</v>
      </c>
      <c r="BJ19" s="9" t="s">
        <v>35</v>
      </c>
      <c r="BK19" s="9"/>
      <c r="BL19" s="9" t="s">
        <v>34</v>
      </c>
      <c r="BO19" s="9" t="s">
        <v>162</v>
      </c>
      <c r="BP19" s="9" t="s">
        <v>162</v>
      </c>
      <c r="BR19" s="9" t="s">
        <v>162</v>
      </c>
      <c r="BS19" s="9" t="s">
        <v>162</v>
      </c>
      <c r="BT19" s="9" t="s">
        <v>162</v>
      </c>
      <c r="BV19" s="9" t="s">
        <v>162</v>
      </c>
      <c r="BW19" s="9" t="s">
        <v>162</v>
      </c>
      <c r="BX19" s="9" t="s">
        <v>162</v>
      </c>
    </row>
    <row r="21" spans="2:76">
      <c r="B21" s="16">
        <f>Cruise!F21</f>
        <v>0.65969672852566186</v>
      </c>
      <c r="C21" s="74">
        <f>'Airfoil-Speed'!E21</f>
        <v>1.5987591530356481E-5</v>
      </c>
      <c r="E21" s="19">
        <f ca="1">Cruise!H21</f>
        <v>129.60277124917457</v>
      </c>
      <c r="F21" s="63">
        <f>Weight!G21</f>
        <v>0.3</v>
      </c>
      <c r="H21" s="20">
        <f ca="1">'Propulsion-Speed'!E21</f>
        <v>29.912886947212638</v>
      </c>
      <c r="I21" s="20">
        <f t="shared" ref="I21:I40" ca="1" si="0">SQRT(E21/(0.5*B21*N21*AG21))</f>
        <v>23.46011167138419</v>
      </c>
      <c r="J21" s="20">
        <f t="shared" ref="J21:J40" ca="1" si="1">H21/I21</f>
        <v>1.2750530503100423</v>
      </c>
      <c r="L21" s="31">
        <f>Main!B21</f>
        <v>0.33333333333333326</v>
      </c>
      <c r="M21" s="31">
        <f>Main!C21</f>
        <v>1.5</v>
      </c>
      <c r="N21" s="1">
        <f t="shared" ref="N21:N40" si="2">L21*M21</f>
        <v>0.49999999999999989</v>
      </c>
      <c r="O21" s="1">
        <f t="shared" ref="O21:O40" si="3">M21^2/N21</f>
        <v>4.5000000000000009</v>
      </c>
      <c r="P21" s="16">
        <f ca="1">'Aerodynamics-Constants'!AC21</f>
        <v>3.5563162306008866E-2</v>
      </c>
      <c r="Q21" s="16">
        <f>'Aerodynamics-Constants'!AD21</f>
        <v>2.2500000000000004</v>
      </c>
      <c r="R21" s="63">
        <f>Stability!G21</f>
        <v>5.6500000000000012</v>
      </c>
      <c r="S21" s="16">
        <f ca="1">'Aerodynamics-Constants'!AM21</f>
        <v>9.1507568586259112E-3</v>
      </c>
      <c r="T21" s="16">
        <f>'Aerodynamics-Constants'!AN21</f>
        <v>2.2500000000000004</v>
      </c>
      <c r="V21" s="81">
        <f t="shared" ref="V21:V40" ca="1" si="4">B21*H21*L21/C21</f>
        <v>411432.27905560873</v>
      </c>
      <c r="W21" s="49">
        <f ca="1">IF(ISERROR(BM21),Main!H21,BM21)</f>
        <v>0.89999999999845259</v>
      </c>
      <c r="X21" s="42">
        <f ca="1">'Airfoil-Speed'!V21</f>
        <v>1.1110331491700135E-2</v>
      </c>
      <c r="Y21" s="14">
        <f t="shared" ref="Y21:Y40" ca="1" si="5">W21/X21</f>
        <v>81.005683824176515</v>
      </c>
      <c r="Z21" s="16">
        <f ca="1">'Airfoil-Speed'!AF21</f>
        <v>-0.15499999999999875</v>
      </c>
      <c r="AA21" s="31">
        <f>Main!I21</f>
        <v>1.2372503524946326</v>
      </c>
      <c r="AB21" s="12">
        <f t="shared" ref="AB21:AB40" si="6">1/AA21-1</f>
        <v>-0.19175614055495838</v>
      </c>
      <c r="AC21" s="30">
        <f t="shared" ref="AC21:AC40" ca="1" si="7">IF(ISERROR(AD21),1,AD21)</f>
        <v>2.9442285792017602</v>
      </c>
      <c r="AD21" s="13">
        <f t="shared" ref="AD21:AD40" ca="1" si="8">DEGREES(W21*COS(RADIANS(AC21))/(PI()*O21)*(1+AB21))</f>
        <v>2.9442285792017957</v>
      </c>
      <c r="AE21" s="13">
        <f ca="1">DEGREES(AF21/BP21)+'Airfoil-Speed'!K21</f>
        <v>3.533183329552319</v>
      </c>
      <c r="AF21" s="1">
        <f t="shared" ref="AF21:AF40" ca="1" si="9">W21*COS(RADIANS(AC21))</f>
        <v>0.8988120046793564</v>
      </c>
      <c r="AG21" s="16">
        <f ca="1">0.9*'Airfoil-Speed'!I21</f>
        <v>1.4278079600608922</v>
      </c>
      <c r="AH21" s="42">
        <f ca="1">0.455/(LOG10(MIN(V21,'Aerodynamics-Constants'!L21)))^2.58</f>
        <v>5.3067549766401727E-3</v>
      </c>
      <c r="AI21" s="42">
        <f ca="1">+AH21*'Aerodynamics-Constants'!J21*'Aerodynamics-Constants'!M21</f>
        <v>0</v>
      </c>
      <c r="AJ21" s="10">
        <f ca="1">X21*COS(RADIANS(AC21))*'Aerodynamics-Constants'!M21+AI21</f>
        <v>1.1095665911915947E-2</v>
      </c>
      <c r="AK21" s="10">
        <f ca="1">AF21^2/(PI()*'Aerodynamics-Constants'!I21*AA21)</f>
        <v>4.6186787473628636E-2</v>
      </c>
      <c r="AL21" s="10">
        <f t="shared" ref="AL21:AL40" ca="1" si="10">AJ21+AK21</f>
        <v>5.7282453385544579E-2</v>
      </c>
      <c r="AM21" s="1">
        <f t="shared" ref="AM21:AM40" ca="1" si="11">Z21</f>
        <v>-0.15499999999999875</v>
      </c>
      <c r="AN21" s="1">
        <f t="shared" ref="AN21:AN40" ca="1" si="12">N21/(P21*(R21-F21))*(AM21+AF21*(F21-$B$6))</f>
        <v>-0.28922976880603907</v>
      </c>
      <c r="AO21" s="12">
        <f>MAX(0,(1.78*(1-0.045*Q21^0.68)-0.64))*1</f>
        <v>1.000967405130992</v>
      </c>
      <c r="AP21" s="12">
        <f t="shared" ref="AP21:AP40" si="13">1/AO21-1</f>
        <v>-9.6647016279760578E-4</v>
      </c>
      <c r="AQ21" s="81">
        <f ca="1">B21*H21*'Aerodynamics-Constants'!AA21/C21</f>
        <v>155177.42573157029</v>
      </c>
      <c r="AR21" s="10">
        <f ca="1">0.455/(LOG10(MIN(AQ21,'Aerodynamics-Constants'!AG21)))^2.58</f>
        <v>6.4968187644349057E-3</v>
      </c>
      <c r="AS21" s="15">
        <f ca="1">AR21*'Aerodynamics-Constants'!AI21*'Aerodynamics-Constants'!AJ21*'Aerodynamics-Constants'!AE21/P21</f>
        <v>1.8071661326166565E-2</v>
      </c>
      <c r="AT21" s="10">
        <f t="shared" ref="AT21:AT40" ca="1" si="14">AN21^2/(PI()*Q21*AO21)</f>
        <v>1.1823162385021384E-2</v>
      </c>
      <c r="AU21" s="10">
        <f t="shared" ref="AU21:AU40" ca="1" si="15">AS21+AT21</f>
        <v>2.989482371118795E-2</v>
      </c>
      <c r="AV21" s="12">
        <f t="shared" ref="AV21:AV40" si="16">MIN(1,MAX(0,(1.78*(1-0.045*T21^0.68)-0.64)))*0+0.9*0+(0.91+(0.85-0.91)/(20-10)*(T21-10))</f>
        <v>0.95650000000000013</v>
      </c>
      <c r="AW21" s="12">
        <f t="shared" ref="AW21:AW40" si="17">1/AV21-1</f>
        <v>4.5478306325143603E-2</v>
      </c>
      <c r="AX21" s="81">
        <f ca="1">B21*H21*'Aerodynamics-Constants'!AK21/C21</f>
        <v>78714.884962676966</v>
      </c>
      <c r="AY21" s="10">
        <f ca="1">0.455/(LOG10(MIN(AX21,'Aerodynamics-Constants'!AQ21)))^2.58</f>
        <v>7.5545316882709053E-3</v>
      </c>
      <c r="AZ21" s="15">
        <f ca="1">AY21*'Aerodynamics-Constants'!AS21*'Aerodynamics-Constants'!AT21*'Aerodynamics-Constants'!AO21/S21</f>
        <v>2.1013813544497099E-2</v>
      </c>
      <c r="BA21" s="81">
        <f ca="1">B21*H21*'Aerodynamics-Constants'!N21/C21</f>
        <v>3147456.9347754074</v>
      </c>
      <c r="BB21" s="10">
        <f ca="1">0.455/(LOG10(MIN(BA21,'Aerodynamics-Constants'!V21)))^2.58</f>
        <v>3.639541577555418E-3</v>
      </c>
      <c r="BC21" s="10">
        <f ca="1">BB21*'Aerodynamics-Constants'!W21*'Aerodynamics-Constants'!X21*'Aerodynamics-Constants'!S21/N21+'Aerodynamics-Constants'!Z21</f>
        <v>3.4960284436355649E-3</v>
      </c>
      <c r="BD21" s="15">
        <f ca="1">BC21*'Aerodynamics-Constants'!AU21+(AJ21+AS21+AZ21)*('Aerodynamics-Constants'!AU21-1)</f>
        <v>8.8637453662570882E-3</v>
      </c>
      <c r="BE21" s="16">
        <f t="shared" ref="BE21:BE40" ca="1" si="18">AF21+P21/N21*AN21</f>
        <v>0.87824015425579927</v>
      </c>
      <c r="BF21" s="10">
        <f t="shared" ref="BF21:BF40" ca="1" si="19">AJ21+P21/N21*AS21+S21/N21*AZ21+BD21</f>
        <v>2.1629366724772791E-2</v>
      </c>
      <c r="BG21" s="10">
        <f t="shared" ref="BG21:BG40" ca="1" si="20">AK21+P21/N21*AT21</f>
        <v>4.7027725559366268E-2</v>
      </c>
      <c r="BH21" s="10">
        <f t="shared" ref="BH21:BH40" ca="1" si="21">AL21+P21/N21*AU21+S21/N21*AZ21+BD21</f>
        <v>6.8657092284139049E-2</v>
      </c>
      <c r="BI21" s="13">
        <f t="shared" ref="BI21:BI40" ca="1" si="22">0.5*B21*H21^2*N21*BE21</f>
        <v>129.60277124914339</v>
      </c>
      <c r="BJ21" s="13">
        <f t="shared" ref="BJ21:BJ40" ca="1" si="23">0.5*B21*H21^2*N21*BH21</f>
        <v>10.131795253056598</v>
      </c>
      <c r="BK21" s="13">
        <f t="shared" ref="BK21:BK40" ca="1" si="24">BI21/BJ21</f>
        <v>12.791688739470365</v>
      </c>
      <c r="BL21" s="14">
        <f t="shared" ref="BL21:BL40" ca="1" si="25">BJ21*H21</f>
        <v>303.07124597698765</v>
      </c>
      <c r="BM21" s="1">
        <f ca="1">MIN(Main!H21,MAX(0.1,W21+0.05*(E21/BI21-1)*W21))</f>
        <v>0.89999999999846336</v>
      </c>
      <c r="BO21" s="16">
        <f ca="1">'Airfoil-Speed'!J21</f>
        <v>4.7670310826746221</v>
      </c>
      <c r="BP21" s="1">
        <f ca="1">BO21/(1+BO21/(PI()*'Aerodynamics-Constants'!I21)*(1+AB21))</f>
        <v>3.7460797695233237</v>
      </c>
      <c r="BR21" s="12">
        <v>6</v>
      </c>
      <c r="BS21" s="1">
        <f t="shared" ref="BS21:BS40" si="26">BR21/(1+BR21/(PI()*Q21)*(1+AP21))</f>
        <v>3.2467427092400318</v>
      </c>
      <c r="BT21" s="1">
        <f>Stability!W21</f>
        <v>2.2957937864716098</v>
      </c>
      <c r="BV21" s="12">
        <v>6</v>
      </c>
      <c r="BW21" s="1">
        <f t="shared" ref="BW21:BW40" si="27">BV21/(1+BV21/(PI()*T21)*(1+AW21))</f>
        <v>3.1789266013735289</v>
      </c>
      <c r="BX21" s="1">
        <f>Stability!Y21</f>
        <v>2.2478405567255271</v>
      </c>
    </row>
    <row r="22" spans="2:76">
      <c r="B22" s="16">
        <f>Cruise!F22</f>
        <v>0.65969672852566186</v>
      </c>
      <c r="C22" s="74">
        <f>'Airfoil-Speed'!E22</f>
        <v>1.5987591530356481E-5</v>
      </c>
      <c r="E22" s="19">
        <f ca="1">Cruise!H22</f>
        <v>131.99424477497124</v>
      </c>
      <c r="F22" s="63">
        <f>Weight!G22</f>
        <v>0.3</v>
      </c>
      <c r="H22" s="20">
        <f ca="1">'Propulsion-Speed'!E22</f>
        <v>29.4215195992047</v>
      </c>
      <c r="I22" s="20">
        <f t="shared" ca="1" si="0"/>
        <v>23.078747160529563</v>
      </c>
      <c r="J22" s="20">
        <f t="shared" ca="1" si="1"/>
        <v>1.2748317486454752</v>
      </c>
      <c r="L22" s="31">
        <f>Main!B22</f>
        <v>0.33333333333333326</v>
      </c>
      <c r="M22" s="31">
        <f>Main!C22</f>
        <v>1.5789473684210527</v>
      </c>
      <c r="N22" s="1">
        <f t="shared" si="2"/>
        <v>0.52631578947368407</v>
      </c>
      <c r="O22" s="1">
        <f t="shared" si="3"/>
        <v>4.7368421052631593</v>
      </c>
      <c r="P22" s="16">
        <f ca="1">'Aerodynamics-Constants'!AC22</f>
        <v>3.6702909021930567E-2</v>
      </c>
      <c r="Q22" s="16">
        <f>'Aerodynamics-Constants'!AD22</f>
        <v>2.3684210526315796</v>
      </c>
      <c r="R22" s="63">
        <f>Stability!G22</f>
        <v>5.6500000000000012</v>
      </c>
      <c r="S22" s="16">
        <f ca="1">'Aerodynamics-Constants'!AM22</f>
        <v>9.7716352702972523E-3</v>
      </c>
      <c r="T22" s="16">
        <f>'Aerodynamics-Constants'!AN22</f>
        <v>2.3684210526315796</v>
      </c>
      <c r="V22" s="81">
        <f t="shared" ca="1" si="4"/>
        <v>404673.84118897363</v>
      </c>
      <c r="W22" s="49">
        <f ca="1">IF(ISERROR(BM22),Main!H22,BM22)</f>
        <v>0.89999999999820712</v>
      </c>
      <c r="X22" s="42">
        <f ca="1">'Airfoil-Speed'!V22</f>
        <v>1.1110331491698142E-2</v>
      </c>
      <c r="Y22" s="14">
        <f t="shared" ca="1" si="5"/>
        <v>81.005683824168955</v>
      </c>
      <c r="Z22" s="16">
        <f ca="1">'Airfoil-Speed'!AF22</f>
        <v>-0.15499999999999875</v>
      </c>
      <c r="AA22" s="31">
        <f>Main!I22</f>
        <v>1.2293438844505524</v>
      </c>
      <c r="AB22" s="12">
        <f t="shared" si="6"/>
        <v>-0.1865579577459372</v>
      </c>
      <c r="AC22" s="30">
        <f t="shared" ca="1" si="7"/>
        <v>2.8153246389300119</v>
      </c>
      <c r="AD22" s="13">
        <f t="shared" ca="1" si="8"/>
        <v>2.8153246389300506</v>
      </c>
      <c r="AE22" s="13">
        <f ca="1">DEGREES(AF22/BP22)+'Airfoil-Speed'!K22</f>
        <v>3.4579920550875158</v>
      </c>
      <c r="AF22" s="1">
        <f t="shared" ca="1" si="9"/>
        <v>0.89891373239092798</v>
      </c>
      <c r="AG22" s="16">
        <f ca="1">0.9*'Airfoil-Speed'!I22</f>
        <v>1.4274792472156699</v>
      </c>
      <c r="AH22" s="42">
        <f ca="1">0.455/(LOG10(MIN(V22,'Aerodynamics-Constants'!L22)))^2.58</f>
        <v>5.32433720841356E-3</v>
      </c>
      <c r="AI22" s="42">
        <f ca="1">+AH22*'Aerodynamics-Constants'!J22*'Aerodynamics-Constants'!M22</f>
        <v>0</v>
      </c>
      <c r="AJ22" s="10">
        <f ca="1">X22*COS(RADIANS(AC22))*'Aerodynamics-Constants'!M22+AI22</f>
        <v>1.109692172146971E-2</v>
      </c>
      <c r="AK22" s="10">
        <f ca="1">AF22^2/(PI()*'Aerodynamics-Constants'!I22*AA22)</f>
        <v>4.4169640426916817E-2</v>
      </c>
      <c r="AL22" s="10">
        <f t="shared" ca="1" si="10"/>
        <v>5.526656214838653E-2</v>
      </c>
      <c r="AM22" s="1">
        <f t="shared" ca="1" si="11"/>
        <v>-0.15499999999999875</v>
      </c>
      <c r="AN22" s="1">
        <f t="shared" ca="1" si="12"/>
        <v>-0.29498450130721621</v>
      </c>
      <c r="AO22" s="12">
        <f t="shared" ref="AO22:AO39" si="28">MAX(0,(1.78*(1-0.045*Q22^0.68)-0.64))*1</f>
        <v>0.9960324623343223</v>
      </c>
      <c r="AP22" s="12">
        <f t="shared" si="13"/>
        <v>3.9833417240029423E-3</v>
      </c>
      <c r="AQ22" s="81">
        <f ca="1">B22*H22*'Aerodynamics-Constants'!AA22/C22</f>
        <v>151128.77901916622</v>
      </c>
      <c r="AR22" s="10">
        <f ca="1">0.455/(LOG10(MIN(AQ22,'Aerodynamics-Constants'!AG22)))^2.58</f>
        <v>6.5340407328737214E-3</v>
      </c>
      <c r="AS22" s="15">
        <f ca="1">AR22*'Aerodynamics-Constants'!AI22*'Aerodynamics-Constants'!AJ22*'Aerodynamics-Constants'!AE22/P22</f>
        <v>1.8175198585232779E-2</v>
      </c>
      <c r="AT22" s="10">
        <f t="shared" ca="1" si="14"/>
        <v>1.1741298203772052E-2</v>
      </c>
      <c r="AU22" s="10">
        <f t="shared" ca="1" si="15"/>
        <v>2.9916496789004831E-2</v>
      </c>
      <c r="AV22" s="12">
        <f t="shared" si="16"/>
        <v>0.95578947368421063</v>
      </c>
      <c r="AW22" s="12">
        <f t="shared" si="17"/>
        <v>4.625550660792932E-2</v>
      </c>
      <c r="AX22" s="81">
        <f ca="1">B22*H22*'Aerodynamics-Constants'!AK22/C22</f>
        <v>77979.5194066923</v>
      </c>
      <c r="AY22" s="10">
        <f ca="1">0.455/(LOG10(MIN(AX22,'Aerodynamics-Constants'!AQ22)))^2.58</f>
        <v>7.5707832709344253E-3</v>
      </c>
      <c r="AZ22" s="15">
        <f ca="1">AY22*'Aerodynamics-Constants'!AS22*'Aerodynamics-Constants'!AT22*'Aerodynamics-Constants'!AO22/S22</f>
        <v>2.1059019222623303E-2</v>
      </c>
      <c r="BA22" s="81">
        <f ca="1">B22*H22*'Aerodynamics-Constants'!N22/C22</f>
        <v>3095754.8850956489</v>
      </c>
      <c r="BB22" s="10">
        <f ca="1">0.455/(LOG10(MIN(BA22,'Aerodynamics-Constants'!V22)))^2.58</f>
        <v>3.6499569418656065E-3</v>
      </c>
      <c r="BC22" s="10">
        <f ca="1">BB22*'Aerodynamics-Constants'!W22*'Aerodynamics-Constants'!X22*'Aerodynamics-Constants'!S22/N22+'Aerodynamics-Constants'!Z22</f>
        <v>3.3307230767164373E-3</v>
      </c>
      <c r="BD22" s="15">
        <f ca="1">BC22*'Aerodynamics-Constants'!AU22+(AJ22+AS22+AZ22)*('Aerodynamics-Constants'!AU22-1)</f>
        <v>8.6969093373206637E-3</v>
      </c>
      <c r="BE22" s="16">
        <f t="shared" ca="1" si="18"/>
        <v>0.87834283269364721</v>
      </c>
      <c r="BF22" s="10">
        <f t="shared" ca="1" si="19"/>
        <v>2.1452272117524023E-2</v>
      </c>
      <c r="BG22" s="10">
        <f t="shared" ca="1" si="20"/>
        <v>4.4988426046484384E-2</v>
      </c>
      <c r="BH22" s="10">
        <f t="shared" ca="1" si="21"/>
        <v>6.644069816400841E-2</v>
      </c>
      <c r="BI22" s="13">
        <f t="shared" ca="1" si="22"/>
        <v>131.99424477493463</v>
      </c>
      <c r="BJ22" s="13">
        <f t="shared" ca="1" si="23"/>
        <v>9.984472406501034</v>
      </c>
      <c r="BK22" s="13">
        <f t="shared" ca="1" si="24"/>
        <v>13.219951881382462</v>
      </c>
      <c r="BL22" s="14">
        <f t="shared" ca="1" si="25"/>
        <v>293.75835059558869</v>
      </c>
      <c r="BM22" s="1">
        <f ca="1">MIN(Main!H22,MAX(0.1,W22+0.05*(E22/BI22-1)*W22))</f>
        <v>0.89999999999821956</v>
      </c>
      <c r="BO22" s="16">
        <f ca="1">'Airfoil-Speed'!J22</f>
        <v>4.7936617964988839</v>
      </c>
      <c r="BP22" s="1">
        <f ca="1">BO22/(1+BO22/(PI()*'Aerodynamics-Constants'!I22)*(1+AB22))</f>
        <v>3.7983662469847421</v>
      </c>
      <c r="BR22" s="12">
        <v>6</v>
      </c>
      <c r="BS22" s="1">
        <f t="shared" si="26"/>
        <v>3.3156550852903828</v>
      </c>
      <c r="BT22" s="1">
        <f>Stability!W22</f>
        <v>2.3445221948844903</v>
      </c>
      <c r="BV22" s="12">
        <v>6</v>
      </c>
      <c r="BW22" s="1">
        <f t="shared" si="27"/>
        <v>3.2543523818462479</v>
      </c>
      <c r="BX22" s="1">
        <f>Stability!Y22</f>
        <v>2.3011746375740749</v>
      </c>
    </row>
    <row r="23" spans="2:76">
      <c r="B23" s="16">
        <f>Cruise!F23</f>
        <v>0.65969672852566186</v>
      </c>
      <c r="C23" s="74">
        <f>'Airfoil-Speed'!E23</f>
        <v>1.5987591530356481E-5</v>
      </c>
      <c r="E23" s="19">
        <f ca="1">Cruise!H23</f>
        <v>134.24051129338258</v>
      </c>
      <c r="F23" s="63">
        <f>Weight!G23</f>
        <v>0.3</v>
      </c>
      <c r="H23" s="20">
        <f ca="1">'Propulsion-Speed'!E23</f>
        <v>28.954278467517241</v>
      </c>
      <c r="I23" s="20">
        <f t="shared" ca="1" si="0"/>
        <v>22.715913401700011</v>
      </c>
      <c r="J23" s="20">
        <f t="shared" ca="1" si="1"/>
        <v>1.2746253234681888</v>
      </c>
      <c r="L23" s="31">
        <f>Main!B23</f>
        <v>0.33333333333333326</v>
      </c>
      <c r="M23" s="31">
        <f>Main!C23</f>
        <v>1.6578947368421053</v>
      </c>
      <c r="N23" s="1">
        <f t="shared" si="2"/>
        <v>0.55263157894736836</v>
      </c>
      <c r="O23" s="1">
        <f t="shared" si="3"/>
        <v>4.9736842105263168</v>
      </c>
      <c r="P23" s="16">
        <f ca="1">'Aerodynamics-Constants'!AC23</f>
        <v>3.7836985495348238E-2</v>
      </c>
      <c r="Q23" s="16">
        <f>'Aerodynamics-Constants'!AD23</f>
        <v>2.4868421052631584</v>
      </c>
      <c r="R23" s="63">
        <f>Stability!G23</f>
        <v>5.6500000000000012</v>
      </c>
      <c r="S23" s="16">
        <f ca="1">'Aerodynamics-Constants'!AM23</f>
        <v>1.0423408148040733E-2</v>
      </c>
      <c r="T23" s="16">
        <f>'Aerodynamics-Constants'!AN23</f>
        <v>2.4868421052631584</v>
      </c>
      <c r="V23" s="81">
        <f t="shared" ca="1" si="4"/>
        <v>398247.24371551903</v>
      </c>
      <c r="W23" s="49">
        <f ca="1">IF(ISERROR(BM23),Main!H23,BM23)</f>
        <v>0.89999999999795866</v>
      </c>
      <c r="X23" s="42">
        <f ca="1">'Airfoil-Speed'!V23</f>
        <v>1.1110331491696126E-2</v>
      </c>
      <c r="Y23" s="14">
        <f t="shared" ca="1" si="5"/>
        <v>81.005683824161295</v>
      </c>
      <c r="Z23" s="16">
        <f ca="1">'Airfoil-Speed'!AF23</f>
        <v>-0.15499999999999878</v>
      </c>
      <c r="AA23" s="31">
        <f>Main!I23</f>
        <v>1.2215629734834355</v>
      </c>
      <c r="AB23" s="12">
        <f t="shared" si="6"/>
        <v>-0.18137662837931445</v>
      </c>
      <c r="AC23" s="30">
        <f t="shared" ca="1" si="7"/>
        <v>2.6986049379997716</v>
      </c>
      <c r="AD23" s="13">
        <f t="shared" ca="1" si="8"/>
        <v>2.6986049379998143</v>
      </c>
      <c r="AE23" s="13">
        <f ca="1">DEGREES(AF23/BP23)+'Airfoil-Speed'!K23</f>
        <v>3.3921919677702306</v>
      </c>
      <c r="AF23" s="1">
        <f t="shared" ca="1" si="9"/>
        <v>0.89900191946835062</v>
      </c>
      <c r="AG23" s="16">
        <f ca="1">0.9*'Airfoil-Speed'!I23</f>
        <v>1.4271616137554382</v>
      </c>
      <c r="AH23" s="42">
        <f ca="1">0.455/(LOG10(MIN(V23,'Aerodynamics-Constants'!L23)))^2.58</f>
        <v>5.3414075821600166E-3</v>
      </c>
      <c r="AI23" s="42">
        <f ca="1">+AH23*'Aerodynamics-Constants'!J23*'Aerodynamics-Constants'!M23</f>
        <v>0</v>
      </c>
      <c r="AJ23" s="10">
        <f ca="1">X23*COS(RADIANS(AC23))*'Aerodynamics-Constants'!M23+AI23</f>
        <v>1.109801037443015E-2</v>
      </c>
      <c r="AK23" s="10">
        <f ca="1">AF23^2/(PI()*'Aerodynamics-Constants'!I23*AA23)</f>
        <v>4.2342578105507109E-2</v>
      </c>
      <c r="AL23" s="10">
        <f t="shared" ca="1" si="10"/>
        <v>5.3440588479937261E-2</v>
      </c>
      <c r="AM23" s="1">
        <f t="shared" ca="1" si="11"/>
        <v>-0.15499999999999878</v>
      </c>
      <c r="AN23" s="1">
        <f t="shared" ca="1" si="12"/>
        <v>-0.30043813386037427</v>
      </c>
      <c r="AO23" s="12">
        <f t="shared" si="28"/>
        <v>0.9911758879050544</v>
      </c>
      <c r="AP23" s="12">
        <f t="shared" si="13"/>
        <v>8.9026702552219561E-3</v>
      </c>
      <c r="AQ23" s="81">
        <f ca="1">B23*H23*'Aerodynamics-Constants'!AA23/C23</f>
        <v>147369.69738973668</v>
      </c>
      <c r="AR23" s="10">
        <f ca="1">0.455/(LOG10(MIN(AQ23,'Aerodynamics-Constants'!AG23)))^2.58</f>
        <v>6.5697801521117562E-3</v>
      </c>
      <c r="AS23" s="15">
        <f ca="1">AR23*'Aerodynamics-Constants'!AI23*'Aerodynamics-Constants'!AJ23*'Aerodynamics-Constants'!AE23/P23</f>
        <v>1.8274611960283238E-2</v>
      </c>
      <c r="AT23" s="10">
        <f t="shared" ca="1" si="14"/>
        <v>1.1656315619807922E-2</v>
      </c>
      <c r="AU23" s="10">
        <f t="shared" ca="1" si="15"/>
        <v>2.9930927580091159E-2</v>
      </c>
      <c r="AV23" s="12">
        <f t="shared" si="16"/>
        <v>0.95507894736842114</v>
      </c>
      <c r="AW23" s="12">
        <f t="shared" si="17"/>
        <v>4.7033863279420274E-2</v>
      </c>
      <c r="AX23" s="81">
        <f ca="1">B23*H23*'Aerodynamics-Constants'!AK23/C23</f>
        <v>77349.017099995312</v>
      </c>
      <c r="AY23" s="10">
        <f ca="1">0.455/(LOG10(MIN(AX23,'Aerodynamics-Constants'!AQ23)))^2.58</f>
        <v>7.5848790295523589E-3</v>
      </c>
      <c r="AZ23" s="15">
        <f ca="1">AY23*'Aerodynamics-Constants'!AS23*'Aerodynamics-Constants'!AT23*'Aerodynamics-Constants'!AO23/S23</f>
        <v>2.1098228223999971E-2</v>
      </c>
      <c r="BA23" s="81">
        <f ca="1">B23*H23*'Aerodynamics-Constants'!N23/C23</f>
        <v>3046591.4144237209</v>
      </c>
      <c r="BB23" s="10">
        <f ca="1">0.455/(LOG10(MIN(BA23,'Aerodynamics-Constants'!V23)))^2.58</f>
        <v>3.6600628770526288E-3</v>
      </c>
      <c r="BC23" s="10">
        <f ca="1">BB23*'Aerodynamics-Constants'!W23*'Aerodynamics-Constants'!X23*'Aerodynamics-Constants'!S23/N23+'Aerodynamics-Constants'!Z23</f>
        <v>3.1808923947865488E-3</v>
      </c>
      <c r="BD23" s="15">
        <f ca="1">BC23*'Aerodynamics-Constants'!AU23+(AJ23+AS23+AZ23)*('Aerodynamics-Constants'!AU23-1)</f>
        <v>8.5460666901365449E-3</v>
      </c>
      <c r="BE23" s="16">
        <f t="shared" ca="1" si="18"/>
        <v>0.87843184394936347</v>
      </c>
      <c r="BF23" s="10">
        <f t="shared" ca="1" si="19"/>
        <v>2.1293225803749434E-2</v>
      </c>
      <c r="BG23" s="10">
        <f t="shared" ca="1" si="20"/>
        <v>4.3140650206048216E-2</v>
      </c>
      <c r="BH23" s="10">
        <f t="shared" ca="1" si="21"/>
        <v>6.443387600979765E-2</v>
      </c>
      <c r="BI23" s="13">
        <f t="shared" ca="1" si="22"/>
        <v>134.24051129334043</v>
      </c>
      <c r="BJ23" s="13">
        <f t="shared" ca="1" si="23"/>
        <v>9.8466790790265808</v>
      </c>
      <c r="BK23" s="13">
        <f t="shared" ca="1" si="24"/>
        <v>13.633074685989577</v>
      </c>
      <c r="BL23" s="14">
        <f t="shared" ca="1" si="25"/>
        <v>285.10348803441184</v>
      </c>
      <c r="BM23" s="1">
        <f ca="1">MIN(Main!H23,MAX(0.1,W23+0.05*(E23/BI23-1)*W23))</f>
        <v>0.89999999999797275</v>
      </c>
      <c r="BO23" s="16">
        <f ca="1">'Airfoil-Speed'!J23</f>
        <v>4.81954211163188</v>
      </c>
      <c r="BP23" s="1">
        <f ca="1">BO23/(1+BO23/(PI()*'Aerodynamics-Constants'!I23)*(1+AB23))</f>
        <v>3.8479369988199732</v>
      </c>
      <c r="BR23" s="12">
        <v>6</v>
      </c>
      <c r="BS23" s="1">
        <f t="shared" si="26"/>
        <v>3.3806190262133535</v>
      </c>
      <c r="BT23" s="1">
        <f>Stability!W23</f>
        <v>2.3904586380437252</v>
      </c>
      <c r="BV23" s="12">
        <v>6</v>
      </c>
      <c r="BW23" s="1">
        <f t="shared" si="27"/>
        <v>3.3257449178841254</v>
      </c>
      <c r="BX23" s="1">
        <f>Stability!Y23</f>
        <v>2.3516567839325631</v>
      </c>
    </row>
    <row r="24" spans="2:76">
      <c r="B24" s="16">
        <f>Cruise!F24</f>
        <v>0.65969672852566186</v>
      </c>
      <c r="C24" s="74">
        <f>'Airfoil-Speed'!E24</f>
        <v>1.5987591530356481E-5</v>
      </c>
      <c r="E24" s="19">
        <f ca="1">Cruise!H24</f>
        <v>126.40792205825835</v>
      </c>
      <c r="F24" s="63">
        <f>Weight!G24</f>
        <v>0.3</v>
      </c>
      <c r="H24" s="20">
        <f ca="1">'Propulsion-Speed'!E24</f>
        <v>27.449674188602877</v>
      </c>
      <c r="I24" s="20">
        <f t="shared" ca="1" si="0"/>
        <v>21.544426827365253</v>
      </c>
      <c r="J24" s="20">
        <f t="shared" ca="1" si="1"/>
        <v>1.2740962852507596</v>
      </c>
      <c r="L24" s="31">
        <f>Main!B24</f>
        <v>0.33333333333333326</v>
      </c>
      <c r="M24" s="31">
        <f>Main!C24</f>
        <v>1.736842105263158</v>
      </c>
      <c r="N24" s="1">
        <f t="shared" si="2"/>
        <v>0.57894736842105254</v>
      </c>
      <c r="O24" s="1">
        <f t="shared" si="3"/>
        <v>5.2105263157894752</v>
      </c>
      <c r="P24" s="16">
        <f ca="1">'Aerodynamics-Constants'!AC24</f>
        <v>3.9367122344217041E-2</v>
      </c>
      <c r="Q24" s="16">
        <f>'Aerodynamics-Constants'!AD24</f>
        <v>2.6052631578947376</v>
      </c>
      <c r="R24" s="63">
        <f>Stability!G24</f>
        <v>5.6500000000000012</v>
      </c>
      <c r="S24" s="16">
        <f ca="1">'Aerodynamics-Constants'!AM24</f>
        <v>1.1105416987830716E-2</v>
      </c>
      <c r="T24" s="16">
        <f>'Aerodynamics-Constants'!AN24</f>
        <v>2.6052631578947376</v>
      </c>
      <c r="V24" s="81">
        <f t="shared" ca="1" si="4"/>
        <v>377552.39173941303</v>
      </c>
      <c r="W24" s="49">
        <f ca="1">IF(ISERROR(BM24),Main!H24,BM24)</f>
        <v>0.8999999999973155</v>
      </c>
      <c r="X24" s="42">
        <f ca="1">'Airfoil-Speed'!V24</f>
        <v>1.1110331491690908E-2</v>
      </c>
      <c r="Y24" s="14">
        <f t="shared" ca="1" si="5"/>
        <v>81.005683824141443</v>
      </c>
      <c r="Z24" s="16">
        <f ca="1">'Airfoil-Speed'!AF24</f>
        <v>-0.15499999999999881</v>
      </c>
      <c r="AA24" s="31">
        <f>Main!I24</f>
        <v>1.2138997812328405</v>
      </c>
      <c r="AB24" s="12">
        <f t="shared" si="6"/>
        <v>-0.17620876495718873</v>
      </c>
      <c r="AC24" s="30">
        <f t="shared" ca="1" si="7"/>
        <v>2.5924246355473319</v>
      </c>
      <c r="AD24" s="13">
        <f t="shared" ca="1" si="8"/>
        <v>2.5924246355473848</v>
      </c>
      <c r="AE24" s="13">
        <f ca="1">DEGREES(AF24/BP24)+'Airfoil-Speed'!K24</f>
        <v>3.4471603791244529</v>
      </c>
      <c r="AF24" s="1">
        <f t="shared" ca="1" si="9"/>
        <v>0.89907890285351488</v>
      </c>
      <c r="AG24" s="16">
        <f ca="1">0.9*'Airfoil-Speed'!I24</f>
        <v>1.4261032983164408</v>
      </c>
      <c r="AH24" s="42">
        <f ca="1">0.455/(LOG10(MIN(V24,'Aerodynamics-Constants'!L24)))^2.58</f>
        <v>5.3988630296129929E-3</v>
      </c>
      <c r="AI24" s="42">
        <f ca="1">+AH24*'Aerodynamics-Constants'!J24*'Aerodynamics-Constants'!M24</f>
        <v>0</v>
      </c>
      <c r="AJ24" s="10">
        <f ca="1">X24*COS(RADIANS(AC24))*'Aerodynamics-Constants'!M24+AI24</f>
        <v>1.1098960719909014E-2</v>
      </c>
      <c r="AK24" s="10">
        <f ca="1">AF24^2/(PI()*'Aerodynamics-Constants'!I24*AA24)</f>
        <v>4.0680034670375266E-2</v>
      </c>
      <c r="AL24" s="10">
        <f t="shared" ca="1" si="10"/>
        <v>5.1778995390284278E-2</v>
      </c>
      <c r="AM24" s="1">
        <f t="shared" ca="1" si="11"/>
        <v>-0.15499999999999881</v>
      </c>
      <c r="AN24" s="1">
        <f t="shared" ca="1" si="12"/>
        <v>-0.30250050918215537</v>
      </c>
      <c r="AO24" s="12">
        <f t="shared" si="28"/>
        <v>0.98639278941079256</v>
      </c>
      <c r="AP24" s="12">
        <f t="shared" si="13"/>
        <v>1.3794920984099512E-2</v>
      </c>
      <c r="AQ24" s="81">
        <f ca="1">B24*H24*'Aerodynamics-Constants'!AA24/C24</f>
        <v>139232.14583100981</v>
      </c>
      <c r="AR24" s="10">
        <f ca="1">0.455/(LOG10(MIN(AQ24,'Aerodynamics-Constants'!AG24)))^2.58</f>
        <v>6.6513784761114874E-3</v>
      </c>
      <c r="AS24" s="15">
        <f ca="1">AR24*'Aerodynamics-Constants'!AI24*'Aerodynamics-Constants'!AJ24*'Aerodynamics-Constants'!AE24/P24</f>
        <v>1.8501587243044453E-2</v>
      </c>
      <c r="AT24" s="10">
        <f t="shared" ca="1" si="14"/>
        <v>1.1334460686699084E-2</v>
      </c>
      <c r="AU24" s="10">
        <f t="shared" ca="1" si="15"/>
        <v>2.9836047929743537E-2</v>
      </c>
      <c r="AV24" s="12">
        <f t="shared" si="16"/>
        <v>0.95436842105263164</v>
      </c>
      <c r="AW24" s="12">
        <f t="shared" si="17"/>
        <v>4.7813378922406669E-2</v>
      </c>
      <c r="AX24" s="81">
        <f ca="1">B24*H24*'Aerodynamics-Constants'!AK24/C24</f>
        <v>73950.330042484216</v>
      </c>
      <c r="AY24" s="10">
        <f ca="1">0.455/(LOG10(MIN(AX24,'Aerodynamics-Constants'!AQ24)))^2.58</f>
        <v>7.6635599494969736E-3</v>
      </c>
      <c r="AZ24" s="15">
        <f ca="1">AY24*'Aerodynamics-Constants'!AS24*'Aerodynamics-Constants'!AT24*'Aerodynamics-Constants'!AO24/S24</f>
        <v>2.1317088406133122E-2</v>
      </c>
      <c r="BA24" s="81">
        <f ca="1">B24*H24*'Aerodynamics-Constants'!N24/C24</f>
        <v>2888275.7968065101</v>
      </c>
      <c r="BB24" s="10">
        <f ca="1">0.455/(LOG10(MIN(BA24,'Aerodynamics-Constants'!V24)))^2.58</f>
        <v>3.6940326585916056E-3</v>
      </c>
      <c r="BC24" s="10">
        <f ca="1">BB24*'Aerodynamics-Constants'!W24*'Aerodynamics-Constants'!X24*'Aerodynamics-Constants'!S24/N24+'Aerodynamics-Constants'!Z24</f>
        <v>3.0644622394122947E-3</v>
      </c>
      <c r="BD24" s="15">
        <f ca="1">BC24*'Aerodynamics-Constants'!AU24+(AJ24+AS24+AZ24)*('Aerodynamics-Constants'!AU24-1)</f>
        <v>8.4626721002621884E-3</v>
      </c>
      <c r="BE24" s="16">
        <f t="shared" ca="1" si="18"/>
        <v>0.87850954680541715</v>
      </c>
      <c r="BF24" s="10">
        <f t="shared" ca="1" si="19"/>
        <v>2.1228605427556495E-2</v>
      </c>
      <c r="BG24" s="10">
        <f t="shared" ca="1" si="20"/>
        <v>4.1450752571340815E-2</v>
      </c>
      <c r="BH24" s="10">
        <f t="shared" ca="1" si="21"/>
        <v>6.2679357998897303E-2</v>
      </c>
      <c r="BI24" s="13">
        <f t="shared" ca="1" si="22"/>
        <v>126.40792205820725</v>
      </c>
      <c r="BJ24" s="13">
        <f t="shared" ca="1" si="23"/>
        <v>9.0188745579312393</v>
      </c>
      <c r="BK24" s="13">
        <f t="shared" ca="1" si="24"/>
        <v>14.015930839956471</v>
      </c>
      <c r="BL24" s="14">
        <f t="shared" ca="1" si="25"/>
        <v>247.56516816309232</v>
      </c>
      <c r="BM24" s="1">
        <f ca="1">MIN(Main!H24,MAX(0.1,W24+0.05*(E24/BI24-1)*W24))</f>
        <v>0.89999999999733371</v>
      </c>
      <c r="BO24" s="16">
        <f ca="1">'Airfoil-Speed'!J24</f>
        <v>4.906827155888597</v>
      </c>
      <c r="BP24" s="1">
        <f ca="1">BO24/(1+BO24/(PI()*'Aerodynamics-Constants'!I24)*(1+AB24))</f>
        <v>3.9351037785946272</v>
      </c>
      <c r="BR24" s="12">
        <v>6</v>
      </c>
      <c r="BS24" s="1">
        <f t="shared" si="26"/>
        <v>3.4419654787715577</v>
      </c>
      <c r="BT24" s="1">
        <f>Stability!W24</f>
        <v>2.4338371306493705</v>
      </c>
      <c r="BV24" s="12">
        <v>6</v>
      </c>
      <c r="BW24" s="1">
        <f t="shared" si="27"/>
        <v>3.3934190644503546</v>
      </c>
      <c r="BX24" s="1">
        <f>Stability!Y24</f>
        <v>2.399509631880556</v>
      </c>
    </row>
    <row r="25" spans="2:76">
      <c r="B25" s="16">
        <f>Cruise!F25</f>
        <v>0.65969672852566186</v>
      </c>
      <c r="C25" s="74">
        <f>'Airfoil-Speed'!E25</f>
        <v>1.5987591530356481E-5</v>
      </c>
      <c r="E25" s="19">
        <f ca="1">Cruise!H25</f>
        <v>128.2373938842594</v>
      </c>
      <c r="F25" s="63">
        <f>Weight!G25</f>
        <v>0.3</v>
      </c>
      <c r="H25" s="20">
        <f ca="1">'Propulsion-Speed'!E25</f>
        <v>27.03883277587974</v>
      </c>
      <c r="I25" s="20">
        <f t="shared" ca="1" si="0"/>
        <v>21.225018832760806</v>
      </c>
      <c r="J25" s="20">
        <f t="shared" ca="1" si="1"/>
        <v>1.2739132525124226</v>
      </c>
      <c r="L25" s="31">
        <f>Main!B25</f>
        <v>0.33333333333333326</v>
      </c>
      <c r="M25" s="31">
        <f>Main!C25</f>
        <v>1.8157894736842106</v>
      </c>
      <c r="N25" s="1">
        <f t="shared" si="2"/>
        <v>0.60526315789473673</v>
      </c>
      <c r="O25" s="1">
        <f t="shared" si="3"/>
        <v>5.4473684210526327</v>
      </c>
      <c r="P25" s="16">
        <f ca="1">'Aerodynamics-Constants'!AC25</f>
        <v>4.0508118560052687E-2</v>
      </c>
      <c r="Q25" s="16">
        <f>'Aerodynamics-Constants'!AD25</f>
        <v>2.7236842105263164</v>
      </c>
      <c r="R25" s="63">
        <f>Stability!G25</f>
        <v>5.6500000000000012</v>
      </c>
      <c r="S25" s="16">
        <f ca="1">'Aerodynamics-Constants'!AM25</f>
        <v>1.1817118078367429E-2</v>
      </c>
      <c r="T25" s="16">
        <f>'Aerodynamics-Constants'!AN25</f>
        <v>2.7236842105263164</v>
      </c>
      <c r="V25" s="81">
        <f t="shared" ca="1" si="4"/>
        <v>371901.53566973982</v>
      </c>
      <c r="W25" s="49">
        <f ca="1">IF(ISERROR(BM25),Main!H25,BM25)</f>
        <v>0.89999999999702407</v>
      </c>
      <c r="X25" s="42">
        <f ca="1">'Airfoil-Speed'!V25</f>
        <v>1.1110331491688542E-2</v>
      </c>
      <c r="Y25" s="14">
        <f t="shared" ca="1" si="5"/>
        <v>81.005683824132475</v>
      </c>
      <c r="Z25" s="16">
        <f ca="1">'Airfoil-Speed'!AF25</f>
        <v>-0.15499999999999886</v>
      </c>
      <c r="AA25" s="31">
        <f>Main!I25</f>
        <v>1.2063472907833321</v>
      </c>
      <c r="AB25" s="12">
        <f t="shared" si="6"/>
        <v>-0.17105131528860329</v>
      </c>
      <c r="AC25" s="30">
        <f t="shared" ca="1" si="7"/>
        <v>2.4954227585132376</v>
      </c>
      <c r="AD25" s="13">
        <f t="shared" ca="1" si="8"/>
        <v>2.4954227585132935</v>
      </c>
      <c r="AE25" s="13">
        <f ca="1">DEGREES(AF25/BP25)+'Airfoil-Speed'!K25</f>
        <v>3.3945957248383696</v>
      </c>
      <c r="AF25" s="1">
        <f t="shared" ca="1" si="9"/>
        <v>0.89914653274798073</v>
      </c>
      <c r="AG25" s="16">
        <f ca="1">0.9*'Airfoil-Speed'!I25</f>
        <v>1.4258043677988945</v>
      </c>
      <c r="AH25" s="42">
        <f ca="1">0.455/(LOG10(MIN(V25,'Aerodynamics-Constants'!L25)))^2.58</f>
        <v>5.4152549025999639E-3</v>
      </c>
      <c r="AI25" s="42">
        <f ca="1">+AH25*'Aerodynamics-Constants'!J25*'Aerodynamics-Constants'!M25</f>
        <v>0</v>
      </c>
      <c r="AJ25" s="10">
        <f ca="1">X25*COS(RADIANS(AC25))*'Aerodynamics-Constants'!M25+AI25</f>
        <v>1.1099795598294984E-2</v>
      </c>
      <c r="AK25" s="10">
        <f ca="1">AF25^2/(PI()*'Aerodynamics-Constants'!I25*AA25)</f>
        <v>3.9160837676452502E-2</v>
      </c>
      <c r="AL25" s="10">
        <f t="shared" ca="1" si="10"/>
        <v>5.0260633274747488E-2</v>
      </c>
      <c r="AM25" s="1">
        <f t="shared" ca="1" si="11"/>
        <v>-0.15499999999999886</v>
      </c>
      <c r="AN25" s="1">
        <f t="shared" ca="1" si="12"/>
        <v>-0.3073332280149686</v>
      </c>
      <c r="AO25" s="12">
        <f t="shared" si="28"/>
        <v>0.98167878713658807</v>
      </c>
      <c r="AP25" s="12">
        <f t="shared" si="13"/>
        <v>1.8663144302885737E-2</v>
      </c>
      <c r="AQ25" s="81">
        <f ca="1">B25*H25*'Aerodynamics-Constants'!AA25/C25</f>
        <v>136063.57762117049</v>
      </c>
      <c r="AR25" s="10">
        <f ca="1">0.455/(LOG10(MIN(AQ25,'Aerodynamics-Constants'!AG25)))^2.58</f>
        <v>6.6848489843346461E-3</v>
      </c>
      <c r="AS25" s="15">
        <f ca="1">AR25*'Aerodynamics-Constants'!AI25*'Aerodynamics-Constants'!AJ25*'Aerodynamics-Constants'!AE25/P25</f>
        <v>1.8594689376712513E-2</v>
      </c>
      <c r="AT25" s="10">
        <f t="shared" ca="1" si="14"/>
        <v>1.1244573890025191E-2</v>
      </c>
      <c r="AU25" s="10">
        <f t="shared" ca="1" si="15"/>
        <v>2.9839263266737706E-2</v>
      </c>
      <c r="AV25" s="12">
        <f t="shared" si="16"/>
        <v>0.95365789473684215</v>
      </c>
      <c r="AW25" s="12">
        <f t="shared" si="17"/>
        <v>4.859405612737655E-2</v>
      </c>
      <c r="AX25" s="81">
        <f ca="1">B25*H25*'Aerodynamics-Constants'!AK25/C25</f>
        <v>73489.72755470367</v>
      </c>
      <c r="AY25" s="10">
        <f ca="1">0.455/(LOG10(MIN(AX25,'Aerodynamics-Constants'!AQ25)))^2.58</f>
        <v>7.6745899550878221E-3</v>
      </c>
      <c r="AZ25" s="15">
        <f ca="1">AY25*'Aerodynamics-Constants'!AS25*'Aerodynamics-Constants'!AT25*'Aerodynamics-Constants'!AO25/S25</f>
        <v>2.1347769656863823E-2</v>
      </c>
      <c r="BA25" s="81">
        <f ca="1">B25*H25*'Aerodynamics-Constants'!N25/C25</f>
        <v>2845046.7478735102</v>
      </c>
      <c r="BB25" s="10">
        <f ca="1">0.455/(LOG10(MIN(BA25,'Aerodynamics-Constants'!V25)))^2.58</f>
        <v>3.7037115447716234E-3</v>
      </c>
      <c r="BC25" s="10">
        <f ca="1">BB25*'Aerodynamics-Constants'!W25*'Aerodynamics-Constants'!X25*'Aerodynamics-Constants'!S25/N25+'Aerodynamics-Constants'!Z25</f>
        <v>2.9388983004436007E-3</v>
      </c>
      <c r="BD25" s="15">
        <f ca="1">BC25*'Aerodynamics-Constants'!AU25+(AJ25+AS25+AZ25)*('Aerodynamics-Constants'!AU25-1)</f>
        <v>8.3370135936750977E-3</v>
      </c>
      <c r="BE25" s="16">
        <f t="shared" ca="1" si="18"/>
        <v>0.87857780875497138</v>
      </c>
      <c r="BF25" s="10">
        <f t="shared" ca="1" si="19"/>
        <v>2.1098078316794364E-2</v>
      </c>
      <c r="BG25" s="10">
        <f t="shared" ca="1" si="20"/>
        <v>3.9913397164591101E-2</v>
      </c>
      <c r="BH25" s="10">
        <f t="shared" ca="1" si="21"/>
        <v>6.1011475481385469E-2</v>
      </c>
      <c r="BI25" s="13">
        <f t="shared" ca="1" si="22"/>
        <v>128.23739388420219</v>
      </c>
      <c r="BJ25" s="13">
        <f t="shared" ca="1" si="23"/>
        <v>8.9052472470822597</v>
      </c>
      <c r="BK25" s="13">
        <f t="shared" ca="1" si="24"/>
        <v>14.400205892791831</v>
      </c>
      <c r="BL25" s="14">
        <f t="shared" ca="1" si="25"/>
        <v>240.78749114172064</v>
      </c>
      <c r="BM25" s="1">
        <f ca="1">MIN(Main!H25,MAX(0.1,W25+0.05*(E25/BI25-1)*W25))</f>
        <v>0.89999999999704416</v>
      </c>
      <c r="BO25" s="16">
        <f ca="1">'Airfoil-Speed'!J25</f>
        <v>4.9317785666743363</v>
      </c>
      <c r="BP25" s="1">
        <f ca="1">BO25/(1+BO25/(PI()*'Aerodynamics-Constants'!I25)*(1+AB25))</f>
        <v>3.9808102089965587</v>
      </c>
      <c r="BR25" s="12">
        <v>6</v>
      </c>
      <c r="BS25" s="1">
        <f t="shared" si="26"/>
        <v>3.4999890744031426</v>
      </c>
      <c r="BT25" s="1">
        <f>Stability!W25</f>
        <v>2.4748660085892902</v>
      </c>
      <c r="BV25" s="12">
        <v>6</v>
      </c>
      <c r="BW25" s="1">
        <f t="shared" si="27"/>
        <v>3.4576577348594704</v>
      </c>
      <c r="BX25" s="1">
        <f>Stability!Y25</f>
        <v>2.4449332313412491</v>
      </c>
    </row>
    <row r="26" spans="2:76">
      <c r="B26" s="16">
        <f>Cruise!F26</f>
        <v>0.65969672852566186</v>
      </c>
      <c r="C26" s="74">
        <f>'Airfoil-Speed'!E26</f>
        <v>1.5987591530356481E-5</v>
      </c>
      <c r="E26" s="19">
        <f ca="1">Cruise!H26</f>
        <v>129.96953292099397</v>
      </c>
      <c r="F26" s="63">
        <f>Weight!G26</f>
        <v>0.3</v>
      </c>
      <c r="H26" s="20">
        <f ca="1">'Propulsion-Speed'!E26</f>
        <v>26.646781908910036</v>
      </c>
      <c r="I26" s="20">
        <f t="shared" ca="1" si="0"/>
        <v>20.920107320777358</v>
      </c>
      <c r="J26" s="20">
        <f t="shared" ca="1" si="1"/>
        <v>1.2737402108088174</v>
      </c>
      <c r="L26" s="31">
        <f>Main!B26</f>
        <v>0.33333333333333326</v>
      </c>
      <c r="M26" s="31">
        <f>Main!C26</f>
        <v>1.8947368421052633</v>
      </c>
      <c r="N26" s="1">
        <f t="shared" si="2"/>
        <v>0.63157894736842091</v>
      </c>
      <c r="O26" s="1">
        <f t="shared" si="3"/>
        <v>5.6842105263157912</v>
      </c>
      <c r="P26" s="16">
        <f ca="1">'Aerodynamics-Constants'!AC26</f>
        <v>4.1646113608309603E-2</v>
      </c>
      <c r="Q26" s="16">
        <f>'Aerodynamics-Constants'!AD26</f>
        <v>2.8421052631578956</v>
      </c>
      <c r="R26" s="63">
        <f>Stability!G26</f>
        <v>5.6500000000000012</v>
      </c>
      <c r="S26" s="16">
        <f ca="1">'Aerodynamics-Constants'!AM26</f>
        <v>1.2558058561189744E-2</v>
      </c>
      <c r="T26" s="16">
        <f>'Aerodynamics-Constants'!AN26</f>
        <v>2.8421052631578956</v>
      </c>
      <c r="V26" s="81">
        <f t="shared" ca="1" si="4"/>
        <v>366509.13131947682</v>
      </c>
      <c r="W26" s="49">
        <f ca="1">IF(ISERROR(BM26),Main!H26,BM26)</f>
        <v>0.89999999999673908</v>
      </c>
      <c r="X26" s="42">
        <f ca="1">'Airfoil-Speed'!V26</f>
        <v>1.1110331491686229E-2</v>
      </c>
      <c r="Y26" s="14">
        <f t="shared" ca="1" si="5"/>
        <v>81.005683824123679</v>
      </c>
      <c r="Z26" s="16">
        <f ca="1">'Airfoil-Speed'!AF26</f>
        <v>-0.15499999999999886</v>
      </c>
      <c r="AA26" s="31">
        <f>Main!I26</f>
        <v>1.1988991887661258</v>
      </c>
      <c r="AB26" s="12">
        <f t="shared" si="6"/>
        <v>-0.16590151251234675</v>
      </c>
      <c r="AC26" s="30">
        <f t="shared" ca="1" si="7"/>
        <v>2.4064634778320473</v>
      </c>
      <c r="AD26" s="13">
        <f t="shared" ca="1" si="8"/>
        <v>2.4064634778321063</v>
      </c>
      <c r="AE26" s="13">
        <f ca="1">DEGREES(AF26/BP26)+'Airfoil-Speed'!K26</f>
        <v>3.3479318592557075</v>
      </c>
      <c r="AF26" s="1">
        <f t="shared" ca="1" si="9"/>
        <v>0.89920628980970574</v>
      </c>
      <c r="AG26" s="16">
        <f ca="1">0.9*'Airfoil-Speed'!I26</f>
        <v>1.4255149032946592</v>
      </c>
      <c r="AH26" s="42">
        <f ca="1">0.455/(LOG10(MIN(V26,'Aerodynamics-Constants'!L26)))^2.58</f>
        <v>5.4311968887964532E-3</v>
      </c>
      <c r="AI26" s="42">
        <f ca="1">+AH26*'Aerodynamics-Constants'!J26*'Aerodynamics-Constants'!M26</f>
        <v>0</v>
      </c>
      <c r="AJ26" s="10">
        <f ca="1">X26*COS(RADIANS(AC26))*'Aerodynamics-Constants'!M26+AI26</f>
        <v>1.1100533288034784E-2</v>
      </c>
      <c r="AK26" s="10">
        <f ca="1">AF26^2/(PI()*'Aerodynamics-Constants'!I26*AA26)</f>
        <v>3.776730352311352E-2</v>
      </c>
      <c r="AL26" s="10">
        <f t="shared" ca="1" si="10"/>
        <v>4.8867836811148306E-2</v>
      </c>
      <c r="AM26" s="1">
        <f t="shared" ca="1" si="11"/>
        <v>-0.15499999999999886</v>
      </c>
      <c r="AN26" s="1">
        <f t="shared" ca="1" si="12"/>
        <v>-0.31192395160672359</v>
      </c>
      <c r="AO26" s="12">
        <f t="shared" si="28"/>
        <v>0.97702994049688086</v>
      </c>
      <c r="AP26" s="12">
        <f t="shared" si="13"/>
        <v>2.3510087614548869E-2</v>
      </c>
      <c r="AQ26" s="81">
        <f ca="1">B26*H26*'Aerodynamics-Constants'!AA26/C26</f>
        <v>133098.51631330574</v>
      </c>
      <c r="AR26" s="10">
        <f ca="1">0.455/(LOG10(MIN(AQ26,'Aerodynamics-Constants'!AG26)))^2.58</f>
        <v>6.7171026882719394E-3</v>
      </c>
      <c r="AS26" s="15">
        <f ca="1">AR26*'Aerodynamics-Constants'!AI26*'Aerodynamics-Constants'!AJ26*'Aerodynamics-Constants'!AE26/P26</f>
        <v>1.8684406826929845E-2</v>
      </c>
      <c r="AT26" s="10">
        <f t="shared" ca="1" si="14"/>
        <v>1.1153201384007671E-2</v>
      </c>
      <c r="AU26" s="10">
        <f t="shared" ca="1" si="15"/>
        <v>2.9837608210937516E-2</v>
      </c>
      <c r="AV26" s="12">
        <f t="shared" si="16"/>
        <v>0.95294736842105265</v>
      </c>
      <c r="AW26" s="12">
        <f t="shared" si="17"/>
        <v>4.9375897492543785E-2</v>
      </c>
      <c r="AX26" s="81">
        <f ca="1">B26*H26*'Aerodynamics-Constants'!AK26/C26</f>
        <v>73088.193302946573</v>
      </c>
      <c r="AY26" s="10">
        <f ca="1">0.455/(LOG10(MIN(AX26,'Aerodynamics-Constants'!AQ26)))^2.58</f>
        <v>7.6842801434865802E-3</v>
      </c>
      <c r="AZ26" s="15">
        <f ca="1">AY26*'Aerodynamics-Constants'!AS26*'Aerodynamics-Constants'!AT26*'Aerodynamics-Constants'!AO26/S26</f>
        <v>2.1374724049356308E-2</v>
      </c>
      <c r="BA26" s="81">
        <f ca="1">B26*H26*'Aerodynamics-Constants'!N26/C26</f>
        <v>2803794.8545939983</v>
      </c>
      <c r="BB26" s="10">
        <f ca="1">0.455/(LOG10(MIN(BA26,'Aerodynamics-Constants'!V26)))^2.58</f>
        <v>3.7131194493080417E-3</v>
      </c>
      <c r="BC26" s="10">
        <f ca="1">BB26*'Aerodynamics-Constants'!W26*'Aerodynamics-Constants'!X26*'Aerodynamics-Constants'!S26/N26+'Aerodynamics-Constants'!Z26</f>
        <v>2.8235921367814262E-3</v>
      </c>
      <c r="BD26" s="15">
        <f ca="1">BC26*'Aerodynamics-Constants'!AU26+(AJ26+AS26+AZ26)*('Aerodynamics-Constants'!AU26-1)</f>
        <v>8.221917766891667E-3</v>
      </c>
      <c r="BE26" s="16">
        <f t="shared" ca="1" si="18"/>
        <v>0.87863812429390886</v>
      </c>
      <c r="BF26" s="10">
        <f t="shared" ca="1" si="19"/>
        <v>2.097950116737865E-2</v>
      </c>
      <c r="BG26" s="10">
        <f t="shared" ca="1" si="20"/>
        <v>3.8502742052010187E-2</v>
      </c>
      <c r="BH26" s="10">
        <f t="shared" ca="1" si="21"/>
        <v>5.9482243219388845E-2</v>
      </c>
      <c r="BI26" s="13">
        <f t="shared" ca="1" si="22"/>
        <v>129.96953292093062</v>
      </c>
      <c r="BJ26" s="13">
        <f t="shared" ca="1" si="23"/>
        <v>8.7987069472154413</v>
      </c>
      <c r="BK26" s="13">
        <f t="shared" ca="1" si="24"/>
        <v>14.771435587141875</v>
      </c>
      <c r="BL26" s="14">
        <f t="shared" ca="1" si="25"/>
        <v>234.45722510286149</v>
      </c>
      <c r="BM26" s="1">
        <f ca="1">MIN(Main!H26,MAX(0.1,W26+0.05*(E26/BI26-1)*W26))</f>
        <v>0.89999999999676106</v>
      </c>
      <c r="BO26" s="16">
        <f ca="1">'Airfoil-Speed'!J26</f>
        <v>4.9560657919813691</v>
      </c>
      <c r="BP26" s="1">
        <f ca="1">BO26/(1+BO26/(PI()*'Aerodynamics-Constants'!I26)*(1+AB26))</f>
        <v>4.0244429212758162</v>
      </c>
      <c r="BR26" s="12">
        <v>6</v>
      </c>
      <c r="BS26" s="1">
        <f t="shared" si="26"/>
        <v>3.5549530075966391</v>
      </c>
      <c r="BT26" s="1">
        <f>Stability!W26</f>
        <v>2.5137313784710957</v>
      </c>
      <c r="BV26" s="12">
        <v>6</v>
      </c>
      <c r="BW26" s="1">
        <f t="shared" si="27"/>
        <v>3.5187158511365184</v>
      </c>
      <c r="BX26" s="1">
        <f>Stability!Y26</f>
        <v>2.4881078394072267</v>
      </c>
    </row>
    <row r="27" spans="2:76">
      <c r="B27" s="16">
        <f>Cruise!F27</f>
        <v>0.65969672852566186</v>
      </c>
      <c r="C27" s="74">
        <f>'Airfoil-Speed'!E27</f>
        <v>1.5987591530356481E-5</v>
      </c>
      <c r="E27" s="19">
        <f ca="1">Cruise!H27</f>
        <v>131.61371211476811</v>
      </c>
      <c r="F27" s="63">
        <f>Weight!G27</f>
        <v>0.3</v>
      </c>
      <c r="H27" s="20">
        <f ca="1">'Propulsion-Speed'!E27</f>
        <v>26.272229755744029</v>
      </c>
      <c r="I27" s="20">
        <f t="shared" ca="1" si="0"/>
        <v>20.628708852181074</v>
      </c>
      <c r="J27" s="20">
        <f t="shared" ca="1" si="1"/>
        <v>1.2735760606251547</v>
      </c>
      <c r="L27" s="31">
        <f>Main!B27</f>
        <v>0.33333333333333326</v>
      </c>
      <c r="M27" s="31">
        <f>Main!C27</f>
        <v>1.9736842105263159</v>
      </c>
      <c r="N27" s="1">
        <f t="shared" si="2"/>
        <v>0.6578947368421052</v>
      </c>
      <c r="O27" s="1">
        <f t="shared" si="3"/>
        <v>5.9210526315789487</v>
      </c>
      <c r="P27" s="16">
        <f ca="1">'Aerodynamics-Constants'!AC27</f>
        <v>4.2781781196446295E-2</v>
      </c>
      <c r="Q27" s="16">
        <f>'Aerodynamics-Constants'!AD27</f>
        <v>2.9605263157894743</v>
      </c>
      <c r="R27" s="63">
        <f>Stability!G27</f>
        <v>5.6500000000000012</v>
      </c>
      <c r="S27" s="16">
        <f ca="1">'Aerodynamics-Constants'!AM27</f>
        <v>1.3327858239092206E-2</v>
      </c>
      <c r="T27" s="16">
        <f>'Aerodynamics-Constants'!AN27</f>
        <v>2.9605263157894743</v>
      </c>
      <c r="V27" s="81">
        <f t="shared" ca="1" si="4"/>
        <v>361357.41038146702</v>
      </c>
      <c r="W27" s="49">
        <f ca="1">IF(ISERROR(BM27),Main!H27,BM27)</f>
        <v>0.89999999999649827</v>
      </c>
      <c r="X27" s="42">
        <f ca="1">'Airfoil-Speed'!V27</f>
        <v>1.1110331491684274E-2</v>
      </c>
      <c r="Y27" s="14">
        <f t="shared" ca="1" si="5"/>
        <v>81.005683824116261</v>
      </c>
      <c r="Z27" s="16">
        <f ca="1">'Airfoil-Speed'!AF27</f>
        <v>-0.15499999999999886</v>
      </c>
      <c r="AA27" s="31">
        <f>Main!I27</f>
        <v>1.1915497685716252</v>
      </c>
      <c r="AB27" s="12">
        <f t="shared" si="6"/>
        <v>-0.16075683418683062</v>
      </c>
      <c r="AC27" s="30">
        <f t="shared" ca="1" si="7"/>
        <v>2.3245913831162897</v>
      </c>
      <c r="AD27" s="13">
        <f t="shared" ca="1" si="8"/>
        <v>2.3245913831163505</v>
      </c>
      <c r="AE27" s="13">
        <f ca="1">DEGREES(AF27/BP27)+'Airfoil-Speed'!K27</f>
        <v>3.3063691682932213</v>
      </c>
      <c r="AF27" s="1">
        <f t="shared" ca="1" si="9"/>
        <v>0.8992593706402412</v>
      </c>
      <c r="AG27" s="16">
        <f ca="1">0.9*'Airfoil-Speed'!I27</f>
        <v>1.425234408948711</v>
      </c>
      <c r="AH27" s="42">
        <f ca="1">0.455/(LOG10(MIN(V27,'Aerodynamics-Constants'!L27)))^2.58</f>
        <v>5.4467101530754599E-3</v>
      </c>
      <c r="AI27" s="42">
        <f ca="1">+AH27*'Aerodynamics-Constants'!J27*'Aerodynamics-Constants'!M27</f>
        <v>0</v>
      </c>
      <c r="AJ27" s="10">
        <f ca="1">X27*COS(RADIANS(AC27))*'Aerodynamics-Constants'!M27+AI27</f>
        <v>1.1101188560950362E-2</v>
      </c>
      <c r="AK27" s="10">
        <f ca="1">AF27^2/(PI()*'Aerodynamics-Constants'!I27*AA27)</f>
        <v>3.6484547412425634E-2</v>
      </c>
      <c r="AL27" s="10">
        <f t="shared" ca="1" si="10"/>
        <v>4.7585735973375995E-2</v>
      </c>
      <c r="AM27" s="1">
        <f t="shared" ca="1" si="11"/>
        <v>-0.15499999999999886</v>
      </c>
      <c r="AN27" s="1">
        <f t="shared" ca="1" si="12"/>
        <v>-0.31628794058671922</v>
      </c>
      <c r="AO27" s="12">
        <f t="shared" si="28"/>
        <v>0.972442687624126</v>
      </c>
      <c r="AP27" s="12">
        <f t="shared" si="13"/>
        <v>2.8338238054113063E-2</v>
      </c>
      <c r="AQ27" s="81">
        <f ca="1">B27*H27*'Aerodynamics-Constants'!AA27/C27</f>
        <v>130317.63450760458</v>
      </c>
      <c r="AR27" s="10">
        <f ca="1">0.455/(LOG10(MIN(AQ27,'Aerodynamics-Constants'!AG27)))^2.58</f>
        <v>6.7482156404920649E-3</v>
      </c>
      <c r="AS27" s="15">
        <f ca="1">AR27*'Aerodynamics-Constants'!AI27*'Aerodynamics-Constants'!AJ27*'Aerodynamics-Constants'!AE27/P27</f>
        <v>1.8770951142812145E-2</v>
      </c>
      <c r="AT27" s="10">
        <f t="shared" ca="1" si="14"/>
        <v>1.1060695934544689E-2</v>
      </c>
      <c r="AU27" s="10">
        <f t="shared" ca="1" si="15"/>
        <v>2.9831647077356832E-2</v>
      </c>
      <c r="AV27" s="12">
        <f t="shared" si="16"/>
        <v>0.95223684210526327</v>
      </c>
      <c r="AW27" s="12">
        <f t="shared" si="17"/>
        <v>5.0158905623877148E-2</v>
      </c>
      <c r="AX27" s="81">
        <f ca="1">B27*H27*'Aerodynamics-Constants'!AK27/C27</f>
        <v>72736.757918819509</v>
      </c>
      <c r="AY27" s="10">
        <f ca="1">0.455/(LOG10(MIN(AX27,'Aerodynamics-Constants'!AQ27)))^2.58</f>
        <v>7.6928191319052854E-3</v>
      </c>
      <c r="AZ27" s="15">
        <f ca="1">AY27*'Aerodynamics-Constants'!AS27*'Aerodynamics-Constants'!AT27*'Aerodynamics-Constants'!AO27/S27</f>
        <v>2.1398476244448413E-2</v>
      </c>
      <c r="BA27" s="81">
        <f ca="1">B27*H27*'Aerodynamics-Constants'!N27/C27</f>
        <v>2764384.1894182228</v>
      </c>
      <c r="BB27" s="10">
        <f ca="1">0.455/(LOG10(MIN(BA27,'Aerodynamics-Constants'!V27)))^2.58</f>
        <v>3.7222693103165314E-3</v>
      </c>
      <c r="BC27" s="10">
        <f ca="1">BB27*'Aerodynamics-Constants'!W27*'Aerodynamics-Constants'!X27*'Aerodynamics-Constants'!S27/N27+'Aerodynamics-Constants'!Z27</f>
        <v>2.7173222522983652E-3</v>
      </c>
      <c r="BD27" s="15">
        <f ca="1">BC27*'Aerodynamics-Constants'!AU27+(AJ27+AS27+AZ27)*('Aerodynamics-Constants'!AU27-1)</f>
        <v>8.116116072349298E-3</v>
      </c>
      <c r="BE27" s="16">
        <f t="shared" ca="1" si="18"/>
        <v>0.8786917012069726</v>
      </c>
      <c r="BF27" s="10">
        <f t="shared" ca="1" si="19"/>
        <v>2.0871445518790197E-2</v>
      </c>
      <c r="BG27" s="10">
        <f t="shared" ca="1" si="20"/>
        <v>3.720380574792085E-2</v>
      </c>
      <c r="BH27" s="10">
        <f t="shared" ca="1" si="21"/>
        <v>5.8075251266711043E-2</v>
      </c>
      <c r="BI27" s="13">
        <f t="shared" ca="1" si="22"/>
        <v>131.61371211469944</v>
      </c>
      <c r="BJ27" s="13">
        <f t="shared" ca="1" si="23"/>
        <v>8.6987271994336766</v>
      </c>
      <c r="BK27" s="13">
        <f t="shared" ca="1" si="24"/>
        <v>15.130226422466501</v>
      </c>
      <c r="BL27" s="14">
        <f t="shared" ca="1" si="25"/>
        <v>228.53495956606136</v>
      </c>
      <c r="BM27" s="1">
        <f ca="1">MIN(Main!H27,MAX(0.1,W27+0.05*(E27/BI27-1)*W27))</f>
        <v>0.8999999999965218</v>
      </c>
      <c r="BO27" s="16">
        <f ca="1">'Airfoil-Speed'!J27</f>
        <v>4.9797192224490132</v>
      </c>
      <c r="BP27" s="1">
        <f ca="1">BO27/(1+BO27/(PI()*'Aerodynamics-Constants'!I27)*(1+AB27))</f>
        <v>4.0661743717030738</v>
      </c>
      <c r="BR27" s="12">
        <v>6</v>
      </c>
      <c r="BS27" s="1">
        <f t="shared" si="26"/>
        <v>3.6070931443035468</v>
      </c>
      <c r="BT27" s="1">
        <f>Stability!W27</f>
        <v>2.5506000227085441</v>
      </c>
      <c r="BV27" s="12">
        <v>6</v>
      </c>
      <c r="BW27" s="1">
        <f t="shared" si="27"/>
        <v>3.5768237222582537</v>
      </c>
      <c r="BX27" s="1">
        <f>Stability!Y27</f>
        <v>2.5291963091177196</v>
      </c>
    </row>
    <row r="28" spans="2:76">
      <c r="B28" s="16">
        <f>Cruise!F28</f>
        <v>0.65969672852566186</v>
      </c>
      <c r="C28" s="74">
        <f>'Airfoil-Speed'!E28</f>
        <v>1.5987591530356481E-5</v>
      </c>
      <c r="E28" s="19">
        <f ca="1">Cruise!H28</f>
        <v>132.52501256992099</v>
      </c>
      <c r="F28" s="63">
        <f>Weight!G28</f>
        <v>0.3</v>
      </c>
      <c r="H28" s="20">
        <f ca="1">'Propulsion-Speed'!E28</f>
        <v>25.850372383044267</v>
      </c>
      <c r="I28" s="20">
        <f t="shared" ca="1" si="0"/>
        <v>20.30030667291879</v>
      </c>
      <c r="J28" s="20">
        <f t="shared" ca="1" si="1"/>
        <v>1.2733981214938703</v>
      </c>
      <c r="L28" s="31">
        <f>Main!B28</f>
        <v>0.33333333333333326</v>
      </c>
      <c r="M28" s="31">
        <f>Main!C28</f>
        <v>2.0526315789473686</v>
      </c>
      <c r="N28" s="1">
        <f t="shared" si="2"/>
        <v>0.68421052631578938</v>
      </c>
      <c r="O28" s="1">
        <f t="shared" si="3"/>
        <v>6.1578947368421071</v>
      </c>
      <c r="P28" s="16">
        <f ca="1">'Aerodynamics-Constants'!AC28</f>
        <v>4.394550651802915E-2</v>
      </c>
      <c r="Q28" s="16">
        <f>'Aerodynamics-Constants'!AD28</f>
        <v>3.0789473684210535</v>
      </c>
      <c r="R28" s="63">
        <f>Stability!G28</f>
        <v>5.6500000000000012</v>
      </c>
      <c r="S28" s="16">
        <f ca="1">'Aerodynamics-Constants'!AM28</f>
        <v>1.4126195587998653E-2</v>
      </c>
      <c r="T28" s="16">
        <f>'Aerodynamics-Constants'!AN28</f>
        <v>3.0789473684210535</v>
      </c>
      <c r="V28" s="81">
        <f t="shared" ca="1" si="4"/>
        <v>355555.03695650923</v>
      </c>
      <c r="W28" s="49">
        <f ca="1">IF(ISERROR(BM28),Main!H28,BM28)</f>
        <v>0.89999999998517588</v>
      </c>
      <c r="X28" s="42">
        <f ca="1">'Airfoil-Speed'!V28</f>
        <v>1.1110331491591977E-2</v>
      </c>
      <c r="Y28" s="14">
        <f t="shared" ca="1" si="5"/>
        <v>81.005683823770113</v>
      </c>
      <c r="Z28" s="16">
        <f ca="1">'Airfoil-Speed'!AF28</f>
        <v>-0.15499999999999889</v>
      </c>
      <c r="AA28" s="31">
        <f>Main!I28</f>
        <v>1.1842938502019895</v>
      </c>
      <c r="AB28" s="12">
        <f t="shared" si="6"/>
        <v>-0.15561496850680845</v>
      </c>
      <c r="AC28" s="30">
        <f t="shared" ca="1" si="7"/>
        <v>2.2489970121595162</v>
      </c>
      <c r="AD28" s="13">
        <f t="shared" ca="1" si="8"/>
        <v>2.2489970121598222</v>
      </c>
      <c r="AE28" s="13">
        <f ca="1">DEGREES(AF28/BP28)+'Airfoil-Speed'!K28</f>
        <v>3.2759688628779831</v>
      </c>
      <c r="AF28" s="1">
        <f t="shared" ca="1" si="9"/>
        <v>0.89930675099836643</v>
      </c>
      <c r="AG28" s="16">
        <f ca="1">0.9*'Airfoil-Speed'!I28</f>
        <v>1.4249137275806147</v>
      </c>
      <c r="AH28" s="42">
        <f ca="1">0.455/(LOG10(MIN(V28,'Aerodynamics-Constants'!L28)))^2.58</f>
        <v>5.4645252334998432E-3</v>
      </c>
      <c r="AI28" s="42">
        <f ca="1">+AH28*'Aerodynamics-Constants'!J28*'Aerodynamics-Constants'!M28</f>
        <v>0</v>
      </c>
      <c r="AJ28" s="10">
        <f ca="1">X28*COS(RADIANS(AC28))*'Aerodynamics-Constants'!M28+AI28</f>
        <v>1.1101773462647764E-2</v>
      </c>
      <c r="AK28" s="10">
        <f ca="1">AF28^2/(PI()*'Aerodynamics-Constants'!I28*AA28)</f>
        <v>3.5299950767729377E-2</v>
      </c>
      <c r="AL28" s="10">
        <f t="shared" ca="1" si="10"/>
        <v>4.6401724230377139E-2</v>
      </c>
      <c r="AM28" s="1">
        <f t="shared" ca="1" si="11"/>
        <v>-0.15499999999999889</v>
      </c>
      <c r="AN28" s="1">
        <f t="shared" ca="1" si="12"/>
        <v>-0.32022188546134178</v>
      </c>
      <c r="AO28" s="12">
        <f t="shared" si="28"/>
        <v>0.96791379534354982</v>
      </c>
      <c r="AP28" s="12">
        <f t="shared" si="13"/>
        <v>3.3149857777428959E-2</v>
      </c>
      <c r="AQ28" s="81">
        <f ca="1">B28*H28*'Aerodynamics-Constants'!AA28/C28</f>
        <v>127433.6712308498</v>
      </c>
      <c r="AR28" s="10">
        <f ca="1">0.455/(LOG10(MIN(AQ28,'Aerodynamics-Constants'!AG28)))^2.58</f>
        <v>6.781409894850792E-3</v>
      </c>
      <c r="AS28" s="15">
        <f ca="1">AR28*'Aerodynamics-Constants'!AI28*'Aerodynamics-Constants'!AJ28*'Aerodynamics-Constants'!AE28/P28</f>
        <v>1.8863284844042875E-2</v>
      </c>
      <c r="AT28" s="10">
        <f t="shared" ca="1" si="14"/>
        <v>1.0952498517140929E-2</v>
      </c>
      <c r="AU28" s="10">
        <f t="shared" ca="1" si="15"/>
        <v>2.9815783361183804E-2</v>
      </c>
      <c r="AV28" s="12">
        <f t="shared" si="16"/>
        <v>0.95152631578947378</v>
      </c>
      <c r="AW28" s="12">
        <f t="shared" si="17"/>
        <v>5.0943083135128964E-2</v>
      </c>
      <c r="AX28" s="81">
        <f ca="1">B28*H28*'Aerodynamics-Constants'!AK28/C28</f>
        <v>72250.285096445048</v>
      </c>
      <c r="AY28" s="10">
        <f ca="1">0.455/(LOG10(MIN(AX28,'Aerodynamics-Constants'!AQ28)))^2.58</f>
        <v>7.7047294609636488E-3</v>
      </c>
      <c r="AZ28" s="15">
        <f ca="1">AY28*'Aerodynamics-Constants'!AS28*'Aerodynamics-Constants'!AT28*'Aerodynamics-Constants'!AO28/S28</f>
        <v>2.1431606217875435E-2</v>
      </c>
      <c r="BA28" s="81">
        <f ca="1">B28*H28*'Aerodynamics-Constants'!N28/C28</f>
        <v>2719996.0327172959</v>
      </c>
      <c r="BB28" s="10">
        <f ca="1">0.455/(LOG10(MIN(BA28,'Aerodynamics-Constants'!V28)))^2.58</f>
        <v>3.7327706859806718E-3</v>
      </c>
      <c r="BC28" s="10">
        <f ca="1">BB28*'Aerodynamics-Constants'!W28*'Aerodynamics-Constants'!X28*'Aerodynamics-Constants'!S28/N28+'Aerodynamics-Constants'!Z28</f>
        <v>2.6201748386329732E-3</v>
      </c>
      <c r="BD28" s="15">
        <f ca="1">BC28*'Aerodynamics-Constants'!AU28+(AJ28+AS28+AZ28)*('Aerodynamics-Constants'!AU28-1)</f>
        <v>8.0218587749528829E-3</v>
      </c>
      <c r="BE28" s="16">
        <f t="shared" ca="1" si="18"/>
        <v>0.87873952437218317</v>
      </c>
      <c r="BF28" s="10">
        <f t="shared" ca="1" si="19"/>
        <v>2.0777660675832654E-2</v>
      </c>
      <c r="BG28" s="10">
        <f t="shared" ca="1" si="20"/>
        <v>3.6003408368075585E-2</v>
      </c>
      <c r="BH28" s="10">
        <f t="shared" ca="1" si="21"/>
        <v>5.6781069043908228E-2</v>
      </c>
      <c r="BI28" s="13">
        <f t="shared" ca="1" si="22"/>
        <v>132.52501256956276</v>
      </c>
      <c r="BJ28" s="13">
        <f t="shared" ca="1" si="23"/>
        <v>8.5633019570086297</v>
      </c>
      <c r="BK28" s="13">
        <f t="shared" ca="1" si="24"/>
        <v>15.475924267869328</v>
      </c>
      <c r="BL28" s="14">
        <f t="shared" ca="1" si="25"/>
        <v>221.36454441712479</v>
      </c>
      <c r="BM28" s="1">
        <f ca="1">MIN(Main!H28,MAX(0.1,W28+0.05*(E28/BI28-1)*W28))</f>
        <v>0.89999999998529756</v>
      </c>
      <c r="BO28" s="16">
        <f ca="1">'Airfoil-Speed'!J28</f>
        <v>5.0069056188265115</v>
      </c>
      <c r="BP28" s="1">
        <f ca="1">BO28/(1+BO28/(PI()*'Aerodynamics-Constants'!I28)*(1+AB28))</f>
        <v>4.108943583352584</v>
      </c>
      <c r="BR28" s="12">
        <v>6</v>
      </c>
      <c r="BS28" s="1">
        <f t="shared" si="26"/>
        <v>3.6566214992242547</v>
      </c>
      <c r="BT28" s="1">
        <f>Stability!W28</f>
        <v>2.5856218583339907</v>
      </c>
      <c r="BV28" s="12">
        <v>6</v>
      </c>
      <c r="BW28" s="1">
        <f t="shared" si="27"/>
        <v>3.632189944665718</v>
      </c>
      <c r="BX28" s="1">
        <f>Stability!Y28</f>
        <v>2.5683461404307204</v>
      </c>
    </row>
    <row r="29" spans="2:76">
      <c r="B29" s="16">
        <f>Cruise!F29</f>
        <v>0.65969672852566186</v>
      </c>
      <c r="C29" s="74">
        <f>'Airfoil-Speed'!E29</f>
        <v>1.5987591530356481E-5</v>
      </c>
      <c r="E29" s="19">
        <f ca="1">Cruise!H29</f>
        <v>132.22241873736857</v>
      </c>
      <c r="F29" s="63">
        <f>Weight!G29</f>
        <v>0.3</v>
      </c>
      <c r="H29" s="20">
        <f ca="1">'Propulsion-Speed'!E29</f>
        <v>25.337550160906257</v>
      </c>
      <c r="I29" s="20">
        <f t="shared" ca="1" si="0"/>
        <v>19.900844140939896</v>
      </c>
      <c r="J29" s="20">
        <f t="shared" ca="1" si="1"/>
        <v>1.2731897190623187</v>
      </c>
      <c r="L29" s="31">
        <f>Main!B29</f>
        <v>0.33333333333333326</v>
      </c>
      <c r="M29" s="31">
        <f>Main!C29</f>
        <v>2.1315789473684212</v>
      </c>
      <c r="N29" s="1">
        <f t="shared" si="2"/>
        <v>0.71052631578947356</v>
      </c>
      <c r="O29" s="1">
        <f t="shared" si="3"/>
        <v>6.3947368421052664</v>
      </c>
      <c r="P29" s="16">
        <f ca="1">'Aerodynamics-Constants'!AC29</f>
        <v>4.5163073631874995E-2</v>
      </c>
      <c r="Q29" s="16">
        <f>'Aerodynamics-Constants'!AD29</f>
        <v>3.1973684210526327</v>
      </c>
      <c r="R29" s="63">
        <f>Stability!G29</f>
        <v>5.6500000000000012</v>
      </c>
      <c r="S29" s="16">
        <f ca="1">'Aerodynamics-Constants'!AM29</f>
        <v>1.4952796880420957E-2</v>
      </c>
      <c r="T29" s="16">
        <f>'Aerodynamics-Constants'!AN29</f>
        <v>3.1973684210526327</v>
      </c>
      <c r="V29" s="81">
        <f t="shared" ca="1" si="4"/>
        <v>348501.50126879907</v>
      </c>
      <c r="W29" s="49">
        <f ca="1">IF(ISERROR(BM29),Main!H29,BM29)</f>
        <v>0.89999999998480085</v>
      </c>
      <c r="X29" s="42">
        <f ca="1">'Airfoil-Speed'!V29</f>
        <v>1.1110331491588972E-2</v>
      </c>
      <c r="Y29" s="14">
        <f t="shared" ca="1" si="5"/>
        <v>81.005683823758261</v>
      </c>
      <c r="Z29" s="16">
        <f ca="1">'Airfoil-Speed'!AF29</f>
        <v>-0.15499999999999892</v>
      </c>
      <c r="AA29" s="31">
        <f>Main!I29</f>
        <v>1.1771267133748404</v>
      </c>
      <c r="AB29" s="12">
        <f t="shared" si="6"/>
        <v>-0.15047378617975238</v>
      </c>
      <c r="AC29" s="30">
        <f t="shared" ca="1" si="7"/>
        <v>2.1789899935941106</v>
      </c>
      <c r="AD29" s="13">
        <f t="shared" ca="1" si="8"/>
        <v>2.1789899935944077</v>
      </c>
      <c r="AE29" s="13">
        <f ca="1">DEGREES(AF29/BP29)+'Airfoil-Speed'!K29</f>
        <v>3.2606329122326336</v>
      </c>
      <c r="AF29" s="1">
        <f t="shared" ca="1" si="9"/>
        <v>0.89934923320374005</v>
      </c>
      <c r="AG29" s="16">
        <f ca="1">0.9*'Airfoil-Speed'!I29</f>
        <v>1.424516875005325</v>
      </c>
      <c r="AH29" s="42">
        <f ca="1">0.455/(LOG10(MIN(V29,'Aerodynamics-Constants'!L29)))^2.58</f>
        <v>5.486689649590498E-3</v>
      </c>
      <c r="AI29" s="42">
        <f ca="1">+AH29*'Aerodynamics-Constants'!J29*'Aerodynamics-Constants'!M29</f>
        <v>0</v>
      </c>
      <c r="AJ29" s="10">
        <f ca="1">X29*COS(RADIANS(AC29))*'Aerodynamics-Constants'!M29+AI29</f>
        <v>1.1102297897520725E-2</v>
      </c>
      <c r="AK29" s="10">
        <f ca="1">AF29^2/(PI()*'Aerodynamics-Constants'!I29*AA29)</f>
        <v>3.4202745761584434E-2</v>
      </c>
      <c r="AL29" s="10">
        <f t="shared" ca="1" si="10"/>
        <v>4.5305043659105163E-2</v>
      </c>
      <c r="AM29" s="1">
        <f t="shared" ca="1" si="11"/>
        <v>-0.15499999999999892</v>
      </c>
      <c r="AN29" s="1">
        <f t="shared" ca="1" si="12"/>
        <v>-0.32356685418689141</v>
      </c>
      <c r="AO29" s="12">
        <f t="shared" si="28"/>
        <v>0.96344031741880587</v>
      </c>
      <c r="AP29" s="12">
        <f t="shared" si="13"/>
        <v>3.7947013343953451E-2</v>
      </c>
      <c r="AQ29" s="81">
        <f ca="1">B29*H29*'Aerodynamics-Constants'!AA29/C29</f>
        <v>124257.12837890215</v>
      </c>
      <c r="AR29" s="10">
        <f ca="1">0.455/(LOG10(MIN(AQ29,'Aerodynamics-Constants'!AG29)))^2.58</f>
        <v>6.8191250693803544E-3</v>
      </c>
      <c r="AS29" s="15">
        <f ca="1">AR29*'Aerodynamics-Constants'!AI29*'Aerodynamics-Constants'!AJ29*'Aerodynamics-Constants'!AE29/P29</f>
        <v>1.8968194013540818E-2</v>
      </c>
      <c r="AT29" s="10">
        <f t="shared" ca="1" si="14"/>
        <v>1.0818341404301463E-2</v>
      </c>
      <c r="AU29" s="10">
        <f t="shared" ca="1" si="15"/>
        <v>2.9786535417842281E-2</v>
      </c>
      <c r="AV29" s="12">
        <f t="shared" si="16"/>
        <v>0.95081578947368428</v>
      </c>
      <c r="AW29" s="12">
        <f t="shared" si="17"/>
        <v>5.1728432647864642E-2</v>
      </c>
      <c r="AX29" s="81">
        <f ca="1">B29*H29*'Aerodynamics-Constants'!AK29/C29</f>
        <v>71497.48812495204</v>
      </c>
      <c r="AY29" s="10">
        <f ca="1">0.455/(LOG10(MIN(AX29,'Aerodynamics-Constants'!AQ29)))^2.58</f>
        <v>7.723370399106584E-3</v>
      </c>
      <c r="AZ29" s="15">
        <f ca="1">AY29*'Aerodynamics-Constants'!AS29*'Aerodynamics-Constants'!AT29*'Aerodynamics-Constants'!AO29/S29</f>
        <v>2.1483458167750547E-2</v>
      </c>
      <c r="BA29" s="81">
        <f ca="1">B29*H29*'Aerodynamics-Constants'!N29/C29</f>
        <v>2666036.4847063133</v>
      </c>
      <c r="BB29" s="10">
        <f ca="1">0.455/(LOG10(MIN(BA29,'Aerodynamics-Constants'!V29)))^2.58</f>
        <v>3.7458267424378346E-3</v>
      </c>
      <c r="BC29" s="10">
        <f ca="1">BB29*'Aerodynamics-Constants'!W29*'Aerodynamics-Constants'!X29*'Aerodynamics-Constants'!S29/N29+'Aerodynamics-Constants'!Z29</f>
        <v>2.5319488575717571E-3</v>
      </c>
      <c r="BD29" s="15">
        <f ca="1">BC29*'Aerodynamics-Constants'!AU29+(AJ29+AS29+AZ29)*('Aerodynamics-Constants'!AU29-1)</f>
        <v>7.9405387512101466E-3</v>
      </c>
      <c r="BE29" s="16">
        <f t="shared" ca="1" si="18"/>
        <v>0.87878240360751347</v>
      </c>
      <c r="BF29" s="10">
        <f t="shared" ca="1" si="19"/>
        <v>2.0700621452745979E-2</v>
      </c>
      <c r="BG29" s="10">
        <f t="shared" ca="1" si="20"/>
        <v>3.4890390312616093E-2</v>
      </c>
      <c r="BH29" s="10">
        <f t="shared" ca="1" si="21"/>
        <v>5.5591011765362075E-2</v>
      </c>
      <c r="BI29" s="13">
        <f t="shared" ca="1" si="22"/>
        <v>132.22241873701131</v>
      </c>
      <c r="BJ29" s="13">
        <f t="shared" ca="1" si="23"/>
        <v>8.3642753945454427</v>
      </c>
      <c r="BK29" s="13">
        <f t="shared" ca="1" si="24"/>
        <v>15.80799441673536</v>
      </c>
      <c r="BL29" s="14">
        <f t="shared" ca="1" si="25"/>
        <v>211.93024736892914</v>
      </c>
      <c r="BM29" s="1">
        <f ca="1">MIN(Main!H29,MAX(0.1,W29+0.05*(E29/BI29-1)*W29))</f>
        <v>0.89999999998492242</v>
      </c>
      <c r="BO29" s="16">
        <f ca="1">'Airfoil-Speed'!J29</f>
        <v>5.0407637121047939</v>
      </c>
      <c r="BP29" s="1">
        <f ca="1">BO29/(1+BO29/(PI()*'Aerodynamics-Constants'!I29)*(1+AB29))</f>
        <v>4.1550778031305242</v>
      </c>
      <c r="BR29" s="12">
        <v>6</v>
      </c>
      <c r="BS29" s="1">
        <f t="shared" si="26"/>
        <v>3.7037291927749938</v>
      </c>
      <c r="BT29" s="1">
        <f>Stability!W29</f>
        <v>2.6189320278897759</v>
      </c>
      <c r="BV29" s="12">
        <v>6</v>
      </c>
      <c r="BW29" s="1">
        <f t="shared" si="27"/>
        <v>3.6850039020501306</v>
      </c>
      <c r="BX29" s="1">
        <f>Stability!Y29</f>
        <v>2.6056912478385357</v>
      </c>
    </row>
    <row r="30" spans="2:76">
      <c r="B30" s="16">
        <f>Cruise!F30</f>
        <v>0.65969672852566186</v>
      </c>
      <c r="C30" s="74">
        <f>'Airfoil-Speed'!E30</f>
        <v>1.5987591530356481E-5</v>
      </c>
      <c r="E30" s="19">
        <f ca="1">Cruise!H30</f>
        <v>131.99460630649114</v>
      </c>
      <c r="F30" s="63">
        <f>Weight!G30</f>
        <v>0.3</v>
      </c>
      <c r="H30" s="20">
        <f ca="1">'Propulsion-Speed'!E30</f>
        <v>24.858990723467461</v>
      </c>
      <c r="I30" s="20">
        <f t="shared" ca="1" si="0"/>
        <v>19.527986586147048</v>
      </c>
      <c r="J30" s="20">
        <f t="shared" ca="1" si="1"/>
        <v>1.2729930253589057</v>
      </c>
      <c r="L30" s="31">
        <f>Main!B30</f>
        <v>0.33333333333333326</v>
      </c>
      <c r="M30" s="31">
        <f>Main!C30</f>
        <v>2.2105263157894739</v>
      </c>
      <c r="N30" s="1">
        <f t="shared" si="2"/>
        <v>0.73684210526315785</v>
      </c>
      <c r="O30" s="1">
        <f t="shared" si="3"/>
        <v>6.631578947368423</v>
      </c>
      <c r="P30" s="16">
        <f ca="1">'Aerodynamics-Constants'!AC30</f>
        <v>4.6377372192058779E-2</v>
      </c>
      <c r="Q30" s="16">
        <f>'Aerodynamics-Constants'!AD30</f>
        <v>3.3157894736842115</v>
      </c>
      <c r="R30" s="63">
        <f>Stability!G30</f>
        <v>5.6500000000000012</v>
      </c>
      <c r="S30" s="16">
        <f ca="1">'Aerodynamics-Constants'!AM30</f>
        <v>1.5807427641918392E-2</v>
      </c>
      <c r="T30" s="16">
        <f>'Aerodynamics-Constants'!AN30</f>
        <v>3.3157894736842115</v>
      </c>
      <c r="V30" s="81">
        <f t="shared" ca="1" si="4"/>
        <v>341919.22787083266</v>
      </c>
      <c r="W30" s="49">
        <f ca="1">IF(ISERROR(BM30),Main!H30,BM30)</f>
        <v>0.8999999999844428</v>
      </c>
      <c r="X30" s="42">
        <f ca="1">'Airfoil-Speed'!V30</f>
        <v>1.1110331491586104E-2</v>
      </c>
      <c r="Y30" s="14">
        <f t="shared" ca="1" si="5"/>
        <v>81.005683823746949</v>
      </c>
      <c r="Z30" s="16">
        <f ca="1">'Airfoil-Speed'!AF30</f>
        <v>-0.15499999999999892</v>
      </c>
      <c r="AA30" s="31">
        <f>Main!I30</f>
        <v>1.1700440412790545</v>
      </c>
      <c r="AB30" s="12">
        <f t="shared" si="6"/>
        <v>-0.14533131683929423</v>
      </c>
      <c r="AC30" s="30">
        <f t="shared" ca="1" si="7"/>
        <v>2.1139779104790466</v>
      </c>
      <c r="AD30" s="13">
        <f t="shared" ca="1" si="8"/>
        <v>2.1139779104793344</v>
      </c>
      <c r="AE30" s="13">
        <f ca="1">DEGREES(AF30/BP30)+'Airfoil-Speed'!K30</f>
        <v>3.2465227225787814</v>
      </c>
      <c r="AF30" s="1">
        <f t="shared" ca="1" si="9"/>
        <v>0.89938748196303109</v>
      </c>
      <c r="AG30" s="16">
        <f ca="1">0.9*'Airfoil-Speed'!I30</f>
        <v>1.4241393266802789</v>
      </c>
      <c r="AH30" s="42">
        <f ca="1">0.455/(LOG10(MIN(V30,'Aerodynamics-Constants'!L30)))^2.58</f>
        <v>5.5078976521754988E-3</v>
      </c>
      <c r="AI30" s="42">
        <f ca="1">+AH30*'Aerodynamics-Constants'!J30*'Aerodynamics-Constants'!M30</f>
        <v>0</v>
      </c>
      <c r="AJ30" s="10">
        <f ca="1">X30*COS(RADIANS(AC30))*'Aerodynamics-Constants'!M30+AI30</f>
        <v>1.1102770071294357E-2</v>
      </c>
      <c r="AK30" s="10">
        <f ca="1">AF30^2/(PI()*'Aerodynamics-Constants'!I30*AA30)</f>
        <v>3.3183687978228113E-2</v>
      </c>
      <c r="AL30" s="10">
        <f t="shared" ca="1" si="10"/>
        <v>4.428645804952247E-2</v>
      </c>
      <c r="AM30" s="1">
        <f t="shared" ca="1" si="11"/>
        <v>-0.15499999999999892</v>
      </c>
      <c r="AN30" s="1">
        <f t="shared" ca="1" si="12"/>
        <v>-0.3267594067258156</v>
      </c>
      <c r="AO30" s="12">
        <f t="shared" si="28"/>
        <v>0.95901955944629458</v>
      </c>
      <c r="AP30" s="12">
        <f t="shared" si="13"/>
        <v>4.2731600362109656E-2</v>
      </c>
      <c r="AQ30" s="81">
        <f ca="1">B30*H30*'Aerodynamics-Constants'!AA30/C30</f>
        <v>121312.17051433816</v>
      </c>
      <c r="AR30" s="10">
        <f ca="1">0.455/(LOG10(MIN(AQ30,'Aerodynamics-Constants'!AG30)))^2.58</f>
        <v>6.8552322717142337E-3</v>
      </c>
      <c r="AS30" s="15">
        <f ca="1">AR30*'Aerodynamics-Constants'!AI30*'Aerodynamics-Constants'!AJ30*'Aerodynamics-Constants'!AE30/P30</f>
        <v>1.9068630420291961E-2</v>
      </c>
      <c r="AT30" s="10">
        <f t="shared" ca="1" si="14"/>
        <v>1.0687888433655665E-2</v>
      </c>
      <c r="AU30" s="10">
        <f t="shared" ca="1" si="15"/>
        <v>2.9756518853947624E-2</v>
      </c>
      <c r="AV30" s="12">
        <f t="shared" si="16"/>
        <v>0.95010526315789479</v>
      </c>
      <c r="AW30" s="12">
        <f t="shared" si="17"/>
        <v>5.2514956791491096E-2</v>
      </c>
      <c r="AX30" s="81">
        <f ca="1">B30*H30*'Aerodynamics-Constants'!AK30/C30</f>
        <v>70824.23721489578</v>
      </c>
      <c r="AY30" s="10">
        <f ca="1">0.455/(LOG10(MIN(AX30,'Aerodynamics-Constants'!AQ30)))^2.58</f>
        <v>7.7402624523800331E-3</v>
      </c>
      <c r="AZ30" s="15">
        <f ca="1">AY30*'Aerodynamics-Constants'!AS30*'Aerodynamics-Constants'!AT30*'Aerodynamics-Constants'!AO30/S30</f>
        <v>2.1530445389794119E-2</v>
      </c>
      <c r="BA30" s="81">
        <f ca="1">B30*H30*'Aerodynamics-Constants'!N30/C30</f>
        <v>2615682.0932118702</v>
      </c>
      <c r="BB30" s="10">
        <f ca="1">0.455/(LOG10(MIN(BA30,'Aerodynamics-Constants'!V30)))^2.58</f>
        <v>3.7583099999731516E-3</v>
      </c>
      <c r="BC30" s="10">
        <f ca="1">BB30*'Aerodynamics-Constants'!W30*'Aerodynamics-Constants'!X30*'Aerodynamics-Constants'!S30/N30+'Aerodynamics-Constants'!Z30</f>
        <v>2.449651703018787E-3</v>
      </c>
      <c r="BD30" s="15">
        <f ca="1">BC30*'Aerodynamics-Constants'!AU30+(AJ30+AS30+AZ30)*('Aerodynamics-Constants'!AU30-1)</f>
        <v>7.8648014614587144E-3</v>
      </c>
      <c r="BE30" s="16">
        <f t="shared" ca="1" si="18"/>
        <v>0.87882100983184464</v>
      </c>
      <c r="BF30" s="10">
        <f t="shared" ca="1" si="19"/>
        <v>2.0629656149042407E-2</v>
      </c>
      <c r="BG30" s="10">
        <f t="shared" ca="1" si="20"/>
        <v>3.3856391365146836E-2</v>
      </c>
      <c r="BH30" s="10">
        <f t="shared" ca="1" si="21"/>
        <v>5.4486047514189243E-2</v>
      </c>
      <c r="BI30" s="13">
        <f t="shared" ca="1" si="22"/>
        <v>131.99460630613419</v>
      </c>
      <c r="BJ30" s="13">
        <f t="shared" ca="1" si="23"/>
        <v>8.1835371598465052</v>
      </c>
      <c r="BK30" s="13">
        <f t="shared" ca="1" si="24"/>
        <v>16.129285384537798</v>
      </c>
      <c r="BL30" s="14">
        <f t="shared" ca="1" si="25"/>
        <v>203.43447434177551</v>
      </c>
      <c r="BM30" s="1">
        <f ca="1">MIN(Main!H30,MAX(0.1,W30+0.05*(E30/BI30-1)*W30))</f>
        <v>0.89999999998456448</v>
      </c>
      <c r="BO30" s="16">
        <f ca="1">'Airfoil-Speed'!J30</f>
        <v>5.0731961754491799</v>
      </c>
      <c r="BP30" s="1">
        <f ca="1">BO30/(1+BO30/(PI()*'Aerodynamics-Constants'!I30)*(1+AB30))</f>
        <v>4.1992505412610894</v>
      </c>
      <c r="BR30" s="12">
        <v>6</v>
      </c>
      <c r="BS30" s="1">
        <f t="shared" si="26"/>
        <v>3.7485889767549225</v>
      </c>
      <c r="BT30" s="1">
        <f>Stability!W30</f>
        <v>2.6506526853445473</v>
      </c>
      <c r="BV30" s="12">
        <v>6</v>
      </c>
      <c r="BW30" s="1">
        <f t="shared" si="27"/>
        <v>3.735437927548761</v>
      </c>
      <c r="BX30" s="1">
        <f>Stability!Y30</f>
        <v>2.6413534892711525</v>
      </c>
    </row>
    <row r="31" spans="2:76">
      <c r="B31" s="16">
        <f>Cruise!F31</f>
        <v>0.65969672852566186</v>
      </c>
      <c r="C31" s="74">
        <f>'Airfoil-Speed'!E31</f>
        <v>1.5987591530356481E-5</v>
      </c>
      <c r="E31" s="19">
        <f ca="1">Cruise!H31</f>
        <v>131.83112185592466</v>
      </c>
      <c r="F31" s="63">
        <f>Weight!G31</f>
        <v>0.3</v>
      </c>
      <c r="H31" s="20">
        <f ca="1">'Propulsion-Speed'!E31</f>
        <v>25.272738494934266</v>
      </c>
      <c r="I31" s="20">
        <f t="shared" ca="1" si="0"/>
        <v>19.174256736712866</v>
      </c>
      <c r="J31" s="20">
        <f t="shared" ca="1" si="1"/>
        <v>1.3180557057288518</v>
      </c>
      <c r="L31" s="31">
        <f>Main!B31</f>
        <v>0.33333333333333326</v>
      </c>
      <c r="M31" s="31">
        <f>Main!C31</f>
        <v>2.2894736842105265</v>
      </c>
      <c r="N31" s="1">
        <f t="shared" si="2"/>
        <v>0.76315789473684204</v>
      </c>
      <c r="O31" s="1">
        <f t="shared" si="3"/>
        <v>6.8684210526315805</v>
      </c>
      <c r="P31" s="16">
        <f ca="1">'Aerodynamics-Constants'!AC31</f>
        <v>4.758897211975064E-2</v>
      </c>
      <c r="Q31" s="16">
        <f>'Aerodynamics-Constants'!AD31</f>
        <v>3.4342105263157907</v>
      </c>
      <c r="R31" s="63">
        <f>Stability!G31</f>
        <v>5.6500000000000012</v>
      </c>
      <c r="S31" s="16">
        <f ca="1">'Aerodynamics-Constants'!AM31</f>
        <v>1.6689885877140986E-2</v>
      </c>
      <c r="T31" s="16">
        <f>'Aerodynamics-Constants'!AN31</f>
        <v>3.4342105263157907</v>
      </c>
      <c r="V31" s="81">
        <f t="shared" ca="1" si="4"/>
        <v>347610.05901224585</v>
      </c>
      <c r="W31" s="49">
        <f ca="1">IF(ISERROR(BM31),Main!H31,BM31)</f>
        <v>0.84152894855101168</v>
      </c>
      <c r="X31" s="42">
        <f ca="1">'Airfoil-Speed'!V31</f>
        <v>1.0641916992176016E-2</v>
      </c>
      <c r="Y31" s="14">
        <f t="shared" ca="1" si="5"/>
        <v>79.076819446130557</v>
      </c>
      <c r="Z31" s="16">
        <f ca="1">'Airfoil-Speed'!AF31</f>
        <v>-0.15499999999999892</v>
      </c>
      <c r="AA31" s="31">
        <f>Main!I31</f>
        <v>1.163041872967743</v>
      </c>
      <c r="AB31" s="12">
        <f t="shared" si="6"/>
        <v>-0.1401857291274542</v>
      </c>
      <c r="AC31" s="30">
        <f t="shared" ca="1" si="7"/>
        <v>1.9201962587622299</v>
      </c>
      <c r="AD31" s="13">
        <f t="shared" ca="1" si="8"/>
        <v>1.9201962586175572</v>
      </c>
      <c r="AE31" s="13">
        <f ca="1">DEGREES(AF31/BP31)+'Airfoil-Speed'!K31</f>
        <v>2.3466656720232422</v>
      </c>
      <c r="AF31" s="1">
        <f t="shared" ca="1" si="9"/>
        <v>0.84105640222723232</v>
      </c>
      <c r="AG31" s="16">
        <f ca="1">0.9*'Airfoil-Speed'!I31</f>
        <v>1.4244661570501986</v>
      </c>
      <c r="AH31" s="42">
        <f ca="1">0.455/(LOG10(MIN(V31,'Aerodynamics-Constants'!L31)))^2.58</f>
        <v>5.4895317047251521E-3</v>
      </c>
      <c r="AI31" s="42">
        <f ca="1">+AH31*'Aerodynamics-Constants'!J31*'Aerodynamics-Constants'!M31</f>
        <v>0</v>
      </c>
      <c r="AJ31" s="10">
        <f ca="1">X31*COS(RADIANS(AC31))*'Aerodynamics-Constants'!M31+AI31</f>
        <v>1.0635941203985632E-2</v>
      </c>
      <c r="AK31" s="10">
        <f ca="1">AF31^2/(PI()*'Aerodynamics-Constants'!I31*AA31)</f>
        <v>2.8186951474747347E-2</v>
      </c>
      <c r="AL31" s="10">
        <f t="shared" ca="1" si="10"/>
        <v>3.8822892678732977E-2</v>
      </c>
      <c r="AM31" s="1">
        <f t="shared" ca="1" si="11"/>
        <v>-0.15499999999999892</v>
      </c>
      <c r="AN31" s="1">
        <f t="shared" ca="1" si="12"/>
        <v>-0.3385553542038871</v>
      </c>
      <c r="AO31" s="12">
        <f t="shared" si="28"/>
        <v>0.95464904914051385</v>
      </c>
      <c r="AP31" s="12">
        <f t="shared" si="13"/>
        <v>4.7505364301484665E-2</v>
      </c>
      <c r="AQ31" s="81">
        <f ca="1">B31*H31*'Aerodynamics-Constants'!AA31/C31</f>
        <v>122758.98667767808</v>
      </c>
      <c r="AR31" s="10">
        <f ca="1">0.455/(LOG10(MIN(AQ31,'Aerodynamics-Constants'!AG31)))^2.58</f>
        <v>6.8373520060500612E-3</v>
      </c>
      <c r="AS31" s="15">
        <f ca="1">AR31*'Aerodynamics-Constants'!AI31*'Aerodynamics-Constants'!AJ31*'Aerodynamics-Constants'!AE31/P31</f>
        <v>1.9018894369892392E-2</v>
      </c>
      <c r="AT31" s="10">
        <f t="shared" ca="1" si="14"/>
        <v>1.1128556649693854E-2</v>
      </c>
      <c r="AU31" s="10">
        <f t="shared" ca="1" si="15"/>
        <v>3.0147451019586248E-2</v>
      </c>
      <c r="AV31" s="12">
        <f t="shared" si="16"/>
        <v>0.94939473684210529</v>
      </c>
      <c r="AW31" s="12">
        <f t="shared" si="17"/>
        <v>5.330265820328739E-2</v>
      </c>
      <c r="AX31" s="81">
        <f ca="1">B31*H31*'Aerodynamics-Constants'!AK31/C31</f>
        <v>72698.728668988217</v>
      </c>
      <c r="AY31" s="10">
        <f ca="1">0.455/(LOG10(MIN(AX31,'Aerodynamics-Constants'!AQ31)))^2.58</f>
        <v>7.6937464105494291E-3</v>
      </c>
      <c r="AZ31" s="15">
        <f ca="1">AY31*'Aerodynamics-Constants'!AS31*'Aerodynamics-Constants'!AT31*'Aerodynamics-Constants'!AO31/S31</f>
        <v>2.1401055578460875E-2</v>
      </c>
      <c r="BA31" s="81">
        <f ca="1">B31*H31*'Aerodynamics-Constants'!N31/C31</f>
        <v>2659216.951443681</v>
      </c>
      <c r="BB31" s="10">
        <f ca="1">0.455/(LOG10(MIN(BA31,'Aerodynamics-Constants'!V31)))^2.58</f>
        <v>3.7475001403260272E-3</v>
      </c>
      <c r="BC31" s="10">
        <f ca="1">BB31*'Aerodynamics-Constants'!W31*'Aerodynamics-Constants'!X31*'Aerodynamics-Constants'!S31/N31+'Aerodynamics-Constants'!Z31</f>
        <v>2.3583838990626524E-3</v>
      </c>
      <c r="BD31" s="15">
        <f ca="1">BC31*'Aerodynamics-Constants'!AU31+(AJ31+AS31+AZ31)*('Aerodynamics-Constants'!AU31-1)</f>
        <v>7.6998114042028127E-3</v>
      </c>
      <c r="BE31" s="16">
        <f t="shared" ca="1" si="18"/>
        <v>0.81994477981814129</v>
      </c>
      <c r="BF31" s="10">
        <f t="shared" ca="1" si="19"/>
        <v>1.9989762634000235E-2</v>
      </c>
      <c r="BG31" s="10">
        <f t="shared" ca="1" si="20"/>
        <v>2.8880905603752283E-2</v>
      </c>
      <c r="BH31" s="10">
        <f t="shared" ca="1" si="21"/>
        <v>4.8870668237752518E-2</v>
      </c>
      <c r="BI31" s="13">
        <f t="shared" ca="1" si="22"/>
        <v>131.83112205305622</v>
      </c>
      <c r="BJ31" s="13">
        <f t="shared" ca="1" si="23"/>
        <v>7.8574499013147161</v>
      </c>
      <c r="BK31" s="13">
        <f t="shared" ca="1" si="24"/>
        <v>16.777850792405065</v>
      </c>
      <c r="BL31" s="14">
        <f t="shared" ca="1" si="25"/>
        <v>198.57927659297388</v>
      </c>
      <c r="BM31" s="1">
        <f ca="1">MIN(Main!H31,MAX(0.1,W31+0.05*(E31/BI31-1)*W31))</f>
        <v>0.84152894848809334</v>
      </c>
      <c r="BO31" s="16">
        <f ca="1">'Airfoil-Speed'!J31</f>
        <v>5.0451079436868209</v>
      </c>
      <c r="BP31" s="1">
        <f ca="1">BO31/(1+BO31/(PI()*'Aerodynamics-Constants'!I31)*(1+AB31))</f>
        <v>4.2006389902119592</v>
      </c>
      <c r="BR31" s="12">
        <v>6</v>
      </c>
      <c r="BS31" s="1">
        <f t="shared" si="26"/>
        <v>3.7913574006695518</v>
      </c>
      <c r="BT31" s="1">
        <f>Stability!W31</f>
        <v>2.6808945279152425</v>
      </c>
      <c r="BV31" s="12">
        <v>6</v>
      </c>
      <c r="BW31" s="1">
        <f t="shared" si="27"/>
        <v>3.783649180369149</v>
      </c>
      <c r="BX31" s="1">
        <f>Stability!Y31</f>
        <v>2.6754439930699481</v>
      </c>
    </row>
    <row r="32" spans="2:76">
      <c r="B32" s="16">
        <f>Cruise!F32</f>
        <v>0.65969672852566186</v>
      </c>
      <c r="C32" s="74">
        <f>'Airfoil-Speed'!E32</f>
        <v>1.5987591530356481E-5</v>
      </c>
      <c r="E32" s="19">
        <f ca="1">Cruise!H32</f>
        <v>131.7234976430376</v>
      </c>
      <c r="F32" s="63">
        <f>Weight!G32</f>
        <v>0.3</v>
      </c>
      <c r="H32" s="20">
        <f ca="1">'Propulsion-Speed'!E32</f>
        <v>25.81753184746562</v>
      </c>
      <c r="I32" s="20">
        <f t="shared" ca="1" si="0"/>
        <v>18.841487332569073</v>
      </c>
      <c r="J32" s="20">
        <f t="shared" ca="1" si="1"/>
        <v>1.370249141788179</v>
      </c>
      <c r="L32" s="31">
        <f>Main!B32</f>
        <v>0.33333333333333326</v>
      </c>
      <c r="M32" s="31">
        <f>Main!C32</f>
        <v>2.3684210526315792</v>
      </c>
      <c r="N32" s="1">
        <f t="shared" si="2"/>
        <v>0.78947368421052622</v>
      </c>
      <c r="O32" s="1">
        <f t="shared" si="3"/>
        <v>7.1052631578947389</v>
      </c>
      <c r="P32" s="16">
        <f ca="1">'Aerodynamics-Constants'!AC32</f>
        <v>4.8798353242644012E-2</v>
      </c>
      <c r="Q32" s="16">
        <f>'Aerodynamics-Constants'!AD32</f>
        <v>3.5526315789473695</v>
      </c>
      <c r="R32" s="63">
        <f>Stability!G32</f>
        <v>5.6500000000000012</v>
      </c>
      <c r="S32" s="16">
        <f ca="1">'Aerodynamics-Constants'!AM32</f>
        <v>1.7599996651648308E-2</v>
      </c>
      <c r="T32" s="16">
        <f>'Aerodynamics-Constants'!AN32</f>
        <v>3.5526315789473695</v>
      </c>
      <c r="V32" s="81">
        <f t="shared" ca="1" si="4"/>
        <v>355103.33677717269</v>
      </c>
      <c r="W32" s="49">
        <f ca="1">IF(ISERROR(BM32),Main!H32,BM32)</f>
        <v>0.78092931825710532</v>
      </c>
      <c r="X32" s="42">
        <f ca="1">'Airfoil-Speed'!V32</f>
        <v>1.0184133130819426E-2</v>
      </c>
      <c r="Y32" s="14">
        <f t="shared" ca="1" si="5"/>
        <v>76.680980916661582</v>
      </c>
      <c r="Z32" s="16">
        <f ca="1">'Airfoil-Speed'!AF32</f>
        <v>-0.15499999999999889</v>
      </c>
      <c r="AA32" s="31">
        <f>Main!I32</f>
        <v>1.1561165628108239</v>
      </c>
      <c r="AB32" s="12">
        <f t="shared" si="6"/>
        <v>-0.13503531376737943</v>
      </c>
      <c r="AC32" s="30">
        <f t="shared" ca="1" si="7"/>
        <v>1.7330217112428319</v>
      </c>
      <c r="AD32" s="13">
        <f t="shared" ca="1" si="8"/>
        <v>1.7330217111717994</v>
      </c>
      <c r="AE32" s="13">
        <f ca="1">DEGREES(AF32/BP32)+'Airfoil-Speed'!K32</f>
        <v>1.405325409143769</v>
      </c>
      <c r="AF32" s="1">
        <f t="shared" ca="1" si="9"/>
        <v>0.78057211832828943</v>
      </c>
      <c r="AG32" s="16">
        <f ca="1">0.9*'Airfoil-Speed'!I32</f>
        <v>1.4248885472494552</v>
      </c>
      <c r="AH32" s="42">
        <f ca="1">0.455/(LOG10(MIN(V32,'Aerodynamics-Constants'!L32)))^2.58</f>
        <v>5.4659276896016603E-3</v>
      </c>
      <c r="AI32" s="42">
        <f ca="1">+AH32*'Aerodynamics-Constants'!J32*'Aerodynamics-Constants'!M32</f>
        <v>0</v>
      </c>
      <c r="AJ32" s="10">
        <f ca="1">X32*COS(RADIANS(AC32))*'Aerodynamics-Constants'!M32+AI32</f>
        <v>1.0179474871045674E-2</v>
      </c>
      <c r="AK32" s="10">
        <f ca="1">AF32^2/(PI()*'Aerodynamics-Constants'!I32*AA32)</f>
        <v>2.3609914023238237E-2</v>
      </c>
      <c r="AL32" s="10">
        <f t="shared" ca="1" si="10"/>
        <v>3.3789388894283914E-2</v>
      </c>
      <c r="AM32" s="1">
        <f t="shared" ca="1" si="11"/>
        <v>-0.15499999999999889</v>
      </c>
      <c r="AN32" s="1">
        <f t="shared" ca="1" si="12"/>
        <v>-0.35069501082617666</v>
      </c>
      <c r="AO32" s="12">
        <f t="shared" si="28"/>
        <v>0.9503265110257636</v>
      </c>
      <c r="AP32" s="12">
        <f t="shared" si="13"/>
        <v>5.2269918178563524E-2</v>
      </c>
      <c r="AQ32" s="81">
        <f ca="1">B32*H32*'Aerodynamics-Constants'!AA32/C32</f>
        <v>124854.30032676755</v>
      </c>
      <c r="AR32" s="10">
        <f ca="1">0.455/(LOG10(MIN(AQ32,'Aerodynamics-Constants'!AG32)))^2.58</f>
        <v>6.8119394326914577E-3</v>
      </c>
      <c r="AS32" s="15">
        <f ca="1">AR32*'Aerodynamics-Constants'!AI32*'Aerodynamics-Constants'!AJ32*'Aerodynamics-Constants'!AE32/P32</f>
        <v>1.8948206324586728E-2</v>
      </c>
      <c r="AT32" s="10">
        <f t="shared" ca="1" si="14"/>
        <v>1.1595414700274654E-2</v>
      </c>
      <c r="AU32" s="10">
        <f t="shared" ca="1" si="15"/>
        <v>3.0543621024861384E-2</v>
      </c>
      <c r="AV32" s="12">
        <f t="shared" si="16"/>
        <v>0.9486842105263158</v>
      </c>
      <c r="AW32" s="12">
        <f t="shared" si="17"/>
        <v>5.4091539528432708E-2</v>
      </c>
      <c r="AX32" s="81">
        <f ca="1">B32*H32*'Aerodynamics-Constants'!AK32/C32</f>
        <v>74982.033563292774</v>
      </c>
      <c r="AY32" s="10">
        <f ca="1">0.455/(LOG10(MIN(AX32,'Aerodynamics-Constants'!AQ32)))^2.58</f>
        <v>7.6391794296773409E-3</v>
      </c>
      <c r="AZ32" s="15">
        <f ca="1">AY32*'Aerodynamics-Constants'!AS32*'Aerodynamics-Constants'!AT32*'Aerodynamics-Constants'!AO32/S32</f>
        <v>2.1249271138465413E-2</v>
      </c>
      <c r="BA32" s="81">
        <f ca="1">B32*H32*'Aerodynamics-Constants'!N32/C32</f>
        <v>2716540.5263453717</v>
      </c>
      <c r="BB32" s="10">
        <f ca="1">0.455/(LOG10(MIN(BA32,'Aerodynamics-Constants'!V32)))^2.58</f>
        <v>3.7335971083375052E-3</v>
      </c>
      <c r="BC32" s="10">
        <f ca="1">BB32*'Aerodynamics-Constants'!W32*'Aerodynamics-Constants'!X32*'Aerodynamics-Constants'!S32/N32+'Aerodynamics-Constants'!Z32</f>
        <v>2.271320512436681E-3</v>
      </c>
      <c r="BD32" s="15">
        <f ca="1">BC32*'Aerodynamics-Constants'!AU32+(AJ32+AS32+AZ32)*('Aerodynamics-Constants'!AU32-1)</f>
        <v>7.5361477970901352E-3</v>
      </c>
      <c r="BE32" s="16">
        <f t="shared" ca="1" si="18"/>
        <v>0.75889522223789985</v>
      </c>
      <c r="BF32" s="10">
        <f t="shared" ca="1" si="19"/>
        <v>1.9360551932278758E-2</v>
      </c>
      <c r="BG32" s="10">
        <f t="shared" ca="1" si="20"/>
        <v>2.4326641070454239E-2</v>
      </c>
      <c r="BH32" s="10">
        <f t="shared" ca="1" si="21"/>
        <v>4.3687193002733E-2</v>
      </c>
      <c r="BI32" s="13">
        <f t="shared" ca="1" si="22"/>
        <v>131.72349775025742</v>
      </c>
      <c r="BJ32" s="13">
        <f t="shared" ca="1" si="23"/>
        <v>7.5829043332764465</v>
      </c>
      <c r="BK32" s="13">
        <f t="shared" ca="1" si="24"/>
        <v>17.371114280343544</v>
      </c>
      <c r="BL32" s="14">
        <f t="shared" ca="1" si="25"/>
        <v>195.77187412064973</v>
      </c>
      <c r="BM32" s="1">
        <f ca="1">MIN(Main!H32,MAX(0.1,W32+0.05*(E32/BI32-1)*W32))</f>
        <v>0.78092931822532241</v>
      </c>
      <c r="BO32" s="16">
        <f ca="1">'Airfoil-Speed'!J32</f>
        <v>5.0090468652132554</v>
      </c>
      <c r="BP32" s="1">
        <f ca="1">BO32/(1+BO32/(PI()*'Aerodynamics-Constants'!I32)*(1+AB32))</f>
        <v>4.1948336061743596</v>
      </c>
      <c r="BR32" s="12">
        <v>6</v>
      </c>
      <c r="BS32" s="1">
        <f t="shared" si="26"/>
        <v>3.8321766772122796</v>
      </c>
      <c r="BT32" s="1">
        <f>Stability!W32</f>
        <v>2.7097581151617343</v>
      </c>
      <c r="BV32" s="12">
        <v>6</v>
      </c>
      <c r="BW32" s="1">
        <f t="shared" si="27"/>
        <v>3.8297812798968627</v>
      </c>
      <c r="BX32" s="1">
        <f>Stability!Y32</f>
        <v>2.7080643134763669</v>
      </c>
    </row>
    <row r="33" spans="2:76">
      <c r="B33" s="16">
        <f>Cruise!F33</f>
        <v>0.65969672852566186</v>
      </c>
      <c r="C33" s="74">
        <f>'Airfoil-Speed'!E33</f>
        <v>1.5987591530356481E-5</v>
      </c>
      <c r="E33" s="19">
        <f ca="1">Cruise!H33</f>
        <v>131.66480106924885</v>
      </c>
      <c r="F33" s="63">
        <f>Weight!G33</f>
        <v>0.3</v>
      </c>
      <c r="H33" s="20">
        <f ca="1">'Propulsion-Speed'!E33</f>
        <v>26.185424695057158</v>
      </c>
      <c r="I33" s="20">
        <f t="shared" ca="1" si="0"/>
        <v>18.529148782249081</v>
      </c>
      <c r="J33" s="20">
        <f t="shared" ca="1" si="1"/>
        <v>1.4132017073629841</v>
      </c>
      <c r="L33" s="31">
        <f>Main!B33</f>
        <v>0.33333333333333326</v>
      </c>
      <c r="M33" s="31">
        <f>Main!C33</f>
        <v>2.4473684210526319</v>
      </c>
      <c r="N33" s="1">
        <f t="shared" si="2"/>
        <v>0.8157894736842104</v>
      </c>
      <c r="O33" s="1">
        <f t="shared" si="3"/>
        <v>7.3421052631578974</v>
      </c>
      <c r="P33" s="16">
        <f ca="1">'Aerodynamics-Constants'!AC33</f>
        <v>5.000592072206575E-2</v>
      </c>
      <c r="Q33" s="16">
        <f>'Aerodynamics-Constants'!AD33</f>
        <v>3.6710526315789487</v>
      </c>
      <c r="R33" s="63">
        <f>Stability!G33</f>
        <v>5.6500000000000012</v>
      </c>
      <c r="S33" s="16">
        <f ca="1">'Aerodynamics-Constants'!AM33</f>
        <v>1.8537607723557867E-2</v>
      </c>
      <c r="T33" s="16">
        <f>'Aerodynamics-Constants'!AN33</f>
        <v>3.6710526315789487</v>
      </c>
      <c r="V33" s="81">
        <f t="shared" ca="1" si="4"/>
        <v>360163.46330390859</v>
      </c>
      <c r="W33" s="49">
        <f ca="1">IF(ISERROR(BM33),Main!H33,BM33)</f>
        <v>0.73598487891950481</v>
      </c>
      <c r="X33" s="42">
        <f ca="1">'Airfoil-Speed'!V33</f>
        <v>9.898714263547978E-3</v>
      </c>
      <c r="Y33" s="14">
        <f t="shared" ca="1" si="5"/>
        <v>74.351563175206465</v>
      </c>
      <c r="Z33" s="16">
        <f ca="1">'Airfoil-Speed'!AF33</f>
        <v>-0.15499999999999889</v>
      </c>
      <c r="AA33" s="31">
        <f>Main!I33</f>
        <v>1.149264745760594</v>
      </c>
      <c r="AB33" s="12">
        <f t="shared" si="6"/>
        <v>-0.12987846909182721</v>
      </c>
      <c r="AC33" s="30">
        <f t="shared" ca="1" si="7"/>
        <v>1.5901338568643573</v>
      </c>
      <c r="AD33" s="13">
        <f t="shared" ca="1" si="8"/>
        <v>1.5901338568113315</v>
      </c>
      <c r="AE33" s="13">
        <f ca="1">DEGREES(AF33/BP33)+'Airfoil-Speed'!K33</f>
        <v>0.70132954763128552</v>
      </c>
      <c r="AF33" s="1">
        <f t="shared" ca="1" si="9"/>
        <v>0.73570145720259394</v>
      </c>
      <c r="AG33" s="16">
        <f ca="1">0.9*'Airfoil-Speed'!I33</f>
        <v>1.4251688397104942</v>
      </c>
      <c r="AH33" s="42">
        <f ca="1">0.455/(LOG10(MIN(V33,'Aerodynamics-Constants'!L33)))^2.58</f>
        <v>5.4503458887659555E-3</v>
      </c>
      <c r="AI33" s="42">
        <f ca="1">+AH33*'Aerodynamics-Constants'!J33*'Aerodynamics-Constants'!M33</f>
        <v>0</v>
      </c>
      <c r="AJ33" s="10">
        <f ca="1">X33*COS(RADIANS(AC33))*'Aerodynamics-Constants'!M33+AI33</f>
        <v>9.8949023501892358E-3</v>
      </c>
      <c r="AK33" s="10">
        <f ca="1">AF33^2/(PI()*'Aerodynamics-Constants'!I33*AA33)</f>
        <v>2.0417975033155154E-2</v>
      </c>
      <c r="AL33" s="10">
        <f t="shared" ca="1" si="10"/>
        <v>3.0312877383344389E-2</v>
      </c>
      <c r="AM33" s="1">
        <f t="shared" ca="1" si="11"/>
        <v>-0.15499999999999889</v>
      </c>
      <c r="AN33" s="1">
        <f t="shared" ca="1" si="12"/>
        <v>-0.36047504611161474</v>
      </c>
      <c r="AO33" s="12">
        <f t="shared" si="28"/>
        <v>0.9460498447561202</v>
      </c>
      <c r="AP33" s="12">
        <f t="shared" si="13"/>
        <v>5.7026757673415585E-2</v>
      </c>
      <c r="AQ33" s="81">
        <f ca="1">B33*H33*'Aerodynamics-Constants'!AA33/C33</f>
        <v>126106.1645482286</v>
      </c>
      <c r="AR33" s="10">
        <f ca="1">0.455/(LOG10(MIN(AQ33,'Aerodynamics-Constants'!AG33)))^2.58</f>
        <v>6.7970205620737452E-3</v>
      </c>
      <c r="AS33" s="15">
        <f ca="1">AR33*'Aerodynamics-Constants'!AI33*'Aerodynamics-Constants'!AJ33*'Aerodynamics-Constants'!AE33/P33</f>
        <v>1.8906707740903264E-2</v>
      </c>
      <c r="AT33" s="10">
        <f t="shared" ca="1" si="14"/>
        <v>1.1909565290444186E-2</v>
      </c>
      <c r="AU33" s="10">
        <f t="shared" ca="1" si="15"/>
        <v>3.0816273031347451E-2</v>
      </c>
      <c r="AV33" s="12">
        <f t="shared" si="16"/>
        <v>0.94797368421052641</v>
      </c>
      <c r="AW33" s="12">
        <f t="shared" si="17"/>
        <v>5.4881603420037006E-2</v>
      </c>
      <c r="AX33" s="81">
        <f ca="1">B33*H33*'Aerodynamics-Constants'!AK33/C33</f>
        <v>76780.767131644301</v>
      </c>
      <c r="AY33" s="10">
        <f ca="1">0.455/(LOG10(MIN(AX33,'Aerodynamics-Constants'!AQ33)))^2.58</f>
        <v>7.5977134230527802E-3</v>
      </c>
      <c r="AZ33" s="15">
        <f ca="1">AY33*'Aerodynamics-Constants'!AS33*'Aerodynamics-Constants'!AT33*'Aerodynamics-Constants'!AO33/S33</f>
        <v>2.1133928590760399E-2</v>
      </c>
      <c r="BA33" s="81">
        <f ca="1">B33*H33*'Aerodynamics-Constants'!N33/C33</f>
        <v>2755250.4942749012</v>
      </c>
      <c r="BB33" s="10">
        <f ca="1">0.455/(LOG10(MIN(BA33,'Aerodynamics-Constants'!V33)))^2.58</f>
        <v>3.7244129817233075E-3</v>
      </c>
      <c r="BC33" s="10">
        <f ca="1">BB33*'Aerodynamics-Constants'!W33*'Aerodynamics-Constants'!X33*'Aerodynamics-Constants'!S33/N33+'Aerodynamics-Constants'!Z33</f>
        <v>2.192649855650073E-3</v>
      </c>
      <c r="BD33" s="15">
        <f ca="1">BC33*'Aerodynamics-Constants'!AU33+(AJ33+AS33+AZ33)*('Aerodynamics-Constants'!AU33-1)</f>
        <v>7.4054687094003745E-3</v>
      </c>
      <c r="BE33" s="16">
        <f t="shared" ca="1" si="18"/>
        <v>0.713605209139067</v>
      </c>
      <c r="BF33" s="10">
        <f t="shared" ca="1" si="19"/>
        <v>1.8939543725352285E-2</v>
      </c>
      <c r="BG33" s="10">
        <f t="shared" ca="1" si="20"/>
        <v>2.1148002567169099E-2</v>
      </c>
      <c r="BH33" s="10">
        <f t="shared" ca="1" si="21"/>
        <v>4.0087546292521384E-2</v>
      </c>
      <c r="BI33" s="13">
        <f t="shared" ca="1" si="22"/>
        <v>131.66480115644586</v>
      </c>
      <c r="BJ33" s="13">
        <f t="shared" ca="1" si="23"/>
        <v>7.3964129519492463</v>
      </c>
      <c r="BK33" s="13">
        <f t="shared" ca="1" si="24"/>
        <v>17.801169568519967</v>
      </c>
      <c r="BL33" s="14">
        <f t="shared" ca="1" si="25"/>
        <v>193.6782143668124</v>
      </c>
      <c r="BM33" s="1">
        <f ca="1">MIN(Main!H33,MAX(0.1,W33+0.05*(E33/BI33-1)*W33))</f>
        <v>0.73598487889513398</v>
      </c>
      <c r="BO33" s="16">
        <f ca="1">'Airfoil-Speed'!J33</f>
        <v>4.9852654554391203</v>
      </c>
      <c r="BP33" s="1">
        <f ca="1">BO33/(1+BO33/(PI()*'Aerodynamics-Constants'!I33)*(1+AB33))</f>
        <v>4.196137490107211</v>
      </c>
      <c r="BR33" s="12">
        <v>6</v>
      </c>
      <c r="BS33" s="1">
        <f t="shared" si="26"/>
        <v>3.8711762947279209</v>
      </c>
      <c r="BT33" s="1">
        <f>Stability!W33</f>
        <v>2.7373350091707258</v>
      </c>
      <c r="BV33" s="12">
        <v>6</v>
      </c>
      <c r="BW33" s="1">
        <f t="shared" si="27"/>
        <v>3.8739657330797428</v>
      </c>
      <c r="BX33" s="1">
        <f>Stability!Y33</f>
        <v>2.739307439945001</v>
      </c>
    </row>
    <row r="34" spans="2:76">
      <c r="B34" s="16">
        <f>Cruise!F34</f>
        <v>0.65969672852566186</v>
      </c>
      <c r="C34" s="74">
        <f>'Airfoil-Speed'!E34</f>
        <v>1.5987591530356481E-5</v>
      </c>
      <c r="E34" s="19">
        <f ca="1">Cruise!H34</f>
        <v>131.64808625067786</v>
      </c>
      <c r="F34" s="63">
        <f>Weight!G34</f>
        <v>0.3</v>
      </c>
      <c r="H34" s="20">
        <f ca="1">'Propulsion-Speed'!E34</f>
        <v>26.46159793226753</v>
      </c>
      <c r="I34" s="20">
        <f t="shared" ca="1" si="0"/>
        <v>18.234845474881205</v>
      </c>
      <c r="J34" s="20">
        <f t="shared" ca="1" si="1"/>
        <v>1.4511555893752328</v>
      </c>
      <c r="L34" s="31">
        <f>Main!B34</f>
        <v>0.33333333333333326</v>
      </c>
      <c r="M34" s="31">
        <f>Main!C34</f>
        <v>2.5263157894736845</v>
      </c>
      <c r="N34" s="1">
        <f t="shared" si="2"/>
        <v>0.84210526315789469</v>
      </c>
      <c r="O34" s="1">
        <f t="shared" si="3"/>
        <v>7.5789473684210549</v>
      </c>
      <c r="P34" s="16">
        <f ca="1">'Aerodynamics-Constants'!AC34</f>
        <v>5.1212083567651716E-2</v>
      </c>
      <c r="Q34" s="16">
        <f>'Aerodynamics-Constants'!AD34</f>
        <v>3.7894736842105274</v>
      </c>
      <c r="R34" s="63">
        <f>Stability!G34</f>
        <v>5.6500000000000012</v>
      </c>
      <c r="S34" s="16">
        <f ca="1">'Aerodynamics-Constants'!AM34</f>
        <v>1.9502585994958192E-2</v>
      </c>
      <c r="T34" s="16">
        <f>'Aerodynamics-Constants'!AN34</f>
        <v>3.7894736842105274</v>
      </c>
      <c r="V34" s="81">
        <f t="shared" ca="1" si="4"/>
        <v>363962.0463226639</v>
      </c>
      <c r="W34" s="49">
        <f ca="1">IF(ISERROR(BM34),Main!H34,BM34)</f>
        <v>0.69953201934120568</v>
      </c>
      <c r="X34" s="42">
        <f ca="1">'Airfoil-Speed'!V34</f>
        <v>9.6672210234091862E-3</v>
      </c>
      <c r="Y34" s="14">
        <f t="shared" ca="1" si="5"/>
        <v>72.361231593576704</v>
      </c>
      <c r="Z34" s="16">
        <f ca="1">'Airfoil-Speed'!AF34</f>
        <v>-0.15499999999999886</v>
      </c>
      <c r="AA34" s="31">
        <f>Main!I34</f>
        <v>1.1424833074368379</v>
      </c>
      <c r="AB34" s="12">
        <f t="shared" si="6"/>
        <v>-0.12471368860215504</v>
      </c>
      <c r="AC34" s="30">
        <f t="shared" ca="1" si="7"/>
        <v>1.4729163498280466</v>
      </c>
      <c r="AD34" s="13">
        <f t="shared" ca="1" si="8"/>
        <v>1.4729163497848647</v>
      </c>
      <c r="AE34" s="13">
        <f ca="1">DEGREES(AF34/BP34)+'Airfoil-Speed'!K34</f>
        <v>0.12837852429738916</v>
      </c>
      <c r="AF34" s="1">
        <f t="shared" ca="1" si="9"/>
        <v>0.69930088494164122</v>
      </c>
      <c r="AG34" s="16">
        <f ca="1">0.9*'Airfoil-Speed'!I34</f>
        <v>1.4253767121929715</v>
      </c>
      <c r="AH34" s="42">
        <f ca="1">0.455/(LOG10(MIN(V34,'Aerodynamics-Constants'!L34)))^2.58</f>
        <v>5.4388317515412943E-3</v>
      </c>
      <c r="AI34" s="42">
        <f ca="1">+AH34*'Aerodynamics-Constants'!J34*'Aerodynamics-Constants'!M34</f>
        <v>0</v>
      </c>
      <c r="AJ34" s="10">
        <f ca="1">X34*COS(RADIANS(AC34))*'Aerodynamics-Constants'!M34+AI34</f>
        <v>9.6640268489254985E-3</v>
      </c>
      <c r="AK34" s="10">
        <f ca="1">AF34^2/(PI()*'Aerodynamics-Constants'!I34*AA34)</f>
        <v>1.7977095618611588E-2</v>
      </c>
      <c r="AL34" s="10">
        <f t="shared" ca="1" si="10"/>
        <v>2.7641122467537086E-2</v>
      </c>
      <c r="AM34" s="1">
        <f t="shared" ca="1" si="11"/>
        <v>-0.15499999999999886</v>
      </c>
      <c r="AN34" s="1">
        <f t="shared" ca="1" si="12"/>
        <v>-0.36893332921089694</v>
      </c>
      <c r="AO34" s="12">
        <f t="shared" si="28"/>
        <v>0.94181710644360173</v>
      </c>
      <c r="AP34" s="12">
        <f t="shared" si="13"/>
        <v>6.1777274120771608E-2</v>
      </c>
      <c r="AQ34" s="81">
        <f ca="1">B34*H34*'Aerodynamics-Constants'!AA34/C34</f>
        <v>126932.87822063921</v>
      </c>
      <c r="AR34" s="10">
        <f ca="1">0.455/(LOG10(MIN(AQ34,'Aerodynamics-Constants'!AG34)))^2.58</f>
        <v>6.7872738866671806E-3</v>
      </c>
      <c r="AS34" s="15">
        <f ca="1">AR34*'Aerodynamics-Constants'!AI34*'Aerodynamics-Constants'!AJ34*'Aerodynamics-Constants'!AE34/P34</f>
        <v>1.8879596223191287E-2</v>
      </c>
      <c r="AT34" s="10">
        <f t="shared" ca="1" si="14"/>
        <v>1.213948993166368E-2</v>
      </c>
      <c r="AU34" s="10">
        <f t="shared" ca="1" si="15"/>
        <v>3.1019086154854967E-2</v>
      </c>
      <c r="AV34" s="12">
        <f t="shared" si="16"/>
        <v>0.94726315789473692</v>
      </c>
      <c r="AW34" s="12">
        <f t="shared" si="17"/>
        <v>5.5672852539170981E-2</v>
      </c>
      <c r="AX34" s="81">
        <f ca="1">B34*H34*'Aerodynamics-Constants'!AK34/C34</f>
        <v>78331.060413703759</v>
      </c>
      <c r="AY34" s="10">
        <f ca="1">0.455/(LOG10(MIN(AX34,'Aerodynamics-Constants'!AQ34)))^2.58</f>
        <v>7.562989132600487E-3</v>
      </c>
      <c r="AZ34" s="15">
        <f ca="1">AY34*'Aerodynamics-Constants'!AS34*'Aerodynamics-Constants'!AT34*'Aerodynamics-Constants'!AO34/S34</f>
        <v>2.1037338915167094E-2</v>
      </c>
      <c r="BA34" s="81">
        <f ca="1">B34*H34*'Aerodynamics-Constants'!N34/C34</f>
        <v>2784309.6543683792</v>
      </c>
      <c r="BB34" s="10">
        <f ca="1">0.455/(LOG10(MIN(BA34,'Aerodynamics-Constants'!V34)))^2.58</f>
        <v>3.7176231796635559E-3</v>
      </c>
      <c r="BC34" s="10">
        <f ca="1">BB34*'Aerodynamics-Constants'!W34*'Aerodynamics-Constants'!X34*'Aerodynamics-Constants'!S34/N34+'Aerodynamics-Constants'!Z34</f>
        <v>2.1202604837916583E-3</v>
      </c>
      <c r="BD34" s="15">
        <f ca="1">BC34*'Aerodynamics-Constants'!AU34+(AJ34+AS34+AZ34)*('Aerodynamics-Constants'!AU34-1)</f>
        <v>7.2903827308992168E-3</v>
      </c>
      <c r="BE34" s="16">
        <f t="shared" ca="1" si="18"/>
        <v>0.6768644446139932</v>
      </c>
      <c r="BF34" s="10">
        <f t="shared" ca="1" si="19"/>
        <v>1.8589770420154132E-2</v>
      </c>
      <c r="BG34" s="10">
        <f t="shared" ca="1" si="20"/>
        <v>1.8715350798869806E-2</v>
      </c>
      <c r="BH34" s="10">
        <f t="shared" ca="1" si="21"/>
        <v>3.7305121219023941E-2</v>
      </c>
      <c r="BI34" s="13">
        <f t="shared" ca="1" si="22"/>
        <v>131.64808632732883</v>
      </c>
      <c r="BJ34" s="13">
        <f t="shared" ca="1" si="23"/>
        <v>7.2557331941025396</v>
      </c>
      <c r="BK34" s="13">
        <f t="shared" ca="1" si="24"/>
        <v>18.144008717731296</v>
      </c>
      <c r="BL34" s="14">
        <f t="shared" ca="1" si="25"/>
        <v>191.99829448614864</v>
      </c>
      <c r="BM34" s="1">
        <f ca="1">MIN(Main!H34,MAX(0.1,W34+0.05*(E34/BI34-1)*W34))</f>
        <v>0.69953201932084086</v>
      </c>
      <c r="BO34" s="16">
        <f ca="1">'Airfoil-Speed'!J34</f>
        <v>4.9677044675085096</v>
      </c>
      <c r="BP34" s="1">
        <f ca="1">BO34/(1+BO34/(PI()*'Aerodynamics-Constants'!I34)*(1+AB34))</f>
        <v>4.2005941150213495</v>
      </c>
      <c r="BR34" s="12">
        <v>6</v>
      </c>
      <c r="BS34" s="1">
        <f t="shared" si="26"/>
        <v>3.9084744159557685</v>
      </c>
      <c r="BT34" s="1">
        <f>Stability!W34</f>
        <v>2.7637087636164548</v>
      </c>
      <c r="BV34" s="12">
        <v>6</v>
      </c>
      <c r="BW34" s="1">
        <f t="shared" si="27"/>
        <v>3.9163231849688693</v>
      </c>
      <c r="BX34" s="1">
        <f>Stability!Y34</f>
        <v>2.7692586814095854</v>
      </c>
    </row>
    <row r="35" spans="2:76">
      <c r="B35" s="16">
        <f>Cruise!F35</f>
        <v>0.65969672852566186</v>
      </c>
      <c r="C35" s="74">
        <f>'Airfoil-Speed'!E35</f>
        <v>1.5987591530356481E-5</v>
      </c>
      <c r="E35" s="19">
        <f ca="1">Cruise!H35</f>
        <v>131.66397515101301</v>
      </c>
      <c r="F35" s="63">
        <f>Weight!G35</f>
        <v>0.3</v>
      </c>
      <c r="H35" s="20">
        <f ca="1">'Propulsion-Speed'!E35</f>
        <v>26.65013237561713</v>
      </c>
      <c r="I35" s="20">
        <f t="shared" ca="1" si="0"/>
        <v>17.95663198167772</v>
      </c>
      <c r="J35" s="20">
        <f t="shared" ca="1" si="1"/>
        <v>1.4841386960990197</v>
      </c>
      <c r="L35" s="31">
        <f>Main!B35</f>
        <v>0.33333333333333326</v>
      </c>
      <c r="M35" s="31">
        <f>Main!C35</f>
        <v>2.6052631578947372</v>
      </c>
      <c r="N35" s="1">
        <f t="shared" si="2"/>
        <v>0.86842105263157887</v>
      </c>
      <c r="O35" s="1">
        <f t="shared" si="3"/>
        <v>7.8157894736842133</v>
      </c>
      <c r="P35" s="16">
        <f ca="1">'Aerodynamics-Constants'!AC35</f>
        <v>5.2417396335312914E-2</v>
      </c>
      <c r="Q35" s="16">
        <f>'Aerodynamics-Constants'!AD35</f>
        <v>3.9078947368421066</v>
      </c>
      <c r="R35" s="63">
        <f>Stability!G35</f>
        <v>5.6500000000000012</v>
      </c>
      <c r="S35" s="16">
        <f ca="1">'Aerodynamics-Constants'!AM35</f>
        <v>2.0494814609083551E-2</v>
      </c>
      <c r="T35" s="16">
        <f>'Aerodynamics-Constants'!AN35</f>
        <v>3.9078947368421066</v>
      </c>
      <c r="V35" s="81">
        <f t="shared" ca="1" si="4"/>
        <v>366555.21480702626</v>
      </c>
      <c r="W35" s="49">
        <f ca="1">IF(ISERROR(BM35),Main!H35,BM35)</f>
        <v>0.67008232855750216</v>
      </c>
      <c r="X35" s="42">
        <f ca="1">'Airfoil-Speed'!V35</f>
        <v>9.5317428283270677E-3</v>
      </c>
      <c r="Y35" s="14">
        <f t="shared" ca="1" si="5"/>
        <v>70.300084740652764</v>
      </c>
      <c r="Z35" s="16">
        <f ca="1">'Airfoil-Speed'!AF35</f>
        <v>-0.15499999999999886</v>
      </c>
      <c r="AA35" s="31">
        <f>Main!I35</f>
        <v>1.1357693582334683</v>
      </c>
      <c r="AB35" s="12">
        <f t="shared" si="6"/>
        <v>-0.11953955021699003</v>
      </c>
      <c r="AC35" s="30">
        <f t="shared" ca="1" si="7"/>
        <v>1.3762984378396415</v>
      </c>
      <c r="AD35" s="13">
        <f t="shared" ca="1" si="8"/>
        <v>1.3762984378157477</v>
      </c>
      <c r="AE35" s="13">
        <f ca="1">DEGREES(AF35/BP35)+'Airfoil-Speed'!K35</f>
        <v>-0.33377758386654577</v>
      </c>
      <c r="AF35" s="1">
        <f t="shared" ca="1" si="9"/>
        <v>0.66988901725118977</v>
      </c>
      <c r="AG35" s="16">
        <f ca="1">0.9*'Airfoil-Speed'!I35</f>
        <v>1.4255173948045929</v>
      </c>
      <c r="AH35" s="42">
        <f ca="1">0.455/(LOG10(MIN(V35,'Aerodynamics-Constants'!L35)))^2.58</f>
        <v>5.4310593796986755E-3</v>
      </c>
      <c r="AI35" s="42">
        <f ca="1">+AH35*'Aerodynamics-Constants'!J35*'Aerodynamics-Constants'!M35</f>
        <v>0</v>
      </c>
      <c r="AJ35" s="10">
        <f ca="1">X35*COS(RADIANS(AC35))*'Aerodynamics-Constants'!M35+AI35</f>
        <v>9.5289930264310166E-3</v>
      </c>
      <c r="AK35" s="10">
        <f ca="1">AF35^2/(PI()*'Aerodynamics-Constants'!I35*AA35)</f>
        <v>1.6091363374194541E-2</v>
      </c>
      <c r="AL35" s="10">
        <f t="shared" ca="1" si="10"/>
        <v>2.5620356400625557E-2</v>
      </c>
      <c r="AM35" s="1">
        <f t="shared" ca="1" si="11"/>
        <v>-0.15499999999999886</v>
      </c>
      <c r="AN35" s="1">
        <f t="shared" ca="1" si="12"/>
        <v>-0.37626795133074747</v>
      </c>
      <c r="AO35" s="12">
        <f t="shared" si="28"/>
        <v>0.93762649249643182</v>
      </c>
      <c r="AP35" s="12">
        <f t="shared" si="13"/>
        <v>6.6522765731052091E-2</v>
      </c>
      <c r="AQ35" s="81">
        <f ca="1">B35*H35*'Aerodynamics-Constants'!AA35/C35</f>
        <v>127358.21134288545</v>
      </c>
      <c r="AR35" s="10">
        <f ca="1">0.455/(LOG10(MIN(AQ35,'Aerodynamics-Constants'!AG35)))^2.58</f>
        <v>6.7822915603341855E-3</v>
      </c>
      <c r="AS35" s="15">
        <f ca="1">AR35*'Aerodynamics-Constants'!AI35*'Aerodynamics-Constants'!AJ35*'Aerodynamics-Constants'!AE35/P35</f>
        <v>1.8865737299713352E-2</v>
      </c>
      <c r="AT35" s="10">
        <f t="shared" ca="1" si="14"/>
        <v>1.2299058242144494E-2</v>
      </c>
      <c r="AU35" s="10">
        <f t="shared" ca="1" si="15"/>
        <v>3.1164795541857845E-2</v>
      </c>
      <c r="AV35" s="12">
        <f t="shared" si="16"/>
        <v>0.94655263157894742</v>
      </c>
      <c r="AW35" s="12">
        <f t="shared" si="17"/>
        <v>5.6465289554894493E-2</v>
      </c>
      <c r="AX35" s="81">
        <f ca="1">B35*H35*'Aerodynamics-Constants'!AK35/C35</f>
        <v>79636.327816070348</v>
      </c>
      <c r="AY35" s="10">
        <f ca="1">0.455/(LOG10(MIN(AX35,'Aerodynamics-Constants'!AQ35)))^2.58</f>
        <v>7.5344479283345088E-3</v>
      </c>
      <c r="AZ35" s="15">
        <f ca="1">AY35*'Aerodynamics-Constants'!AS35*'Aerodynamics-Constants'!AT35*'Aerodynamics-Constants'!AO35/S35</f>
        <v>2.0957948217036611E-2</v>
      </c>
      <c r="BA35" s="81">
        <f ca="1">B35*H35*'Aerodynamics-Constants'!N35/C35</f>
        <v>2804147.3932737513</v>
      </c>
      <c r="BB35" s="10">
        <f ca="1">0.455/(LOG10(MIN(BA35,'Aerodynamics-Constants'!V35)))^2.58</f>
        <v>3.7130383230106049E-3</v>
      </c>
      <c r="BC35" s="10">
        <f ca="1">BB35*'Aerodynamics-Constants'!W35*'Aerodynamics-Constants'!X35*'Aerodynamics-Constants'!S35/N35+'Aerodynamics-Constants'!Z35</f>
        <v>2.0534767263205465E-3</v>
      </c>
      <c r="BD35" s="15">
        <f ca="1">BC35*'Aerodynamics-Constants'!AU35+(AJ35+AS35+AZ35)*('Aerodynamics-Constants'!AU35-1)</f>
        <v>7.1940922532707039E-3</v>
      </c>
      <c r="BE35" s="16">
        <f t="shared" ca="1" si="18"/>
        <v>0.64717769965540672</v>
      </c>
      <c r="BF35" s="10">
        <f t="shared" ca="1" si="19"/>
        <v>1.835641981044998E-2</v>
      </c>
      <c r="BG35" s="10">
        <f t="shared" ca="1" si="20"/>
        <v>1.6833727471052849E-2</v>
      </c>
      <c r="BH35" s="10">
        <f t="shared" ca="1" si="21"/>
        <v>3.5190147281502826E-2</v>
      </c>
      <c r="BI35" s="13">
        <f t="shared" ca="1" si="22"/>
        <v>131.66397519641163</v>
      </c>
      <c r="BJ35" s="13">
        <f t="shared" ca="1" si="23"/>
        <v>7.159200141316477</v>
      </c>
      <c r="BK35" s="13">
        <f t="shared" ca="1" si="24"/>
        <v>18.390877835160012</v>
      </c>
      <c r="BL35" s="14">
        <f t="shared" ca="1" si="25"/>
        <v>190.79363146962098</v>
      </c>
      <c r="BM35" s="1">
        <f ca="1">MIN(Main!H35,MAX(0.1,W35+0.05*(E35/BI35-1)*W35))</f>
        <v>0.67008232854594973</v>
      </c>
      <c r="BO35" s="16">
        <f ca="1">'Airfoil-Speed'!J35</f>
        <v>4.9558562138097075</v>
      </c>
      <c r="BP35" s="1">
        <f ca="1">BO35/(1+BO35/(PI()*'Aerodynamics-Constants'!I35)*(1+AB35))</f>
        <v>4.2080534412462738</v>
      </c>
      <c r="BR35" s="12">
        <v>6</v>
      </c>
      <c r="BS35" s="1">
        <f t="shared" si="26"/>
        <v>3.9441790955022142</v>
      </c>
      <c r="BT35" s="1">
        <f>Stability!W35</f>
        <v>2.7889557846438393</v>
      </c>
      <c r="BV35" s="12">
        <v>6</v>
      </c>
      <c r="BW35" s="1">
        <f t="shared" si="27"/>
        <v>3.9569645174604378</v>
      </c>
      <c r="BX35" s="1">
        <f>Stability!Y35</f>
        <v>2.7979964432108306</v>
      </c>
    </row>
    <row r="36" spans="2:76">
      <c r="B36" s="16">
        <f>Cruise!F36</f>
        <v>0.65969672852566186</v>
      </c>
      <c r="C36" s="74">
        <f>'Airfoil-Speed'!E36</f>
        <v>1.5987591530356481E-5</v>
      </c>
      <c r="E36" s="19">
        <f ca="1">Cruise!H36</f>
        <v>131.71508343857323</v>
      </c>
      <c r="F36" s="63">
        <f>Weight!G36</f>
        <v>0.3</v>
      </c>
      <c r="H36" s="20">
        <f ca="1">'Propulsion-Speed'!E36</f>
        <v>26.669668141824815</v>
      </c>
      <c r="I36" s="20">
        <f t="shared" ca="1" si="0"/>
        <v>17.693936140796925</v>
      </c>
      <c r="J36" s="20">
        <f t="shared" ca="1" si="1"/>
        <v>1.5072772914745938</v>
      </c>
      <c r="L36" s="31">
        <f>Main!B36</f>
        <v>0.33333333333333326</v>
      </c>
      <c r="M36" s="31">
        <f>Main!C36</f>
        <v>2.6842105263157898</v>
      </c>
      <c r="N36" s="1">
        <f t="shared" si="2"/>
        <v>0.89473684210526305</v>
      </c>
      <c r="O36" s="1">
        <f t="shared" si="3"/>
        <v>8.0526315789473717</v>
      </c>
      <c r="P36" s="16">
        <f ca="1">'Aerodynamics-Constants'!AC36</f>
        <v>5.3621746106374713E-2</v>
      </c>
      <c r="Q36" s="16">
        <f>'Aerodynamics-Constants'!AD36</f>
        <v>4.0263157894736858</v>
      </c>
      <c r="R36" s="63">
        <f>Stability!G36</f>
        <v>5.6500000000000012</v>
      </c>
      <c r="S36" s="16">
        <f ca="1">'Aerodynamics-Constants'!AM36</f>
        <v>2.1514190560189127E-2</v>
      </c>
      <c r="T36" s="16">
        <f>'Aerodynamics-Constants'!AN36</f>
        <v>4.0263157894736858</v>
      </c>
      <c r="V36" s="81">
        <f t="shared" ca="1" si="4"/>
        <v>366823.91654845665</v>
      </c>
      <c r="W36" s="49">
        <f ca="1">IF(ISERROR(BM36),Main!H36,BM36)</f>
        <v>0.65052906091067253</v>
      </c>
      <c r="X36" s="42">
        <f ca="1">'Airfoil-Speed'!V36</f>
        <v>9.7308260333052749E-3</v>
      </c>
      <c r="Y36" s="14">
        <f t="shared" ca="1" si="5"/>
        <v>66.852398623111242</v>
      </c>
      <c r="Z36" s="16">
        <f ca="1">'Airfoil-Speed'!AF36</f>
        <v>-0.15499999999999886</v>
      </c>
      <c r="AA36" s="31">
        <f>Main!I36</f>
        <v>1.1291202108009399</v>
      </c>
      <c r="AB36" s="12">
        <f t="shared" si="6"/>
        <v>-0.11435470693536576</v>
      </c>
      <c r="AC36" s="30">
        <f t="shared" ca="1" si="7"/>
        <v>1.3045143941810571</v>
      </c>
      <c r="AD36" s="13">
        <f t="shared" ca="1" si="8"/>
        <v>1.3045143941590733</v>
      </c>
      <c r="AE36" s="13">
        <f ca="1">DEGREES(AF36/BP36)+'Airfoil-Speed'!K36</f>
        <v>-0.63411678500683166</v>
      </c>
      <c r="AF36" s="1">
        <f t="shared" ca="1" si="9"/>
        <v>0.65036045591749558</v>
      </c>
      <c r="AG36" s="16">
        <f ca="1">0.9*'Airfoil-Speed'!I36</f>
        <v>1.4255319160525268</v>
      </c>
      <c r="AH36" s="42">
        <f ca="1">0.455/(LOG10(MIN(V36,'Aerodynamics-Constants'!L36)))^2.58</f>
        <v>5.4302580374256714E-3</v>
      </c>
      <c r="AI36" s="42">
        <f ca="1">+AH36*'Aerodynamics-Constants'!J36*'Aerodynamics-Constants'!M36</f>
        <v>0</v>
      </c>
      <c r="AJ36" s="10">
        <f ca="1">X36*COS(RADIANS(AC36))*'Aerodynamics-Constants'!M36+AI36</f>
        <v>9.7283039847827144E-3</v>
      </c>
      <c r="AK36" s="10">
        <f ca="1">AF36^2/(PI()*'Aerodynamics-Constants'!I36*AA36)</f>
        <v>1.4807453242564134E-2</v>
      </c>
      <c r="AL36" s="10">
        <f t="shared" ca="1" si="10"/>
        <v>2.4535757227346848E-2</v>
      </c>
      <c r="AM36" s="1">
        <f t="shared" ca="1" si="11"/>
        <v>-0.15499999999999886</v>
      </c>
      <c r="AN36" s="1">
        <f t="shared" ca="1" si="12"/>
        <v>-0.38200827876155613</v>
      </c>
      <c r="AO36" s="12">
        <f t="shared" si="28"/>
        <v>0.93347632556434401</v>
      </c>
      <c r="AP36" s="12">
        <f t="shared" si="13"/>
        <v>7.1264447328579283E-2</v>
      </c>
      <c r="AQ36" s="81">
        <f ca="1">B36*H36*'Aerodynamics-Constants'!AA36/C36</f>
        <v>126997.5834350527</v>
      </c>
      <c r="AR36" s="10">
        <f ca="1">0.455/(LOG10(MIN(AQ36,'Aerodynamics-Constants'!AG36)))^2.58</f>
        <v>6.7865145301304426E-3</v>
      </c>
      <c r="AS36" s="15">
        <f ca="1">AR36*'Aerodynamics-Constants'!AI36*'Aerodynamics-Constants'!AJ36*'Aerodynamics-Constants'!AE36/P36</f>
        <v>1.8877483984162419E-2</v>
      </c>
      <c r="AT36" s="10">
        <f t="shared" ca="1" si="14"/>
        <v>1.2359034224585484E-2</v>
      </c>
      <c r="AU36" s="10">
        <f t="shared" ca="1" si="15"/>
        <v>3.1236518208747902E-2</v>
      </c>
      <c r="AV36" s="12">
        <f t="shared" si="16"/>
        <v>0.94584210526315793</v>
      </c>
      <c r="AW36" s="12">
        <f t="shared" si="17"/>
        <v>5.725891714428788E-2</v>
      </c>
      <c r="AX36" s="81">
        <f ca="1">B36*H36*'Aerodynamics-Constants'!AK36/C36</f>
        <v>80442.857011667191</v>
      </c>
      <c r="AY36" s="10">
        <f ca="1">0.455/(LOG10(MIN(AX36,'Aerodynamics-Constants'!AQ36)))^2.58</f>
        <v>7.5171184277522118E-3</v>
      </c>
      <c r="AZ36" s="15">
        <f ca="1">AY36*'Aerodynamics-Constants'!AS36*'Aerodynamics-Constants'!AT36*'Aerodynamics-Constants'!AO36/S36</f>
        <v>2.090974418413527E-2</v>
      </c>
      <c r="BA36" s="81">
        <f ca="1">B36*H36*'Aerodynamics-Constants'!N36/C36</f>
        <v>2806202.9615956941</v>
      </c>
      <c r="BB36" s="10">
        <f ca="1">0.455/(LOG10(MIN(BA36,'Aerodynamics-Constants'!V36)))^2.58</f>
        <v>3.712565547018017E-3</v>
      </c>
      <c r="BC36" s="10">
        <f ca="1">BB36*'Aerodynamics-Constants'!W36*'Aerodynamics-Constants'!X36*'Aerodynamics-Constants'!S36/N36+'Aerodynamics-Constants'!Z36</f>
        <v>1.9928267952172602E-3</v>
      </c>
      <c r="BD36" s="15">
        <f ca="1">BC36*'Aerodynamics-Constants'!AU36+(AJ36+AS36+AZ36)*('Aerodynamics-Constants'!AU36-1)</f>
        <v>7.1436626900470311E-3</v>
      </c>
      <c r="BE36" s="16">
        <f t="shared" ca="1" si="18"/>
        <v>0.62746662840270606</v>
      </c>
      <c r="BF36" s="10">
        <f t="shared" ca="1" si="19"/>
        <v>1.8506078299011856E-2</v>
      </c>
      <c r="BG36" s="10">
        <f t="shared" ca="1" si="20"/>
        <v>1.554813247261729E-2</v>
      </c>
      <c r="BH36" s="10">
        <f t="shared" ca="1" si="21"/>
        <v>3.4054210771629144E-2</v>
      </c>
      <c r="BI36" s="13">
        <f t="shared" ca="1" si="22"/>
        <v>131.71508348265894</v>
      </c>
      <c r="BJ36" s="13">
        <f t="shared" ca="1" si="23"/>
        <v>7.1485127840813982</v>
      </c>
      <c r="BK36" s="13">
        <f t="shared" ca="1" si="24"/>
        <v>18.42552254728669</v>
      </c>
      <c r="BL36" s="14">
        <f t="shared" ca="1" si="25"/>
        <v>190.64846365904307</v>
      </c>
      <c r="BM36" s="1">
        <f ca="1">MIN(Main!H36,MAX(0.1,W36+0.05*(E36/BI36-1)*W36))</f>
        <v>0.65052906089978579</v>
      </c>
      <c r="BO36" s="16">
        <f ca="1">'Airfoil-Speed'!J36</f>
        <v>4.9546349146108613</v>
      </c>
      <c r="BP36" s="1">
        <f ca="1">BO36/(1+BO36/(PI()*'Aerodynamics-Constants'!I36)*(1+AB36))</f>
        <v>4.2222667721204239</v>
      </c>
      <c r="BR36" s="12">
        <v>6</v>
      </c>
      <c r="BS36" s="1">
        <f t="shared" si="26"/>
        <v>3.9783893429633941</v>
      </c>
      <c r="BT36" s="1">
        <f>Stability!W36</f>
        <v>2.8131460826097094</v>
      </c>
      <c r="BV36" s="12">
        <v>6</v>
      </c>
      <c r="BW36" s="1">
        <f t="shared" si="27"/>
        <v>3.9959918173096995</v>
      </c>
      <c r="BX36" s="1">
        <f>Stability!Y36</f>
        <v>2.8255929115856442</v>
      </c>
    </row>
    <row r="37" spans="2:76">
      <c r="B37" s="16">
        <f>Cruise!F37</f>
        <v>0.65969672852566186</v>
      </c>
      <c r="C37" s="74">
        <f>'Airfoil-Speed'!E37</f>
        <v>1.5987591530356481E-5</v>
      </c>
      <c r="E37" s="19">
        <f ca="1">Cruise!H37</f>
        <v>131.79789717300858</v>
      </c>
      <c r="F37" s="63">
        <f>Weight!G37</f>
        <v>0.3</v>
      </c>
      <c r="H37" s="20">
        <f ca="1">'Propulsion-Speed'!E37</f>
        <v>26.668804211361664</v>
      </c>
      <c r="I37" s="20">
        <f t="shared" ca="1" si="0"/>
        <v>17.444819274302514</v>
      </c>
      <c r="J37" s="20">
        <f t="shared" ca="1" si="1"/>
        <v>1.5287521064002509</v>
      </c>
      <c r="L37" s="31">
        <f>Main!B37</f>
        <v>0.33333333333333326</v>
      </c>
      <c r="M37" s="31">
        <f>Main!C37</f>
        <v>2.7631578947368425</v>
      </c>
      <c r="N37" s="1">
        <f t="shared" si="2"/>
        <v>0.92105263157894723</v>
      </c>
      <c r="O37" s="1">
        <f t="shared" si="3"/>
        <v>8.2894736842105292</v>
      </c>
      <c r="P37" s="16">
        <f ca="1">'Aerodynamics-Constants'!AC37</f>
        <v>5.482534386108661E-2</v>
      </c>
      <c r="Q37" s="16">
        <f>'Aerodynamics-Constants'!AD37</f>
        <v>4.1447368421052646</v>
      </c>
      <c r="R37" s="63">
        <f>Stability!G37</f>
        <v>5.6500000000000012</v>
      </c>
      <c r="S37" s="16">
        <f ca="1">'Aerodynamics-Constants'!AM37</f>
        <v>2.2560622713503117E-2</v>
      </c>
      <c r="T37" s="16">
        <f>'Aerodynamics-Constants'!AN37</f>
        <v>4.1447368421052646</v>
      </c>
      <c r="V37" s="81">
        <f t="shared" ca="1" si="4"/>
        <v>366812.03374757461</v>
      </c>
      <c r="W37" s="49">
        <f ca="1">IF(ISERROR(BM37),Main!H37,BM37)</f>
        <v>0.63316611484281349</v>
      </c>
      <c r="X37" s="42">
        <f ca="1">'Airfoil-Speed'!V37</f>
        <v>9.9076082987280718E-3</v>
      </c>
      <c r="Y37" s="14">
        <f t="shared" ca="1" si="5"/>
        <v>63.907059681002799</v>
      </c>
      <c r="Z37" s="16">
        <f ca="1">'Airfoil-Speed'!AF37</f>
        <v>-0.15499999999999886</v>
      </c>
      <c r="AA37" s="31">
        <f>Main!I37</f>
        <v>1.1225333603782677</v>
      </c>
      <c r="AB37" s="12">
        <f t="shared" si="6"/>
        <v>-0.10915787869055116</v>
      </c>
      <c r="AC37" s="30">
        <f t="shared" ca="1" si="7"/>
        <v>1.2406874308468319</v>
      </c>
      <c r="AD37" s="13">
        <f t="shared" ca="1" si="8"/>
        <v>1.2406874308263778</v>
      </c>
      <c r="AE37" s="13">
        <f ca="1">DEGREES(AF37/BP37)+'Airfoil-Speed'!K37</f>
        <v>-0.89837183496023876</v>
      </c>
      <c r="AF37" s="1">
        <f t="shared" ca="1" si="9"/>
        <v>0.63301767509799178</v>
      </c>
      <c r="AG37" s="16">
        <f ca="1">0.9*'Airfoil-Speed'!I37</f>
        <v>1.4255312741008856</v>
      </c>
      <c r="AH37" s="42">
        <f ca="1">0.455/(LOG10(MIN(V37,'Aerodynamics-Constants'!L37)))^2.58</f>
        <v>5.4302934593229678E-3</v>
      </c>
      <c r="AI37" s="42">
        <f ca="1">+AH37*'Aerodynamics-Constants'!J37*'Aerodynamics-Constants'!M37</f>
        <v>0</v>
      </c>
      <c r="AJ37" s="10">
        <f ca="1">X37*COS(RADIANS(AC37))*'Aerodynamics-Constants'!M37+AI37</f>
        <v>9.90528555464373E-3</v>
      </c>
      <c r="AK37" s="10">
        <f ca="1">AF37^2/(PI()*'Aerodynamics-Constants'!I37*AA37)</f>
        <v>1.3707415793264309E-2</v>
      </c>
      <c r="AL37" s="10">
        <f t="shared" ca="1" si="10"/>
        <v>2.3612701347908039E-2</v>
      </c>
      <c r="AM37" s="1">
        <f t="shared" ca="1" si="11"/>
        <v>-0.15499999999999886</v>
      </c>
      <c r="AN37" s="1">
        <f t="shared" ca="1" si="12"/>
        <v>-0.38733375288171318</v>
      </c>
      <c r="AO37" s="12">
        <f t="shared" si="28"/>
        <v>0.92936504226251027</v>
      </c>
      <c r="AP37" s="12">
        <f t="shared" si="13"/>
        <v>7.6003458840598448E-2</v>
      </c>
      <c r="AQ37" s="81">
        <f ca="1">B37*H37*'Aerodynamics-Constants'!AA37/C37</f>
        <v>126563.07876653869</v>
      </c>
      <c r="AR37" s="10">
        <f ca="1">0.455/(LOG10(MIN(AQ37,'Aerodynamics-Constants'!AG37)))^2.58</f>
        <v>6.7916234287207309E-3</v>
      </c>
      <c r="AS37" s="15">
        <f ca="1">AR37*'Aerodynamics-Constants'!AI37*'Aerodynamics-Constants'!AJ37*'Aerodynamics-Constants'!AE37/P37</f>
        <v>1.8891694983179171E-2</v>
      </c>
      <c r="AT37" s="10">
        <f t="shared" ca="1" si="14"/>
        <v>1.2397597163894899E-2</v>
      </c>
      <c r="AU37" s="10">
        <f t="shared" ca="1" si="15"/>
        <v>3.1289292147074071E-2</v>
      </c>
      <c r="AV37" s="12">
        <f t="shared" si="16"/>
        <v>0.94513157894736843</v>
      </c>
      <c r="AW37" s="12">
        <f t="shared" si="17"/>
        <v>5.8053737992482146E-2</v>
      </c>
      <c r="AX37" s="81">
        <f ca="1">B37*H37*'Aerodynamics-Constants'!AK37/C37</f>
        <v>81188.00881186816</v>
      </c>
      <c r="AY37" s="10">
        <f ca="1">0.455/(LOG10(MIN(AX37,'Aerodynamics-Constants'!AQ37)))^2.58</f>
        <v>7.5013098607997269E-3</v>
      </c>
      <c r="AZ37" s="15">
        <f ca="1">AY37*'Aerodynamics-Constants'!AS37*'Aerodynamics-Constants'!AT37*'Aerodynamics-Constants'!AO37/S37</f>
        <v>2.086577080602886E-2</v>
      </c>
      <c r="BA37" s="81">
        <f ca="1">B37*H37*'Aerodynamics-Constants'!N37/C37</f>
        <v>2806112.0581689463</v>
      </c>
      <c r="BB37" s="10">
        <f ca="1">0.455/(LOG10(MIN(BA37,'Aerodynamics-Constants'!V37)))^2.58</f>
        <v>3.7125864455127017E-3</v>
      </c>
      <c r="BC37" s="10">
        <f ca="1">BB37*'Aerodynamics-Constants'!W37*'Aerodynamics-Constants'!X37*'Aerodynamics-Constants'!S37/N37+'Aerodynamics-Constants'!Z37</f>
        <v>1.9358997747226173E-3</v>
      </c>
      <c r="BD37" s="15">
        <f ca="1">BC37*'Aerodynamics-Constants'!AU37+(AJ37+AS37+AZ37)*('Aerodynamics-Constants'!AU37-1)</f>
        <v>7.0957648865800594E-3</v>
      </c>
      <c r="BE37" s="16">
        <f t="shared" ca="1" si="18"/>
        <v>0.60996176551946857</v>
      </c>
      <c r="BF37" s="10">
        <f t="shared" ca="1" si="19"/>
        <v>1.8636666479549695E-2</v>
      </c>
      <c r="BG37" s="10">
        <f t="shared" ca="1" si="20"/>
        <v>1.444537853747423E-2</v>
      </c>
      <c r="BH37" s="10">
        <f t="shared" ca="1" si="21"/>
        <v>3.3082045017023921E-2</v>
      </c>
      <c r="BI37" s="13">
        <f t="shared" ca="1" si="22"/>
        <v>131.79789721616268</v>
      </c>
      <c r="BJ37" s="13">
        <f t="shared" ca="1" si="23"/>
        <v>7.1482250451237821</v>
      </c>
      <c r="BK37" s="13">
        <f t="shared" ca="1" si="24"/>
        <v>18.437849449923188</v>
      </c>
      <c r="BL37" s="14">
        <f t="shared" ca="1" si="25"/>
        <v>190.63461418715804</v>
      </c>
      <c r="BM37" s="1">
        <f ca="1">MIN(Main!H37,MAX(0.1,W37+0.05*(E37/BI37-1)*W37))</f>
        <v>0.63316611483244778</v>
      </c>
      <c r="BO37" s="16">
        <f ca="1">'Airfoil-Speed'!J37</f>
        <v>4.9546888988738376</v>
      </c>
      <c r="BP37" s="1">
        <f ca="1">BO37/(1+BO37/(PI()*'Aerodynamics-Constants'!I37)*(1+AB37))</f>
        <v>4.236628907705553</v>
      </c>
      <c r="BR37" s="12">
        <v>6</v>
      </c>
      <c r="BS37" s="1">
        <f t="shared" si="26"/>
        <v>4.0111960541300551</v>
      </c>
      <c r="BT37" s="1">
        <f>Stability!W37</f>
        <v>2.8363439305440838</v>
      </c>
      <c r="BV37" s="12">
        <v>6</v>
      </c>
      <c r="BW37" s="1">
        <f t="shared" si="27"/>
        <v>4.0334992312104214</v>
      </c>
      <c r="BX37" s="1">
        <f>Stability!Y37</f>
        <v>2.8521146582996155</v>
      </c>
    </row>
    <row r="38" spans="2:76">
      <c r="B38" s="16">
        <f>Cruise!F38</f>
        <v>0.65969672852566186</v>
      </c>
      <c r="C38" s="74">
        <f>'Airfoil-Speed'!E38</f>
        <v>1.5987591530356481E-5</v>
      </c>
      <c r="E38" s="19">
        <f ca="1">Cruise!H38</f>
        <v>131.90942506312635</v>
      </c>
      <c r="F38" s="63">
        <f>Weight!G38</f>
        <v>0.3</v>
      </c>
      <c r="H38" s="20">
        <f ca="1">'Propulsion-Speed'!E38</f>
        <v>26.651513055261361</v>
      </c>
      <c r="I38" s="20">
        <f t="shared" ca="1" si="0"/>
        <v>17.208177509378395</v>
      </c>
      <c r="J38" s="20">
        <f t="shared" ca="1" si="1"/>
        <v>1.5487702309402831</v>
      </c>
      <c r="L38" s="31">
        <f>Main!B38</f>
        <v>0.33333333333333326</v>
      </c>
      <c r="M38" s="31">
        <f>Main!C38</f>
        <v>2.8421052631578951</v>
      </c>
      <c r="N38" s="1">
        <f t="shared" si="2"/>
        <v>0.94736842105263153</v>
      </c>
      <c r="O38" s="1">
        <f t="shared" si="3"/>
        <v>8.5263157894736867</v>
      </c>
      <c r="P38" s="16">
        <f ca="1">'Aerodynamics-Constants'!AC38</f>
        <v>5.6028368192781342E-2</v>
      </c>
      <c r="Q38" s="16">
        <f>'Aerodynamics-Constants'!AD38</f>
        <v>4.2631578947368434</v>
      </c>
      <c r="R38" s="63">
        <f>Stability!G38</f>
        <v>5.6500000000000012</v>
      </c>
      <c r="S38" s="16">
        <f ca="1">'Aerodynamics-Constants'!AM38</f>
        <v>2.3634030155455236E-2</v>
      </c>
      <c r="T38" s="16">
        <f>'Aerodynamics-Constants'!AN38</f>
        <v>4.2631578947368434</v>
      </c>
      <c r="V38" s="81">
        <f t="shared" ca="1" si="4"/>
        <v>366574.20515635883</v>
      </c>
      <c r="W38" s="49">
        <f ca="1">IF(ISERROR(BM38),Main!H38,BM38)</f>
        <v>0.61762335718754735</v>
      </c>
      <c r="X38" s="42">
        <f ca="1">'Airfoil-Speed'!V38</f>
        <v>1.0065858165914198E-2</v>
      </c>
      <c r="Y38" s="14">
        <f t="shared" ca="1" si="5"/>
        <v>61.358241593249566</v>
      </c>
      <c r="Z38" s="16">
        <f ca="1">'Airfoil-Speed'!AF38</f>
        <v>-0.15499999999999886</v>
      </c>
      <c r="AA38" s="31">
        <f>Main!I38</f>
        <v>1.1160064675431407</v>
      </c>
      <c r="AB38" s="12">
        <f t="shared" si="6"/>
        <v>-0.10394784521144029</v>
      </c>
      <c r="AC38" s="30">
        <f t="shared" ca="1" si="7"/>
        <v>1.1835202323193572</v>
      </c>
      <c r="AD38" s="13">
        <f t="shared" ca="1" si="8"/>
        <v>1.1835202323001639</v>
      </c>
      <c r="AE38" s="13">
        <f ca="1">DEGREES(AF38/BP38)+'Airfoil-Speed'!K38</f>
        <v>-1.1325374449309056</v>
      </c>
      <c r="AF38" s="1">
        <f t="shared" ca="1" si="9"/>
        <v>0.61749159694603817</v>
      </c>
      <c r="AG38" s="16">
        <f ca="1">0.9*'Airfoil-Speed'!I38</f>
        <v>1.4255184214305585</v>
      </c>
      <c r="AH38" s="42">
        <f ca="1">0.455/(LOG10(MIN(V38,'Aerodynamics-Constants'!L38)))^2.58</f>
        <v>5.4310027205917858E-3</v>
      </c>
      <c r="AI38" s="42">
        <f ca="1">+AH38*'Aerodynamics-Constants'!J38*'Aerodynamics-Constants'!M38</f>
        <v>0</v>
      </c>
      <c r="AJ38" s="10">
        <f ca="1">X38*COS(RADIANS(AC38))*'Aerodynamics-Constants'!M38+AI38</f>
        <v>1.006371077319094E-2</v>
      </c>
      <c r="AK38" s="10">
        <f ca="1">AF38^2/(PI()*'Aerodynamics-Constants'!I38*AA38)</f>
        <v>1.2755106998659609E-2</v>
      </c>
      <c r="AL38" s="10">
        <f t="shared" ca="1" si="10"/>
        <v>2.2818817771850547E-2</v>
      </c>
      <c r="AM38" s="1">
        <f t="shared" ca="1" si="11"/>
        <v>-0.15499999999999886</v>
      </c>
      <c r="AN38" s="1">
        <f t="shared" ca="1" si="12"/>
        <v>-0.39229961300546939</v>
      </c>
      <c r="AO38" s="12">
        <f t="shared" si="28"/>
        <v>0.92529118240476216</v>
      </c>
      <c r="AP38" s="12">
        <f t="shared" si="13"/>
        <v>8.0740872728382929E-2</v>
      </c>
      <c r="AQ38" s="81">
        <f ca="1">B38*H38*'Aerodynamics-Constants'!AA38/C38</f>
        <v>126072.81043566845</v>
      </c>
      <c r="AR38" s="10">
        <f ca="1">0.455/(LOG10(MIN(AQ38,'Aerodynamics-Constants'!AG38)))^2.58</f>
        <v>6.7974155444789058E-3</v>
      </c>
      <c r="AS38" s="15">
        <f ca="1">AR38*'Aerodynamics-Constants'!AI38*'Aerodynamics-Constants'!AJ38*'Aerodynamics-Constants'!AE38/P38</f>
        <v>1.8907806430664312E-2</v>
      </c>
      <c r="AT38" s="10">
        <f t="shared" ca="1" si="14"/>
        <v>1.2418697407200072E-2</v>
      </c>
      <c r="AU38" s="10">
        <f t="shared" ca="1" si="15"/>
        <v>3.1326503837864381E-2</v>
      </c>
      <c r="AV38" s="12">
        <f t="shared" si="16"/>
        <v>0.94442105263157905</v>
      </c>
      <c r="AW38" s="12">
        <f t="shared" si="17"/>
        <v>5.884975479268828E-2</v>
      </c>
      <c r="AX38" s="81">
        <f ca="1">B38*H38*'Aerodynamics-Constants'!AK38/C38</f>
        <v>81881.60369853898</v>
      </c>
      <c r="AY38" s="10">
        <f ca="1">0.455/(LOG10(MIN(AX38,'Aerodynamics-Constants'!AQ38)))^2.58</f>
        <v>7.4867658121356923E-3</v>
      </c>
      <c r="AZ38" s="15">
        <f ca="1">AY38*'Aerodynamics-Constants'!AS38*'Aerodynamics-Constants'!AT38*'Aerodynamics-Constants'!AO38/S38</f>
        <v>2.0825314833452468E-2</v>
      </c>
      <c r="BA38" s="81">
        <f ca="1">B38*H38*'Aerodynamics-Constants'!N38/C38</f>
        <v>2804292.6694461452</v>
      </c>
      <c r="BB38" s="10">
        <f ca="1">0.455/(LOG10(MIN(BA38,'Aerodynamics-Constants'!V38)))^2.58</f>
        <v>3.7130048957010092E-3</v>
      </c>
      <c r="BC38" s="10">
        <f ca="1">BB38*'Aerodynamics-Constants'!W38*'Aerodynamics-Constants'!X38*'Aerodynamics-Constants'!S38/N38+'Aerodynamics-Constants'!Z38</f>
        <v>1.8823367342060511E-3</v>
      </c>
      <c r="BD38" s="15">
        <f ca="1">BC38*'Aerodynamics-Constants'!AU38+(AJ38+AS38+AZ38)*('Aerodynamics-Constants'!AU38-1)</f>
        <v>7.0502536113574328E-3</v>
      </c>
      <c r="BE38" s="16">
        <f t="shared" ca="1" si="18"/>
        <v>0.59429058383338451</v>
      </c>
      <c r="BF38" s="10">
        <f t="shared" ca="1" si="19"/>
        <v>1.8751721802577791E-2</v>
      </c>
      <c r="BG38" s="10">
        <f t="shared" ca="1" si="20"/>
        <v>1.3489561868954138E-2</v>
      </c>
      <c r="BH38" s="10">
        <f t="shared" ca="1" si="21"/>
        <v>3.2241283671531923E-2</v>
      </c>
      <c r="BI38" s="13">
        <f t="shared" ca="1" si="22"/>
        <v>131.90942510561337</v>
      </c>
      <c r="BJ38" s="13">
        <f t="shared" ca="1" si="23"/>
        <v>7.1563126010610452</v>
      </c>
      <c r="BK38" s="13">
        <f t="shared" ca="1" si="24"/>
        <v>18.432596849675843</v>
      </c>
      <c r="BL38" s="14">
        <f t="shared" ca="1" si="25"/>
        <v>190.72655871470982</v>
      </c>
      <c r="BM38" s="1">
        <f ca="1">MIN(Main!H38,MAX(0.1,W38+0.05*(E38/BI38-1)*W38))</f>
        <v>0.61762335717760075</v>
      </c>
      <c r="BO38" s="16">
        <f ca="1">'Airfoil-Speed'!J38</f>
        <v>4.9557698598680231</v>
      </c>
      <c r="BP38" s="1">
        <f ca="1">BO38/(1+BO38/(PI()*'Aerodynamics-Constants'!I38)*(1+AB38))</f>
        <v>4.2510321347164428</v>
      </c>
      <c r="BR38" s="12">
        <v>6</v>
      </c>
      <c r="BS38" s="1">
        <f t="shared" si="26"/>
        <v>4.0426828290456038</v>
      </c>
      <c r="BT38" s="1">
        <f>Stability!W38</f>
        <v>2.858608442604563</v>
      </c>
      <c r="BV38" s="12">
        <v>6</v>
      </c>
      <c r="BW38" s="1">
        <f t="shared" si="27"/>
        <v>4.0695737230182569</v>
      </c>
      <c r="BX38" s="1">
        <f>Stability!Y38</f>
        <v>2.8776231760847946</v>
      </c>
    </row>
    <row r="39" spans="2:76">
      <c r="B39" s="16">
        <f>Cruise!F39</f>
        <v>0.65969672852566186</v>
      </c>
      <c r="C39" s="74">
        <f>'Airfoil-Speed'!E39</f>
        <v>1.5987591530356481E-5</v>
      </c>
      <c r="E39" s="19">
        <f ca="1">Cruise!H39</f>
        <v>132.04710507961775</v>
      </c>
      <c r="F39" s="63">
        <f>Weight!G39</f>
        <v>0.3</v>
      </c>
      <c r="H39" s="20">
        <f ca="1">'Propulsion-Speed'!E39</f>
        <v>26.620857504710564</v>
      </c>
      <c r="I39" s="20">
        <f t="shared" ca="1" si="0"/>
        <v>16.983033580288854</v>
      </c>
      <c r="J39" s="20">
        <f t="shared" ca="1" si="1"/>
        <v>1.5674971952954111</v>
      </c>
      <c r="L39" s="31">
        <f>Main!B39</f>
        <v>0.33333333333333326</v>
      </c>
      <c r="M39" s="31">
        <f>Main!C39</f>
        <v>2.9210526315789478</v>
      </c>
      <c r="N39" s="1">
        <f t="shared" si="2"/>
        <v>0.97368421052631571</v>
      </c>
      <c r="O39" s="1">
        <f t="shared" si="3"/>
        <v>8.763157894736846</v>
      </c>
      <c r="P39" s="16">
        <f ca="1">'Aerodynamics-Constants'!AC39</f>
        <v>5.7230970130204631E-2</v>
      </c>
      <c r="Q39" s="16">
        <f>'Aerodynamics-Constants'!AD39</f>
        <v>4.381578947368423</v>
      </c>
      <c r="R39" s="63">
        <f>Stability!G39</f>
        <v>5.6500000000000012</v>
      </c>
      <c r="S39" s="16">
        <f ca="1">'Aerodynamics-Constants'!AM39</f>
        <v>2.4734340811647802E-2</v>
      </c>
      <c r="T39" s="16">
        <f>'Aerodynamics-Constants'!AN39</f>
        <v>4.381578947368423</v>
      </c>
      <c r="V39" s="81">
        <f t="shared" ca="1" si="4"/>
        <v>366152.55802309891</v>
      </c>
      <c r="W39" s="49">
        <f ca="1">IF(ISERROR(BM39),Main!H39,BM39)</f>
        <v>0.60361568982999714</v>
      </c>
      <c r="X39" s="42">
        <f ca="1">'Airfoil-Speed'!V39</f>
        <v>1.0208478384801621E-2</v>
      </c>
      <c r="Y39" s="14">
        <f t="shared" ca="1" si="5"/>
        <v>59.128860058974112</v>
      </c>
      <c r="Z39" s="16">
        <f ca="1">'Airfoil-Speed'!AF39</f>
        <v>-0.15499999999999886</v>
      </c>
      <c r="AA39" s="31">
        <f>Main!I39</f>
        <v>1.1095373430241193</v>
      </c>
      <c r="AB39" s="12">
        <f t="shared" si="6"/>
        <v>-9.8723439740719177E-2</v>
      </c>
      <c r="AC39" s="30">
        <f t="shared" ca="1" si="7"/>
        <v>1.1319987614151883</v>
      </c>
      <c r="AD39" s="13">
        <f t="shared" ca="1" si="8"/>
        <v>1.1319987613970499</v>
      </c>
      <c r="AE39" s="13">
        <f ca="1">DEGREES(AF39/BP39)+'Airfoil-Speed'!K39</f>
        <v>-1.3412721166476231</v>
      </c>
      <c r="AF39" s="1">
        <f t="shared" ca="1" si="9"/>
        <v>0.60349788501659385</v>
      </c>
      <c r="AG39" s="16">
        <f ca="1">0.9*'Airfoil-Speed'!I39</f>
        <v>1.4254956146617859</v>
      </c>
      <c r="AH39" s="42">
        <f ca="1">0.455/(LOG10(MIN(V39,'Aerodynamics-Constants'!L39)))^2.58</f>
        <v>5.4322616206596589E-3</v>
      </c>
      <c r="AI39" s="42">
        <f ca="1">+AH39*'Aerodynamics-Constants'!J39*'Aerodynamics-Constants'!M39</f>
        <v>0</v>
      </c>
      <c r="AJ39" s="10">
        <f ca="1">X39*COS(RADIANS(AC39))*'Aerodynamics-Constants'!M39+AI39</f>
        <v>1.02064860444574E-2</v>
      </c>
      <c r="AK39" s="10">
        <f ca="1">AF39^2/(PI()*'Aerodynamics-Constants'!I39*AA39)</f>
        <v>1.192337139227747E-2</v>
      </c>
      <c r="AL39" s="10">
        <f t="shared" ca="1" si="10"/>
        <v>2.212985743673487E-2</v>
      </c>
      <c r="AM39" s="1">
        <f t="shared" ca="1" si="11"/>
        <v>-0.15499999999999886</v>
      </c>
      <c r="AN39" s="1">
        <f t="shared" ca="1" si="12"/>
        <v>-0.39694942786909942</v>
      </c>
      <c r="AO39" s="12">
        <f t="shared" si="28"/>
        <v>0.92125337952389075</v>
      </c>
      <c r="AP39" s="12">
        <f t="shared" si="13"/>
        <v>8.5477700517968325E-2</v>
      </c>
      <c r="AQ39" s="81">
        <f ca="1">B39*H39*'Aerodynamics-Constants'!AA39/C39</f>
        <v>125540.41516698072</v>
      </c>
      <c r="AR39" s="10">
        <f ca="1">0.455/(LOG10(MIN(AQ39,'Aerodynamics-Constants'!AG39)))^2.58</f>
        <v>6.8037387352752818E-3</v>
      </c>
      <c r="AS39" s="15">
        <f ca="1">AR39*'Aerodynamics-Constants'!AI39*'Aerodynamics-Constants'!AJ39*'Aerodynamics-Constants'!AE39/P39</f>
        <v>1.8925395125488062E-2</v>
      </c>
      <c r="AT39" s="10">
        <f t="shared" ca="1" si="14"/>
        <v>1.2425410706108328E-2</v>
      </c>
      <c r="AU39" s="10">
        <f t="shared" ca="1" si="15"/>
        <v>3.1350805831596391E-2</v>
      </c>
      <c r="AV39" s="12">
        <f t="shared" si="16"/>
        <v>0.94371052631578956</v>
      </c>
      <c r="AW39" s="12">
        <f t="shared" si="17"/>
        <v>5.9646970246228337E-2</v>
      </c>
      <c r="AX39" s="81">
        <f ca="1">B39*H39*'Aerodynamics-Constants'!AK39/C39</f>
        <v>82531.203265551201</v>
      </c>
      <c r="AY39" s="10">
        <f ca="1">0.455/(LOG10(MIN(AX39,'Aerodynamics-Constants'!AQ39)))^2.58</f>
        <v>7.4732906311574107E-3</v>
      </c>
      <c r="AZ39" s="15">
        <f ca="1">AY39*'Aerodynamics-Constants'!AS39*'Aerodynamics-Constants'!AT39*'Aerodynamics-Constants'!AO39/S39</f>
        <v>2.0787832041369466E-2</v>
      </c>
      <c r="BA39" s="81">
        <f ca="1">B39*H39*'Aerodynamics-Constants'!N39/C39</f>
        <v>2801067.0688767075</v>
      </c>
      <c r="BB39" s="10">
        <f ca="1">0.455/(LOG10(MIN(BA39,'Aerodynamics-Constants'!V39)))^2.58</f>
        <v>3.7137475963706906E-3</v>
      </c>
      <c r="BC39" s="10">
        <f ca="1">BB39*'Aerodynamics-Constants'!W39*'Aerodynamics-Constants'!X39*'Aerodynamics-Constants'!S39/N39+'Aerodynamics-Constants'!Z39</f>
        <v>1.8318287935058532E-3</v>
      </c>
      <c r="BD39" s="15">
        <f ca="1">BC39*'Aerodynamics-Constants'!AU39+(AJ39+AS39+AZ39)*('Aerodynamics-Constants'!AU39-1)</f>
        <v>7.0069829939879364E-3</v>
      </c>
      <c r="BE39" s="16">
        <f t="shared" ca="1" si="18"/>
        <v>0.58016608954945947</v>
      </c>
      <c r="BF39" s="10">
        <f t="shared" ca="1" si="19"/>
        <v>1.8853931139306817E-2</v>
      </c>
      <c r="BG39" s="10">
        <f t="shared" ca="1" si="20"/>
        <v>1.265370911501041E-2</v>
      </c>
      <c r="BH39" s="10">
        <f t="shared" ca="1" si="21"/>
        <v>3.150764025431723E-2</v>
      </c>
      <c r="BI39" s="13">
        <f t="shared" ca="1" si="22"/>
        <v>132.04710512164056</v>
      </c>
      <c r="BJ39" s="13">
        <f t="shared" ca="1" si="23"/>
        <v>7.171209692775359</v>
      </c>
      <c r="BK39" s="13">
        <f t="shared" ca="1" si="24"/>
        <v>18.413504942502453</v>
      </c>
      <c r="BL39" s="14">
        <f t="shared" ca="1" si="25"/>
        <v>190.90375136777206</v>
      </c>
      <c r="BM39" s="1">
        <f ca="1">MIN(Main!H39,MAX(0.1,W39+0.05*(E39/BI39-1)*W39))</f>
        <v>0.60361568982039238</v>
      </c>
      <c r="BO39" s="16">
        <f ca="1">'Airfoil-Speed'!J39</f>
        <v>4.9576886049315441</v>
      </c>
      <c r="BP39" s="1">
        <f ca="1">BO39/(1+BO39/(PI()*'Aerodynamics-Constants'!I39)*(1+AB39))</f>
        <v>4.2654008321134258</v>
      </c>
      <c r="BR39" s="12">
        <v>6</v>
      </c>
      <c r="BS39" s="1">
        <f t="shared" si="26"/>
        <v>4.07292669268785</v>
      </c>
      <c r="BT39" s="1">
        <f>Stability!W39</f>
        <v>2.8799940836752764</v>
      </c>
      <c r="BV39" s="12">
        <v>6</v>
      </c>
      <c r="BW39" s="1">
        <f t="shared" si="27"/>
        <v>4.1042957459386722</v>
      </c>
      <c r="BX39" s="1">
        <f>Stability!Y39</f>
        <v>2.9021753539483348</v>
      </c>
    </row>
    <row r="40" spans="2:76">
      <c r="B40" s="16">
        <f>Cruise!F40</f>
        <v>0.65969672852566186</v>
      </c>
      <c r="C40" s="74">
        <f>'Airfoil-Speed'!E40</f>
        <v>1.5987591530356481E-5</v>
      </c>
      <c r="E40" s="19">
        <f ca="1">Cruise!H40</f>
        <v>109.4823661580773</v>
      </c>
      <c r="F40" s="63">
        <f>Weight!G40</f>
        <v>0.3</v>
      </c>
      <c r="H40" s="20">
        <f ca="1">'Propulsion-Speed'!E40</f>
        <v>27.017858035551438</v>
      </c>
      <c r="I40" s="20">
        <f t="shared" ca="1" si="0"/>
        <v>15.257637559290444</v>
      </c>
      <c r="J40" s="20">
        <f t="shared" ca="1" si="1"/>
        <v>1.7707759756752213</v>
      </c>
      <c r="L40" s="31">
        <f>Main!B40</f>
        <v>0.33333333333333326</v>
      </c>
      <c r="M40" s="31">
        <f>Main!C40</f>
        <v>3</v>
      </c>
      <c r="N40" s="1">
        <f t="shared" si="2"/>
        <v>0.99999999999999978</v>
      </c>
      <c r="O40" s="1">
        <f t="shared" si="3"/>
        <v>9.0000000000000018</v>
      </c>
      <c r="P40" s="16">
        <f ca="1">'Aerodynamics-Constants'!AC40</f>
        <v>6.0005710882722572E-2</v>
      </c>
      <c r="Q40" s="16">
        <f>'Aerodynamics-Constants'!AD40</f>
        <v>4.5000000000000009</v>
      </c>
      <c r="R40" s="63">
        <f>Stability!G40</f>
        <v>5.6500000000000012</v>
      </c>
      <c r="S40" s="16">
        <f ca="1">'Aerodynamics-Constants'!AM40</f>
        <v>2.5861490283211861E-2</v>
      </c>
      <c r="T40" s="16">
        <f>'Aerodynamics-Constants'!AN40</f>
        <v>4.5000000000000009</v>
      </c>
      <c r="V40" s="81">
        <f t="shared" ca="1" si="4"/>
        <v>371613.04177641874</v>
      </c>
      <c r="W40" s="49">
        <f ca="1">IF(ISERROR(BM40),Main!H40,BM40)</f>
        <v>0.47944118229895433</v>
      </c>
      <c r="X40" s="42">
        <f ca="1">'Airfoil-Speed'!V40</f>
        <v>1.2011510070818934E-2</v>
      </c>
      <c r="Y40" s="14">
        <f t="shared" ca="1" si="5"/>
        <v>39.915146344814787</v>
      </c>
      <c r="Z40" s="16">
        <f ca="1">'Airfoil-Speed'!AF40</f>
        <v>-0.15499999999999886</v>
      </c>
      <c r="AA40" s="31">
        <f>Main!I40</f>
        <v>1.1031239342794878</v>
      </c>
      <c r="AB40" s="12">
        <f t="shared" si="6"/>
        <v>-9.3483543484933929E-2</v>
      </c>
      <c r="AC40" s="30">
        <f t="shared" ca="1" si="7"/>
        <v>0.88064131989052274</v>
      </c>
      <c r="AD40" s="13">
        <f t="shared" ca="1" si="8"/>
        <v>0.88062290570818103</v>
      </c>
      <c r="AE40" s="13">
        <f ca="1">DEGREES(AF40/BP40)+'Airfoil-Speed'!K40</f>
        <v>-3.0932252055576646</v>
      </c>
      <c r="AF40" s="1">
        <f t="shared" ca="1" si="9"/>
        <v>0.47938455189716211</v>
      </c>
      <c r="AG40" s="16">
        <f ca="1">0.9*'Airfoil-Speed'!I40</f>
        <v>1.4257889803073966</v>
      </c>
      <c r="AH40" s="42">
        <f ca="1">0.455/(LOG10(MIN(V40,'Aerodynamics-Constants'!L40)))^2.58</f>
        <v>5.4161002954072847E-3</v>
      </c>
      <c r="AI40" s="42">
        <f ca="1">+AH40*'Aerodynamics-Constants'!J40*'Aerodynamics-Constants'!M40</f>
        <v>0</v>
      </c>
      <c r="AJ40" s="10">
        <f ca="1">X40*COS(RADIANS(AC40))*'Aerodynamics-Constants'!M40+AI40</f>
        <v>1.2010091301079171E-2</v>
      </c>
      <c r="AK40" s="10">
        <f ca="1">AF40^2/(PI()*'Aerodynamics-Constants'!I40*AA40)</f>
        <v>7.368029907803283E-3</v>
      </c>
      <c r="AL40" s="10">
        <f t="shared" ca="1" si="10"/>
        <v>1.9378121208882455E-2</v>
      </c>
      <c r="AM40" s="1">
        <f t="shared" ca="1" si="11"/>
        <v>-0.15499999999999886</v>
      </c>
      <c r="AN40" s="1">
        <f t="shared" ca="1" si="12"/>
        <v>-0.40815670374619767</v>
      </c>
      <c r="AO40" s="12">
        <f>MAX(0,(1.78*(1-0.045*Q40^0.68)-0.64))*1</f>
        <v>0.9172503524946326</v>
      </c>
      <c r="AP40" s="12">
        <f t="shared" si="13"/>
        <v>9.0214898561024714E-2</v>
      </c>
      <c r="AQ40" s="81">
        <f ca="1">B40*H40*'Aerodynamics-Constants'!AA40/C40</f>
        <v>128736.66100289916</v>
      </c>
      <c r="AR40" s="10">
        <f ca="1">0.455/(LOG10(MIN(AQ40,'Aerodynamics-Constants'!AG40)))^2.58</f>
        <v>6.7662924764506525E-3</v>
      </c>
      <c r="AS40" s="15">
        <f ca="1">AR40*'Aerodynamics-Constants'!AI40*'Aerodynamics-Constants'!AJ40*'Aerodynamics-Constants'!AE40/P40</f>
        <v>1.8821233976478457E-2</v>
      </c>
      <c r="AT40" s="10">
        <f t="shared" ca="1" si="14"/>
        <v>1.2847055316004859E-2</v>
      </c>
      <c r="AU40" s="10">
        <f t="shared" ca="1" si="15"/>
        <v>3.1668289292483318E-2</v>
      </c>
      <c r="AV40" s="12">
        <f t="shared" si="16"/>
        <v>0.94300000000000006</v>
      </c>
      <c r="AW40" s="12">
        <f t="shared" si="17"/>
        <v>6.0445387062566303E-2</v>
      </c>
      <c r="AX40" s="81">
        <f ca="1">B40*H40*'Aerodynamics-Constants'!AK40/C40</f>
        <v>84514.790426388223</v>
      </c>
      <c r="AY40" s="10">
        <f ca="1">0.455/(LOG10(MIN(AX40,'Aerodynamics-Constants'!AQ40)))^2.58</f>
        <v>7.4329923685405516E-3</v>
      </c>
      <c r="AZ40" s="15">
        <f ca="1">AY40*'Aerodynamics-Constants'!AS40*'Aerodynamics-Constants'!AT40*'Aerodynamics-Constants'!AO40/S40</f>
        <v>2.0675737710212892E-2</v>
      </c>
      <c r="BA40" s="81">
        <f ca="1">B40*H40*'Aerodynamics-Constants'!N40/C40</f>
        <v>2842839.7695896043</v>
      </c>
      <c r="BB40" s="10">
        <f ca="1">0.455/(LOG10(MIN(BA40,'Aerodynamics-Constants'!V40)))^2.58</f>
        <v>3.7042105716581755E-3</v>
      </c>
      <c r="BC40" s="10">
        <f ca="1">BB40*'Aerodynamics-Constants'!W40*'Aerodynamics-Constants'!X40*'Aerodynamics-Constants'!S40/N40+'Aerodynamics-Constants'!Z40</f>
        <v>1.7790463294401482E-3</v>
      </c>
      <c r="BD40" s="15">
        <f ca="1">BC40*'Aerodynamics-Constants'!AU40+(AJ40+AS40+AZ40)*('Aerodynamics-Constants'!AU40-1)</f>
        <v>7.1076572611612193E-3</v>
      </c>
      <c r="BE40" s="16">
        <f t="shared" ca="1" si="18"/>
        <v>0.45489281873732273</v>
      </c>
      <c r="BF40" s="10">
        <f t="shared" ca="1" si="19"/>
        <v>2.0781835476579941E-2</v>
      </c>
      <c r="BG40" s="10">
        <f t="shared" ca="1" si="20"/>
        <v>8.1389265947898141E-3</v>
      </c>
      <c r="BH40" s="10">
        <f t="shared" ca="1" si="21"/>
        <v>2.8920762071369753E-2</v>
      </c>
      <c r="BI40" s="13">
        <f t="shared" ca="1" si="22"/>
        <v>109.52802239875892</v>
      </c>
      <c r="BJ40" s="13">
        <f t="shared" ca="1" si="23"/>
        <v>6.9634730324712164</v>
      </c>
      <c r="BK40" s="13">
        <f t="shared" ca="1" si="24"/>
        <v>15.728936105305676</v>
      </c>
      <c r="BL40" s="14">
        <f t="shared" ca="1" si="25"/>
        <v>188.13812582569818</v>
      </c>
      <c r="BM40" s="1">
        <f ca="1">MIN(Main!H40,MAX(0.1,W40+0.05*(E40/BI40-1)*W40))</f>
        <v>0.47943118965892839</v>
      </c>
      <c r="BO40" s="16">
        <f ca="1">'Airfoil-Speed'!J40</f>
        <v>4.9330665142486341</v>
      </c>
      <c r="BP40" s="1">
        <f ca="1">BO40/(1+BO40/(PI()*'Aerodynamics-Constants'!I40)*(1+AB40))</f>
        <v>4.2593949806132692</v>
      </c>
      <c r="BR40" s="12">
        <v>6</v>
      </c>
      <c r="BS40" s="1">
        <f t="shared" si="26"/>
        <v>4.101998731574878</v>
      </c>
      <c r="BT40" s="1">
        <f>Stability!W40</f>
        <v>2.9005511195152129</v>
      </c>
      <c r="BV40" s="12">
        <v>6</v>
      </c>
      <c r="BW40" s="1">
        <f t="shared" si="27"/>
        <v>4.1377398406157262</v>
      </c>
      <c r="BX40" s="1">
        <f>Stability!Y40</f>
        <v>2.9258239000851245</v>
      </c>
    </row>
    <row r="42" spans="2:76">
      <c r="D42" s="4"/>
    </row>
    <row r="44" spans="2:76">
      <c r="I44" s="14"/>
      <c r="M44" s="1"/>
      <c r="N44" s="1"/>
      <c r="O44" s="1"/>
      <c r="P44" s="1"/>
    </row>
    <row r="45" spans="2:76">
      <c r="I45" s="14"/>
    </row>
    <row r="46" spans="2:76">
      <c r="I46" s="14"/>
    </row>
    <row r="47" spans="2:76">
      <c r="I47" s="14"/>
    </row>
    <row r="48" spans="2:76">
      <c r="I48" s="14"/>
    </row>
    <row r="49" spans="9:9">
      <c r="I49" s="14"/>
    </row>
    <row r="50" spans="9:9">
      <c r="I50" s="14"/>
    </row>
    <row r="51" spans="9:9">
      <c r="I51" s="14"/>
    </row>
    <row r="52" spans="9:9">
      <c r="I52" s="14"/>
    </row>
    <row r="53" spans="9:9">
      <c r="I53" s="14"/>
    </row>
    <row r="54" spans="9:9">
      <c r="I54" s="14"/>
    </row>
    <row r="55" spans="9:9">
      <c r="I55" s="14"/>
    </row>
    <row r="56" spans="9:9">
      <c r="I56" s="14"/>
    </row>
    <row r="57" spans="9:9">
      <c r="I57" s="14"/>
    </row>
    <row r="58" spans="9:9">
      <c r="I58" s="14"/>
    </row>
    <row r="59" spans="9:9">
      <c r="I59" s="14"/>
    </row>
    <row r="60" spans="9:9">
      <c r="I60" s="14"/>
    </row>
    <row r="61" spans="9:9">
      <c r="I61" s="14"/>
    </row>
    <row r="62" spans="9:9">
      <c r="I62" s="14"/>
    </row>
    <row r="63" spans="9:9">
      <c r="I63" s="14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BX63"/>
  <sheetViews>
    <sheetView topLeftCell="A6" zoomScale="90" workbookViewId="0">
      <selection activeCell="AO21" sqref="AO21:AO40"/>
    </sheetView>
  </sheetViews>
  <sheetFormatPr defaultRowHeight="12.75"/>
  <cols>
    <col min="23" max="23" width="9.5703125" bestFit="1" customWidth="1"/>
    <col min="47" max="47" width="9.42578125" customWidth="1"/>
    <col min="53" max="53" width="9.5703125" bestFit="1" customWidth="1"/>
    <col min="54" max="54" width="9.5703125" customWidth="1"/>
  </cols>
  <sheetData>
    <row r="1" spans="1:74">
      <c r="A1" s="17" t="s">
        <v>468</v>
      </c>
    </row>
    <row r="3" spans="1:74">
      <c r="A3" t="s">
        <v>270</v>
      </c>
    </row>
    <row r="4" spans="1:74">
      <c r="A4" s="17"/>
    </row>
    <row r="5" spans="1:74">
      <c r="A5" t="s">
        <v>367</v>
      </c>
      <c r="F5" s="6"/>
      <c r="G5" s="6"/>
      <c r="H5" s="6"/>
    </row>
    <row r="6" spans="1:74">
      <c r="A6" s="3" t="s">
        <v>48</v>
      </c>
      <c r="B6" s="16">
        <f>'Aerodynamics-Takeoff'!B6</f>
        <v>0.25</v>
      </c>
      <c r="E6" s="16"/>
      <c r="F6" s="6"/>
      <c r="G6" s="16"/>
      <c r="H6" s="6"/>
    </row>
    <row r="7" spans="1:74">
      <c r="A7" s="17"/>
    </row>
    <row r="8" spans="1:74">
      <c r="A8" s="17"/>
    </row>
    <row r="9" spans="1:74">
      <c r="A9" s="17"/>
    </row>
    <row r="11" spans="1:74">
      <c r="W11" t="s">
        <v>733</v>
      </c>
    </row>
    <row r="12" spans="1:74">
      <c r="W12" s="12">
        <v>0.5</v>
      </c>
    </row>
    <row r="15" spans="1:74">
      <c r="B15" t="s">
        <v>273</v>
      </c>
      <c r="E15" t="s">
        <v>277</v>
      </c>
      <c r="H15" t="s">
        <v>286</v>
      </c>
      <c r="L15" t="s">
        <v>279</v>
      </c>
      <c r="V15" t="s">
        <v>278</v>
      </c>
    </row>
    <row r="16" spans="1:74">
      <c r="L16" t="s">
        <v>367</v>
      </c>
      <c r="P16" t="s">
        <v>44</v>
      </c>
      <c r="S16" t="s">
        <v>46</v>
      </c>
      <c r="V16" t="s">
        <v>367</v>
      </c>
      <c r="AN16" t="s">
        <v>44</v>
      </c>
      <c r="AV16" t="s">
        <v>46</v>
      </c>
      <c r="BA16" t="s">
        <v>393</v>
      </c>
      <c r="BE16" t="s">
        <v>391</v>
      </c>
      <c r="BH16" s="10"/>
      <c r="BO16" t="s">
        <v>367</v>
      </c>
      <c r="BR16" t="s">
        <v>44</v>
      </c>
      <c r="BV16" t="s">
        <v>46</v>
      </c>
    </row>
    <row r="18" spans="2:76">
      <c r="B18" s="9" t="s">
        <v>29</v>
      </c>
      <c r="C18" s="9" t="s">
        <v>31</v>
      </c>
      <c r="E18" s="9" t="s">
        <v>34</v>
      </c>
      <c r="F18" s="9" t="s">
        <v>139</v>
      </c>
      <c r="H18" s="9" t="s">
        <v>40</v>
      </c>
      <c r="I18" s="9" t="s">
        <v>198</v>
      </c>
      <c r="J18" s="9" t="s">
        <v>199</v>
      </c>
      <c r="L18" s="9" t="s">
        <v>281</v>
      </c>
      <c r="M18" s="9" t="s">
        <v>280</v>
      </c>
      <c r="N18" s="9" t="s">
        <v>282</v>
      </c>
      <c r="O18" s="9" t="s">
        <v>100</v>
      </c>
      <c r="P18" s="9" t="s">
        <v>45</v>
      </c>
      <c r="Q18" s="9" t="s">
        <v>69</v>
      </c>
      <c r="R18" s="9" t="s">
        <v>49</v>
      </c>
      <c r="S18" s="9" t="s">
        <v>47</v>
      </c>
      <c r="T18" s="9" t="s">
        <v>173</v>
      </c>
      <c r="V18" s="9" t="s">
        <v>50</v>
      </c>
      <c r="W18" s="9" t="s">
        <v>52</v>
      </c>
      <c r="X18" s="9" t="s">
        <v>51</v>
      </c>
      <c r="Y18" s="9" t="s">
        <v>246</v>
      </c>
      <c r="Z18" s="9" t="s">
        <v>53</v>
      </c>
      <c r="AA18" s="9" t="s">
        <v>62</v>
      </c>
      <c r="AB18" s="9" t="s">
        <v>63</v>
      </c>
      <c r="AC18" s="9" t="s">
        <v>369</v>
      </c>
      <c r="AD18" s="9" t="s">
        <v>370</v>
      </c>
      <c r="AE18" s="9" t="s">
        <v>378</v>
      </c>
      <c r="AF18" s="9" t="s">
        <v>60</v>
      </c>
      <c r="AG18" s="9" t="s">
        <v>192</v>
      </c>
      <c r="AH18" s="47" t="s">
        <v>483</v>
      </c>
      <c r="AI18" s="47" t="s">
        <v>485</v>
      </c>
      <c r="AJ18" s="9" t="s">
        <v>65</v>
      </c>
      <c r="AK18" s="9" t="s">
        <v>61</v>
      </c>
      <c r="AL18" s="9" t="s">
        <v>67</v>
      </c>
      <c r="AM18" s="9" t="s">
        <v>66</v>
      </c>
      <c r="AN18" s="9" t="s">
        <v>64</v>
      </c>
      <c r="AO18" s="9" t="s">
        <v>68</v>
      </c>
      <c r="AP18" s="9" t="s">
        <v>167</v>
      </c>
      <c r="AQ18" s="9" t="s">
        <v>50</v>
      </c>
      <c r="AR18" s="9" t="s">
        <v>411</v>
      </c>
      <c r="AS18" s="9" t="s">
        <v>71</v>
      </c>
      <c r="AT18" s="9" t="s">
        <v>70</v>
      </c>
      <c r="AU18" s="9" t="s">
        <v>148</v>
      </c>
      <c r="AV18" s="9" t="s">
        <v>174</v>
      </c>
      <c r="AW18" s="9" t="s">
        <v>175</v>
      </c>
      <c r="AX18" s="9" t="s">
        <v>50</v>
      </c>
      <c r="AY18" s="9" t="s">
        <v>411</v>
      </c>
      <c r="AZ18" s="9" t="s">
        <v>72</v>
      </c>
      <c r="BA18" s="9" t="s">
        <v>50</v>
      </c>
      <c r="BB18" s="9" t="s">
        <v>406</v>
      </c>
      <c r="BC18" s="9" t="s">
        <v>410</v>
      </c>
      <c r="BD18" s="9" t="s">
        <v>73</v>
      </c>
      <c r="BE18" s="9" t="s">
        <v>54</v>
      </c>
      <c r="BF18" s="9" t="s">
        <v>149</v>
      </c>
      <c r="BG18" s="9" t="s">
        <v>150</v>
      </c>
      <c r="BH18" s="9" t="s">
        <v>55</v>
      </c>
      <c r="BI18" s="9" t="s">
        <v>56</v>
      </c>
      <c r="BJ18" s="9" t="s">
        <v>57</v>
      </c>
      <c r="BK18" s="9" t="s">
        <v>58</v>
      </c>
      <c r="BL18" s="9" t="s">
        <v>59</v>
      </c>
      <c r="BO18" s="9" t="s">
        <v>163</v>
      </c>
      <c r="BP18" s="9" t="s">
        <v>8</v>
      </c>
      <c r="BR18" s="9" t="s">
        <v>164</v>
      </c>
      <c r="BS18" s="9" t="s">
        <v>165</v>
      </c>
      <c r="BT18" s="9" t="s">
        <v>166</v>
      </c>
      <c r="BV18" s="9" t="s">
        <v>170</v>
      </c>
      <c r="BW18" s="9" t="s">
        <v>171</v>
      </c>
      <c r="BX18" s="9" t="s">
        <v>172</v>
      </c>
    </row>
    <row r="19" spans="2:76">
      <c r="B19" s="9" t="s">
        <v>30</v>
      </c>
      <c r="C19" s="9" t="s">
        <v>32</v>
      </c>
      <c r="E19" s="9" t="s">
        <v>35</v>
      </c>
      <c r="H19" s="9" t="s">
        <v>1</v>
      </c>
      <c r="I19" s="9" t="s">
        <v>1</v>
      </c>
      <c r="J19" s="9"/>
      <c r="L19" s="9" t="s">
        <v>4</v>
      </c>
      <c r="M19" s="9" t="s">
        <v>4</v>
      </c>
      <c r="N19" s="9" t="s">
        <v>43</v>
      </c>
      <c r="P19" s="9" t="s">
        <v>43</v>
      </c>
      <c r="S19" s="9" t="s">
        <v>43</v>
      </c>
      <c r="T19" s="9"/>
      <c r="AC19" s="9" t="s">
        <v>303</v>
      </c>
      <c r="AD19" s="9" t="s">
        <v>303</v>
      </c>
      <c r="AE19" s="9" t="s">
        <v>303</v>
      </c>
      <c r="BI19" s="9" t="s">
        <v>35</v>
      </c>
      <c r="BJ19" s="9" t="s">
        <v>35</v>
      </c>
      <c r="BK19" s="9"/>
      <c r="BL19" s="9" t="s">
        <v>34</v>
      </c>
      <c r="BO19" s="9" t="s">
        <v>162</v>
      </c>
      <c r="BP19" s="9" t="s">
        <v>162</v>
      </c>
      <c r="BR19" s="9" t="s">
        <v>162</v>
      </c>
      <c r="BS19" s="9" t="s">
        <v>162</v>
      </c>
      <c r="BT19" s="9" t="s">
        <v>162</v>
      </c>
      <c r="BV19" s="9" t="s">
        <v>162</v>
      </c>
      <c r="BW19" s="9" t="s">
        <v>162</v>
      </c>
      <c r="BX19" s="9" t="s">
        <v>162</v>
      </c>
    </row>
    <row r="21" spans="2:76">
      <c r="B21" s="16">
        <f>Cruise!F21</f>
        <v>0.65969672852566186</v>
      </c>
      <c r="C21" s="74">
        <f>'Airfoil-Cruise'!E21</f>
        <v>1.5987591530356481E-5</v>
      </c>
      <c r="E21" s="19">
        <f ca="1">Cruise!H21</f>
        <v>129.60277124917457</v>
      </c>
      <c r="F21" s="63">
        <f>Weight!G21</f>
        <v>0.3</v>
      </c>
      <c r="H21" s="20">
        <f ca="1">IF(ISERROR(BE21),5,SQRT(E21/(0.5*B21*N21*BE21)))</f>
        <v>42.995983090834507</v>
      </c>
      <c r="I21" s="20">
        <f t="shared" ref="I21:I40" ca="1" si="0">SQRT(E21/(0.5*B21*N21*AG21))</f>
        <v>23.401023868771301</v>
      </c>
      <c r="J21" s="20">
        <f t="shared" ref="J21:J40" ca="1" si="1">H21/I21</f>
        <v>1.8373547812244535</v>
      </c>
      <c r="L21" s="31">
        <f>Main!B21</f>
        <v>0.33333333333333326</v>
      </c>
      <c r="M21" s="31">
        <f>Main!C21</f>
        <v>1.5</v>
      </c>
      <c r="N21" s="1">
        <f t="shared" ref="N21:N40" si="2">L21*M21</f>
        <v>0.49999999999999989</v>
      </c>
      <c r="O21" s="1">
        <f t="shared" ref="O21:O40" si="3">M21^2/N21</f>
        <v>4.5000000000000009</v>
      </c>
      <c r="P21" s="16">
        <f ca="1">'Aerodynamics-Constants'!AC21</f>
        <v>3.5563162306008866E-2</v>
      </c>
      <c r="Q21" s="16">
        <f>'Aerodynamics-Constants'!AD21</f>
        <v>2.2500000000000004</v>
      </c>
      <c r="R21" s="63">
        <f>Stability!G21</f>
        <v>5.6500000000000012</v>
      </c>
      <c r="S21" s="16">
        <f ca="1">'Aerodynamics-Constants'!AM21</f>
        <v>9.1507568586259112E-3</v>
      </c>
      <c r="T21" s="16">
        <f>'Aerodynamics-Constants'!AN21</f>
        <v>2.2500000000000004</v>
      </c>
      <c r="V21" s="81">
        <f t="shared" ref="V21:V40" ca="1" si="4">B21*H21*L21/C21</f>
        <v>591381.7460854227</v>
      </c>
      <c r="W21" s="16">
        <f ca="1">'Aerodynamics-Cruise'!W21*$W$12</f>
        <v>0.45</v>
      </c>
      <c r="X21" s="42">
        <f ca="1">'Airfoil-Descent'!V21</f>
        <v>6.0476080788772054E-3</v>
      </c>
      <c r="Y21" s="14">
        <f t="shared" ref="Y21:Y40" ca="1" si="5">W21/X21</f>
        <v>74.409583777715085</v>
      </c>
      <c r="Z21" s="16">
        <f ca="1">'Airfoil-Descent'!AF21</f>
        <v>-0.15499999999999836</v>
      </c>
      <c r="AA21" s="31">
        <f>Main!I21</f>
        <v>1.2372503524946326</v>
      </c>
      <c r="AB21" s="12">
        <f t="shared" ref="AB21:AB40" si="6">1/AA21-1</f>
        <v>-0.19175614055495838</v>
      </c>
      <c r="AC21" s="30">
        <f t="shared" ref="AC21:AC40" ca="1" si="7">IF(ISERROR(AD21),1,AD21)</f>
        <v>1.4735725586965884</v>
      </c>
      <c r="AD21" s="13">
        <f t="shared" ref="AD21:AD40" ca="1" si="8">DEGREES(W21*COS(RADIANS(AC21))/(PI()*O21)*(1+AB21))</f>
        <v>1.4735725586965884</v>
      </c>
      <c r="AE21" s="13">
        <f ca="1">DEGREES(AF21/BP21)+'Airfoil-Descent'!K21</f>
        <v>-5.4366519758795482</v>
      </c>
      <c r="AF21" s="1">
        <f t="shared" ref="AF21:AF40" ca="1" si="9">W21*COS(RADIANS(AC21))</f>
        <v>0.44985118169107735</v>
      </c>
      <c r="AG21" s="16">
        <f ca="1">0.9*'Airfoil-Descent'!I21</f>
        <v>1.4350275200167104</v>
      </c>
      <c r="AH21" s="42">
        <f ca="1">0.455/(LOG10(MIN(V21,'Aerodynamics-Constants'!L21)))^2.58</f>
        <v>4.9410030939729035E-3</v>
      </c>
      <c r="AI21" s="42">
        <f ca="1">+AH21*'Aerodynamics-Constants'!J21*'Aerodynamics-Constants'!M21</f>
        <v>0</v>
      </c>
      <c r="AJ21" s="10">
        <f ca="1">X21*COS(RADIANS(AC21))*'Aerodynamics-Constants'!M21+AI21</f>
        <v>6.0456080904164825E-3</v>
      </c>
      <c r="AK21" s="10">
        <f ca="1">AF21^2/(PI()*'Aerodynamics-Constants'!I21*AA21)</f>
        <v>1.1569584399944289E-2</v>
      </c>
      <c r="AL21" s="10">
        <f t="shared" ref="AL21:AL40" ca="1" si="10">AJ21+AK21</f>
        <v>1.7615192490360771E-2</v>
      </c>
      <c r="AM21" s="1">
        <f t="shared" ref="AM21:AM40" ca="1" si="11">Z21</f>
        <v>-0.15499999999999836</v>
      </c>
      <c r="AN21" s="1">
        <f t="shared" ref="AN21:AN40" ca="1" si="12">N21/(P21*(R21-F21))*(AM21+AF21*(F21-$B$6))</f>
        <v>-0.34822192909035532</v>
      </c>
      <c r="AO21" s="12">
        <f>MAX(0,(1.78*(1-0.045*Q21^0.68)-0.64))*1</f>
        <v>1.000967405130992</v>
      </c>
      <c r="AP21" s="12">
        <f t="shared" ref="AP21:AP40" si="13">1/AO21-1</f>
        <v>-9.6647016279760578E-4</v>
      </c>
      <c r="AQ21" s="81">
        <f ca="1">B21*H21*'Aerodynamics-Constants'!AA21/C21</f>
        <v>223047.87848153649</v>
      </c>
      <c r="AR21" s="10">
        <f ca="1">0.455/(LOG10(MIN(AQ21,'Aerodynamics-Constants'!AG21)))^2.58</f>
        <v>6.0144259837211127E-3</v>
      </c>
      <c r="AS21" s="15">
        <f ca="1">AR21*'Aerodynamics-Constants'!AI21*'Aerodynamics-Constants'!AJ21*'Aerodynamics-Constants'!AE21/P21</f>
        <v>1.6729829381127593E-2</v>
      </c>
      <c r="AT21" s="10">
        <f t="shared" ref="AT21:AT40" ca="1" si="14">AN21^2/(PI()*Q21*AO21)</f>
        <v>1.7137990895901976E-2</v>
      </c>
      <c r="AU21" s="10">
        <f t="shared" ref="AU21:AU40" ca="1" si="15">AS21+AT21</f>
        <v>3.3867820277029573E-2</v>
      </c>
      <c r="AV21" s="12">
        <f t="shared" ref="AV21:AV40" si="16">MIN(1,MAX(0,(1.78*(1-0.045*T21^0.68)-0.64)))*0+0.9*0+(0.91+(0.85-0.91)/(20-10)*(T21-10))</f>
        <v>0.95650000000000013</v>
      </c>
      <c r="AW21" s="12">
        <f t="shared" ref="AW21:AW40" si="17">1/AV21-1</f>
        <v>4.5478306325143603E-2</v>
      </c>
      <c r="AX21" s="81">
        <f ca="1">B21*H21*'Aerodynamics-Constants'!AK21/C21</f>
        <v>113142.66887127096</v>
      </c>
      <c r="AY21" s="10">
        <f ca="1">0.455/(LOG10(MIN(AX21,'Aerodynamics-Constants'!AQ21)))^2.58</f>
        <v>6.9617000951712523E-3</v>
      </c>
      <c r="AZ21" s="15">
        <f ca="1">AY21*'Aerodynamics-Constants'!AS21*'Aerodynamics-Constants'!AT21*'Aerodynamics-Constants'!AO21/S21</f>
        <v>1.9364783124778968E-2</v>
      </c>
      <c r="BA21" s="81">
        <f ca="1">B21*H21*'Aerodynamics-Constants'!N21/C21</f>
        <v>4524070.3575534839</v>
      </c>
      <c r="BB21" s="10">
        <f ca="1">0.455/(LOG10(MIN(BA21,'Aerodynamics-Constants'!V21)))^2.58</f>
        <v>3.4213718747822044E-3</v>
      </c>
      <c r="BC21" s="10">
        <f ca="1">BB21*'Aerodynamics-Constants'!W21*'Aerodynamics-Constants'!X21*'Aerodynamics-Constants'!S21/N21+'Aerodynamics-Constants'!Z21</f>
        <v>3.2866463188528572E-3</v>
      </c>
      <c r="BD21" s="15">
        <f ca="1">BC21*'Aerodynamics-Constants'!AU21+(AJ21+AS21+AZ21)*('Aerodynamics-Constants'!AU21-1)</f>
        <v>7.8293330103704518E-3</v>
      </c>
      <c r="BE21" s="16">
        <f t="shared" ref="BE21:BE40" ca="1" si="18">AF21+P21/N21*AN21</f>
        <v>0.42508343572557372</v>
      </c>
      <c r="BF21" s="10">
        <f t="shared" ref="BF21:BF40" ca="1" si="19">AJ21+P21/N21*AS21+S21/N21*AZ21+BD21</f>
        <v>1.5419277220042436E-2</v>
      </c>
      <c r="BG21" s="10">
        <f t="shared" ref="BG21:BG40" ca="1" si="20">AK21+P21/N21*AT21</f>
        <v>1.2788546703604017E-2</v>
      </c>
      <c r="BH21" s="10">
        <f t="shared" ref="BH21:BH40" ca="1" si="21">AL21+P21/N21*AU21+S21/N21*AZ21+BD21</f>
        <v>2.8207823923646454E-2</v>
      </c>
      <c r="BI21" s="13">
        <f t="shared" ref="BI21:BI40" ca="1" si="22">0.5*B21*H21^2*N21*BE21</f>
        <v>129.60277124917457</v>
      </c>
      <c r="BJ21" s="13">
        <f t="shared" ref="BJ21:BJ40" ca="1" si="23">0.5*B21*H21^2*N21*BH21</f>
        <v>8.6002225543633557</v>
      </c>
      <c r="BK21" s="13">
        <f t="shared" ref="BK21:BK40" ca="1" si="24">BI21/BJ21</f>
        <v>15.069699700203701</v>
      </c>
      <c r="BL21" s="14">
        <f t="shared" ref="BL21:BL40" ca="1" si="25">BJ21*H21</f>
        <v>369.77502352482037</v>
      </c>
      <c r="BO21" s="16">
        <f ca="1">'Airfoil-Descent'!J21</f>
        <v>4.2193957001307352</v>
      </c>
      <c r="BP21" s="1">
        <f ca="1">BO21/(1+BO21/(PI()*'Aerodynamics-Constants'!I21)*(1+AB21))</f>
        <v>3.3993680878452119</v>
      </c>
      <c r="BR21" s="12">
        <v>6</v>
      </c>
      <c r="BS21" s="1">
        <f t="shared" ref="BS21:BS40" si="26">BR21/(1+BR21/(PI()*Q21)*(1+AP21))</f>
        <v>3.2467427092400318</v>
      </c>
      <c r="BT21" s="1">
        <f>Stability!W21</f>
        <v>2.2957937864716098</v>
      </c>
      <c r="BV21" s="12">
        <v>6</v>
      </c>
      <c r="BW21" s="1">
        <f t="shared" ref="BW21:BW40" si="27">BV21/(1+BV21/(PI()*T21)*(1+AW21))</f>
        <v>3.1789266013735289</v>
      </c>
      <c r="BX21" s="1">
        <f>Stability!Y21</f>
        <v>2.2478405567255271</v>
      </c>
    </row>
    <row r="22" spans="2:76">
      <c r="B22" s="16">
        <f>Cruise!F22</f>
        <v>0.65969672852566186</v>
      </c>
      <c r="C22" s="74">
        <f>'Airfoil-Cruise'!E22</f>
        <v>1.5987591530356481E-5</v>
      </c>
      <c r="E22" s="19">
        <f ca="1">Cruise!H22</f>
        <v>131.99424477497124</v>
      </c>
      <c r="F22" s="63">
        <f>Weight!G22</f>
        <v>0.3</v>
      </c>
      <c r="H22" s="20">
        <f t="shared" ref="H22:H40" ca="1" si="28">IF(ISERROR(BE22),5,SQRT(E22/(0.5*B22*N22*BE22)))</f>
        <v>42.291535781602576</v>
      </c>
      <c r="I22" s="20">
        <f t="shared" ca="1" si="0"/>
        <v>23.02061295395713</v>
      </c>
      <c r="J22" s="20">
        <f t="shared" ca="1" si="1"/>
        <v>1.8371159736792704</v>
      </c>
      <c r="L22" s="31">
        <f>Main!B22</f>
        <v>0.33333333333333326</v>
      </c>
      <c r="M22" s="31">
        <f>Main!C22</f>
        <v>1.5789473684210527</v>
      </c>
      <c r="N22" s="1">
        <f t="shared" si="2"/>
        <v>0.52631578947368407</v>
      </c>
      <c r="O22" s="1">
        <f t="shared" si="3"/>
        <v>4.7368421052631593</v>
      </c>
      <c r="P22" s="16">
        <f ca="1">'Aerodynamics-Constants'!AC22</f>
        <v>3.6702909021930567E-2</v>
      </c>
      <c r="Q22" s="16">
        <f>'Aerodynamics-Constants'!AD22</f>
        <v>2.3684210526315796</v>
      </c>
      <c r="R22" s="63">
        <f>Stability!G22</f>
        <v>5.6500000000000012</v>
      </c>
      <c r="S22" s="16">
        <f ca="1">'Aerodynamics-Constants'!AM22</f>
        <v>9.7716352702972523E-3</v>
      </c>
      <c r="T22" s="16">
        <f>'Aerodynamics-Constants'!AN22</f>
        <v>2.3684210526315796</v>
      </c>
      <c r="V22" s="81">
        <f t="shared" ca="1" si="4"/>
        <v>581692.53212144284</v>
      </c>
      <c r="W22" s="16">
        <f ca="1">'Aerodynamics-Cruise'!W22*$W$12</f>
        <v>0.45</v>
      </c>
      <c r="X22" s="42">
        <f ca="1">'Airfoil-Descent'!V22</f>
        <v>6.1251083348333873E-3</v>
      </c>
      <c r="Y22" s="14">
        <f t="shared" ca="1" si="5"/>
        <v>73.468088301533811</v>
      </c>
      <c r="Z22" s="16">
        <f ca="1">'Airfoil-Descent'!AF22</f>
        <v>-0.15499999999999836</v>
      </c>
      <c r="AA22" s="31">
        <f>Main!I22</f>
        <v>1.2293438844505524</v>
      </c>
      <c r="AB22" s="12">
        <f t="shared" si="6"/>
        <v>-0.1865579577459372</v>
      </c>
      <c r="AC22" s="30">
        <f t="shared" ca="1" si="7"/>
        <v>1.4089372726681824</v>
      </c>
      <c r="AD22" s="13">
        <f t="shared" ca="1" si="8"/>
        <v>1.4089372726681824</v>
      </c>
      <c r="AE22" s="13">
        <f ca="1">DEGREES(AF22/BP22)+'Airfoil-Descent'!K22</f>
        <v>-5.3919272485155307</v>
      </c>
      <c r="AF22" s="1">
        <f t="shared" ca="1" si="9"/>
        <v>0.44986394995647183</v>
      </c>
      <c r="AG22" s="16">
        <f ca="1">0.9*'Airfoil-Descent'!I22</f>
        <v>1.4346980085526408</v>
      </c>
      <c r="AH22" s="42">
        <f ca="1">0.455/(LOG10(MIN(V22,'Aerodynamics-Constants'!L22)))^2.58</f>
        <v>4.9568839064050071E-3</v>
      </c>
      <c r="AI22" s="42">
        <f ca="1">+AH22*'Aerodynamics-Constants'!J22*'Aerodynamics-Constants'!M22</f>
        <v>0</v>
      </c>
      <c r="AJ22" s="10">
        <f ca="1">X22*COS(RADIANS(AC22))*'Aerodynamics-Constants'!M22+AI22</f>
        <v>6.1232565098210123E-3</v>
      </c>
      <c r="AK22" s="10">
        <f ca="1">AF22^2/(PI()*'Aerodynamics-Constants'!I22*AA22)</f>
        <v>1.1062421911524652E-2</v>
      </c>
      <c r="AL22" s="10">
        <f t="shared" ca="1" si="10"/>
        <v>1.7185678421345663E-2</v>
      </c>
      <c r="AM22" s="1">
        <f t="shared" ca="1" si="11"/>
        <v>-0.15499999999999836</v>
      </c>
      <c r="AN22" s="1">
        <f t="shared" ca="1" si="12"/>
        <v>-0.35516511670736989</v>
      </c>
      <c r="AO22" s="12">
        <f t="shared" ref="AO22:AO39" si="29">MAX(0,(1.78*(1-0.045*Q22^0.68)-0.64))*1</f>
        <v>0.9960324623343223</v>
      </c>
      <c r="AP22" s="12">
        <f t="shared" si="13"/>
        <v>3.9833417240029423E-3</v>
      </c>
      <c r="AQ22" s="81">
        <f ca="1">B22*H22*'Aerodynamics-Constants'!AA22/C22</f>
        <v>217237.86713218401</v>
      </c>
      <c r="AR22" s="10">
        <f ca="1">0.455/(LOG10(MIN(AQ22,'Aerodynamics-Constants'!AG22)))^2.58</f>
        <v>6.0478101377567286E-3</v>
      </c>
      <c r="AS22" s="15">
        <f ca="1">AR22*'Aerodynamics-Constants'!AI22*'Aerodynamics-Constants'!AJ22*'Aerodynamics-Constants'!AE22/P22</f>
        <v>1.6822691310522154E-2</v>
      </c>
      <c r="AT22" s="10">
        <f t="shared" ca="1" si="14"/>
        <v>1.702073576152778E-2</v>
      </c>
      <c r="AU22" s="10">
        <f t="shared" ca="1" si="15"/>
        <v>3.3843427072049931E-2</v>
      </c>
      <c r="AV22" s="12">
        <f t="shared" si="16"/>
        <v>0.95578947368421063</v>
      </c>
      <c r="AW22" s="12">
        <f t="shared" si="17"/>
        <v>4.625550660792932E-2</v>
      </c>
      <c r="AX22" s="81">
        <f ca="1">B22*H22*'Aerodynamics-Constants'!AK22/C22</f>
        <v>112090.5269389772</v>
      </c>
      <c r="AY22" s="10">
        <f ca="1">0.455/(LOG10(MIN(AX22,'Aerodynamics-Constants'!AQ22)))^2.58</f>
        <v>6.9761417097984699E-3</v>
      </c>
      <c r="AZ22" s="15">
        <f ca="1">AY22*'Aerodynamics-Constants'!AS22*'Aerodynamics-Constants'!AT22*'Aerodynamics-Constants'!AO22/S22</f>
        <v>1.9404954165100238E-2</v>
      </c>
      <c r="BA22" s="81">
        <f ca="1">B22*H22*'Aerodynamics-Constants'!N22/C22</f>
        <v>4449947.8707290385</v>
      </c>
      <c r="BB22" s="10">
        <f ca="1">0.455/(LOG10(MIN(BA22,'Aerodynamics-Constants'!V22)))^2.58</f>
        <v>3.4309056118144712E-3</v>
      </c>
      <c r="BC22" s="10">
        <f ca="1">BB22*'Aerodynamics-Constants'!W22*'Aerodynamics-Constants'!X22*'Aerodynamics-Constants'!S22/N22+'Aerodynamics-Constants'!Z22</f>
        <v>3.1310062474656378E-3</v>
      </c>
      <c r="BD22" s="15">
        <f ca="1">BC22*'Aerodynamics-Constants'!AU22+(AJ22+AS22+AZ22)*('Aerodynamics-Constants'!AU22-1)</f>
        <v>7.6791970707565469E-3</v>
      </c>
      <c r="BE22" s="16">
        <f t="shared" ca="1" si="18"/>
        <v>0.42509632332055131</v>
      </c>
      <c r="BF22" s="10">
        <f t="shared" ca="1" si="19"/>
        <v>1.5335867282680951E-2</v>
      </c>
      <c r="BG22" s="10">
        <f t="shared" ca="1" si="20"/>
        <v>1.2249371892193833E-2</v>
      </c>
      <c r="BH22" s="10">
        <f t="shared" ca="1" si="21"/>
        <v>2.7585239174874786E-2</v>
      </c>
      <c r="BI22" s="13">
        <f t="shared" ca="1" si="22"/>
        <v>131.99424477497124</v>
      </c>
      <c r="BJ22" s="13">
        <f t="shared" ca="1" si="23"/>
        <v>8.5653359299438563</v>
      </c>
      <c r="BK22" s="13">
        <f t="shared" ca="1" si="24"/>
        <v>15.41028231169871</v>
      </c>
      <c r="BL22" s="14">
        <f t="shared" ca="1" si="25"/>
        <v>362.2412109626668</v>
      </c>
      <c r="BO22" s="16">
        <f ca="1">'Airfoil-Descent'!J22</f>
        <v>4.2429052983240769</v>
      </c>
      <c r="BP22" s="1">
        <f ca="1">BO22/(1+BO22/(PI()*'Aerodynamics-Constants'!I22)*(1+AB22))</f>
        <v>3.4441209199929625</v>
      </c>
      <c r="BR22" s="12">
        <v>6</v>
      </c>
      <c r="BS22" s="1">
        <f t="shared" si="26"/>
        <v>3.3156550852903828</v>
      </c>
      <c r="BT22" s="1">
        <f>Stability!W22</f>
        <v>2.3445221948844903</v>
      </c>
      <c r="BV22" s="12">
        <v>6</v>
      </c>
      <c r="BW22" s="1">
        <f t="shared" si="27"/>
        <v>3.2543523818462479</v>
      </c>
      <c r="BX22" s="1">
        <f>Stability!Y22</f>
        <v>2.3011746375740749</v>
      </c>
    </row>
    <row r="23" spans="2:76">
      <c r="B23" s="16">
        <f>Cruise!F23</f>
        <v>0.65969672852566186</v>
      </c>
      <c r="C23" s="74">
        <f>'Airfoil-Cruise'!E23</f>
        <v>1.5987591530356481E-5</v>
      </c>
      <c r="E23" s="19">
        <f ca="1">Cruise!H23</f>
        <v>134.24051129338258</v>
      </c>
      <c r="F23" s="63">
        <f>Weight!G23</f>
        <v>0.3</v>
      </c>
      <c r="H23" s="20">
        <f t="shared" ca="1" si="28"/>
        <v>41.621468887665337</v>
      </c>
      <c r="I23" s="20">
        <f t="shared" ca="1" si="0"/>
        <v>22.65868724423186</v>
      </c>
      <c r="J23" s="20">
        <f t="shared" ca="1" si="1"/>
        <v>1.8368879202505768</v>
      </c>
      <c r="L23" s="31">
        <f>Main!B23</f>
        <v>0.33333333333333326</v>
      </c>
      <c r="M23" s="31">
        <f>Main!C23</f>
        <v>1.6578947368421053</v>
      </c>
      <c r="N23" s="1">
        <f t="shared" si="2"/>
        <v>0.55263157894736836</v>
      </c>
      <c r="O23" s="1">
        <f t="shared" si="3"/>
        <v>4.9736842105263168</v>
      </c>
      <c r="P23" s="16">
        <f ca="1">'Aerodynamics-Constants'!AC23</f>
        <v>3.7836985495348238E-2</v>
      </c>
      <c r="Q23" s="16">
        <f>'Aerodynamics-Constants'!AD23</f>
        <v>2.4868421052631584</v>
      </c>
      <c r="R23" s="63">
        <f>Stability!G23</f>
        <v>5.6500000000000012</v>
      </c>
      <c r="S23" s="16">
        <f ca="1">'Aerodynamics-Constants'!AM23</f>
        <v>1.0423408148040733E-2</v>
      </c>
      <c r="T23" s="16">
        <f>'Aerodynamics-Constants'!AN23</f>
        <v>2.4868421052631584</v>
      </c>
      <c r="V23" s="81">
        <f t="shared" ca="1" si="4"/>
        <v>572476.19837944012</v>
      </c>
      <c r="W23" s="16">
        <f ca="1">'Aerodynamics-Cruise'!W23*$W$12</f>
        <v>0.45</v>
      </c>
      <c r="X23" s="42">
        <f ca="1">'Airfoil-Descent'!V23</f>
        <v>6.2009776947205032E-3</v>
      </c>
      <c r="Y23" s="14">
        <f t="shared" ca="1" si="5"/>
        <v>72.569201528192707</v>
      </c>
      <c r="Z23" s="16">
        <f ca="1">'Airfoil-Descent'!AF23</f>
        <v>-0.15499999999999839</v>
      </c>
      <c r="AA23" s="31">
        <f>Main!I23</f>
        <v>1.2215629734834355</v>
      </c>
      <c r="AB23" s="12">
        <f t="shared" si="6"/>
        <v>-0.18137662837931445</v>
      </c>
      <c r="AC23" s="30">
        <f t="shared" ca="1" si="7"/>
        <v>1.3504252998485151</v>
      </c>
      <c r="AD23" s="13">
        <f t="shared" ca="1" si="8"/>
        <v>1.3504252998485151</v>
      </c>
      <c r="AE23" s="13">
        <f ca="1">DEGREES(AF23/BP23)+'Airfoil-Descent'!K23</f>
        <v>-5.3460476490112514</v>
      </c>
      <c r="AF23" s="1">
        <f t="shared" ca="1" si="9"/>
        <v>0.44987501488908987</v>
      </c>
      <c r="AG23" s="16">
        <f ca="1">0.9*'Airfoil-Descent'!I23</f>
        <v>1.4343795171886382</v>
      </c>
      <c r="AH23" s="42">
        <f ca="1">0.455/(LOG10(MIN(V23,'Aerodynamics-Constants'!L23)))^2.58</f>
        <v>4.9723044868155691E-3</v>
      </c>
      <c r="AI23" s="42">
        <f ca="1">+AH23*'Aerodynamics-Constants'!J23*'Aerodynamics-Constants'!M23</f>
        <v>0</v>
      </c>
      <c r="AJ23" s="10">
        <f ca="1">X23*COS(RADIANS(AC23))*'Aerodynamics-Constants'!M23+AI23</f>
        <v>6.1992554060873346E-3</v>
      </c>
      <c r="AK23" s="10">
        <f ca="1">AF23^2/(PI()*'Aerodynamics-Constants'!I23*AA23)</f>
        <v>1.0603269683018083E-2</v>
      </c>
      <c r="AL23" s="10">
        <f t="shared" ca="1" si="10"/>
        <v>1.6802525089105416E-2</v>
      </c>
      <c r="AM23" s="1">
        <f t="shared" ca="1" si="11"/>
        <v>-0.15499999999999839</v>
      </c>
      <c r="AN23" s="1">
        <f t="shared" ca="1" si="12"/>
        <v>-0.36174434319867832</v>
      </c>
      <c r="AO23" s="12">
        <f t="shared" si="29"/>
        <v>0.9911758879050544</v>
      </c>
      <c r="AP23" s="12">
        <f t="shared" si="13"/>
        <v>8.9026702552219561E-3</v>
      </c>
      <c r="AQ23" s="81">
        <f ca="1">B23*H23*'Aerodynamics-Constants'!AA23/C23</f>
        <v>211842.3804541635</v>
      </c>
      <c r="AR23" s="10">
        <f ca="1">0.455/(LOG10(MIN(AQ23,'Aerodynamics-Constants'!AG23)))^2.58</f>
        <v>6.079861631552894E-3</v>
      </c>
      <c r="AS23" s="15">
        <f ca="1">AR23*'Aerodynamics-Constants'!AI23*'Aerodynamics-Constants'!AJ23*'Aerodynamics-Constants'!AE23/P23</f>
        <v>1.6911846289579417E-2</v>
      </c>
      <c r="AT23" s="10">
        <f t="shared" ca="1" si="14"/>
        <v>1.6898754004347431E-2</v>
      </c>
      <c r="AU23" s="10">
        <f t="shared" ca="1" si="15"/>
        <v>3.3810600293926851E-2</v>
      </c>
      <c r="AV23" s="12">
        <f t="shared" si="16"/>
        <v>0.95507894736842114</v>
      </c>
      <c r="AW23" s="12">
        <f t="shared" si="17"/>
        <v>4.7033863279420274E-2</v>
      </c>
      <c r="AX23" s="81">
        <f ca="1">B23*H23*'Aerodynamics-Constants'!AK23/C23</f>
        <v>111188.39353329611</v>
      </c>
      <c r="AY23" s="10">
        <f ca="1">0.455/(LOG10(MIN(AX23,'Aerodynamics-Constants'!AQ23)))^2.58</f>
        <v>6.9886662251723661E-3</v>
      </c>
      <c r="AZ23" s="15">
        <f ca="1">AY23*'Aerodynamics-Constants'!AS23*'Aerodynamics-Constants'!AT23*'Aerodynamics-Constants'!AO23/S23</f>
        <v>1.9439792569605294E-2</v>
      </c>
      <c r="BA23" s="81">
        <f ca="1">B23*H23*'Aerodynamics-Constants'!N23/C23</f>
        <v>4379442.9176027169</v>
      </c>
      <c r="BB23" s="10">
        <f ca="1">0.455/(LOG10(MIN(BA23,'Aerodynamics-Constants'!V23)))^2.58</f>
        <v>3.4401576681707111E-3</v>
      </c>
      <c r="BC23" s="10">
        <f ca="1">BB23*'Aerodynamics-Constants'!W23*'Aerodynamics-Constants'!X23*'Aerodynamics-Constants'!S23/N23+'Aerodynamics-Constants'!Z23</f>
        <v>2.9899444512443011E-3</v>
      </c>
      <c r="BD23" s="15">
        <f ca="1">BC23*'Aerodynamics-Constants'!AU23+(AJ23+AS23+AZ23)*('Aerodynamics-Constants'!AU23-1)</f>
        <v>7.5440283228959404E-3</v>
      </c>
      <c r="BE23" s="16">
        <f t="shared" ca="1" si="18"/>
        <v>0.42510749166375456</v>
      </c>
      <c r="BF23" s="10">
        <f t="shared" ca="1" si="19"/>
        <v>1.5267847664742113E-2</v>
      </c>
      <c r="BG23" s="10">
        <f t="shared" ca="1" si="20"/>
        <v>1.1760275425197805E-2</v>
      </c>
      <c r="BH23" s="10">
        <f t="shared" ca="1" si="21"/>
        <v>2.7028123089939918E-2</v>
      </c>
      <c r="BI23" s="13">
        <f t="shared" ca="1" si="22"/>
        <v>134.24051129338261</v>
      </c>
      <c r="BJ23" s="13">
        <f t="shared" ca="1" si="23"/>
        <v>8.5349450057771534</v>
      </c>
      <c r="BK23" s="13">
        <f t="shared" ca="1" si="24"/>
        <v>15.728339339329963</v>
      </c>
      <c r="BL23" s="14">
        <f t="shared" ca="1" si="25"/>
        <v>355.23694801588846</v>
      </c>
      <c r="BO23" s="16">
        <f ca="1">'Airfoil-Descent'!J23</f>
        <v>4.2657583064556226</v>
      </c>
      <c r="BP23" s="1">
        <f ca="1">BO23/(1+BO23/(PI()*'Aerodynamics-Constants'!I23)*(1+AB23))</f>
        <v>3.4865578768497283</v>
      </c>
      <c r="BR23" s="12">
        <v>6</v>
      </c>
      <c r="BS23" s="1">
        <f t="shared" si="26"/>
        <v>3.3806190262133535</v>
      </c>
      <c r="BT23" s="1">
        <f>Stability!W23</f>
        <v>2.3904586380437252</v>
      </c>
      <c r="BV23" s="12">
        <v>6</v>
      </c>
      <c r="BW23" s="1">
        <f t="shared" si="27"/>
        <v>3.3257449178841254</v>
      </c>
      <c r="BX23" s="1">
        <f>Stability!Y23</f>
        <v>2.3516567839325631</v>
      </c>
    </row>
    <row r="24" spans="2:76">
      <c r="B24" s="16">
        <f>Cruise!F24</f>
        <v>0.65969672852566186</v>
      </c>
      <c r="C24" s="74">
        <f>'Airfoil-Cruise'!E24</f>
        <v>1.5987591530356481E-5</v>
      </c>
      <c r="E24" s="19">
        <f ca="1">Cruise!H24</f>
        <v>126.40792205825835</v>
      </c>
      <c r="F24" s="63">
        <f>Weight!G24</f>
        <v>0.3</v>
      </c>
      <c r="H24" s="20">
        <f t="shared" ca="1" si="28"/>
        <v>39.459908951120013</v>
      </c>
      <c r="I24" s="20">
        <f t="shared" ca="1" si="0"/>
        <v>21.490146996853891</v>
      </c>
      <c r="J24" s="20">
        <f t="shared" ca="1" si="1"/>
        <v>1.8361860882988308</v>
      </c>
      <c r="L24" s="31">
        <f>Main!B24</f>
        <v>0.33333333333333326</v>
      </c>
      <c r="M24" s="31">
        <f>Main!C24</f>
        <v>1.736842105263158</v>
      </c>
      <c r="N24" s="1">
        <f t="shared" si="2"/>
        <v>0.57894736842105254</v>
      </c>
      <c r="O24" s="1">
        <f t="shared" si="3"/>
        <v>5.2105263157894752</v>
      </c>
      <c r="P24" s="16">
        <f ca="1">'Aerodynamics-Constants'!AC24</f>
        <v>3.9367122344217041E-2</v>
      </c>
      <c r="Q24" s="16">
        <f>'Aerodynamics-Constants'!AD24</f>
        <v>2.6052631578947376</v>
      </c>
      <c r="R24" s="63">
        <f>Stability!G24</f>
        <v>5.6500000000000012</v>
      </c>
      <c r="S24" s="16">
        <f ca="1">'Aerodynamics-Constants'!AM24</f>
        <v>1.1105416987830716E-2</v>
      </c>
      <c r="T24" s="16">
        <f>'Aerodynamics-Constants'!AN24</f>
        <v>2.6052631578947376</v>
      </c>
      <c r="V24" s="81">
        <f t="shared" ca="1" si="4"/>
        <v>542745.34917797195</v>
      </c>
      <c r="W24" s="16">
        <f ca="1">'Aerodynamics-Cruise'!W24*$W$12</f>
        <v>0.45</v>
      </c>
      <c r="X24" s="42">
        <f ca="1">'Airfoil-Descent'!V24</f>
        <v>6.4612002451934223E-3</v>
      </c>
      <c r="Y24" s="14">
        <f t="shared" ca="1" si="5"/>
        <v>69.646502650147909</v>
      </c>
      <c r="Z24" s="16">
        <f ca="1">'Airfoil-Descent'!AF24</f>
        <v>-0.15499999999999844</v>
      </c>
      <c r="AA24" s="31">
        <f>Main!I24</f>
        <v>1.2138997812328405</v>
      </c>
      <c r="AB24" s="12">
        <f t="shared" si="6"/>
        <v>-0.17620876495718873</v>
      </c>
      <c r="AC24" s="30">
        <f t="shared" ca="1" si="7"/>
        <v>1.2972077323603022</v>
      </c>
      <c r="AD24" s="13">
        <f t="shared" ca="1" si="8"/>
        <v>1.2972077323603022</v>
      </c>
      <c r="AE24" s="13">
        <f ca="1">DEGREES(AF24/BP24)+'Airfoil-Descent'!K24</f>
        <v>-5.0602290857948038</v>
      </c>
      <c r="AF24" s="1">
        <f t="shared" ca="1" si="9"/>
        <v>0.44988467120369596</v>
      </c>
      <c r="AG24" s="16">
        <f ca="1">0.9*'Airfoil-Descent'!I24</f>
        <v>1.4333165020925587</v>
      </c>
      <c r="AH24" s="42">
        <f ca="1">0.455/(LOG10(MIN(V24,'Aerodynamics-Constants'!L24)))^2.58</f>
        <v>5.0242828444667835E-3</v>
      </c>
      <c r="AI24" s="42">
        <f ca="1">+AH24*'Aerodynamics-Constants'!J24*'Aerodynamics-Constants'!M24</f>
        <v>0</v>
      </c>
      <c r="AJ24" s="10">
        <f ca="1">X24*COS(RADIANS(AC24))*'Aerodynamics-Constants'!M24+AI24</f>
        <v>6.4595443286446282E-3</v>
      </c>
      <c r="AK24" s="10">
        <f ca="1">AF24^2/(PI()*'Aerodynamics-Constants'!I24*AA24)</f>
        <v>1.0185634598488268E-2</v>
      </c>
      <c r="AL24" s="10">
        <f t="shared" ca="1" si="10"/>
        <v>1.6645178927132895E-2</v>
      </c>
      <c r="AM24" s="1">
        <f t="shared" ca="1" si="11"/>
        <v>-0.15499999999999844</v>
      </c>
      <c r="AN24" s="1">
        <f t="shared" ca="1" si="12"/>
        <v>-0.36423897130691218</v>
      </c>
      <c r="AO24" s="12">
        <f t="shared" si="29"/>
        <v>0.98639278941079256</v>
      </c>
      <c r="AP24" s="12">
        <f t="shared" si="13"/>
        <v>1.3794920984099512E-2</v>
      </c>
      <c r="AQ24" s="81">
        <f ca="1">B24*H24*'Aerodynamics-Constants'!AA24/C24</f>
        <v>200151.29359319899</v>
      </c>
      <c r="AR24" s="10">
        <f ca="1">0.455/(LOG10(MIN(AQ24,'Aerodynamics-Constants'!AG24)))^2.58</f>
        <v>6.1530792472407865E-3</v>
      </c>
      <c r="AS24" s="15">
        <f ca="1">AR24*'Aerodynamics-Constants'!AI24*'Aerodynamics-Constants'!AJ24*'Aerodynamics-Constants'!AE24/P24</f>
        <v>1.7115509651879798E-2</v>
      </c>
      <c r="AT24" s="10">
        <f t="shared" ca="1" si="14"/>
        <v>1.643317431125401E-2</v>
      </c>
      <c r="AU24" s="10">
        <f t="shared" ca="1" si="15"/>
        <v>3.3548683963133805E-2</v>
      </c>
      <c r="AV24" s="12">
        <f t="shared" si="16"/>
        <v>0.95436842105263164</v>
      </c>
      <c r="AW24" s="12">
        <f t="shared" si="17"/>
        <v>4.7813378922406669E-2</v>
      </c>
      <c r="AX24" s="81">
        <f ca="1">B24*H24*'Aerodynamics-Constants'!AK24/C24</f>
        <v>106306.29967889702</v>
      </c>
      <c r="AY24" s="10">
        <f ca="1">0.455/(LOG10(MIN(AX24,'Aerodynamics-Constants'!AQ24)))^2.58</f>
        <v>7.0588308046384846E-3</v>
      </c>
      <c r="AZ24" s="15">
        <f ca="1">AY24*'Aerodynamics-Constants'!AS24*'Aerodynamics-Constants'!AT24*'Aerodynamics-Constants'!AO24/S24</f>
        <v>1.9634963554541161E-2</v>
      </c>
      <c r="BA24" s="81">
        <f ca="1">B24*H24*'Aerodynamics-Constants'!N24/C24</f>
        <v>4152001.9212114858</v>
      </c>
      <c r="BB24" s="10">
        <f ca="1">0.455/(LOG10(MIN(BA24,'Aerodynamics-Constants'!V24)))^2.58</f>
        <v>3.4713047683936067E-3</v>
      </c>
      <c r="BC24" s="10">
        <f ca="1">BB24*'Aerodynamics-Constants'!W24*'Aerodynamics-Constants'!X24*'Aerodynamics-Constants'!S24/N24+'Aerodynamics-Constants'!Z24</f>
        <v>2.879854167680761E-3</v>
      </c>
      <c r="BD24" s="15">
        <f ca="1">BC24*'Aerodynamics-Constants'!AU24+(AJ24+AS24+AZ24)*('Aerodynamics-Constants'!AU24-1)</f>
        <v>7.4888413379553993E-3</v>
      </c>
      <c r="BE24" s="16">
        <f t="shared" ca="1" si="18"/>
        <v>0.42511723822429154</v>
      </c>
      <c r="BF24" s="10">
        <f t="shared" ca="1" si="19"/>
        <v>1.5488841447054678E-2</v>
      </c>
      <c r="BG24" s="10">
        <f t="shared" ca="1" si="20"/>
        <v>1.1303053588368691E-2</v>
      </c>
      <c r="BH24" s="10">
        <f t="shared" ca="1" si="21"/>
        <v>2.6791895035423365E-2</v>
      </c>
      <c r="BI24" s="13">
        <f t="shared" ca="1" si="22"/>
        <v>126.40792205825834</v>
      </c>
      <c r="BJ24" s="13">
        <f t="shared" ca="1" si="23"/>
        <v>7.9665265835303778</v>
      </c>
      <c r="BK24" s="13">
        <f t="shared" ca="1" si="24"/>
        <v>15.867382193839424</v>
      </c>
      <c r="BL24" s="14">
        <f t="shared" ca="1" si="25"/>
        <v>314.35841364278588</v>
      </c>
      <c r="BO24" s="16">
        <f ca="1">'Airfoil-Descent'!J24</f>
        <v>4.3429661077145836</v>
      </c>
      <c r="BP24" s="1">
        <f ca="1">BO24/(1+BO24/(PI()*'Aerodynamics-Constants'!I24)*(1+AB24))</f>
        <v>3.564012844208178</v>
      </c>
      <c r="BR24" s="12">
        <v>6</v>
      </c>
      <c r="BS24" s="1">
        <f t="shared" si="26"/>
        <v>3.4419654787715577</v>
      </c>
      <c r="BT24" s="1">
        <f>Stability!W24</f>
        <v>2.4338371306493705</v>
      </c>
      <c r="BV24" s="12">
        <v>6</v>
      </c>
      <c r="BW24" s="1">
        <f t="shared" si="27"/>
        <v>3.3934190644503546</v>
      </c>
      <c r="BX24" s="1">
        <f>Stability!Y24</f>
        <v>2.399509631880556</v>
      </c>
    </row>
    <row r="25" spans="2:76">
      <c r="B25" s="16">
        <f>Cruise!F25</f>
        <v>0.65969672852566186</v>
      </c>
      <c r="C25" s="74">
        <f>'Airfoil-Cruise'!E25</f>
        <v>1.5987591530356481E-5</v>
      </c>
      <c r="E25" s="19">
        <f ca="1">Cruise!H25</f>
        <v>128.2373938842594</v>
      </c>
      <c r="F25" s="63">
        <f>Weight!G25</f>
        <v>0.3</v>
      </c>
      <c r="H25" s="20">
        <f t="shared" ca="1" si="28"/>
        <v>38.870428157415581</v>
      </c>
      <c r="I25" s="20">
        <f t="shared" ca="1" si="0"/>
        <v>21.171539495226021</v>
      </c>
      <c r="J25" s="20">
        <f t="shared" ca="1" si="1"/>
        <v>1.8359755163851212</v>
      </c>
      <c r="L25" s="31">
        <f>Main!B25</f>
        <v>0.33333333333333326</v>
      </c>
      <c r="M25" s="31">
        <f>Main!C25</f>
        <v>1.8157894736842106</v>
      </c>
      <c r="N25" s="1">
        <f t="shared" si="2"/>
        <v>0.60526315789473673</v>
      </c>
      <c r="O25" s="1">
        <f t="shared" si="3"/>
        <v>5.4473684210526327</v>
      </c>
      <c r="P25" s="16">
        <f ca="1">'Aerodynamics-Constants'!AC25</f>
        <v>4.0508118560052687E-2</v>
      </c>
      <c r="Q25" s="16">
        <f>'Aerodynamics-Constants'!AD25</f>
        <v>2.7236842105263164</v>
      </c>
      <c r="R25" s="63">
        <f>Stability!G25</f>
        <v>5.6500000000000012</v>
      </c>
      <c r="S25" s="16">
        <f ca="1">'Aerodynamics-Constants'!AM25</f>
        <v>1.1817118078367429E-2</v>
      </c>
      <c r="T25" s="16">
        <f>'Aerodynamics-Constants'!AN25</f>
        <v>2.7236842105263164</v>
      </c>
      <c r="V25" s="81">
        <f t="shared" ca="1" si="4"/>
        <v>534637.42476260813</v>
      </c>
      <c r="W25" s="16">
        <f ca="1">'Aerodynamics-Cruise'!W25*$W$12</f>
        <v>0.45</v>
      </c>
      <c r="X25" s="42">
        <f ca="1">'Airfoil-Descent'!V25</f>
        <v>6.5365985167370666E-3</v>
      </c>
      <c r="Y25" s="14">
        <f t="shared" ca="1" si="5"/>
        <v>68.843145077331542</v>
      </c>
      <c r="Z25" s="16">
        <f ca="1">'Airfoil-Descent'!AF25</f>
        <v>-0.15499999999999847</v>
      </c>
      <c r="AA25" s="31">
        <f>Main!I25</f>
        <v>1.2063472907833321</v>
      </c>
      <c r="AB25" s="12">
        <f t="shared" si="6"/>
        <v>-0.17105131528860329</v>
      </c>
      <c r="AC25" s="30">
        <f t="shared" ca="1" si="7"/>
        <v>1.2485991656140594</v>
      </c>
      <c r="AD25" s="13">
        <f t="shared" ca="1" si="8"/>
        <v>1.2485991656140594</v>
      </c>
      <c r="AE25" s="13">
        <f ca="1">DEGREES(AF25/BP25)+'Airfoil-Descent'!K25</f>
        <v>-5.0155843041060937</v>
      </c>
      <c r="AF25" s="1">
        <f t="shared" ca="1" si="9"/>
        <v>0.44989315206164204</v>
      </c>
      <c r="AG25" s="16">
        <f ca="1">0.9*'Airfoil-Descent'!I25</f>
        <v>1.4330166329455434</v>
      </c>
      <c r="AH25" s="42">
        <f ca="1">0.455/(LOG10(MIN(V25,'Aerodynamics-Constants'!L25)))^2.58</f>
        <v>5.0390889174974562E-3</v>
      </c>
      <c r="AI25" s="42">
        <f ca="1">+AH25*'Aerodynamics-Constants'!J25*'Aerodynamics-Constants'!M25</f>
        <v>0</v>
      </c>
      <c r="AJ25" s="10">
        <f ca="1">X25*COS(RADIANS(AC25))*'Aerodynamics-Constants'!M25+AI25</f>
        <v>6.5350464676806504E-3</v>
      </c>
      <c r="AK25" s="10">
        <f ca="1">AF25^2/(PI()*'Aerodynamics-Constants'!I25*AA25)</f>
        <v>9.8041464668682E-3</v>
      </c>
      <c r="AL25" s="10">
        <f t="shared" ca="1" si="10"/>
        <v>1.633919293454885E-2</v>
      </c>
      <c r="AM25" s="1">
        <f t="shared" ca="1" si="11"/>
        <v>-0.15499999999999847</v>
      </c>
      <c r="AN25" s="1">
        <f t="shared" ca="1" si="12"/>
        <v>-0.37006820503066407</v>
      </c>
      <c r="AO25" s="12">
        <f t="shared" si="29"/>
        <v>0.98167878713658807</v>
      </c>
      <c r="AP25" s="12">
        <f t="shared" si="13"/>
        <v>1.8663144302885737E-2</v>
      </c>
      <c r="AQ25" s="81">
        <f ca="1">B25*H25*'Aerodynamics-Constants'!AA25/C25</f>
        <v>195601.99075910615</v>
      </c>
      <c r="AR25" s="10">
        <f ca="1">0.455/(LOG10(MIN(AQ25,'Aerodynamics-Constants'!AG25)))^2.58</f>
        <v>6.1830808711277521E-3</v>
      </c>
      <c r="AS25" s="15">
        <f ca="1">AR25*'Aerodynamics-Constants'!AI25*'Aerodynamics-Constants'!AJ25*'Aerodynamics-Constants'!AE25/P25</f>
        <v>1.719896267801134E-2</v>
      </c>
      <c r="AT25" s="10">
        <f t="shared" ca="1" si="14"/>
        <v>1.6303750284355028E-2</v>
      </c>
      <c r="AU25" s="10">
        <f t="shared" ca="1" si="15"/>
        <v>3.3502712962366371E-2</v>
      </c>
      <c r="AV25" s="12">
        <f t="shared" si="16"/>
        <v>0.95365789473684215</v>
      </c>
      <c r="AW25" s="12">
        <f t="shared" si="17"/>
        <v>4.859405612737655E-2</v>
      </c>
      <c r="AX25" s="81">
        <f ca="1">B25*H25*'Aerodynamics-Constants'!AK25/C25</f>
        <v>105647.20744052941</v>
      </c>
      <c r="AY25" s="10">
        <f ca="1">0.455/(LOG10(MIN(AX25,'Aerodynamics-Constants'!AQ25)))^2.58</f>
        <v>7.0686261748579213E-3</v>
      </c>
      <c r="AZ25" s="15">
        <f ca="1">AY25*'Aerodynamics-Constants'!AS25*'Aerodynamics-Constants'!AT25*'Aerodynamics-Constants'!AO25/S25</f>
        <v>1.9662210522570982E-2</v>
      </c>
      <c r="BA25" s="81">
        <f ca="1">B25*H25*'Aerodynamics-Constants'!N25/C25</f>
        <v>4089976.2994339531</v>
      </c>
      <c r="BB25" s="10">
        <f ca="1">0.455/(LOG10(MIN(BA25,'Aerodynamics-Constants'!V25)))^2.58</f>
        <v>3.4801661053319808E-3</v>
      </c>
      <c r="BC25" s="10">
        <f ca="1">BB25*'Aerodynamics-Constants'!W25*'Aerodynamics-Constants'!X25*'Aerodynamics-Constants'!S25/N25+'Aerodynamics-Constants'!Z25</f>
        <v>2.7616685027005232E-3</v>
      </c>
      <c r="BD25" s="15">
        <f ca="1">BC25*'Aerodynamics-Constants'!AU25+(AJ25+AS25+AZ25)*('Aerodynamics-Constants'!AU25-1)</f>
        <v>7.3774573197968769E-3</v>
      </c>
      <c r="BE25" s="16">
        <f t="shared" ca="1" si="18"/>
        <v>0.42512579834259223</v>
      </c>
      <c r="BF25" s="10">
        <f t="shared" ca="1" si="19"/>
        <v>1.5447453124108584E-2</v>
      </c>
      <c r="BG25" s="10">
        <f t="shared" ca="1" si="20"/>
        <v>1.0895298705159573E-2</v>
      </c>
      <c r="BH25" s="10">
        <f t="shared" ca="1" si="21"/>
        <v>2.6342751829268159E-2</v>
      </c>
      <c r="BI25" s="13">
        <f t="shared" ca="1" si="22"/>
        <v>128.2373938842594</v>
      </c>
      <c r="BJ25" s="13">
        <f t="shared" ca="1" si="23"/>
        <v>7.9461793556053646</v>
      </c>
      <c r="BK25" s="13">
        <f t="shared" ca="1" si="24"/>
        <v>16.138245582614324</v>
      </c>
      <c r="BL25" s="14">
        <f t="shared" ca="1" si="25"/>
        <v>308.87139376799718</v>
      </c>
      <c r="BO25" s="16">
        <f ca="1">'Airfoil-Descent'!J25</f>
        <v>4.3650080067669892</v>
      </c>
      <c r="BP25" s="1">
        <f ca="1">BO25/(1+BO25/(PI()*'Aerodynamics-Constants'!I25)*(1+AB25))</f>
        <v>3.6031726241423132</v>
      </c>
      <c r="BR25" s="12">
        <v>6</v>
      </c>
      <c r="BS25" s="1">
        <f t="shared" si="26"/>
        <v>3.4999890744031426</v>
      </c>
      <c r="BT25" s="1">
        <f>Stability!W25</f>
        <v>2.4748660085892902</v>
      </c>
      <c r="BV25" s="12">
        <v>6</v>
      </c>
      <c r="BW25" s="1">
        <f t="shared" si="27"/>
        <v>3.4576577348594704</v>
      </c>
      <c r="BX25" s="1">
        <f>Stability!Y25</f>
        <v>2.4449332313412491</v>
      </c>
    </row>
    <row r="26" spans="2:76">
      <c r="B26" s="16">
        <f>Cruise!F26</f>
        <v>0.65969672852566186</v>
      </c>
      <c r="C26" s="74">
        <f>'Airfoil-Cruise'!E26</f>
        <v>1.5987591530356481E-5</v>
      </c>
      <c r="E26" s="19">
        <f ca="1">Cruise!H26</f>
        <v>129.96953292099397</v>
      </c>
      <c r="F26" s="63">
        <f>Weight!G26</f>
        <v>0.3</v>
      </c>
      <c r="H26" s="20">
        <f t="shared" ca="1" si="28"/>
        <v>38.307798687258554</v>
      </c>
      <c r="I26" s="20">
        <f t="shared" ca="1" si="0"/>
        <v>20.867392560937688</v>
      </c>
      <c r="J26" s="20">
        <f t="shared" ca="1" si="1"/>
        <v>1.8357731362646668</v>
      </c>
      <c r="L26" s="31">
        <f>Main!B26</f>
        <v>0.33333333333333326</v>
      </c>
      <c r="M26" s="31">
        <f>Main!C26</f>
        <v>1.8947368421052633</v>
      </c>
      <c r="N26" s="1">
        <f t="shared" si="2"/>
        <v>0.63157894736842091</v>
      </c>
      <c r="O26" s="1">
        <f t="shared" si="3"/>
        <v>5.6842105263157912</v>
      </c>
      <c r="P26" s="16">
        <f ca="1">'Aerodynamics-Constants'!AC26</f>
        <v>4.1646113608309603E-2</v>
      </c>
      <c r="Q26" s="16">
        <f>'Aerodynamics-Constants'!AD26</f>
        <v>2.8421052631578956</v>
      </c>
      <c r="R26" s="63">
        <f>Stability!G26</f>
        <v>5.6500000000000012</v>
      </c>
      <c r="S26" s="16">
        <f ca="1">'Aerodynamics-Constants'!AM26</f>
        <v>1.2558058561189744E-2</v>
      </c>
      <c r="T26" s="16">
        <f>'Aerodynamics-Constants'!AN26</f>
        <v>2.8421052631578956</v>
      </c>
      <c r="V26" s="81">
        <f t="shared" ca="1" si="4"/>
        <v>526898.82281559263</v>
      </c>
      <c r="W26" s="16">
        <f ca="1">'Aerodynamics-Cruise'!W26*$W$12</f>
        <v>0.45</v>
      </c>
      <c r="X26" s="42">
        <f ca="1">'Airfoil-Descent'!V26</f>
        <v>6.6104753883488299E-3</v>
      </c>
      <c r="Y26" s="14">
        <f t="shared" ca="1" si="5"/>
        <v>68.073772847432295</v>
      </c>
      <c r="Z26" s="16">
        <f ca="1">'Airfoil-Descent'!AF26</f>
        <v>-0.15499999999999847</v>
      </c>
      <c r="AA26" s="31">
        <f>Main!I26</f>
        <v>1.1988991887661258</v>
      </c>
      <c r="AB26" s="12">
        <f t="shared" si="6"/>
        <v>-0.16590151251234675</v>
      </c>
      <c r="AC26" s="30">
        <f t="shared" ca="1" si="7"/>
        <v>1.2040279083393617</v>
      </c>
      <c r="AD26" s="13">
        <f t="shared" ca="1" si="8"/>
        <v>1.2040279083393617</v>
      </c>
      <c r="AE26" s="13">
        <f ca="1">DEGREES(AF26/BP26)+'Airfoil-Descent'!K26</f>
        <v>-4.9708634458012728</v>
      </c>
      <c r="AF26" s="1">
        <f t="shared" ca="1" si="9"/>
        <v>0.44990064393601958</v>
      </c>
      <c r="AG26" s="16">
        <f ca="1">0.9*'Airfoil-Descent'!I26</f>
        <v>1.4327262107211247</v>
      </c>
      <c r="AH26" s="42">
        <f ca="1">0.455/(LOG10(MIN(V26,'Aerodynamics-Constants'!L26)))^2.58</f>
        <v>5.0534892946910029E-3</v>
      </c>
      <c r="AI26" s="42">
        <f ca="1">+AH26*'Aerodynamics-Constants'!J26*'Aerodynamics-Constants'!M26</f>
        <v>0</v>
      </c>
      <c r="AJ26" s="10">
        <f ca="1">X26*COS(RADIANS(AC26))*'Aerodynamics-Constants'!M26+AI26</f>
        <v>6.6090158532029954E-3</v>
      </c>
      <c r="AK26" s="10">
        <f ca="1">AF26^2/(PI()*'Aerodynamics-Constants'!I26*AA26)</f>
        <v>9.454325185594744E-3</v>
      </c>
      <c r="AL26" s="10">
        <f t="shared" ca="1" si="10"/>
        <v>1.6063341038797738E-2</v>
      </c>
      <c r="AM26" s="1">
        <f t="shared" ca="1" si="11"/>
        <v>-0.15499999999999847</v>
      </c>
      <c r="AN26" s="1">
        <f t="shared" ca="1" si="12"/>
        <v>-0.37560515529755578</v>
      </c>
      <c r="AO26" s="12">
        <f t="shared" si="29"/>
        <v>0.97702994049688086</v>
      </c>
      <c r="AP26" s="12">
        <f t="shared" si="13"/>
        <v>2.3510087614548869E-2</v>
      </c>
      <c r="AQ26" s="81">
        <f ca="1">B26*H26*'Aerodynamics-Constants'!AA26/C26</f>
        <v>191344.35017078105</v>
      </c>
      <c r="AR26" s="10">
        <f ca="1">0.455/(LOG10(MIN(AQ26,'Aerodynamics-Constants'!AG26)))^2.58</f>
        <v>6.2119884749106489E-3</v>
      </c>
      <c r="AS26" s="15">
        <f ca="1">AR26*'Aerodynamics-Constants'!AI26*'Aerodynamics-Constants'!AJ26*'Aerodynamics-Constants'!AE26/P26</f>
        <v>1.7279372559255875E-2</v>
      </c>
      <c r="AT26" s="10">
        <f t="shared" ca="1" si="14"/>
        <v>1.6172054071816874E-2</v>
      </c>
      <c r="AU26" s="10">
        <f t="shared" ca="1" si="15"/>
        <v>3.3451426631072749E-2</v>
      </c>
      <c r="AV26" s="12">
        <f t="shared" si="16"/>
        <v>0.95294736842105265</v>
      </c>
      <c r="AW26" s="12">
        <f t="shared" si="17"/>
        <v>4.9375897492543785E-2</v>
      </c>
      <c r="AX26" s="81">
        <f ca="1">B26*H26*'Aerodynamics-Constants'!AK26/C26</f>
        <v>105072.64273171072</v>
      </c>
      <c r="AY26" s="10">
        <f ca="1">0.455/(LOG10(MIN(AX26,'Aerodynamics-Constants'!AQ26)))^2.58</f>
        <v>7.0772308173837816E-3</v>
      </c>
      <c r="AZ26" s="15">
        <f ca="1">AY26*'Aerodynamics-Constants'!AS26*'Aerodynamics-Constants'!AT26*'Aerodynamics-Constants'!AO26/S26</f>
        <v>1.9686145342241692E-2</v>
      </c>
      <c r="BA26" s="81">
        <f ca="1">B26*H26*'Aerodynamics-Constants'!N26/C26</f>
        <v>4030775.9945392841</v>
      </c>
      <c r="BB26" s="10">
        <f ca="1">0.455/(LOG10(MIN(BA26,'Aerodynamics-Constants'!V26)))^2.58</f>
        <v>3.4887800051840818E-3</v>
      </c>
      <c r="BC26" s="10">
        <f ca="1">BB26*'Aerodynamics-Constants'!W26*'Aerodynamics-Constants'!X26*'Aerodynamics-Constants'!S26/N26+'Aerodynamics-Constants'!Z26</f>
        <v>2.6531436455310533E-3</v>
      </c>
      <c r="BD26" s="15">
        <f ca="1">BC26*'Aerodynamics-Constants'!AU26+(AJ26+AS26+AZ26)*('Aerodynamics-Constants'!AU26-1)</f>
        <v>7.2759113855542191E-3</v>
      </c>
      <c r="BE26" s="16">
        <f t="shared" ca="1" si="18"/>
        <v>0.42513336023448733</v>
      </c>
      <c r="BF26" s="10">
        <f t="shared" ca="1" si="19"/>
        <v>1.5415754830087697E-2</v>
      </c>
      <c r="BG26" s="10">
        <f t="shared" ca="1" si="20"/>
        <v>1.0520705254089546E-2</v>
      </c>
      <c r="BH26" s="10">
        <f t="shared" ca="1" si="21"/>
        <v>2.5936460084177243E-2</v>
      </c>
      <c r="BI26" s="13">
        <f t="shared" ca="1" si="22"/>
        <v>129.96953292099394</v>
      </c>
      <c r="BJ26" s="13">
        <f t="shared" ca="1" si="23"/>
        <v>7.9291580432672522</v>
      </c>
      <c r="BK26" s="13">
        <f t="shared" ca="1" si="24"/>
        <v>16.391340948406587</v>
      </c>
      <c r="BL26" s="14">
        <f t="shared" ca="1" si="25"/>
        <v>303.74859008093887</v>
      </c>
      <c r="BO26" s="16">
        <f ca="1">'Airfoil-Descent'!J26</f>
        <v>4.386466572120626</v>
      </c>
      <c r="BP26" s="1">
        <f ca="1">BO26/(1+BO26/(PI()*'Aerodynamics-Constants'!I26)*(1+AB26))</f>
        <v>3.6405658587870526</v>
      </c>
      <c r="BR26" s="12">
        <v>6</v>
      </c>
      <c r="BS26" s="1">
        <f t="shared" si="26"/>
        <v>3.5549530075966391</v>
      </c>
      <c r="BT26" s="1">
        <f>Stability!W26</f>
        <v>2.5137313784710957</v>
      </c>
      <c r="BV26" s="12">
        <v>6</v>
      </c>
      <c r="BW26" s="1">
        <f t="shared" si="27"/>
        <v>3.5187158511365184</v>
      </c>
      <c r="BX26" s="1">
        <f>Stability!Y26</f>
        <v>2.4881078394072267</v>
      </c>
    </row>
    <row r="27" spans="2:76">
      <c r="B27" s="16">
        <f>Cruise!F27</f>
        <v>0.65969672852566186</v>
      </c>
      <c r="C27" s="74">
        <f>'Airfoil-Cruise'!E27</f>
        <v>1.5987591530356481E-5</v>
      </c>
      <c r="E27" s="19">
        <f ca="1">Cruise!H27</f>
        <v>131.61371211476811</v>
      </c>
      <c r="F27" s="63">
        <f>Weight!G27</f>
        <v>0.3</v>
      </c>
      <c r="H27" s="20">
        <f t="shared" ca="1" si="28"/>
        <v>37.770190296835928</v>
      </c>
      <c r="I27" s="20">
        <f t="shared" ca="1" si="0"/>
        <v>20.576725131222602</v>
      </c>
      <c r="J27" s="20">
        <f t="shared" ca="1" si="1"/>
        <v>1.8355783078194692</v>
      </c>
      <c r="L27" s="31">
        <f>Main!B27</f>
        <v>0.33333333333333326</v>
      </c>
      <c r="M27" s="31">
        <f>Main!C27</f>
        <v>1.9736842105263159</v>
      </c>
      <c r="N27" s="1">
        <f t="shared" si="2"/>
        <v>0.6578947368421052</v>
      </c>
      <c r="O27" s="1">
        <f t="shared" si="3"/>
        <v>5.9210526315789487</v>
      </c>
      <c r="P27" s="16">
        <f ca="1">'Aerodynamics-Constants'!AC27</f>
        <v>4.2781781196446295E-2</v>
      </c>
      <c r="Q27" s="16">
        <f>'Aerodynamics-Constants'!AD27</f>
        <v>2.9605263157894743</v>
      </c>
      <c r="R27" s="63">
        <f>Stability!G27</f>
        <v>5.6500000000000012</v>
      </c>
      <c r="S27" s="16">
        <f ca="1">'Aerodynamics-Constants'!AM27</f>
        <v>1.3327858239092206E-2</v>
      </c>
      <c r="T27" s="16">
        <f>'Aerodynamics-Constants'!AN27</f>
        <v>2.9605263157894743</v>
      </c>
      <c r="V27" s="81">
        <f t="shared" ca="1" si="4"/>
        <v>519504.36952523206</v>
      </c>
      <c r="W27" s="16">
        <f ca="1">'Aerodynamics-Cruise'!W27*$W$12</f>
        <v>0.45</v>
      </c>
      <c r="X27" s="42">
        <f ca="1">'Airfoil-Descent'!V27</f>
        <v>6.682884513558327E-3</v>
      </c>
      <c r="Y27" s="14">
        <f t="shared" ca="1" si="5"/>
        <v>67.336192790259034</v>
      </c>
      <c r="Z27" s="16">
        <f ca="1">'Airfoil-Descent'!AF27</f>
        <v>-0.1549999999999985</v>
      </c>
      <c r="AA27" s="31">
        <f>Main!I27</f>
        <v>1.1915497685716252</v>
      </c>
      <c r="AB27" s="12">
        <f t="shared" si="6"/>
        <v>-0.16075683418683062</v>
      </c>
      <c r="AC27" s="30">
        <f t="shared" ca="1" si="7"/>
        <v>1.1630133207169107</v>
      </c>
      <c r="AD27" s="13">
        <f t="shared" ca="1" si="8"/>
        <v>1.1630133207169107</v>
      </c>
      <c r="AE27" s="13">
        <f ca="1">DEGREES(AF27/BP27)+'Airfoil-Descent'!K27</f>
        <v>-4.9262907419773336</v>
      </c>
      <c r="AF27" s="1">
        <f t="shared" ca="1" si="9"/>
        <v>0.44990729744168506</v>
      </c>
      <c r="AG27" s="16">
        <f ca="1">0.9*'Airfoil-Descent'!I27</f>
        <v>1.4324447472488802</v>
      </c>
      <c r="AH27" s="42">
        <f ca="1">0.455/(LOG10(MIN(V27,'Aerodynamics-Constants'!L27)))^2.58</f>
        <v>5.06750280603252E-3</v>
      </c>
      <c r="AI27" s="42">
        <f ca="1">+AH27*'Aerodynamics-Constants'!J27*'Aerodynamics-Constants'!M27</f>
        <v>0</v>
      </c>
      <c r="AJ27" s="10">
        <f ca="1">X27*COS(RADIANS(AC27))*'Aerodynamics-Constants'!M27+AI27</f>
        <v>6.6815078013553715E-3</v>
      </c>
      <c r="AK27" s="10">
        <f ca="1">AF27^2/(PI()*'Aerodynamics-Constants'!I27*AA27)</f>
        <v>9.1324035462847994E-3</v>
      </c>
      <c r="AL27" s="10">
        <f t="shared" ca="1" si="10"/>
        <v>1.581391134764017E-2</v>
      </c>
      <c r="AM27" s="1">
        <f t="shared" ca="1" si="11"/>
        <v>-0.1549999999999985</v>
      </c>
      <c r="AN27" s="1">
        <f t="shared" ca="1" si="12"/>
        <v>-0.38086830954718603</v>
      </c>
      <c r="AO27" s="12">
        <f t="shared" si="29"/>
        <v>0.972442687624126</v>
      </c>
      <c r="AP27" s="12">
        <f t="shared" si="13"/>
        <v>2.8338238054113063E-2</v>
      </c>
      <c r="AQ27" s="81">
        <f ca="1">B27*H27*'Aerodynamics-Constants'!AA27/C27</f>
        <v>187350.74640208602</v>
      </c>
      <c r="AR27" s="10">
        <f ca="1">0.455/(LOG10(MIN(AQ27,'Aerodynamics-Constants'!AG27)))^2.58</f>
        <v>6.2398703837935835E-3</v>
      </c>
      <c r="AS27" s="15">
        <f ca="1">AR27*'Aerodynamics-Constants'!AI27*'Aerodynamics-Constants'!AJ27*'Aerodynamics-Constants'!AE27/P27</f>
        <v>1.7356929350160644E-2</v>
      </c>
      <c r="AT27" s="10">
        <f t="shared" ca="1" si="14"/>
        <v>1.6038615027645666E-2</v>
      </c>
      <c r="AU27" s="10">
        <f t="shared" ca="1" si="15"/>
        <v>3.3395544377806313E-2</v>
      </c>
      <c r="AV27" s="12">
        <f t="shared" si="16"/>
        <v>0.95223684210526327</v>
      </c>
      <c r="AW27" s="12">
        <f t="shared" si="17"/>
        <v>5.0158905623877148E-2</v>
      </c>
      <c r="AX27" s="81">
        <f ca="1">B27*H27*'Aerodynamics-Constants'!AK27/C27</f>
        <v>104569.77628889869</v>
      </c>
      <c r="AY27" s="10">
        <f ca="1">0.455/(LOG10(MIN(AX27,'Aerodynamics-Constants'!AQ27)))^2.58</f>
        <v>7.0848124329334081E-3</v>
      </c>
      <c r="AZ27" s="15">
        <f ca="1">AY27*'Aerodynamics-Constants'!AS27*'Aerodynamics-Constants'!AT27*'Aerodynamics-Constants'!AO27/S27</f>
        <v>1.9707234492714554E-2</v>
      </c>
      <c r="BA27" s="81">
        <f ca="1">B27*H27*'Aerodynamics-Constants'!N27/C27</f>
        <v>3974208.4268680261</v>
      </c>
      <c r="BB27" s="10">
        <f ca="1">0.455/(LOG10(MIN(BA27,'Aerodynamics-Constants'!V27)))^2.58</f>
        <v>3.4971581192963456E-3</v>
      </c>
      <c r="BC27" s="10">
        <f ca="1">BB27*'Aerodynamics-Constants'!W27*'Aerodynamics-Constants'!X27*'Aerodynamics-Constants'!S27/N27+'Aerodynamics-Constants'!Z27</f>
        <v>2.5531287975900916E-3</v>
      </c>
      <c r="BD27" s="15">
        <f ca="1">BC27*'Aerodynamics-Constants'!AU27+(AJ27+AS27+AZ27)*('Aerodynamics-Constants'!AU27-1)</f>
        <v>7.1830088417721618E-3</v>
      </c>
      <c r="BE27" s="16">
        <f t="shared" ca="1" si="18"/>
        <v>0.42514007592244873</v>
      </c>
      <c r="BF27" s="10">
        <f t="shared" ca="1" si="19"/>
        <v>1.5392444326709913E-2</v>
      </c>
      <c r="BG27" s="10">
        <f t="shared" ca="1" si="20"/>
        <v>1.0175367534871093E-2</v>
      </c>
      <c r="BH27" s="10">
        <f t="shared" ca="1" si="21"/>
        <v>2.5567811861581004E-2</v>
      </c>
      <c r="BI27" s="13">
        <f t="shared" ca="1" si="22"/>
        <v>131.61371211476811</v>
      </c>
      <c r="BJ27" s="13">
        <f t="shared" ca="1" si="23"/>
        <v>7.9152138796919962</v>
      </c>
      <c r="BK27" s="13">
        <f t="shared" ca="1" si="24"/>
        <v>16.627941343751733</v>
      </c>
      <c r="BL27" s="14">
        <f t="shared" ca="1" si="25"/>
        <v>298.95913447612367</v>
      </c>
      <c r="BO27" s="16">
        <f ca="1">'Airfoil-Descent'!J27</f>
        <v>4.4073680340238219</v>
      </c>
      <c r="BP27" s="1">
        <f ca="1">BO27/(1+BO27/(PI()*'Aerodynamics-Constants'!I27)*(1+AB27))</f>
        <v>3.6763400361562315</v>
      </c>
      <c r="BR27" s="12">
        <v>6</v>
      </c>
      <c r="BS27" s="1">
        <f t="shared" si="26"/>
        <v>3.6070931443035468</v>
      </c>
      <c r="BT27" s="1">
        <f>Stability!W27</f>
        <v>2.5506000227085441</v>
      </c>
      <c r="BV27" s="12">
        <v>6</v>
      </c>
      <c r="BW27" s="1">
        <f t="shared" si="27"/>
        <v>3.5768237222582537</v>
      </c>
      <c r="BX27" s="1">
        <f>Stability!Y27</f>
        <v>2.5291963091177196</v>
      </c>
    </row>
    <row r="28" spans="2:76">
      <c r="B28" s="16">
        <f>Cruise!F28</f>
        <v>0.65969672852566186</v>
      </c>
      <c r="C28" s="74">
        <f>'Airfoil-Cruise'!E28</f>
        <v>1.5987591530356481E-5</v>
      </c>
      <c r="E28" s="19">
        <f ca="1">Cruise!H28</f>
        <v>132.52501256992099</v>
      </c>
      <c r="F28" s="63">
        <f>Weight!G28</f>
        <v>0.3</v>
      </c>
      <c r="H28" s="20">
        <f t="shared" ca="1" si="28"/>
        <v>37.164457693025206</v>
      </c>
      <c r="I28" s="20">
        <f t="shared" ca="1" si="0"/>
        <v>20.249147677606505</v>
      </c>
      <c r="J28" s="20">
        <f t="shared" ca="1" si="1"/>
        <v>1.8353591116393166</v>
      </c>
      <c r="L28" s="31">
        <f>Main!B28</f>
        <v>0.33333333333333326</v>
      </c>
      <c r="M28" s="31">
        <f>Main!C28</f>
        <v>2.0526315789473686</v>
      </c>
      <c r="N28" s="1">
        <f t="shared" si="2"/>
        <v>0.68421052631578938</v>
      </c>
      <c r="O28" s="1">
        <f t="shared" si="3"/>
        <v>6.1578947368421071</v>
      </c>
      <c r="P28" s="16">
        <f ca="1">'Aerodynamics-Constants'!AC28</f>
        <v>4.394550651802915E-2</v>
      </c>
      <c r="Q28" s="16">
        <f>'Aerodynamics-Constants'!AD28</f>
        <v>3.0789473684210535</v>
      </c>
      <c r="R28" s="63">
        <f>Stability!G28</f>
        <v>5.6500000000000012</v>
      </c>
      <c r="S28" s="16">
        <f ca="1">'Aerodynamics-Constants'!AM28</f>
        <v>1.4126195587998653E-2</v>
      </c>
      <c r="T28" s="16">
        <f>'Aerodynamics-Constants'!AN28</f>
        <v>3.0789473684210535</v>
      </c>
      <c r="V28" s="81">
        <f t="shared" ca="1" si="4"/>
        <v>511172.91204592126</v>
      </c>
      <c r="W28" s="16">
        <f ca="1">'Aerodynamics-Cruise'!W28*$W$12</f>
        <v>0.45</v>
      </c>
      <c r="X28" s="42">
        <f ca="1">'Airfoil-Descent'!V28</f>
        <v>6.7666874372399842E-3</v>
      </c>
      <c r="Y28" s="14">
        <f t="shared" ca="1" si="5"/>
        <v>66.502258922653496</v>
      </c>
      <c r="Z28" s="16">
        <f ca="1">'Airfoil-Descent'!AF28</f>
        <v>-0.1549999999999985</v>
      </c>
      <c r="AA28" s="31">
        <f>Main!I28</f>
        <v>1.1842938502019895</v>
      </c>
      <c r="AB28" s="12">
        <f t="shared" si="6"/>
        <v>-0.15561496850680845</v>
      </c>
      <c r="AC28" s="30">
        <f t="shared" ca="1" si="7"/>
        <v>1.1251483666507682</v>
      </c>
      <c r="AD28" s="13">
        <f t="shared" ca="1" si="8"/>
        <v>1.1251483666507682</v>
      </c>
      <c r="AE28" s="13">
        <f ca="1">DEGREES(AF28/BP28)+'Airfoil-Descent'!K28</f>
        <v>-4.8674189403777577</v>
      </c>
      <c r="AF28" s="1">
        <f t="shared" ca="1" si="9"/>
        <v>0.44991323533688854</v>
      </c>
      <c r="AG28" s="16">
        <f ca="1">0.9*'Airfoil-Descent'!I28</f>
        <v>1.4321228449563335</v>
      </c>
      <c r="AH28" s="42">
        <f ca="1">0.455/(LOG10(MIN(V28,'Aerodynamics-Constants'!L28)))^2.58</f>
        <v>5.0835992696634507E-3</v>
      </c>
      <c r="AI28" s="42">
        <f ca="1">+AH28*'Aerodynamics-Constants'!J28*'Aerodynamics-Constants'!M28</f>
        <v>0</v>
      </c>
      <c r="AJ28" s="10">
        <f ca="1">X28*COS(RADIANS(AC28))*'Aerodynamics-Constants'!M28+AI28</f>
        <v>6.7653827497824899E-3</v>
      </c>
      <c r="AK28" s="10">
        <f ca="1">AF28^2/(PI()*'Aerodynamics-Constants'!I28*AA28)</f>
        <v>8.8351907623192057E-3</v>
      </c>
      <c r="AL28" s="10">
        <f t="shared" ca="1" si="10"/>
        <v>1.5600573512101696E-2</v>
      </c>
      <c r="AM28" s="1">
        <f t="shared" ca="1" si="11"/>
        <v>-0.1549999999999985</v>
      </c>
      <c r="AN28" s="1">
        <f t="shared" ca="1" si="12"/>
        <v>-0.3856129339250487</v>
      </c>
      <c r="AO28" s="12">
        <f t="shared" si="29"/>
        <v>0.96791379534354982</v>
      </c>
      <c r="AP28" s="12">
        <f t="shared" si="13"/>
        <v>3.3149857777428959E-2</v>
      </c>
      <c r="AQ28" s="81">
        <f ca="1">B28*H28*'Aerodynamics-Constants'!AA28/C28</f>
        <v>183208.31951466322</v>
      </c>
      <c r="AR28" s="10">
        <f ca="1">0.455/(LOG10(MIN(AQ28,'Aerodynamics-Constants'!AG28)))^2.58</f>
        <v>6.2696164138300115E-3</v>
      </c>
      <c r="AS28" s="15">
        <f ca="1">AR28*'Aerodynamics-Constants'!AI28*'Aerodynamics-Constants'!AJ28*'Aerodynamics-Constants'!AE28/P28</f>
        <v>1.7439671412100101E-2</v>
      </c>
      <c r="AT28" s="10">
        <f t="shared" ca="1" si="14"/>
        <v>1.5882335538009433E-2</v>
      </c>
      <c r="AU28" s="10">
        <f t="shared" ca="1" si="15"/>
        <v>3.3322006950109534E-2</v>
      </c>
      <c r="AV28" s="12">
        <f t="shared" si="16"/>
        <v>0.95152631578947378</v>
      </c>
      <c r="AW28" s="12">
        <f t="shared" si="17"/>
        <v>5.0943083135128964E-2</v>
      </c>
      <c r="AX28" s="81">
        <f ca="1">B28*H28*'Aerodynamics-Constants'!AK28/C28</f>
        <v>103872.49452302186</v>
      </c>
      <c r="AY28" s="10">
        <f ca="1">0.455/(LOG10(MIN(AX28,'Aerodynamics-Constants'!AQ28)))^2.58</f>
        <v>7.0954045881803946E-3</v>
      </c>
      <c r="AZ28" s="15">
        <f ca="1">AY28*'Aerodynamics-Constants'!AS28*'Aerodynamics-Constants'!AT28*'Aerodynamics-Constants'!AO28/S28</f>
        <v>1.9736697811498442E-2</v>
      </c>
      <c r="BA28" s="81">
        <f ca="1">B28*H28*'Aerodynamics-Constants'!N28/C28</f>
        <v>3910472.7771512987</v>
      </c>
      <c r="BB28" s="10">
        <f ca="1">0.455/(LOG10(MIN(BA28,'Aerodynamics-Constants'!V28)))^2.58</f>
        <v>3.506776236525417E-3</v>
      </c>
      <c r="BC28" s="10">
        <f ca="1">BB28*'Aerodynamics-Constants'!W28*'Aerodynamics-Constants'!X28*'Aerodynamics-Constants'!S28/N28+'Aerodynamics-Constants'!Z28</f>
        <v>2.461677056882116E-3</v>
      </c>
      <c r="BD28" s="15">
        <f ca="1">BC28*'Aerodynamics-Constants'!AU28+(AJ28+AS28+AZ28)*('Aerodynamics-Constants'!AU28-1)</f>
        <v>7.1020199599084351E-3</v>
      </c>
      <c r="BE28" s="16">
        <f t="shared" ca="1" si="18"/>
        <v>0.42514606931199994</v>
      </c>
      <c r="BF28" s="10">
        <f t="shared" ca="1" si="19"/>
        <v>1.5395002194146655E-2</v>
      </c>
      <c r="BG28" s="10">
        <f t="shared" ca="1" si="20"/>
        <v>9.8552821714142265E-3</v>
      </c>
      <c r="BH28" s="10">
        <f t="shared" ca="1" si="21"/>
        <v>2.5250284365560885E-2</v>
      </c>
      <c r="BI28" s="13">
        <f t="shared" ca="1" si="22"/>
        <v>132.52501256992099</v>
      </c>
      <c r="BJ28" s="13">
        <f t="shared" ca="1" si="23"/>
        <v>7.8709283572943169</v>
      </c>
      <c r="BK28" s="13">
        <f t="shared" ca="1" si="24"/>
        <v>16.837278470093626</v>
      </c>
      <c r="BL28" s="14">
        <f t="shared" ca="1" si="25"/>
        <v>292.51878393949704</v>
      </c>
      <c r="BO28" s="16">
        <f ca="1">'Airfoil-Descent'!J28</f>
        <v>4.4313996697733948</v>
      </c>
      <c r="BP28" s="1">
        <f ca="1">BO28/(1+BO28/(PI()*'Aerodynamics-Constants'!I28)*(1+AB28))</f>
        <v>3.7131965993454523</v>
      </c>
      <c r="BR28" s="12">
        <v>6</v>
      </c>
      <c r="BS28" s="1">
        <f t="shared" si="26"/>
        <v>3.6566214992242547</v>
      </c>
      <c r="BT28" s="1">
        <f>Stability!W28</f>
        <v>2.5856218583339907</v>
      </c>
      <c r="BV28" s="12">
        <v>6</v>
      </c>
      <c r="BW28" s="1">
        <f t="shared" si="27"/>
        <v>3.632189944665718</v>
      </c>
      <c r="BX28" s="1">
        <f>Stability!Y28</f>
        <v>2.5683461404307204</v>
      </c>
    </row>
    <row r="29" spans="2:76">
      <c r="B29" s="16">
        <f>Cruise!F29</f>
        <v>0.65969672852566186</v>
      </c>
      <c r="C29" s="74">
        <f>'Airfoil-Cruise'!E29</f>
        <v>1.5987591530356481E-5</v>
      </c>
      <c r="E29" s="19">
        <f ca="1">Cruise!H29</f>
        <v>132.22241873736857</v>
      </c>
      <c r="F29" s="63">
        <f>Weight!G29</f>
        <v>0.3</v>
      </c>
      <c r="H29" s="20">
        <f t="shared" ca="1" si="28"/>
        <v>36.427844098405416</v>
      </c>
      <c r="I29" s="20">
        <f t="shared" ca="1" si="0"/>
        <v>19.850689340521857</v>
      </c>
      <c r="J29" s="20">
        <f t="shared" ca="1" si="1"/>
        <v>1.8350921458452365</v>
      </c>
      <c r="L29" s="31">
        <f>Main!B29</f>
        <v>0.33333333333333326</v>
      </c>
      <c r="M29" s="31">
        <f>Main!C29</f>
        <v>2.1315789473684212</v>
      </c>
      <c r="N29" s="1">
        <f t="shared" si="2"/>
        <v>0.71052631578947356</v>
      </c>
      <c r="O29" s="1">
        <f t="shared" si="3"/>
        <v>6.3947368421052664</v>
      </c>
      <c r="P29" s="16">
        <f ca="1">'Aerodynamics-Constants'!AC29</f>
        <v>4.5163073631874995E-2</v>
      </c>
      <c r="Q29" s="16">
        <f>'Aerodynamics-Constants'!AD29</f>
        <v>3.1973684210526327</v>
      </c>
      <c r="R29" s="63">
        <f>Stability!G29</f>
        <v>5.6500000000000012</v>
      </c>
      <c r="S29" s="16">
        <f ca="1">'Aerodynamics-Constants'!AM29</f>
        <v>1.4952796880420957E-2</v>
      </c>
      <c r="T29" s="16">
        <f>'Aerodynamics-Constants'!AN29</f>
        <v>3.1973684210526327</v>
      </c>
      <c r="V29" s="81">
        <f t="shared" ca="1" si="4"/>
        <v>501041.27177487063</v>
      </c>
      <c r="W29" s="16">
        <f ca="1">'Aerodynamics-Cruise'!W29*$W$12</f>
        <v>0.45</v>
      </c>
      <c r="X29" s="42">
        <f ca="1">'Airfoil-Descent'!V29</f>
        <v>6.8719155317406291E-3</v>
      </c>
      <c r="Y29" s="14">
        <f t="shared" ca="1" si="5"/>
        <v>65.483924812739488</v>
      </c>
      <c r="Z29" s="16">
        <f ca="1">'Airfoil-Descent'!AF29</f>
        <v>-0.15499999999999853</v>
      </c>
      <c r="AA29" s="31">
        <f>Main!I29</f>
        <v>1.1771267133748404</v>
      </c>
      <c r="AB29" s="12">
        <f t="shared" si="6"/>
        <v>-0.15047378617975238</v>
      </c>
      <c r="AC29" s="30">
        <f t="shared" ca="1" si="7"/>
        <v>1.090086031915193</v>
      </c>
      <c r="AD29" s="13">
        <f t="shared" ca="1" si="8"/>
        <v>1.090086031915193</v>
      </c>
      <c r="AE29" s="13">
        <f ca="1">DEGREES(AF29/BP29)+'Airfoil-Descent'!K29</f>
        <v>-4.7843958358790362</v>
      </c>
      <c r="AF29" s="1">
        <f t="shared" ca="1" si="9"/>
        <v>0.44991855851152662</v>
      </c>
      <c r="AG29" s="16">
        <f ca="1">0.9*'Airfoil-Descent'!I29</f>
        <v>1.4317243443888417</v>
      </c>
      <c r="AH29" s="42">
        <f ca="1">0.455/(LOG10(MIN(V29,'Aerodynamics-Constants'!L29)))^2.58</f>
        <v>5.103629462414958E-3</v>
      </c>
      <c r="AI29" s="42">
        <f ca="1">+AH29*'Aerodynamics-Constants'!J29*'Aerodynamics-Constants'!M29</f>
        <v>0</v>
      </c>
      <c r="AJ29" s="10">
        <f ca="1">X29*COS(RADIANS(AC29))*'Aerodynamics-Constants'!M29+AI29</f>
        <v>6.8706718450082553E-3</v>
      </c>
      <c r="AK29" s="10">
        <f ca="1">AF29^2/(PI()*'Aerodynamics-Constants'!I29*AA29)</f>
        <v>8.5599662017138527E-3</v>
      </c>
      <c r="AL29" s="10">
        <f t="shared" ca="1" si="10"/>
        <v>1.5430638046722109E-2</v>
      </c>
      <c r="AM29" s="1">
        <f t="shared" ca="1" si="11"/>
        <v>-0.15499999999999853</v>
      </c>
      <c r="AN29" s="1">
        <f t="shared" ca="1" si="12"/>
        <v>-0.38964770253383574</v>
      </c>
      <c r="AO29" s="12">
        <f t="shared" si="29"/>
        <v>0.96344031741880587</v>
      </c>
      <c r="AP29" s="12">
        <f t="shared" si="13"/>
        <v>3.7947013343953451E-2</v>
      </c>
      <c r="AQ29" s="81">
        <f ca="1">B29*H29*'Aerodynamics-Constants'!AA29/C29</f>
        <v>178644.71000381422</v>
      </c>
      <c r="AR29" s="10">
        <f ca="1">0.455/(LOG10(MIN(AQ29,'Aerodynamics-Constants'!AG29)))^2.58</f>
        <v>6.303412446452673E-3</v>
      </c>
      <c r="AS29" s="15">
        <f ca="1">AR29*'Aerodynamics-Constants'!AI29*'Aerodynamics-Constants'!AJ29*'Aerodynamics-Constants'!AE29/P29</f>
        <v>1.753367902996197E-2</v>
      </c>
      <c r="AT29" s="10">
        <f t="shared" ca="1" si="14"/>
        <v>1.5688335536489427E-2</v>
      </c>
      <c r="AU29" s="10">
        <f t="shared" ca="1" si="15"/>
        <v>3.3222014566451394E-2</v>
      </c>
      <c r="AV29" s="12">
        <f t="shared" si="16"/>
        <v>0.95081578947368428</v>
      </c>
      <c r="AW29" s="12">
        <f t="shared" si="17"/>
        <v>5.1728432647864642E-2</v>
      </c>
      <c r="AX29" s="81">
        <f ca="1">B29*H29*'Aerodynamics-Constants'!AK29/C29</f>
        <v>102792.07477847926</v>
      </c>
      <c r="AY29" s="10">
        <f ca="1">0.455/(LOG10(MIN(AX29,'Aerodynamics-Constants'!AQ29)))^2.58</f>
        <v>7.112002171067144E-3</v>
      </c>
      <c r="AZ29" s="15">
        <f ca="1">AY29*'Aerodynamics-Constants'!AS29*'Aerodynamics-Constants'!AT29*'Aerodynamics-Constants'!AO29/S29</f>
        <v>1.978286592971721E-2</v>
      </c>
      <c r="BA29" s="81">
        <f ca="1">B29*H29*'Aerodynamics-Constants'!N29/C29</f>
        <v>3832965.7290777611</v>
      </c>
      <c r="BB29" s="10">
        <f ca="1">0.455/(LOG10(MIN(BA29,'Aerodynamics-Constants'!V29)))^2.58</f>
        <v>3.5187369681006233E-3</v>
      </c>
      <c r="BC29" s="10">
        <f ca="1">BB29*'Aerodynamics-Constants'!W29*'Aerodynamics-Constants'!X29*'Aerodynamics-Constants'!S29/N29+'Aerodynamics-Constants'!Z29</f>
        <v>2.3785816259927809E-3</v>
      </c>
      <c r="BD29" s="15">
        <f ca="1">BC29*'Aerodynamics-Constants'!AU29+(AJ29+AS29+AZ29)*('Aerodynamics-Constants'!AU29-1)</f>
        <v>7.0351614690608074E-3</v>
      </c>
      <c r="BE29" s="16">
        <f t="shared" ca="1" si="18"/>
        <v>0.42515144223593371</v>
      </c>
      <c r="BF29" s="10">
        <f t="shared" ca="1" si="19"/>
        <v>1.5436647850922577E-2</v>
      </c>
      <c r="BG29" s="10">
        <f t="shared" ca="1" si="20"/>
        <v>9.5571614318564185E-3</v>
      </c>
      <c r="BH29" s="10">
        <f t="shared" ca="1" si="21"/>
        <v>2.4993809282778993E-2</v>
      </c>
      <c r="BI29" s="13">
        <f t="shared" ca="1" si="22"/>
        <v>132.22241873736857</v>
      </c>
      <c r="BJ29" s="13">
        <f t="shared" ca="1" si="23"/>
        <v>7.7730935109837853</v>
      </c>
      <c r="BK29" s="13">
        <f t="shared" ca="1" si="24"/>
        <v>17.010269920274524</v>
      </c>
      <c r="BL29" s="14">
        <f t="shared" ca="1" si="25"/>
        <v>283.15703858044412</v>
      </c>
      <c r="BO29" s="16">
        <f ca="1">'Airfoil-Descent'!J29</f>
        <v>4.4613389031703026</v>
      </c>
      <c r="BP29" s="1">
        <f ca="1">BO29/(1+BO29/(PI()*'Aerodynamics-Constants'!I29)*(1+AB29))</f>
        <v>3.7532648753923725</v>
      </c>
      <c r="BR29" s="12">
        <v>6</v>
      </c>
      <c r="BS29" s="1">
        <f t="shared" si="26"/>
        <v>3.7037291927749938</v>
      </c>
      <c r="BT29" s="1">
        <f>Stability!W29</f>
        <v>2.6189320278897759</v>
      </c>
      <c r="BV29" s="12">
        <v>6</v>
      </c>
      <c r="BW29" s="1">
        <f t="shared" si="27"/>
        <v>3.6850039020501306</v>
      </c>
      <c r="BX29" s="1">
        <f>Stability!Y29</f>
        <v>2.6056912478385357</v>
      </c>
    </row>
    <row r="30" spans="2:76">
      <c r="B30" s="16">
        <f>Cruise!F30</f>
        <v>0.65969672852566186</v>
      </c>
      <c r="C30" s="74">
        <f>'Airfoil-Cruise'!E30</f>
        <v>1.5987591530356481E-5</v>
      </c>
      <c r="E30" s="19">
        <f ca="1">Cruise!H30</f>
        <v>131.99460630649114</v>
      </c>
      <c r="F30" s="63">
        <f>Weight!G30</f>
        <v>0.3</v>
      </c>
      <c r="H30" s="20">
        <f t="shared" ca="1" si="28"/>
        <v>35.74040002514208</v>
      </c>
      <c r="I30" s="20">
        <f t="shared" ca="1" si="0"/>
        <v>19.478769270571661</v>
      </c>
      <c r="J30" s="20">
        <f t="shared" ca="1" si="1"/>
        <v>1.834838717410054</v>
      </c>
      <c r="L30" s="31">
        <f>Main!B30</f>
        <v>0.33333333333333326</v>
      </c>
      <c r="M30" s="31">
        <f>Main!C30</f>
        <v>2.2105263157894739</v>
      </c>
      <c r="N30" s="1">
        <f t="shared" si="2"/>
        <v>0.73684210526315785</v>
      </c>
      <c r="O30" s="1">
        <f t="shared" si="3"/>
        <v>6.631578947368423</v>
      </c>
      <c r="P30" s="16">
        <f ca="1">'Aerodynamics-Constants'!AC30</f>
        <v>4.6377372192058779E-2</v>
      </c>
      <c r="Q30" s="16">
        <f>'Aerodynamics-Constants'!AD30</f>
        <v>3.3157894736842115</v>
      </c>
      <c r="R30" s="63">
        <f>Stability!G30</f>
        <v>5.6500000000000012</v>
      </c>
      <c r="S30" s="16">
        <f ca="1">'Aerodynamics-Constants'!AM30</f>
        <v>1.5807427641918392E-2</v>
      </c>
      <c r="T30" s="16">
        <f>'Aerodynamics-Constants'!AN30</f>
        <v>3.3157894736842115</v>
      </c>
      <c r="V30" s="81">
        <f t="shared" ca="1" si="4"/>
        <v>491585.9262482042</v>
      </c>
      <c r="W30" s="16">
        <f ca="1">'Aerodynamics-Cruise'!W30*$W$12</f>
        <v>0.45</v>
      </c>
      <c r="X30" s="42">
        <f ca="1">'Airfoil-Descent'!V30</f>
        <v>6.9735763364516569E-3</v>
      </c>
      <c r="Y30" s="14">
        <f t="shared" ca="1" si="5"/>
        <v>64.529300073450131</v>
      </c>
      <c r="Z30" s="16">
        <f ca="1">'Airfoil-Descent'!AF30</f>
        <v>-0.15499999999999853</v>
      </c>
      <c r="AA30" s="31">
        <f>Main!I30</f>
        <v>1.1700440412790545</v>
      </c>
      <c r="AB30" s="12">
        <f t="shared" si="6"/>
        <v>-0.14533131683929423</v>
      </c>
      <c r="AC30" s="30">
        <f t="shared" ca="1" si="7"/>
        <v>1.0575286442011784</v>
      </c>
      <c r="AD30" s="13">
        <f t="shared" ca="1" si="8"/>
        <v>1.0575286442011784</v>
      </c>
      <c r="AE30" s="13">
        <f ca="1">DEGREES(AF30/BP30)+'Airfoil-Descent'!K30</f>
        <v>-4.706276939926572</v>
      </c>
      <c r="AF30" s="1">
        <f t="shared" ca="1" si="9"/>
        <v>0.44992335052177179</v>
      </c>
      <c r="AG30" s="16">
        <f ca="1">0.9*'Airfoil-Descent'!I30</f>
        <v>1.431345209698025</v>
      </c>
      <c r="AH30" s="42">
        <f ca="1">0.455/(LOG10(MIN(V30,'Aerodynamics-Constants'!L30)))^2.58</f>
        <v>5.1227932703020729E-3</v>
      </c>
      <c r="AI30" s="42">
        <f ca="1">+AH30*'Aerodynamics-Constants'!J30*'Aerodynamics-Constants'!M30</f>
        <v>0</v>
      </c>
      <c r="AJ30" s="10">
        <f ca="1">X30*COS(RADIANS(AC30))*'Aerodynamics-Constants'!M30+AI30</f>
        <v>6.9723885120348272E-3</v>
      </c>
      <c r="AK30" s="10">
        <f ca="1">AF30^2/(PI()*'Aerodynamics-Constants'!I30*AA30)</f>
        <v>8.3043958021916803E-3</v>
      </c>
      <c r="AL30" s="10">
        <f t="shared" ca="1" si="10"/>
        <v>1.5276784314226508E-2</v>
      </c>
      <c r="AM30" s="1">
        <f t="shared" ca="1" si="11"/>
        <v>-0.15499999999999853</v>
      </c>
      <c r="AN30" s="1">
        <f t="shared" ca="1" si="12"/>
        <v>-0.39349838586480984</v>
      </c>
      <c r="AO30" s="12">
        <f t="shared" si="29"/>
        <v>0.95901955944629458</v>
      </c>
      <c r="AP30" s="12">
        <f t="shared" si="13"/>
        <v>4.2731600362109656E-2</v>
      </c>
      <c r="AQ30" s="81">
        <f ca="1">B30*H30*'Aerodynamics-Constants'!AA30/C30</f>
        <v>174413.57737857185</v>
      </c>
      <c r="AR30" s="10">
        <f ca="1">0.455/(LOG10(MIN(AQ30,'Aerodynamics-Constants'!AG30)))^2.58</f>
        <v>6.3357613549454937E-3</v>
      </c>
      <c r="AS30" s="15">
        <f ca="1">AR30*'Aerodynamics-Constants'!AI30*'Aerodynamics-Constants'!AJ30*'Aerodynamics-Constants'!AE30/P30</f>
        <v>1.7623661302786579E-2</v>
      </c>
      <c r="AT30" s="10">
        <f t="shared" ca="1" si="14"/>
        <v>1.5499640471802977E-2</v>
      </c>
      <c r="AU30" s="10">
        <f t="shared" ca="1" si="15"/>
        <v>3.3123301774589553E-2</v>
      </c>
      <c r="AV30" s="12">
        <f t="shared" si="16"/>
        <v>0.95010526315789479</v>
      </c>
      <c r="AW30" s="12">
        <f t="shared" si="17"/>
        <v>5.2514956791491096E-2</v>
      </c>
      <c r="AX30" s="81">
        <f ca="1">B30*H30*'Aerodynamics-Constants'!AK30/C30</f>
        <v>101825.79806614341</v>
      </c>
      <c r="AY30" s="10">
        <f ca="1">0.455/(LOG10(MIN(AX30,'Aerodynamics-Constants'!AQ30)))^2.58</f>
        <v>7.1270410703554964E-3</v>
      </c>
      <c r="AZ30" s="15">
        <f ca="1">AY30*'Aerodynamics-Constants'!AS30*'Aerodynamics-Constants'!AT30*'Aerodynamics-Constants'!AO30/S30</f>
        <v>1.9824698387187811E-2</v>
      </c>
      <c r="BA30" s="81">
        <f ca="1">B30*H30*'Aerodynamics-Constants'!N30/C30</f>
        <v>3760632.3357987627</v>
      </c>
      <c r="BB30" s="10">
        <f ca="1">0.455/(LOG10(MIN(BA30,'Aerodynamics-Constants'!V30)))^2.58</f>
        <v>3.5301721696300841E-3</v>
      </c>
      <c r="BC30" s="10">
        <f ca="1">BB30*'Aerodynamics-Constants'!W30*'Aerodynamics-Constants'!X30*'Aerodynamics-Constants'!S30/N30+'Aerodynamics-Constants'!Z30</f>
        <v>2.3010793371013752E-3</v>
      </c>
      <c r="BD30" s="15">
        <f ca="1">BC30*'Aerodynamics-Constants'!AU30+(AJ30+AS30+AZ30)*('Aerodynamics-Constants'!AU30-1)</f>
        <v>6.9732620910124389E-3</v>
      </c>
      <c r="BE30" s="16">
        <f t="shared" ca="1" si="18"/>
        <v>0.42515627903132136</v>
      </c>
      <c r="BF30" s="10">
        <f t="shared" ca="1" si="19"/>
        <v>1.5480194539703299E-2</v>
      </c>
      <c r="BG30" s="10">
        <f t="shared" ca="1" si="20"/>
        <v>9.2799543239826931E-3</v>
      </c>
      <c r="BH30" s="10">
        <f t="shared" ca="1" si="21"/>
        <v>2.476014886368599E-2</v>
      </c>
      <c r="BI30" s="13">
        <f t="shared" ca="1" si="22"/>
        <v>131.99460630649111</v>
      </c>
      <c r="BJ30" s="13">
        <f t="shared" ca="1" si="23"/>
        <v>7.6870700552715485</v>
      </c>
      <c r="BK30" s="13">
        <f t="shared" ca="1" si="24"/>
        <v>17.1709904238447</v>
      </c>
      <c r="BL30" s="14">
        <f t="shared" ca="1" si="25"/>
        <v>274.73895879669618</v>
      </c>
      <c r="BO30" s="16">
        <f ca="1">'Airfoil-Descent'!J30</f>
        <v>4.4900187440176333</v>
      </c>
      <c r="BP30" s="1">
        <f ca="1">BO30/(1+BO30/(PI()*'Aerodynamics-Constants'!I30)*(1+AB30))</f>
        <v>3.7916193431559058</v>
      </c>
      <c r="BR30" s="12">
        <v>6</v>
      </c>
      <c r="BS30" s="1">
        <f t="shared" si="26"/>
        <v>3.7485889767549225</v>
      </c>
      <c r="BT30" s="1">
        <f>Stability!W30</f>
        <v>2.6506526853445473</v>
      </c>
      <c r="BV30" s="12">
        <v>6</v>
      </c>
      <c r="BW30" s="1">
        <f t="shared" si="27"/>
        <v>3.735437927548761</v>
      </c>
      <c r="BX30" s="1">
        <f>Stability!Y30</f>
        <v>2.6413534892711525</v>
      </c>
    </row>
    <row r="31" spans="2:76">
      <c r="B31" s="16">
        <f>Cruise!F31</f>
        <v>0.65969672852566186</v>
      </c>
      <c r="C31" s="74">
        <f>'Airfoil-Cruise'!E31</f>
        <v>1.5987591530356481E-5</v>
      </c>
      <c r="E31" s="19">
        <f ca="1">Cruise!H31</f>
        <v>131.83112185592466</v>
      </c>
      <c r="F31" s="63">
        <f>Weight!G31</f>
        <v>0.3</v>
      </c>
      <c r="H31" s="20">
        <f t="shared" ca="1" si="28"/>
        <v>35.096844759527272</v>
      </c>
      <c r="I31" s="20">
        <f t="shared" ca="1" si="0"/>
        <v>19.1305414329392</v>
      </c>
      <c r="J31" s="20">
        <f t="shared" ca="1" si="1"/>
        <v>1.8345975665433649</v>
      </c>
      <c r="L31" s="31">
        <f>Main!B31</f>
        <v>0.33333333333333326</v>
      </c>
      <c r="M31" s="31">
        <f>Main!C31</f>
        <v>2.2894736842105265</v>
      </c>
      <c r="N31" s="1">
        <f t="shared" si="2"/>
        <v>0.76315789473684204</v>
      </c>
      <c r="O31" s="1">
        <f t="shared" si="3"/>
        <v>6.8684210526315805</v>
      </c>
      <c r="P31" s="16">
        <f ca="1">'Aerodynamics-Constants'!AC31</f>
        <v>4.758897211975064E-2</v>
      </c>
      <c r="Q31" s="16">
        <f>'Aerodynamics-Constants'!AD31</f>
        <v>3.4342105263157907</v>
      </c>
      <c r="R31" s="63">
        <f>Stability!G31</f>
        <v>5.6500000000000012</v>
      </c>
      <c r="S31" s="16">
        <f ca="1">'Aerodynamics-Constants'!AM31</f>
        <v>1.6689885877140986E-2</v>
      </c>
      <c r="T31" s="16">
        <f>'Aerodynamics-Constants'!AN31</f>
        <v>3.4342105263157907</v>
      </c>
      <c r="V31" s="81">
        <f t="shared" ca="1" si="4"/>
        <v>482734.24268795829</v>
      </c>
      <c r="W31" s="16">
        <f ca="1">'Aerodynamics-Cruise'!W31*$W$12</f>
        <v>0.45</v>
      </c>
      <c r="X31" s="42">
        <f ca="1">'Airfoil-Descent'!V31</f>
        <v>7.0719355843060321E-3</v>
      </c>
      <c r="Y31" s="14">
        <f t="shared" ca="1" si="5"/>
        <v>63.63180131315611</v>
      </c>
      <c r="Z31" s="16">
        <f ca="1">'Airfoil-Descent'!AF31</f>
        <v>-0.15499999999999858</v>
      </c>
      <c r="AA31" s="31">
        <f>Main!I31</f>
        <v>1.163041872967743</v>
      </c>
      <c r="AB31" s="12">
        <f t="shared" si="6"/>
        <v>-0.1401857291274542</v>
      </c>
      <c r="AC31" s="30">
        <f t="shared" ca="1" si="7"/>
        <v>1.0272193963863119</v>
      </c>
      <c r="AD31" s="13">
        <f t="shared" ca="1" si="8"/>
        <v>1.0272193963863119</v>
      </c>
      <c r="AE31" s="13">
        <f ca="1">DEGREES(AF31/BP31)+'Airfoil-Descent'!K31</f>
        <v>-4.6325538636403421</v>
      </c>
      <c r="AF31" s="1">
        <f t="shared" ca="1" si="9"/>
        <v>0.44992768106146608</v>
      </c>
      <c r="AG31" s="16">
        <f ca="1">0.9*'Airfoil-Descent'!I31</f>
        <v>1.4309837058450676</v>
      </c>
      <c r="AH31" s="42">
        <f ca="1">0.455/(LOG10(MIN(V31,'Aerodynamics-Constants'!L31)))^2.58</f>
        <v>5.1411637896404709E-3</v>
      </c>
      <c r="AI31" s="42">
        <f ca="1">+AH31*'Aerodynamics-Constants'!J31*'Aerodynamics-Constants'!M31</f>
        <v>0</v>
      </c>
      <c r="AJ31" s="10">
        <f ca="1">X31*COS(RADIANS(AC31))*'Aerodynamics-Constants'!M31+AI31</f>
        <v>7.0707990623619498E-3</v>
      </c>
      <c r="AK31" s="10">
        <f ca="1">AF31^2/(PI()*'Aerodynamics-Constants'!I31*AA31)</f>
        <v>8.0664657132716745E-3</v>
      </c>
      <c r="AL31" s="10">
        <f t="shared" ca="1" si="10"/>
        <v>1.5137264775633624E-2</v>
      </c>
      <c r="AM31" s="1">
        <f t="shared" ca="1" si="11"/>
        <v>-0.15499999999999858</v>
      </c>
      <c r="AN31" s="1">
        <f t="shared" ca="1" si="12"/>
        <v>-0.39717511029879277</v>
      </c>
      <c r="AO31" s="12">
        <f t="shared" si="29"/>
        <v>0.95464904914051385</v>
      </c>
      <c r="AP31" s="12">
        <f t="shared" si="13"/>
        <v>4.7505364301484665E-2</v>
      </c>
      <c r="AQ31" s="81">
        <f ca="1">B31*H31*'Aerodynamics-Constants'!AA31/C31</f>
        <v>170478.28430333902</v>
      </c>
      <c r="AR31" s="10">
        <f ca="1">0.455/(LOG10(MIN(AQ31,'Aerodynamics-Constants'!AG31)))^2.58</f>
        <v>6.3667751756399773E-3</v>
      </c>
      <c r="AS31" s="15">
        <f ca="1">AR31*'Aerodynamics-Constants'!AI31*'Aerodynamics-Constants'!AJ31*'Aerodynamics-Constants'!AE31/P31</f>
        <v>1.7709929872734894E-2</v>
      </c>
      <c r="AT31" s="10">
        <f t="shared" ca="1" si="14"/>
        <v>1.5315935106219791E-2</v>
      </c>
      <c r="AU31" s="10">
        <f t="shared" ca="1" si="15"/>
        <v>3.3025864978954683E-2</v>
      </c>
      <c r="AV31" s="12">
        <f t="shared" si="16"/>
        <v>0.94939473684210529</v>
      </c>
      <c r="AW31" s="12">
        <f t="shared" si="17"/>
        <v>5.330265820328739E-2</v>
      </c>
      <c r="AX31" s="81">
        <f ca="1">B31*H31*'Aerodynamics-Constants'!AK31/C31</f>
        <v>100958.42976501743</v>
      </c>
      <c r="AY31" s="10">
        <f ca="1">0.455/(LOG10(MIN(AX31,'Aerodynamics-Constants'!AQ31)))^2.58</f>
        <v>7.1407007434165504E-3</v>
      </c>
      <c r="AZ31" s="15">
        <f ca="1">AY31*'Aerodynamics-Constants'!AS31*'Aerodynamics-Constants'!AT31*'Aerodynamics-Constants'!AO31/S31</f>
        <v>1.9862694365579088E-2</v>
      </c>
      <c r="BA31" s="81">
        <f ca="1">B31*H31*'Aerodynamics-Constants'!N31/C31</f>
        <v>3692916.9565628814</v>
      </c>
      <c r="BB31" s="10">
        <f ca="1">0.455/(LOG10(MIN(BA31,'Aerodynamics-Constants'!V31)))^2.58</f>
        <v>3.5411265228538135E-3</v>
      </c>
      <c r="BC31" s="10">
        <f ca="1">BB31*'Aerodynamics-Constants'!W31*'Aerodynamics-Constants'!X31*'Aerodynamics-Constants'!S31/N31+'Aerodynamics-Constants'!Z31</f>
        <v>2.2286196844284291E-3</v>
      </c>
      <c r="BD31" s="15">
        <f ca="1">BC31*'Aerodynamics-Constants'!AU31+(AJ31+AS31+AZ31)*('Aerodynamics-Constants'!AU31-1)</f>
        <v>6.9158239829388689E-3</v>
      </c>
      <c r="BE31" s="16">
        <f t="shared" ca="1" si="18"/>
        <v>0.42516065004334919</v>
      </c>
      <c r="BF31" s="10">
        <f t="shared" ca="1" si="19"/>
        <v>1.5525365511609573E-2</v>
      </c>
      <c r="BG31" s="10">
        <f t="shared" ca="1" si="20"/>
        <v>9.0215362350922444E-3</v>
      </c>
      <c r="BH31" s="10">
        <f t="shared" ca="1" si="21"/>
        <v>2.4546901746701821E-2</v>
      </c>
      <c r="BI31" s="13">
        <f t="shared" ca="1" si="22"/>
        <v>131.83112185592466</v>
      </c>
      <c r="BJ31" s="13">
        <f t="shared" ca="1" si="23"/>
        <v>7.6113478399868653</v>
      </c>
      <c r="BK31" s="13">
        <f t="shared" ca="1" si="24"/>
        <v>17.320338608536403</v>
      </c>
      <c r="BL31" s="14">
        <f t="shared" ca="1" si="25"/>
        <v>267.13429355078222</v>
      </c>
      <c r="BO31" s="16">
        <f ca="1">'Airfoil-Descent'!J31</f>
        <v>4.5175437239665674</v>
      </c>
      <c r="BP31" s="1">
        <f ca="1">BO31/(1+BO31/(PI()*'Aerodynamics-Constants'!I31)*(1+AB31))</f>
        <v>3.8283896016643855</v>
      </c>
      <c r="BR31" s="12">
        <v>6</v>
      </c>
      <c r="BS31" s="1">
        <f t="shared" si="26"/>
        <v>3.7913574006695518</v>
      </c>
      <c r="BT31" s="1">
        <f>Stability!W31</f>
        <v>2.6808945279152425</v>
      </c>
      <c r="BV31" s="12">
        <v>6</v>
      </c>
      <c r="BW31" s="1">
        <f t="shared" si="27"/>
        <v>3.783649180369149</v>
      </c>
      <c r="BX31" s="1">
        <f>Stability!Y31</f>
        <v>2.6754439930699481</v>
      </c>
    </row>
    <row r="32" spans="2:76">
      <c r="B32" s="16">
        <f>Cruise!F32</f>
        <v>0.65969672852566186</v>
      </c>
      <c r="C32" s="74">
        <f>'Airfoil-Cruise'!E32</f>
        <v>1.5987591530356481E-5</v>
      </c>
      <c r="E32" s="19">
        <f ca="1">Cruise!H32</f>
        <v>131.7234976430376</v>
      </c>
      <c r="F32" s="63">
        <f>Weight!G32</f>
        <v>0.3</v>
      </c>
      <c r="H32" s="20">
        <f t="shared" ca="1" si="28"/>
        <v>34.492690747565867</v>
      </c>
      <c r="I32" s="20">
        <f t="shared" ca="1" si="0"/>
        <v>18.803586892476265</v>
      </c>
      <c r="J32" s="20">
        <f t="shared" ca="1" si="1"/>
        <v>1.8343676100099371</v>
      </c>
      <c r="L32" s="31">
        <f>Main!B32</f>
        <v>0.33333333333333326</v>
      </c>
      <c r="M32" s="31">
        <f>Main!C32</f>
        <v>2.3684210526315792</v>
      </c>
      <c r="N32" s="1">
        <f t="shared" si="2"/>
        <v>0.78947368421052622</v>
      </c>
      <c r="O32" s="1">
        <f t="shared" si="3"/>
        <v>7.1052631578947389</v>
      </c>
      <c r="P32" s="16">
        <f ca="1">'Aerodynamics-Constants'!AC32</f>
        <v>4.8798353242644012E-2</v>
      </c>
      <c r="Q32" s="16">
        <f>'Aerodynamics-Constants'!AD32</f>
        <v>3.5526315789473695</v>
      </c>
      <c r="R32" s="63">
        <f>Stability!G32</f>
        <v>5.6500000000000012</v>
      </c>
      <c r="S32" s="16">
        <f ca="1">'Aerodynamics-Constants'!AM32</f>
        <v>1.7599996651648308E-2</v>
      </c>
      <c r="T32" s="16">
        <f>'Aerodynamics-Constants'!AN32</f>
        <v>3.5526315789473695</v>
      </c>
      <c r="V32" s="81">
        <f t="shared" ca="1" si="4"/>
        <v>474424.49771146977</v>
      </c>
      <c r="W32" s="16">
        <f ca="1">'Aerodynamics-Cruise'!W32*$W$12</f>
        <v>0.45</v>
      </c>
      <c r="X32" s="42">
        <f ca="1">'Airfoil-Descent'!V32</f>
        <v>7.1672242198941591E-3</v>
      </c>
      <c r="Y32" s="14">
        <f t="shared" ca="1" si="5"/>
        <v>62.785813055900924</v>
      </c>
      <c r="Z32" s="16">
        <f ca="1">'Airfoil-Descent'!AF32</f>
        <v>-0.15499999999999858</v>
      </c>
      <c r="AA32" s="31">
        <f>Main!I32</f>
        <v>1.1561165628108239</v>
      </c>
      <c r="AB32" s="12">
        <f t="shared" si="6"/>
        <v>-0.13503531376737943</v>
      </c>
      <c r="AC32" s="30">
        <f t="shared" ca="1" si="7"/>
        <v>0.99893556023579289</v>
      </c>
      <c r="AD32" s="13">
        <f t="shared" ca="1" si="8"/>
        <v>0.99893556023579289</v>
      </c>
      <c r="AE32" s="13">
        <f ca="1">DEGREES(AF32/BP32)+'Airfoil-Descent'!K32</f>
        <v>-4.5627964916296655</v>
      </c>
      <c r="AF32" s="1">
        <f t="shared" ca="1" si="9"/>
        <v>0.4499316086464259</v>
      </c>
      <c r="AG32" s="16">
        <f ca="1">0.9*'Airfoil-Descent'!I32</f>
        <v>1.4306383361980364</v>
      </c>
      <c r="AH32" s="42">
        <f ca="1">0.455/(LOG10(MIN(V32,'Aerodynamics-Constants'!L32)))^2.58</f>
        <v>5.158804278134534E-3</v>
      </c>
      <c r="AI32" s="42">
        <f ca="1">+AH32*'Aerodynamics-Constants'!J32*'Aerodynamics-Constants'!M32</f>
        <v>0</v>
      </c>
      <c r="AJ32" s="10">
        <f ca="1">X32*COS(RADIANS(AC32))*'Aerodynamics-Constants'!M32+AI32</f>
        <v>7.1661349395257855E-3</v>
      </c>
      <c r="AK32" s="10">
        <f ca="1">AF32^2/(PI()*'Aerodynamics-Constants'!I32*AA32)</f>
        <v>7.844429159889265E-3</v>
      </c>
      <c r="AL32" s="10">
        <f t="shared" ca="1" si="10"/>
        <v>1.501056409941505E-2</v>
      </c>
      <c r="AM32" s="1">
        <f t="shared" ca="1" si="11"/>
        <v>-0.15499999999999858</v>
      </c>
      <c r="AN32" s="1">
        <f t="shared" ca="1" si="12"/>
        <v>-0.40068750166356359</v>
      </c>
      <c r="AO32" s="12">
        <f t="shared" si="29"/>
        <v>0.9503265110257636</v>
      </c>
      <c r="AP32" s="12">
        <f t="shared" si="13"/>
        <v>5.2269918178563524E-2</v>
      </c>
      <c r="AQ32" s="81">
        <f ca="1">B32*H32*'Aerodynamics-Constants'!AA32/C32</f>
        <v>166807.60946161704</v>
      </c>
      <c r="AR32" s="10">
        <f ca="1">0.455/(LOG10(MIN(AQ32,'Aerodynamics-Constants'!AG32)))^2.58</f>
        <v>6.3965524147442145E-3</v>
      </c>
      <c r="AS32" s="15">
        <f ca="1">AR32*'Aerodynamics-Constants'!AI32*'Aerodynamics-Constants'!AJ32*'Aerodynamics-Constants'!AE32/P32</f>
        <v>1.7792758746346983E-2</v>
      </c>
      <c r="AT32" s="10">
        <f t="shared" ca="1" si="14"/>
        <v>1.5136961371868202E-2</v>
      </c>
      <c r="AU32" s="10">
        <f t="shared" ca="1" si="15"/>
        <v>3.2929720118215183E-2</v>
      </c>
      <c r="AV32" s="12">
        <f t="shared" si="16"/>
        <v>0.9486842105263158</v>
      </c>
      <c r="AW32" s="12">
        <f t="shared" si="17"/>
        <v>5.4091539528432708E-2</v>
      </c>
      <c r="AX32" s="81">
        <f ca="1">B32*H32*'Aerodynamics-Constants'!AK32/C32</f>
        <v>100177.35663512502</v>
      </c>
      <c r="AY32" s="10">
        <f ca="1">0.455/(LOG10(MIN(AX32,'Aerodynamics-Constants'!AQ32)))^2.58</f>
        <v>7.1531336857745976E-3</v>
      </c>
      <c r="AZ32" s="15">
        <f ca="1">AY32*'Aerodynamics-Constants'!AS32*'Aerodynamics-Constants'!AT32*'Aerodynamics-Constants'!AO32/S32</f>
        <v>1.9897278049029268E-2</v>
      </c>
      <c r="BA32" s="81">
        <f ca="1">B32*H32*'Aerodynamics-Constants'!N32/C32</f>
        <v>3629347.4074927443</v>
      </c>
      <c r="BB32" s="10">
        <f ca="1">0.455/(LOG10(MIN(BA32,'Aerodynamics-Constants'!V32)))^2.58</f>
        <v>3.5516386819518966E-3</v>
      </c>
      <c r="BC32" s="10">
        <f ca="1">BB32*'Aerodynamics-Constants'!W32*'Aerodynamics-Constants'!X32*'Aerodynamics-Constants'!S32/N32+'Aerodynamics-Constants'!Z32</f>
        <v>2.1607218992723129E-3</v>
      </c>
      <c r="BD32" s="15">
        <f ca="1">BC32*'Aerodynamics-Constants'!AU32+(AJ32+AS32+AZ32)*('Aerodynamics-Constants'!AU32-1)</f>
        <v>6.8624112626897516E-3</v>
      </c>
      <c r="BE32" s="16">
        <f t="shared" ca="1" si="18"/>
        <v>0.42516461433471053</v>
      </c>
      <c r="BF32" s="10">
        <f t="shared" ca="1" si="19"/>
        <v>1.557191538332214E-2</v>
      </c>
      <c r="BG32" s="10">
        <f t="shared" ca="1" si="20"/>
        <v>8.7800636247458621E-3</v>
      </c>
      <c r="BH32" s="10">
        <f t="shared" ca="1" si="21"/>
        <v>2.4351979008068004E-2</v>
      </c>
      <c r="BI32" s="13">
        <f t="shared" ca="1" si="22"/>
        <v>131.72349764303763</v>
      </c>
      <c r="BJ32" s="13">
        <f t="shared" ca="1" si="23"/>
        <v>7.5446726781153659</v>
      </c>
      <c r="BK32" s="13">
        <f t="shared" ca="1" si="24"/>
        <v>17.459140146016477</v>
      </c>
      <c r="BL32" s="14">
        <f t="shared" ca="1" si="25"/>
        <v>260.2360614778429</v>
      </c>
      <c r="BO32" s="16">
        <f ca="1">'Airfoil-Descent'!J32</f>
        <v>4.5440043885865471</v>
      </c>
      <c r="BP32" s="1">
        <f ca="1">BO32/(1+BO32/(PI()*'Aerodynamics-Constants'!I32)*(1+AB32))</f>
        <v>3.8636904043808058</v>
      </c>
      <c r="BR32" s="12">
        <v>6</v>
      </c>
      <c r="BS32" s="1">
        <f t="shared" si="26"/>
        <v>3.8321766772122796</v>
      </c>
      <c r="BT32" s="1">
        <f>Stability!W32</f>
        <v>2.7097581151617343</v>
      </c>
      <c r="BV32" s="12">
        <v>6</v>
      </c>
      <c r="BW32" s="1">
        <f t="shared" si="27"/>
        <v>3.8297812798968627</v>
      </c>
      <c r="BX32" s="1">
        <f>Stability!Y32</f>
        <v>2.7080643134763669</v>
      </c>
    </row>
    <row r="33" spans="2:76">
      <c r="B33" s="16">
        <f>Cruise!F33</f>
        <v>0.65969672852566186</v>
      </c>
      <c r="C33" s="74">
        <f>'Airfoil-Cruise'!E33</f>
        <v>1.5987591530356481E-5</v>
      </c>
      <c r="E33" s="19">
        <f ca="1">Cruise!H33</f>
        <v>131.66480106924885</v>
      </c>
      <c r="F33" s="63">
        <f>Weight!G33</f>
        <v>0.3</v>
      </c>
      <c r="H33" s="20">
        <f t="shared" ca="1" si="28"/>
        <v>33.924091764732189</v>
      </c>
      <c r="I33" s="20">
        <f t="shared" ca="1" si="0"/>
        <v>18.495832098765835</v>
      </c>
      <c r="J33" s="20">
        <f t="shared" ca="1" si="1"/>
        <v>1.834147908760257</v>
      </c>
      <c r="L33" s="31">
        <f>Main!B33</f>
        <v>0.33333333333333326</v>
      </c>
      <c r="M33" s="31">
        <f>Main!C33</f>
        <v>2.4473684210526319</v>
      </c>
      <c r="N33" s="1">
        <f t="shared" si="2"/>
        <v>0.8157894736842104</v>
      </c>
      <c r="O33" s="1">
        <f t="shared" si="3"/>
        <v>7.3421052631578974</v>
      </c>
      <c r="P33" s="16">
        <f ca="1">'Aerodynamics-Constants'!AC33</f>
        <v>5.000592072206575E-2</v>
      </c>
      <c r="Q33" s="16">
        <f>'Aerodynamics-Constants'!AD33</f>
        <v>3.6710526315789487</v>
      </c>
      <c r="R33" s="63">
        <f>Stability!G33</f>
        <v>5.6500000000000012</v>
      </c>
      <c r="S33" s="16">
        <f ca="1">'Aerodynamics-Constants'!AM33</f>
        <v>1.8537607723557867E-2</v>
      </c>
      <c r="T33" s="16">
        <f>'Aerodynamics-Constants'!AN33</f>
        <v>3.6710526315789487</v>
      </c>
      <c r="V33" s="81">
        <f t="shared" ca="1" si="4"/>
        <v>466603.78900525911</v>
      </c>
      <c r="W33" s="16">
        <f ca="1">'Aerodynamics-Cruise'!W33*$W$12</f>
        <v>0.45</v>
      </c>
      <c r="X33" s="42">
        <f ca="1">'Airfoil-Descent'!V33</f>
        <v>7.2596446883510237E-3</v>
      </c>
      <c r="Y33" s="14">
        <f t="shared" ca="1" si="5"/>
        <v>61.986504755815297</v>
      </c>
      <c r="Z33" s="16">
        <f ca="1">'Airfoil-Descent'!AF33</f>
        <v>-0.15499999999999861</v>
      </c>
      <c r="AA33" s="31">
        <f>Main!I33</f>
        <v>1.149264745760594</v>
      </c>
      <c r="AB33" s="12">
        <f t="shared" si="6"/>
        <v>-0.12987846909182721</v>
      </c>
      <c r="AC33" s="30">
        <f t="shared" ca="1" si="7"/>
        <v>0.97248300977614421</v>
      </c>
      <c r="AD33" s="13">
        <f t="shared" ca="1" si="8"/>
        <v>0.97248300977614421</v>
      </c>
      <c r="AE33" s="13">
        <f ca="1">DEGREES(AF33/BP33)+'Airfoil-Descent'!K33</f>
        <v>-4.4966372435141562</v>
      </c>
      <c r="AF33" s="1">
        <f t="shared" ca="1" si="9"/>
        <v>0.44993518270956623</v>
      </c>
      <c r="AG33" s="16">
        <f ca="1">0.9*'Airfoil-Descent'!I33</f>
        <v>1.4303077989787139</v>
      </c>
      <c r="AH33" s="42">
        <f ca="1">0.455/(LOG10(MIN(V33,'Aerodynamics-Constants'!L33)))^2.58</f>
        <v>5.1757699391188263E-3</v>
      </c>
      <c r="AI33" s="42">
        <f ca="1">+AH33*'Aerodynamics-Constants'!J33*'Aerodynamics-Constants'!M33</f>
        <v>0</v>
      </c>
      <c r="AJ33" s="10">
        <f ca="1">X33*COS(RADIANS(AC33))*'Aerodynamics-Constants'!M33+AI33</f>
        <v>7.2585990205772215E-3</v>
      </c>
      <c r="AK33" s="10">
        <f ca="1">AF33^2/(PI()*'Aerodynamics-Constants'!I33*AA33)</f>
        <v>7.6367635522904733E-3</v>
      </c>
      <c r="AL33" s="10">
        <f t="shared" ca="1" si="10"/>
        <v>1.4895362572867695E-2</v>
      </c>
      <c r="AM33" s="1">
        <f t="shared" ca="1" si="11"/>
        <v>-0.15499999999999861</v>
      </c>
      <c r="AN33" s="1">
        <f t="shared" ca="1" si="12"/>
        <v>-0.40404467537388872</v>
      </c>
      <c r="AO33" s="12">
        <f t="shared" si="29"/>
        <v>0.9460498447561202</v>
      </c>
      <c r="AP33" s="12">
        <f t="shared" si="13"/>
        <v>5.7026757673415585E-2</v>
      </c>
      <c r="AQ33" s="81">
        <f ca="1">B33*H33*'Aerodynamics-Constants'!AA33/C33</f>
        <v>163374.74560953214</v>
      </c>
      <c r="AR33" s="10">
        <f ca="1">0.455/(LOG10(MIN(AQ33,'Aerodynamics-Constants'!AG33)))^2.58</f>
        <v>6.4251803056529951E-3</v>
      </c>
      <c r="AS33" s="15">
        <f ca="1">AR33*'Aerodynamics-Constants'!AI33*'Aerodynamics-Constants'!AJ33*'Aerodynamics-Constants'!AE33/P33</f>
        <v>1.7872390573514162E-2</v>
      </c>
      <c r="AT33" s="10">
        <f t="shared" ca="1" si="14"/>
        <v>1.4962503784953143E-2</v>
      </c>
      <c r="AU33" s="10">
        <f t="shared" ca="1" si="15"/>
        <v>3.2834894358467301E-2</v>
      </c>
      <c r="AV33" s="12">
        <f t="shared" si="16"/>
        <v>0.94797368421052641</v>
      </c>
      <c r="AW33" s="12">
        <f t="shared" si="17"/>
        <v>5.4881603420037006E-2</v>
      </c>
      <c r="AX33" s="81">
        <f ca="1">B33*H33*'Aerodynamics-Constants'!AK33/C33</f>
        <v>99472.046769289518</v>
      </c>
      <c r="AY33" s="10">
        <f ca="1">0.455/(LOG10(MIN(AX33,'Aerodynamics-Constants'!AQ33)))^2.58</f>
        <v>7.1644703284071453E-3</v>
      </c>
      <c r="AZ33" s="15">
        <f ca="1">AY33*'Aerodynamics-Constants'!AS33*'Aerodynamics-Constants'!AT33*'Aerodynamics-Constants'!AO33/S33</f>
        <v>1.9928812246558784E-2</v>
      </c>
      <c r="BA33" s="81">
        <f ca="1">B33*H33*'Aerodynamics-Constants'!N33/C33</f>
        <v>3569518.9858902325</v>
      </c>
      <c r="BB33" s="10">
        <f ca="1">0.455/(LOG10(MIN(BA33,'Aerodynamics-Constants'!V33)))^2.58</f>
        <v>3.5617423673247085E-3</v>
      </c>
      <c r="BC33" s="10">
        <f ca="1">BB33*'Aerodynamics-Constants'!W33*'Aerodynamics-Constants'!X33*'Aerodynamics-Constants'!S33/N33+'Aerodynamics-Constants'!Z33</f>
        <v>2.0969643454728281E-3</v>
      </c>
      <c r="BD33" s="15">
        <f ca="1">BC33*'Aerodynamics-Constants'!AU33+(AJ33+AS33+AZ33)*('Aerodynamics-Constants'!AU33-1)</f>
        <v>6.8126409640851312E-3</v>
      </c>
      <c r="BE33" s="16">
        <f t="shared" ca="1" si="18"/>
        <v>0.42516822180031011</v>
      </c>
      <c r="BF33" s="10">
        <f t="shared" ca="1" si="19"/>
        <v>1.5619627026544009E-2</v>
      </c>
      <c r="BG33" s="10">
        <f t="shared" ca="1" si="20"/>
        <v>8.5539288286392186E-3</v>
      </c>
      <c r="BH33" s="10">
        <f t="shared" ca="1" si="21"/>
        <v>2.4173555855183229E-2</v>
      </c>
      <c r="BI33" s="13">
        <f t="shared" ca="1" si="22"/>
        <v>131.66480106924885</v>
      </c>
      <c r="BJ33" s="13">
        <f t="shared" ca="1" si="23"/>
        <v>7.4859932130674451</v>
      </c>
      <c r="BK33" s="13">
        <f t="shared" ca="1" si="24"/>
        <v>17.588153945880769</v>
      </c>
      <c r="BL33" s="14">
        <f t="shared" ca="1" si="25"/>
        <v>253.95552071026239</v>
      </c>
      <c r="BO33" s="16">
        <f ca="1">'Airfoil-Descent'!J33</f>
        <v>4.5694798283785216</v>
      </c>
      <c r="BP33" s="1">
        <f ca="1">BO33/(1+BO33/(PI()*'Aerodynamics-Constants'!I33)*(1+AB33))</f>
        <v>3.8976239310762244</v>
      </c>
      <c r="BR33" s="12">
        <v>6</v>
      </c>
      <c r="BS33" s="1">
        <f t="shared" si="26"/>
        <v>3.8711762947279209</v>
      </c>
      <c r="BT33" s="1">
        <f>Stability!W33</f>
        <v>2.7373350091707258</v>
      </c>
      <c r="BV33" s="12">
        <v>6</v>
      </c>
      <c r="BW33" s="1">
        <f t="shared" si="27"/>
        <v>3.8739657330797428</v>
      </c>
      <c r="BX33" s="1">
        <f>Stability!Y33</f>
        <v>2.739307439945001</v>
      </c>
    </row>
    <row r="34" spans="2:76">
      <c r="B34" s="16">
        <f>Cruise!F34</f>
        <v>0.65969672852566186</v>
      </c>
      <c r="C34" s="74">
        <f>'Airfoil-Cruise'!E34</f>
        <v>1.5987591530356481E-5</v>
      </c>
      <c r="E34" s="19">
        <f ca="1">Cruise!H34</f>
        <v>131.64808625067786</v>
      </c>
      <c r="F34" s="63">
        <f>Weight!G34</f>
        <v>0.3</v>
      </c>
      <c r="H34" s="20">
        <f t="shared" ca="1" si="28"/>
        <v>33.387571929471704</v>
      </c>
      <c r="I34" s="20">
        <f t="shared" ca="1" si="0"/>
        <v>18.205402529519645</v>
      </c>
      <c r="J34" s="20">
        <f t="shared" ca="1" si="1"/>
        <v>1.8339375839306227</v>
      </c>
      <c r="L34" s="31">
        <f>Main!B34</f>
        <v>0.33333333333333326</v>
      </c>
      <c r="M34" s="31">
        <f>Main!C34</f>
        <v>2.5263157894736845</v>
      </c>
      <c r="N34" s="1">
        <f t="shared" si="2"/>
        <v>0.84210526315789469</v>
      </c>
      <c r="O34" s="1">
        <f t="shared" si="3"/>
        <v>7.5789473684210549</v>
      </c>
      <c r="P34" s="16">
        <f ca="1">'Aerodynamics-Constants'!AC34</f>
        <v>5.1212083567651716E-2</v>
      </c>
      <c r="Q34" s="16">
        <f>'Aerodynamics-Constants'!AD34</f>
        <v>3.7894736842105274</v>
      </c>
      <c r="R34" s="63">
        <f>Stability!G34</f>
        <v>5.6500000000000012</v>
      </c>
      <c r="S34" s="16">
        <f ca="1">'Aerodynamics-Constants'!AM34</f>
        <v>1.9502585994958192E-2</v>
      </c>
      <c r="T34" s="16">
        <f>'Aerodynamics-Constants'!AN34</f>
        <v>3.7894736842105274</v>
      </c>
      <c r="V34" s="81">
        <f t="shared" ca="1" si="4"/>
        <v>459224.30808222736</v>
      </c>
      <c r="W34" s="16">
        <f ca="1">'Aerodynamics-Cruise'!W34*$W$12</f>
        <v>0.45</v>
      </c>
      <c r="X34" s="42">
        <f ca="1">'Airfoil-Descent'!V34</f>
        <v>7.3494019627652236E-3</v>
      </c>
      <c r="Y34" s="14">
        <f t="shared" ca="1" si="5"/>
        <v>61.229471769249486</v>
      </c>
      <c r="Z34" s="16">
        <f ca="1">'Airfoil-Descent'!AF34</f>
        <v>-0.15499999999999861</v>
      </c>
      <c r="AA34" s="31">
        <f>Main!I34</f>
        <v>1.1424833074368379</v>
      </c>
      <c r="AB34" s="12">
        <f t="shared" si="6"/>
        <v>-0.12471368860215504</v>
      </c>
      <c r="AC34" s="30">
        <f t="shared" ca="1" si="7"/>
        <v>0.94769176856028203</v>
      </c>
      <c r="AD34" s="13">
        <f t="shared" ca="1" si="8"/>
        <v>0.94769176856028203</v>
      </c>
      <c r="AE34" s="13">
        <f ca="1">DEGREES(AF34/BP34)+'Airfoil-Descent'!K34</f>
        <v>-4.4337339326804077</v>
      </c>
      <c r="AF34" s="1">
        <f t="shared" ca="1" si="9"/>
        <v>0.44993844525041221</v>
      </c>
      <c r="AG34" s="16">
        <f ca="1">0.9*'Airfoil-Descent'!I34</f>
        <v>1.4299908617216683</v>
      </c>
      <c r="AH34" s="42">
        <f ca="1">0.455/(LOG10(MIN(V34,'Aerodynamics-Constants'!L34)))^2.58</f>
        <v>5.19211404931357E-3</v>
      </c>
      <c r="AI34" s="42">
        <f ca="1">+AH34*'Aerodynamics-Constants'!J34*'Aerodynamics-Constants'!M34</f>
        <v>0</v>
      </c>
      <c r="AJ34" s="10">
        <f ca="1">X34*COS(RADIANS(AC34))*'Aerodynamics-Constants'!M34+AI34</f>
        <v>7.3483966503264725E-3</v>
      </c>
      <c r="AK34" s="10">
        <f ca="1">AF34^2/(PI()*'Aerodynamics-Constants'!I34*AA34)</f>
        <v>7.4421356083525557E-3</v>
      </c>
      <c r="AL34" s="10">
        <f t="shared" ca="1" si="10"/>
        <v>1.4790532258679028E-2</v>
      </c>
      <c r="AM34" s="1">
        <f t="shared" ca="1" si="11"/>
        <v>-0.15499999999999861</v>
      </c>
      <c r="AN34" s="1">
        <f t="shared" ca="1" si="12"/>
        <v>-0.40725471421011589</v>
      </c>
      <c r="AO34" s="12">
        <f t="shared" si="29"/>
        <v>0.94181710644360173</v>
      </c>
      <c r="AP34" s="12">
        <f t="shared" si="13"/>
        <v>6.1777274120771608E-2</v>
      </c>
      <c r="AQ34" s="81">
        <f ca="1">B34*H34*'Aerodynamics-Constants'!AA34/C34</f>
        <v>160155.88373212449</v>
      </c>
      <c r="AR34" s="10">
        <f ca="1">0.455/(LOG10(MIN(AQ34,'Aerodynamics-Constants'!AG34)))^2.58</f>
        <v>6.4527421017755542E-3</v>
      </c>
      <c r="AS34" s="15">
        <f ca="1">AR34*'Aerodynamics-Constants'!AI34*'Aerodynamics-Constants'!AJ34*'Aerodynamics-Constants'!AE34/P34</f>
        <v>1.794905693333235E-2</v>
      </c>
      <c r="AT34" s="10">
        <f t="shared" ca="1" si="14"/>
        <v>1.4792340593713526E-2</v>
      </c>
      <c r="AU34" s="10">
        <f t="shared" ca="1" si="15"/>
        <v>3.2741397527045878E-2</v>
      </c>
      <c r="AV34" s="12">
        <f t="shared" si="16"/>
        <v>0.94726315789473692</v>
      </c>
      <c r="AW34" s="12">
        <f t="shared" si="17"/>
        <v>5.5672852539170981E-2</v>
      </c>
      <c r="AX34" s="81">
        <f ca="1">B34*H34*'Aerodynamics-Constants'!AK34/C34</f>
        <v>98833.181600315424</v>
      </c>
      <c r="AY34" s="10">
        <f ca="1">0.455/(LOG10(MIN(AX34,'Aerodynamics-Constants'!AQ34)))^2.58</f>
        <v>7.1748303294428039E-3</v>
      </c>
      <c r="AZ34" s="15">
        <f ca="1">AY34*'Aerodynamics-Constants'!AS34*'Aerodynamics-Constants'!AT34*'Aerodynamics-Constants'!AO34/S34</f>
        <v>1.9957629801248791E-2</v>
      </c>
      <c r="BA34" s="81">
        <f ca="1">B34*H34*'Aerodynamics-Constants'!N34/C34</f>
        <v>3513065.9568290398</v>
      </c>
      <c r="BB34" s="10">
        <f ca="1">0.455/(LOG10(MIN(BA34,'Aerodynamics-Constants'!V34)))^2.58</f>
        <v>3.5714700365543839E-3</v>
      </c>
      <c r="BC34" s="10">
        <f ca="1">BB34*'Aerodynamics-Constants'!W34*'Aerodynamics-Constants'!X34*'Aerodynamics-Constants'!S34/N34+'Aerodynamics-Constants'!Z34</f>
        <v>2.0369773717923258E-3</v>
      </c>
      <c r="BD34" s="15">
        <f ca="1">BC34*'Aerodynamics-Constants'!AU34+(AJ34+AS34+AZ34)*('Aerodynamics-Constants'!AU34-1)</f>
        <v>6.7661834474623235E-3</v>
      </c>
      <c r="BE34" s="16">
        <f t="shared" ca="1" si="18"/>
        <v>0.42517151483219201</v>
      </c>
      <c r="BF34" s="10">
        <f t="shared" ca="1" si="19"/>
        <v>1.5668345466951936E-2</v>
      </c>
      <c r="BG34" s="10">
        <f t="shared" ca="1" si="20"/>
        <v>8.341722175245184E-3</v>
      </c>
      <c r="BH34" s="10">
        <f t="shared" ca="1" si="21"/>
        <v>2.4010067642197118E-2</v>
      </c>
      <c r="BI34" s="13">
        <f t="shared" ca="1" si="22"/>
        <v>131.64808625067781</v>
      </c>
      <c r="BJ34" s="13">
        <f t="shared" ca="1" si="23"/>
        <v>7.434363181861138</v>
      </c>
      <c r="BK34" s="13">
        <f t="shared" ca="1" si="24"/>
        <v>17.70805152106124</v>
      </c>
      <c r="BL34" s="14">
        <f t="shared" ca="1" si="25"/>
        <v>248.21533548420487</v>
      </c>
      <c r="BO34" s="16">
        <f ca="1">'Airfoil-Descent'!J34</f>
        <v>4.5940467762391863</v>
      </c>
      <c r="BP34" s="1">
        <f ca="1">BO34/(1+BO34/(PI()*'Aerodynamics-Constants'!I34)*(1+AB34))</f>
        <v>3.9302868433816065</v>
      </c>
      <c r="BR34" s="12">
        <v>6</v>
      </c>
      <c r="BS34" s="1">
        <f t="shared" si="26"/>
        <v>3.9084744159557685</v>
      </c>
      <c r="BT34" s="1">
        <f>Stability!W34</f>
        <v>2.7637087636164548</v>
      </c>
      <c r="BV34" s="12">
        <v>6</v>
      </c>
      <c r="BW34" s="1">
        <f t="shared" si="27"/>
        <v>3.9163231849688693</v>
      </c>
      <c r="BX34" s="1">
        <f>Stability!Y34</f>
        <v>2.7692586814095854</v>
      </c>
    </row>
    <row r="35" spans="2:76">
      <c r="B35" s="16">
        <f>Cruise!F35</f>
        <v>0.65969672852566186</v>
      </c>
      <c r="C35" s="74">
        <f>'Airfoil-Cruise'!E35</f>
        <v>1.5987591530356481E-5</v>
      </c>
      <c r="E35" s="19">
        <f ca="1">Cruise!H35</f>
        <v>131.66397515101301</v>
      </c>
      <c r="F35" s="63">
        <f>Weight!G35</f>
        <v>0.3</v>
      </c>
      <c r="H35" s="20">
        <f t="shared" ca="1" si="28"/>
        <v>32.879675488360149</v>
      </c>
      <c r="I35" s="20">
        <f t="shared" ca="1" si="0"/>
        <v>17.930433284143795</v>
      </c>
      <c r="J35" s="20">
        <f t="shared" ca="1" si="1"/>
        <v>1.8337356921227463</v>
      </c>
      <c r="L35" s="31">
        <f>Main!B35</f>
        <v>0.33333333333333326</v>
      </c>
      <c r="M35" s="31">
        <f>Main!C35</f>
        <v>2.6052631578947372</v>
      </c>
      <c r="N35" s="1">
        <f t="shared" si="2"/>
        <v>0.86842105263157887</v>
      </c>
      <c r="O35" s="1">
        <f t="shared" si="3"/>
        <v>7.8157894736842133</v>
      </c>
      <c r="P35" s="16">
        <f ca="1">'Aerodynamics-Constants'!AC35</f>
        <v>5.2417396335312914E-2</v>
      </c>
      <c r="Q35" s="16">
        <f>'Aerodynamics-Constants'!AD35</f>
        <v>3.9078947368421066</v>
      </c>
      <c r="R35" s="63">
        <f>Stability!G35</f>
        <v>5.6500000000000012</v>
      </c>
      <c r="S35" s="16">
        <f ca="1">'Aerodynamics-Constants'!AM35</f>
        <v>2.0494814609083551E-2</v>
      </c>
      <c r="T35" s="16">
        <f>'Aerodynamics-Constants'!AN35</f>
        <v>3.9078947368421066</v>
      </c>
      <c r="V35" s="81">
        <f t="shared" ca="1" si="4"/>
        <v>452238.52330459887</v>
      </c>
      <c r="W35" s="16">
        <f ca="1">'Aerodynamics-Cruise'!W35*$W$12</f>
        <v>0.45</v>
      </c>
      <c r="X35" s="42">
        <f ca="1">'Airfoil-Descent'!V35</f>
        <v>7.4367561293863993E-3</v>
      </c>
      <c r="Y35" s="14">
        <f t="shared" ca="1" si="5"/>
        <v>60.510253687333048</v>
      </c>
      <c r="Z35" s="16">
        <f ca="1">'Airfoil-Descent'!AF35</f>
        <v>-0.15499999999999864</v>
      </c>
      <c r="AA35" s="31">
        <f>Main!I35</f>
        <v>1.1357693582334683</v>
      </c>
      <c r="AB35" s="12">
        <f t="shared" si="6"/>
        <v>-0.11953955021699003</v>
      </c>
      <c r="AC35" s="30">
        <f t="shared" ca="1" si="7"/>
        <v>0.92441236417018247</v>
      </c>
      <c r="AD35" s="13">
        <f t="shared" ca="1" si="8"/>
        <v>0.92441236417018247</v>
      </c>
      <c r="AE35" s="13">
        <f ca="1">DEGREES(AF35/BP35)+'Airfoil-Descent'!K35</f>
        <v>-4.3737176563820954</v>
      </c>
      <c r="AF35" s="1">
        <f t="shared" ca="1" si="9"/>
        <v>0.44994143214432342</v>
      </c>
      <c r="AG35" s="16">
        <f ca="1">0.9*'Airfoil-Descent'!I35</f>
        <v>1.4296861711701239</v>
      </c>
      <c r="AH35" s="42">
        <f ca="1">0.455/(LOG10(MIN(V35,'Aerodynamics-Constants'!L35)))^2.58</f>
        <v>5.2078976441658287E-3</v>
      </c>
      <c r="AI35" s="42">
        <f ca="1">+AH35*'Aerodynamics-Constants'!J35*'Aerodynamics-Constants'!M35</f>
        <v>0</v>
      </c>
      <c r="AJ35" s="10">
        <f ca="1">X35*COS(RADIANS(AC35))*'Aerodynamics-Constants'!M35+AI35</f>
        <v>7.4357882296982036E-3</v>
      </c>
      <c r="AK35" s="10">
        <f ca="1">AF35^2/(PI()*'Aerodynamics-Constants'!I35*AA35)</f>
        <v>7.2593727943204324E-3</v>
      </c>
      <c r="AL35" s="10">
        <f t="shared" ca="1" si="10"/>
        <v>1.4695161024018636E-2</v>
      </c>
      <c r="AM35" s="1">
        <f t="shared" ca="1" si="11"/>
        <v>-0.15499999999999864</v>
      </c>
      <c r="AN35" s="1">
        <f t="shared" ca="1" si="12"/>
        <v>-0.41032369110387179</v>
      </c>
      <c r="AO35" s="12">
        <f t="shared" si="29"/>
        <v>0.93762649249643182</v>
      </c>
      <c r="AP35" s="12">
        <f t="shared" si="13"/>
        <v>6.6522765731052091E-2</v>
      </c>
      <c r="AQ35" s="81">
        <f ca="1">B35*H35*'Aerodynamics-Constants'!AA35/C35</f>
        <v>157128.55008417548</v>
      </c>
      <c r="AR35" s="10">
        <f ca="1">0.455/(LOG10(MIN(AQ35,'Aerodynamics-Constants'!AG35)))^2.58</f>
        <v>6.4793285057868962E-3</v>
      </c>
      <c r="AS35" s="15">
        <f ca="1">AR35*'Aerodynamics-Constants'!AI35*'Aerodynamics-Constants'!AJ35*'Aerodynamics-Constants'!AE35/P35</f>
        <v>1.8023010125901573E-2</v>
      </c>
      <c r="AT35" s="10">
        <f t="shared" ca="1" si="14"/>
        <v>1.4626168962528821E-2</v>
      </c>
      <c r="AU35" s="10">
        <f t="shared" ca="1" si="15"/>
        <v>3.2649179088430395E-2</v>
      </c>
      <c r="AV35" s="12">
        <f t="shared" si="16"/>
        <v>0.94655263157894742</v>
      </c>
      <c r="AW35" s="12">
        <f t="shared" si="17"/>
        <v>5.6465289554894493E-2</v>
      </c>
      <c r="AX35" s="81">
        <f ca="1">B35*H35*'Aerodynamics-Constants'!AK35/C35</f>
        <v>98251.54257292609</v>
      </c>
      <c r="AY35" s="10">
        <f ca="1">0.455/(LOG10(MIN(AX35,'Aerodynamics-Constants'!AQ35)))^2.58</f>
        <v>7.1843389941181994E-3</v>
      </c>
      <c r="AZ35" s="15">
        <f ca="1">AY35*'Aerodynamics-Constants'!AS35*'Aerodynamics-Constants'!AT35*'Aerodynamics-Constants'!AO35/S35</f>
        <v>1.9984079264271908E-2</v>
      </c>
      <c r="BA35" s="81">
        <f ca="1">B35*H35*'Aerodynamics-Constants'!N35/C35</f>
        <v>3459624.7032801821</v>
      </c>
      <c r="BB35" s="10">
        <f ca="1">0.455/(LOG10(MIN(BA35,'Aerodynamics-Constants'!V35)))^2.58</f>
        <v>3.5808586558853293E-3</v>
      </c>
      <c r="BC35" s="10">
        <f ca="1">BB35*'Aerodynamics-Constants'!W35*'Aerodynamics-Constants'!X35*'Aerodynamics-Constants'!S35/N35+'Aerodynamics-Constants'!Z35</f>
        <v>1.9804386245410735E-3</v>
      </c>
      <c r="BD35" s="15">
        <f ca="1">BC35*'Aerodynamics-Constants'!AU35+(AJ35+AS35+AZ35)*('Aerodynamics-Constants'!AU35-1)</f>
        <v>6.7227702489823541E-3</v>
      </c>
      <c r="BE35" s="16">
        <f t="shared" ca="1" si="18"/>
        <v>0.42517452964099961</v>
      </c>
      <c r="BF35" s="10">
        <f t="shared" ca="1" si="19"/>
        <v>1.5718043086377847E-2</v>
      </c>
      <c r="BG35" s="10">
        <f t="shared" ca="1" si="20"/>
        <v>8.1421999586929403E-3</v>
      </c>
      <c r="BH35" s="10">
        <f t="shared" ca="1" si="21"/>
        <v>2.3860243045070787E-2</v>
      </c>
      <c r="BI35" s="13">
        <f t="shared" ca="1" si="22"/>
        <v>131.66397515101301</v>
      </c>
      <c r="BJ35" s="13">
        <f t="shared" ca="1" si="23"/>
        <v>7.3888114841590289</v>
      </c>
      <c r="BK35" s="13">
        <f t="shared" ca="1" si="24"/>
        <v>17.819371279574415</v>
      </c>
      <c r="BL35" s="14">
        <f t="shared" ca="1" si="25"/>
        <v>242.94172384381758</v>
      </c>
      <c r="BO35" s="16">
        <f ca="1">'Airfoil-Descent'!J35</f>
        <v>4.6177941262495859</v>
      </c>
      <c r="BP35" s="1">
        <f ca="1">BO35/(1+BO35/(PI()*'Aerodynamics-Constants'!I35)*(1+AB35))</f>
        <v>3.9617814802637006</v>
      </c>
      <c r="BR35" s="12">
        <v>6</v>
      </c>
      <c r="BS35" s="1">
        <f t="shared" si="26"/>
        <v>3.9441790955022142</v>
      </c>
      <c r="BT35" s="1">
        <f>Stability!W35</f>
        <v>2.7889557846438393</v>
      </c>
      <c r="BV35" s="12">
        <v>6</v>
      </c>
      <c r="BW35" s="1">
        <f t="shared" si="27"/>
        <v>3.9569645174604378</v>
      </c>
      <c r="BX35" s="1">
        <f>Stability!Y35</f>
        <v>2.7979964432108306</v>
      </c>
    </row>
    <row r="36" spans="2:76">
      <c r="B36" s="16">
        <f>Cruise!F36</f>
        <v>0.65969672852566186</v>
      </c>
      <c r="C36" s="74">
        <f>'Airfoil-Cruise'!E36</f>
        <v>1.5987591530356481E-5</v>
      </c>
      <c r="E36" s="19">
        <f ca="1">Cruise!H36</f>
        <v>131.71508343857323</v>
      </c>
      <c r="F36" s="63">
        <f>Weight!G36</f>
        <v>0.3</v>
      </c>
      <c r="H36" s="20">
        <f t="shared" ca="1" si="28"/>
        <v>32.398723136817416</v>
      </c>
      <c r="I36" s="20">
        <f t="shared" ca="1" si="0"/>
        <v>17.670020429931824</v>
      </c>
      <c r="J36" s="20">
        <f t="shared" ca="1" si="1"/>
        <v>1.8335419172428438</v>
      </c>
      <c r="L36" s="31">
        <f>Main!B36</f>
        <v>0.33333333333333326</v>
      </c>
      <c r="M36" s="31">
        <f>Main!C36</f>
        <v>2.6842105263157898</v>
      </c>
      <c r="N36" s="1">
        <f t="shared" si="2"/>
        <v>0.89473684210526305</v>
      </c>
      <c r="O36" s="1">
        <f t="shared" si="3"/>
        <v>8.0526315789473717</v>
      </c>
      <c r="P36" s="16">
        <f ca="1">'Aerodynamics-Constants'!AC36</f>
        <v>5.3621746106374713E-2</v>
      </c>
      <c r="Q36" s="16">
        <f>'Aerodynamics-Constants'!AD36</f>
        <v>4.0263157894736858</v>
      </c>
      <c r="R36" s="63">
        <f>Stability!G36</f>
        <v>5.6500000000000012</v>
      </c>
      <c r="S36" s="16">
        <f ca="1">'Aerodynamics-Constants'!AM36</f>
        <v>2.1514190560189127E-2</v>
      </c>
      <c r="T36" s="16">
        <f>'Aerodynamics-Constants'!AN36</f>
        <v>4.0263157894736858</v>
      </c>
      <c r="V36" s="81">
        <f t="shared" ca="1" si="4"/>
        <v>445623.33693152893</v>
      </c>
      <c r="W36" s="16">
        <f ca="1">'Aerodynamics-Cruise'!W36*$W$12</f>
        <v>0.45</v>
      </c>
      <c r="X36" s="42">
        <f ca="1">'Airfoil-Descent'!V36</f>
        <v>7.5217076847848476E-3</v>
      </c>
      <c r="Y36" s="14">
        <f t="shared" ca="1" si="5"/>
        <v>59.826839709588086</v>
      </c>
      <c r="Z36" s="16">
        <f ca="1">'Airfoil-Descent'!AF36</f>
        <v>-0.15499999999999864</v>
      </c>
      <c r="AA36" s="31">
        <f>Main!I36</f>
        <v>1.1291202108009399</v>
      </c>
      <c r="AB36" s="12">
        <f t="shared" si="6"/>
        <v>-0.11435470693536576</v>
      </c>
      <c r="AC36" s="30">
        <f t="shared" ca="1" si="7"/>
        <v>0.90251282416947276</v>
      </c>
      <c r="AD36" s="13">
        <f t="shared" ca="1" si="8"/>
        <v>0.90251282416947276</v>
      </c>
      <c r="AE36" s="13">
        <f ca="1">DEGREES(AF36/BP36)+'Airfoil-Descent'!K36</f>
        <v>-4.3164857831423191</v>
      </c>
      <c r="AF36" s="1">
        <f t="shared" ca="1" si="9"/>
        <v>0.44994417418951888</v>
      </c>
      <c r="AG36" s="16">
        <f ca="1">0.9*'Airfoil-Descent'!I36</f>
        <v>1.429393335545734</v>
      </c>
      <c r="AH36" s="42">
        <f ca="1">0.455/(LOG10(MIN(V36,'Aerodynamics-Constants'!L36)))^2.58</f>
        <v>5.2231331317839488E-3</v>
      </c>
      <c r="AI36" s="42">
        <f ca="1">+AH36*'Aerodynamics-Constants'!J36*'Aerodynamics-Constants'!M36</f>
        <v>0</v>
      </c>
      <c r="AJ36" s="10">
        <f ca="1">X36*COS(RADIANS(AC36))*'Aerodynamics-Constants'!M36+AI36</f>
        <v>7.5207745616121691E-3</v>
      </c>
      <c r="AK36" s="10">
        <f ca="1">AF36^2/(PI()*'Aerodynamics-Constants'!I36*AA36)</f>
        <v>7.0874397873173832E-3</v>
      </c>
      <c r="AL36" s="10">
        <f t="shared" ca="1" si="10"/>
        <v>1.4608214348929553E-2</v>
      </c>
      <c r="AM36" s="1">
        <f t="shared" ca="1" si="11"/>
        <v>-0.15499999999999864</v>
      </c>
      <c r="AN36" s="1">
        <f t="shared" ca="1" si="12"/>
        <v>-0.41326213364140529</v>
      </c>
      <c r="AO36" s="12">
        <f t="shared" si="29"/>
        <v>0.93347632556434401</v>
      </c>
      <c r="AP36" s="12">
        <f t="shared" si="13"/>
        <v>7.1264447328579283E-2</v>
      </c>
      <c r="AQ36" s="81">
        <f ca="1">B36*H36*'Aerodynamics-Constants'!AA36/C36</f>
        <v>154278.61804941122</v>
      </c>
      <c r="AR36" s="10">
        <f ca="1">0.455/(LOG10(MIN(AQ36,'Aerodynamics-Constants'!AG36)))^2.58</f>
        <v>6.5049722826139283E-3</v>
      </c>
      <c r="AS36" s="15">
        <f ca="1">AR36*'Aerodynamics-Constants'!AI36*'Aerodynamics-Constants'!AJ36*'Aerodynamics-Constants'!AE36/P36</f>
        <v>1.8094341290698538E-2</v>
      </c>
      <c r="AT36" s="10">
        <f t="shared" ca="1" si="14"/>
        <v>1.4464059919560861E-2</v>
      </c>
      <c r="AU36" s="10">
        <f t="shared" ca="1" si="15"/>
        <v>3.2558401210259401E-2</v>
      </c>
      <c r="AV36" s="12">
        <f t="shared" si="16"/>
        <v>0.94584210526315793</v>
      </c>
      <c r="AW36" s="12">
        <f t="shared" si="17"/>
        <v>5.725891714428788E-2</v>
      </c>
      <c r="AX36" s="81">
        <f ca="1">B36*H36*'Aerodynamics-Constants'!AK36/C36</f>
        <v>97723.220206416489</v>
      </c>
      <c r="AY36" s="10">
        <f ca="1">0.455/(LOG10(MIN(AX36,'Aerodynamics-Constants'!AQ36)))^2.58</f>
        <v>7.1930402384521698E-3</v>
      </c>
      <c r="AZ36" s="15">
        <f ca="1">AY36*'Aerodynamics-Constants'!AS36*'Aerodynamics-Constants'!AT36*'Aerodynamics-Constants'!AO36/S36</f>
        <v>2.0008282793171402E-2</v>
      </c>
      <c r="BA36" s="81">
        <f ca="1">B36*H36*'Aerodynamics-Constants'!N36/C36</f>
        <v>3409018.527526197</v>
      </c>
      <c r="BB36" s="10">
        <f ca="1">0.455/(LOG10(MIN(BA36,'Aerodynamics-Constants'!V36)))^2.58</f>
        <v>3.5899161827997743E-3</v>
      </c>
      <c r="BC36" s="10">
        <f ca="1">BB36*'Aerodynamics-Constants'!W36*'Aerodynamics-Constants'!X36*'Aerodynamics-Constants'!S36/N36+'Aerodynamics-Constants'!Z36</f>
        <v>1.9270481161620283E-3</v>
      </c>
      <c r="BD36" s="15">
        <f ca="1">BC36*'Aerodynamics-Constants'!AU36+(AJ36+AS36+AZ36)*('Aerodynamics-Constants'!AU36-1)</f>
        <v>6.6820927923264464E-3</v>
      </c>
      <c r="BE36" s="16">
        <f t="shared" ca="1" si="18"/>
        <v>0.42517729731278564</v>
      </c>
      <c r="BF36" s="10">
        <f t="shared" ca="1" si="19"/>
        <v>1.5768369206025735E-2</v>
      </c>
      <c r="BG36" s="10">
        <f t="shared" ca="1" si="20"/>
        <v>7.9542736005413592E-3</v>
      </c>
      <c r="BH36" s="10">
        <f t="shared" ca="1" si="21"/>
        <v>2.37226428065671E-2</v>
      </c>
      <c r="BI36" s="13">
        <f t="shared" ca="1" si="22"/>
        <v>131.71508343857323</v>
      </c>
      <c r="BJ36" s="13">
        <f t="shared" ca="1" si="23"/>
        <v>7.3490045127028294</v>
      </c>
      <c r="BK36" s="13">
        <f t="shared" ca="1" si="24"/>
        <v>17.922846993889085</v>
      </c>
      <c r="BL36" s="14">
        <f t="shared" ca="1" si="25"/>
        <v>238.09836253828075</v>
      </c>
      <c r="BO36" s="16">
        <f ca="1">'Airfoil-Descent'!J36</f>
        <v>4.640737993005426</v>
      </c>
      <c r="BP36" s="1">
        <f ca="1">BO36/(1+BO36/(PI()*'Aerodynamics-Constants'!I36)*(1+AB36))</f>
        <v>3.9921537096816526</v>
      </c>
      <c r="BR36" s="12">
        <v>6</v>
      </c>
      <c r="BS36" s="1">
        <f t="shared" si="26"/>
        <v>3.9783893429633941</v>
      </c>
      <c r="BT36" s="1">
        <f>Stability!W36</f>
        <v>2.8131460826097094</v>
      </c>
      <c r="BV36" s="12">
        <v>6</v>
      </c>
      <c r="BW36" s="1">
        <f t="shared" si="27"/>
        <v>3.9959918173096995</v>
      </c>
      <c r="BX36" s="1">
        <f>Stability!Y36</f>
        <v>2.8255929115856442</v>
      </c>
    </row>
    <row r="37" spans="2:76">
      <c r="B37" s="16">
        <f>Cruise!F37</f>
        <v>0.65969672852566186</v>
      </c>
      <c r="C37" s="74">
        <f>'Airfoil-Cruise'!E37</f>
        <v>1.5987591530356481E-5</v>
      </c>
      <c r="E37" s="19">
        <f ca="1">Cruise!H37</f>
        <v>131.79789717300858</v>
      </c>
      <c r="F37" s="63">
        <f>Weight!G37</f>
        <v>0.3</v>
      </c>
      <c r="H37" s="20">
        <f t="shared" ca="1" si="28"/>
        <v>31.942471420245251</v>
      </c>
      <c r="I37" s="20">
        <f t="shared" ca="1" si="0"/>
        <v>17.42295379045072</v>
      </c>
      <c r="J37" s="20">
        <f t="shared" ca="1" si="1"/>
        <v>1.8333556872401555</v>
      </c>
      <c r="L37" s="31">
        <f>Main!B37</f>
        <v>0.33333333333333326</v>
      </c>
      <c r="M37" s="31">
        <f>Main!C37</f>
        <v>2.7631578947368425</v>
      </c>
      <c r="N37" s="1">
        <f t="shared" si="2"/>
        <v>0.92105263157894723</v>
      </c>
      <c r="O37" s="1">
        <f t="shared" si="3"/>
        <v>8.2894736842105292</v>
      </c>
      <c r="P37" s="16">
        <f ca="1">'Aerodynamics-Constants'!AC37</f>
        <v>5.482534386108661E-2</v>
      </c>
      <c r="Q37" s="16">
        <f>'Aerodynamics-Constants'!AD37</f>
        <v>4.1447368421052646</v>
      </c>
      <c r="R37" s="63">
        <f>Stability!G37</f>
        <v>5.6500000000000012</v>
      </c>
      <c r="S37" s="16">
        <f ca="1">'Aerodynamics-Constants'!AM37</f>
        <v>2.2560622713503117E-2</v>
      </c>
      <c r="T37" s="16">
        <f>'Aerodynamics-Constants'!AN37</f>
        <v>4.1447368421052646</v>
      </c>
      <c r="V37" s="81">
        <f t="shared" ca="1" si="4"/>
        <v>439347.89170607866</v>
      </c>
      <c r="W37" s="16">
        <f ca="1">'Aerodynamics-Cruise'!W37*$W$12</f>
        <v>0.45</v>
      </c>
      <c r="X37" s="42">
        <f ca="1">'Airfoil-Descent'!V37</f>
        <v>7.6043864026854808E-3</v>
      </c>
      <c r="Y37" s="14">
        <f t="shared" ca="1" si="5"/>
        <v>59.176372184491179</v>
      </c>
      <c r="Z37" s="16">
        <f ca="1">'Airfoil-Descent'!AF37</f>
        <v>-0.15499999999999867</v>
      </c>
      <c r="AA37" s="31">
        <f>Main!I37</f>
        <v>1.1225333603782677</v>
      </c>
      <c r="AB37" s="12">
        <f t="shared" si="6"/>
        <v>-0.10915787869055116</v>
      </c>
      <c r="AC37" s="30">
        <f t="shared" ca="1" si="7"/>
        <v>0.88187618553058045</v>
      </c>
      <c r="AD37" s="13">
        <f t="shared" ca="1" si="8"/>
        <v>0.88187618553058045</v>
      </c>
      <c r="AE37" s="13">
        <f ca="1">DEGREES(AF37/BP37)+'Airfoil-Descent'!K37</f>
        <v>-4.2618227691058728</v>
      </c>
      <c r="AF37" s="1">
        <f t="shared" ca="1" si="9"/>
        <v>0.44994669795036712</v>
      </c>
      <c r="AG37" s="16">
        <f ca="1">0.9*'Airfoil-Descent'!I37</f>
        <v>1.4291115498991893</v>
      </c>
      <c r="AH37" s="42">
        <f ca="1">0.455/(LOG10(MIN(V37,'Aerodynamics-Constants'!L37)))^2.58</f>
        <v>5.2378551341430366E-3</v>
      </c>
      <c r="AI37" s="42">
        <f ca="1">+AH37*'Aerodynamics-Constants'!J37*'Aerodynamics-Constants'!M37</f>
        <v>0</v>
      </c>
      <c r="AJ37" s="10">
        <f ca="1">X37*COS(RADIANS(AC37))*'Aerodynamics-Constants'!M37+AI37</f>
        <v>7.6034856707266722E-3</v>
      </c>
      <c r="AK37" s="10">
        <f ca="1">AF37^2/(PI()*'Aerodynamics-Constants'!I37*AA37)</f>
        <v>6.9254189584758057E-3</v>
      </c>
      <c r="AL37" s="10">
        <f t="shared" ca="1" si="10"/>
        <v>1.4528904629202477E-2</v>
      </c>
      <c r="AM37" s="1">
        <f t="shared" ca="1" si="11"/>
        <v>-0.15499999999999867</v>
      </c>
      <c r="AN37" s="1">
        <f t="shared" ca="1" si="12"/>
        <v>-0.41607719701041301</v>
      </c>
      <c r="AO37" s="12">
        <f t="shared" si="29"/>
        <v>0.92936504226251027</v>
      </c>
      <c r="AP37" s="12">
        <f t="shared" si="13"/>
        <v>7.6003458840598448E-2</v>
      </c>
      <c r="AQ37" s="81">
        <f ca="1">B37*H37*'Aerodynamics-Constants'!AA37/C37</f>
        <v>151590.50605786403</v>
      </c>
      <c r="AR37" s="10">
        <f ca="1">0.455/(LOG10(MIN(AQ37,'Aerodynamics-Constants'!AG37)))^2.58</f>
        <v>6.5297306306904106E-3</v>
      </c>
      <c r="AS37" s="15">
        <f ca="1">AR37*'Aerodynamics-Constants'!AI37*'Aerodynamics-Constants'!AJ37*'Aerodynamics-Constants'!AE37/P37</f>
        <v>1.8163209531857249E-2</v>
      </c>
      <c r="AT37" s="10">
        <f t="shared" ca="1" si="14"/>
        <v>1.4305882816844629E-2</v>
      </c>
      <c r="AU37" s="10">
        <f t="shared" ca="1" si="15"/>
        <v>3.2469092348701878E-2</v>
      </c>
      <c r="AV37" s="12">
        <f t="shared" si="16"/>
        <v>0.94513157894736843</v>
      </c>
      <c r="AW37" s="12">
        <f t="shared" si="17"/>
        <v>5.8053737992482146E-2</v>
      </c>
      <c r="AX37" s="81">
        <f ca="1">B37*H37*'Aerodynamics-Constants'!AK37/C37</f>
        <v>97242.667147216154</v>
      </c>
      <c r="AY37" s="10">
        <f ca="1">0.455/(LOG10(MIN(AX37,'Aerodynamics-Constants'!AQ37)))^2.58</f>
        <v>7.2010084960723022E-3</v>
      </c>
      <c r="AZ37" s="15">
        <f ca="1">AY37*'Aerodynamics-Constants'!AS37*'Aerodynamics-Constants'!AT37*'Aerodynamics-Constants'!AO37/S37</f>
        <v>2.0030447433788894E-2</v>
      </c>
      <c r="BA37" s="81">
        <f ca="1">B37*H37*'Aerodynamics-Constants'!N37/C37</f>
        <v>3361011.3715515025</v>
      </c>
      <c r="BB37" s="10">
        <f ca="1">0.455/(LOG10(MIN(BA37,'Aerodynamics-Constants'!V37)))^2.58</f>
        <v>3.5986637317500336E-3</v>
      </c>
      <c r="BC37" s="10">
        <f ca="1">BB37*'Aerodynamics-Constants'!W37*'Aerodynamics-Constants'!X37*'Aerodynamics-Constants'!S37/N37+'Aerodynamics-Constants'!Z37</f>
        <v>1.8765469980612484E-3</v>
      </c>
      <c r="BD37" s="15">
        <f ca="1">BC37*'Aerodynamics-Constants'!AU37+(AJ37+AS37+AZ37)*('Aerodynamics-Constants'!AU37-1)</f>
        <v>6.6439159615046591E-3</v>
      </c>
      <c r="BE37" s="16">
        <f t="shared" ca="1" si="18"/>
        <v>0.42517984466018388</v>
      </c>
      <c r="BF37" s="10">
        <f t="shared" ca="1" si="19"/>
        <v>1.5819194085676287E-2</v>
      </c>
      <c r="BG37" s="10">
        <f t="shared" ca="1" si="20"/>
        <v>7.7769717555460013E-3</v>
      </c>
      <c r="BH37" s="10">
        <f t="shared" ca="1" si="21"/>
        <v>2.3596165841222289E-2</v>
      </c>
      <c r="BI37" s="13">
        <f t="shared" ca="1" si="22"/>
        <v>131.79789717300858</v>
      </c>
      <c r="BJ37" s="13">
        <f t="shared" ca="1" si="23"/>
        <v>7.3143755008053484</v>
      </c>
      <c r="BK37" s="13">
        <f t="shared" ca="1" si="24"/>
        <v>18.019022561597637</v>
      </c>
      <c r="BL37" s="14">
        <f t="shared" ca="1" si="25"/>
        <v>233.63923039141687</v>
      </c>
      <c r="BO37" s="16">
        <f ca="1">'Airfoil-Descent'!J37</f>
        <v>4.6629281773903468</v>
      </c>
      <c r="BP37" s="1">
        <f ca="1">BO37/(1+BO37/(PI()*'Aerodynamics-Constants'!I37)*(1+AB37))</f>
        <v>4.0214711121279381</v>
      </c>
      <c r="BR37" s="12">
        <v>6</v>
      </c>
      <c r="BS37" s="1">
        <f t="shared" si="26"/>
        <v>4.0111960541300551</v>
      </c>
      <c r="BT37" s="1">
        <f>Stability!W37</f>
        <v>2.8363439305440838</v>
      </c>
      <c r="BV37" s="12">
        <v>6</v>
      </c>
      <c r="BW37" s="1">
        <f t="shared" si="27"/>
        <v>4.0334992312104214</v>
      </c>
      <c r="BX37" s="1">
        <f>Stability!Y37</f>
        <v>2.8521146582996155</v>
      </c>
    </row>
    <row r="38" spans="2:76">
      <c r="B38" s="16">
        <f>Cruise!F38</f>
        <v>0.65969672852566186</v>
      </c>
      <c r="C38" s="74">
        <f>'Airfoil-Cruise'!E38</f>
        <v>1.5987591530356481E-5</v>
      </c>
      <c r="E38" s="19">
        <f ca="1">Cruise!H38</f>
        <v>131.90942506312635</v>
      </c>
      <c r="F38" s="63">
        <f>Weight!G38</f>
        <v>0.3</v>
      </c>
      <c r="H38" s="20">
        <f t="shared" ca="1" si="28"/>
        <v>31.508937554230929</v>
      </c>
      <c r="I38" s="20">
        <f t="shared" ca="1" si="0"/>
        <v>17.188163661838342</v>
      </c>
      <c r="J38" s="20">
        <f t="shared" ca="1" si="1"/>
        <v>1.833176491342585</v>
      </c>
      <c r="L38" s="31">
        <f>Main!B38</f>
        <v>0.33333333333333326</v>
      </c>
      <c r="M38" s="31">
        <f>Main!C38</f>
        <v>2.8421052631578951</v>
      </c>
      <c r="N38" s="1">
        <f t="shared" si="2"/>
        <v>0.94736842105263153</v>
      </c>
      <c r="O38" s="1">
        <f t="shared" si="3"/>
        <v>8.5263157894736867</v>
      </c>
      <c r="P38" s="16">
        <f ca="1">'Aerodynamics-Constants'!AC38</f>
        <v>5.6028368192781342E-2</v>
      </c>
      <c r="Q38" s="16">
        <f>'Aerodynamics-Constants'!AD38</f>
        <v>4.2631578947368434</v>
      </c>
      <c r="R38" s="63">
        <f>Stability!G38</f>
        <v>5.6500000000000012</v>
      </c>
      <c r="S38" s="16">
        <f ca="1">'Aerodynamics-Constants'!AM38</f>
        <v>2.3634030155455236E-2</v>
      </c>
      <c r="T38" s="16">
        <f>'Aerodynamics-Constants'!AN38</f>
        <v>4.2631578947368434</v>
      </c>
      <c r="V38" s="81">
        <f t="shared" ca="1" si="4"/>
        <v>433384.9157199483</v>
      </c>
      <c r="W38" s="16">
        <f ca="1">'Aerodynamics-Cruise'!W38*$W$12</f>
        <v>0.45</v>
      </c>
      <c r="X38" s="42">
        <f ca="1">'Airfoil-Descent'!V38</f>
        <v>7.684909519612447E-3</v>
      </c>
      <c r="Y38" s="14">
        <f t="shared" ca="1" si="5"/>
        <v>58.556317267180226</v>
      </c>
      <c r="Z38" s="16">
        <f ca="1">'Airfoil-Descent'!AF38</f>
        <v>-0.15499999999999867</v>
      </c>
      <c r="AA38" s="31">
        <f>Main!I38</f>
        <v>1.1160064675431407</v>
      </c>
      <c r="AB38" s="12">
        <f t="shared" si="6"/>
        <v>-0.10394784521144029</v>
      </c>
      <c r="AC38" s="30">
        <f t="shared" ca="1" si="7"/>
        <v>0.86239841793889416</v>
      </c>
      <c r="AD38" s="13">
        <f t="shared" ca="1" si="8"/>
        <v>0.86239841793889416</v>
      </c>
      <c r="AE38" s="13">
        <f ca="1">DEGREES(AF38/BP38)+'Airfoil-Descent'!K38</f>
        <v>-4.2095377770700155</v>
      </c>
      <c r="AF38" s="1">
        <f t="shared" ca="1" si="9"/>
        <v>0.44994902644111806</v>
      </c>
      <c r="AG38" s="16">
        <f ca="1">0.9*'Airfoil-Descent'!I38</f>
        <v>1.4288400931460277</v>
      </c>
      <c r="AH38" s="42">
        <f ca="1">0.455/(LOG10(MIN(V38,'Aerodynamics-Constants'!L38)))^2.58</f>
        <v>5.2520947688324653E-3</v>
      </c>
      <c r="AI38" s="42">
        <f ca="1">+AH38*'Aerodynamics-Constants'!J38*'Aerodynamics-Constants'!M38</f>
        <v>0</v>
      </c>
      <c r="AJ38" s="10">
        <f ca="1">X38*COS(RADIANS(AC38))*'Aerodynamics-Constants'!M38+AI38</f>
        <v>7.6840390147504467E-3</v>
      </c>
      <c r="AK38" s="10">
        <f ca="1">AF38^2/(PI()*'Aerodynamics-Constants'!I38*AA38)</f>
        <v>6.7724940973595783E-3</v>
      </c>
      <c r="AL38" s="10">
        <f t="shared" ca="1" si="10"/>
        <v>1.4456533112110025E-2</v>
      </c>
      <c r="AM38" s="1">
        <f t="shared" ca="1" si="11"/>
        <v>-0.15499999999999867</v>
      </c>
      <c r="AN38" s="1">
        <f t="shared" ca="1" si="12"/>
        <v>-0.41877561022270504</v>
      </c>
      <c r="AO38" s="12">
        <f t="shared" si="29"/>
        <v>0.92529118240476216</v>
      </c>
      <c r="AP38" s="12">
        <f t="shared" si="13"/>
        <v>8.0740872728382929E-2</v>
      </c>
      <c r="AQ38" s="81">
        <f ca="1">B38*H38*'Aerodynamics-Constants'!AA38/C38</f>
        <v>149050.4611526985</v>
      </c>
      <c r="AR38" s="10">
        <f ca="1">0.455/(LOG10(MIN(AQ38,'Aerodynamics-Constants'!AG38)))^2.58</f>
        <v>6.5536554652727364E-3</v>
      </c>
      <c r="AS38" s="15">
        <f ca="1">AR38*'Aerodynamics-Constants'!AI38*'Aerodynamics-Constants'!AJ38*'Aerodynamics-Constants'!AE38/P38</f>
        <v>1.8229759257735883E-2</v>
      </c>
      <c r="AT38" s="10">
        <f t="shared" ca="1" si="14"/>
        <v>1.4151518586049466E-2</v>
      </c>
      <c r="AU38" s="10">
        <f t="shared" ca="1" si="15"/>
        <v>3.2381277843785347E-2</v>
      </c>
      <c r="AV38" s="12">
        <f t="shared" si="16"/>
        <v>0.94442105263157905</v>
      </c>
      <c r="AW38" s="12">
        <f t="shared" si="17"/>
        <v>5.884975479268828E-2</v>
      </c>
      <c r="AX38" s="81">
        <f ca="1">B38*H38*'Aerodynamics-Constants'!AK38/C38</f>
        <v>96805.09817314941</v>
      </c>
      <c r="AY38" s="10">
        <f ca="1">0.455/(LOG10(MIN(AX38,'Aerodynamics-Constants'!AQ38)))^2.58</f>
        <v>7.2083090750851451E-3</v>
      </c>
      <c r="AZ38" s="15">
        <f ca="1">AY38*'Aerodynamics-Constants'!AS38*'Aerodynamics-Constants'!AT38*'Aerodynamics-Constants'!AO38/S38</f>
        <v>2.005075484826184E-2</v>
      </c>
      <c r="BA38" s="81">
        <f ca="1">B38*H38*'Aerodynamics-Constants'!N38/C38</f>
        <v>3315394.6052576052</v>
      </c>
      <c r="BB38" s="10">
        <f ca="1">0.455/(LOG10(MIN(BA38,'Aerodynamics-Constants'!V38)))^2.58</f>
        <v>3.6071202728544679E-3</v>
      </c>
      <c r="BC38" s="10">
        <f ca="1">BB38*'Aerodynamics-Constants'!W38*'Aerodynamics-Constants'!X38*'Aerodynamics-Constants'!S38/N38+'Aerodynamics-Constants'!Z38</f>
        <v>1.8287040964524769E-3</v>
      </c>
      <c r="BD38" s="15">
        <f ca="1">BC38*'Aerodynamics-Constants'!AU38+(AJ38+AS38+AZ38)*('Aerodynamics-Constants'!AU38-1)</f>
        <v>6.6080298181725458E-3</v>
      </c>
      <c r="BE38" s="16">
        <f t="shared" ca="1" si="18"/>
        <v>0.42518219491253062</v>
      </c>
      <c r="BF38" s="10">
        <f t="shared" ca="1" si="19"/>
        <v>1.5870402852986958E-2</v>
      </c>
      <c r="BG38" s="10">
        <f t="shared" ca="1" si="20"/>
        <v>7.6094298408427557E-3</v>
      </c>
      <c r="BH38" s="10">
        <f t="shared" ca="1" si="21"/>
        <v>2.3479832693829712E-2</v>
      </c>
      <c r="BI38" s="13">
        <f t="shared" ca="1" si="22"/>
        <v>131.90942506312638</v>
      </c>
      <c r="BJ38" s="13">
        <f t="shared" ca="1" si="23"/>
        <v>7.2844330460701432</v>
      </c>
      <c r="BK38" s="13">
        <f t="shared" ca="1" si="24"/>
        <v>18.108399683114637</v>
      </c>
      <c r="BL38" s="14">
        <f t="shared" ca="1" si="25"/>
        <v>229.52474596660034</v>
      </c>
      <c r="BO38" s="16">
        <f ca="1">'Airfoil-Descent'!J38</f>
        <v>4.6844094807146863</v>
      </c>
      <c r="BP38" s="1">
        <f ca="1">BO38/(1+BO38/(PI()*'Aerodynamics-Constants'!I38)*(1+AB38))</f>
        <v>4.0497951064773394</v>
      </c>
      <c r="BR38" s="12">
        <v>6</v>
      </c>
      <c r="BS38" s="1">
        <f t="shared" si="26"/>
        <v>4.0426828290456038</v>
      </c>
      <c r="BT38" s="1">
        <f>Stability!W38</f>
        <v>2.858608442604563</v>
      </c>
      <c r="BV38" s="12">
        <v>6</v>
      </c>
      <c r="BW38" s="1">
        <f t="shared" si="27"/>
        <v>4.0695737230182569</v>
      </c>
      <c r="BX38" s="1">
        <f>Stability!Y38</f>
        <v>2.8776231760847946</v>
      </c>
    </row>
    <row r="39" spans="2:76">
      <c r="B39" s="16">
        <f>Cruise!F39</f>
        <v>0.65969672852566186</v>
      </c>
      <c r="C39" s="74">
        <f>'Airfoil-Cruise'!E39</f>
        <v>1.5987591530356481E-5</v>
      </c>
      <c r="E39" s="19">
        <f ca="1">Cruise!H39</f>
        <v>132.04710507961775</v>
      </c>
      <c r="F39" s="63">
        <f>Weight!G39</f>
        <v>0.3</v>
      </c>
      <c r="H39" s="20">
        <f t="shared" ca="1" si="28"/>
        <v>31.096360783221016</v>
      </c>
      <c r="I39" s="20">
        <f t="shared" ca="1" si="0"/>
        <v>16.964700003382255</v>
      </c>
      <c r="J39" s="20">
        <f t="shared" ca="1" si="1"/>
        <v>1.8330038713930297</v>
      </c>
      <c r="L39" s="31">
        <f>Main!B39</f>
        <v>0.33333333333333326</v>
      </c>
      <c r="M39" s="31">
        <f>Main!C39</f>
        <v>2.9210526315789478</v>
      </c>
      <c r="N39" s="1">
        <f t="shared" si="2"/>
        <v>0.97368421052631571</v>
      </c>
      <c r="O39" s="1">
        <f t="shared" si="3"/>
        <v>8.763157894736846</v>
      </c>
      <c r="P39" s="16">
        <f ca="1">'Aerodynamics-Constants'!AC39</f>
        <v>5.7230970130204631E-2</v>
      </c>
      <c r="Q39" s="16">
        <f>'Aerodynamics-Constants'!AD39</f>
        <v>4.381578947368423</v>
      </c>
      <c r="R39" s="63">
        <f>Stability!G39</f>
        <v>5.6500000000000012</v>
      </c>
      <c r="S39" s="16">
        <f ca="1">'Aerodynamics-Constants'!AM39</f>
        <v>2.4734340811647802E-2</v>
      </c>
      <c r="T39" s="16">
        <f>'Aerodynamics-Constants'!AN39</f>
        <v>4.381578947368423</v>
      </c>
      <c r="V39" s="81">
        <f t="shared" ca="1" si="4"/>
        <v>427710.19092720037</v>
      </c>
      <c r="W39" s="16">
        <f ca="1">'Aerodynamics-Cruise'!W39*$W$12</f>
        <v>0.45</v>
      </c>
      <c r="X39" s="42">
        <f ca="1">'Airfoil-Descent'!V39</f>
        <v>7.7633834348840294E-3</v>
      </c>
      <c r="Y39" s="14">
        <f t="shared" ca="1" si="5"/>
        <v>57.964417676185818</v>
      </c>
      <c r="Z39" s="16">
        <f ca="1">'Airfoil-Descent'!AF39</f>
        <v>-0.15499999999999867</v>
      </c>
      <c r="AA39" s="31">
        <f>Main!I39</f>
        <v>1.1095373430241193</v>
      </c>
      <c r="AB39" s="12">
        <f t="shared" si="6"/>
        <v>-9.8723439740719177E-2</v>
      </c>
      <c r="AC39" s="30">
        <f t="shared" ca="1" si="7"/>
        <v>0.84398668286490386</v>
      </c>
      <c r="AD39" s="13">
        <f t="shared" ca="1" si="8"/>
        <v>0.84398668286490386</v>
      </c>
      <c r="AE39" s="13">
        <f ca="1">DEGREES(AF39/BP39)+'Airfoil-Descent'!K39</f>
        <v>-4.1594609319496287</v>
      </c>
      <c r="AF39" s="1">
        <f t="shared" ca="1" si="9"/>
        <v>0.4499511796837446</v>
      </c>
      <c r="AG39" s="16">
        <f ca="1">0.9*'Airfoil-Descent'!I39</f>
        <v>1.4285783163991335</v>
      </c>
      <c r="AH39" s="42">
        <f ca="1">0.455/(LOG10(MIN(V39,'Aerodynamics-Constants'!L39)))^2.58</f>
        <v>5.2658801304245858E-3</v>
      </c>
      <c r="AI39" s="42">
        <f ca="1">+AH39*'Aerodynamics-Constants'!J39*'Aerodynamics-Constants'!M39</f>
        <v>0</v>
      </c>
      <c r="AJ39" s="10">
        <f ca="1">X39*COS(RADIANS(AC39))*'Aerodynamics-Constants'!M39+AI39</f>
        <v>7.7625411885851332E-3</v>
      </c>
      <c r="AK39" s="10">
        <f ca="1">AF39^2/(PI()*'Aerodynamics-Constants'!I39*AA39)</f>
        <v>6.6279367663673221E-3</v>
      </c>
      <c r="AL39" s="10">
        <f t="shared" ca="1" si="10"/>
        <v>1.4390477954952456E-2</v>
      </c>
      <c r="AM39" s="1">
        <f t="shared" ca="1" si="11"/>
        <v>-0.15499999999999867</v>
      </c>
      <c r="AN39" s="1">
        <f t="shared" ca="1" si="12"/>
        <v>-0.4213636979260923</v>
      </c>
      <c r="AO39" s="12">
        <f t="shared" si="29"/>
        <v>0.92125337952389075</v>
      </c>
      <c r="AP39" s="12">
        <f t="shared" si="13"/>
        <v>8.5477700517968325E-2</v>
      </c>
      <c r="AQ39" s="81">
        <f ca="1">B39*H39*'Aerodynamics-Constants'!AA39/C39</f>
        <v>146646.29199930909</v>
      </c>
      <c r="AR39" s="10">
        <f ca="1">0.455/(LOG10(MIN(AQ39,'Aerodynamics-Constants'!AG39)))^2.58</f>
        <v>6.5767940790907196E-3</v>
      </c>
      <c r="AS39" s="15">
        <f ca="1">AR39*'Aerodynamics-Constants'!AI39*'Aerodynamics-Constants'!AJ39*'Aerodynamics-Constants'!AE39/P39</f>
        <v>1.8294122018594264E-2</v>
      </c>
      <c r="AT39" s="10">
        <f t="shared" ca="1" si="14"/>
        <v>1.4000857183830069E-2</v>
      </c>
      <c r="AU39" s="10">
        <f t="shared" ca="1" si="15"/>
        <v>3.2294979202424336E-2</v>
      </c>
      <c r="AV39" s="12">
        <f t="shared" si="16"/>
        <v>0.94371052631578956</v>
      </c>
      <c r="AW39" s="12">
        <f t="shared" si="17"/>
        <v>5.9646970246228337E-2</v>
      </c>
      <c r="AX39" s="81">
        <f ca="1">B39*H39*'Aerodynamics-Constants'!AK39/C39</f>
        <v>96406.363775652266</v>
      </c>
      <c r="AY39" s="10">
        <f ca="1">0.455/(LOG10(MIN(AX39,'Aerodynamics-Constants'!AQ39)))^2.58</f>
        <v>7.2149995197757916E-3</v>
      </c>
      <c r="AZ39" s="15">
        <f ca="1">AY39*'Aerodynamics-Constants'!AS39*'Aerodynamics-Constants'!AT39*'Aerodynamics-Constants'!AO39/S39</f>
        <v>2.0069365102750193E-2</v>
      </c>
      <c r="BA39" s="81">
        <f ca="1">B39*H39*'Aerodynamics-Constants'!N39/C39</f>
        <v>3271982.9605930839</v>
      </c>
      <c r="BB39" s="10">
        <f ca="1">0.455/(LOG10(MIN(BA39,'Aerodynamics-Constants'!V39)))^2.58</f>
        <v>3.6153029268223991E-3</v>
      </c>
      <c r="BC39" s="10">
        <f ca="1">BB39*'Aerodynamics-Constants'!W39*'Aerodynamics-Constants'!X39*'Aerodynamics-Constants'!S39/N39+'Aerodynamics-Constants'!Z39</f>
        <v>1.7833123178660831E-3</v>
      </c>
      <c r="BD39" s="15">
        <f ca="1">BC39*'Aerodynamics-Constants'!AU39+(AJ39+AS39+AZ39)*('Aerodynamics-Constants'!AU39-1)</f>
        <v>6.5742463806456562E-3</v>
      </c>
      <c r="BE39" s="16">
        <f t="shared" ca="1" si="18"/>
        <v>0.42518436827892003</v>
      </c>
      <c r="BF39" s="10">
        <f t="shared" ca="1" si="19"/>
        <v>1.5921893757093315E-2</v>
      </c>
      <c r="BG39" s="10">
        <f t="shared" ca="1" si="20"/>
        <v>7.4508756932006063E-3</v>
      </c>
      <c r="BH39" s="10">
        <f t="shared" ca="1" si="21"/>
        <v>2.3372769450293922E-2</v>
      </c>
      <c r="BI39" s="13">
        <f t="shared" ca="1" si="22"/>
        <v>132.04710507961778</v>
      </c>
      <c r="BJ39" s="13">
        <f t="shared" ca="1" si="23"/>
        <v>7.2587488484055251</v>
      </c>
      <c r="BK39" s="13">
        <f t="shared" ca="1" si="24"/>
        <v>18.191441505601006</v>
      </c>
      <c r="BL39" s="14">
        <f t="shared" ca="1" si="25"/>
        <v>225.72067302480829</v>
      </c>
      <c r="BO39" s="16">
        <f ca="1">'Airfoil-Descent'!J39</f>
        <v>4.7052223889341471</v>
      </c>
      <c r="BP39" s="1">
        <f ca="1">BO39/(1+BO39/(PI()*'Aerodynamics-Constants'!I39)*(1+AB39))</f>
        <v>4.0771816917156478</v>
      </c>
      <c r="BR39" s="12">
        <v>6</v>
      </c>
      <c r="BS39" s="1">
        <f t="shared" si="26"/>
        <v>4.07292669268785</v>
      </c>
      <c r="BT39" s="1">
        <f>Stability!W39</f>
        <v>2.8799940836752764</v>
      </c>
      <c r="BV39" s="12">
        <v>6</v>
      </c>
      <c r="BW39" s="1">
        <f t="shared" si="27"/>
        <v>4.1042957459386722</v>
      </c>
      <c r="BX39" s="1">
        <f>Stability!Y39</f>
        <v>2.9021753539483348</v>
      </c>
    </row>
    <row r="40" spans="2:76">
      <c r="B40" s="16">
        <f>Cruise!F40</f>
        <v>0.65969672852566186</v>
      </c>
      <c r="C40" s="74">
        <f>'Airfoil-Cruise'!E40</f>
        <v>1.5987591530356481E-5</v>
      </c>
      <c r="E40" s="19">
        <f ca="1">Cruise!H40</f>
        <v>109.4823661580773</v>
      </c>
      <c r="F40" s="63">
        <f>Weight!G40</f>
        <v>0.3</v>
      </c>
      <c r="H40" s="20">
        <f t="shared" ca="1" si="28"/>
        <v>27.939925689210312</v>
      </c>
      <c r="I40" s="20">
        <f t="shared" ca="1" si="0"/>
        <v>15.254076840991113</v>
      </c>
      <c r="J40" s="20">
        <f t="shared" ca="1" si="1"/>
        <v>1.83163661626048</v>
      </c>
      <c r="L40" s="31">
        <f>Main!B40</f>
        <v>0.33333333333333326</v>
      </c>
      <c r="M40" s="31">
        <f>Main!C40</f>
        <v>3</v>
      </c>
      <c r="N40" s="1">
        <f t="shared" si="2"/>
        <v>0.99999999999999978</v>
      </c>
      <c r="O40" s="1">
        <f t="shared" si="3"/>
        <v>9.0000000000000018</v>
      </c>
      <c r="P40" s="16">
        <f ca="1">'Aerodynamics-Constants'!AC40</f>
        <v>6.0005710882722572E-2</v>
      </c>
      <c r="Q40" s="16">
        <f>'Aerodynamics-Constants'!AD40</f>
        <v>4.5000000000000009</v>
      </c>
      <c r="R40" s="63">
        <f>Stability!G40</f>
        <v>5.6500000000000012</v>
      </c>
      <c r="S40" s="16">
        <f ca="1">'Aerodynamics-Constants'!AM40</f>
        <v>2.5861490283211861E-2</v>
      </c>
      <c r="T40" s="16">
        <f>'Aerodynamics-Constants'!AN40</f>
        <v>4.5000000000000009</v>
      </c>
      <c r="V40" s="81">
        <f t="shared" ca="1" si="4"/>
        <v>384295.48185175488</v>
      </c>
      <c r="W40" s="16">
        <f ca="1">'Aerodynamics-Cruise'!W40*$W$12</f>
        <v>0.45</v>
      </c>
      <c r="X40" s="42">
        <f ca="1">'Airfoil-Descent'!V40</f>
        <v>8.4309855276333053E-3</v>
      </c>
      <c r="Y40" s="14">
        <f t="shared" ca="1" si="5"/>
        <v>53.374543050167148</v>
      </c>
      <c r="Z40" s="16">
        <f ca="1">'Airfoil-Descent'!AF40</f>
        <v>-0.15499999999999881</v>
      </c>
      <c r="AA40" s="31">
        <f>Main!I40</f>
        <v>1.1031239342794878</v>
      </c>
      <c r="AB40" s="12">
        <f t="shared" si="6"/>
        <v>-9.3483543484933929E-2</v>
      </c>
      <c r="AC40" s="30">
        <f t="shared" ca="1" si="7"/>
        <v>0.82655786670426501</v>
      </c>
      <c r="AD40" s="13">
        <f t="shared" ca="1" si="8"/>
        <v>0.82655786670426501</v>
      </c>
      <c r="AE40" s="13">
        <f ca="1">DEGREES(AF40/BP40)+'Airfoil-Descent'!K40</f>
        <v>-3.6465314562750537</v>
      </c>
      <c r="AF40" s="1">
        <f t="shared" ca="1" si="9"/>
        <v>0.44995317516576527</v>
      </c>
      <c r="AG40" s="16">
        <f ca="1">0.9*'Airfoil-Descent'!I40</f>
        <v>1.426454487370683</v>
      </c>
      <c r="AH40" s="42">
        <f ca="1">0.455/(LOG10(MIN(V40,'Aerodynamics-Constants'!L40)))^2.58</f>
        <v>5.3797086198449978E-3</v>
      </c>
      <c r="AI40" s="42">
        <f ca="1">+AH40*'Aerodynamics-Constants'!J40*'Aerodynamics-Constants'!M40</f>
        <v>0</v>
      </c>
      <c r="AJ40" s="10">
        <f ca="1">X40*COS(RADIANS(AC40))*'Aerodynamics-Constants'!M40+AI40</f>
        <v>8.4301082398560451E-3</v>
      </c>
      <c r="AK40" s="10">
        <f ca="1">AF40^2/(PI()*'Aerodynamics-Constants'!I40*AA40)</f>
        <v>6.4910948021382068E-3</v>
      </c>
      <c r="AL40" s="10">
        <f t="shared" ca="1" si="10"/>
        <v>1.4921203041994253E-2</v>
      </c>
      <c r="AM40" s="1">
        <f t="shared" ca="1" si="11"/>
        <v>-0.15499999999999881</v>
      </c>
      <c r="AN40" s="1">
        <f t="shared" ca="1" si="12"/>
        <v>-0.41274059403887503</v>
      </c>
      <c r="AO40" s="12">
        <f>MAX(0,(1.78*(1-0.045*Q40^0.68)-0.64))*1</f>
        <v>0.9172503524946326</v>
      </c>
      <c r="AP40" s="12">
        <f t="shared" si="13"/>
        <v>9.0214898561024714E-2</v>
      </c>
      <c r="AQ40" s="81">
        <f ca="1">B40*H40*'Aerodynamics-Constants'!AA40/C40</f>
        <v>133130.19622669907</v>
      </c>
      <c r="AR40" s="10">
        <f ca="1">0.455/(LOG10(MIN(AQ40,'Aerodynamics-Constants'!AG40)))^2.58</f>
        <v>6.7167531412437144E-3</v>
      </c>
      <c r="AS40" s="15">
        <f ca="1">AR40*'Aerodynamics-Constants'!AI40*'Aerodynamics-Constants'!AJ40*'Aerodynamics-Constants'!AE40/P40</f>
        <v>1.868343452098432E-2</v>
      </c>
      <c r="AT40" s="10">
        <f t="shared" ca="1" si="14"/>
        <v>1.313723885122557E-2</v>
      </c>
      <c r="AU40" s="10">
        <f t="shared" ca="1" si="15"/>
        <v>3.1820673372209889E-2</v>
      </c>
      <c r="AV40" s="12">
        <f t="shared" si="16"/>
        <v>0.94300000000000006</v>
      </c>
      <c r="AW40" s="12">
        <f t="shared" si="17"/>
        <v>6.0445387062566303E-2</v>
      </c>
      <c r="AX40" s="81">
        <f ca="1">B40*H40*'Aerodynamics-Constants'!AK40/C40</f>
        <v>87399.118059074317</v>
      </c>
      <c r="AY40" s="10">
        <f ca="1">0.455/(LOG10(MIN(AX40,'Aerodynamics-Constants'!AQ40)))^2.58</f>
        <v>7.3765636610263864E-3</v>
      </c>
      <c r="AZ40" s="15">
        <f ca="1">AY40*'Aerodynamics-Constants'!AS40*'Aerodynamics-Constants'!AT40*'Aerodynamics-Constants'!AO40/S40</f>
        <v>2.0518774659796325E-2</v>
      </c>
      <c r="BA40" s="81">
        <f ca="1">B40*H40*'Aerodynamics-Constants'!N40/C40</f>
        <v>2939860.4361659251</v>
      </c>
      <c r="BB40" s="10">
        <f ca="1">0.455/(LOG10(MIN(BA40,'Aerodynamics-Constants'!V40)))^2.58</f>
        <v>3.6827155116805435E-3</v>
      </c>
      <c r="BC40" s="10">
        <f ca="1">BB40*'Aerodynamics-Constants'!W40*'Aerodynamics-Constants'!X40*'Aerodynamics-Constants'!S40/N40+'Aerodynamics-Constants'!Z40</f>
        <v>1.7687316952970039E-3</v>
      </c>
      <c r="BD40" s="15">
        <f ca="1">BC40*'Aerodynamics-Constants'!AU40+(AJ40+AS40+AZ40)*('Aerodynamics-Constants'!AU40-1)</f>
        <v>6.7088366068903775E-3</v>
      </c>
      <c r="BE40" s="16">
        <f t="shared" ca="1" si="18"/>
        <v>0.42518638241030537</v>
      </c>
      <c r="BF40" s="10">
        <f t="shared" ca="1" si="19"/>
        <v>1.6790703708396623E-2</v>
      </c>
      <c r="BG40" s="10">
        <f t="shared" ca="1" si="20"/>
        <v>7.2794041584421185E-3</v>
      </c>
      <c r="BH40" s="10">
        <f t="shared" ca="1" si="21"/>
        <v>2.4070107866838743E-2</v>
      </c>
      <c r="BI40" s="13">
        <f t="shared" ca="1" si="22"/>
        <v>109.48236615807731</v>
      </c>
      <c r="BJ40" s="13">
        <f t="shared" ca="1" si="23"/>
        <v>6.197875736289773</v>
      </c>
      <c r="BK40" s="13">
        <f t="shared" ca="1" si="24"/>
        <v>17.664498421134304</v>
      </c>
      <c r="BL40" s="14">
        <f t="shared" ca="1" si="25"/>
        <v>173.1681875028959</v>
      </c>
      <c r="BO40" s="16">
        <f ca="1">'Airfoil-Descent'!J40</f>
        <v>4.8776816262913636</v>
      </c>
      <c r="BP40" s="1">
        <f ca="1">BO40/(1+BO40/(PI()*'Aerodynamics-Constants'!I40)*(1+AB40))</f>
        <v>4.2180407876265225</v>
      </c>
      <c r="BR40" s="12">
        <v>6</v>
      </c>
      <c r="BS40" s="1">
        <f t="shared" si="26"/>
        <v>4.101998731574878</v>
      </c>
      <c r="BT40" s="1">
        <f>Stability!W40</f>
        <v>2.9005511195152129</v>
      </c>
      <c r="BV40" s="12">
        <v>6</v>
      </c>
      <c r="BW40" s="1">
        <f t="shared" si="27"/>
        <v>4.1377398406157262</v>
      </c>
      <c r="BX40" s="1">
        <f>Stability!Y40</f>
        <v>2.9258239000851245</v>
      </c>
    </row>
    <row r="42" spans="2:76">
      <c r="D42" s="4"/>
    </row>
    <row r="44" spans="2:76">
      <c r="I44" s="14"/>
      <c r="M44" s="1"/>
      <c r="N44" s="1"/>
      <c r="O44" s="1"/>
      <c r="P44" s="1"/>
    </row>
    <row r="45" spans="2:76">
      <c r="I45" s="14"/>
    </row>
    <row r="46" spans="2:76">
      <c r="I46" s="14"/>
    </row>
    <row r="47" spans="2:76">
      <c r="I47" s="14"/>
    </row>
    <row r="48" spans="2:76">
      <c r="I48" s="14"/>
    </row>
    <row r="49" spans="9:9">
      <c r="I49" s="14"/>
    </row>
    <row r="50" spans="9:9">
      <c r="I50" s="14"/>
    </row>
    <row r="51" spans="9:9">
      <c r="I51" s="14"/>
    </row>
    <row r="52" spans="9:9">
      <c r="I52" s="14"/>
    </row>
    <row r="53" spans="9:9">
      <c r="I53" s="14"/>
    </row>
    <row r="54" spans="9:9">
      <c r="I54" s="14"/>
    </row>
    <row r="55" spans="9:9">
      <c r="I55" s="14"/>
    </row>
    <row r="56" spans="9:9">
      <c r="I56" s="14"/>
    </row>
    <row r="57" spans="9:9">
      <c r="I57" s="14"/>
    </row>
    <row r="58" spans="9:9">
      <c r="I58" s="14"/>
    </row>
    <row r="59" spans="9:9">
      <c r="I59" s="14"/>
    </row>
    <row r="60" spans="9:9">
      <c r="I60" s="14"/>
    </row>
    <row r="61" spans="9:9">
      <c r="I61" s="14"/>
    </row>
    <row r="62" spans="9:9">
      <c r="I62" s="14"/>
    </row>
    <row r="63" spans="9:9">
      <c r="I63" s="14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BC242"/>
  <sheetViews>
    <sheetView zoomScale="90" workbookViewId="0">
      <selection activeCell="B1" sqref="B1:AM209"/>
    </sheetView>
  </sheetViews>
  <sheetFormatPr defaultRowHeight="12.75"/>
  <cols>
    <col min="10" max="11" width="9.28515625" bestFit="1" customWidth="1"/>
    <col min="12" max="12" width="9.28515625" customWidth="1"/>
  </cols>
  <sheetData>
    <row r="1" spans="1:55">
      <c r="B1" s="100" t="s">
        <v>598</v>
      </c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1"/>
      <c r="R1" s="101"/>
      <c r="S1" s="102"/>
    </row>
    <row r="2" spans="1:55">
      <c r="B2" s="100" t="s">
        <v>599</v>
      </c>
      <c r="C2" s="100"/>
      <c r="D2" s="6" t="s">
        <v>613</v>
      </c>
      <c r="E2" s="6" t="s">
        <v>614</v>
      </c>
      <c r="F2" s="100" t="s">
        <v>600</v>
      </c>
      <c r="G2" s="6" t="s">
        <v>644</v>
      </c>
      <c r="H2" s="6" t="s">
        <v>645</v>
      </c>
      <c r="I2" s="6" t="s">
        <v>646</v>
      </c>
      <c r="J2" s="6" t="s">
        <v>647</v>
      </c>
      <c r="K2" s="6" t="s">
        <v>601</v>
      </c>
      <c r="L2" s="6" t="s">
        <v>648</v>
      </c>
      <c r="M2" s="6" t="s">
        <v>649</v>
      </c>
      <c r="N2" s="6" t="s">
        <v>602</v>
      </c>
      <c r="O2" s="6" t="s">
        <v>642</v>
      </c>
      <c r="P2" s="6" t="s">
        <v>650</v>
      </c>
      <c r="Q2" s="19" t="s">
        <v>651</v>
      </c>
      <c r="R2" s="6" t="s">
        <v>786</v>
      </c>
      <c r="S2" s="5" t="s">
        <v>652</v>
      </c>
      <c r="T2" s="6" t="s">
        <v>653</v>
      </c>
      <c r="U2" s="6" t="s">
        <v>654</v>
      </c>
      <c r="V2" s="6" t="s">
        <v>631</v>
      </c>
      <c r="W2" s="6" t="s">
        <v>802</v>
      </c>
      <c r="X2" s="6" t="s">
        <v>656</v>
      </c>
      <c r="Y2" s="6" t="s">
        <v>655</v>
      </c>
      <c r="Z2" s="6" t="s">
        <v>657</v>
      </c>
      <c r="AA2" s="6" t="s">
        <v>787</v>
      </c>
      <c r="AB2" s="109" t="s">
        <v>668</v>
      </c>
      <c r="AC2" s="3" t="s">
        <v>658</v>
      </c>
      <c r="AD2" s="110" t="s">
        <v>659</v>
      </c>
      <c r="AE2" s="110" t="s">
        <v>660</v>
      </c>
      <c r="AF2" s="110" t="s">
        <v>661</v>
      </c>
      <c r="AG2" s="110" t="s">
        <v>662</v>
      </c>
      <c r="AH2" s="110" t="s">
        <v>663</v>
      </c>
      <c r="AI2" s="110" t="s">
        <v>664</v>
      </c>
      <c r="AJ2" s="110" t="s">
        <v>665</v>
      </c>
      <c r="AK2" s="110" t="s">
        <v>666</v>
      </c>
      <c r="AL2" s="110" t="s">
        <v>667</v>
      </c>
      <c r="AM2" s="110" t="s">
        <v>670</v>
      </c>
      <c r="AN2" s="6"/>
      <c r="AO2" s="19"/>
      <c r="AP2" s="5"/>
      <c r="AQ2" s="6"/>
      <c r="AR2" s="6"/>
      <c r="AS2" s="6"/>
    </row>
    <row r="3" spans="1:55">
      <c r="A3" s="7">
        <v>1</v>
      </c>
      <c r="B3" s="100" t="s">
        <v>603</v>
      </c>
      <c r="C3" s="100" t="s">
        <v>604</v>
      </c>
      <c r="D3" s="58" t="s">
        <v>621</v>
      </c>
      <c r="E3" s="103"/>
      <c r="F3" s="100" t="str">
        <f>IF([1]Variáveis!$J$7=1," ",IF([1]Variáveis!$J$7=2," m"," m"))</f>
        <v xml:space="preserve"> </v>
      </c>
      <c r="G3" s="100" t="s">
        <v>604</v>
      </c>
      <c r="H3" s="100" t="s">
        <v>605</v>
      </c>
      <c r="I3" s="100">
        <f>COUNT(Main!C21:C40)</f>
        <v>20</v>
      </c>
      <c r="J3" s="100" t="s">
        <v>606</v>
      </c>
      <c r="K3" s="100">
        <f>COUNT(Main!B45:B54)</f>
        <v>10</v>
      </c>
      <c r="M3" s="100"/>
      <c r="N3" s="100"/>
      <c r="O3" s="100"/>
      <c r="P3" s="100"/>
      <c r="Q3" s="17"/>
      <c r="R3" s="17"/>
      <c r="AF3" s="28"/>
      <c r="AG3" s="6"/>
      <c r="AH3" s="6"/>
      <c r="AI3" s="6"/>
      <c r="AJ3" s="6"/>
      <c r="AK3" s="6"/>
      <c r="AL3" s="6"/>
      <c r="AM3" s="6"/>
      <c r="AN3" s="6"/>
      <c r="AO3" s="6"/>
    </row>
    <row r="4" spans="1:55">
      <c r="A4" s="7">
        <v>1</v>
      </c>
      <c r="C4" s="100"/>
      <c r="D4" s="1">
        <f ca="1">IF(AND(Energy!$F$11=$A$3,Main!$B$43=A4),Main!C21,D4)</f>
        <v>3.5</v>
      </c>
      <c r="E4" s="103">
        <f ca="1">IF(AND(Energy!$F$11=$A$3,Main!$B$43=A4),Main!B21,E4)</f>
        <v>0.2</v>
      </c>
      <c r="F4" s="103">
        <f ca="1">IF(Main!$D$6=1,U4,IF(Main!$D$6=2,N4,IF(Main!$D$6=3,K4,IF(Main!$D$6=4,V4,J4))))</f>
        <v>417.12503406141172</v>
      </c>
      <c r="G4" s="103">
        <f ca="1">IF(AND(Energy!$F$11=$A$3,Main!$B$43=A4),Weight!H21,G4)</f>
        <v>10</v>
      </c>
      <c r="H4" s="103">
        <f ca="1">IF(AND(Energy!$F$11=$A$3,Main!$B$43=A4),Weight!U21,H4)</f>
        <v>8.4056031243843279</v>
      </c>
      <c r="I4" s="103">
        <f ca="1">IF(AND(Energy!$F$11=$A$3,Main!$B$43=A4),Weight!V21,I4)</f>
        <v>31.976973344713038</v>
      </c>
      <c r="J4" s="103">
        <f ca="1">IF(AND(Energy!$F$11=$A$3,Main!$B$43=A4),Weight!I21,J4)</f>
        <v>13.511011945328713</v>
      </c>
      <c r="K4" s="103">
        <f ca="1">IF(AND(Energy!$F$11=$A$3,Main!$B$43=A4),Weight!W21,K4)</f>
        <v>42.037554020036552</v>
      </c>
      <c r="L4" s="103">
        <f ca="1">IF(AND(Energy!$F$11=$A$3,Main!$B$43=A4),'Aerodynamics-Cruise'!BI21,L4)</f>
        <v>41.913633865070651</v>
      </c>
      <c r="M4" s="103">
        <f ca="1">IF(AND(Energy!$F$11=$A$3,Main!$B$43=A4),'Aerodynamics-Cruise'!BJ21,M4)</f>
        <v>2.0728291700829344</v>
      </c>
      <c r="N4" s="103">
        <f ca="1">IF(AND(Energy!$F$11=$A$3,Main!$B$43=A4),'Aerodynamics-Cruise'!BK21,N4)</f>
        <v>20.220495962720207</v>
      </c>
      <c r="O4" s="103">
        <f ca="1">L4^(3/2)/M4</f>
        <v>130.90898672271655</v>
      </c>
      <c r="P4" s="103">
        <f ca="1">IF(AND(Energy!$F$11=$A$3,Main!$B$43=A4),'Aerodynamics-Cruise'!H21,P4)</f>
        <v>10.441645646609411</v>
      </c>
      <c r="Q4" s="103">
        <f ca="1">IF(AND(Energy!$F$11=$A$3,Main!$B$43=A4),'Aerodynamics-Cruise'!I21,Q4)</f>
        <v>8.7549827508418527</v>
      </c>
      <c r="R4" s="103">
        <f ca="1">IF(AND(Energy!$F$11=$A$3,Main!$B$43=$A4),Summary!R21,R4)</f>
        <v>27.764411637576309</v>
      </c>
      <c r="S4" s="103">
        <f ca="1">IF(AND(Energy!$F$11=$A$3,Main!$B$43=A4),'Aerodynamics-Cruise'!W21,S4)</f>
        <v>1</v>
      </c>
      <c r="T4" s="103">
        <f ca="1">IF(AND(Energy!$F$11=$A$3,Main!$B$43=A4),'Aerodynamics-Cruise'!BL21,T4)</f>
        <v>21.643747679961471</v>
      </c>
      <c r="U4" s="103">
        <f ca="1">IF(AND(Energy!$F$11=$A$3,Main!$B$43=A4),'Propulsion-Cruise'!M21,U4)</f>
        <v>45.689986213427694</v>
      </c>
      <c r="V4" s="103">
        <f ca="1">IF(AND(Energy!$F$11=$A$3,Main!$B$43=A4),Endurance!AP21,V4)</f>
        <v>417.12503406141172</v>
      </c>
      <c r="W4" s="103">
        <f ca="1">IF(AND(Energy!$F$11=$A$3,Main!$B$43=$A4),Summary!W21,W4)</f>
        <v>172.75901282763294</v>
      </c>
      <c r="X4" s="13">
        <f ca="1">IF(AND(Energy!$F$11=$A$3,Main!$B$43=A4),Energy!D21,X4)</f>
        <v>831.0338816468568</v>
      </c>
      <c r="Y4" s="102">
        <f ca="1">IF(AND(Energy!$F$11=$A$3,Main!$B$43=A4),'Aerodynamics-Cruise'!V21,Y4)</f>
        <v>132447.63981733014</v>
      </c>
      <c r="Z4" s="102">
        <f ca="1">IF(AND(Energy!$F$11=$A$3,Main!$B$43=$A4),Summary!Z21,Z4)</f>
        <v>97448.883470813074</v>
      </c>
      <c r="AA4" s="102">
        <f ca="1">IF(AND(Energy!$F$11=$A$3,Main!$B$43=$A4),Summary!AA21,AA4)</f>
        <v>352179.23656582728</v>
      </c>
      <c r="AB4" s="103">
        <f ca="1">IF(AND(Energy!$F$11=$A$3,Main!$B$43=$A4),Summary!AB21,AB4)</f>
        <v>4.4138441350429565</v>
      </c>
      <c r="AC4" s="103">
        <f ca="1">IF(AND(Energy!$F$11=$A$3,Main!$B$43=$A4),Summary!AC21,AC4)</f>
        <v>4.0924581235357094</v>
      </c>
      <c r="AD4" s="103">
        <f ca="1">IF(AND(Energy!$F$11=$A$3,Main!$B$43=$A4),Summary!AD21,AD4)</f>
        <v>0.41769135646347066</v>
      </c>
      <c r="AE4" s="103">
        <f ca="1">IF(AND(Energy!$F$11=$A$3,Main!$B$43=$A4),Summary!AE21,AE4)</f>
        <v>0.70000000000000007</v>
      </c>
      <c r="AF4" s="103">
        <f ca="1">IF(AND(Energy!$F$11=$A$3,Main!$B$43=$A4),Summary!AF21,AF4)</f>
        <v>17.5</v>
      </c>
      <c r="AG4" s="103">
        <f ca="1">IF(AND(Energy!$F$11=$A$3,Main!$B$43=$A4),Summary!AG21,AG4)</f>
        <v>9.6768474520851644</v>
      </c>
      <c r="AH4" s="103">
        <f ca="1">IF(AND(Energy!$F$11=$A$3,Main!$B$43=$A4),Summary!AH21,AH4)</f>
        <v>47</v>
      </c>
      <c r="AI4" s="103">
        <f ca="1">IF(AND(Energy!$F$11=$A$3,Main!$B$43=$A4),Summary!AI21,AI4)</f>
        <v>2.7746707899036447</v>
      </c>
      <c r="AJ4" s="103">
        <f ca="1">IF(AND(Energy!$F$11=$A$3,Main!$B$43=$A4),Summary!AJ21,AJ4)</f>
        <v>0.33365328473255979</v>
      </c>
      <c r="AK4" s="103">
        <f ca="1">IF(AND(Energy!$F$11=$A$3,Main!$B$43=$A4),Summary!AK21,AK4)</f>
        <v>0.01</v>
      </c>
      <c r="AL4" s="103">
        <f ca="1">IF(AND(Energy!$F$11=$A$3,Main!$B$43=$A4),Summary!AL21,AL4)</f>
        <v>-0.3149121058856818</v>
      </c>
      <c r="AM4" s="103">
        <f ca="1">IF(AND(Energy!$F$11=$A$3,Main!$B$43=$A4),Summary!AM21,AM4)</f>
        <v>0.34375</v>
      </c>
      <c r="AN4" s="6"/>
      <c r="AO4" s="6"/>
    </row>
    <row r="5" spans="1:55">
      <c r="A5">
        <f>A4</f>
        <v>1</v>
      </c>
      <c r="D5" s="1">
        <f ca="1">IF(AND(Energy!$F$11=$A$3,Main!$B$43=A5),Main!C22,D5)</f>
        <v>3.6578947368421053</v>
      </c>
      <c r="E5" s="103">
        <f ca="1">IF(AND(Energy!$F$11=$A$3,Main!$B$43=A5),Main!B22,E5)</f>
        <v>0.2</v>
      </c>
      <c r="F5" s="103">
        <f ca="1">IF(Main!$D$6=1,U5,IF(Main!$D$6=2,N5,IF(Main!$D$6=3,K5,IF(Main!$D$6=4,V5,J5))))</f>
        <v>407.0056862926744</v>
      </c>
      <c r="G5" s="103">
        <f ca="1">IF(AND(Energy!$F$11=$A$3,Main!$B$43=A5),Weight!H22,G5)</f>
        <v>10</v>
      </c>
      <c r="H5" s="103">
        <f ca="1">IF(AND(Energy!$F$11=$A$3,Main!$B$43=A5),Weight!U22,H5)</f>
        <v>8.6708248814108373</v>
      </c>
      <c r="I5" s="103">
        <f ca="1">IF(AND(Energy!$F$11=$A$3,Main!$B$43=A5),Weight!V22,I5)</f>
        <v>31.716323225424226</v>
      </c>
      <c r="J5" s="103">
        <f ca="1">IF(AND(Energy!$F$11=$A$3,Main!$B$43=A5),Weight!I22,J5)</f>
        <v>12.985140069013392</v>
      </c>
      <c r="K5" s="103">
        <f ca="1">IF(AND(Energy!$F$11=$A$3,Main!$B$43=A5),Weight!W22,K5)</f>
        <v>41.763139169851904</v>
      </c>
      <c r="L5" s="103">
        <f ca="1">IF(AND(Energy!$F$11=$A$3,Main!$B$43=A5),'Aerodynamics-Cruise'!BI22,L5)</f>
        <v>41.667090432373065</v>
      </c>
      <c r="M5" s="103">
        <f ca="1">IF(AND(Energy!$F$11=$A$3,Main!$B$43=A5),'Aerodynamics-Cruise'!BJ22,M5)</f>
        <v>2.0499648732950813</v>
      </c>
      <c r="N5" s="103">
        <f ca="1">IF(AND(Energy!$F$11=$A$3,Main!$B$43=A5),'Aerodynamics-Cruise'!BK22,N5)</f>
        <v>20.325758248431857</v>
      </c>
      <c r="O5" s="103">
        <f t="shared" ref="O5:O68" ca="1" si="0">L5^(3/2)/M5</f>
        <v>131.20287251160397</v>
      </c>
      <c r="P5" s="103">
        <f ca="1">IF(AND(Energy!$F$11=$A$3,Main!$B$43=A5),'Aerodynamics-Cruise'!H22,P5)</f>
        <v>10.183664954451153</v>
      </c>
      <c r="Q5" s="103">
        <f ca="1">IF(AND(Energy!$F$11=$A$3,Main!$B$43=A5),'Aerodynamics-Cruise'!I22,Q5)</f>
        <v>8.5401713295612875</v>
      </c>
      <c r="R5" s="103">
        <f ca="1">IF(AND(Energy!$F$11=$A$3,Main!$B$43=$A5),Summary!R22,R5)</f>
        <v>27.496569867700757</v>
      </c>
      <c r="S5" s="103">
        <f ca="1">IF(AND(Energy!$F$11=$A$3,Main!$B$43=A5),'Aerodynamics-Cruise'!W22,S5)</f>
        <v>1</v>
      </c>
      <c r="T5" s="103">
        <f ca="1">IF(AND(Energy!$F$11=$A$3,Main!$B$43=A5),'Aerodynamics-Cruise'!BL22,T5)</f>
        <v>20.876155438031017</v>
      </c>
      <c r="U5" s="103">
        <f ca="1">IF(AND(Energy!$F$11=$A$3,Main!$B$43=A5),'Propulsion-Cruise'!M22,U5)</f>
        <v>44.459284357877898</v>
      </c>
      <c r="V5" s="103">
        <f ca="1">IF(AND(Energy!$F$11=$A$3,Main!$B$43=A5),Endurance!AP22,V5)</f>
        <v>407.0056862926744</v>
      </c>
      <c r="W5" s="103">
        <f ca="1">IF(AND(Energy!$F$11=$A$3,Main!$B$43=$A5),Summary!W22,W5)</f>
        <v>162.44701993587023</v>
      </c>
      <c r="X5" s="13">
        <f ca="1">IF(AND(Energy!$F$11=$A$3,Main!$B$43=A5),Energy!D22,X5)</f>
        <v>812.8072579447263</v>
      </c>
      <c r="Y5" s="102">
        <f ca="1">IF(AND(Energy!$F$11=$A$3,Main!$B$43=A5),'Aerodynamics-Cruise'!V22,Y5)</f>
        <v>129175.26925896919</v>
      </c>
      <c r="Z5" s="102">
        <f ca="1">IF(AND(Energy!$F$11=$A$3,Main!$B$43=$A5),Summary!Z22,Z5)</f>
        <v>95057.774543781634</v>
      </c>
      <c r="AA5" s="102">
        <f ca="1">IF(AND(Energy!$F$11=$A$3,Main!$B$43=$A5),Summary!AA22,AA5)</f>
        <v>348781.78261410916</v>
      </c>
      <c r="AB5" s="103">
        <f ca="1">IF(AND(Energy!$F$11=$A$3,Main!$B$43=$A5),Summary!AB22,AB5)</f>
        <v>4.1644117663585032</v>
      </c>
      <c r="AC5" s="103">
        <f ca="1">IF(AND(Energy!$F$11=$A$3,Main!$B$43=$A5),Summary!AC22,AC5)</f>
        <v>4.0494460345139256</v>
      </c>
      <c r="AD5" s="103">
        <f ca="1">IF(AND(Energy!$F$11=$A$3,Main!$B$43=$A5),Summary!AD22,AD5)</f>
        <v>0.4112326436191967</v>
      </c>
      <c r="AE5" s="103">
        <f ca="1">IF(AND(Energy!$F$11=$A$3,Main!$B$43=$A5),Summary!AE22,AE5)</f>
        <v>0.73157894736842111</v>
      </c>
      <c r="AF5" s="103">
        <f ca="1">IF(AND(Energy!$F$11=$A$3,Main!$B$43=$A5),Summary!AF22,AF5)</f>
        <v>18.289473684210524</v>
      </c>
      <c r="AG5" s="103">
        <f ca="1">IF(AND(Energy!$F$11=$A$3,Main!$B$43=$A5),Summary!AG22,AG5)</f>
        <v>9.5632833647938504</v>
      </c>
      <c r="AH5" s="103">
        <f ca="1">IF(AND(Energy!$F$11=$A$3,Main!$B$43=$A5),Summary!AH22,AH5)</f>
        <v>47</v>
      </c>
      <c r="AI5" s="103">
        <f ca="1">IF(AND(Energy!$F$11=$A$3,Main!$B$43=$A5),Summary!AI22,AI5)</f>
        <v>2.7765255895187799</v>
      </c>
      <c r="AJ5" s="103">
        <f ca="1">IF(AND(Energy!$F$11=$A$3,Main!$B$43=$A5),Summary!AJ22,AJ5)</f>
        <v>0.33281131226073041</v>
      </c>
      <c r="AK5" s="103">
        <f ca="1">IF(AND(Energy!$F$11=$A$3,Main!$B$43=$A5),Summary!AK22,AK5)</f>
        <v>0.01</v>
      </c>
      <c r="AL5" s="103">
        <f ca="1">IF(AND(Energy!$F$11=$A$3,Main!$B$43=$A5),Summary!AL22,AL5)</f>
        <v>-0.31574471707807811</v>
      </c>
      <c r="AM5" s="103">
        <f ca="1">IF(AND(Energy!$F$11=$A$3,Main!$B$43=$A5),Summary!AM22,AM5)</f>
        <v>0.34375</v>
      </c>
      <c r="AN5" s="6"/>
      <c r="AO5" s="6"/>
    </row>
    <row r="6" spans="1:55">
      <c r="A6">
        <f t="shared" ref="A6:A23" si="1">A5</f>
        <v>1</v>
      </c>
      <c r="C6" s="100"/>
      <c r="D6" s="1">
        <f ca="1">IF(AND(Energy!$F$11=$A$3,Main!$B$43=A6),Main!C23,D6)</f>
        <v>3.8157894736842106</v>
      </c>
      <c r="E6" s="103">
        <f ca="1">IF(AND(Energy!$F$11=$A$3,Main!$B$43=A6),Main!B23,E6)</f>
        <v>0.2</v>
      </c>
      <c r="F6" s="103">
        <f ca="1">IF(Main!$D$6=1,U6,IF(Main!$D$6=2,N6,IF(Main!$D$6=3,K6,IF(Main!$D$6=4,V6,J6))))</f>
        <v>398.87250277432645</v>
      </c>
      <c r="G6" s="103">
        <f ca="1">IF(AND(Energy!$F$11=$A$3,Main!$B$43=A6),Weight!H23,G6)</f>
        <v>10</v>
      </c>
      <c r="H6" s="103">
        <f ca="1">IF(AND(Energy!$F$11=$A$3,Main!$B$43=A6),Weight!U23,H6)</f>
        <v>8.9463768263978736</v>
      </c>
      <c r="I6" s="103">
        <f ca="1">IF(AND(Energy!$F$11=$A$3,Main!$B$43=A6),Weight!V23,I6)</f>
        <v>31.56890294754362</v>
      </c>
      <c r="J6" s="103">
        <f ca="1">IF(AND(Energy!$F$11=$A$3,Main!$B$43=A6),Weight!I23,J6)</f>
        <v>12.562167846145746</v>
      </c>
      <c r="K6" s="103">
        <f ca="1">IF(AND(Energy!$F$11=$A$3,Main!$B$43=A6),Weight!W23,K6)</f>
        <v>41.603939251356763</v>
      </c>
      <c r="L6" s="103">
        <f ca="1">IF(AND(Energy!$F$11=$A$3,Main!$B$43=A6),'Aerodynamics-Cruise'!BI23,L6)</f>
        <v>41.531778488448673</v>
      </c>
      <c r="M6" s="103">
        <f ca="1">IF(AND(Energy!$F$11=$A$3,Main!$B$43=A6),'Aerodynamics-Cruise'!BJ23,M6)</f>
        <v>2.0339805535392084</v>
      </c>
      <c r="N6" s="103">
        <f ca="1">IF(AND(Energy!$F$11=$A$3,Main!$B$43=A6),'Aerodynamics-Cruise'!BK23,N6)</f>
        <v>20.418965371218373</v>
      </c>
      <c r="O6" s="103">
        <f t="shared" ca="1" si="0"/>
        <v>131.59033638704651</v>
      </c>
      <c r="P6" s="103">
        <f ca="1">IF(AND(Energy!$F$11=$A$3,Main!$B$43=A6),'Aerodynamics-Cruise'!H23,P6)</f>
        <v>9.9544953524431978</v>
      </c>
      <c r="Q6" s="103">
        <f ca="1">IF(AND(Energy!$F$11=$A$3,Main!$B$43=A6),'Aerodynamics-Cruise'!I23,Q6)</f>
        <v>8.349317581444657</v>
      </c>
      <c r="R6" s="103">
        <f ca="1">IF(AND(Energy!$F$11=$A$3,Main!$B$43=$A6),Summary!R23,R6)</f>
        <v>27.237680401155394</v>
      </c>
      <c r="S6" s="103">
        <f ca="1">IF(AND(Energy!$F$11=$A$3,Main!$B$43=A6),'Aerodynamics-Cruise'!W23,S6)</f>
        <v>1</v>
      </c>
      <c r="T6" s="103">
        <f ca="1">IF(AND(Energy!$F$11=$A$3,Main!$B$43=A6),'Aerodynamics-Cruise'!BL23,T6)</f>
        <v>20.247249967165892</v>
      </c>
      <c r="U6" s="103">
        <f ca="1">IF(AND(Energy!$F$11=$A$3,Main!$B$43=A6),'Propulsion-Cruise'!M23,U6)</f>
        <v>43.456608716287448</v>
      </c>
      <c r="V6" s="103">
        <f ca="1">IF(AND(Energy!$F$11=$A$3,Main!$B$43=A6),Endurance!AP23,V6)</f>
        <v>398.87250277432645</v>
      </c>
      <c r="W6" s="103">
        <f ca="1">IF(AND(Energy!$F$11=$A$3,Main!$B$43=$A6),Summary!W23,W6)</f>
        <v>154.13621474342102</v>
      </c>
      <c r="X6" s="13">
        <f ca="1">IF(AND(Energy!$F$11=$A$3,Main!$B$43=A6),Energy!D23,X6)</f>
        <v>798.13138399243303</v>
      </c>
      <c r="Y6" s="102">
        <f ca="1">IF(AND(Energy!$F$11=$A$3,Main!$B$43=A6),'Aerodynamics-Cruise'!V23,Y6)</f>
        <v>126268.35458947101</v>
      </c>
      <c r="Z6" s="102">
        <f ca="1">IF(AND(Energy!$F$11=$A$3,Main!$B$43=$A6),Summary!Z23,Z6)</f>
        <v>92933.345622985493</v>
      </c>
      <c r="AA6" s="102">
        <f ca="1">IF(AND(Energy!$F$11=$A$3,Main!$B$43=$A6),Summary!AA23,AA6)</f>
        <v>345497.88465606695</v>
      </c>
      <c r="AB6" s="103">
        <f ca="1">IF(AND(Energy!$F$11=$A$3,Main!$B$43=$A6),Summary!AB23,AB6)</f>
        <v>3.9584859209199168</v>
      </c>
      <c r="AC6" s="103">
        <f ca="1">IF(AND(Energy!$F$11=$A$3,Main!$B$43=$A6),Summary!AC23,AC6)</f>
        <v>4.0001390423222922</v>
      </c>
      <c r="AD6" s="103">
        <f ca="1">IF(AND(Energy!$F$11=$A$3,Main!$B$43=$A6),Summary!AD23,AD6)</f>
        <v>0.40575037132914604</v>
      </c>
      <c r="AE6" s="103">
        <f ca="1">IF(AND(Energy!$F$11=$A$3,Main!$B$43=$A6),Summary!AE23,AE6)</f>
        <v>0.76315789473684215</v>
      </c>
      <c r="AF6" s="103">
        <f ca="1">IF(AND(Energy!$F$11=$A$3,Main!$B$43=$A6),Summary!AF23,AF6)</f>
        <v>19.078947368421051</v>
      </c>
      <c r="AG6" s="103">
        <f ca="1">IF(AND(Energy!$F$11=$A$3,Main!$B$43=$A6),Summary!AG23,AG6)</f>
        <v>9.4732723339378335</v>
      </c>
      <c r="AH6" s="103">
        <f ca="1">IF(AND(Energy!$F$11=$A$3,Main!$B$43=$A6),Summary!AH23,AH6)</f>
        <v>47</v>
      </c>
      <c r="AI6" s="103">
        <f ca="1">IF(AND(Energy!$F$11=$A$3,Main!$B$43=$A6),Summary!AI23,AI6)</f>
        <v>2.7781162352051592</v>
      </c>
      <c r="AJ6" s="103">
        <f ca="1">IF(AND(Energy!$F$11=$A$3,Main!$B$43=$A6),Summary!AJ23,AJ6)</f>
        <v>0.33198360675072425</v>
      </c>
      <c r="AK6" s="103">
        <f ca="1">IF(AND(Energy!$F$11=$A$3,Main!$B$43=$A6),Summary!AK23,AK6)</f>
        <v>0.01</v>
      </c>
      <c r="AL6" s="103">
        <f ca="1">IF(AND(Energy!$F$11=$A$3,Main!$B$43=$A6),Summary!AL23,AL6)</f>
        <v>-0.31656503634096839</v>
      </c>
      <c r="AM6" s="103">
        <f ca="1">IF(AND(Energy!$F$11=$A$3,Main!$B$43=$A6),Summary!AM23,AM6)</f>
        <v>0.34375</v>
      </c>
      <c r="AN6" s="6"/>
      <c r="AO6" s="6"/>
    </row>
    <row r="7" spans="1:55">
      <c r="A7">
        <f t="shared" si="1"/>
        <v>1</v>
      </c>
      <c r="C7" s="100"/>
      <c r="D7" s="1">
        <f ca="1">IF(AND(Energy!$F$11=$A$3,Main!$B$43=A7),Main!C24,D7)</f>
        <v>3.9736842105263159</v>
      </c>
      <c r="E7" s="103">
        <f ca="1">IF(AND(Energy!$F$11=$A$3,Main!$B$43=A7),Main!B24,E7)</f>
        <v>0.2</v>
      </c>
      <c r="F7" s="103">
        <f ca="1">IF(Main!$D$6=1,U7,IF(Main!$D$6=2,N7,IF(Main!$D$6=3,K7,IF(Main!$D$6=4,V7,J7))))</f>
        <v>392.40853707629412</v>
      </c>
      <c r="G7" s="103">
        <f ca="1">IF(AND(Energy!$F$11=$A$3,Main!$B$43=A7),Weight!H24,G7)</f>
        <v>10</v>
      </c>
      <c r="H7" s="103">
        <f ca="1">IF(AND(Energy!$F$11=$A$3,Main!$B$43=A7),Weight!U24,H7)</f>
        <v>9.2323752269236721</v>
      </c>
      <c r="I7" s="103">
        <f ca="1">IF(AND(Energy!$F$11=$A$3,Main!$B$43=A7),Weight!V24,I7)</f>
        <v>31.518696020302475</v>
      </c>
      <c r="J7" s="103">
        <f ca="1">IF(AND(Energy!$F$11=$A$3,Main!$B$43=A7),Weight!I24,J7)</f>
        <v>12.225962518378804</v>
      </c>
      <c r="K7" s="103">
        <f ca="1">IF(AND(Energy!$F$11=$A$3,Main!$B$43=A7),Weight!W24,K7)</f>
        <v>41.543521842201891</v>
      </c>
      <c r="L7" s="103">
        <f ca="1">IF(AND(Energy!$F$11=$A$3,Main!$B$43=A7),'Aerodynamics-Cruise'!BI24,L7)</f>
        <v>41.49209148541415</v>
      </c>
      <c r="M7" s="103">
        <f ca="1">IF(AND(Energy!$F$11=$A$3,Main!$B$43=A7),'Aerodynamics-Cruise'!BJ24,M7)</f>
        <v>2.023858711961259</v>
      </c>
      <c r="N7" s="103">
        <f ca="1">IF(AND(Energy!$F$11=$A$3,Main!$B$43=A7),'Aerodynamics-Cruise'!BK24,N7)</f>
        <v>20.501476333397527</v>
      </c>
      <c r="O7" s="103">
        <f t="shared" ca="1" si="0"/>
        <v>132.05893775036941</v>
      </c>
      <c r="P7" s="103">
        <f ca="1">IF(AND(Energy!$F$11=$A$3,Main!$B$43=A7),'Aerodynamics-Cruise'!H24,P7)</f>
        <v>9.7500192885990877</v>
      </c>
      <c r="Q7" s="103">
        <f ca="1">IF(AND(Energy!$F$11=$A$3,Main!$B$43=A7),'Aerodynamics-Cruise'!I24,Q7)</f>
        <v>8.1790024437074909</v>
      </c>
      <c r="R7" s="103">
        <f ca="1">IF(AND(Energy!$F$11=$A$3,Main!$B$43=$A7),Summary!R24,R7)</f>
        <v>26.987258195678166</v>
      </c>
      <c r="S7" s="103">
        <f ca="1">IF(AND(Energy!$F$11=$A$3,Main!$B$43=A7),'Aerodynamics-Cruise'!W24,S7)</f>
        <v>1</v>
      </c>
      <c r="T7" s="103">
        <f ca="1">IF(AND(Energy!$F$11=$A$3,Main!$B$43=A7),'Aerodynamics-Cruise'!BL24,T7)</f>
        <v>19.73266147902158</v>
      </c>
      <c r="U7" s="103">
        <f ca="1">IF(AND(Energy!$F$11=$A$3,Main!$B$43=A7),'Propulsion-Cruise'!M24,U7)</f>
        <v>42.64498483875019</v>
      </c>
      <c r="V7" s="103">
        <f ca="1">IF(AND(Energy!$F$11=$A$3,Main!$B$43=A7),Endurance!AP24,V7)</f>
        <v>392.40853707629412</v>
      </c>
      <c r="W7" s="103">
        <f ca="1">IF(AND(Energy!$F$11=$A$3,Main!$B$43=$A7),Summary!W24,W7)</f>
        <v>147.50834823223522</v>
      </c>
      <c r="X7" s="13">
        <f ca="1">IF(AND(Energy!$F$11=$A$3,Main!$B$43=A7),Energy!D24,X7)</f>
        <v>786.44560866613165</v>
      </c>
      <c r="Y7" s="102">
        <f ca="1">IF(AND(Energy!$F$11=$A$3,Main!$B$43=A7),'Aerodynamics-Cruise'!V24,Y7)</f>
        <v>123674.66648973318</v>
      </c>
      <c r="Z7" s="102">
        <f ca="1">IF(AND(Energy!$F$11=$A$3,Main!$B$43=$A7),Summary!Z24,Z7)</f>
        <v>91037.537746833099</v>
      </c>
      <c r="AA7" s="102">
        <f ca="1">IF(AND(Energy!$F$11=$A$3,Main!$B$43=$A7),Summary!AA24,AA7)</f>
        <v>342321.39014592429</v>
      </c>
      <c r="AB7" s="103">
        <f ca="1">IF(AND(Energy!$F$11=$A$3,Main!$B$43=$A7),Summary!AB24,AB7)</f>
        <v>3.7875086757289025</v>
      </c>
      <c r="AC7" s="103">
        <f ca="1">IF(AND(Energy!$F$11=$A$3,Main!$B$43=$A7),Summary!AC24,AC7)</f>
        <v>3.9459947068790808</v>
      </c>
      <c r="AD7" s="103">
        <f ca="1">IF(AND(Energy!$F$11=$A$3,Main!$B$43=$A7),Summary!AD24,AD7)</f>
        <v>0.40110876546680918</v>
      </c>
      <c r="AE7" s="103">
        <f ca="1">IF(AND(Energy!$F$11=$A$3,Main!$B$43=$A7),Summary!AE24,AE7)</f>
        <v>0.79473684210526319</v>
      </c>
      <c r="AF7" s="103">
        <f ca="1">IF(AND(Energy!$F$11=$A$3,Main!$B$43=$A7),Summary!AF24,AF7)</f>
        <v>19.868421052631579</v>
      </c>
      <c r="AG7" s="103">
        <f ca="1">IF(AND(Energy!$F$11=$A$3,Main!$B$43=$A7),Summary!AG24,AG7)</f>
        <v>9.4034858512206583</v>
      </c>
      <c r="AH7" s="103">
        <f ca="1">IF(AND(Energy!$F$11=$A$3,Main!$B$43=$A7),Summary!AH24,AH7)</f>
        <v>47</v>
      </c>
      <c r="AI7" s="103">
        <f ca="1">IF(AND(Energy!$F$11=$A$3,Main!$B$43=$A7),Summary!AI24,AI7)</f>
        <v>2.7794888490851051</v>
      </c>
      <c r="AJ7" s="103">
        <f ca="1">IF(AND(Energy!$F$11=$A$3,Main!$B$43=$A7),Summary!AJ24,AJ7)</f>
        <v>0.33116963077731465</v>
      </c>
      <c r="AK7" s="103">
        <f ca="1">IF(AND(Energy!$F$11=$A$3,Main!$B$43=$A7),Summary!AK24,AK7)</f>
        <v>0.01</v>
      </c>
      <c r="AL7" s="103">
        <f ca="1">IF(AND(Energy!$F$11=$A$3,Main!$B$43=$A7),Summary!AL24,AL7)</f>
        <v>-0.31737369534065979</v>
      </c>
      <c r="AM7" s="103">
        <f ca="1">IF(AND(Energy!$F$11=$A$3,Main!$B$43=$A7),Summary!AM24,AM7)</f>
        <v>0.34375</v>
      </c>
      <c r="AN7" s="6"/>
      <c r="AO7" s="6"/>
    </row>
    <row r="8" spans="1:55">
      <c r="A8">
        <f t="shared" si="1"/>
        <v>1</v>
      </c>
      <c r="C8" s="100"/>
      <c r="D8" s="1">
        <f ca="1">IF(AND(Energy!$F$11=$A$3,Main!$B$43=A8),Main!C25,D8)</f>
        <v>4.1315789473684212</v>
      </c>
      <c r="E8" s="103">
        <f ca="1">IF(AND(Energy!$F$11=$A$3,Main!$B$43=A8),Main!B25,E8)</f>
        <v>0.2</v>
      </c>
      <c r="F8" s="103">
        <f ca="1">IF(Main!$D$6=1,U8,IF(Main!$D$6=2,N8,IF(Main!$D$6=3,K8,IF(Main!$D$6=4,V8,J8))))</f>
        <v>387.36788000333792</v>
      </c>
      <c r="G8" s="103">
        <f ca="1">IF(AND(Energy!$F$11=$A$3,Main!$B$43=A8),Weight!H25,G8)</f>
        <v>10</v>
      </c>
      <c r="H8" s="103">
        <f ca="1">IF(AND(Energy!$F$11=$A$3,Main!$B$43=A8),Weight!U25,H8)</f>
        <v>9.5289002878123128</v>
      </c>
      <c r="I8" s="103">
        <f ca="1">IF(AND(Energy!$F$11=$A$3,Main!$B$43=A8),Weight!V25,I8)</f>
        <v>31.553224407356424</v>
      </c>
      <c r="J8" s="103">
        <f ca="1">IF(AND(Energy!$F$11=$A$3,Main!$B$43=A8),Weight!I25,J8)</f>
        <v>11.963965844544111</v>
      </c>
      <c r="K8" s="103">
        <f ca="1">IF(AND(Energy!$F$11=$A$3,Main!$B$43=A8),Weight!W25,K8)</f>
        <v>41.569100180972782</v>
      </c>
      <c r="L8" s="103">
        <f ca="1">IF(AND(Energy!$F$11=$A$3,Main!$B$43=A8),'Aerodynamics-Cruise'!BI25,L8)</f>
        <v>41.535857118942893</v>
      </c>
      <c r="M8" s="103">
        <f ca="1">IF(AND(Energy!$F$11=$A$3,Main!$B$43=A8),'Aerodynamics-Cruise'!BJ25,M8)</f>
        <v>2.0188072211940553</v>
      </c>
      <c r="N8" s="103">
        <f ca="1">IF(AND(Energy!$F$11=$A$3,Main!$B$43=A8),'Aerodynamics-Cruise'!BK25,N8)</f>
        <v>20.574454402028469</v>
      </c>
      <c r="O8" s="103">
        <f t="shared" ca="1" si="0"/>
        <v>132.59889829896841</v>
      </c>
      <c r="P8" s="103">
        <f ca="1">IF(AND(Energy!$F$11=$A$3,Main!$B$43=A8),'Aerodynamics-Cruise'!H25,P8)</f>
        <v>9.5669068938276531</v>
      </c>
      <c r="Q8" s="103">
        <f ca="1">IF(AND(Energy!$F$11=$A$3,Main!$B$43=A8),'Aerodynamics-Cruise'!I25,Q8)</f>
        <v>8.026460294002673</v>
      </c>
      <c r="R8" s="103">
        <f ca="1">IF(AND(Energy!$F$11=$A$3,Main!$B$43=$A8),Summary!R25,R8)</f>
        <v>26.74485682706413</v>
      </c>
      <c r="S8" s="103">
        <f ca="1">IF(AND(Energy!$F$11=$A$3,Main!$B$43=A8),'Aerodynamics-Cruise'!W25,S8)</f>
        <v>1</v>
      </c>
      <c r="T8" s="103">
        <f ca="1">IF(AND(Energy!$F$11=$A$3,Main!$B$43=A8),'Aerodynamics-Cruise'!BL25,T8)</f>
        <v>19.313740721750456</v>
      </c>
      <c r="U8" s="103">
        <f ca="1">IF(AND(Energy!$F$11=$A$3,Main!$B$43=A8),'Propulsion-Cruise'!M25,U8)</f>
        <v>41.995756840864075</v>
      </c>
      <c r="V8" s="103">
        <f ca="1">IF(AND(Energy!$F$11=$A$3,Main!$B$43=A8),Endurance!AP25,V8)</f>
        <v>387.36788000333792</v>
      </c>
      <c r="W8" s="103">
        <f ca="1">IF(AND(Energy!$F$11=$A$3,Main!$B$43=$A8),Summary!W25,W8)</f>
        <v>142.31636906080098</v>
      </c>
      <c r="X8" s="13">
        <f ca="1">IF(AND(Energy!$F$11=$A$3,Main!$B$43=A8),Energy!D25,X8)</f>
        <v>777.31410119901261</v>
      </c>
      <c r="Y8" s="102">
        <f ca="1">IF(AND(Energy!$F$11=$A$3,Main!$B$43=A8),'Aerodynamics-Cruise'!V25,Y8)</f>
        <v>121351.96704851522</v>
      </c>
      <c r="Z8" s="102">
        <f ca="1">IF(AND(Energy!$F$11=$A$3,Main!$B$43=$A8),Summary!Z25,Z8)</f>
        <v>89339.56570668958</v>
      </c>
      <c r="AA8" s="102">
        <f ca="1">IF(AND(Energy!$F$11=$A$3,Main!$B$43=$A8),Summary!AA25,AA8)</f>
        <v>339246.6363908163</v>
      </c>
      <c r="AB8" s="103">
        <f ca="1">IF(AND(Energy!$F$11=$A$3,Main!$B$43=$A8),Summary!AB25,AB8)</f>
        <v>3.645060751228224</v>
      </c>
      <c r="AC8" s="103">
        <f ca="1">IF(AND(Energy!$F$11=$A$3,Main!$B$43=$A8),Summary!AC25,AC8)</f>
        <v>3.8881550299533982</v>
      </c>
      <c r="AD8" s="103">
        <f ca="1">IF(AND(Energy!$F$11=$A$3,Main!$B$43=$A8),Summary!AD25,AD8)</f>
        <v>0.3971984401092985</v>
      </c>
      <c r="AE8" s="103">
        <f ca="1">IF(AND(Energy!$F$11=$A$3,Main!$B$43=$A8),Summary!AE25,AE8)</f>
        <v>0.82631578947368434</v>
      </c>
      <c r="AF8" s="103">
        <f ca="1">IF(AND(Energy!$F$11=$A$3,Main!$B$43=$A8),Summary!AF25,AF8)</f>
        <v>20.657894736842103</v>
      </c>
      <c r="AG8" s="103">
        <f ca="1">IF(AND(Energy!$F$11=$A$3,Main!$B$43=$A8),Summary!AG25,AG8)</f>
        <v>9.351276174352483</v>
      </c>
      <c r="AH8" s="103">
        <f ca="1">IF(AND(Energy!$F$11=$A$3,Main!$B$43=$A8),Summary!AH25,AH8)</f>
        <v>47</v>
      </c>
      <c r="AI8" s="103">
        <f ca="1">IF(AND(Energy!$F$11=$A$3,Main!$B$43=$A8),Summary!AI25,AI8)</f>
        <v>2.7806792288168491</v>
      </c>
      <c r="AJ8" s="103">
        <f ca="1">IF(AND(Energy!$F$11=$A$3,Main!$B$43=$A8),Summary!AJ25,AJ8)</f>
        <v>0.3303884683478242</v>
      </c>
      <c r="AK8" s="103">
        <f ca="1">IF(AND(Energy!$F$11=$A$3,Main!$B$43=$A8),Summary!AK25,AK8)</f>
        <v>0.01</v>
      </c>
      <c r="AL8" s="103">
        <f ca="1">IF(AND(Energy!$F$11=$A$3,Main!$B$43=$A8),Summary!AL25,AL8)</f>
        <v>-0.31815218879306489</v>
      </c>
      <c r="AM8" s="103">
        <f ca="1">IF(AND(Energy!$F$11=$A$3,Main!$B$43=$A8),Summary!AM25,AM8)</f>
        <v>0.34375</v>
      </c>
      <c r="AN8" s="6"/>
      <c r="AO8" s="6"/>
    </row>
    <row r="9" spans="1:55">
      <c r="A9">
        <f t="shared" si="1"/>
        <v>1</v>
      </c>
      <c r="C9" s="104"/>
      <c r="D9" s="1">
        <f ca="1">IF(AND(Energy!$F$11=$A$3,Main!$B$43=A9),Main!C26,D9)</f>
        <v>4.2894736842105265</v>
      </c>
      <c r="E9" s="103">
        <f ca="1">IF(AND(Energy!$F$11=$A$3,Main!$B$43=A9),Main!B26,E9)</f>
        <v>0.2</v>
      </c>
      <c r="F9" s="103">
        <f ca="1">IF(Main!$D$6=1,U9,IF(Main!$D$6=2,N9,IF(Main!$D$6=3,K9,IF(Main!$D$6=4,V9,J9))))</f>
        <v>383.55688014812807</v>
      </c>
      <c r="G9" s="103">
        <f ca="1">IF(AND(Energy!$F$11=$A$3,Main!$B$43=A9),Weight!H26,G9)</f>
        <v>10</v>
      </c>
      <c r="H9" s="103">
        <f ca="1">IF(AND(Energy!$F$11=$A$3,Main!$B$43=A9),Weight!U26,H9)</f>
        <v>9.8360161832079704</v>
      </c>
      <c r="I9" s="103">
        <f ca="1">IF(AND(Energy!$F$11=$A$3,Main!$B$43=A9),Weight!V26,I9)</f>
        <v>31.66263198143173</v>
      </c>
      <c r="J9" s="103">
        <f ca="1">IF(AND(Energy!$F$11=$A$3,Main!$B$43=A9),Weight!I26,J9)</f>
        <v>11.766257523223761</v>
      </c>
      <c r="K9" s="103">
        <f ca="1">IF(AND(Energy!$F$11=$A$3,Main!$B$43=A9),Weight!W26,K9)</f>
        <v>41.670585114268285</v>
      </c>
      <c r="L9" s="103">
        <f ca="1">IF(AND(Energy!$F$11=$A$3,Main!$B$43=A9),'Aerodynamics-Cruise'!BI26,L9)</f>
        <v>41.653451124844658</v>
      </c>
      <c r="M9" s="103">
        <f ca="1">IF(AND(Energy!$F$11=$A$3,Main!$B$43=A9),'Aerodynamics-Cruise'!BJ26,M9)</f>
        <v>2.0182000827166742</v>
      </c>
      <c r="N9" s="103">
        <f ca="1">IF(AND(Energy!$F$11=$A$3,Main!$B$43=A9),'Aerodynamics-Cruise'!BK26,N9)</f>
        <v>20.638910622169565</v>
      </c>
      <c r="O9" s="103">
        <f t="shared" ca="1" si="0"/>
        <v>133.20246606641629</v>
      </c>
      <c r="P9" s="103">
        <f ca="1">IF(AND(Energy!$F$11=$A$3,Main!$B$43=A9),'Aerodynamics-Cruise'!H26,P9)</f>
        <v>9.402430941208376</v>
      </c>
      <c r="Q9" s="103">
        <f ca="1">IF(AND(Energy!$F$11=$A$3,Main!$B$43=A9),'Aerodynamics-Cruise'!I26,Q9)</f>
        <v>7.8894255426829547</v>
      </c>
      <c r="R9" s="103">
        <f ca="1">IF(AND(Energy!$F$11=$A$3,Main!$B$43=$A9),Summary!R26,R9)</f>
        <v>26.510063018873307</v>
      </c>
      <c r="S9" s="103">
        <f ca="1">IF(AND(Energy!$F$11=$A$3,Main!$B$43=A9),'Aerodynamics-Cruise'!W26,S9)</f>
        <v>1</v>
      </c>
      <c r="T9" s="103">
        <f ca="1">IF(AND(Energy!$F$11=$A$3,Main!$B$43=A9),'Aerodynamics-Cruise'!BL26,T9)</f>
        <v>18.975986903284561</v>
      </c>
      <c r="U9" s="103">
        <f ca="1">IF(AND(Energy!$F$11=$A$3,Main!$B$43=A9),'Propulsion-Cruise'!M26,U9)</f>
        <v>41.486379652235854</v>
      </c>
      <c r="V9" s="103">
        <f ca="1">IF(AND(Energy!$F$11=$A$3,Main!$B$43=A9),Endurance!AP26,V9)</f>
        <v>383.55688014812807</v>
      </c>
      <c r="W9" s="103">
        <f ca="1">IF(AND(Energy!$F$11=$A$3,Main!$B$43=$A9),Summary!W26,W9)</f>
        <v>138.36561294764101</v>
      </c>
      <c r="X9" s="13">
        <f ca="1">IF(AND(Energy!$F$11=$A$3,Main!$B$43=A9),Energy!D26,X9)</f>
        <v>770.3930098879066</v>
      </c>
      <c r="Y9" s="102">
        <f ca="1">IF(AND(Energy!$F$11=$A$3,Main!$B$43=A9),'Aerodynamics-Cruise'!V26,Y9)</f>
        <v>119265.66260298905</v>
      </c>
      <c r="Z9" s="102">
        <f ca="1">IF(AND(Energy!$F$11=$A$3,Main!$B$43=$A9),Summary!Z26,Z9)</f>
        <v>87814.210386223043</v>
      </c>
      <c r="AA9" s="102">
        <f ca="1">IF(AND(Energy!$F$11=$A$3,Main!$B$43=$A9),Summary!AA26,AA9)</f>
        <v>336268.38116256159</v>
      </c>
      <c r="AB9" s="103">
        <f ca="1">IF(AND(Energy!$F$11=$A$3,Main!$B$43=$A9),Summary!AB26,AB9)</f>
        <v>3.5262432321917041</v>
      </c>
      <c r="AC9" s="103">
        <f ca="1">IF(AND(Energy!$F$11=$A$3,Main!$B$43=$A9),Summary!AC26,AC9)</f>
        <v>3.8275233943473008</v>
      </c>
      <c r="AD9" s="103">
        <f ca="1">IF(AND(Energy!$F$11=$A$3,Main!$B$43=$A9),Summary!AD26,AD9)</f>
        <v>0.39393009317051075</v>
      </c>
      <c r="AE9" s="103">
        <f ca="1">IF(AND(Energy!$F$11=$A$3,Main!$B$43=$A9),Summary!AE26,AE9)</f>
        <v>0.85789473684210538</v>
      </c>
      <c r="AF9" s="103">
        <f ca="1">IF(AND(Energy!$F$11=$A$3,Main!$B$43=$A9),Summary!AF26,AF9)</f>
        <v>21.44736842105263</v>
      </c>
      <c r="AG9" s="103">
        <f ca="1">IF(AND(Energy!$F$11=$A$3,Main!$B$43=$A9),Summary!AG26,AG9)</f>
        <v>9.314506775779801</v>
      </c>
      <c r="AH9" s="103">
        <f ca="1">IF(AND(Energy!$F$11=$A$3,Main!$B$43=$A9),Summary!AH26,AH9)</f>
        <v>47</v>
      </c>
      <c r="AI9" s="103">
        <f ca="1">IF(AND(Energy!$F$11=$A$3,Main!$B$43=$A9),Summary!AI26,AI9)</f>
        <v>2.7817155550504218</v>
      </c>
      <c r="AJ9" s="103">
        <f ca="1">IF(AND(Energy!$F$11=$A$3,Main!$B$43=$A9),Summary!AJ26,AJ9)</f>
        <v>0.32962140373272941</v>
      </c>
      <c r="AK9" s="103">
        <f ca="1">IF(AND(Energy!$F$11=$A$3,Main!$B$43=$A9),Summary!AK26,AK9)</f>
        <v>0.01</v>
      </c>
      <c r="AL9" s="103">
        <f ca="1">IF(AND(Energy!$F$11=$A$3,Main!$B$43=$A9),Summary!AL26,AL9)</f>
        <v>-0.31891859386224558</v>
      </c>
      <c r="AM9" s="103">
        <f ca="1">IF(AND(Energy!$F$11=$A$3,Main!$B$43=$A9),Summary!AM26,AM9)</f>
        <v>0.34375</v>
      </c>
      <c r="AN9" s="6"/>
      <c r="AO9" s="6"/>
    </row>
    <row r="10" spans="1:55">
      <c r="A10">
        <f t="shared" si="1"/>
        <v>1</v>
      </c>
      <c r="C10" s="104"/>
      <c r="D10" s="1">
        <f ca="1">IF(AND(Energy!$F$11=$A$3,Main!$B$43=A10),Main!C27,D10)</f>
        <v>4.4473684210526319</v>
      </c>
      <c r="E10" s="103">
        <f ca="1">IF(AND(Energy!$F$11=$A$3,Main!$B$43=A10),Main!B27,E10)</f>
        <v>0.2</v>
      </c>
      <c r="F10" s="103">
        <f ca="1">IF(Main!$D$6=1,U10,IF(Main!$D$6=2,N10,IF(Main!$D$6=3,K10,IF(Main!$D$6=4,V10,J10))))</f>
        <v>380.82211978092852</v>
      </c>
      <c r="G10" s="103">
        <f ca="1">IF(AND(Energy!$F$11=$A$3,Main!$B$43=A10),Weight!H27,G10)</f>
        <v>10</v>
      </c>
      <c r="H10" s="103">
        <f ca="1">IF(AND(Energy!$F$11=$A$3,Main!$B$43=A10),Weight!U27,H10)</f>
        <v>10.153789092937448</v>
      </c>
      <c r="I10" s="103">
        <f ca="1">IF(AND(Energy!$F$11=$A$3,Main!$B$43=A10),Weight!V27,I10)</f>
        <v>31.839104658424276</v>
      </c>
      <c r="J10" s="103">
        <f ca="1">IF(AND(Energy!$F$11=$A$3,Main!$B$43=A10),Weight!I27,J10)</f>
        <v>11.624957290486829</v>
      </c>
      <c r="K10" s="103">
        <f ca="1">IF(AND(Energy!$F$11=$A$3,Main!$B$43=A10),Weight!W27,K10)</f>
        <v>41.839984500784354</v>
      </c>
      <c r="L10" s="103">
        <f ca="1">IF(AND(Energy!$F$11=$A$3,Main!$B$43=A10),'Aerodynamics-Cruise'!BI27,L10)</f>
        <v>41.837237380341215</v>
      </c>
      <c r="M10" s="103">
        <f ca="1">IF(AND(Energy!$F$11=$A$3,Main!$B$43=A10),'Aerodynamics-Cruise'!BJ27,M10)</f>
        <v>2.0215412886500146</v>
      </c>
      <c r="N10" s="103">
        <f ca="1">IF(AND(Energy!$F$11=$A$3,Main!$B$43=A10),'Aerodynamics-Cruise'!BK27,N10)</f>
        <v>20.695712531441849</v>
      </c>
      <c r="O10" s="103">
        <f t="shared" ca="1" si="0"/>
        <v>133.86340969212543</v>
      </c>
      <c r="P10" s="103">
        <f ca="1">IF(AND(Energy!$F$11=$A$3,Main!$B$43=A10),'Aerodynamics-Cruise'!H27,P10)</f>
        <v>9.2543396434036787</v>
      </c>
      <c r="Q10" s="103">
        <f ca="1">IF(AND(Energy!$F$11=$A$3,Main!$B$43=A10),'Aerodynamics-Cruise'!I27,Q10)</f>
        <v>7.7660271879803728</v>
      </c>
      <c r="R10" s="103">
        <f ca="1">IF(AND(Energy!$F$11=$A$3,Main!$B$43=$A10),Summary!R27,R10)</f>
        <v>26.282290999745033</v>
      </c>
      <c r="S10" s="103">
        <f ca="1">IF(AND(Energy!$F$11=$A$3,Main!$B$43=A10),'Aerodynamics-Cruise'!W27,S10)</f>
        <v>1</v>
      </c>
      <c r="T10" s="103">
        <f ca="1">IF(AND(Energy!$F$11=$A$3,Main!$B$43=A10),'Aerodynamics-Cruise'!BL27,T10)</f>
        <v>18.708029688331187</v>
      </c>
      <c r="U10" s="103">
        <f ca="1">IF(AND(Energy!$F$11=$A$3,Main!$B$43=A10),'Propulsion-Cruise'!M27,U10)</f>
        <v>41.099001539343377</v>
      </c>
      <c r="V10" s="103">
        <f ca="1">IF(AND(Energy!$F$11=$A$3,Main!$B$43=A10),Endurance!AP27,V10)</f>
        <v>380.82211978092852</v>
      </c>
      <c r="W10" s="103">
        <f ca="1">IF(AND(Energy!$F$11=$A$3,Main!$B$43=$A10),Summary!W27,W10)</f>
        <v>135.50176862035556</v>
      </c>
      <c r="X10" s="13">
        <f ca="1">IF(AND(Energy!$F$11=$A$3,Main!$B$43=A10),Energy!D27,X10)</f>
        <v>765.40947396206286</v>
      </c>
      <c r="Y10" s="102">
        <f ca="1">IF(AND(Energy!$F$11=$A$3,Main!$B$43=A10),'Aerodynamics-Cruise'!V27,Y10)</f>
        <v>117387.19023038114</v>
      </c>
      <c r="Z10" s="102">
        <f ca="1">IF(AND(Energy!$F$11=$A$3,Main!$B$43=$A10),Summary!Z27,Z10)</f>
        <v>86440.644999756259</v>
      </c>
      <c r="AA10" s="102">
        <f ca="1">IF(AND(Energy!$F$11=$A$3,Main!$B$43=$A10),Summary!AA27,AA10)</f>
        <v>333379.19421148323</v>
      </c>
      <c r="AB10" s="103">
        <f ca="1">IF(AND(Energy!$F$11=$A$3,Main!$B$43=$A10),Summary!AB27,AB10)</f>
        <v>3.4272714913513349</v>
      </c>
      <c r="AC10" s="103">
        <f ca="1">IF(AND(Energy!$F$11=$A$3,Main!$B$43=$A10),Summary!AC27,AC10)</f>
        <v>3.7648156733525115</v>
      </c>
      <c r="AD10" s="103">
        <f ca="1">IF(AND(Energy!$F$11=$A$3,Main!$B$43=$A10),Summary!AD27,AD10)</f>
        <v>0.39123040305351137</v>
      </c>
      <c r="AE10" s="103">
        <f ca="1">IF(AND(Energy!$F$11=$A$3,Main!$B$43=$A10),Summary!AE27,AE10)</f>
        <v>0.88947368421052642</v>
      </c>
      <c r="AF10" s="103">
        <f ca="1">IF(AND(Energy!$F$11=$A$3,Main!$B$43=$A10),Summary!AF27,AF10)</f>
        <v>22.236842105263158</v>
      </c>
      <c r="AG10" s="103">
        <f ca="1">IF(AND(Energy!$F$11=$A$3,Main!$B$43=$A10),Summary!AG27,AG10)</f>
        <v>9.2914481144750027</v>
      </c>
      <c r="AH10" s="103">
        <f ca="1">IF(AND(Energy!$F$11=$A$3,Main!$B$43=$A10),Summary!AH27,AH10)</f>
        <v>47</v>
      </c>
      <c r="AI10" s="103">
        <f ca="1">IF(AND(Energy!$F$11=$A$3,Main!$B$43=$A10),Summary!AI27,AI10)</f>
        <v>2.7826202234906519</v>
      </c>
      <c r="AJ10" s="103">
        <f ca="1">IF(AND(Energy!$F$11=$A$3,Main!$B$43=$A10),Summary!AJ27,AJ10)</f>
        <v>0.3288632463727455</v>
      </c>
      <c r="AK10" s="103">
        <f ca="1">IF(AND(Energy!$F$11=$A$3,Main!$B$43=$A10),Summary!AK27,AK10)</f>
        <v>0.01</v>
      </c>
      <c r="AL10" s="103">
        <f ca="1">IF(AND(Energy!$F$11=$A$3,Main!$B$43=$A10),Summary!AL27,AL10)</f>
        <v>-0.31967801466203444</v>
      </c>
      <c r="AM10" s="103">
        <f ca="1">IF(AND(Energy!$F$11=$A$3,Main!$B$43=$A10),Summary!AM27,AM10)</f>
        <v>0.34375</v>
      </c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</row>
    <row r="11" spans="1:55">
      <c r="A11">
        <f t="shared" si="1"/>
        <v>1</v>
      </c>
      <c r="C11" s="100"/>
      <c r="D11" s="1">
        <f ca="1">IF(AND(Energy!$F$11=$A$3,Main!$B$43=A11),Main!C28,D11)</f>
        <v>4.6052631578947372</v>
      </c>
      <c r="E11" s="103">
        <f ca="1">IF(AND(Energy!$F$11=$A$3,Main!$B$43=A11),Main!B28,E11)</f>
        <v>0.2</v>
      </c>
      <c r="F11" s="103">
        <f ca="1">IF(Main!$D$6=1,U11,IF(Main!$D$6=2,N11,IF(Main!$D$6=3,K11,IF(Main!$D$6=4,V11,J11))))</f>
        <v>379.04107747111789</v>
      </c>
      <c r="G11" s="103">
        <f ca="1">IF(AND(Energy!$F$11=$A$3,Main!$B$43=A11),Weight!H28,G11)</f>
        <v>10</v>
      </c>
      <c r="H11" s="103">
        <f ca="1">IF(AND(Energy!$F$11=$A$3,Main!$B$43=A11),Weight!U28,H11)</f>
        <v>10.482294562527393</v>
      </c>
      <c r="I11" s="103">
        <f ca="1">IF(AND(Energy!$F$11=$A$3,Main!$B$43=A11),Weight!V28,I11)</f>
        <v>32.0764092993901</v>
      </c>
      <c r="J11" s="103">
        <f ca="1">IF(AND(Energy!$F$11=$A$3,Main!$B$43=A11),Weight!I28,J11)</f>
        <v>11.53375646186271</v>
      </c>
      <c r="K11" s="103">
        <f ca="1">IF(AND(Energy!$F$11=$A$3,Main!$B$43=A11),Weight!W28,K11)</f>
        <v>42.070927591572577</v>
      </c>
      <c r="L11" s="103">
        <f ca="1">IF(AND(Energy!$F$11=$A$3,Main!$B$43=A11),'Aerodynamics-Cruise'!BI28,L11)</f>
        <v>42.081120866788162</v>
      </c>
      <c r="M11" s="103">
        <f ca="1">IF(AND(Energy!$F$11=$A$3,Main!$B$43=A11),'Aerodynamics-Cruise'!BJ28,M11)</f>
        <v>2.0284353649589075</v>
      </c>
      <c r="N11" s="103">
        <f ca="1">IF(AND(Energy!$F$11=$A$3,Main!$B$43=A11),'Aerodynamics-Cruise'!BK28,N11)</f>
        <v>20.74560599452014</v>
      </c>
      <c r="O11" s="103">
        <f t="shared" ca="1" si="0"/>
        <v>134.57666912075661</v>
      </c>
      <c r="P11" s="103">
        <f ca="1">IF(AND(Energy!$F$11=$A$3,Main!$B$43=A11),'Aerodynamics-Cruise'!H28,P11)</f>
        <v>9.1207568032718207</v>
      </c>
      <c r="Q11" s="103">
        <f ca="1">IF(AND(Energy!$F$11=$A$3,Main!$B$43=A11),'Aerodynamics-Cruise'!I28,Q11)</f>
        <v>7.6547060085843732</v>
      </c>
      <c r="R11" s="103">
        <f ca="1">IF(AND(Energy!$F$11=$A$3,Main!$B$43=$A11),Summary!R28,R11)</f>
        <v>26.061267368151395</v>
      </c>
      <c r="S11" s="103">
        <f ca="1">IF(AND(Energy!$F$11=$A$3,Main!$B$43=A11),'Aerodynamics-Cruise'!W28,S11)</f>
        <v>1</v>
      </c>
      <c r="T11" s="103">
        <f ca="1">IF(AND(Energy!$F$11=$A$3,Main!$B$43=A11),'Aerodynamics-Cruise'!BL28,T11)</f>
        <v>18.500865654946114</v>
      </c>
      <c r="U11" s="103">
        <f ca="1">IF(AND(Energy!$F$11=$A$3,Main!$B$43=A11),'Propulsion-Cruise'!M28,U11)</f>
        <v>40.819368898611636</v>
      </c>
      <c r="V11" s="103">
        <f ca="1">IF(AND(Energy!$F$11=$A$3,Main!$B$43=A11),Endurance!AP28,V11)</f>
        <v>379.04107747111789</v>
      </c>
      <c r="W11" s="103">
        <f ca="1">IF(AND(Energy!$F$11=$A$3,Main!$B$43=$A11),Summary!W28,W11)</f>
        <v>133.60152328112918</v>
      </c>
      <c r="X11" s="13">
        <f ca="1">IF(AND(Energy!$F$11=$A$3,Main!$B$43=A11),Energy!D28,X11)</f>
        <v>762.14524464664782</v>
      </c>
      <c r="Y11" s="102">
        <f ca="1">IF(AND(Energy!$F$11=$A$3,Main!$B$43=A11),'Aerodynamics-Cruise'!V28,Y11)</f>
        <v>115692.75120282175</v>
      </c>
      <c r="Z11" s="102">
        <f ca="1">IF(AND(Energy!$F$11=$A$3,Main!$B$43=$A11),Summary!Z28,Z11)</f>
        <v>85201.513322076702</v>
      </c>
      <c r="AA11" s="102">
        <f ca="1">IF(AND(Energy!$F$11=$A$3,Main!$B$43=$A11),Summary!AA28,AA11)</f>
        <v>330575.60756056692</v>
      </c>
      <c r="AB11" s="103">
        <f ca="1">IF(AND(Energy!$F$11=$A$3,Main!$B$43=$A11),Summary!AB28,AB11)</f>
        <v>3.3451860123099824</v>
      </c>
      <c r="AC11" s="103">
        <f ca="1">IF(AND(Energy!$F$11=$A$3,Main!$B$43=$A11),Summary!AC28,AC11)</f>
        <v>3.7006019006597515</v>
      </c>
      <c r="AD11" s="103">
        <f ca="1">IF(AND(Energy!$F$11=$A$3,Main!$B$43=$A11),Summary!AD28,AD11)</f>
        <v>0.38903868536158565</v>
      </c>
      <c r="AE11" s="103">
        <f ca="1">IF(AND(Energy!$F$11=$A$3,Main!$B$43=$A11),Summary!AE28,AE11)</f>
        <v>0.92105263157894746</v>
      </c>
      <c r="AF11" s="103">
        <f ca="1">IF(AND(Energy!$F$11=$A$3,Main!$B$43=$A11),Summary!AF28,AF11)</f>
        <v>23.026315789473689</v>
      </c>
      <c r="AG11" s="103">
        <f ca="1">IF(AND(Energy!$F$11=$A$3,Main!$B$43=$A11),Summary!AG28,AG11)</f>
        <v>9.2806902924545636</v>
      </c>
      <c r="AH11" s="103">
        <f ca="1">IF(AND(Energy!$F$11=$A$3,Main!$B$43=$A11),Summary!AH28,AH11)</f>
        <v>47</v>
      </c>
      <c r="AI11" s="103">
        <f ca="1">IF(AND(Energy!$F$11=$A$3,Main!$B$43=$A11),Summary!AI28,AI11)</f>
        <v>2.7834111969733657</v>
      </c>
      <c r="AJ11" s="103">
        <f ca="1">IF(AND(Energy!$F$11=$A$3,Main!$B$43=$A11),Summary!AJ28,AJ11)</f>
        <v>0.32811289070510347</v>
      </c>
      <c r="AK11" s="103">
        <f ca="1">IF(AND(Energy!$F$11=$A$3,Main!$B$43=$A11),Summary!AK28,AK11)</f>
        <v>0.01</v>
      </c>
      <c r="AL11" s="103">
        <f ca="1">IF(AND(Energy!$F$11=$A$3,Main!$B$43=$A11),Summary!AL28,AL11)</f>
        <v>-0.32043159268928156</v>
      </c>
      <c r="AM11" s="103">
        <f ca="1">IF(AND(Energy!$F$11=$A$3,Main!$B$43=$A11),Summary!AM28,AM11)</f>
        <v>0.34375</v>
      </c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0"/>
      <c r="BA11" s="100"/>
      <c r="BB11" s="100"/>
    </row>
    <row r="12" spans="1:55">
      <c r="A12">
        <f t="shared" si="1"/>
        <v>1</v>
      </c>
      <c r="C12" s="103"/>
      <c r="D12" s="1">
        <f ca="1">IF(AND(Energy!$F$11=$A$3,Main!$B$43=A12),Main!C29,D12)</f>
        <v>4.7631578947368425</v>
      </c>
      <c r="E12" s="103">
        <f ca="1">IF(AND(Energy!$F$11=$A$3,Main!$B$43=A12),Main!B29,E12)</f>
        <v>0.2</v>
      </c>
      <c r="F12" s="103">
        <f ca="1">IF(Main!$D$6=1,U12,IF(Main!$D$6=2,N12,IF(Main!$D$6=3,K12,IF(Main!$D$6=4,V12,J12))))</f>
        <v>378.11533851833684</v>
      </c>
      <c r="G12" s="103">
        <f ca="1">IF(AND(Energy!$F$11=$A$3,Main!$B$43=A12),Weight!H29,G12)</f>
        <v>10</v>
      </c>
      <c r="H12" s="103">
        <f ca="1">IF(AND(Energy!$F$11=$A$3,Main!$B$43=A12),Weight!U29,H12)</f>
        <v>10.82162167994932</v>
      </c>
      <c r="I12" s="103">
        <f ca="1">IF(AND(Energy!$F$11=$A$3,Main!$B$43=A12),Weight!V29,I12)</f>
        <v>32.369556180103622</v>
      </c>
      <c r="J12" s="103">
        <f ca="1">IF(AND(Energy!$F$11=$A$3,Main!$B$43=A12),Weight!I29,J12)</f>
        <v>11.487576225154303</v>
      </c>
      <c r="K12" s="103">
        <f ca="1">IF(AND(Energy!$F$11=$A$3,Main!$B$43=A12),Weight!W29,K12)</f>
        <v>42.358317364410858</v>
      </c>
      <c r="L12" s="103">
        <f ca="1">IF(AND(Energy!$F$11=$A$3,Main!$B$43=A12),'Aerodynamics-Cruise'!BI29,L12)</f>
        <v>42.380219983452562</v>
      </c>
      <c r="M12" s="103">
        <f ca="1">IF(AND(Energy!$F$11=$A$3,Main!$B$43=A12),'Aerodynamics-Cruise'!BJ29,M12)</f>
        <v>2.0385658790671863</v>
      </c>
      <c r="N12" s="103">
        <f ca="1">IF(AND(Energy!$F$11=$A$3,Main!$B$43=A12),'Aerodynamics-Cruise'!BK29,N12)</f>
        <v>20.78923247888611</v>
      </c>
      <c r="O12" s="103">
        <f t="shared" ca="1" si="0"/>
        <v>135.3380950168208</v>
      </c>
      <c r="P12" s="103">
        <f ca="1">IF(AND(Energy!$F$11=$A$3,Main!$B$43=A12),'Aerodynamics-Cruise'!H29,P12)</f>
        <v>9.0001065513633787</v>
      </c>
      <c r="Q12" s="103">
        <f ca="1">IF(AND(Energy!$F$11=$A$3,Main!$B$43=A12),'Aerodynamics-Cruise'!I29,Q12)</f>
        <v>7.5541521354162571</v>
      </c>
      <c r="R12" s="103">
        <f ca="1">IF(AND(Energy!$F$11=$A$3,Main!$B$43=$A12),Summary!R29,R12)</f>
        <v>25.846773878586159</v>
      </c>
      <c r="S12" s="103">
        <f ca="1">IF(AND(Energy!$F$11=$A$3,Main!$B$43=A12),'Aerodynamics-Cruise'!W29,S12)</f>
        <v>1</v>
      </c>
      <c r="T12" s="103">
        <f ca="1">IF(AND(Energy!$F$11=$A$3,Main!$B$43=A12),'Aerodynamics-Cruise'!BL29,T12)</f>
        <v>18.347310123578428</v>
      </c>
      <c r="U12" s="103">
        <f ca="1">IF(AND(Energy!$F$11=$A$3,Main!$B$43=A12),'Propulsion-Cruise'!M29,U12)</f>
        <v>40.636030984002034</v>
      </c>
      <c r="V12" s="103">
        <f ca="1">IF(AND(Energy!$F$11=$A$3,Main!$B$43=A12),Endurance!AP29,V12)</f>
        <v>378.11533851833684</v>
      </c>
      <c r="W12" s="103">
        <f ca="1">IF(AND(Energy!$F$11=$A$3,Main!$B$43=$A12),Summary!W29,W12)</f>
        <v>132.5657591932781</v>
      </c>
      <c r="X12" s="13">
        <f ca="1">IF(AND(Energy!$F$11=$A$3,Main!$B$43=A12),Energy!D29,X12)</f>
        <v>760.42475550941333</v>
      </c>
      <c r="Y12" s="102">
        <f ca="1">IF(AND(Energy!$F$11=$A$3,Main!$B$43=A12),'Aerodynamics-Cruise'!V29,Y12)</f>
        <v>114162.35631589814</v>
      </c>
      <c r="Z12" s="102">
        <f ca="1">IF(AND(Energy!$F$11=$A$3,Main!$B$43=$A12),Summary!Z29,Z12)</f>
        <v>84082.234769921677</v>
      </c>
      <c r="AA12" s="102">
        <f ca="1">IF(AND(Energy!$F$11=$A$3,Main!$B$43=$A12),Summary!AA29,AA12)</f>
        <v>327854.85286244872</v>
      </c>
      <c r="AB12" s="103">
        <f ca="1">IF(AND(Energy!$F$11=$A$3,Main!$B$43=$A12),Summary!AB29,AB12)</f>
        <v>3.2776485887825415</v>
      </c>
      <c r="AC12" s="103">
        <f ca="1">IF(AND(Energy!$F$11=$A$3,Main!$B$43=$A12),Summary!AC29,AC12)</f>
        <v>3.6353376282091463</v>
      </c>
      <c r="AD12" s="103">
        <f ca="1">IF(AND(Energy!$F$11=$A$3,Main!$B$43=$A12),Summary!AD29,AD12)</f>
        <v>0.38730438295456604</v>
      </c>
      <c r="AE12" s="103">
        <f ca="1">IF(AND(Energy!$F$11=$A$3,Main!$B$43=$A12),Summary!AE29,AE12)</f>
        <v>0.9526315789473685</v>
      </c>
      <c r="AF12" s="103">
        <f ca="1">IF(AND(Energy!$F$11=$A$3,Main!$B$43=$A12),Summary!AF29,AF12)</f>
        <v>23.815789473684212</v>
      </c>
      <c r="AG12" s="103">
        <f ca="1">IF(AND(Energy!$F$11=$A$3,Main!$B$43=$A12),Summary!AG29,AG12)</f>
        <v>9.2810781522063817</v>
      </c>
      <c r="AH12" s="103">
        <f ca="1">IF(AND(Energy!$F$11=$A$3,Main!$B$43=$A12),Summary!AH29,AH12)</f>
        <v>47</v>
      </c>
      <c r="AI12" s="103">
        <f ca="1">IF(AND(Energy!$F$11=$A$3,Main!$B$43=$A12),Summary!AI29,AI12)</f>
        <v>2.7841029865873481</v>
      </c>
      <c r="AJ12" s="103">
        <f ca="1">IF(AND(Energy!$F$11=$A$3,Main!$B$43=$A12),Summary!AJ29,AJ12)</f>
        <v>0.32736920849601164</v>
      </c>
      <c r="AK12" s="103">
        <f ca="1">IF(AND(Energy!$F$11=$A$3,Main!$B$43=$A12),Summary!AK29,AK12)</f>
        <v>0.01</v>
      </c>
      <c r="AL12" s="103">
        <f ca="1">IF(AND(Energy!$F$11=$A$3,Main!$B$43=$A12),Summary!AL29,AL12)</f>
        <v>-0.32118049103533247</v>
      </c>
      <c r="AM12" s="103">
        <f ca="1">IF(AND(Energy!$F$11=$A$3,Main!$B$43=$A12),Summary!AM29,AM12)</f>
        <v>0.34375</v>
      </c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</row>
    <row r="13" spans="1:55">
      <c r="A13">
        <f t="shared" si="1"/>
        <v>1</v>
      </c>
      <c r="C13" s="103"/>
      <c r="D13" s="1">
        <f ca="1">IF(AND(Energy!$F$11=$A$3,Main!$B$43=A13),Main!C30,D13)</f>
        <v>4.9210526315789478</v>
      </c>
      <c r="E13" s="103">
        <f ca="1">IF(AND(Energy!$F$11=$A$3,Main!$B$43=A13),Main!B30,E13)</f>
        <v>0.2</v>
      </c>
      <c r="F13" s="103">
        <f ca="1">IF(Main!$D$6=1,U13,IF(Main!$D$6=2,N13,IF(Main!$D$6=3,K13,IF(Main!$D$6=4,V13,J13))))</f>
        <v>377.97428241718382</v>
      </c>
      <c r="G13" s="103">
        <f ca="1">IF(AND(Energy!$F$11=$A$3,Main!$B$43=A13),Weight!H30,G13)</f>
        <v>10</v>
      </c>
      <c r="H13" s="103">
        <f ca="1">IF(AND(Energy!$F$11=$A$3,Main!$B$43=A13),Weight!U30,H13)</f>
        <v>11.171874664073616</v>
      </c>
      <c r="I13" s="103">
        <f ca="1">IF(AND(Energy!$F$11=$A$3,Main!$B$43=A13),Weight!V30,I13)</f>
        <v>32.71498587171817</v>
      </c>
      <c r="J13" s="103">
        <f ca="1">IF(AND(Energy!$F$11=$A$3,Main!$B$43=A13),Weight!I30,J13)</f>
        <v>11.482752932644555</v>
      </c>
      <c r="K13" s="103">
        <f ca="1">IF(AND(Energy!$F$11=$A$3,Main!$B$43=A13),Weight!W30,K13)</f>
        <v>42.698534001666474</v>
      </c>
      <c r="L13" s="103">
        <f ca="1">IF(AND(Energy!$F$11=$A$3,Main!$B$43=A13),'Aerodynamics-Cruise'!BI30,L13)</f>
        <v>42.731034787261144</v>
      </c>
      <c r="M13" s="103">
        <f ca="1">IF(AND(Energy!$F$11=$A$3,Main!$B$43=A13),'Aerodynamics-Cruise'!BJ30,M13)</f>
        <v>2.0517348311910646</v>
      </c>
      <c r="N13" s="103">
        <f ca="1">IF(AND(Energy!$F$11=$A$3,Main!$B$43=A13),'Aerodynamics-Cruise'!BK30,N13)</f>
        <v>20.826782358836841</v>
      </c>
      <c r="O13" s="103">
        <f t="shared" ca="1" si="0"/>
        <v>136.14255087240161</v>
      </c>
      <c r="P13" s="103">
        <f ca="1">IF(AND(Energy!$F$11=$A$3,Main!$B$43=A13),'Aerodynamics-Cruise'!H30,P13)</f>
        <v>8.8910986757026809</v>
      </c>
      <c r="Q13" s="103">
        <f ca="1">IF(AND(Energy!$F$11=$A$3,Main!$B$43=A13),'Aerodynamics-Cruise'!I30,Q13)</f>
        <v>7.4632931057788356</v>
      </c>
      <c r="R13" s="103">
        <f ca="1">IF(AND(Energy!$F$11=$A$3,Main!$B$43=$A13),Summary!R30,R13)</f>
        <v>25.638543731269916</v>
      </c>
      <c r="S13" s="103">
        <f ca="1">IF(AND(Energy!$F$11=$A$3,Main!$B$43=A13),'Aerodynamics-Cruise'!W30,S13)</f>
        <v>1</v>
      </c>
      <c r="T13" s="103">
        <f ca="1">IF(AND(Energy!$F$11=$A$3,Main!$B$43=A13),'Aerodynamics-Cruise'!BL30,T13)</f>
        <v>18.242176840495937</v>
      </c>
      <c r="U13" s="103">
        <f ca="1">IF(AND(Energy!$F$11=$A$3,Main!$B$43=A13),'Propulsion-Cruise'!M30,U13)</f>
        <v>40.540813897449141</v>
      </c>
      <c r="V13" s="103">
        <f ca="1">IF(AND(Energy!$F$11=$A$3,Main!$B$43=A13),Endurance!AP30,V13)</f>
        <v>377.97428241718382</v>
      </c>
      <c r="W13" s="103">
        <f ca="1">IF(AND(Energy!$F$11=$A$3,Main!$B$43=$A13),Summary!W30,W13)</f>
        <v>132.32336922353016</v>
      </c>
      <c r="X13" s="13">
        <f ca="1">IF(AND(Energy!$F$11=$A$3,Main!$B$43=A13),Energy!D30,X13)</f>
        <v>760.12172764647175</v>
      </c>
      <c r="Y13" s="102">
        <f ca="1">IF(AND(Energy!$F$11=$A$3,Main!$B$43=A13),'Aerodynamics-Cruise'!V30,Y13)</f>
        <v>112779.63980344411</v>
      </c>
      <c r="Z13" s="102">
        <f ca="1">IF(AND(Energy!$F$11=$A$3,Main!$B$43=$A13),Summary!Z30,Z13)</f>
        <v>83070.871405372178</v>
      </c>
      <c r="AA13" s="102">
        <f ca="1">IF(AND(Energy!$F$11=$A$3,Main!$B$43=$A13),Summary!AA30,AA13)</f>
        <v>325213.54588036326</v>
      </c>
      <c r="AB13" s="103">
        <f ca="1">IF(AND(Energy!$F$11=$A$3,Main!$B$43=$A13),Summary!AB30,AB13)</f>
        <v>3.2228650946610777</v>
      </c>
      <c r="AC13" s="103">
        <f ca="1">IF(AND(Energy!$F$11=$A$3,Main!$B$43=$A13),Summary!AC30,AC13)</f>
        <v>3.5693512093750019</v>
      </c>
      <c r="AD13" s="103">
        <f ca="1">IF(AND(Energy!$F$11=$A$3,Main!$B$43=$A13),Summary!AD30,AD13)</f>
        <v>0.38599078732386222</v>
      </c>
      <c r="AE13" s="103">
        <f ca="1">IF(AND(Energy!$F$11=$A$3,Main!$B$43=$A13),Summary!AE30,AE13)</f>
        <v>0.98421052631578965</v>
      </c>
      <c r="AF13" s="103">
        <f ca="1">IF(AND(Energy!$F$11=$A$3,Main!$B$43=$A13),Summary!AF30,AF13)</f>
        <v>24.605263157894736</v>
      </c>
      <c r="AG13" s="103">
        <f ca="1">IF(AND(Energy!$F$11=$A$3,Main!$B$43=$A13),Summary!AG30,AG13)</f>
        <v>9.2917965477645357</v>
      </c>
      <c r="AH13" s="103">
        <f ca="1">IF(AND(Energy!$F$11=$A$3,Main!$B$43=$A13),Summary!AH30,AH13)</f>
        <v>47</v>
      </c>
      <c r="AI13" s="103">
        <f ca="1">IF(AND(Energy!$F$11=$A$3,Main!$B$43=$A13),Summary!AI30,AI13)</f>
        <v>2.7847020371171793</v>
      </c>
      <c r="AJ13" s="103">
        <f ca="1">IF(AND(Energy!$F$11=$A$3,Main!$B$43=$A13),Summary!AJ30,AJ13)</f>
        <v>0.32777385512755908</v>
      </c>
      <c r="AK13" s="103">
        <f ca="1">IF(AND(Energy!$F$11=$A$3,Main!$B$43=$A13),Summary!AK30,AK13)</f>
        <v>0.01</v>
      </c>
      <c r="AL13" s="103">
        <f ca="1">IF(AND(Energy!$F$11=$A$3,Main!$B$43=$A13),Summary!AL30,AL13)</f>
        <v>-0.32079153454099807</v>
      </c>
      <c r="AM13" s="103">
        <f ca="1">IF(AND(Energy!$F$11=$A$3,Main!$B$43=$A13),Summary!AM30,AM13)</f>
        <v>0.34375</v>
      </c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6"/>
    </row>
    <row r="14" spans="1:55">
      <c r="A14">
        <f t="shared" si="1"/>
        <v>1</v>
      </c>
      <c r="C14" s="103"/>
      <c r="D14" s="1">
        <f ca="1">IF(AND(Energy!$F$11=$A$3,Main!$B$43=A14),Main!C31,D14)</f>
        <v>5.0789473684210531</v>
      </c>
      <c r="E14" s="103">
        <f ca="1">IF(AND(Energy!$F$11=$A$3,Main!$B$43=A14),Main!B31,E14)</f>
        <v>0.2</v>
      </c>
      <c r="F14" s="103">
        <f ca="1">IF(Main!$D$6=1,U14,IF(Main!$D$6=2,N14,IF(Main!$D$6=3,K14,IF(Main!$D$6=4,V14,J14))))</f>
        <v>378.54721125155567</v>
      </c>
      <c r="G14" s="103">
        <f ca="1">IF(AND(Energy!$F$11=$A$3,Main!$B$43=A14),Weight!H31,G14)</f>
        <v>10</v>
      </c>
      <c r="H14" s="103">
        <f ca="1">IF(AND(Energy!$F$11=$A$3,Main!$B$43=A14),Weight!U31,H14)</f>
        <v>11.533171226448715</v>
      </c>
      <c r="I14" s="103">
        <f ca="1">IF(AND(Energy!$F$11=$A$3,Main!$B$43=A14),Weight!V31,I14)</f>
        <v>33.109160097128388</v>
      </c>
      <c r="J14" s="103">
        <f ca="1">IF(AND(Energy!$F$11=$A$3,Main!$B$43=A14),Weight!I31,J14)</f>
        <v>11.515630595679676</v>
      </c>
      <c r="K14" s="103">
        <f ca="1">IF(AND(Energy!$F$11=$A$3,Main!$B$43=A14),Weight!W31,K14)</f>
        <v>43.087957171464453</v>
      </c>
      <c r="L14" s="103">
        <f ca="1">IF(AND(Energy!$F$11=$A$3,Main!$B$43=A14),'Aerodynamics-Cruise'!BI31,L14)</f>
        <v>43.130111122086333</v>
      </c>
      <c r="M14" s="103">
        <f ca="1">IF(AND(Energy!$F$11=$A$3,Main!$B$43=A14),'Aerodynamics-Cruise'!BJ31,M14)</f>
        <v>2.0676982073285224</v>
      </c>
      <c r="N14" s="103">
        <f ca="1">IF(AND(Energy!$F$11=$A$3,Main!$B$43=A14),'Aerodynamics-Cruise'!BK31,N14)</f>
        <v>20.858997202406378</v>
      </c>
      <c r="O14" s="103">
        <f t="shared" ca="1" si="0"/>
        <v>136.98837513745065</v>
      </c>
      <c r="P14" s="103">
        <f ca="1">IF(AND(Energy!$F$11=$A$3,Main!$B$43=A14),'Aerodynamics-Cruise'!H31,P14)</f>
        <v>8.7925623021895216</v>
      </c>
      <c r="Q14" s="103">
        <f ca="1">IF(AND(Energy!$F$11=$A$3,Main!$B$43=A14),'Aerodynamics-Cruise'!I31,Q14)</f>
        <v>7.3811552504423696</v>
      </c>
      <c r="R14" s="103">
        <f ca="1">IF(AND(Energy!$F$11=$A$3,Main!$B$43=$A14),Summary!R31,R14)</f>
        <v>25.436261050149835</v>
      </c>
      <c r="S14" s="103">
        <f ca="1">IF(AND(Energy!$F$11=$A$3,Main!$B$43=A14),'Aerodynamics-Cruise'!W31,S14)</f>
        <v>1</v>
      </c>
      <c r="T14" s="103">
        <f ca="1">IF(AND(Energy!$F$11=$A$3,Main!$B$43=A14),'Aerodynamics-Cruise'!BL31,T14)</f>
        <v>18.180365310061621</v>
      </c>
      <c r="U14" s="103">
        <f ca="1">IF(AND(Energy!$F$11=$A$3,Main!$B$43=A14),'Propulsion-Cruise'!M31,U14)</f>
        <v>40.525454907622496</v>
      </c>
      <c r="V14" s="103">
        <f ca="1">IF(AND(Energy!$F$11=$A$3,Main!$B$43=A14),Endurance!AP31,V14)</f>
        <v>378.54721125155567</v>
      </c>
      <c r="W14" s="103">
        <f ca="1">IF(AND(Energy!$F$11=$A$3,Main!$B$43=$A14),Summary!W31,W14)</f>
        <v>132.80298936470206</v>
      </c>
      <c r="X14" s="13">
        <f ca="1">IF(AND(Energy!$F$11=$A$3,Main!$B$43=A14),Energy!D31,X14)</f>
        <v>761.10975062858483</v>
      </c>
      <c r="Y14" s="102">
        <f ca="1">IF(AND(Energy!$F$11=$A$3,Main!$B$43=A14),'Aerodynamics-Cruise'!V31,Y14)</f>
        <v>111529.74964726793</v>
      </c>
      <c r="Z14" s="102">
        <f ca="1">IF(AND(Energy!$F$11=$A$3,Main!$B$43=$A14),Summary!Z31,Z14)</f>
        <v>82156.585031151277</v>
      </c>
      <c r="AA14" s="102">
        <f ca="1">IF(AND(Energy!$F$11=$A$3,Main!$B$43=$A14),Summary!AA31,AA14)</f>
        <v>322647.67986680288</v>
      </c>
      <c r="AB14" s="103">
        <f ca="1">IF(AND(Energy!$F$11=$A$3,Main!$B$43=$A14),Summary!AB31,AB14)</f>
        <v>3.1792833067149013</v>
      </c>
      <c r="AC14" s="103">
        <f ca="1">IF(AND(Energy!$F$11=$A$3,Main!$B$43=$A14),Summary!AC31,AC14)</f>
        <v>3.5029656012443366</v>
      </c>
      <c r="AD14" s="103">
        <f ca="1">IF(AND(Energy!$F$11=$A$3,Main!$B$43=$A14),Summary!AD31,AD14)</f>
        <v>0.38505812853139004</v>
      </c>
      <c r="AE14" s="103">
        <f ca="1">IF(AND(Energy!$F$11=$A$3,Main!$B$43=$A14),Summary!AE31,AE14)</f>
        <v>1.0157894736842106</v>
      </c>
      <c r="AF14" s="103">
        <f ca="1">IF(AND(Energy!$F$11=$A$3,Main!$B$43=$A14),Summary!AF31,AF14)</f>
        <v>25.394736842105267</v>
      </c>
      <c r="AG14" s="103">
        <f ca="1">IF(AND(Energy!$F$11=$A$3,Main!$B$43=$A14),Summary!AG31,AG14)</f>
        <v>9.3119615496006105</v>
      </c>
      <c r="AH14" s="103">
        <f ca="1">IF(AND(Energy!$F$11=$A$3,Main!$B$43=$A14),Summary!AH31,AH14)</f>
        <v>47</v>
      </c>
      <c r="AI14" s="103">
        <f ca="1">IF(AND(Energy!$F$11=$A$3,Main!$B$43=$A14),Summary!AI31,AI14)</f>
        <v>2.7852215064163883</v>
      </c>
      <c r="AJ14" s="103">
        <f ca="1">IF(AND(Energy!$F$11=$A$3,Main!$B$43=$A14),Summary!AJ31,AJ14)</f>
        <v>0.32845787646513236</v>
      </c>
      <c r="AK14" s="103">
        <f ca="1">IF(AND(Energy!$F$11=$A$3,Main!$B$43=$A14),Summary!AK31,AK14)</f>
        <v>0.01</v>
      </c>
      <c r="AL14" s="103">
        <f ca="1">IF(AND(Energy!$F$11=$A$3,Main!$B$43=$A14),Summary!AL31,AL14)</f>
        <v>-0.3201268584666101</v>
      </c>
      <c r="AM14" s="103">
        <f ca="1">IF(AND(Energy!$F$11=$A$3,Main!$B$43=$A14),Summary!AM31,AM14)</f>
        <v>0.34375</v>
      </c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6"/>
    </row>
    <row r="15" spans="1:55">
      <c r="A15">
        <f t="shared" si="1"/>
        <v>1</v>
      </c>
      <c r="C15" s="103"/>
      <c r="D15" s="1">
        <f ca="1">IF(AND(Energy!$F$11=$A$3,Main!$B$43=A15),Main!C32,D15)</f>
        <v>5.2368421052631584</v>
      </c>
      <c r="E15" s="103">
        <f ca="1">IF(AND(Energy!$F$11=$A$3,Main!$B$43=A15),Main!B32,E15)</f>
        <v>0.2</v>
      </c>
      <c r="F15" s="103">
        <f ca="1">IF(Main!$D$6=1,U15,IF(Main!$D$6=2,N15,IF(Main!$D$6=3,K15,IF(Main!$D$6=4,V15,J15))))</f>
        <v>379.77998970809313</v>
      </c>
      <c r="G15" s="103">
        <f ca="1">IF(AND(Energy!$F$11=$A$3,Main!$B$43=A15),Weight!H32,G15)</f>
        <v>10</v>
      </c>
      <c r="H15" s="103">
        <f ca="1">IF(AND(Energy!$F$11=$A$3,Main!$B$43=A15),Weight!U32,H15)</f>
        <v>11.905649920897972</v>
      </c>
      <c r="I15" s="103">
        <f ca="1">IF(AND(Energy!$F$11=$A$3,Main!$B$43=A15),Weight!V32,I15)</f>
        <v>33.549410531582282</v>
      </c>
      <c r="J15" s="103">
        <f ca="1">IF(AND(Energy!$F$11=$A$3,Main!$B$43=A15),Weight!I32,J15)</f>
        <v>11.583402335684314</v>
      </c>
      <c r="K15" s="103">
        <f ca="1">IF(AND(Energy!$F$11=$A$3,Main!$B$43=A15),Weight!W32,K15)</f>
        <v>43.523859648012269</v>
      </c>
      <c r="L15" s="103">
        <f ca="1">IF(AND(Energy!$F$11=$A$3,Main!$B$43=A15),'Aerodynamics-Cruise'!BI32,L15)</f>
        <v>43.574841032306573</v>
      </c>
      <c r="M15" s="103">
        <f ca="1">IF(AND(Energy!$F$11=$A$3,Main!$B$43=A15),'Aerodynamics-Cruise'!BJ32,M15)</f>
        <v>2.0862792044788923</v>
      </c>
      <c r="N15" s="103">
        <f ca="1">IF(AND(Energy!$F$11=$A$3,Main!$B$43=A15),'Aerodynamics-Cruise'!BK32,N15)</f>
        <v>20.886389961017048</v>
      </c>
      <c r="O15" s="103">
        <f t="shared" ca="1" si="0"/>
        <v>137.87365474197432</v>
      </c>
      <c r="P15" s="103">
        <f ca="1">IF(AND(Energy!$F$11=$A$3,Main!$B$43=A15),'Aerodynamics-Cruise'!H32,P15)</f>
        <v>8.7035127389173752</v>
      </c>
      <c r="Q15" s="103">
        <f ca="1">IF(AND(Energy!$F$11=$A$3,Main!$B$43=A15),'Aerodynamics-Cruise'!I32,Q15)</f>
        <v>7.3069196440138207</v>
      </c>
      <c r="R15" s="103">
        <f ca="1">IF(AND(Energy!$F$11=$A$3,Main!$B$43=$A15),Summary!R32,R15)</f>
        <v>25.239648974999916</v>
      </c>
      <c r="S15" s="103">
        <f ca="1">IF(AND(Energy!$F$11=$A$3,Main!$B$43=A15),'Aerodynamics-Cruise'!W32,S15)</f>
        <v>1</v>
      </c>
      <c r="T15" s="103">
        <f ca="1">IF(AND(Energy!$F$11=$A$3,Main!$B$43=A15),'Aerodynamics-Cruise'!BL32,T15)</f>
        <v>18.157957633120446</v>
      </c>
      <c r="U15" s="103">
        <f ca="1">IF(AND(Energy!$F$11=$A$3,Main!$B$43=A15),'Propulsion-Cruise'!M32,U15)</f>
        <v>40.583622058668702</v>
      </c>
      <c r="V15" s="103">
        <f ca="1">IF(AND(Energy!$F$11=$A$3,Main!$B$43=A15),Endurance!AP32,V15)</f>
        <v>379.77998970809313</v>
      </c>
      <c r="W15" s="103">
        <f ca="1">IF(AND(Energy!$F$11=$A$3,Main!$B$43=$A15),Summary!W32,W15)</f>
        <v>133.94994160173559</v>
      </c>
      <c r="X15" s="13">
        <f ca="1">IF(AND(Energy!$F$11=$A$3,Main!$B$43=A15),Energy!D32,X15)</f>
        <v>763.29187457438832</v>
      </c>
      <c r="Y15" s="102">
        <f ca="1">IF(AND(Energy!$F$11=$A$3,Main!$B$43=A15),'Aerodynamics-Cruise'!V32,Y15)</f>
        <v>110400.19546765549</v>
      </c>
      <c r="Z15" s="102">
        <f ca="1">IF(AND(Energy!$F$11=$A$3,Main!$B$43=$A15),Summary!Z32,Z15)</f>
        <v>81330.259953215602</v>
      </c>
      <c r="AA15" s="102">
        <f ca="1">IF(AND(Energy!$F$11=$A$3,Main!$B$43=$A15),Summary!AA32,AA15)</f>
        <v>320153.74297270318</v>
      </c>
      <c r="AB15" s="103">
        <f ca="1">IF(AND(Energy!$F$11=$A$3,Main!$B$43=$A15),Summary!AB32,AB15)</f>
        <v>3.145677729632721</v>
      </c>
      <c r="AC15" s="103">
        <f ca="1">IF(AND(Energy!$F$11=$A$3,Main!$B$43=$A15),Summary!AC32,AC15)</f>
        <v>3.436426741575842</v>
      </c>
      <c r="AD15" s="103">
        <f ca="1">IF(AND(Energy!$F$11=$A$3,Main!$B$43=$A15),Summary!AD32,AD15)</f>
        <v>0.38447467475225006</v>
      </c>
      <c r="AE15" s="103">
        <f ca="1">IF(AND(Energy!$F$11=$A$3,Main!$B$43=$A15),Summary!AE32,AE15)</f>
        <v>1.0473684210526317</v>
      </c>
      <c r="AF15" s="103">
        <f ca="1">IF(AND(Energy!$F$11=$A$3,Main!$B$43=$A15),Summary!AF32,AF15)</f>
        <v>26.184210526315791</v>
      </c>
      <c r="AG15" s="103">
        <f ca="1">IF(AND(Energy!$F$11=$A$3,Main!$B$43=$A15),Summary!AG32,AG15)</f>
        <v>9.3408901924566994</v>
      </c>
      <c r="AH15" s="103">
        <f ca="1">IF(AND(Energy!$F$11=$A$3,Main!$B$43=$A15),Summary!AH32,AH15)</f>
        <v>47</v>
      </c>
      <c r="AI15" s="103">
        <f ca="1">IF(AND(Energy!$F$11=$A$3,Main!$B$43=$A15),Summary!AI32,AI15)</f>
        <v>2.7856707945703119</v>
      </c>
      <c r="AJ15" s="103">
        <f ca="1">IF(AND(Energy!$F$11=$A$3,Main!$B$43=$A15),Summary!AJ32,AJ15)</f>
        <v>0.3290682605961312</v>
      </c>
      <c r="AK15" s="103">
        <f ca="1">IF(AND(Energy!$F$11=$A$3,Main!$B$43=$A15),Summary!AK32,AK15)</f>
        <v>0.01</v>
      </c>
      <c r="AL15" s="103">
        <f ca="1">IF(AND(Energy!$F$11=$A$3,Main!$B$43=$A15),Summary!AL32,AL15)</f>
        <v>-0.31953604412471043</v>
      </c>
      <c r="AM15" s="103">
        <f ca="1">IF(AND(Energy!$F$11=$A$3,Main!$B$43=$A15),Summary!AM32,AM15)</f>
        <v>0.34375</v>
      </c>
      <c r="AN15" s="103"/>
      <c r="AO15" s="103"/>
      <c r="AP15" s="103"/>
      <c r="AQ15" s="103"/>
      <c r="AR15" s="100"/>
      <c r="AS15" s="103"/>
      <c r="AT15" s="100"/>
      <c r="AU15" s="103"/>
      <c r="AV15" s="103"/>
      <c r="AW15" s="103"/>
      <c r="AX15" s="103"/>
      <c r="AY15" s="103"/>
      <c r="AZ15" s="100"/>
      <c r="BA15" s="100"/>
      <c r="BB15" s="100"/>
      <c r="BC15" s="6"/>
    </row>
    <row r="16" spans="1:55">
      <c r="A16">
        <f t="shared" si="1"/>
        <v>1</v>
      </c>
      <c r="C16" s="103"/>
      <c r="D16" s="1">
        <f ca="1">IF(AND(Energy!$F$11=$A$3,Main!$B$43=A16),Main!C33,D16)</f>
        <v>5.3947368421052637</v>
      </c>
      <c r="E16" s="103">
        <f ca="1">IF(AND(Energy!$F$11=$A$3,Main!$B$43=A16),Main!B33,E16)</f>
        <v>0.2</v>
      </c>
      <c r="F16" s="103">
        <f ca="1">IF(Main!$D$6=1,U16,IF(Main!$D$6=2,N16,IF(Main!$D$6=3,K16,IF(Main!$D$6=4,V16,J16))))</f>
        <v>381.63152012818335</v>
      </c>
      <c r="G16" s="103">
        <f ca="1">IF(AND(Energy!$F$11=$A$3,Main!$B$43=A16),Weight!H33,G16)</f>
        <v>10</v>
      </c>
      <c r="H16" s="103">
        <f ca="1">IF(AND(Energy!$F$11=$A$3,Main!$B$43=A16),Weight!U33,H16)</f>
        <v>12.289467609785383</v>
      </c>
      <c r="I16" s="103">
        <f ca="1">IF(AND(Energy!$F$11=$A$3,Main!$B$43=A16),Weight!V33,I16)</f>
        <v>34.033756082616577</v>
      </c>
      <c r="J16" s="103">
        <f ca="1">IF(AND(Energy!$F$11=$A$3,Main!$B$43=A16),Weight!I33,J16)</f>
        <v>11.683930197831195</v>
      </c>
      <c r="K16" s="103">
        <f ca="1">IF(AND(Energy!$F$11=$A$3,Main!$B$43=A16),Weight!W33,K16)</f>
        <v>44.004219942128039</v>
      </c>
      <c r="L16" s="103">
        <f ca="1">IF(AND(Energy!$F$11=$A$3,Main!$B$43=A16),'Aerodynamics-Cruise'!BI33,L16)</f>
        <v>44.06328465962018</v>
      </c>
      <c r="M16" s="103">
        <f ca="1">IF(AND(Energy!$F$11=$A$3,Main!$B$43=A16),'Aerodynamics-Cruise'!BJ33,M16)</f>
        <v>2.1073534550978477</v>
      </c>
      <c r="N16" s="103">
        <f ca="1">IF(AND(Energy!$F$11=$A$3,Main!$B$43=A16),'Aerodynamics-Cruise'!BK33,N16)</f>
        <v>20.909299554390252</v>
      </c>
      <c r="O16" s="103">
        <f t="shared" ca="1" si="0"/>
        <v>138.79630947316775</v>
      </c>
      <c r="P16" s="103">
        <f ca="1">IF(AND(Energy!$F$11=$A$3,Main!$B$43=A16),'Aerodynamics-Cruise'!H33,P16)</f>
        <v>8.6231148263429347</v>
      </c>
      <c r="Q16" s="103">
        <f ca="1">IF(AND(Energy!$F$11=$A$3,Main!$B$43=A16),'Aerodynamics-Cruise'!I33,Q16)</f>
        <v>7.2398916536656035</v>
      </c>
      <c r="R16" s="103">
        <f ca="1">IF(AND(Energy!$F$11=$A$3,Main!$B$43=$A16),Summary!R33,R16)</f>
        <v>25.04846233024854</v>
      </c>
      <c r="S16" s="103">
        <f ca="1">IF(AND(Energy!$F$11=$A$3,Main!$B$43=A16),'Aerodynamics-Cruise'!W33,S16)</f>
        <v>1</v>
      </c>
      <c r="T16" s="103">
        <f ca="1">IF(AND(Energy!$F$11=$A$3,Main!$B$43=A16),'Aerodynamics-Cruise'!BL33,T16)</f>
        <v>18.171950822999261</v>
      </c>
      <c r="U16" s="103">
        <f ca="1">IF(AND(Energy!$F$11=$A$3,Main!$B$43=A16),'Propulsion-Cruise'!M33,U16)</f>
        <v>40.710505278662062</v>
      </c>
      <c r="V16" s="103">
        <f ca="1">IF(AND(Energy!$F$11=$A$3,Main!$B$43=A16),Endurance!AP33,V16)</f>
        <v>381.63152012818335</v>
      </c>
      <c r="W16" s="103">
        <f ca="1">IF(AND(Energy!$F$11=$A$3,Main!$B$43=$A16),Summary!W33,W16)</f>
        <v>135.72268224537066</v>
      </c>
      <c r="X16" s="13">
        <f ca="1">IF(AND(Energy!$F$11=$A$3,Main!$B$43=A16),Energy!D33,X16)</f>
        <v>766.59435010781351</v>
      </c>
      <c r="Y16" s="102">
        <f ca="1">IF(AND(Energy!$F$11=$A$3,Main!$B$43=A16),'Aerodynamics-Cruise'!V33,Y16)</f>
        <v>109380.3836365403</v>
      </c>
      <c r="Z16" s="102">
        <f ca="1">IF(AND(Energy!$F$11=$A$3,Main!$B$43=$A16),Summary!Z33,Z16)</f>
        <v>80584.164017162024</v>
      </c>
      <c r="AA16" s="102">
        <f ca="1">IF(AND(Energy!$F$11=$A$3,Main!$B$43=$A16),Summary!AA33,AA16)</f>
        <v>317728.62525477557</v>
      </c>
      <c r="AB16" s="103">
        <f ca="1">IF(AND(Energy!$F$11=$A$3,Main!$B$43=$A16),Summary!AB33,AB16)</f>
        <v>3.1210757235015194</v>
      </c>
      <c r="AC16" s="103">
        <f ca="1">IF(AND(Energy!$F$11=$A$3,Main!$B$43=$A16),Summary!AC33,AC16)</f>
        <v>3.3699220044919564</v>
      </c>
      <c r="AD16" s="103">
        <f ca="1">IF(AND(Energy!$F$11=$A$3,Main!$B$43=$A16),Summary!AD33,AD16)</f>
        <v>0.3842151186923371</v>
      </c>
      <c r="AE16" s="103">
        <f ca="1">IF(AND(Energy!$F$11=$A$3,Main!$B$43=$A16),Summary!AE33,AE16)</f>
        <v>1.0789473684210529</v>
      </c>
      <c r="AF16" s="103">
        <f ca="1">IF(AND(Energy!$F$11=$A$3,Main!$B$43=$A16),Summary!AF33,AF16)</f>
        <v>26.973684210526315</v>
      </c>
      <c r="AG16" s="103">
        <f ca="1">IF(AND(Energy!$F$11=$A$3,Main!$B$43=$A16),Summary!AG33,AG16)</f>
        <v>9.378058160576412</v>
      </c>
      <c r="AH16" s="103">
        <f ca="1">IF(AND(Energy!$F$11=$A$3,Main!$B$43=$A16),Summary!AH33,AH16)</f>
        <v>47</v>
      </c>
      <c r="AI16" s="103">
        <f ca="1">IF(AND(Energy!$F$11=$A$3,Main!$B$43=$A16),Summary!AI33,AI16)</f>
        <v>2.7860562449254549</v>
      </c>
      <c r="AJ16" s="103">
        <f ca="1">IF(AND(Energy!$F$11=$A$3,Main!$B$43=$A16),Summary!AJ33,AJ16)</f>
        <v>0.32960938515326399</v>
      </c>
      <c r="AK16" s="103">
        <f ca="1">IF(AND(Energy!$F$11=$A$3,Main!$B$43=$A16),Summary!AK33,AK16)</f>
        <v>0.01</v>
      </c>
      <c r="AL16" s="103">
        <f ca="1">IF(AND(Energy!$F$11=$A$3,Main!$B$43=$A16),Summary!AL33,AL16)</f>
        <v>-0.31901406800943205</v>
      </c>
      <c r="AM16" s="103">
        <f ca="1">IF(AND(Energy!$F$11=$A$3,Main!$B$43=$A16),Summary!AM33,AM16)</f>
        <v>0.34375</v>
      </c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6"/>
    </row>
    <row r="17" spans="1:55">
      <c r="A17">
        <f t="shared" si="1"/>
        <v>1</v>
      </c>
      <c r="C17" s="103"/>
      <c r="D17" s="1">
        <f ca="1">IF(AND(Energy!$F$11=$A$3,Main!$B$43=A17),Main!C34,D17)</f>
        <v>5.552631578947369</v>
      </c>
      <c r="E17" s="103">
        <f ca="1">IF(AND(Energy!$F$11=$A$3,Main!$B$43=A17),Main!B34,E17)</f>
        <v>0.2</v>
      </c>
      <c r="F17" s="103">
        <f ca="1">IF(Main!$D$6=1,U17,IF(Main!$D$6=2,N17,IF(Main!$D$6=3,K17,IF(Main!$D$6=4,V17,J17))))</f>
        <v>384.06932009060813</v>
      </c>
      <c r="G17" s="103">
        <f ca="1">IF(AND(Energy!$F$11=$A$3,Main!$B$43=A17),Weight!H34,G17)</f>
        <v>10</v>
      </c>
      <c r="H17" s="103">
        <f ca="1">IF(AND(Energy!$F$11=$A$3,Main!$B$43=A17),Weight!U34,H17)</f>
        <v>12.684799181698438</v>
      </c>
      <c r="I17" s="103">
        <f ca="1">IF(AND(Energy!$F$11=$A$3,Main!$B$43=A17),Weight!V34,I17)</f>
        <v>34.560678416347521</v>
      </c>
      <c r="J17" s="103">
        <f ca="1">IF(AND(Energy!$F$11=$A$3,Main!$B$43=A17),Weight!I34,J17)</f>
        <v>11.815520959649087</v>
      </c>
      <c r="K17" s="103">
        <f ca="1">IF(AND(Energy!$F$11=$A$3,Main!$B$43=A17),Weight!W34,K17)</f>
        <v>44.527488600881505</v>
      </c>
      <c r="L17" s="103">
        <f ca="1">IF(AND(Energy!$F$11=$A$3,Main!$B$43=A17),'Aerodynamics-Cruise'!BI34,L17)</f>
        <v>44.593955511621864</v>
      </c>
      <c r="M17" s="103">
        <f ca="1">IF(AND(Energy!$F$11=$A$3,Main!$B$43=A17),'Aerodynamics-Cruise'!BJ34,M17)</f>
        <v>2.1308263596303276</v>
      </c>
      <c r="N17" s="103">
        <f ca="1">IF(AND(Energy!$F$11=$A$3,Main!$B$43=A17),'Aerodynamics-Cruise'!BK34,N17)</f>
        <v>20.928010069932856</v>
      </c>
      <c r="O17" s="103">
        <f t="shared" ca="1" si="0"/>
        <v>139.75454278843819</v>
      </c>
      <c r="P17" s="103">
        <f ca="1">IF(AND(Energy!$F$11=$A$3,Main!$B$43=A17),'Aerodynamics-Cruise'!H34,P17)</f>
        <v>8.550646973291375</v>
      </c>
      <c r="Q17" s="103">
        <f ca="1">IF(AND(Energy!$F$11=$A$3,Main!$B$43=A17),'Aerodynamics-Cruise'!I34,Q17)</f>
        <v>7.1794710196420315</v>
      </c>
      <c r="R17" s="103">
        <f ca="1">IF(AND(Energy!$F$11=$A$3,Main!$B$43=$A17),Summary!R34,R17)</f>
        <v>24.862470614054139</v>
      </c>
      <c r="S17" s="103">
        <f ca="1">IF(AND(Energy!$F$11=$A$3,Main!$B$43=A17),'Aerodynamics-Cruise'!W34,S17)</f>
        <v>1</v>
      </c>
      <c r="T17" s="103">
        <f ca="1">IF(AND(Energy!$F$11=$A$3,Main!$B$43=A17),'Aerodynamics-Cruise'!BL34,T17)</f>
        <v>18.219943962582541</v>
      </c>
      <c r="U17" s="103">
        <f ca="1">IF(AND(Energy!$F$11=$A$3,Main!$B$43=A17),'Propulsion-Cruise'!M34,U17)</f>
        <v>40.902288074274203</v>
      </c>
      <c r="V17" s="103">
        <f ca="1">IF(AND(Energy!$F$11=$A$3,Main!$B$43=A17),Endurance!AP34,V17)</f>
        <v>384.06932009060813</v>
      </c>
      <c r="W17" s="103">
        <f ca="1">IF(AND(Energy!$F$11=$A$3,Main!$B$43=$A17),Summary!W34,W17)</f>
        <v>138.08832982139188</v>
      </c>
      <c r="X17" s="13">
        <f ca="1">IF(AND(Energy!$F$11=$A$3,Main!$B$43=A17),Energy!D34,X17)</f>
        <v>770.95878652387955</v>
      </c>
      <c r="Y17" s="102">
        <f ca="1">IF(AND(Energy!$F$11=$A$3,Main!$B$43=A17),'Aerodynamics-Cruise'!V34,Y17)</f>
        <v>108461.16109019534</v>
      </c>
      <c r="Z17" s="102">
        <f ca="1">IF(AND(Energy!$F$11=$A$3,Main!$B$43=$A17),Summary!Z34,Z17)</f>
        <v>79911.615568042747</v>
      </c>
      <c r="AA17" s="102">
        <f ca="1">IF(AND(Energy!$F$11=$A$3,Main!$B$43=$A17),Summary!AA34,AA17)</f>
        <v>315369.40289948316</v>
      </c>
      <c r="AB17" s="103">
        <f ca="1">IF(AND(Energy!$F$11=$A$3,Main!$B$43=$A17),Summary!AB34,AB17)</f>
        <v>3.1046905395681836</v>
      </c>
      <c r="AC17" s="103">
        <f ca="1">IF(AND(Energy!$F$11=$A$3,Main!$B$43=$A17),Summary!AC34,AC17)</f>
        <v>3.3036008226583591</v>
      </c>
      <c r="AD17" s="103">
        <f ca="1">IF(AND(Energy!$F$11=$A$3,Main!$B$43=$A17),Summary!AD34,AD17)</f>
        <v>0.38425810517204712</v>
      </c>
      <c r="AE17" s="103">
        <f ca="1">IF(AND(Energy!$F$11=$A$3,Main!$B$43=$A17),Summary!AE34,AE17)</f>
        <v>1.1105263157894738</v>
      </c>
      <c r="AF17" s="103">
        <f ca="1">IF(AND(Energy!$F$11=$A$3,Main!$B$43=$A17),Summary!AF34,AF17)</f>
        <v>27.763157894736846</v>
      </c>
      <c r="AG17" s="103">
        <f ca="1">IF(AND(Energy!$F$11=$A$3,Main!$B$43=$A17),Summary!AG34,AG17)</f>
        <v>9.4230397458764106</v>
      </c>
      <c r="AH17" s="103">
        <f ca="1">IF(AND(Energy!$F$11=$A$3,Main!$B$43=$A17),Summary!AH34,AH17)</f>
        <v>47</v>
      </c>
      <c r="AI17" s="103">
        <f ca="1">IF(AND(Energy!$F$11=$A$3,Main!$B$43=$A17),Summary!AI34,AI17)</f>
        <v>2.7863829948319765</v>
      </c>
      <c r="AJ17" s="103">
        <f ca="1">IF(AND(Energy!$F$11=$A$3,Main!$B$43=$A17),Summary!AJ34,AJ17)</f>
        <v>0.33008516240868369</v>
      </c>
      <c r="AK17" s="103">
        <f ca="1">IF(AND(Energy!$F$11=$A$3,Main!$B$43=$A17),Summary!AK34,AK17)</f>
        <v>0.01</v>
      </c>
      <c r="AL17" s="103">
        <f ca="1">IF(AND(Energy!$F$11=$A$3,Main!$B$43=$A17),Summary!AL34,AL17)</f>
        <v>-0.31855650415925663</v>
      </c>
      <c r="AM17" s="103">
        <f ca="1">IF(AND(Energy!$F$11=$A$3,Main!$B$43=$A17),Summary!AM34,AM17)</f>
        <v>0.34375</v>
      </c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6"/>
    </row>
    <row r="18" spans="1:55">
      <c r="A18">
        <f t="shared" si="1"/>
        <v>1</v>
      </c>
      <c r="D18" s="1">
        <f ca="1">IF(AND(Energy!$F$11=$A$3,Main!$B$43=A18),Main!C35,D18)</f>
        <v>5.7105263157894743</v>
      </c>
      <c r="E18" s="103">
        <f ca="1">IF(AND(Energy!$F$11=$A$3,Main!$B$43=A18),Main!B35,E18)</f>
        <v>0.2</v>
      </c>
      <c r="F18" s="103">
        <f ca="1">IF(Main!$D$6=1,U18,IF(Main!$D$6=2,N18,IF(Main!$D$6=3,K18,IF(Main!$D$6=4,V18,J18))))</f>
        <v>387.06822326748085</v>
      </c>
      <c r="G18" s="103">
        <f ca="1">IF(AND(Energy!$F$11=$A$3,Main!$B$43=A18),Weight!H35,G18)</f>
        <v>10</v>
      </c>
      <c r="H18" s="103">
        <f ca="1">IF(AND(Energy!$F$11=$A$3,Main!$B$43=A18),Weight!U35,H18)</f>
        <v>13.091837587766072</v>
      </c>
      <c r="I18" s="103">
        <f ca="1">IF(AND(Energy!$F$11=$A$3,Main!$B$43=A18),Weight!V35,I18)</f>
        <v>35.129055530559583</v>
      </c>
      <c r="J18" s="103">
        <f ca="1">IF(AND(Energy!$F$11=$A$3,Main!$B$43=A18),Weight!I35,J18)</f>
        <v>11.976859667793516</v>
      </c>
      <c r="K18" s="103">
        <f ca="1">IF(AND(Energy!$F$11=$A$3,Main!$B$43=A18),Weight!W35,K18)</f>
        <v>45.092520254889152</v>
      </c>
      <c r="L18" s="103">
        <f ca="1">IF(AND(Energy!$F$11=$A$3,Main!$B$43=A18),'Aerodynamics-Cruise'!BI35,L18)</f>
        <v>45.165755548429182</v>
      </c>
      <c r="M18" s="103">
        <f ca="1">IF(AND(Energy!$F$11=$A$3,Main!$B$43=A18),'Aerodynamics-Cruise'!BJ35,M18)</f>
        <v>2.1566289692435334</v>
      </c>
      <c r="N18" s="103">
        <f ca="1">IF(AND(Energy!$F$11=$A$3,Main!$B$43=A18),'Aerodynamics-Cruise'!BK35,N18)</f>
        <v>20.94275658565028</v>
      </c>
      <c r="O18" s="103">
        <f t="shared" ca="1" si="0"/>
        <v>140.74678550467411</v>
      </c>
      <c r="P18" s="103">
        <f ca="1">IF(AND(Energy!$F$11=$A$3,Main!$B$43=A18),'Aerodynamics-Cruise'!H35,P18)</f>
        <v>8.4854834315882961</v>
      </c>
      <c r="Q18" s="103">
        <f ca="1">IF(AND(Energy!$F$11=$A$3,Main!$B$43=A18),'Aerodynamics-Cruise'!I35,Q18)</f>
        <v>7.1251371380376227</v>
      </c>
      <c r="R18" s="103">
        <f ca="1">IF(AND(Energy!$F$11=$A$3,Main!$B$43=$A18),Summary!R35,R18)</f>
        <v>24.681458460708917</v>
      </c>
      <c r="S18" s="103">
        <f ca="1">IF(AND(Energy!$F$11=$A$3,Main!$B$43=A18),'Aerodynamics-Cruise'!W35,S18)</f>
        <v>1</v>
      </c>
      <c r="T18" s="103">
        <f ca="1">IF(AND(Energy!$F$11=$A$3,Main!$B$43=A18),'Aerodynamics-Cruise'!BL35,T18)</f>
        <v>18.300039386599348</v>
      </c>
      <c r="U18" s="103">
        <f ca="1">IF(AND(Energy!$F$11=$A$3,Main!$B$43=A18),'Propulsion-Cruise'!M35,U18)</f>
        <v>41.15599631381145</v>
      </c>
      <c r="V18" s="103">
        <f ca="1">IF(AND(Energy!$F$11=$A$3,Main!$B$43=A18),Endurance!AP35,V18)</f>
        <v>387.06822326748085</v>
      </c>
      <c r="W18" s="103">
        <f ca="1">IF(AND(Energy!$F$11=$A$3,Main!$B$43=$A18),Summary!W35,W18)</f>
        <v>141.02136089497014</v>
      </c>
      <c r="X18" s="13">
        <f ca="1">IF(AND(Energy!$F$11=$A$3,Main!$B$43=A18),Energy!D35,X18)</f>
        <v>776.33984819182774</v>
      </c>
      <c r="Y18" s="102">
        <f ca="1">IF(AND(Energy!$F$11=$A$3,Main!$B$43=A18),'Aerodynamics-Cruise'!V35,Y18)</f>
        <v>107634.59049080772</v>
      </c>
      <c r="Z18" s="102">
        <f ca="1">IF(AND(Energy!$F$11=$A$3,Main!$B$43=$A18),Summary!Z35,Z18)</f>
        <v>79306.819626957571</v>
      </c>
      <c r="AA18" s="102">
        <f ca="1">IF(AND(Energy!$F$11=$A$3,Main!$B$43=$A18),Summary!AA35,AA18)</f>
        <v>313073.34408842662</v>
      </c>
      <c r="AB18" s="103">
        <f ca="1">IF(AND(Energy!$F$11=$A$3,Main!$B$43=$A18),Summary!AB35,AB18)</f>
        <v>3.0958873349535008</v>
      </c>
      <c r="AC18" s="103">
        <f ca="1">IF(AND(Energy!$F$11=$A$3,Main!$B$43=$A18),Summary!AC35,AC18)</f>
        <v>3.2375816684641814</v>
      </c>
      <c r="AD18" s="103">
        <f ca="1">IF(AND(Energy!$F$11=$A$3,Main!$B$43=$A18),Summary!AD35,AD18)</f>
        <v>0.38458565348321505</v>
      </c>
      <c r="AE18" s="103">
        <f ca="1">IF(AND(Energy!$F$11=$A$3,Main!$B$43=$A18),Summary!AE35,AE18)</f>
        <v>1.142105263157895</v>
      </c>
      <c r="AF18" s="103">
        <f ca="1">IF(AND(Energy!$F$11=$A$3,Main!$B$43=$A18),Summary!AF35,AF18)</f>
        <v>28.552631578947366</v>
      </c>
      <c r="AG18" s="103">
        <f ca="1">IF(AND(Energy!$F$11=$A$3,Main!$B$43=$A18),Summary!AG35,AG18)</f>
        <v>9.4754937287037571</v>
      </c>
      <c r="AH18" s="103">
        <f ca="1">IF(AND(Energy!$F$11=$A$3,Main!$B$43=$A18),Summary!AH35,AH18)</f>
        <v>47</v>
      </c>
      <c r="AI18" s="103">
        <f ca="1">IF(AND(Energy!$F$11=$A$3,Main!$B$43=$A18),Summary!AI35,AI18)</f>
        <v>2.7866551654451892</v>
      </c>
      <c r="AJ18" s="103">
        <f ca="1">IF(AND(Energy!$F$11=$A$3,Main!$B$43=$A18),Summary!AJ35,AJ18)</f>
        <v>0.33049909871775685</v>
      </c>
      <c r="AK18" s="103">
        <f ca="1">IF(AND(Energy!$F$11=$A$3,Main!$B$43=$A18),Summary!AK35,AK18)</f>
        <v>0.01</v>
      </c>
      <c r="AL18" s="103">
        <f ca="1">IF(AND(Energy!$F$11=$A$3,Main!$B$43=$A18),Summary!AL35,AL18)</f>
        <v>-0.31815944172551242</v>
      </c>
      <c r="AM18" s="103">
        <f ca="1">IF(AND(Energy!$F$11=$A$3,Main!$B$43=$A18),Summary!AM35,AM18)</f>
        <v>0.34375</v>
      </c>
      <c r="AN18" s="104"/>
      <c r="AO18" s="104"/>
      <c r="AP18" s="104"/>
      <c r="AQ18" s="104"/>
      <c r="AR18" s="104"/>
      <c r="AS18" s="104"/>
      <c r="AT18" s="104"/>
      <c r="AU18" s="104"/>
      <c r="AV18" s="104"/>
      <c r="AW18" s="104"/>
      <c r="AX18" s="104"/>
      <c r="AY18" s="104"/>
      <c r="AZ18" s="104"/>
      <c r="BA18" s="100"/>
      <c r="BB18" s="100"/>
      <c r="BC18" s="6"/>
    </row>
    <row r="19" spans="1:55">
      <c r="A19">
        <f t="shared" si="1"/>
        <v>1</v>
      </c>
      <c r="C19" s="103"/>
      <c r="D19" s="1">
        <f ca="1">IF(AND(Energy!$F$11=$A$3,Main!$B$43=A19),Main!C36,D19)</f>
        <v>5.8684210526315796</v>
      </c>
      <c r="E19" s="103">
        <f ca="1">IF(AND(Energy!$F$11=$A$3,Main!$B$43=A19),Main!B36,E19)</f>
        <v>0.2</v>
      </c>
      <c r="F19" s="103">
        <f ca="1">IF(Main!$D$6=1,U19,IF(Main!$D$6=2,N19,IF(Main!$D$6=3,K19,IF(Main!$D$6=4,V19,J19))))</f>
        <v>390.60937448789218</v>
      </c>
      <c r="G19" s="103">
        <f ca="1">IF(AND(Energy!$F$11=$A$3,Main!$B$43=A19),Weight!H36,G19)</f>
        <v>10</v>
      </c>
      <c r="H19" s="103">
        <f ca="1">IF(AND(Energy!$F$11=$A$3,Main!$B$43=A19),Weight!U36,H19)</f>
        <v>13.510793937643392</v>
      </c>
      <c r="I19" s="103">
        <f ca="1">IF(AND(Energy!$F$11=$A$3,Main!$B$43=A19),Weight!V36,I19)</f>
        <v>35.738110317771614</v>
      </c>
      <c r="J19" s="103">
        <f ca="1">IF(AND(Energy!$F$11=$A$3,Main!$B$43=A19),Weight!I36,J19)</f>
        <v>12.166958105128224</v>
      </c>
      <c r="K19" s="103">
        <f ca="1">IF(AND(Energy!$F$11=$A$3,Main!$B$43=A19),Weight!W36,K19)</f>
        <v>45.698521050854978</v>
      </c>
      <c r="L19" s="103">
        <f ca="1">IF(AND(Energy!$F$11=$A$3,Main!$B$43=A19),'Aerodynamics-Cruise'!BI36,L19)</f>
        <v>45.777924870783224</v>
      </c>
      <c r="M19" s="103">
        <f ca="1">IF(AND(Energy!$F$11=$A$3,Main!$B$43=A19),'Aerodynamics-Cruise'!BJ36,M19)</f>
        <v>2.1847148308475814</v>
      </c>
      <c r="N19" s="103">
        <f ca="1">IF(AND(Energy!$F$11=$A$3,Main!$B$43=A19),'Aerodynamics-Cruise'!BK36,N19)</f>
        <v>20.953730081570065</v>
      </c>
      <c r="O19" s="103">
        <f t="shared" ca="1" si="0"/>
        <v>141.7716507575964</v>
      </c>
      <c r="P19" s="103">
        <f ca="1">IF(AND(Energy!$F$11=$A$3,Main!$B$43=A19),'Aerodynamics-Cruise'!H36,P19)</f>
        <v>8.4270799499424385</v>
      </c>
      <c r="Q19" s="103">
        <f ca="1">IF(AND(Energy!$F$11=$A$3,Main!$B$43=A19),'Aerodynamics-Cruise'!I36,Q19)</f>
        <v>7.0764371477082131</v>
      </c>
      <c r="R19" s="103">
        <f ca="1">IF(AND(Energy!$F$11=$A$3,Main!$B$43=$A19),Summary!R36,R19)</f>
        <v>24.505224277485258</v>
      </c>
      <c r="S19" s="103">
        <f ca="1">IF(AND(Energy!$F$11=$A$3,Main!$B$43=A19),'Aerodynamics-Cruise'!W36,S19)</f>
        <v>1</v>
      </c>
      <c r="T19" s="103">
        <f ca="1">IF(AND(Energy!$F$11=$A$3,Main!$B$43=A19),'Aerodynamics-Cruise'!BL36,T19)</f>
        <v>18.410766547377541</v>
      </c>
      <c r="U19" s="103">
        <f ca="1">IF(AND(Energy!$F$11=$A$3,Main!$B$43=A19),'Propulsion-Cruise'!M36,U19)</f>
        <v>41.4693813057279</v>
      </c>
      <c r="V19" s="103">
        <f ca="1">IF(AND(Energy!$F$11=$A$3,Main!$B$43=A19),Endurance!AP36,V19)</f>
        <v>390.60937448789218</v>
      </c>
      <c r="W19" s="103">
        <f ca="1">IF(AND(Energy!$F$11=$A$3,Main!$B$43=$A19),Summary!W36,W19)</f>
        <v>144.50260083463621</v>
      </c>
      <c r="X19" s="13">
        <f ca="1">IF(AND(Energy!$F$11=$A$3,Main!$B$43=A19),Energy!D36,X19)</f>
        <v>782.70347017056372</v>
      </c>
      <c r="Y19" s="102">
        <f ca="1">IF(AND(Energy!$F$11=$A$3,Main!$B$43=A19),'Aerodynamics-Cruise'!V36,Y19)</f>
        <v>106893.76825234952</v>
      </c>
      <c r="Z19" s="102">
        <f ca="1">IF(AND(Energy!$F$11=$A$3,Main!$B$43=$A19),Summary!Z36,Z19)</f>
        <v>78764.73528171092</v>
      </c>
      <c r="AA19" s="102">
        <f ca="1">IF(AND(Energy!$F$11=$A$3,Main!$B$43=$A19),Summary!AA36,AA19)</f>
        <v>310837.89170734643</v>
      </c>
      <c r="AB19" s="103">
        <f ca="1">IF(AND(Energy!$F$11=$A$3,Main!$B$43=$A19),Summary!AB36,AB19)</f>
        <v>3.0941570776643021</v>
      </c>
      <c r="AC19" s="103">
        <f ca="1">IF(AND(Energy!$F$11=$A$3,Main!$B$43=$A19),Summary!AC36,AC19)</f>
        <v>3.1719576121221995</v>
      </c>
      <c r="AD19" s="103">
        <f ca="1">IF(AND(Energy!$F$11=$A$3,Main!$B$43=$A19),Summary!AD36,AD19)</f>
        <v>0.38518269423667528</v>
      </c>
      <c r="AE19" s="103">
        <f ca="1">IF(AND(Energy!$F$11=$A$3,Main!$B$43=$A19),Summary!AE36,AE19)</f>
        <v>1.1736842105263159</v>
      </c>
      <c r="AF19" s="103">
        <f ca="1">IF(AND(Energy!$F$11=$A$3,Main!$B$43=$A19),Summary!AF36,AF19)</f>
        <v>29.342105263157901</v>
      </c>
      <c r="AG19" s="103">
        <f ca="1">IF(AND(Energy!$F$11=$A$3,Main!$B$43=$A19),Summary!AG36,AG19)</f>
        <v>9.535152219270433</v>
      </c>
      <c r="AH19" s="103">
        <f ca="1">IF(AND(Energy!$F$11=$A$3,Main!$B$43=$A19),Summary!AH36,AH19)</f>
        <v>47</v>
      </c>
      <c r="AI19" s="103">
        <f ca="1">IF(AND(Energy!$F$11=$A$3,Main!$B$43=$A19),Summary!AI36,AI19)</f>
        <v>2.7868760104065489</v>
      </c>
      <c r="AJ19" s="103">
        <f ca="1">IF(AND(Energy!$F$11=$A$3,Main!$B$43=$A19),Summary!AJ36,AJ19)</f>
        <v>0.33085434407602721</v>
      </c>
      <c r="AK19" s="103">
        <f ca="1">IF(AND(Energy!$F$11=$A$3,Main!$B$43=$A19),Summary!AK36,AK19)</f>
        <v>0.01</v>
      </c>
      <c r="AL19" s="103">
        <f ca="1">IF(AND(Energy!$F$11=$A$3,Main!$B$43=$A19),Summary!AL36,AL19)</f>
        <v>-0.31781941693485194</v>
      </c>
      <c r="AM19" s="103">
        <f ca="1">IF(AND(Energy!$F$11=$A$3,Main!$B$43=$A19),Summary!AM36,AM19)</f>
        <v>0.34375</v>
      </c>
      <c r="AN19" s="104"/>
      <c r="AO19" s="104"/>
      <c r="AP19" s="104"/>
      <c r="AQ19" s="104"/>
      <c r="AR19" s="100"/>
      <c r="AS19" s="104"/>
      <c r="AT19" s="104"/>
      <c r="AU19" s="104"/>
      <c r="AV19" s="104"/>
      <c r="AW19" s="104"/>
      <c r="AX19" s="104"/>
      <c r="AY19" s="104"/>
      <c r="AZ19" s="104"/>
      <c r="BA19" s="100"/>
      <c r="BB19" s="100"/>
      <c r="BC19" s="6"/>
    </row>
    <row r="20" spans="1:55">
      <c r="A20">
        <f t="shared" si="1"/>
        <v>1</v>
      </c>
      <c r="C20" s="103"/>
      <c r="D20" s="1">
        <f ca="1">IF(AND(Energy!$F$11=$A$3,Main!$B$43=A20),Main!C37,D20)</f>
        <v>6.026315789473685</v>
      </c>
      <c r="E20" s="103">
        <f ca="1">IF(AND(Energy!$F$11=$A$3,Main!$B$43=A20),Main!B37,E20)</f>
        <v>0.2</v>
      </c>
      <c r="F20" s="103">
        <f ca="1">IF(Main!$D$6=1,U20,IF(Main!$D$6=2,N20,IF(Main!$D$6=3,K20,IF(Main!$D$6=4,V20,J20))))</f>
        <v>394.67945553953325</v>
      </c>
      <c r="G20" s="103">
        <f ca="1">IF(AND(Energy!$F$11=$A$3,Main!$B$43=A20),Weight!H37,G20)</f>
        <v>10</v>
      </c>
      <c r="H20" s="103">
        <f ca="1">IF(AND(Energy!$F$11=$A$3,Main!$B$43=A20),Weight!U37,H20)</f>
        <v>13.94189770351143</v>
      </c>
      <c r="I20" s="103">
        <f ca="1">IF(AND(Energy!$F$11=$A$3,Main!$B$43=A20),Weight!V37,I20)</f>
        <v>36.387370971973027</v>
      </c>
      <c r="J20" s="103">
        <f ca="1">IF(AND(Energy!$F$11=$A$3,Main!$B$43=A20),Weight!I37,J20)</f>
        <v>12.385114993461602</v>
      </c>
      <c r="K20" s="103">
        <f ca="1">IF(AND(Energy!$F$11=$A$3,Main!$B$43=A20),Weight!W37,K20)</f>
        <v>46.345008229937889</v>
      </c>
      <c r="L20" s="103">
        <f ca="1">IF(AND(Energy!$F$11=$A$3,Main!$B$43=A20),'Aerodynamics-Cruise'!BI37,L20)</f>
        <v>46.430002953583106</v>
      </c>
      <c r="M20" s="103">
        <f ca="1">IF(AND(Energy!$F$11=$A$3,Main!$B$43=A20),'Aerodynamics-Cruise'!BJ37,M20)</f>
        <v>2.2150575959909649</v>
      </c>
      <c r="N20" s="103">
        <f ca="1">IF(AND(Energy!$F$11=$A$3,Main!$B$43=A20),'Aerodynamics-Cruise'!BK37,N20)</f>
        <v>20.961081570798349</v>
      </c>
      <c r="O20" s="103">
        <f t="shared" ca="1" si="0"/>
        <v>142.82789766213335</v>
      </c>
      <c r="P20" s="103">
        <f ca="1">IF(AND(Energy!$F$11=$A$3,Main!$B$43=A20),'Aerodynamics-Cruise'!H37,P20)</f>
        <v>8.3749620953371675</v>
      </c>
      <c r="Q20" s="103">
        <f ca="1">IF(AND(Energy!$F$11=$A$3,Main!$B$43=A20),'Aerodynamics-Cruise'!I37,Q20)</f>
        <v>7.0329762310526762</v>
      </c>
      <c r="R20" s="103">
        <f ca="1">IF(AND(Energy!$F$11=$A$3,Main!$B$43=$A20),Summary!R37,R20)</f>
        <v>24.333726265289034</v>
      </c>
      <c r="S20" s="103">
        <f ca="1">IF(AND(Energy!$F$11=$A$3,Main!$B$43=A20),'Aerodynamics-Cruise'!W37,S20)</f>
        <v>1</v>
      </c>
      <c r="T20" s="103">
        <f ca="1">IF(AND(Energy!$F$11=$A$3,Main!$B$43=A20),'Aerodynamics-Cruise'!BL37,T20)</f>
        <v>18.551023405413002</v>
      </c>
      <c r="U20" s="103">
        <f ca="1">IF(AND(Energy!$F$11=$A$3,Main!$B$43=A20),'Propulsion-Cruise'!M37,U20)</f>
        <v>41.840829734649098</v>
      </c>
      <c r="V20" s="103">
        <f ca="1">IF(AND(Energy!$F$11=$A$3,Main!$B$43=A20),Endurance!AP37,V20)</f>
        <v>394.67945553953325</v>
      </c>
      <c r="W20" s="103">
        <f ca="1">IF(AND(Energy!$F$11=$A$3,Main!$B$43=$A20),Summary!W37,W20)</f>
        <v>148.51844594060759</v>
      </c>
      <c r="X20" s="13">
        <f ca="1">IF(AND(Energy!$F$11=$A$3,Main!$B$43=A20),Energy!D37,X20)</f>
        <v>790.02548153505245</v>
      </c>
      <c r="Y20" s="102">
        <f ca="1">IF(AND(Energy!$F$11=$A$3,Main!$B$43=A20),'Aerodynamics-Cruise'!V37,Y20)</f>
        <v>106232.67640261292</v>
      </c>
      <c r="Z20" s="102">
        <f ca="1">IF(AND(Energy!$F$11=$A$3,Main!$B$43=$A20),Summary!Z37,Z20)</f>
        <v>78280.967721033507</v>
      </c>
      <c r="AA20" s="102">
        <f ca="1">IF(AND(Energy!$F$11=$A$3,Main!$B$43=$A20),Summary!AA37,AA20)</f>
        <v>308662.5155532888</v>
      </c>
      <c r="AB20" s="103">
        <f ca="1">IF(AND(Energy!$F$11=$A$3,Main!$B$43=$A20),Summary!AB37,AB20)</f>
        <v>3.0990964215813275</v>
      </c>
      <c r="AC20" s="103">
        <f ca="1">IF(AND(Energy!$F$11=$A$3,Main!$B$43=$A20),Summary!AC37,AC20)</f>
        <v>3.1068007653989422</v>
      </c>
      <c r="AD20" s="103">
        <f ca="1">IF(AND(Energy!$F$11=$A$3,Main!$B$43=$A20),Summary!AD37,AD20)</f>
        <v>0.38603669729543116</v>
      </c>
      <c r="AE20" s="103">
        <f ca="1">IF(AND(Energy!$F$11=$A$3,Main!$B$43=$A20),Summary!AE37,AE20)</f>
        <v>1.205263157894737</v>
      </c>
      <c r="AF20" s="103">
        <f ca="1">IF(AND(Energy!$F$11=$A$3,Main!$B$43=$A20),Summary!AF37,AF20)</f>
        <v>30.131578947368425</v>
      </c>
      <c r="AG20" s="103">
        <f ca="1">IF(AND(Energy!$F$11=$A$3,Main!$B$43=$A20),Summary!AG37,AG20)</f>
        <v>9.6018118583975518</v>
      </c>
      <c r="AH20" s="103">
        <f ca="1">IF(AND(Energy!$F$11=$A$3,Main!$B$43=$A20),Summary!AH37,AH20)</f>
        <v>47</v>
      </c>
      <c r="AI20" s="103">
        <f ca="1">IF(AND(Energy!$F$11=$A$3,Main!$B$43=$A20),Summary!AI37,AI20)</f>
        <v>2.7870480325039537</v>
      </c>
      <c r="AJ20" s="103">
        <f ca="1">IF(AND(Energy!$F$11=$A$3,Main!$B$43=$A20),Summary!AJ37,AJ20)</f>
        <v>0.33115373355680378</v>
      </c>
      <c r="AK20" s="103">
        <f ca="1">IF(AND(Energy!$F$11=$A$3,Main!$B$43=$A20),Summary!AK37,AK20)</f>
        <v>0.01</v>
      </c>
      <c r="AL20" s="103">
        <f ca="1">IF(AND(Energy!$F$11=$A$3,Main!$B$43=$A20),Summary!AL37,AL20)</f>
        <v>-0.31753335670662475</v>
      </c>
      <c r="AM20" s="103">
        <f ca="1">IF(AND(Energy!$F$11=$A$3,Main!$B$43=$A20),Summary!AM37,AM20)</f>
        <v>0.34375</v>
      </c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6"/>
    </row>
    <row r="21" spans="1:55">
      <c r="A21">
        <f t="shared" si="1"/>
        <v>1</v>
      </c>
      <c r="C21" s="103"/>
      <c r="D21" s="1">
        <f ca="1">IF(AND(Energy!$F$11=$A$3,Main!$B$43=A21),Main!C38,D21)</f>
        <v>6.1842105263157903</v>
      </c>
      <c r="E21" s="103">
        <f ca="1">IF(AND(Energy!$F$11=$A$3,Main!$B$43=A21),Main!B38,E21)</f>
        <v>0.2</v>
      </c>
      <c r="F21" s="103">
        <f ca="1">IF(Main!$D$6=1,U21,IF(Main!$D$6=2,N21,IF(Main!$D$6=3,K21,IF(Main!$D$6=4,V21,J21))))</f>
        <v>399.27009505532817</v>
      </c>
      <c r="G21" s="103">
        <f ca="1">IF(AND(Energy!$F$11=$A$3,Main!$B$43=A21),Weight!H38,G21)</f>
        <v>10</v>
      </c>
      <c r="H21" s="103">
        <f ca="1">IF(AND(Energy!$F$11=$A$3,Main!$B$43=A21),Weight!U38,H21)</f>
        <v>14.385397064487499</v>
      </c>
      <c r="I21" s="103">
        <f ca="1">IF(AND(Energy!$F$11=$A$3,Main!$B$43=A21),Weight!V38,I21)</f>
        <v>37.076640916837107</v>
      </c>
      <c r="J21" s="103">
        <f ca="1">IF(AND(Energy!$F$11=$A$3,Main!$B$43=A21),Weight!I38,J21)</f>
        <v>12.630885577349609</v>
      </c>
      <c r="K21" s="103">
        <f ca="1">IF(AND(Energy!$F$11=$A$3,Main!$B$43=A21),Weight!W38,K21)</f>
        <v>47.031779464016445</v>
      </c>
      <c r="L21" s="103">
        <f ca="1">IF(AND(Energy!$F$11=$A$3,Main!$B$43=A21),'Aerodynamics-Cruise'!BI38,L21)</f>
        <v>47.121799166549025</v>
      </c>
      <c r="M21" s="103">
        <f ca="1">IF(AND(Energy!$F$11=$A$3,Main!$B$43=A21),'Aerodynamics-Cruise'!BJ38,M21)</f>
        <v>2.2476492481157209</v>
      </c>
      <c r="N21" s="103">
        <f ca="1">IF(AND(Energy!$F$11=$A$3,Main!$B$43=A21),'Aerodynamics-Cruise'!BK38,N21)</f>
        <v>20.96492555769224</v>
      </c>
      <c r="O21" s="103">
        <f t="shared" ca="1" si="0"/>
        <v>143.9144017385276</v>
      </c>
      <c r="P21" s="103">
        <f ca="1">IF(AND(Energy!$F$11=$A$3,Main!$B$43=A21),'Aerodynamics-Cruise'!H38,P21)</f>
        <v>8.3287156997836451</v>
      </c>
      <c r="Q21" s="103">
        <f ca="1">IF(AND(Energy!$F$11=$A$3,Main!$B$43=A21),'Aerodynamics-Cruise'!I38,Q21)</f>
        <v>6.9944096789868713</v>
      </c>
      <c r="R21" s="103">
        <f ca="1">IF(AND(Energy!$F$11=$A$3,Main!$B$43=$A21),Summary!R38,R21)</f>
        <v>24.166747510306283</v>
      </c>
      <c r="S21" s="103">
        <f ca="1">IF(AND(Energy!$F$11=$A$3,Main!$B$43=A21),'Aerodynamics-Cruise'!W38,S21)</f>
        <v>1</v>
      </c>
      <c r="T21" s="103">
        <f ca="1">IF(AND(Energy!$F$11=$A$3,Main!$B$43=A21),'Aerodynamics-Cruise'!BL38,T21)</f>
        <v>18.720031580388309</v>
      </c>
      <c r="U21" s="103">
        <f ca="1">IF(AND(Energy!$F$11=$A$3,Main!$B$43=A21),'Propulsion-Cruise'!M38,U21)</f>
        <v>42.269294992881676</v>
      </c>
      <c r="V21" s="103">
        <f ca="1">IF(AND(Energy!$F$11=$A$3,Main!$B$43=A21),Endurance!AP38,V21)</f>
        <v>399.27009505532817</v>
      </c>
      <c r="W21" s="103">
        <f ca="1">IF(AND(Energy!$F$11=$A$3,Main!$B$43=$A21),Summary!W38,W21)</f>
        <v>153.06027019725479</v>
      </c>
      <c r="X21" s="13">
        <f ca="1">IF(AND(Energy!$F$11=$A$3,Main!$B$43=A21),Energy!D38,X21)</f>
        <v>798.29055433607698</v>
      </c>
      <c r="Y21" s="102">
        <f ca="1">IF(AND(Energy!$F$11=$A$3,Main!$B$43=A21),'Aerodynamics-Cruise'!V38,Y21)</f>
        <v>105646.06140451522</v>
      </c>
      <c r="Z21" s="102">
        <f ca="1">IF(AND(Energy!$F$11=$A$3,Main!$B$43=$A21),Summary!Z38,Z21)</f>
        <v>77851.679906781428</v>
      </c>
      <c r="AA21" s="102">
        <f ca="1">IF(AND(Energy!$F$11=$A$3,Main!$B$43=$A21),Summary!AA38,AA21)</f>
        <v>306544.46417081513</v>
      </c>
      <c r="AB21" s="103">
        <f ca="1">IF(AND(Energy!$F$11=$A$3,Main!$B$43=$A21),Summary!AB38,AB21)</f>
        <v>3.1103921630150673</v>
      </c>
      <c r="AC21" s="103">
        <f ca="1">IF(AND(Energy!$F$11=$A$3,Main!$B$43=$A21),Summary!AC38,AC21)</f>
        <v>3.0421658465916646</v>
      </c>
      <c r="AD21" s="103">
        <f ca="1">IF(AND(Energy!$F$11=$A$3,Main!$B$43=$A21),Summary!AD38,AD21)</f>
        <v>0.38713737305963131</v>
      </c>
      <c r="AE21" s="103">
        <f ca="1">IF(AND(Energy!$F$11=$A$3,Main!$B$43=$A21),Summary!AE38,AE21)</f>
        <v>1.2368421052631582</v>
      </c>
      <c r="AF21" s="103">
        <f ca="1">IF(AND(Energy!$F$11=$A$3,Main!$B$43=$A21),Summary!AF38,AF21)</f>
        <v>30.921052631578952</v>
      </c>
      <c r="AG21" s="103">
        <f ca="1">IF(AND(Energy!$F$11=$A$3,Main!$B$43=$A21),Summary!AG38,AG21)</f>
        <v>9.6753269258423362</v>
      </c>
      <c r="AH21" s="103">
        <f ca="1">IF(AND(Energy!$F$11=$A$3,Main!$B$43=$A21),Summary!AH38,AH21)</f>
        <v>47</v>
      </c>
      <c r="AI21" s="103">
        <f ca="1">IF(AND(Energy!$F$11=$A$3,Main!$B$43=$A21),Summary!AI38,AI21)</f>
        <v>2.7871730750015509</v>
      </c>
      <c r="AJ21" s="103">
        <f ca="1">IF(AND(Energy!$F$11=$A$3,Main!$B$43=$A21),Summary!AJ38,AJ21)</f>
        <v>0.33139982205646062</v>
      </c>
      <c r="AK21" s="103">
        <f ca="1">IF(AND(Energy!$F$11=$A$3,Main!$B$43=$A21),Summary!AK38,AK21)</f>
        <v>0.01</v>
      </c>
      <c r="AL21" s="103">
        <f ca="1">IF(AND(Energy!$F$11=$A$3,Main!$B$43=$A21),Summary!AL38,AL21)</f>
        <v>-0.31729853175904366</v>
      </c>
      <c r="AM21" s="103">
        <f ca="1">IF(AND(Energy!$F$11=$A$3,Main!$B$43=$A21),Summary!AM38,AM21)</f>
        <v>0.34375</v>
      </c>
      <c r="AN21" s="101"/>
      <c r="AO21" s="101"/>
      <c r="AP21" s="101"/>
      <c r="AQ21" s="101"/>
      <c r="AR21" s="103"/>
      <c r="AS21" s="103"/>
      <c r="AT21" s="103"/>
      <c r="AU21" s="101"/>
      <c r="AV21" s="101"/>
      <c r="AW21" s="101"/>
      <c r="AX21" s="101"/>
      <c r="AY21" s="101"/>
      <c r="AZ21" s="105"/>
      <c r="BA21" s="100"/>
      <c r="BB21" s="100"/>
      <c r="BC21" s="6"/>
    </row>
    <row r="22" spans="1:55">
      <c r="A22">
        <f t="shared" si="1"/>
        <v>1</v>
      </c>
      <c r="C22" s="103"/>
      <c r="D22" s="1">
        <f ca="1">IF(AND(Energy!$F$11=$A$3,Main!$B$43=A22),Main!C39,D22)</f>
        <v>6.3421052631578956</v>
      </c>
      <c r="E22" s="103">
        <f ca="1">IF(AND(Energy!$F$11=$A$3,Main!$B$43=A22),Main!B39,E22)</f>
        <v>0.2</v>
      </c>
      <c r="F22" s="103">
        <f ca="1">IF(Main!$D$6=1,U22,IF(Main!$D$6=2,N22,IF(Main!$D$6=3,K22,IF(Main!$D$6=4,V22,J22))))</f>
        <v>404.3774281475213</v>
      </c>
      <c r="G22" s="103">
        <f ca="1">IF(AND(Energy!$F$11=$A$3,Main!$B$43=A22),Weight!H39,G22)</f>
        <v>10</v>
      </c>
      <c r="H22" s="103">
        <f ca="1">IF(AND(Energy!$F$11=$A$3,Main!$B$43=A22),Weight!U39,H22)</f>
        <v>14.84155941505729</v>
      </c>
      <c r="I22" s="103">
        <f ca="1">IF(AND(Energy!$F$11=$A$3,Main!$B$43=A22),Weight!V39,I22)</f>
        <v>37.805976541309484</v>
      </c>
      <c r="J22" s="103">
        <f ca="1">IF(AND(Energy!$F$11=$A$3,Main!$B$43=A22),Weight!I39,J22)</f>
        <v>12.904058851252197</v>
      </c>
      <c r="K22" s="103">
        <f ca="1">IF(AND(Energy!$F$11=$A$3,Main!$B$43=A22),Weight!W39,K22)</f>
        <v>47.758890189453048</v>
      </c>
      <c r="L22" s="103">
        <f ca="1">IF(AND(Energy!$F$11=$A$3,Main!$B$43=A22),'Aerodynamics-Cruise'!BI39,L22)</f>
        <v>47.853370913009599</v>
      </c>
      <c r="M22" s="103">
        <f ca="1">IF(AND(Energy!$F$11=$A$3,Main!$B$43=A22),'Aerodynamics-Cruise'!BJ39,M22)</f>
        <v>2.282498841817342</v>
      </c>
      <c r="N22" s="103">
        <f ca="1">IF(AND(Energy!$F$11=$A$3,Main!$B$43=A22),'Aerodynamics-Cruise'!BK39,N22)</f>
        <v>20.96534291115276</v>
      </c>
      <c r="O22" s="103">
        <f t="shared" ca="1" si="0"/>
        <v>145.03013063440355</v>
      </c>
      <c r="P22" s="103">
        <f ca="1">IF(AND(Energy!$F$11=$A$3,Main!$B$43=A22),'Aerodynamics-Cruise'!H39,P22)</f>
        <v>8.2879790162237139</v>
      </c>
      <c r="Q22" s="103">
        <f ca="1">IF(AND(Energy!$F$11=$A$3,Main!$B$43=A22),'Aerodynamics-Cruise'!I39,Q22)</f>
        <v>6.9604363748403522</v>
      </c>
      <c r="R22" s="103">
        <f ca="1">IF(AND(Energy!$F$11=$A$3,Main!$B$43=$A22),Summary!R39,R22)</f>
        <v>24.004002531192175</v>
      </c>
      <c r="S22" s="103">
        <f ca="1">IF(AND(Energy!$F$11=$A$3,Main!$B$43=A22),'Aerodynamics-Cruise'!W39,S22)</f>
        <v>1</v>
      </c>
      <c r="T22" s="103">
        <f ca="1">IF(AND(Energy!$F$11=$A$3,Main!$B$43=A22),'Aerodynamics-Cruise'!BL39,T22)</f>
        <v>18.917302505537059</v>
      </c>
      <c r="U22" s="103">
        <f ca="1">IF(AND(Energy!$F$11=$A$3,Main!$B$43=A22),'Propulsion-Cruise'!M39,U22)</f>
        <v>42.754245890305711</v>
      </c>
      <c r="V22" s="103">
        <f ca="1">IF(AND(Energy!$F$11=$A$3,Main!$B$43=A22),Endurance!AP39,V22)</f>
        <v>404.3774281475213</v>
      </c>
      <c r="W22" s="103">
        <f ca="1">IF(AND(Energy!$F$11=$A$3,Main!$B$43=$A22),Summary!W39,W22)</f>
        <v>158.12398224014692</v>
      </c>
      <c r="X22" s="13">
        <f ca="1">IF(AND(Energy!$F$11=$A$3,Main!$B$43=A22),Energy!D39,X22)</f>
        <v>807.491417694456</v>
      </c>
      <c r="Y22" s="102">
        <f ca="1">IF(AND(Energy!$F$11=$A$3,Main!$B$43=A22),'Aerodynamics-Cruise'!V39,Y22)</f>
        <v>105129.33465720885</v>
      </c>
      <c r="Z22" s="102">
        <f ca="1">IF(AND(Energy!$F$11=$A$3,Main!$B$43=$A22),Summary!Z39,Z22)</f>
        <v>77473.520040754825</v>
      </c>
      <c r="AA22" s="102">
        <f ca="1">IF(AND(Energy!$F$11=$A$3,Main!$B$43=$A22),Summary!AA39,AA22)</f>
        <v>304480.11635579582</v>
      </c>
      <c r="AB22" s="103">
        <f ca="1">IF(AND(Energy!$F$11=$A$3,Main!$B$43=$A22),Summary!AB39,AB22)</f>
        <v>3.1278092670668678</v>
      </c>
      <c r="AC22" s="103">
        <f ca="1">IF(AND(Energy!$F$11=$A$3,Main!$B$43=$A22),Summary!AC39,AC22)</f>
        <v>2.9780930477455607</v>
      </c>
      <c r="AD22" s="103">
        <f ca="1">IF(AND(Energy!$F$11=$A$3,Main!$B$43=$A22),Summary!AD39,AD22)</f>
        <v>0.38847643359785339</v>
      </c>
      <c r="AE22" s="103">
        <f ca="1">IF(AND(Energy!$F$11=$A$3,Main!$B$43=$A22),Summary!AE39,AE22)</f>
        <v>1.2684210526315791</v>
      </c>
      <c r="AF22" s="103">
        <f ca="1">IF(AND(Energy!$F$11=$A$3,Main!$B$43=$A22),Summary!AF39,AF22)</f>
        <v>31.710526315789476</v>
      </c>
      <c r="AG22" s="103">
        <f ca="1">IF(AND(Energy!$F$11=$A$3,Main!$B$43=$A22),Summary!AG39,AG22)</f>
        <v>9.7556040160774984</v>
      </c>
      <c r="AH22" s="103">
        <f ca="1">IF(AND(Energy!$F$11=$A$3,Main!$B$43=$A22),Summary!AH39,AH22)</f>
        <v>47</v>
      </c>
      <c r="AI22" s="103">
        <f ca="1">IF(AND(Energy!$F$11=$A$3,Main!$B$43=$A22),Summary!AI39,AI22)</f>
        <v>2.7872523925906996</v>
      </c>
      <c r="AJ22" s="103">
        <f ca="1">IF(AND(Energy!$F$11=$A$3,Main!$B$43=$A22),Summary!AJ39,AJ22)</f>
        <v>0.33159491346527359</v>
      </c>
      <c r="AK22" s="103">
        <f ca="1">IF(AND(Energy!$F$11=$A$3,Main!$B$43=$A22),Summary!AK39,AK22)</f>
        <v>0.01</v>
      </c>
      <c r="AL22" s="103">
        <f ca="1">IF(AND(Energy!$F$11=$A$3,Main!$B$43=$A22),Summary!AL39,AL22)</f>
        <v>-0.31711251751930436</v>
      </c>
      <c r="AM22" s="103">
        <f ca="1">IF(AND(Energy!$F$11=$A$3,Main!$B$43=$A22),Summary!AM39,AM22)</f>
        <v>0.34375</v>
      </c>
      <c r="AN22" s="101"/>
      <c r="AO22" s="101"/>
      <c r="AP22" s="101"/>
      <c r="AQ22" s="101"/>
      <c r="AR22" s="103"/>
      <c r="AS22" s="103"/>
      <c r="AT22" s="103"/>
      <c r="AU22" s="101"/>
      <c r="AV22" s="101"/>
      <c r="AW22" s="101"/>
      <c r="AX22" s="101"/>
      <c r="AY22" s="101"/>
      <c r="AZ22" s="105"/>
      <c r="BA22" s="100"/>
      <c r="BB22" s="100"/>
      <c r="BC22" s="6"/>
    </row>
    <row r="23" spans="1:55">
      <c r="A23">
        <f t="shared" si="1"/>
        <v>1</v>
      </c>
      <c r="C23" s="103"/>
      <c r="D23" s="1">
        <f ca="1">IF(AND(Energy!$F$11=$A$3,Main!$B$43=A23),Main!C40,D23)</f>
        <v>6.5</v>
      </c>
      <c r="E23" s="103">
        <f ca="1">IF(AND(Energy!$F$11=$A$3,Main!$B$43=A23),Main!B40,E23)</f>
        <v>0.2</v>
      </c>
      <c r="F23" s="103">
        <f ca="1">IF(Main!$D$6=1,U23,IF(Main!$D$6=2,N23,IF(Main!$D$6=3,K23,IF(Main!$D$6=4,V23,J23))))</f>
        <v>410.00178063602414</v>
      </c>
      <c r="G23" s="103">
        <f ca="1">IF(AND(Energy!$F$11=$A$3,Main!$B$43=A23),Weight!H40,G23)</f>
        <v>10</v>
      </c>
      <c r="H23" s="103">
        <f ca="1">IF(AND(Energy!$F$11=$A$3,Main!$B$43=A23),Weight!U40,H23)</f>
        <v>15.310672056960641</v>
      </c>
      <c r="I23" s="103">
        <f ca="1">IF(AND(Energy!$F$11=$A$3,Main!$B$43=A23),Weight!V40,I23)</f>
        <v>38.57567148546341</v>
      </c>
      <c r="J23" s="103">
        <f ca="1">IF(AND(Energy!$F$11=$A$3,Main!$B$43=A23),Weight!I40,J23)</f>
        <v>13.20464115350277</v>
      </c>
      <c r="K23" s="103">
        <f ca="1">IF(AND(Energy!$F$11=$A$3,Main!$B$43=A23),Weight!W40,K23)</f>
        <v>48.526637649076314</v>
      </c>
      <c r="L23" s="103">
        <f ca="1">IF(AND(Energy!$F$11=$A$3,Main!$B$43=A23),'Aerodynamics-Cruise'!BI40,L23)</f>
        <v>48.625008161107672</v>
      </c>
      <c r="M23" s="103">
        <f ca="1">IF(AND(Energy!$F$11=$A$3,Main!$B$43=A23),'Aerodynamics-Cruise'!BJ40,M23)</f>
        <v>2.3196316773481556</v>
      </c>
      <c r="N23" s="103">
        <f ca="1">IF(AND(Energy!$F$11=$A$3,Main!$B$43=A23),'Aerodynamics-Cruise'!BK40,N23)</f>
        <v>20.96238322486467</v>
      </c>
      <c r="O23" s="103">
        <f t="shared" ca="1" si="0"/>
        <v>146.17412401851351</v>
      </c>
      <c r="P23" s="103">
        <f ca="1">IF(AND(Energy!$F$11=$A$3,Main!$B$43=A23),'Aerodynamics-Cruise'!H40,P23)</f>
        <v>8.2524362619150793</v>
      </c>
      <c r="Q23" s="103">
        <f ca="1">IF(AND(Energy!$F$11=$A$3,Main!$B$43=A23),'Aerodynamics-Cruise'!I40,Q23)</f>
        <v>6.9307934303023533</v>
      </c>
      <c r="R23" s="103">
        <f ca="1">IF(AND(Energy!$F$11=$A$3,Main!$B$43=$A23),Summary!R40,R23)</f>
        <v>23.845332194865854</v>
      </c>
      <c r="S23" s="103">
        <f ca="1">IF(AND(Energy!$F$11=$A$3,Main!$B$43=A23),'Aerodynamics-Cruise'!W40,S23)</f>
        <v>1</v>
      </c>
      <c r="T23" s="103">
        <f ca="1">IF(AND(Energy!$F$11=$A$3,Main!$B$43=A23),'Aerodynamics-Cruise'!BL40,T23)</f>
        <v>19.142612568434817</v>
      </c>
      <c r="U23" s="103">
        <f ca="1">IF(AND(Energy!$F$11=$A$3,Main!$B$43=A23),'Propulsion-Cruise'!M40,U23)</f>
        <v>43.295629801521976</v>
      </c>
      <c r="V23" s="103">
        <f ca="1">IF(AND(Energy!$F$11=$A$3,Main!$B$43=A23),Endurance!AP40,V23)</f>
        <v>410.00178063602414</v>
      </c>
      <c r="W23" s="103">
        <f ca="1">IF(AND(Energy!$F$11=$A$3,Main!$B$43=$A23),Summary!W40,W23)</f>
        <v>163.70970732525569</v>
      </c>
      <c r="X23" s="13">
        <f ca="1">IF(AND(Energy!$F$11=$A$3,Main!$B$43=A23),Energy!D40,X23)</f>
        <v>817.62829264439074</v>
      </c>
      <c r="Y23" s="102">
        <f ca="1">IF(AND(Energy!$F$11=$A$3,Main!$B$43=A23),'Aerodynamics-Cruise'!V40,Y23)</f>
        <v>104678.49059678869</v>
      </c>
      <c r="Z23" s="102">
        <f ca="1">IF(AND(Energy!$F$11=$A$3,Main!$B$43=$A23),Summary!Z40,Z23)</f>
        <v>77143.561855443724</v>
      </c>
      <c r="AA23" s="102">
        <f ca="1">IF(AND(Energy!$F$11=$A$3,Main!$B$43=$A23),Summary!AA40,AA23)</f>
        <v>302467.45357574185</v>
      </c>
      <c r="AB23" s="103">
        <f ca="1">IF(AND(Energy!$F$11=$A$3,Main!$B$43=$A23),Summary!AB40,AB23)</f>
        <v>3.1511817228278778</v>
      </c>
      <c r="AC23" s="103">
        <f ca="1">IF(AND(Energy!$F$11=$A$3,Main!$B$43=$A23),Summary!AC40,AC23)</f>
        <v>2.9146103439347311</v>
      </c>
      <c r="AD23" s="103">
        <f ca="1">IF(AND(Energy!$F$11=$A$3,Main!$B$43=$A23),Summary!AD40,AD23)</f>
        <v>0.39004740331512522</v>
      </c>
      <c r="AE23" s="103">
        <f ca="1">IF(AND(Energy!$F$11=$A$3,Main!$B$43=$A23),Summary!AE40,AE23)</f>
        <v>1.3</v>
      </c>
      <c r="AF23" s="103">
        <f ca="1">IF(AND(Energy!$F$11=$A$3,Main!$B$43=$A23),Summary!AF40,AF23)</f>
        <v>32.5</v>
      </c>
      <c r="AG23" s="103">
        <f ca="1">IF(AND(Energy!$F$11=$A$3,Main!$B$43=$A23),Summary!AG40,AG23)</f>
        <v>9.8425980259844099</v>
      </c>
      <c r="AH23" s="103">
        <f ca="1">IF(AND(Energy!$F$11=$A$3,Main!$B$43=$A23),Summary!AH40,AH23)</f>
        <v>47</v>
      </c>
      <c r="AI23" s="103">
        <f ca="1">IF(AND(Energy!$F$11=$A$3,Main!$B$43=$A23),Summary!AI40,AI23)</f>
        <v>2.7872867056385289</v>
      </c>
      <c r="AJ23" s="103">
        <f ca="1">IF(AND(Energy!$F$11=$A$3,Main!$B$43=$A23),Summary!AJ40,AJ23)</f>
        <v>0.33174108516128031</v>
      </c>
      <c r="AK23" s="103">
        <f ca="1">IF(AND(Energy!$F$11=$A$3,Main!$B$43=$A23),Summary!AK40,AK23)</f>
        <v>0.01</v>
      </c>
      <c r="AL23" s="103">
        <f ca="1">IF(AND(Energy!$F$11=$A$3,Main!$B$43=$A23),Summary!AL40,AL23)</f>
        <v>-0.31697316150270693</v>
      </c>
      <c r="AM23" s="103">
        <f ca="1">IF(AND(Energy!$F$11=$A$3,Main!$B$43=$A23),Summary!AM40,AM23)</f>
        <v>0.34375</v>
      </c>
      <c r="AN23" s="101"/>
      <c r="AO23" s="101"/>
      <c r="AP23" s="101"/>
      <c r="AQ23" s="101"/>
      <c r="AR23" s="103"/>
      <c r="AS23" s="103"/>
      <c r="AT23" s="103"/>
      <c r="AU23" s="101"/>
      <c r="AV23" s="101"/>
      <c r="AW23" s="101"/>
      <c r="AX23" s="101"/>
      <c r="AY23" s="101"/>
      <c r="AZ23" s="105"/>
      <c r="BA23" s="100"/>
      <c r="BB23" s="100"/>
      <c r="BC23" s="6"/>
    </row>
    <row r="24" spans="1:55">
      <c r="A24" s="7">
        <f>A4+1</f>
        <v>2</v>
      </c>
      <c r="D24" s="1">
        <f ca="1">IF(AND(Energy!$F$11=$A$3,Main!$B$43=A24),Main!C21,D24)</f>
        <v>3.5</v>
      </c>
      <c r="E24" s="103">
        <f ca="1">IF(AND(Energy!$F$11=$A$3,Main!$B$43=A24),Main!B21,E24)</f>
        <v>0.22222222222222224</v>
      </c>
      <c r="F24" s="103">
        <f ca="1">IF(Main!$D$6=1,U24,IF(Main!$D$6=2,N24,IF(Main!$D$6=3,K24,IF(Main!$D$6=4,V24,J24))))</f>
        <v>452.70893863312926</v>
      </c>
      <c r="G24" s="103">
        <f ca="1">IF(AND(Energy!$F$11=$A$3,Main!$B$43=A24),Weight!H21,G24)</f>
        <v>10</v>
      </c>
      <c r="H24" s="103">
        <f ca="1">IF(AND(Energy!$F$11=$A$3,Main!$B$43=A24),Weight!U21,H24)</f>
        <v>9.2830634952247735</v>
      </c>
      <c r="I24" s="103">
        <f ca="1">IF(AND(Energy!$F$11=$A$3,Main!$B$43=A24),Weight!V21,I24)</f>
        <v>34.226448099687794</v>
      </c>
      <c r="J24" s="103">
        <f ca="1">IF(AND(Energy!$F$11=$A$3,Main!$B$43=A24),Weight!I21,J24)</f>
        <v>14.883026329463023</v>
      </c>
      <c r="K24" s="103">
        <f ca="1">IF(AND(Energy!$F$11=$A$3,Main!$B$43=A24),Weight!W21,K24)</f>
        <v>44.22644809969384</v>
      </c>
      <c r="L24" s="103">
        <f ca="1">IF(AND(Energy!$F$11=$A$3,Main!$B$43=A24),'Aerodynamics-Cruise'!BI21,L24)</f>
        <v>44.226448099679551</v>
      </c>
      <c r="M24" s="103">
        <f ca="1">IF(AND(Energy!$F$11=$A$3,Main!$B$43=A24),'Aerodynamics-Cruise'!BJ21,M24)</f>
        <v>2.1920098918675239</v>
      </c>
      <c r="N24" s="103">
        <f ca="1">IF(AND(Energy!$F$11=$A$3,Main!$B$43=A24),'Aerodynamics-Cruise'!BK21,N24)</f>
        <v>20.176208266104126</v>
      </c>
      <c r="O24" s="103">
        <f t="shared" ca="1" si="0"/>
        <v>134.17777413527284</v>
      </c>
      <c r="P24" s="103">
        <f ca="1">IF(AND(Energy!$F$11=$A$3,Main!$B$43=A24),'Aerodynamics-Cruise'!H21,P24)</f>
        <v>10.182353019261349</v>
      </c>
      <c r="Q24" s="103">
        <f ca="1">IF(AND(Energy!$F$11=$A$3,Main!$B$43=A24),'Aerodynamics-Cruise'!I21,Q24)</f>
        <v>8.5268817741081104</v>
      </c>
      <c r="R24" s="103">
        <f ca="1">IF(AND(Energy!$F$11=$A$3,Main!$B$43=$A24),Summary!R21,R24)</f>
        <v>27.094599822250732</v>
      </c>
      <c r="S24" s="103">
        <f ca="1">IF(AND(Energy!$F$11=$A$3,Main!$B$43=A24),'Aerodynamics-Cruise'!W21,S24)</f>
        <v>1</v>
      </c>
      <c r="T24" s="103">
        <f ca="1">IF(AND(Energy!$F$11=$A$3,Main!$B$43=A24),'Aerodynamics-Cruise'!BL21,T24)</f>
        <v>22.319818540708024</v>
      </c>
      <c r="U24" s="103">
        <f ca="1">IF(AND(Energy!$F$11=$A$3,Main!$B$43=A24),'Propulsion-Cruise'!M21,U24)</f>
        <v>47.325771312250659</v>
      </c>
      <c r="V24" s="103">
        <f ca="1">IF(AND(Energy!$F$11=$A$3,Main!$B$43=A24),Endurance!AP21,V24)</f>
        <v>452.70893863312926</v>
      </c>
      <c r="W24" s="103">
        <f ca="1">IF(AND(Energy!$F$11=$A$3,Main!$B$43=$A24),Summary!W21,W24)</f>
        <v>196.72041702380307</v>
      </c>
      <c r="X24" s="13">
        <f ca="1">IF(AND(Energy!$F$11=$A$3,Main!$B$43=A24),Energy!D21,X24)</f>
        <v>875.88964184858014</v>
      </c>
      <c r="Y24" s="102">
        <f ca="1">IF(AND(Energy!$F$11=$A$3,Main!$B$43=A24),'Aerodynamics-Cruise'!V21,Y24)</f>
        <v>143509.58660386121</v>
      </c>
      <c r="Z24" s="102">
        <f ca="1">IF(AND(Energy!$F$11=$A$3,Main!$B$43=$A24),Summary!Z21,Z24)</f>
        <v>105456.44373205979</v>
      </c>
      <c r="AA24" s="102">
        <f ca="1">IF(AND(Energy!$F$11=$A$3,Main!$B$43=$A24),Summary!AA21,AA24)</f>
        <v>381869.96780929941</v>
      </c>
      <c r="AB24" s="103">
        <f ca="1">IF(AND(Energy!$F$11=$A$3,Main!$B$43=$A24),Summary!AB21,AB24)</f>
        <v>4.4216348712932048</v>
      </c>
      <c r="AC24" s="103">
        <f ca="1">IF(AND(Energy!$F$11=$A$3,Main!$B$43=$A24),Summary!AC21,AC24)</f>
        <v>3.7096859637833322</v>
      </c>
      <c r="AD24" s="103">
        <f ca="1">IF(AND(Energy!$F$11=$A$3,Main!$B$43=$A24),Summary!AD21,AD24)</f>
        <v>0.3982947012825338</v>
      </c>
      <c r="AE24" s="103">
        <f ca="1">IF(AND(Energy!$F$11=$A$3,Main!$B$43=$A24),Summary!AE21,AE24)</f>
        <v>0.77777777777777779</v>
      </c>
      <c r="AF24" s="103">
        <f ca="1">IF(AND(Energy!$F$11=$A$3,Main!$B$43=$A24),Summary!AF21,AF24)</f>
        <v>15.75</v>
      </c>
      <c r="AG24" s="103">
        <f ca="1">IF(AND(Energy!$F$11=$A$3,Main!$B$43=$A24),Summary!AG21,AG24)</f>
        <v>10.027087889577277</v>
      </c>
      <c r="AH24" s="103">
        <f ca="1">IF(AND(Energy!$F$11=$A$3,Main!$B$43=$A24),Summary!AH21,AH24)</f>
        <v>47</v>
      </c>
      <c r="AI24" s="103">
        <f ca="1">IF(AND(Energy!$F$11=$A$3,Main!$B$43=$A24),Summary!AI21,AI24)</f>
        <v>2.7949361312633898</v>
      </c>
      <c r="AJ24" s="103">
        <f ca="1">IF(AND(Energy!$F$11=$A$3,Main!$B$43=$A24),Summary!AJ21,AJ24)</f>
        <v>0.34718785664184659</v>
      </c>
      <c r="AK24" s="103">
        <f ca="1">IF(AND(Energy!$F$11=$A$3,Main!$B$43=$A24),Summary!AK21,AK24)</f>
        <v>0.01</v>
      </c>
      <c r="AL24" s="103">
        <f ca="1">IF(AND(Energy!$F$11=$A$3,Main!$B$43=$A24),Summary!AL21,AL24)</f>
        <v>-0.30246335325775181</v>
      </c>
      <c r="AM24" s="103">
        <f ca="1">IF(AND(Energy!$F$11=$A$3,Main!$B$43=$A24),Summary!AM21,AM24)</f>
        <v>0.34375</v>
      </c>
      <c r="AN24" s="101"/>
      <c r="AO24" s="101"/>
      <c r="AP24" s="101"/>
      <c r="AQ24" s="101"/>
      <c r="AR24" s="103"/>
      <c r="AS24" s="103"/>
      <c r="AT24" s="103"/>
      <c r="AU24" s="101"/>
      <c r="AV24" s="101"/>
      <c r="AW24" s="101"/>
      <c r="AX24" s="101"/>
      <c r="AY24" s="101"/>
      <c r="AZ24" s="105"/>
      <c r="BA24" s="100"/>
      <c r="BB24" s="100"/>
      <c r="BC24" s="6"/>
    </row>
    <row r="25" spans="1:55">
      <c r="A25">
        <f>A24</f>
        <v>2</v>
      </c>
      <c r="D25" s="1">
        <f ca="1">IF(AND(Energy!$F$11=$A$3,Main!$B$43=A25),Main!C22,D25)</f>
        <v>3.6578947368421053</v>
      </c>
      <c r="E25" s="103">
        <f ca="1">IF(AND(Energy!$F$11=$A$3,Main!$B$43=A25),Main!B22,E25)</f>
        <v>0.22222222222222224</v>
      </c>
      <c r="F25" s="103">
        <f ca="1">IF(Main!$D$6=1,U25,IF(Main!$D$6=2,N25,IF(Main!$D$6=3,K25,IF(Main!$D$6=4,V25,J25))))</f>
        <v>432.58625320964154</v>
      </c>
      <c r="G25" s="103">
        <f ca="1">IF(AND(Energy!$F$11=$A$3,Main!$B$43=A25),Weight!H22,G25)</f>
        <v>10</v>
      </c>
      <c r="H25" s="103">
        <f ca="1">IF(AND(Energy!$F$11=$A$3,Main!$B$43=A25),Weight!U22,H25)</f>
        <v>9.4815146930899985</v>
      </c>
      <c r="I25" s="103">
        <f ca="1">IF(AND(Energy!$F$11=$A$3,Main!$B$43=A25),Weight!V22,I25)</f>
        <v>33.339543187608356</v>
      </c>
      <c r="J25" s="103">
        <f ca="1">IF(AND(Energy!$F$11=$A$3,Main!$B$43=A25),Weight!I22,J25)</f>
        <v>13.797670219518361</v>
      </c>
      <c r="K25" s="103">
        <f ca="1">IF(AND(Energy!$F$11=$A$3,Main!$B$43=A25),Weight!W22,K25)</f>
        <v>43.339543187608356</v>
      </c>
      <c r="L25" s="103">
        <f ca="1">IF(AND(Energy!$F$11=$A$3,Main!$B$43=A25),'Aerodynamics-Cruise'!BI22,L25)</f>
        <v>43.339543187608371</v>
      </c>
      <c r="M25" s="103">
        <f ca="1">IF(AND(Energy!$F$11=$A$3,Main!$B$43=A25),'Aerodynamics-Cruise'!BJ22,M25)</f>
        <v>2.1383133889822541</v>
      </c>
      <c r="N25" s="103">
        <f ca="1">IF(AND(Energy!$F$11=$A$3,Main!$B$43=A25),'Aerodynamics-Cruise'!BK22,N25)</f>
        <v>20.268097001551368</v>
      </c>
      <c r="O25" s="103">
        <f t="shared" ca="1" si="0"/>
        <v>133.43050779800981</v>
      </c>
      <c r="P25" s="103">
        <f ca="1">IF(AND(Energy!$F$11=$A$3,Main!$B$43=A25),'Aerodynamics-Cruise'!H22,P25)</f>
        <v>9.8597295341615023</v>
      </c>
      <c r="Q25" s="103">
        <f ca="1">IF(AND(Energy!$F$11=$A$3,Main!$B$43=A25),'Aerodynamics-Cruise'!I22,Q25)</f>
        <v>8.2586105761185316</v>
      </c>
      <c r="R25" s="103">
        <f ca="1">IF(AND(Energy!$F$11=$A$3,Main!$B$43=$A25),Summary!R22,R25)</f>
        <v>26.803956546886912</v>
      </c>
      <c r="S25" s="103">
        <f ca="1">IF(AND(Energy!$F$11=$A$3,Main!$B$43=A25),'Aerodynamics-Cruise'!W22,S25)</f>
        <v>1</v>
      </c>
      <c r="T25" s="103">
        <f ca="1">IF(AND(Energy!$F$11=$A$3,Main!$B$43=A25),'Aerodynamics-Cruise'!BL22,T25)</f>
        <v>21.083191674641302</v>
      </c>
      <c r="U25" s="103">
        <f ca="1">IF(AND(Energy!$F$11=$A$3,Main!$B$43=A25),'Propulsion-Cruise'!M22,U25)</f>
        <v>45.116426266117394</v>
      </c>
      <c r="V25" s="103">
        <f ca="1">IF(AND(Energy!$F$11=$A$3,Main!$B$43=A25),Endurance!AP22,V25)</f>
        <v>432.58625320964154</v>
      </c>
      <c r="W25" s="103">
        <f ca="1">IF(AND(Energy!$F$11=$A$3,Main!$B$43=$A25),Summary!W22,W25)</f>
        <v>176.34392786997307</v>
      </c>
      <c r="X25" s="13">
        <f ca="1">IF(AND(Energy!$F$11=$A$3,Main!$B$43=A25),Energy!D22,X25)</f>
        <v>839.09875865411811</v>
      </c>
      <c r="Y25" s="102">
        <f ca="1">IF(AND(Energy!$F$11=$A$3,Main!$B$43=A25),'Aerodynamics-Cruise'!V22,Y25)</f>
        <v>138962.54694733056</v>
      </c>
      <c r="Z25" s="102">
        <f ca="1">IF(AND(Energy!$F$11=$A$3,Main!$B$43=$A25),Summary!Z22,Z25)</f>
        <v>102138.43017972067</v>
      </c>
      <c r="AA25" s="102">
        <f ca="1">IF(AND(Energy!$F$11=$A$3,Main!$B$43=$A25),Summary!AA22,AA25)</f>
        <v>377773.65566830861</v>
      </c>
      <c r="AB25" s="103">
        <f ca="1">IF(AND(Energy!$F$11=$A$3,Main!$B$43=$A25),Summary!AB22,AB25)</f>
        <v>4.0537833604949629</v>
      </c>
      <c r="AC25" s="103">
        <f ca="1">IF(AND(Energy!$F$11=$A$3,Main!$B$43=$A25),Summary!AC22,AC25)</f>
        <v>3.7104425018945415</v>
      </c>
      <c r="AD25" s="103">
        <f ca="1">IF(AND(Energy!$F$11=$A$3,Main!$B$43=$A25),Summary!AD22,AD25)</f>
        <v>0.38955528450240978</v>
      </c>
      <c r="AE25" s="103">
        <f ca="1">IF(AND(Energy!$F$11=$A$3,Main!$B$43=$A25),Summary!AE22,AE25)</f>
        <v>0.81286549707602351</v>
      </c>
      <c r="AF25" s="103">
        <f ca="1">IF(AND(Energy!$F$11=$A$3,Main!$B$43=$A25),Summary!AF22,AF25)</f>
        <v>16.460526315789473</v>
      </c>
      <c r="AG25" s="103">
        <f ca="1">IF(AND(Energy!$F$11=$A$3,Main!$B$43=$A25),Summary!AG22,AG25)</f>
        <v>9.7734352664568842</v>
      </c>
      <c r="AH25" s="103">
        <f ca="1">IF(AND(Energy!$F$11=$A$3,Main!$B$43=$A25),Summary!AH22,AH25)</f>
        <v>47</v>
      </c>
      <c r="AI25" s="103">
        <f ca="1">IF(AND(Energy!$F$11=$A$3,Main!$B$43=$A25),Summary!AI22,AI25)</f>
        <v>2.7936506688508898</v>
      </c>
      <c r="AJ25" s="103">
        <f ca="1">IF(AND(Energy!$F$11=$A$3,Main!$B$43=$A25),Summary!AJ22,AJ25)</f>
        <v>0.34977924313835018</v>
      </c>
      <c r="AK25" s="103">
        <f ca="1">IF(AND(Energy!$F$11=$A$3,Main!$B$43=$A25),Summary!AK22,AK25)</f>
        <v>0.01</v>
      </c>
      <c r="AL25" s="103">
        <f ca="1">IF(AND(Energy!$F$11=$A$3,Main!$B$43=$A25),Summary!AL22,AL25)</f>
        <v>-0.30022076835799005</v>
      </c>
      <c r="AM25" s="103">
        <f ca="1">IF(AND(Energy!$F$11=$A$3,Main!$B$43=$A25),Summary!AM22,AM25)</f>
        <v>0.34375</v>
      </c>
      <c r="AN25" s="101"/>
      <c r="AO25" s="101"/>
      <c r="AP25" s="101"/>
      <c r="AQ25" s="101"/>
      <c r="AR25" s="103"/>
      <c r="AS25" s="103"/>
      <c r="AT25" s="103"/>
      <c r="AU25" s="101"/>
      <c r="AV25" s="101"/>
      <c r="AW25" s="101"/>
      <c r="AX25" s="101"/>
      <c r="AY25" s="101"/>
      <c r="AZ25" s="105"/>
      <c r="BA25" s="100"/>
      <c r="BB25" s="100"/>
      <c r="BC25" s="6"/>
    </row>
    <row r="26" spans="1:55">
      <c r="A26">
        <f t="shared" ref="A26:A43" si="2">A25</f>
        <v>2</v>
      </c>
      <c r="D26" s="1">
        <f ca="1">IF(AND(Energy!$F$11=$A$3,Main!$B$43=A26),Main!C23,D26)</f>
        <v>3.8157894736842106</v>
      </c>
      <c r="E26" s="103">
        <f ca="1">IF(AND(Energy!$F$11=$A$3,Main!$B$43=A26),Main!B23,E26)</f>
        <v>0.22222222222222224</v>
      </c>
      <c r="F26" s="103">
        <f ca="1">IF(Main!$D$6=1,U26,IF(Main!$D$6=2,N26,IF(Main!$D$6=3,K26,IF(Main!$D$6=4,V26,J26))))</f>
        <v>417.10574533584594</v>
      </c>
      <c r="G26" s="103">
        <f ca="1">IF(AND(Energy!$F$11=$A$3,Main!$B$43=A26),Weight!H23,G26)</f>
        <v>10</v>
      </c>
      <c r="H26" s="103">
        <f ca="1">IF(AND(Energy!$F$11=$A$3,Main!$B$43=A26),Weight!U23,H26)</f>
        <v>9.7089210007482052</v>
      </c>
      <c r="I26" s="103">
        <f ca="1">IF(AND(Energy!$F$11=$A$3,Main!$B$43=A26),Weight!V23,I26)</f>
        <v>32.730172415413101</v>
      </c>
      <c r="J26" s="103">
        <f ca="1">IF(AND(Energy!$F$11=$A$3,Main!$B$43=A26),Weight!I23,J26)</f>
        <v>12.960893139664899</v>
      </c>
      <c r="K26" s="103">
        <f ca="1">IF(AND(Energy!$F$11=$A$3,Main!$B$43=A26),Weight!W23,K26)</f>
        <v>42.730172415413101</v>
      </c>
      <c r="L26" s="103">
        <f ca="1">IF(AND(Energy!$F$11=$A$3,Main!$B$43=A26),'Aerodynamics-Cruise'!BI23,L26)</f>
        <v>42.730172415413108</v>
      </c>
      <c r="M26" s="103">
        <f ca="1">IF(AND(Energy!$F$11=$A$3,Main!$B$43=A26),'Aerodynamics-Cruise'!BJ23,M26)</f>
        <v>2.0991657613791292</v>
      </c>
      <c r="N26" s="103">
        <f ca="1">IF(AND(Energy!$F$11=$A$3,Main!$B$43=A26),'Aerodynamics-Cruise'!BK23,N26)</f>
        <v>20.355787618858571</v>
      </c>
      <c r="O26" s="103">
        <f t="shared" ca="1" si="0"/>
        <v>133.06236361063461</v>
      </c>
      <c r="P26" s="103">
        <f ca="1">IF(AND(Energy!$F$11=$A$3,Main!$B$43=A26),'Aerodynamics-Cruise'!H23,P26)</f>
        <v>9.5854206455462219</v>
      </c>
      <c r="Q26" s="103">
        <f ca="1">IF(AND(Energy!$F$11=$A$3,Main!$B$43=A26),'Aerodynamics-Cruise'!I23,Q26)</f>
        <v>8.0304654386029348</v>
      </c>
      <c r="R26" s="103">
        <f ca="1">IF(AND(Energy!$F$11=$A$3,Main!$B$43=$A26),Summary!R23,R26)</f>
        <v>26.52570012276362</v>
      </c>
      <c r="S26" s="103">
        <f ca="1">IF(AND(Energy!$F$11=$A$3,Main!$B$43=A26),'Aerodynamics-Cruise'!W23,S26)</f>
        <v>1</v>
      </c>
      <c r="T26" s="103">
        <f ca="1">IF(AND(Energy!$F$11=$A$3,Main!$B$43=A26),'Aerodynamics-Cruise'!BL23,T26)</f>
        <v>20.121386827547258</v>
      </c>
      <c r="U26" s="103">
        <f ca="1">IF(AND(Energy!$F$11=$A$3,Main!$B$43=A26),'Propulsion-Cruise'!M23,U26)</f>
        <v>43.405789867857315</v>
      </c>
      <c r="V26" s="103">
        <f ca="1">IF(AND(Energy!$F$11=$A$3,Main!$B$43=A26),Endurance!AP23,V26)</f>
        <v>417.10574533584594</v>
      </c>
      <c r="W26" s="103">
        <f ca="1">IF(AND(Energy!$F$11=$A$3,Main!$B$43=$A26),Summary!W23,W26)</f>
        <v>160.63426452943941</v>
      </c>
      <c r="X26" s="13">
        <f ca="1">IF(AND(Energy!$F$11=$A$3,Main!$B$43=A26),Energy!D23,X26)</f>
        <v>810.73408873371011</v>
      </c>
      <c r="Y26" s="102">
        <f ca="1">IF(AND(Energy!$F$11=$A$3,Main!$B$43=A26),'Aerodynamics-Cruise'!V23,Y26)</f>
        <v>135096.45085613462</v>
      </c>
      <c r="Z26" s="102">
        <f ca="1">IF(AND(Energy!$F$11=$A$3,Main!$B$43=$A26),Summary!Z23,Z26)</f>
        <v>99316.705217236609</v>
      </c>
      <c r="AA26" s="102">
        <f ca="1">IF(AND(Energy!$F$11=$A$3,Main!$B$43=$A26),Summary!AA23,AA26)</f>
        <v>373851.92320428346</v>
      </c>
      <c r="AB26" s="103">
        <f ca="1">IF(AND(Energy!$F$11=$A$3,Main!$B$43=$A26),Summary!AB23,AB26)</f>
        <v>3.770620834403529</v>
      </c>
      <c r="AC26" s="103">
        <f ca="1">IF(AND(Energy!$F$11=$A$3,Main!$B$43=$A26),Summary!AC23,AC26)</f>
        <v>3.6944667304498524</v>
      </c>
      <c r="AD26" s="103">
        <f ca="1">IF(AND(Energy!$F$11=$A$3,Main!$B$43=$A26),Summary!AD23,AD26)</f>
        <v>0.38247237792276745</v>
      </c>
      <c r="AE26" s="103">
        <f ca="1">IF(AND(Energy!$F$11=$A$3,Main!$B$43=$A26),Summary!AE23,AE26)</f>
        <v>0.84795321637426913</v>
      </c>
      <c r="AF26" s="103">
        <f ca="1">IF(AND(Energy!$F$11=$A$3,Main!$B$43=$A26),Summary!AF23,AF26)</f>
        <v>17.171052631578945</v>
      </c>
      <c r="AG26" s="103">
        <f ca="1">IF(AND(Energy!$F$11=$A$3,Main!$B$43=$A26),Summary!AG23,AG26)</f>
        <v>9.5769944844677841</v>
      </c>
      <c r="AH26" s="103">
        <f ca="1">IF(AND(Energy!$F$11=$A$3,Main!$B$43=$A26),Summary!AH23,AH26)</f>
        <v>47</v>
      </c>
      <c r="AI26" s="103">
        <f ca="1">IF(AND(Energy!$F$11=$A$3,Main!$B$43=$A26),Summary!AI23,AI26)</f>
        <v>2.7925244805373994</v>
      </c>
      <c r="AJ26" s="103">
        <f ca="1">IF(AND(Energy!$F$11=$A$3,Main!$B$43=$A26),Summary!AJ23,AJ26)</f>
        <v>0.35200986507978188</v>
      </c>
      <c r="AK26" s="103">
        <f ca="1">IF(AND(Energy!$F$11=$A$3,Main!$B$43=$A26),Summary!AK23,AK26)</f>
        <v>0.01</v>
      </c>
      <c r="AL26" s="103">
        <f ca="1">IF(AND(Energy!$F$11=$A$3,Main!$B$43=$A26),Summary!AL23,AL26)</f>
        <v>-0.29831679609240863</v>
      </c>
      <c r="AM26" s="103">
        <f ca="1">IF(AND(Energy!$F$11=$A$3,Main!$B$43=$A26),Summary!AM23,AM26)</f>
        <v>0.34375</v>
      </c>
      <c r="AN26" s="101"/>
      <c r="AO26" s="101"/>
      <c r="AP26" s="101"/>
      <c r="AQ26" s="101"/>
      <c r="AR26" s="103"/>
      <c r="AS26" s="103"/>
      <c r="AT26" s="103"/>
      <c r="AU26" s="101"/>
      <c r="AV26" s="101"/>
      <c r="AW26" s="101"/>
      <c r="AX26" s="101"/>
      <c r="AY26" s="101"/>
      <c r="AZ26" s="105"/>
      <c r="BA26" s="100"/>
      <c r="BB26" s="100"/>
      <c r="BC26" s="6"/>
    </row>
    <row r="27" spans="1:55">
      <c r="A27">
        <f t="shared" si="2"/>
        <v>2</v>
      </c>
      <c r="D27" s="1">
        <f ca="1">IF(AND(Energy!$F$11=$A$3,Main!$B$43=A27),Main!C24,D27)</f>
        <v>3.9736842105263159</v>
      </c>
      <c r="E27" s="103">
        <f ca="1">IF(AND(Energy!$F$11=$A$3,Main!$B$43=A27),Main!B24,E27)</f>
        <v>0.22222222222222224</v>
      </c>
      <c r="F27" s="103">
        <f ca="1">IF(Main!$D$6=1,U27,IF(Main!$D$6=2,N27,IF(Main!$D$6=3,K27,IF(Main!$D$6=4,V27,J27))))</f>
        <v>405.06306747957979</v>
      </c>
      <c r="G27" s="103">
        <f ca="1">IF(AND(Energy!$F$11=$A$3,Main!$B$43=A27),Weight!H24,G27)</f>
        <v>10</v>
      </c>
      <c r="H27" s="103">
        <f ca="1">IF(AND(Energy!$F$11=$A$3,Main!$B$43=A27),Weight!U24,H27)</f>
        <v>9.9604091428752568</v>
      </c>
      <c r="I27" s="103">
        <f ca="1">IF(AND(Energy!$F$11=$A$3,Main!$B$43=A27),Weight!V24,I27)</f>
        <v>32.329117083899874</v>
      </c>
      <c r="J27" s="103">
        <f ca="1">IF(AND(Energy!$F$11=$A$3,Main!$B$43=A27),Weight!I24,J27)</f>
        <v>12.308349666024622</v>
      </c>
      <c r="K27" s="103">
        <f ca="1">IF(AND(Energy!$F$11=$A$3,Main!$B$43=A27),Weight!W24,K27)</f>
        <v>42.329117083899881</v>
      </c>
      <c r="L27" s="103">
        <f ca="1">IF(AND(Energy!$F$11=$A$3,Main!$B$43=A27),'Aerodynamics-Cruise'!BI24,L27)</f>
        <v>42.329117083899881</v>
      </c>
      <c r="M27" s="103">
        <f ca="1">IF(AND(Energy!$F$11=$A$3,Main!$B$43=A27),'Aerodynamics-Cruise'!BJ24,M27)</f>
        <v>2.0710617115562457</v>
      </c>
      <c r="N27" s="103">
        <f ca="1">IF(AND(Energy!$F$11=$A$3,Main!$B$43=A27),'Aerodynamics-Cruise'!BK24,N27)</f>
        <v>20.438365910445402</v>
      </c>
      <c r="O27" s="103">
        <f t="shared" ca="1" si="0"/>
        <v>132.97370669568517</v>
      </c>
      <c r="P27" s="103">
        <f ca="1">IF(AND(Energy!$F$11=$A$3,Main!$B$43=A27),'Aerodynamics-Cruise'!H24,P27)</f>
        <v>9.348821702100313</v>
      </c>
      <c r="Q27" s="103">
        <f ca="1">IF(AND(Energy!$F$11=$A$3,Main!$B$43=A27),'Aerodynamics-Cruise'!I24,Q27)</f>
        <v>7.8336465389975256</v>
      </c>
      <c r="R27" s="103">
        <f ca="1">IF(AND(Energy!$F$11=$A$3,Main!$B$43=$A27),Summary!R24,R27)</f>
        <v>26.258577472762884</v>
      </c>
      <c r="S27" s="103">
        <f ca="1">IF(AND(Energy!$F$11=$A$3,Main!$B$43=A27),'Aerodynamics-Cruise'!W24,S27)</f>
        <v>1</v>
      </c>
      <c r="T27" s="103">
        <f ca="1">IF(AND(Energy!$F$11=$A$3,Main!$B$43=A27),'Aerodynamics-Cruise'!BL24,T27)</f>
        <v>19.361986675386049</v>
      </c>
      <c r="U27" s="103">
        <f ca="1">IF(AND(Energy!$F$11=$A$3,Main!$B$43=A27),'Propulsion-Cruise'!M24,U27)</f>
        <v>42.064149678240071</v>
      </c>
      <c r="V27" s="103">
        <f ca="1">IF(AND(Energy!$F$11=$A$3,Main!$B$43=A27),Endurance!AP24,V27)</f>
        <v>405.06306747957979</v>
      </c>
      <c r="W27" s="103">
        <f ca="1">IF(AND(Energy!$F$11=$A$3,Main!$B$43=$A27),Summary!W24,W27)</f>
        <v>148.38340521127265</v>
      </c>
      <c r="X27" s="13">
        <f ca="1">IF(AND(Energy!$F$11=$A$3,Main!$B$43=A27),Energy!D24,X27)</f>
        <v>788.61448163146451</v>
      </c>
      <c r="Y27" s="102">
        <f ca="1">IF(AND(Energy!$F$11=$A$3,Main!$B$43=A27),'Aerodynamics-Cruise'!V24,Y27)</f>
        <v>131761.83689209275</v>
      </c>
      <c r="Z27" s="102">
        <f ca="1">IF(AND(Energy!$F$11=$A$3,Main!$B$43=$A27),Summary!Z24,Z27)</f>
        <v>96882.429919993185</v>
      </c>
      <c r="AA27" s="102">
        <f ca="1">IF(AND(Energy!$F$11=$A$3,Main!$B$43=$A27),Summary!AA24,AA27)</f>
        <v>370087.10960946715</v>
      </c>
      <c r="AB27" s="103">
        <f ca="1">IF(AND(Energy!$F$11=$A$3,Main!$B$43=$A27),Summary!AB24,AB27)</f>
        <v>3.5477096788184932</v>
      </c>
      <c r="AC27" s="103">
        <f ca="1">IF(AND(Energy!$F$11=$A$3,Main!$B$43=$A27),Summary!AC24,AC27)</f>
        <v>3.6666267849421117</v>
      </c>
      <c r="AD27" s="103">
        <f ca="1">IF(AND(Energy!$F$11=$A$3,Main!$B$43=$A27),Summary!AD24,AD27)</f>
        <v>0.37667482708046135</v>
      </c>
      <c r="AE27" s="103">
        <f ca="1">IF(AND(Energy!$F$11=$A$3,Main!$B$43=$A27),Summary!AE24,AE27)</f>
        <v>0.88304093567251474</v>
      </c>
      <c r="AF27" s="103">
        <f ca="1">IF(AND(Energy!$F$11=$A$3,Main!$B$43=$A27),Summary!AF24,AF27)</f>
        <v>17.881578947368418</v>
      </c>
      <c r="AG27" s="103">
        <f ca="1">IF(AND(Energy!$F$11=$A$3,Main!$B$43=$A27),Summary!AG24,AG27)</f>
        <v>9.4238239914743982</v>
      </c>
      <c r="AH27" s="103">
        <f ca="1">IF(AND(Energy!$F$11=$A$3,Main!$B$43=$A27),Summary!AH24,AH27)</f>
        <v>47</v>
      </c>
      <c r="AI27" s="103">
        <f ca="1">IF(AND(Energy!$F$11=$A$3,Main!$B$43=$A27),Summary!AI24,AI27)</f>
        <v>2.7915273152185431</v>
      </c>
      <c r="AJ27" s="103">
        <f ca="1">IF(AND(Energy!$F$11=$A$3,Main!$B$43=$A27),Summary!AJ24,AJ27)</f>
        <v>0.35394653448127261</v>
      </c>
      <c r="AK27" s="103">
        <f ca="1">IF(AND(Energy!$F$11=$A$3,Main!$B$43=$A27),Summary!AK24,AK27)</f>
        <v>0.01</v>
      </c>
      <c r="AL27" s="103">
        <f ca="1">IF(AND(Energy!$F$11=$A$3,Main!$B$43=$A27),Summary!AL24,AL27)</f>
        <v>-0.29668316743246442</v>
      </c>
      <c r="AM27" s="103">
        <f ca="1">IF(AND(Energy!$F$11=$A$3,Main!$B$43=$A27),Summary!AM24,AM27)</f>
        <v>0.34375</v>
      </c>
      <c r="AN27" s="101"/>
      <c r="AO27" s="101"/>
      <c r="AP27" s="101"/>
      <c r="AQ27" s="101"/>
      <c r="AR27" s="103"/>
      <c r="AS27" s="103"/>
      <c r="AT27" s="103"/>
      <c r="AU27" s="101"/>
      <c r="AV27" s="101"/>
      <c r="AW27" s="101"/>
      <c r="AX27" s="101"/>
      <c r="AY27" s="101"/>
      <c r="AZ27" s="105"/>
      <c r="BA27" s="100"/>
      <c r="BB27" s="100"/>
      <c r="BC27" s="6"/>
    </row>
    <row r="28" spans="1:55">
      <c r="A28">
        <f t="shared" si="2"/>
        <v>2</v>
      </c>
      <c r="D28" s="1">
        <f ca="1">IF(AND(Energy!$F$11=$A$3,Main!$B$43=A28),Main!C25,D28)</f>
        <v>4.1315789473684212</v>
      </c>
      <c r="E28" s="103">
        <f ca="1">IF(AND(Energy!$F$11=$A$3,Main!$B$43=A28),Main!B25,E28)</f>
        <v>0.22222222222222224</v>
      </c>
      <c r="F28" s="103">
        <f ca="1">IF(Main!$D$6=1,U28,IF(Main!$D$6=2,N28,IF(Main!$D$6=3,K28,IF(Main!$D$6=4,V28,J28))))</f>
        <v>395.66512605764296</v>
      </c>
      <c r="G28" s="103">
        <f ca="1">IF(AND(Energy!$F$11=$A$3,Main!$B$43=A28),Weight!H25,G28)</f>
        <v>10</v>
      </c>
      <c r="H28" s="103">
        <f ca="1">IF(AND(Energy!$F$11=$A$3,Main!$B$43=A28),Weight!U25,H28)</f>
        <v>10.232786415220616</v>
      </c>
      <c r="I28" s="103">
        <f ca="1">IF(AND(Energy!$F$11=$A$3,Main!$B$43=A28),Weight!V25,I28)</f>
        <v>32.090794164665859</v>
      </c>
      <c r="J28" s="103">
        <f ca="1">IF(AND(Energy!$F$11=$A$3,Main!$B$43=A28),Weight!I25,J28)</f>
        <v>11.797649474445242</v>
      </c>
      <c r="K28" s="103">
        <f ca="1">IF(AND(Energy!$F$11=$A$3,Main!$B$43=A28),Weight!W25,K28)</f>
        <v>42.090794164665859</v>
      </c>
      <c r="L28" s="103">
        <f ca="1">IF(AND(Energy!$F$11=$A$3,Main!$B$43=A28),'Aerodynamics-Cruise'!BI25,L28)</f>
        <v>42.090794164665866</v>
      </c>
      <c r="M28" s="103">
        <f ca="1">IF(AND(Energy!$F$11=$A$3,Main!$B$43=A28),'Aerodynamics-Cruise'!BJ25,M28)</f>
        <v>2.0516555032761405</v>
      </c>
      <c r="N28" s="103">
        <f ca="1">IF(AND(Energy!$F$11=$A$3,Main!$B$43=A28),'Aerodynamics-Cruise'!BK25,N28)</f>
        <v>20.51552714257053</v>
      </c>
      <c r="O28" s="103">
        <f t="shared" ca="1" si="0"/>
        <v>133.09944378433417</v>
      </c>
      <c r="P28" s="103">
        <f ca="1">IF(AND(Energy!$F$11=$A$3,Main!$B$43=A28),'Aerodynamics-Cruise'!H25,P28)</f>
        <v>9.1425555316062646</v>
      </c>
      <c r="Q28" s="103">
        <f ca="1">IF(AND(Energy!$F$11=$A$3,Main!$B$43=A28),'Aerodynamics-Cruise'!I25,Q28)</f>
        <v>7.6620312939613875</v>
      </c>
      <c r="R28" s="103">
        <f ca="1">IF(AND(Energy!$F$11=$A$3,Main!$B$43=$A28),Summary!R25,R28)</f>
        <v>26.001618878527214</v>
      </c>
      <c r="S28" s="103">
        <f ca="1">IF(AND(Energy!$F$11=$A$3,Main!$B$43=A28),'Aerodynamics-Cruise'!W25,S28)</f>
        <v>1</v>
      </c>
      <c r="T28" s="103">
        <f ca="1">IF(AND(Energy!$F$11=$A$3,Main!$B$43=A28),'Aerodynamics-Cruise'!BL25,T28)</f>
        <v>18.757374370427712</v>
      </c>
      <c r="U28" s="103">
        <f ca="1">IF(AND(Energy!$F$11=$A$3,Main!$B$43=A28),'Propulsion-Cruise'!M25,U28)</f>
        <v>41.006064666755513</v>
      </c>
      <c r="V28" s="103">
        <f ca="1">IF(AND(Energy!$F$11=$A$3,Main!$B$43=A28),Endurance!AP25,V28)</f>
        <v>395.66512605764296</v>
      </c>
      <c r="W28" s="103">
        <f ca="1">IF(AND(Energy!$F$11=$A$3,Main!$B$43=$A28),Summary!W25,W28)</f>
        <v>138.79551344078686</v>
      </c>
      <c r="X28" s="13">
        <f ca="1">IF(AND(Energy!$F$11=$A$3,Main!$B$43=A28),Energy!D25,X28)</f>
        <v>771.30301037919855</v>
      </c>
      <c r="Y28" s="102">
        <f ca="1">IF(AND(Energy!$F$11=$A$3,Main!$B$43=A28),'Aerodynamics-Cruise'!V25,Y28)</f>
        <v>128854.7315499417</v>
      </c>
      <c r="Z28" s="102">
        <f ca="1">IF(AND(Energy!$F$11=$A$3,Main!$B$43=$A28),Summary!Z25,Z28)</f>
        <v>94759.878366187011</v>
      </c>
      <c r="AA28" s="102">
        <f ca="1">IF(AND(Energy!$F$11=$A$3,Main!$B$43=$A28),Summary!AA25,AA28)</f>
        <v>366465.54772064695</v>
      </c>
      <c r="AB28" s="103">
        <f ca="1">IF(AND(Energy!$F$11=$A$3,Main!$B$43=$A28),Summary!AB25,AB28)</f>
        <v>3.3694566175341807</v>
      </c>
      <c r="AC28" s="103">
        <f ca="1">IF(AND(Energy!$F$11=$A$3,Main!$B$43=$A28),Summary!AC25,AC28)</f>
        <v>3.6299621991126663</v>
      </c>
      <c r="AD28" s="103">
        <f ca="1">IF(AND(Energy!$F$11=$A$3,Main!$B$43=$A28),Summary!AD25,AD28)</f>
        <v>0.37190666949970447</v>
      </c>
      <c r="AE28" s="103">
        <f ca="1">IF(AND(Energy!$F$11=$A$3,Main!$B$43=$A28),Summary!AE25,AE28)</f>
        <v>0.91812865497076035</v>
      </c>
      <c r="AF28" s="103">
        <f ca="1">IF(AND(Energy!$F$11=$A$3,Main!$B$43=$A28),Summary!AF25,AF28)</f>
        <v>18.592105263157894</v>
      </c>
      <c r="AG28" s="103">
        <f ca="1">IF(AND(Energy!$F$11=$A$3,Main!$B$43=$A28),Summary!AG25,AG28)</f>
        <v>9.3045585944814295</v>
      </c>
      <c r="AH28" s="103">
        <f ca="1">IF(AND(Energy!$F$11=$A$3,Main!$B$43=$A28),Summary!AH25,AH28)</f>
        <v>47</v>
      </c>
      <c r="AI28" s="103">
        <f ca="1">IF(AND(Energy!$F$11=$A$3,Main!$B$43=$A28),Summary!AI25,AI28)</f>
        <v>2.7906376054615123</v>
      </c>
      <c r="AJ28" s="103">
        <f ca="1">IF(AND(Energy!$F$11=$A$3,Main!$B$43=$A28),Summary!AJ25,AJ28)</f>
        <v>0.35563654019600366</v>
      </c>
      <c r="AK28" s="103">
        <f ca="1">IF(AND(Energy!$F$11=$A$3,Main!$B$43=$A28),Summary!AK25,AK28)</f>
        <v>0.01</v>
      </c>
      <c r="AL28" s="103">
        <f ca="1">IF(AND(Energy!$F$11=$A$3,Main!$B$43=$A28),Summary!AL25,AL28)</f>
        <v>-0.2952721225341664</v>
      </c>
      <c r="AM28" s="103">
        <f ca="1">IF(AND(Energy!$F$11=$A$3,Main!$B$43=$A28),Summary!AM25,AM28)</f>
        <v>0.34375</v>
      </c>
      <c r="AN28" s="101"/>
      <c r="AO28" s="101"/>
      <c r="AP28" s="101"/>
      <c r="AQ28" s="101"/>
      <c r="AR28" s="103"/>
      <c r="AS28" s="103"/>
      <c r="AT28" s="103"/>
      <c r="AU28" s="101"/>
      <c r="AV28" s="101"/>
      <c r="AW28" s="101"/>
      <c r="AX28" s="101"/>
      <c r="AY28" s="101"/>
      <c r="AZ28" s="105"/>
      <c r="BA28" s="100"/>
      <c r="BB28" s="100"/>
      <c r="BC28" s="6"/>
    </row>
    <row r="29" spans="1:55">
      <c r="A29">
        <f t="shared" si="2"/>
        <v>2</v>
      </c>
      <c r="D29" s="1">
        <f ca="1">IF(AND(Energy!$F$11=$A$3,Main!$B$43=A29),Main!C26,D29)</f>
        <v>4.2894736842105265</v>
      </c>
      <c r="E29" s="103">
        <f ca="1">IF(AND(Energy!$F$11=$A$3,Main!$B$43=A29),Main!B26,E29)</f>
        <v>0.22222222222222224</v>
      </c>
      <c r="F29" s="103">
        <f ca="1">IF(Main!$D$6=1,U29,IF(Main!$D$6=2,N29,IF(Main!$D$6=3,K29,IF(Main!$D$6=4,V29,J29))))</f>
        <v>388.36531282007797</v>
      </c>
      <c r="G29" s="103">
        <f ca="1">IF(AND(Energy!$F$11=$A$3,Main!$B$43=A29),Weight!H26,G29)</f>
        <v>10</v>
      </c>
      <c r="H29" s="103">
        <f ca="1">IF(AND(Energy!$F$11=$A$3,Main!$B$43=A29),Weight!U26,H29)</f>
        <v>10.523882774360569</v>
      </c>
      <c r="I29" s="103">
        <f ca="1">IF(AND(Energy!$F$11=$A$3,Main!$B$43=A29),Weight!V26,I29)</f>
        <v>31.983804736070923</v>
      </c>
      <c r="J29" s="103">
        <f ca="1">IF(AND(Energy!$F$11=$A$3,Main!$B$43=A29),Weight!I26,J29)</f>
        <v>11.399563686710355</v>
      </c>
      <c r="K29" s="103">
        <f ca="1">IF(AND(Energy!$F$11=$A$3,Main!$B$43=A29),Weight!W26,K29)</f>
        <v>41.983804736070923</v>
      </c>
      <c r="L29" s="103">
        <f ca="1">IF(AND(Energy!$F$11=$A$3,Main!$B$43=A29),'Aerodynamics-Cruise'!BI26,L29)</f>
        <v>41.98380473607093</v>
      </c>
      <c r="M29" s="103">
        <f ca="1">IF(AND(Energy!$F$11=$A$3,Main!$B$43=A29),'Aerodynamics-Cruise'!BJ26,M29)</f>
        <v>2.0393075308092237</v>
      </c>
      <c r="N29" s="103">
        <f ca="1">IF(AND(Energy!$F$11=$A$3,Main!$B$43=A29),'Aerodynamics-Cruise'!BK26,N29)</f>
        <v>20.587284704142299</v>
      </c>
      <c r="O29" s="103">
        <f t="shared" ca="1" si="0"/>
        <v>133.39512772943357</v>
      </c>
      <c r="P29" s="103">
        <f ca="1">IF(AND(Energy!$F$11=$A$3,Main!$B$43=A29),'Aerodynamics-Cruise'!H26,P29)</f>
        <v>8.9612645811202736</v>
      </c>
      <c r="Q29" s="103">
        <f ca="1">IF(AND(Energy!$F$11=$A$3,Main!$B$43=A29),'Aerodynamics-Cruise'!I26,Q29)</f>
        <v>7.5111725915238061</v>
      </c>
      <c r="R29" s="103">
        <f ca="1">IF(AND(Energy!$F$11=$A$3,Main!$B$43=$A29),Summary!R26,R29)</f>
        <v>25.754038784693101</v>
      </c>
      <c r="S29" s="103">
        <f ca="1">IF(AND(Energy!$F$11=$A$3,Main!$B$43=A29),'Aerodynamics-Cruise'!W26,S29)</f>
        <v>1</v>
      </c>
      <c r="T29" s="103">
        <f ca="1">IF(AND(Energy!$F$11=$A$3,Main!$B$43=A29),'Aerodynamics-Cruise'!BL26,T29)</f>
        <v>18.274774345852538</v>
      </c>
      <c r="U29" s="103">
        <f ca="1">IF(AND(Energy!$F$11=$A$3,Main!$B$43=A29),'Propulsion-Cruise'!M26,U29)</f>
        <v>40.172629923871057</v>
      </c>
      <c r="V29" s="103">
        <f ca="1">IF(AND(Energy!$F$11=$A$3,Main!$B$43=A29),Endurance!AP26,V29)</f>
        <v>388.36531282007797</v>
      </c>
      <c r="W29" s="103">
        <f ca="1">IF(AND(Energy!$F$11=$A$3,Main!$B$43=$A29),Summary!W26,W29)</f>
        <v>131.32184589355745</v>
      </c>
      <c r="X29" s="13">
        <f ca="1">IF(AND(Energy!$F$11=$A$3,Main!$B$43=A29),Energy!D26,X29)</f>
        <v>757.80888841892329</v>
      </c>
      <c r="Y29" s="102">
        <f ca="1">IF(AND(Energy!$F$11=$A$3,Main!$B$43=A29),'Aerodynamics-Cruise'!V26,Y29)</f>
        <v>126299.62573991421</v>
      </c>
      <c r="Z29" s="102">
        <f ca="1">IF(AND(Energy!$F$11=$A$3,Main!$B$43=$A29),Summary!Z26,Z29)</f>
        <v>92894.04741785946</v>
      </c>
      <c r="AA29" s="102">
        <f ca="1">IF(AND(Energy!$F$11=$A$3,Main!$B$43=$A29),Summary!AA26,AA29)</f>
        <v>362976.16595886083</v>
      </c>
      <c r="AB29" s="103">
        <f ca="1">IF(AND(Energy!$F$11=$A$3,Main!$B$43=$A29),Summary!AB26,AB29)</f>
        <v>3.2254078709765395</v>
      </c>
      <c r="AC29" s="103">
        <f ca="1">IF(AND(Energy!$F$11=$A$3,Main!$B$43=$A29),Summary!AC26,AC29)</f>
        <v>3.5867202458493503</v>
      </c>
      <c r="AD29" s="103">
        <f ca="1">IF(AND(Energy!$F$11=$A$3,Main!$B$43=$A29),Summary!AD26,AD29)</f>
        <v>0.3679836360123192</v>
      </c>
      <c r="AE29" s="103">
        <f ca="1">IF(AND(Energy!$F$11=$A$3,Main!$B$43=$A29),Summary!AE26,AE29)</f>
        <v>0.95321637426900596</v>
      </c>
      <c r="AF29" s="103">
        <f ca="1">IF(AND(Energy!$F$11=$A$3,Main!$B$43=$A29),Summary!AF26,AF29)</f>
        <v>19.30263157894737</v>
      </c>
      <c r="AG29" s="103">
        <f ca="1">IF(AND(Energy!$F$11=$A$3,Main!$B$43=$A29),Summary!AG26,AG29)</f>
        <v>9.2126252921526994</v>
      </c>
      <c r="AH29" s="103">
        <f ca="1">IF(AND(Energy!$F$11=$A$3,Main!$B$43=$A29),Summary!AH26,AH29)</f>
        <v>47</v>
      </c>
      <c r="AI29" s="103">
        <f ca="1">IF(AND(Energy!$F$11=$A$3,Main!$B$43=$A29),Summary!AI26,AI29)</f>
        <v>2.7898393066382035</v>
      </c>
      <c r="AJ29" s="103">
        <f ca="1">IF(AND(Energy!$F$11=$A$3,Main!$B$43=$A29),Summary!AJ26,AJ29)</f>
        <v>0.35711483799125865</v>
      </c>
      <c r="AK29" s="103">
        <f ca="1">IF(AND(Energy!$F$11=$A$3,Main!$B$43=$A29),Summary!AK26,AK29)</f>
        <v>0.01</v>
      </c>
      <c r="AL29" s="103">
        <f ca="1">IF(AND(Energy!$F$11=$A$3,Main!$B$43=$A29),Summary!AL26,AL29)</f>
        <v>-0.29404877184288924</v>
      </c>
      <c r="AM29" s="103">
        <f ca="1">IF(AND(Energy!$F$11=$A$3,Main!$B$43=$A29),Summary!AM26,AM29)</f>
        <v>0.34375</v>
      </c>
      <c r="AN29" s="101"/>
      <c r="AO29" s="101"/>
      <c r="AP29" s="101"/>
      <c r="AQ29" s="101"/>
      <c r="AR29" s="103"/>
      <c r="AS29" s="103"/>
      <c r="AT29" s="103"/>
      <c r="AU29" s="101"/>
      <c r="AV29" s="101"/>
      <c r="AW29" s="101"/>
      <c r="AX29" s="101"/>
      <c r="AY29" s="101"/>
      <c r="AZ29" s="105"/>
      <c r="BA29" s="100"/>
      <c r="BB29" s="100"/>
      <c r="BC29" s="6"/>
    </row>
    <row r="30" spans="1:55">
      <c r="A30">
        <f t="shared" si="2"/>
        <v>2</v>
      </c>
      <c r="D30" s="1">
        <f ca="1">IF(AND(Energy!$F$11=$A$3,Main!$B$43=A30),Main!C27,D30)</f>
        <v>4.4473684210526319</v>
      </c>
      <c r="E30" s="103">
        <f ca="1">IF(AND(Energy!$F$11=$A$3,Main!$B$43=A30),Main!B27,E30)</f>
        <v>0.22222222222222224</v>
      </c>
      <c r="F30" s="103">
        <f ca="1">IF(Main!$D$6=1,U30,IF(Main!$D$6=2,N30,IF(Main!$D$6=3,K30,IF(Main!$D$6=4,V30,J30))))</f>
        <v>382.77349103035863</v>
      </c>
      <c r="G30" s="103">
        <f ca="1">IF(AND(Energy!$F$11=$A$3,Main!$B$43=A30),Weight!H27,G30)</f>
        <v>10</v>
      </c>
      <c r="H30" s="103">
        <f ca="1">IF(AND(Energy!$F$11=$A$3,Main!$B$43=A30),Weight!U27,H30)</f>
        <v>10.832187827033717</v>
      </c>
      <c r="I30" s="103">
        <f ca="1">IF(AND(Energy!$F$11=$A$3,Main!$B$43=A30),Weight!V27,I30)</f>
        <v>31.985766432661322</v>
      </c>
      <c r="J30" s="103">
        <f ca="1">IF(AND(Energy!$F$11=$A$3,Main!$B$43=A30),Weight!I27,J30)</f>
        <v>11.093220330627606</v>
      </c>
      <c r="K30" s="103">
        <f ca="1">IF(AND(Energy!$F$11=$A$3,Main!$B$43=A30),Weight!W27,K30)</f>
        <v>41.985766432661322</v>
      </c>
      <c r="L30" s="103">
        <f ca="1">IF(AND(Energy!$F$11=$A$3,Main!$B$43=A30),'Aerodynamics-Cruise'!BI27,L30)</f>
        <v>41.985766432661315</v>
      </c>
      <c r="M30" s="103">
        <f ca="1">IF(AND(Energy!$F$11=$A$3,Main!$B$43=A30),'Aerodynamics-Cruise'!BJ27,M30)</f>
        <v>2.03283322922164</v>
      </c>
      <c r="N30" s="103">
        <f ca="1">IF(AND(Energy!$F$11=$A$3,Main!$B$43=A30),'Aerodynamics-Cruise'!BK27,N30)</f>
        <v>20.653817454930831</v>
      </c>
      <c r="O30" s="103">
        <f t="shared" ca="1" si="0"/>
        <v>133.82935257907604</v>
      </c>
      <c r="P30" s="103">
        <f ca="1">IF(AND(Energy!$F$11=$A$3,Main!$B$43=A30),'Aerodynamics-Cruise'!H27,P30)</f>
        <v>8.8009267781318634</v>
      </c>
      <c r="Q30" s="103">
        <f ca="1">IF(AND(Energy!$F$11=$A$3,Main!$B$43=A30),'Aerodynamics-Cruise'!I27,Q30)</f>
        <v>7.377731346131136</v>
      </c>
      <c r="R30" s="103">
        <f ca="1">IF(AND(Energy!$F$11=$A$3,Main!$B$43=$A30),Summary!R27,R30)</f>
        <v>25.515179242801057</v>
      </c>
      <c r="S30" s="103">
        <f ca="1">IF(AND(Energy!$F$11=$A$3,Main!$B$43=A30),'Aerodynamics-Cruise'!W27,S30)</f>
        <v>1</v>
      </c>
      <c r="T30" s="103">
        <f ca="1">IF(AND(Energy!$F$11=$A$3,Main!$B$43=A30),'Aerodynamics-Cruise'!BL27,T30)</f>
        <v>17.890816402533002</v>
      </c>
      <c r="U30" s="103">
        <f ca="1">IF(AND(Energy!$F$11=$A$3,Main!$B$43=A30),'Propulsion-Cruise'!M27,U30)</f>
        <v>39.521786781251429</v>
      </c>
      <c r="V30" s="103">
        <f ca="1">IF(AND(Energy!$F$11=$A$3,Main!$B$43=A30),Endurance!AP27,V30)</f>
        <v>382.77349103035863</v>
      </c>
      <c r="W30" s="103">
        <f ca="1">IF(AND(Energy!$F$11=$A$3,Main!$B$43=$A30),Summary!W27,W30)</f>
        <v>125.57055190315322</v>
      </c>
      <c r="X30" s="13">
        <f ca="1">IF(AND(Energy!$F$11=$A$3,Main!$B$43=A30),Energy!D27,X30)</f>
        <v>747.42460760291556</v>
      </c>
      <c r="Y30" s="102">
        <f ca="1">IF(AND(Energy!$F$11=$A$3,Main!$B$43=A30),'Aerodynamics-Cruise'!V27,Y30)</f>
        <v>124039.8325683053</v>
      </c>
      <c r="Z30" s="102">
        <f ca="1">IF(AND(Energy!$F$11=$A$3,Main!$B$43=$A30),Summary!Z27,Z30)</f>
        <v>91243.638364316226</v>
      </c>
      <c r="AA30" s="102">
        <f ca="1">IF(AND(Energy!$F$11=$A$3,Main!$B$43=$A30),Summary!AA27,AA30)</f>
        <v>359609.69123062538</v>
      </c>
      <c r="AB30" s="103">
        <f ca="1">IF(AND(Energy!$F$11=$A$3,Main!$B$43=$A30),Summary!AB27,AB30)</f>
        <v>3.1082809110100094</v>
      </c>
      <c r="AC30" s="103">
        <f ca="1">IF(AND(Energy!$F$11=$A$3,Main!$B$43=$A30),Summary!AC27,AC30)</f>
        <v>3.5385375690465244</v>
      </c>
      <c r="AD30" s="103">
        <f ca="1">IF(AND(Energy!$F$11=$A$3,Main!$B$43=$A30),Summary!AD27,AD30)</f>
        <v>0.36476862357444628</v>
      </c>
      <c r="AE30" s="103">
        <f ca="1">IF(AND(Energy!$F$11=$A$3,Main!$B$43=$A30),Summary!AE27,AE30)</f>
        <v>0.98830409356725157</v>
      </c>
      <c r="AF30" s="103">
        <f ca="1">IF(AND(Energy!$F$11=$A$3,Main!$B$43=$A30),Summary!AF27,AF30)</f>
        <v>20.013157894736842</v>
      </c>
      <c r="AG30" s="103">
        <f ca="1">IF(AND(Energy!$F$11=$A$3,Main!$B$43=$A30),Summary!AG27,AG30)</f>
        <v>9.1432531877120198</v>
      </c>
      <c r="AH30" s="103">
        <f ca="1">IF(AND(Energy!$F$11=$A$3,Main!$B$43=$A30),Summary!AH27,AH30)</f>
        <v>47</v>
      </c>
      <c r="AI30" s="103">
        <f ca="1">IF(AND(Energy!$F$11=$A$3,Main!$B$43=$A30),Summary!AI27,AI30)</f>
        <v>2.7891200871855468</v>
      </c>
      <c r="AJ30" s="103">
        <f ca="1">IF(AND(Energy!$F$11=$A$3,Main!$B$43=$A30),Summary!AJ27,AJ30)</f>
        <v>0.35840813907513586</v>
      </c>
      <c r="AK30" s="103">
        <f ca="1">IF(AND(Energy!$F$11=$A$3,Main!$B$43=$A30),Summary!AK27,AK30)</f>
        <v>0.01</v>
      </c>
      <c r="AL30" s="103">
        <f ca="1">IF(AND(Energy!$F$11=$A$3,Main!$B$43=$A30),Summary!AL27,AL30)</f>
        <v>-0.29298677130119538</v>
      </c>
      <c r="AM30" s="103">
        <f ca="1">IF(AND(Energy!$F$11=$A$3,Main!$B$43=$A30),Summary!AM27,AM30)</f>
        <v>0.34375</v>
      </c>
      <c r="AN30" s="101"/>
      <c r="AO30" s="101"/>
      <c r="AP30" s="101"/>
      <c r="AQ30" s="101"/>
      <c r="AR30" s="103"/>
      <c r="AS30" s="103"/>
      <c r="AT30" s="103"/>
      <c r="AU30" s="101"/>
      <c r="AV30" s="101"/>
      <c r="AW30" s="101"/>
      <c r="AX30" s="101"/>
      <c r="AY30" s="101"/>
      <c r="AZ30" s="105"/>
      <c r="BA30" s="100"/>
      <c r="BB30" s="100"/>
      <c r="BC30" s="6"/>
    </row>
    <row r="31" spans="1:55">
      <c r="A31">
        <f t="shared" si="2"/>
        <v>2</v>
      </c>
      <c r="D31" s="1">
        <f ca="1">IF(AND(Energy!$F$11=$A$3,Main!$B$43=A31),Main!C28,D31)</f>
        <v>4.6052631578947372</v>
      </c>
      <c r="E31" s="103">
        <f ca="1">IF(AND(Energy!$F$11=$A$3,Main!$B$43=A31),Main!B28,E31)</f>
        <v>0.22222222222222224</v>
      </c>
      <c r="F31" s="103">
        <f ca="1">IF(Main!$D$6=1,U31,IF(Main!$D$6=2,N31,IF(Main!$D$6=3,K31,IF(Main!$D$6=4,V31,J31))))</f>
        <v>378.60346624773354</v>
      </c>
      <c r="G31" s="103">
        <f ca="1">IF(AND(Energy!$F$11=$A$3,Main!$B$43=A31),Weight!H28,G31)</f>
        <v>10</v>
      </c>
      <c r="H31" s="103">
        <f ca="1">IF(AND(Energy!$F$11=$A$3,Main!$B$43=A31),Weight!U28,H31)</f>
        <v>11.156637020383414</v>
      </c>
      <c r="I31" s="103">
        <f ca="1">IF(AND(Energy!$F$11=$A$3,Main!$B$43=A31),Weight!V28,I31)</f>
        <v>32.080295510209176</v>
      </c>
      <c r="J31" s="103">
        <f ca="1">IF(AND(Energy!$F$11=$A$3,Main!$B$43=A31),Weight!I28,J31)</f>
        <v>10.863300214825763</v>
      </c>
      <c r="K31" s="103">
        <f ca="1">IF(AND(Energy!$F$11=$A$3,Main!$B$43=A31),Weight!W28,K31)</f>
        <v>42.080295510209176</v>
      </c>
      <c r="L31" s="103">
        <f ca="1">IF(AND(Energy!$F$11=$A$3,Main!$B$43=A31),'Aerodynamics-Cruise'!BI28,L31)</f>
        <v>42.080295510209183</v>
      </c>
      <c r="M31" s="103">
        <f ca="1">IF(AND(Energy!$F$11=$A$3,Main!$B$43=A31),'Aerodynamics-Cruise'!BJ28,M31)</f>
        <v>2.0313546555884447</v>
      </c>
      <c r="N31" s="103">
        <f ca="1">IF(AND(Energy!$F$11=$A$3,Main!$B$43=A31),'Aerodynamics-Cruise'!BK28,N31)</f>
        <v>20.715385860584409</v>
      </c>
      <c r="O31" s="103">
        <f t="shared" ca="1" si="0"/>
        <v>134.37931338268567</v>
      </c>
      <c r="P31" s="103">
        <f ca="1">IF(AND(Energy!$F$11=$A$3,Main!$B$43=A31),'Aerodynamics-Cruise'!H28,P31)</f>
        <v>8.6584420234359136</v>
      </c>
      <c r="Q31" s="103">
        <f ca="1">IF(AND(Energy!$F$11=$A$3,Main!$B$43=A31),'Aerodynamics-Cruise'!I28,Q31)</f>
        <v>7.2591334998137986</v>
      </c>
      <c r="R31" s="103">
        <f ca="1">IF(AND(Energy!$F$11=$A$3,Main!$B$43=$A31),Summary!R28,R31)</f>
        <v>25.284475367267497</v>
      </c>
      <c r="S31" s="103">
        <f ca="1">IF(AND(Energy!$F$11=$A$3,Main!$B$43=A31),'Aerodynamics-Cruise'!W28,S31)</f>
        <v>1</v>
      </c>
      <c r="T31" s="103">
        <f ca="1">IF(AND(Energy!$F$11=$A$3,Main!$B$43=A31),'Aerodynamics-Cruise'!BL28,T31)</f>
        <v>17.588366514449177</v>
      </c>
      <c r="U31" s="103">
        <f ca="1">IF(AND(Energy!$F$11=$A$3,Main!$B$43=A31),'Propulsion-Cruise'!M28,U31)</f>
        <v>39.022667525691098</v>
      </c>
      <c r="V31" s="103">
        <f ca="1">IF(AND(Energy!$F$11=$A$3,Main!$B$43=A31),Endurance!AP28,V31)</f>
        <v>378.60346624773354</v>
      </c>
      <c r="W31" s="103">
        <f ca="1">IF(AND(Energy!$F$11=$A$3,Main!$B$43=$A31),Summary!W28,W31)</f>
        <v>121.2540287795801</v>
      </c>
      <c r="X31" s="13">
        <f ca="1">IF(AND(Energy!$F$11=$A$3,Main!$B$43=A31),Energy!D28,X31)</f>
        <v>739.63088529646416</v>
      </c>
      <c r="Y31" s="102">
        <f ca="1">IF(AND(Energy!$F$11=$A$3,Main!$B$43=A31),'Aerodynamics-Cruise'!V28,Y31)</f>
        <v>122031.65938818789</v>
      </c>
      <c r="Z31" s="102">
        <f ca="1">IF(AND(Energy!$F$11=$A$3,Main!$B$43=$A31),Summary!Z28,Z31)</f>
        <v>89776.814595264877</v>
      </c>
      <c r="AA31" s="102">
        <f ca="1">IF(AND(Energy!$F$11=$A$3,Main!$B$43=$A31),Summary!AA28,AA31)</f>
        <v>356358.16206608934</v>
      </c>
      <c r="AB31" s="103">
        <f ca="1">IF(AND(Energy!$F$11=$A$3,Main!$B$43=$A31),Summary!AB28,AB31)</f>
        <v>3.0128437957349643</v>
      </c>
      <c r="AC31" s="103">
        <f ca="1">IF(AND(Energy!$F$11=$A$3,Main!$B$43=$A31),Summary!AC28,AC31)</f>
        <v>3.4866520841554989</v>
      </c>
      <c r="AD31" s="103">
        <f ca="1">IF(AND(Energy!$F$11=$A$3,Main!$B$43=$A31),Summary!AD28,AD31)</f>
        <v>0.36215693608323579</v>
      </c>
      <c r="AE31" s="103">
        <f ca="1">IF(AND(Energy!$F$11=$A$3,Main!$B$43=$A31),Summary!AE28,AE31)</f>
        <v>1.0233918128654973</v>
      </c>
      <c r="AF31" s="103">
        <f ca="1">IF(AND(Energy!$F$11=$A$3,Main!$B$43=$A31),Summary!AF28,AF31)</f>
        <v>20.723684210526315</v>
      </c>
      <c r="AG31" s="103">
        <f ca="1">IF(AND(Energy!$F$11=$A$3,Main!$B$43=$A31),Summary!AG28,AG31)</f>
        <v>9.0928870436318583</v>
      </c>
      <c r="AH31" s="103">
        <f ca="1">IF(AND(Energy!$F$11=$A$3,Main!$B$43=$A31),Summary!AH28,AH31)</f>
        <v>47</v>
      </c>
      <c r="AI31" s="103">
        <f ca="1">IF(AND(Energy!$F$11=$A$3,Main!$B$43=$A31),Summary!AI28,AI31)</f>
        <v>2.7884702223312479</v>
      </c>
      <c r="AJ31" s="103">
        <f ca="1">IF(AND(Energy!$F$11=$A$3,Main!$B$43=$A31),Summary!AJ28,AJ31)</f>
        <v>0.35953739750026487</v>
      </c>
      <c r="AK31" s="103">
        <f ca="1">IF(AND(Energy!$F$11=$A$3,Main!$B$43=$A31),Summary!AK28,AK31)</f>
        <v>0.01</v>
      </c>
      <c r="AL31" s="103">
        <f ca="1">IF(AND(Energy!$F$11=$A$3,Main!$B$43=$A31),Summary!AL28,AL31)</f>
        <v>-0.29206570394104564</v>
      </c>
      <c r="AM31" s="103">
        <f ca="1">IF(AND(Energy!$F$11=$A$3,Main!$B$43=$A31),Summary!AM28,AM31)</f>
        <v>0.34375</v>
      </c>
      <c r="AN31" s="101"/>
      <c r="AO31" s="101"/>
      <c r="AP31" s="101"/>
      <c r="AQ31" s="101"/>
      <c r="AR31" s="103"/>
      <c r="AS31" s="103"/>
      <c r="AT31" s="103"/>
      <c r="AU31" s="101"/>
      <c r="AV31" s="101"/>
      <c r="AW31" s="101"/>
      <c r="AX31" s="101"/>
      <c r="AY31" s="101"/>
      <c r="AZ31" s="105"/>
      <c r="BA31" s="100"/>
      <c r="BB31" s="100"/>
      <c r="BC31" s="6"/>
    </row>
    <row r="32" spans="1:55">
      <c r="A32">
        <f t="shared" si="2"/>
        <v>2</v>
      </c>
      <c r="D32" s="1">
        <f ca="1">IF(AND(Energy!$F$11=$A$3,Main!$B$43=A32),Main!C29,D32)</f>
        <v>4.7631578947368425</v>
      </c>
      <c r="E32" s="103">
        <f ca="1">IF(AND(Energy!$F$11=$A$3,Main!$B$43=A32),Main!B29,E32)</f>
        <v>0.22222222222222224</v>
      </c>
      <c r="F32" s="103">
        <f ca="1">IF(Main!$D$6=1,U32,IF(Main!$D$6=2,N32,IF(Main!$D$6=3,K32,IF(Main!$D$6=4,V32,J32))))</f>
        <v>375.64069639133379</v>
      </c>
      <c r="G32" s="103">
        <f ca="1">IF(AND(Energy!$F$11=$A$3,Main!$B$43=A32),Weight!H29,G32)</f>
        <v>10</v>
      </c>
      <c r="H32" s="103">
        <f ca="1">IF(AND(Energy!$F$11=$A$3,Main!$B$43=A32),Weight!U29,H32)</f>
        <v>11.496479107697542</v>
      </c>
      <c r="I32" s="103">
        <f ca="1">IF(AND(Energy!$F$11=$A$3,Main!$B$43=A32),Weight!V29,I32)</f>
        <v>32.255150363638556</v>
      </c>
      <c r="J32" s="103">
        <f ca="1">IF(AND(Energy!$F$11=$A$3,Main!$B$43=A32),Weight!I29,J32)</f>
        <v>10.698312980941015</v>
      </c>
      <c r="K32" s="103">
        <f ca="1">IF(AND(Energy!$F$11=$A$3,Main!$B$43=A32),Weight!W29,K32)</f>
        <v>42.255150363638556</v>
      </c>
      <c r="L32" s="103">
        <f ca="1">IF(AND(Energy!$F$11=$A$3,Main!$B$43=A32),'Aerodynamics-Cruise'!BI29,L32)</f>
        <v>42.25515036363857</v>
      </c>
      <c r="M32" s="103">
        <f ca="1">IF(AND(Energy!$F$11=$A$3,Main!$B$43=A32),'Aerodynamics-Cruise'!BJ29,M32)</f>
        <v>2.0342081433061123</v>
      </c>
      <c r="N32" s="103">
        <f ca="1">IF(AND(Energy!$F$11=$A$3,Main!$B$43=A32),'Aerodynamics-Cruise'!BK29,N32)</f>
        <v>20.772284538672167</v>
      </c>
      <c r="O32" s="103">
        <f t="shared" ca="1" si="0"/>
        <v>135.02807885204274</v>
      </c>
      <c r="P32" s="103">
        <f ca="1">IF(AND(Energy!$F$11=$A$3,Main!$B$43=A32),'Aerodynamics-Cruise'!H29,P32)</f>
        <v>8.5313691675790029</v>
      </c>
      <c r="Q32" s="103">
        <f ca="1">IF(AND(Energy!$F$11=$A$3,Main!$B$43=A32),'Aerodynamics-Cruise'!I29,Q32)</f>
        <v>7.1533518318291733</v>
      </c>
      <c r="R32" s="103">
        <f ca="1">IF(AND(Energy!$F$11=$A$3,Main!$B$43=$A32),Summary!R29,R32)</f>
        <v>25.06143303349733</v>
      </c>
      <c r="S32" s="103">
        <f ca="1">IF(AND(Energy!$F$11=$A$3,Main!$B$43=A32),'Aerodynamics-Cruise'!W29,S32)</f>
        <v>1</v>
      </c>
      <c r="T32" s="103">
        <f ca="1">IF(AND(Energy!$F$11=$A$3,Main!$B$43=A32),'Aerodynamics-Cruise'!BL29,T32)</f>
        <v>17.354580634239898</v>
      </c>
      <c r="U32" s="103">
        <f ca="1">IF(AND(Energy!$F$11=$A$3,Main!$B$43=A32),'Propulsion-Cruise'!M29,U32)</f>
        <v>38.652118704250903</v>
      </c>
      <c r="V32" s="103">
        <f ca="1">IF(AND(Energy!$F$11=$A$3,Main!$B$43=A32),Endurance!AP29,V32)</f>
        <v>375.64069639133379</v>
      </c>
      <c r="W32" s="103">
        <f ca="1">IF(AND(Energy!$F$11=$A$3,Main!$B$43=$A32),Summary!W29,W32)</f>
        <v>118.15655639151089</v>
      </c>
      <c r="X32" s="13">
        <f ca="1">IF(AND(Energy!$F$11=$A$3,Main!$B$43=A32),Energy!D29,X32)</f>
        <v>734.0382268180058</v>
      </c>
      <c r="Y32" s="102">
        <f ca="1">IF(AND(Energy!$F$11=$A$3,Main!$B$43=A32),'Aerodynamics-Cruise'!V29,Y32)</f>
        <v>120240.70075828172</v>
      </c>
      <c r="Z32" s="102">
        <f ca="1">IF(AND(Energy!$F$11=$A$3,Main!$B$43=$A32),Summary!Z29,Z32)</f>
        <v>88468.502949199581</v>
      </c>
      <c r="AA32" s="102">
        <f ca="1">IF(AND(Energy!$F$11=$A$3,Main!$B$43=$A32),Summary!AA29,AA32)</f>
        <v>353214.61429732037</v>
      </c>
      <c r="AB32" s="103">
        <f ca="1">IF(AND(Energy!$F$11=$A$3,Main!$B$43=$A32),Summary!AB29,AB32)</f>
        <v>2.9352431584843073</v>
      </c>
      <c r="AC32" s="103">
        <f ca="1">IF(AND(Energy!$F$11=$A$3,Main!$B$43=$A32),Summary!AC29,AC32)</f>
        <v>3.4320051303249008</v>
      </c>
      <c r="AD32" s="103">
        <f ca="1">IF(AND(Energy!$F$11=$A$3,Main!$B$43=$A32),Summary!AD29,AD32)</f>
        <v>0.36006693748629159</v>
      </c>
      <c r="AE32" s="103">
        <f ca="1">IF(AND(Energy!$F$11=$A$3,Main!$B$43=$A32),Summary!AE29,AE32)</f>
        <v>1.0584795321637428</v>
      </c>
      <c r="AF32" s="103">
        <f ca="1">IF(AND(Energy!$F$11=$A$3,Main!$B$43=$A32),Summary!AF29,AF32)</f>
        <v>21.434210526315791</v>
      </c>
      <c r="AG32" s="103">
        <f ca="1">IF(AND(Energy!$F$11=$A$3,Main!$B$43=$A32),Summary!AG29,AG32)</f>
        <v>9.0588216510694739</v>
      </c>
      <c r="AH32" s="103">
        <f ca="1">IF(AND(Energy!$F$11=$A$3,Main!$B$43=$A32),Summary!AH29,AH32)</f>
        <v>47</v>
      </c>
      <c r="AI32" s="103">
        <f ca="1">IF(AND(Energy!$F$11=$A$3,Main!$B$43=$A32),Summary!AI29,AI32)</f>
        <v>2.7878818821516136</v>
      </c>
      <c r="AJ32" s="103">
        <f ca="1">IF(AND(Energy!$F$11=$A$3,Main!$B$43=$A32),Summary!AJ29,AJ32)</f>
        <v>0.36051940295805163</v>
      </c>
      <c r="AK32" s="103">
        <f ca="1">IF(AND(Energy!$F$11=$A$3,Main!$B$43=$A32),Summary!AK29,AK32)</f>
        <v>0.01</v>
      </c>
      <c r="AL32" s="103">
        <f ca="1">IF(AND(Energy!$F$11=$A$3,Main!$B$43=$A32),Summary!AL29,AL32)</f>
        <v>-0.29126941139286938</v>
      </c>
      <c r="AM32" s="103">
        <f ca="1">IF(AND(Energy!$F$11=$A$3,Main!$B$43=$A32),Summary!AM29,AM32)</f>
        <v>0.34375</v>
      </c>
      <c r="AN32" s="101"/>
      <c r="AO32" s="101"/>
      <c r="AP32" s="101"/>
      <c r="AQ32" s="101"/>
      <c r="AR32" s="103"/>
      <c r="AS32" s="103"/>
      <c r="AT32" s="103"/>
      <c r="AU32" s="101"/>
      <c r="AV32" s="101"/>
      <c r="AW32" s="101"/>
      <c r="AX32" s="101"/>
      <c r="AY32" s="101"/>
      <c r="AZ32" s="105"/>
      <c r="BA32" s="100"/>
      <c r="BB32" s="100"/>
      <c r="BC32" s="6"/>
    </row>
    <row r="33" spans="1:55">
      <c r="A33">
        <f t="shared" si="2"/>
        <v>2</v>
      </c>
      <c r="B33" s="10"/>
      <c r="C33" s="103"/>
      <c r="D33" s="1">
        <f ca="1">IF(AND(Energy!$F$11=$A$3,Main!$B$43=A33),Main!C30,D33)</f>
        <v>4.9210526315789478</v>
      </c>
      <c r="E33" s="103">
        <f ca="1">IF(AND(Energy!$F$11=$A$3,Main!$B$43=A33),Main!B30,E33)</f>
        <v>0.22222222222222224</v>
      </c>
      <c r="F33" s="103">
        <f ca="1">IF(Main!$D$6=1,U33,IF(Main!$D$6=2,N33,IF(Main!$D$6=3,K33,IF(Main!$D$6=4,V33,J33))))</f>
        <v>373.72159113525049</v>
      </c>
      <c r="G33" s="103">
        <f ca="1">IF(AND(Energy!$F$11=$A$3,Main!$B$43=A33),Weight!H30,G33)</f>
        <v>10</v>
      </c>
      <c r="H33" s="103">
        <f ca="1">IF(AND(Energy!$F$11=$A$3,Main!$B$43=A33),Weight!U30,H33)</f>
        <v>11.851190568328978</v>
      </c>
      <c r="I33" s="103">
        <f ca="1">IF(AND(Energy!$F$11=$A$3,Main!$B$43=A33),Weight!V30,I33)</f>
        <v>32.501040577627315</v>
      </c>
      <c r="J33" s="103">
        <f ca="1">IF(AND(Energy!$F$11=$A$3,Main!$B$43=A33),Weight!I30,J33)</f>
        <v>10.589491734298338</v>
      </c>
      <c r="K33" s="103">
        <f ca="1">IF(AND(Energy!$F$11=$A$3,Main!$B$43=A33),Weight!W30,K33)</f>
        <v>42.501040577627315</v>
      </c>
      <c r="L33" s="103">
        <f ca="1">IF(AND(Energy!$F$11=$A$3,Main!$B$43=A33),'Aerodynamics-Cruise'!BI30,L33)</f>
        <v>42.501040577627307</v>
      </c>
      <c r="M33" s="103">
        <f ca="1">IF(AND(Energy!$F$11=$A$3,Main!$B$43=A33),'Aerodynamics-Cruise'!BJ30,M33)</f>
        <v>2.0408844213552277</v>
      </c>
      <c r="N33" s="103">
        <f ca="1">IF(AND(Energy!$F$11=$A$3,Main!$B$43=A33),'Aerodynamics-Cruise'!BK30,N33)</f>
        <v>20.824815032595005</v>
      </c>
      <c r="O33" s="103">
        <f t="shared" ca="1" si="0"/>
        <v>135.7628462388204</v>
      </c>
      <c r="P33" s="103">
        <f ca="1">IF(AND(Energy!$F$11=$A$3,Main!$B$43=A33),'Aerodynamics-Cruise'!H30,P33)</f>
        <v>8.4177516660854543</v>
      </c>
      <c r="Q33" s="103">
        <f ca="1">IF(AND(Energy!$F$11=$A$3,Main!$B$43=A33),'Aerodynamics-Cruise'!I30,Q33)</f>
        <v>7.0587613207669389</v>
      </c>
      <c r="R33" s="103">
        <f ca="1">IF(AND(Energy!$F$11=$A$3,Main!$B$43=$A33),Summary!R30,R33)</f>
        <v>24.845613802170217</v>
      </c>
      <c r="S33" s="103">
        <f ca="1">IF(AND(Energy!$F$11=$A$3,Main!$B$43=A33),'Aerodynamics-Cruise'!W30,S33)</f>
        <v>1</v>
      </c>
      <c r="T33" s="103">
        <f ca="1">IF(AND(Energy!$F$11=$A$3,Main!$B$43=A33),'Aerodynamics-Cruise'!BL30,T33)</f>
        <v>17.179658238150818</v>
      </c>
      <c r="U33" s="103">
        <f ca="1">IF(AND(Energy!$F$11=$A$3,Main!$B$43=A33),'Propulsion-Cruise'!M30,U33)</f>
        <v>38.392472015020189</v>
      </c>
      <c r="V33" s="103">
        <f ca="1">IF(AND(Energy!$F$11=$A$3,Main!$B$43=A33),Endurance!AP30,V33)</f>
        <v>373.72159113525049</v>
      </c>
      <c r="W33" s="103">
        <f ca="1">IF(AND(Energy!$F$11=$A$3,Main!$B$43=$A33),Summary!W30,W33)</f>
        <v>116.11354494890179</v>
      </c>
      <c r="X33" s="13">
        <f ca="1">IF(AND(Energy!$F$11=$A$3,Main!$B$43=A33),Energy!D30,X33)</f>
        <v>730.34945615773938</v>
      </c>
      <c r="Y33" s="102">
        <f ca="1">IF(AND(Energy!$F$11=$A$3,Main!$B$43=A33),'Aerodynamics-Cruise'!V30,Y33)</f>
        <v>118639.3812362165</v>
      </c>
      <c r="Z33" s="102">
        <f ca="1">IF(AND(Energy!$F$11=$A$3,Main!$B$43=$A33),Summary!Z30,Z33)</f>
        <v>87298.604784257608</v>
      </c>
      <c r="AA33" s="102">
        <f ca="1">IF(AND(Energy!$F$11=$A$3,Main!$B$43=$A33),Summary!AA30,AA33)</f>
        <v>350172.86858193128</v>
      </c>
      <c r="AB33" s="103">
        <f ca="1">IF(AND(Energy!$F$11=$A$3,Main!$B$43=$A33),Summary!AB30,AB33)</f>
        <v>2.8725828826081186</v>
      </c>
      <c r="AC33" s="103">
        <f ca="1">IF(AND(Energy!$F$11=$A$3,Main!$B$43=$A33),Summary!AC30,AC33)</f>
        <v>3.3753200284781313</v>
      </c>
      <c r="AD33" s="103">
        <f ca="1">IF(AND(Energy!$F$11=$A$3,Main!$B$43=$A33),Summary!AD30,AD33)</f>
        <v>0.3584338833907964</v>
      </c>
      <c r="AE33" s="103">
        <f ca="1">IF(AND(Energy!$F$11=$A$3,Main!$B$43=$A33),Summary!AE30,AE33)</f>
        <v>1.0935672514619885</v>
      </c>
      <c r="AF33" s="103">
        <f ca="1">IF(AND(Energy!$F$11=$A$3,Main!$B$43=$A33),Summary!AF30,AF33)</f>
        <v>22.14473684210526</v>
      </c>
      <c r="AG33" s="103">
        <f ca="1">IF(AND(Energy!$F$11=$A$3,Main!$B$43=$A33),Summary!AG30,AG33)</f>
        <v>9.0389642448714937</v>
      </c>
      <c r="AH33" s="103">
        <f ca="1">IF(AND(Energy!$F$11=$A$3,Main!$B$43=$A33),Summary!AH30,AH33)</f>
        <v>47</v>
      </c>
      <c r="AI33" s="103">
        <f ca="1">IF(AND(Energy!$F$11=$A$3,Main!$B$43=$A33),Summary!AI30,AI33)</f>
        <v>2.7873486540057444</v>
      </c>
      <c r="AJ33" s="103">
        <f ca="1">IF(AND(Energy!$F$11=$A$3,Main!$B$43=$A33),Summary!AJ30,AJ33)</f>
        <v>0.36136784366872299</v>
      </c>
      <c r="AK33" s="103">
        <f ca="1">IF(AND(Energy!$F$11=$A$3,Main!$B$43=$A33),Summary!AK30,AK33)</f>
        <v>0.01</v>
      </c>
      <c r="AL33" s="103">
        <f ca="1">IF(AND(Energy!$F$11=$A$3,Main!$B$43=$A33),Summary!AL30,AL33)</f>
        <v>-0.29058488594182991</v>
      </c>
      <c r="AM33" s="103">
        <f ca="1">IF(AND(Energy!$F$11=$A$3,Main!$B$43=$A33),Summary!AM30,AM33)</f>
        <v>0.34375</v>
      </c>
      <c r="AN33" s="101"/>
      <c r="AO33" s="101"/>
      <c r="AP33" s="101"/>
      <c r="AQ33" s="101"/>
      <c r="AR33" s="103"/>
      <c r="AS33" s="103"/>
      <c r="AT33" s="103"/>
      <c r="AU33" s="101"/>
      <c r="AV33" s="101"/>
      <c r="AW33" s="101"/>
      <c r="AX33" s="101"/>
      <c r="AY33" s="101"/>
      <c r="AZ33" s="105"/>
      <c r="BA33" s="100"/>
      <c r="BB33" s="100"/>
      <c r="BC33" s="6"/>
    </row>
    <row r="34" spans="1:55">
      <c r="A34">
        <f t="shared" si="2"/>
        <v>2</v>
      </c>
      <c r="B34" s="10"/>
      <c r="C34" s="103"/>
      <c r="D34" s="1">
        <f ca="1">IF(AND(Energy!$F$11=$A$3,Main!$B$43=A34),Main!C31,D34)</f>
        <v>5.0789473684210531</v>
      </c>
      <c r="E34" s="103">
        <f ca="1">IF(AND(Energy!$F$11=$A$3,Main!$B$43=A34),Main!B31,E34)</f>
        <v>0.22222222222222224</v>
      </c>
      <c r="F34" s="103">
        <f ca="1">IF(Main!$D$6=1,U34,IF(Main!$D$6=2,N34,IF(Main!$D$6=3,K34,IF(Main!$D$6=4,V34,J34))))</f>
        <v>372.71977372398561</v>
      </c>
      <c r="G34" s="103">
        <f ca="1">IF(AND(Energy!$F$11=$A$3,Main!$B$43=A34),Weight!H31,G34)</f>
        <v>10</v>
      </c>
      <c r="H34" s="103">
        <f ca="1">IF(AND(Energy!$F$11=$A$3,Main!$B$43=A34),Weight!U31,H34)</f>
        <v>12.220418492129244</v>
      </c>
      <c r="I34" s="103">
        <f ca="1">IF(AND(Energy!$F$11=$A$3,Main!$B$43=A34),Weight!V31,I34)</f>
        <v>32.810836094330384</v>
      </c>
      <c r="J34" s="103">
        <f ca="1">IF(AND(Energy!$F$11=$A$3,Main!$B$43=A34),Weight!I31,J34)</f>
        <v>10.53005932720114</v>
      </c>
      <c r="K34" s="103">
        <f ca="1">IF(AND(Energy!$F$11=$A$3,Main!$B$43=A34),Weight!W31,K34)</f>
        <v>42.810836094330384</v>
      </c>
      <c r="L34" s="103">
        <f ca="1">IF(AND(Energy!$F$11=$A$3,Main!$B$43=A34),'Aerodynamics-Cruise'!BI31,L34)</f>
        <v>42.810836094330384</v>
      </c>
      <c r="M34" s="103">
        <f ca="1">IF(AND(Energy!$F$11=$A$3,Main!$B$43=A34),'Aerodynamics-Cruise'!BJ31,M34)</f>
        <v>2.0509884469213948</v>
      </c>
      <c r="N34" s="103">
        <f ca="1">IF(AND(Energy!$F$11=$A$3,Main!$B$43=A34),'Aerodynamics-Cruise'!BK31,N34)</f>
        <v>20.873270231527115</v>
      </c>
      <c r="O34" s="103">
        <f t="shared" ca="1" si="0"/>
        <v>136.57378653925227</v>
      </c>
      <c r="P34" s="103">
        <f ca="1">IF(AND(Energy!$F$11=$A$3,Main!$B$43=A34),'Aerodynamics-Cruise'!H31,P34)</f>
        <v>8.3159980207437627</v>
      </c>
      <c r="Q34" s="103">
        <f ca="1">IF(AND(Energy!$F$11=$A$3,Main!$B$43=A34),'Aerodynamics-Cruise'!I31,Q34)</f>
        <v>6.9740399500845163</v>
      </c>
      <c r="R34" s="103">
        <f ca="1">IF(AND(Energy!$F$11=$A$3,Main!$B$43=$A34),Summary!R31,R34)</f>
        <v>24.636624323075988</v>
      </c>
      <c r="S34" s="103">
        <f ca="1">IF(AND(Energy!$F$11=$A$3,Main!$B$43=A34),'Aerodynamics-Cruise'!W31,S34)</f>
        <v>1</v>
      </c>
      <c r="T34" s="103">
        <f ca="1">IF(AND(Energy!$F$11=$A$3,Main!$B$43=A34),'Aerodynamics-Cruise'!BL31,T34)</f>
        <v>17.056015865166643</v>
      </c>
      <c r="U34" s="103">
        <f ca="1">IF(AND(Energy!$F$11=$A$3,Main!$B$43=A34),'Propulsion-Cruise'!M31,U34)</f>
        <v>38.230064747522626</v>
      </c>
      <c r="V34" s="103">
        <f ca="1">IF(AND(Energy!$F$11=$A$3,Main!$B$43=A34),Endurance!AP31,V34)</f>
        <v>372.71977372398561</v>
      </c>
      <c r="W34" s="103">
        <f ca="1">IF(AND(Energy!$F$11=$A$3,Main!$B$43=$A34),Summary!W31,W34)</f>
        <v>114.99776019631508</v>
      </c>
      <c r="X34" s="13">
        <f ca="1">IF(AND(Energy!$F$11=$A$3,Main!$B$43=A34),Energy!D31,X34)</f>
        <v>728.33484479890228</v>
      </c>
      <c r="Y34" s="102">
        <f ca="1">IF(AND(Energy!$F$11=$A$3,Main!$B$43=A34),'Aerodynamics-Cruise'!V31,Y34)</f>
        <v>117205.27032385676</v>
      </c>
      <c r="Z34" s="102">
        <f ca="1">IF(AND(Energy!$F$11=$A$3,Main!$B$43=$A34),Summary!Z31,Z34)</f>
        <v>86250.769109036541</v>
      </c>
      <c r="AA34" s="102">
        <f ca="1">IF(AND(Energy!$F$11=$A$3,Main!$B$43=$A34),Summary!AA31,AA34)</f>
        <v>347227.3810612536</v>
      </c>
      <c r="AB34" s="103">
        <f ca="1">IF(AND(Energy!$F$11=$A$3,Main!$B$43=$A34),Summary!AB31,AB34)</f>
        <v>2.8226501835894817</v>
      </c>
      <c r="AC34" s="103">
        <f ca="1">IF(AND(Energy!$F$11=$A$3,Main!$B$43=$A34),Summary!AC31,AC34)</f>
        <v>3.317161758296852</v>
      </c>
      <c r="AD34" s="103">
        <f ca="1">IF(AND(Energy!$F$11=$A$3,Main!$B$43=$A34),Summary!AD31,AD34)</f>
        <v>0.35720570987334449</v>
      </c>
      <c r="AE34" s="103">
        <f ca="1">IF(AND(Energy!$F$11=$A$3,Main!$B$43=$A34),Summary!AE31,AE34)</f>
        <v>1.128654970760234</v>
      </c>
      <c r="AF34" s="103">
        <f ca="1">IF(AND(Energy!$F$11=$A$3,Main!$B$43=$A34),Summary!AF31,AF34)</f>
        <v>22.85526315789474</v>
      </c>
      <c r="AG34" s="103">
        <f ca="1">IF(AND(Energy!$F$11=$A$3,Main!$B$43=$A34),Summary!AG31,AG34)</f>
        <v>9.031674780961966</v>
      </c>
      <c r="AH34" s="103">
        <f ca="1">IF(AND(Energy!$F$11=$A$3,Main!$B$43=$A34),Summary!AH31,AH34)</f>
        <v>47</v>
      </c>
      <c r="AI34" s="103">
        <f ca="1">IF(AND(Energy!$F$11=$A$3,Main!$B$43=$A34),Summary!AI31,AI34)</f>
        <v>2.7868652110760173</v>
      </c>
      <c r="AJ34" s="103">
        <f ca="1">IF(AND(Energy!$F$11=$A$3,Main!$B$43=$A34),Summary!AJ31,AJ34)</f>
        <v>0.36209404011628737</v>
      </c>
      <c r="AK34" s="103">
        <f ca="1">IF(AND(Energy!$F$11=$A$3,Main!$B$43=$A34),Summary!AK31,AK34)</f>
        <v>0.01</v>
      </c>
      <c r="AL34" s="103">
        <f ca="1">IF(AND(Energy!$F$11=$A$3,Main!$B$43=$A34),Summary!AL31,AL34)</f>
        <v>-0.29000150944167924</v>
      </c>
      <c r="AM34" s="103">
        <f ca="1">IF(AND(Energy!$F$11=$A$3,Main!$B$43=$A34),Summary!AM31,AM34)</f>
        <v>0.34375</v>
      </c>
      <c r="AN34" s="101"/>
      <c r="AO34" s="101"/>
      <c r="AP34" s="101"/>
      <c r="AQ34" s="101"/>
      <c r="AR34" s="103"/>
      <c r="AS34" s="103"/>
      <c r="AT34" s="103"/>
      <c r="AU34" s="101"/>
      <c r="AV34" s="101"/>
      <c r="AW34" s="101"/>
      <c r="AX34" s="101"/>
      <c r="AY34" s="101"/>
      <c r="AZ34" s="105"/>
      <c r="BA34" s="100"/>
      <c r="BB34" s="100"/>
      <c r="BC34" s="6"/>
    </row>
    <row r="35" spans="1:55">
      <c r="A35">
        <f t="shared" si="2"/>
        <v>2</v>
      </c>
      <c r="B35" s="10"/>
      <c r="C35" s="103"/>
      <c r="D35" s="1">
        <f ca="1">IF(AND(Energy!$F$11=$A$3,Main!$B$43=A35),Main!C32,D35)</f>
        <v>5.2368421052631584</v>
      </c>
      <c r="E35" s="103">
        <f ca="1">IF(AND(Energy!$F$11=$A$3,Main!$B$43=A35),Main!B32,E35)</f>
        <v>0.22222222222222224</v>
      </c>
      <c r="F35" s="103">
        <f ca="1">IF(Main!$D$6=1,U35,IF(Main!$D$6=2,N35,IF(Main!$D$6=3,K35,IF(Main!$D$6=4,V35,J35))))</f>
        <v>372.53669652543812</v>
      </c>
      <c r="G35" s="103">
        <f ca="1">IF(AND(Energy!$F$11=$A$3,Main!$B$43=A35),Weight!H32,G35)</f>
        <v>10</v>
      </c>
      <c r="H35" s="103">
        <f ca="1">IF(AND(Energy!$F$11=$A$3,Main!$B$43=A35),Weight!U32,H35)</f>
        <v>12.603941432706723</v>
      </c>
      <c r="I35" s="103">
        <f ca="1">IF(AND(Energy!$F$11=$A$3,Main!$B$43=A35),Weight!V32,I35)</f>
        <v>33.179026775557084</v>
      </c>
      <c r="J35" s="103">
        <f ca="1">IF(AND(Energy!$F$11=$A$3,Main!$B$43=A35),Weight!I32,J35)</f>
        <v>10.514727067850362</v>
      </c>
      <c r="K35" s="103">
        <f ca="1">IF(AND(Energy!$F$11=$A$3,Main!$B$43=A35),Weight!W32,K35)</f>
        <v>43.179026775557084</v>
      </c>
      <c r="L35" s="103">
        <f ca="1">IF(AND(Energy!$F$11=$A$3,Main!$B$43=A35),'Aerodynamics-Cruise'!BI32,L35)</f>
        <v>43.17902677555707</v>
      </c>
      <c r="M35" s="103">
        <f ca="1">IF(AND(Energy!$F$11=$A$3,Main!$B$43=A35),'Aerodynamics-Cruise'!BJ32,M35)</f>
        <v>2.0642116938203241</v>
      </c>
      <c r="N35" s="103">
        <f ca="1">IF(AND(Energy!$F$11=$A$3,Main!$B$43=A35),'Aerodynamics-Cruise'!BK32,N35)</f>
        <v>20.9179256685848</v>
      </c>
      <c r="O35" s="103">
        <f t="shared" ca="1" si="0"/>
        <v>137.45325860358776</v>
      </c>
      <c r="P35" s="103">
        <f ca="1">IF(AND(Energy!$F$11=$A$3,Main!$B$43=A35),'Aerodynamics-Cruise'!H32,P35)</f>
        <v>8.2247974230586607</v>
      </c>
      <c r="Q35" s="103">
        <f ca="1">IF(AND(Energy!$F$11=$A$3,Main!$B$43=A35),'Aerodynamics-Cruise'!I32,Q35)</f>
        <v>6.8980987144556325</v>
      </c>
      <c r="R35" s="103">
        <f ca="1">IF(AND(Energy!$F$11=$A$3,Main!$B$43=$A35),Summary!R32,R35)</f>
        <v>24.434108632898834</v>
      </c>
      <c r="S35" s="103">
        <f ca="1">IF(AND(Energy!$F$11=$A$3,Main!$B$43=A35),'Aerodynamics-Cruise'!W32,S35)</f>
        <v>1</v>
      </c>
      <c r="T35" s="103">
        <f ca="1">IF(AND(Energy!$F$11=$A$3,Main!$B$43=A35),'Aerodynamics-Cruise'!BL32,T35)</f>
        <v>16.977723019980953</v>
      </c>
      <c r="U35" s="103">
        <f ca="1">IF(AND(Energy!$F$11=$A$3,Main!$B$43=A35),'Propulsion-Cruise'!M32,U35)</f>
        <v>38.154228956627442</v>
      </c>
      <c r="V35" s="103">
        <f ca="1">IF(AND(Energy!$F$11=$A$3,Main!$B$43=A35),Endurance!AP32,V35)</f>
        <v>372.53669652543812</v>
      </c>
      <c r="W35" s="103">
        <f ca="1">IF(AND(Energy!$F$11=$A$3,Main!$B$43=$A35),Summary!W32,W35)</f>
        <v>114.70991216790986</v>
      </c>
      <c r="X35" s="13">
        <f ca="1">IF(AND(Energy!$F$11=$A$3,Main!$B$43=A35),Energy!D32,X35)</f>
        <v>727.81511919205946</v>
      </c>
      <c r="Y35" s="102">
        <f ca="1">IF(AND(Energy!$F$11=$A$3,Main!$B$43=A35),'Aerodynamics-Cruise'!V32,Y35)</f>
        <v>115919.89355023122</v>
      </c>
      <c r="Z35" s="102">
        <f ca="1">IF(AND(Energy!$F$11=$A$3,Main!$B$43=$A35),Summary!Z32,Z35)</f>
        <v>85311.526878963414</v>
      </c>
      <c r="AA35" s="102">
        <f ca="1">IF(AND(Energy!$F$11=$A$3,Main!$B$43=$A35),Summary!AA32,AA35)</f>
        <v>344373.13480568357</v>
      </c>
      <c r="AB35" s="103">
        <f ca="1">IF(AND(Energy!$F$11=$A$3,Main!$B$43=$A35),Summary!AB32,AB35)</f>
        <v>2.783732005699409</v>
      </c>
      <c r="AC35" s="103">
        <f ca="1">IF(AND(Energy!$F$11=$A$3,Main!$B$43=$A35),Summary!AC32,AC35)</f>
        <v>3.25797605180504</v>
      </c>
      <c r="AD35" s="103">
        <f ca="1">IF(AND(Energy!$F$11=$A$3,Main!$B$43=$A35),Summary!AD32,AD35)</f>
        <v>0.35634007589715683</v>
      </c>
      <c r="AE35" s="103">
        <f ca="1">IF(AND(Energy!$F$11=$A$3,Main!$B$43=$A35),Summary!AE32,AE35)</f>
        <v>1.1637426900584797</v>
      </c>
      <c r="AF35" s="103">
        <f ca="1">IF(AND(Energy!$F$11=$A$3,Main!$B$43=$A35),Summary!AF32,AF35)</f>
        <v>23.565789473684209</v>
      </c>
      <c r="AG35" s="103">
        <f ca="1">IF(AND(Energy!$F$11=$A$3,Main!$B$43=$A35),Summary!AG32,AG35)</f>
        <v>9.0356554720122944</v>
      </c>
      <c r="AH35" s="103">
        <f ca="1">IF(AND(Energy!$F$11=$A$3,Main!$B$43=$A35),Summary!AH32,AH35)</f>
        <v>47</v>
      </c>
      <c r="AI35" s="103">
        <f ca="1">IF(AND(Energy!$F$11=$A$3,Main!$B$43=$A35),Summary!AI32,AI35)</f>
        <v>2.7864270756698222</v>
      </c>
      <c r="AJ35" s="103">
        <f ca="1">IF(AND(Energy!$F$11=$A$3,Main!$B$43=$A35),Summary!AJ32,AJ35)</f>
        <v>0.36270746608598153</v>
      </c>
      <c r="AK35" s="103">
        <f ca="1">IF(AND(Energy!$F$11=$A$3,Main!$B$43=$A35),Summary!AK32,AK35)</f>
        <v>0.01</v>
      </c>
      <c r="AL35" s="103">
        <f ca="1">IF(AND(Energy!$F$11=$A$3,Main!$B$43=$A35),Summary!AL32,AL35)</f>
        <v>-0.28951051550075307</v>
      </c>
      <c r="AM35" s="103">
        <f ca="1">IF(AND(Energy!$F$11=$A$3,Main!$B$43=$A35),Summary!AM32,AM35)</f>
        <v>0.34375</v>
      </c>
      <c r="AN35" s="101"/>
      <c r="AO35" s="101"/>
      <c r="AP35" s="101"/>
      <c r="AQ35" s="101"/>
      <c r="AR35" s="103"/>
      <c r="AS35" s="103"/>
      <c r="AT35" s="103"/>
      <c r="AU35" s="101"/>
      <c r="AV35" s="101"/>
      <c r="AW35" s="101"/>
      <c r="AX35" s="101"/>
      <c r="AY35" s="101"/>
      <c r="AZ35" s="105"/>
      <c r="BA35" s="100"/>
      <c r="BB35" s="100"/>
      <c r="BC35" s="6"/>
    </row>
    <row r="36" spans="1:55">
      <c r="A36">
        <f t="shared" si="2"/>
        <v>2</v>
      </c>
      <c r="B36" s="10"/>
      <c r="C36" s="103"/>
      <c r="D36" s="1">
        <f ca="1">IF(AND(Energy!$F$11=$A$3,Main!$B$43=A36),Main!C33,D36)</f>
        <v>5.3947368421052637</v>
      </c>
      <c r="E36" s="103">
        <f ca="1">IF(AND(Energy!$F$11=$A$3,Main!$B$43=A36),Main!B33,E36)</f>
        <v>0.22222222222222224</v>
      </c>
      <c r="F36" s="103">
        <f ca="1">IF(Main!$D$6=1,U36,IF(Main!$D$6=2,N36,IF(Main!$D$6=3,K36,IF(Main!$D$6=4,V36,J36))))</f>
        <v>373.09507353901046</v>
      </c>
      <c r="G36" s="103">
        <f ca="1">IF(AND(Energy!$F$11=$A$3,Main!$B$43=A36),Weight!H33,G36)</f>
        <v>10</v>
      </c>
      <c r="H36" s="103">
        <f ca="1">IF(AND(Energy!$F$11=$A$3,Main!$B$43=A36),Weight!U33,H36)</f>
        <v>13.001642007092997</v>
      </c>
      <c r="I36" s="103">
        <f ca="1">IF(AND(Energy!$F$11=$A$3,Main!$B$43=A36),Weight!V33,I36)</f>
        <v>33.601344112470812</v>
      </c>
      <c r="J36" s="103">
        <f ca="1">IF(AND(Energy!$F$11=$A$3,Main!$B$43=A36),Weight!I33,J36)</f>
        <v>10.539343830377819</v>
      </c>
      <c r="K36" s="103">
        <f ca="1">IF(AND(Energy!$F$11=$A$3,Main!$B$43=A36),Weight!W33,K36)</f>
        <v>43.601344112470812</v>
      </c>
      <c r="L36" s="103">
        <f ca="1">IF(AND(Energy!$F$11=$A$3,Main!$B$43=A36),'Aerodynamics-Cruise'!BI33,L36)</f>
        <v>43.601344112470812</v>
      </c>
      <c r="M36" s="103">
        <f ca="1">IF(AND(Energy!$F$11=$A$3,Main!$B$43=A36),'Aerodynamics-Cruise'!BJ33,M36)</f>
        <v>2.0803125820951855</v>
      </c>
      <c r="N36" s="103">
        <f ca="1">IF(AND(Energy!$F$11=$A$3,Main!$B$43=A36),'Aerodynamics-Cruise'!BK33,N36)</f>
        <v>20.959034948756472</v>
      </c>
      <c r="O36" s="103">
        <f t="shared" ca="1" si="0"/>
        <v>138.39526150896151</v>
      </c>
      <c r="P36" s="103">
        <f ca="1">IF(AND(Energy!$F$11=$A$3,Main!$B$43=A36),'Aerodynamics-Cruise'!H33,P36)</f>
        <v>8.1430587796825336</v>
      </c>
      <c r="Q36" s="103">
        <f ca="1">IF(AND(Energy!$F$11=$A$3,Main!$B$43=A36),'Aerodynamics-Cruise'!I33,Q36)</f>
        <v>6.8300310230206831</v>
      </c>
      <c r="R36" s="103">
        <f ca="1">IF(AND(Energy!$F$11=$A$3,Main!$B$43=$A36),Summary!R33,R36)</f>
        <v>24.237742390220149</v>
      </c>
      <c r="S36" s="103">
        <f ca="1">IF(AND(Energy!$F$11=$A$3,Main!$B$43=A36),'Aerodynamics-Cruise'!W33,S36)</f>
        <v>1</v>
      </c>
      <c r="T36" s="103">
        <f ca="1">IF(AND(Energy!$F$11=$A$3,Main!$B$43=A36),'Aerodynamics-Cruise'!BL33,T36)</f>
        <v>16.940107636114242</v>
      </c>
      <c r="U36" s="103">
        <f ca="1">IF(AND(Energy!$F$11=$A$3,Main!$B$43=A36),'Propulsion-Cruise'!M33,U36)</f>
        <v>38.156583928057778</v>
      </c>
      <c r="V36" s="103">
        <f ca="1">IF(AND(Energy!$F$11=$A$3,Main!$B$43=A36),Endurance!AP33,V36)</f>
        <v>373.09507353901046</v>
      </c>
      <c r="W36" s="103">
        <f ca="1">IF(AND(Energy!$F$11=$A$3,Main!$B$43=$A36),Summary!W33,W36)</f>
        <v>115.17206757482893</v>
      </c>
      <c r="X36" s="13">
        <f ca="1">IF(AND(Energy!$F$11=$A$3,Main!$B$43=A36),Energy!D33,X36)</f>
        <v>728.64956645455231</v>
      </c>
      <c r="Y36" s="102">
        <f ca="1">IF(AND(Energy!$F$11=$A$3,Main!$B$43=A36),'Aerodynamics-Cruise'!V33,Y36)</f>
        <v>114767.87309893878</v>
      </c>
      <c r="Z36" s="102">
        <f ca="1">IF(AND(Energy!$F$11=$A$3,Main!$B$43=$A36),Summary!Z33,Z36)</f>
        <v>84469.665200021336</v>
      </c>
      <c r="AA36" s="102">
        <f ca="1">IF(AND(Energy!$F$11=$A$3,Main!$B$43=$A36),Summary!AA33,AA36)</f>
        <v>341605.55856309365</v>
      </c>
      <c r="AB36" s="103">
        <f ca="1">IF(AND(Energy!$F$11=$A$3,Main!$B$43=$A36),Summary!AB33,AB36)</f>
        <v>2.754488723412333</v>
      </c>
      <c r="AC36" s="103">
        <f ca="1">IF(AND(Energy!$F$11=$A$3,Main!$B$43=$A36),Summary!AC33,AC36)</f>
        <v>3.1981077070996369</v>
      </c>
      <c r="AD36" s="103">
        <f ca="1">IF(AND(Energy!$F$11=$A$3,Main!$B$43=$A36),Summary!AD33,AD36)</f>
        <v>0.3558022359274346</v>
      </c>
      <c r="AE36" s="103">
        <f ca="1">IF(AND(Energy!$F$11=$A$3,Main!$B$43=$A36),Summary!AE33,AE36)</f>
        <v>1.1988304093567252</v>
      </c>
      <c r="AF36" s="103">
        <f ca="1">IF(AND(Energy!$F$11=$A$3,Main!$B$43=$A36),Summary!AF33,AF36)</f>
        <v>24.276315789473685</v>
      </c>
      <c r="AG36" s="103">
        <f ca="1">IF(AND(Energy!$F$11=$A$3,Main!$B$43=$A36),Summary!AG33,AG36)</f>
        <v>9.0498725508301803</v>
      </c>
      <c r="AH36" s="103">
        <f ca="1">IF(AND(Energy!$F$11=$A$3,Main!$B$43=$A36),Summary!AH33,AH36)</f>
        <v>47</v>
      </c>
      <c r="AI36" s="103">
        <f ca="1">IF(AND(Energy!$F$11=$A$3,Main!$B$43=$A36),Summary!AI33,AI36)</f>
        <v>2.786030446075229</v>
      </c>
      <c r="AJ36" s="103">
        <f ca="1">IF(AND(Energy!$F$11=$A$3,Main!$B$43=$A36),Summary!AJ33,AJ36)</f>
        <v>0.36321612758505761</v>
      </c>
      <c r="AK36" s="103">
        <f ca="1">IF(AND(Energy!$F$11=$A$3,Main!$B$43=$A36),Summary!AK33,AK36)</f>
        <v>0.01</v>
      </c>
      <c r="AL36" s="103">
        <f ca="1">IF(AND(Energy!$F$11=$A$3,Main!$B$43=$A36),Summary!AL33,AL36)</f>
        <v>-0.28910460027481083</v>
      </c>
      <c r="AM36" s="103">
        <f ca="1">IF(AND(Energy!$F$11=$A$3,Main!$B$43=$A36),Summary!AM33,AM36)</f>
        <v>0.34375</v>
      </c>
      <c r="AN36" s="101"/>
      <c r="AO36" s="101"/>
      <c r="AP36" s="101"/>
      <c r="AQ36" s="101"/>
      <c r="AR36" s="103"/>
      <c r="AS36" s="103"/>
      <c r="AT36" s="103"/>
      <c r="AU36" s="101"/>
      <c r="AV36" s="101"/>
      <c r="AW36" s="101"/>
      <c r="AX36" s="101"/>
      <c r="AY36" s="101"/>
      <c r="AZ36" s="105"/>
      <c r="BA36" s="100"/>
      <c r="BB36" s="100"/>
      <c r="BC36" s="6"/>
    </row>
    <row r="37" spans="1:55">
      <c r="A37">
        <f t="shared" si="2"/>
        <v>2</v>
      </c>
      <c r="B37" s="100"/>
      <c r="C37" s="103"/>
      <c r="D37" s="1">
        <f ca="1">IF(AND(Energy!$F$11=$A$3,Main!$B$43=A37),Main!C34,D37)</f>
        <v>5.552631578947369</v>
      </c>
      <c r="E37" s="103">
        <f ca="1">IF(AND(Energy!$F$11=$A$3,Main!$B$43=A37),Main!B34,E37)</f>
        <v>0.22222222222222224</v>
      </c>
      <c r="F37" s="103">
        <f ca="1">IF(Main!$D$6=1,U37,IF(Main!$D$6=2,N37,IF(Main!$D$6=3,K37,IF(Main!$D$6=4,V37,J37))))</f>
        <v>374.33419026835315</v>
      </c>
      <c r="G37" s="103">
        <f ca="1">IF(AND(Energy!$F$11=$A$3,Main!$B$43=A37),Weight!H34,G37)</f>
        <v>10</v>
      </c>
      <c r="H37" s="103">
        <f ca="1">IF(AND(Energy!$F$11=$A$3,Main!$B$43=A37),Weight!U34,H37)</f>
        <v>13.413487415771144</v>
      </c>
      <c r="I37" s="103">
        <f ca="1">IF(AND(Energy!$F$11=$A$3,Main!$B$43=A37),Weight!V34,I37)</f>
        <v>34.07449110317954</v>
      </c>
      <c r="J37" s="103">
        <f ca="1">IF(AND(Energy!$F$11=$A$3,Main!$B$43=A37),Weight!I34,J37)</f>
        <v>10.600645412408396</v>
      </c>
      <c r="K37" s="103">
        <f ca="1">IF(AND(Energy!$F$11=$A$3,Main!$B$43=A37),Weight!W34,K37)</f>
        <v>44.07449110317954</v>
      </c>
      <c r="L37" s="103">
        <f ca="1">IF(AND(Energy!$F$11=$A$3,Main!$B$43=A37),'Aerodynamics-Cruise'!BI34,L37)</f>
        <v>44.074491103179547</v>
      </c>
      <c r="M37" s="103">
        <f ca="1">IF(AND(Energy!$F$11=$A$3,Main!$B$43=A37),'Aerodynamics-Cruise'!BJ34,M37)</f>
        <v>2.0991023875043568</v>
      </c>
      <c r="N37" s="103">
        <f ca="1">IF(AND(Energy!$F$11=$A$3,Main!$B$43=A37),'Aerodynamics-Cruise'!BK34,N37)</f>
        <v>20.996827675271302</v>
      </c>
      <c r="O37" s="103">
        <f t="shared" ca="1" si="0"/>
        <v>139.39504524528434</v>
      </c>
      <c r="P37" s="103">
        <f ca="1">IF(AND(Energy!$F$11=$A$3,Main!$B$43=A37),'Aerodynamics-Cruise'!H34,P37)</f>
        <v>8.0698657172286659</v>
      </c>
      <c r="Q37" s="103">
        <f ca="1">IF(AND(Energy!$F$11=$A$3,Main!$B$43=A37),'Aerodynamics-Cruise'!I34,Q37)</f>
        <v>6.769075359403522</v>
      </c>
      <c r="R37" s="103">
        <f ca="1">IF(AND(Energy!$F$11=$A$3,Main!$B$43=$A37),Summary!R34,R37)</f>
        <v>24.047228448342072</v>
      </c>
      <c r="S37" s="103">
        <f ca="1">IF(AND(Energy!$F$11=$A$3,Main!$B$43=A37),'Aerodynamics-Cruise'!W34,S37)</f>
        <v>1</v>
      </c>
      <c r="T37" s="103">
        <f ca="1">IF(AND(Energy!$F$11=$A$3,Main!$B$43=A37),'Aerodynamics-Cruise'!BL34,T37)</f>
        <v>16.939474393874253</v>
      </c>
      <c r="U37" s="103">
        <f ca="1">IF(AND(Energy!$F$11=$A$3,Main!$B$43=A37),'Propulsion-Cruise'!M34,U37)</f>
        <v>38.230530775974536</v>
      </c>
      <c r="V37" s="103">
        <f ca="1">IF(AND(Energy!$F$11=$A$3,Main!$B$43=A37),Endurance!AP34,V37)</f>
        <v>374.33419026835315</v>
      </c>
      <c r="W37" s="103">
        <f ca="1">IF(AND(Energy!$F$11=$A$3,Main!$B$43=$A37),Summary!W34,W37)</f>
        <v>116.32294424094306</v>
      </c>
      <c r="X37" s="13">
        <f ca="1">IF(AND(Energy!$F$11=$A$3,Main!$B$43=A37),Energy!D34,X37)</f>
        <v>730.7275382128139</v>
      </c>
      <c r="Y37" s="102">
        <f ca="1">IF(AND(Energy!$F$11=$A$3,Main!$B$43=A37),'Aerodynamics-Cruise'!V34,Y37)</f>
        <v>113736.29364818166</v>
      </c>
      <c r="Z37" s="102">
        <f ca="1">IF(AND(Energy!$F$11=$A$3,Main!$B$43=$A37),Summary!Z34,Z37)</f>
        <v>83715.765496519874</v>
      </c>
      <c r="AA37" s="102">
        <f ca="1">IF(AND(Energy!$F$11=$A$3,Main!$B$43=$A37),Summary!AA34,AA37)</f>
        <v>338920.46436242352</v>
      </c>
      <c r="AB37" s="103">
        <f ca="1">IF(AND(Energy!$F$11=$A$3,Main!$B$43=$A37),Summary!AB34,AB37)</f>
        <v>2.7338653204889085</v>
      </c>
      <c r="AC37" s="103">
        <f ca="1">IF(AND(Energy!$F$11=$A$3,Main!$B$43=$A37),Summary!AC34,AC37)</f>
        <v>3.1378420950690007</v>
      </c>
      <c r="AD37" s="103">
        <f ca="1">IF(AND(Energy!$F$11=$A$3,Main!$B$43=$A37),Summary!AD34,AD37)</f>
        <v>0.35556347836440738</v>
      </c>
      <c r="AE37" s="103">
        <f ca="1">IF(AND(Energy!$F$11=$A$3,Main!$B$43=$A37),Summary!AE34,AE37)</f>
        <v>1.233918128654971</v>
      </c>
      <c r="AF37" s="103">
        <f ca="1">IF(AND(Energy!$F$11=$A$3,Main!$B$43=$A37),Summary!AF34,AF37)</f>
        <v>24.986842105263158</v>
      </c>
      <c r="AG37" s="103">
        <f ca="1">IF(AND(Energy!$F$11=$A$3,Main!$B$43=$A37),Summary!AG34,AG37)</f>
        <v>9.0734997407910711</v>
      </c>
      <c r="AH37" s="103">
        <f ca="1">IF(AND(Energy!$F$11=$A$3,Main!$B$43=$A37),Summary!AH34,AH37)</f>
        <v>47</v>
      </c>
      <c r="AI37" s="103">
        <f ca="1">IF(AND(Energy!$F$11=$A$3,Main!$B$43=$A37),Summary!AI34,AI37)</f>
        <v>2.7856720672841311</v>
      </c>
      <c r="AJ37" s="103">
        <f ca="1">IF(AND(Energy!$F$11=$A$3,Main!$B$43=$A37),Summary!AJ34,AJ37)</f>
        <v>0.36362684403723428</v>
      </c>
      <c r="AK37" s="103">
        <f ca="1">IF(AND(Energy!$F$11=$A$3,Main!$B$43=$A37),Summary!AK34,AK37)</f>
        <v>0.01</v>
      </c>
      <c r="AL37" s="103">
        <f ca="1">IF(AND(Energy!$F$11=$A$3,Main!$B$43=$A37),Summary!AL34,AL37)</f>
        <v>-0.28877763505905685</v>
      </c>
      <c r="AM37" s="103">
        <f ca="1">IF(AND(Energy!$F$11=$A$3,Main!$B$43=$A37),Summary!AM34,AM37)</f>
        <v>0.34375</v>
      </c>
      <c r="AN37" s="101"/>
      <c r="AO37" s="101"/>
      <c r="AP37" s="101"/>
      <c r="AQ37" s="101"/>
      <c r="AR37" s="100"/>
      <c r="AS37" s="103"/>
      <c r="AT37" s="103"/>
      <c r="AU37" s="101"/>
      <c r="AV37" s="101"/>
      <c r="AW37" s="101"/>
      <c r="AX37" s="101"/>
      <c r="AY37" s="101"/>
      <c r="AZ37" s="100"/>
      <c r="BA37" s="100"/>
      <c r="BB37" s="100"/>
      <c r="BC37" s="6"/>
    </row>
    <row r="38" spans="1:55">
      <c r="A38">
        <f t="shared" si="2"/>
        <v>2</v>
      </c>
      <c r="B38" s="100"/>
      <c r="C38" s="103"/>
      <c r="D38" s="1">
        <f ca="1">IF(AND(Energy!$F$11=$A$3,Main!$B$43=A38),Main!C35,D38)</f>
        <v>5.7105263157894743</v>
      </c>
      <c r="E38" s="103">
        <f ca="1">IF(AND(Energy!$F$11=$A$3,Main!$B$43=A38),Main!B35,E38)</f>
        <v>0.22222222222222224</v>
      </c>
      <c r="F38" s="103">
        <f ca="1">IF(Main!$D$6=1,U38,IF(Main!$D$6=2,N38,IF(Main!$D$6=3,K38,IF(Main!$D$6=4,V38,J38))))</f>
        <v>376.2064979407175</v>
      </c>
      <c r="G38" s="103">
        <f ca="1">IF(AND(Energy!$F$11=$A$3,Main!$B$43=A38),Weight!H35,G38)</f>
        <v>10</v>
      </c>
      <c r="H38" s="103">
        <f ca="1">IF(AND(Energy!$F$11=$A$3,Main!$B$43=A38),Weight!U35,H38)</f>
        <v>13.839515457068515</v>
      </c>
      <c r="I38" s="103">
        <f ca="1">IF(AND(Energy!$F$11=$A$3,Main!$B$43=A38),Weight!V35,I38)</f>
        <v>34.595946215449345</v>
      </c>
      <c r="J38" s="103">
        <f ca="1">IF(AND(Energy!$F$11=$A$3,Main!$B$43=A38),Weight!I35,J38)</f>
        <v>10.696072483380833</v>
      </c>
      <c r="K38" s="103">
        <f ca="1">IF(AND(Energy!$F$11=$A$3,Main!$B$43=A38),Weight!W35,K38)</f>
        <v>44.595946215449345</v>
      </c>
      <c r="L38" s="103">
        <f ca="1">IF(AND(Energy!$F$11=$A$3,Main!$B$43=A38),'Aerodynamics-Cruise'!BI35,L38)</f>
        <v>44.595946215449359</v>
      </c>
      <c r="M38" s="103">
        <f ca="1">IF(AND(Energy!$F$11=$A$3,Main!$B$43=A38),'Aerodynamics-Cruise'!BJ35,M38)</f>
        <v>2.1204349370082318</v>
      </c>
      <c r="N38" s="103">
        <f ca="1">IF(AND(Energy!$F$11=$A$3,Main!$B$43=A38),'Aerodynamics-Cruise'!BK35,N38)</f>
        <v>21.031508883913581</v>
      </c>
      <c r="O38" s="103">
        <f t="shared" ca="1" si="0"/>
        <v>140.44882923321737</v>
      </c>
      <c r="P38" s="103">
        <f ca="1">IF(AND(Energy!$F$11=$A$3,Main!$B$43=A38),'Aerodynamics-Cruise'!H35,P38)</f>
        <v>8.0044427813129548</v>
      </c>
      <c r="Q38" s="103">
        <f ca="1">IF(AND(Energy!$F$11=$A$3,Main!$B$43=A38),'Aerodynamics-Cruise'!I35,Q38)</f>
        <v>6.7145872292391751</v>
      </c>
      <c r="R38" s="103">
        <f ca="1">IF(AND(Energy!$F$11=$A$3,Main!$B$43=$A38),Summary!R35,R38)</f>
        <v>23.862293378039691</v>
      </c>
      <c r="S38" s="103">
        <f ca="1">IF(AND(Energy!$F$11=$A$3,Main!$B$43=A38),'Aerodynamics-Cruise'!W35,S38)</f>
        <v>1</v>
      </c>
      <c r="T38" s="103">
        <f ca="1">IF(AND(Energy!$F$11=$A$3,Main!$B$43=A38),'Aerodynamics-Cruise'!BL35,T38)</f>
        <v>16.972900124779333</v>
      </c>
      <c r="U38" s="103">
        <f ca="1">IF(AND(Energy!$F$11=$A$3,Main!$B$43=A38),'Propulsion-Cruise'!M35,U38)</f>
        <v>38.370885320412548</v>
      </c>
      <c r="V38" s="103">
        <f ca="1">IF(AND(Energy!$F$11=$A$3,Main!$B$43=A38),Endurance!AP35,V38)</f>
        <v>376.2064979407175</v>
      </c>
      <c r="W38" s="103">
        <f ca="1">IF(AND(Energy!$F$11=$A$3,Main!$B$43=$A38),Summary!W35,W38)</f>
        <v>118.11449326235356</v>
      </c>
      <c r="X38" s="13">
        <f ca="1">IF(AND(Energy!$F$11=$A$3,Main!$B$43=A38),Energy!D35,X38)</f>
        <v>733.96227950147181</v>
      </c>
      <c r="Y38" s="102">
        <f ca="1">IF(AND(Energy!$F$11=$A$3,Main!$B$43=A38),'Aerodynamics-Cruise'!V35,Y38)</f>
        <v>112814.22598170865</v>
      </c>
      <c r="Z38" s="102">
        <f ca="1">IF(AND(Energy!$F$11=$A$3,Main!$B$43=$A38),Summary!Z35,Z38)</f>
        <v>83041.856549803357</v>
      </c>
      <c r="AA38" s="102">
        <f ca="1">IF(AND(Energy!$F$11=$A$3,Main!$B$43=$A38),Summary!AA35,AA38)</f>
        <v>336313.99850551918</v>
      </c>
      <c r="AB38" s="103">
        <f ca="1">IF(AND(Energy!$F$11=$A$3,Main!$B$43=$A38),Summary!AB35,AB38)</f>
        <v>2.7210277410670587</v>
      </c>
      <c r="AC38" s="103">
        <f ca="1">IF(AND(Energy!$F$11=$A$3,Main!$B$43=$A38),Summary!AC35,AC38)</f>
        <v>3.0773920667104897</v>
      </c>
      <c r="AD38" s="103">
        <f ca="1">IF(AND(Energy!$F$11=$A$3,Main!$B$43=$A38),Summary!AD35,AD38)</f>
        <v>0.355599959410345</v>
      </c>
      <c r="AE38" s="103">
        <f ca="1">IF(AND(Energy!$F$11=$A$3,Main!$B$43=$A38),Summary!AE35,AE38)</f>
        <v>1.2690058479532167</v>
      </c>
      <c r="AF38" s="103">
        <f ca="1">IF(AND(Energy!$F$11=$A$3,Main!$B$43=$A38),Summary!AF35,AF38)</f>
        <v>25.69736842105263</v>
      </c>
      <c r="AG38" s="103">
        <f ca="1">IF(AND(Energy!$F$11=$A$3,Main!$B$43=$A38),Summary!AG35,AG38)</f>
        <v>9.1058767259056115</v>
      </c>
      <c r="AH38" s="103">
        <f ca="1">IF(AND(Energy!$F$11=$A$3,Main!$B$43=$A38),Summary!AH35,AH38)</f>
        <v>47</v>
      </c>
      <c r="AI38" s="103">
        <f ca="1">IF(AND(Energy!$F$11=$A$3,Main!$B$43=$A38),Summary!AI35,AI38)</f>
        <v>2.7853491327620485</v>
      </c>
      <c r="AJ38" s="103">
        <f ca="1">IF(AND(Energy!$F$11=$A$3,Main!$B$43=$A38),Summary!AJ35,AJ38)</f>
        <v>0.36394546056854871</v>
      </c>
      <c r="AK38" s="103">
        <f ca="1">IF(AND(Energy!$F$11=$A$3,Main!$B$43=$A38),Summary!AK35,AK38)</f>
        <v>0.01</v>
      </c>
      <c r="AL38" s="103">
        <f ca="1">IF(AND(Energy!$F$11=$A$3,Main!$B$43=$A38),Summary!AL35,AL38)</f>
        <v>-0.2885244503927461</v>
      </c>
      <c r="AM38" s="103">
        <f ca="1">IF(AND(Energy!$F$11=$A$3,Main!$B$43=$A38),Summary!AM35,AM38)</f>
        <v>0.34375</v>
      </c>
      <c r="AN38" s="101"/>
      <c r="AO38" s="101"/>
      <c r="AP38" s="101"/>
      <c r="AQ38" s="101"/>
      <c r="AR38" s="100"/>
      <c r="AS38" s="103"/>
      <c r="AT38" s="103"/>
      <c r="AU38" s="101"/>
      <c r="AV38" s="101"/>
      <c r="AW38" s="101"/>
      <c r="AX38" s="101"/>
      <c r="AY38" s="101"/>
      <c r="AZ38" s="100"/>
      <c r="BA38" s="100"/>
      <c r="BB38" s="100"/>
      <c r="BC38" s="6"/>
    </row>
    <row r="39" spans="1:55">
      <c r="A39">
        <f t="shared" si="2"/>
        <v>2</v>
      </c>
      <c r="B39" s="100"/>
      <c r="C39" s="103"/>
      <c r="D39" s="1">
        <f ca="1">IF(AND(Energy!$F$11=$A$3,Main!$B$43=A39),Main!C36,D39)</f>
        <v>5.8684210526315796</v>
      </c>
      <c r="E39" s="103">
        <f ca="1">IF(AND(Energy!$F$11=$A$3,Main!$B$43=A39),Main!B36,E39)</f>
        <v>0.22222222222222224</v>
      </c>
      <c r="F39" s="103">
        <f ca="1">IF(Main!$D$6=1,U39,IF(Main!$D$6=2,N39,IF(Main!$D$6=3,K39,IF(Main!$D$6=4,V39,J39))))</f>
        <v>378.67510741548705</v>
      </c>
      <c r="G39" s="103">
        <f ca="1">IF(AND(Energy!$F$11=$A$3,Main!$B$43=A39),Weight!H36,G39)</f>
        <v>10</v>
      </c>
      <c r="H39" s="103">
        <f ca="1">IF(AND(Energy!$F$11=$A$3,Main!$B$43=A39),Weight!U36,H39)</f>
        <v>14.279824457631054</v>
      </c>
      <c r="I39" s="103">
        <f ca="1">IF(AND(Energy!$F$11=$A$3,Main!$B$43=A39),Weight!V36,I39)</f>
        <v>35.163819320450948</v>
      </c>
      <c r="J39" s="103">
        <f ca="1">IF(AND(Energy!$F$11=$A$3,Main!$B$43=A39),Weight!I36,J39)</f>
        <v>10.823636587819895</v>
      </c>
      <c r="K39" s="103">
        <f ca="1">IF(AND(Energy!$F$11=$A$3,Main!$B$43=A39),Weight!W36,K39)</f>
        <v>45.163819320450948</v>
      </c>
      <c r="L39" s="103">
        <f ca="1">IF(AND(Energy!$F$11=$A$3,Main!$B$43=A39),'Aerodynamics-Cruise'!BI36,L39)</f>
        <v>45.163819320450962</v>
      </c>
      <c r="M39" s="103">
        <f ca="1">IF(AND(Energy!$F$11=$A$3,Main!$B$43=A39),'Aerodynamics-Cruise'!BJ36,M39)</f>
        <v>2.144198982664077</v>
      </c>
      <c r="N39" s="103">
        <f ca="1">IF(AND(Energy!$F$11=$A$3,Main!$B$43=A39),'Aerodynamics-Cruise'!BK36,N39)</f>
        <v>21.063259373594523</v>
      </c>
      <c r="O39" s="103">
        <f t="shared" ca="1" si="0"/>
        <v>141.55359593161455</v>
      </c>
      <c r="P39" s="103">
        <f ca="1">IF(AND(Energy!$F$11=$A$3,Main!$B$43=A39),'Aerodynamics-Cruise'!H36,P39)</f>
        <v>7.9461296506124386</v>
      </c>
      <c r="Q39" s="103">
        <f ca="1">IF(AND(Energy!$F$11=$A$3,Main!$B$43=A39),'Aerodynamics-Cruise'!I36,Q39)</f>
        <v>6.6660177579551547</v>
      </c>
      <c r="R39" s="103">
        <f ca="1">IF(AND(Energy!$F$11=$A$3,Main!$B$43=$A39),Summary!R36,R39)</f>
        <v>23.682684682035255</v>
      </c>
      <c r="S39" s="103">
        <f ca="1">IF(AND(Energy!$F$11=$A$3,Main!$B$43=A39),'Aerodynamics-Cruise'!W36,S39)</f>
        <v>1</v>
      </c>
      <c r="T39" s="103">
        <f ca="1">IF(AND(Energy!$F$11=$A$3,Main!$B$43=A39),'Aerodynamics-Cruise'!BL36,T39)</f>
        <v>17.038083112960049</v>
      </c>
      <c r="U39" s="103">
        <f ca="1">IF(AND(Energy!$F$11=$A$3,Main!$B$43=A39),'Propulsion-Cruise'!M36,U39)</f>
        <v>38.573607822582801</v>
      </c>
      <c r="V39" s="103">
        <f ca="1">IF(AND(Energy!$F$11=$A$3,Main!$B$43=A39),Endurance!AP36,V39)</f>
        <v>378.67510741548705</v>
      </c>
      <c r="W39" s="103">
        <f ca="1">IF(AND(Energy!$F$11=$A$3,Main!$B$43=$A39),Summary!W36,W39)</f>
        <v>120.50938335115148</v>
      </c>
      <c r="X39" s="13">
        <f ca="1">IF(AND(Energy!$F$11=$A$3,Main!$B$43=A39),Energy!D36,X39)</f>
        <v>738.28638660624574</v>
      </c>
      <c r="Y39" s="102">
        <f ca="1">IF(AND(Energy!$F$11=$A$3,Main!$B$43=A39),'Aerodynamics-Cruise'!V36,Y39)</f>
        <v>111992.36356301446</v>
      </c>
      <c r="Z39" s="102">
        <f ca="1">IF(AND(Energy!$F$11=$A$3,Main!$B$43=$A39),Summary!Z36,Z39)</f>
        <v>82441.149789407951</v>
      </c>
      <c r="AA39" s="102">
        <f ca="1">IF(AND(Energy!$F$11=$A$3,Main!$B$43=$A39),Summary!AA36,AA39)</f>
        <v>333782.60230806889</v>
      </c>
      <c r="AB39" s="103">
        <f ca="1">IF(AND(Energy!$F$11=$A$3,Main!$B$43=$A39),Summary!AB36,AB39)</f>
        <v>2.7153165553123353</v>
      </c>
      <c r="AC39" s="103">
        <f ca="1">IF(AND(Energy!$F$11=$A$3,Main!$B$43=$A39),Summary!AC36,AC39)</f>
        <v>3.0169396218020763</v>
      </c>
      <c r="AD39" s="103">
        <f ca="1">IF(AND(Energy!$F$11=$A$3,Main!$B$43=$A39),Summary!AD36,AD39)</f>
        <v>0.35589181952427629</v>
      </c>
      <c r="AE39" s="103">
        <f ca="1">IF(AND(Energy!$F$11=$A$3,Main!$B$43=$A39),Summary!AE36,AE39)</f>
        <v>1.3040935672514622</v>
      </c>
      <c r="AF39" s="103">
        <f ca="1">IF(AND(Energy!$F$11=$A$3,Main!$B$43=$A39),Summary!AF36,AF39)</f>
        <v>26.407894736842106</v>
      </c>
      <c r="AG39" s="103">
        <f ca="1">IF(AND(Energy!$F$11=$A$3,Main!$B$43=$A39),Summary!AG36,AG39)</f>
        <v>9.1464782265246374</v>
      </c>
      <c r="AH39" s="103">
        <f ca="1">IF(AND(Energy!$F$11=$A$3,Main!$B$43=$A39),Summary!AH36,AH39)</f>
        <v>47</v>
      </c>
      <c r="AI39" s="103">
        <f ca="1">IF(AND(Energy!$F$11=$A$3,Main!$B$43=$A39),Summary!AI36,AI39)</f>
        <v>2.7850592086816226</v>
      </c>
      <c r="AJ39" s="103">
        <f ca="1">IF(AND(Energy!$F$11=$A$3,Main!$B$43=$A39),Summary!AJ36,AJ39)</f>
        <v>0.36417701061227553</v>
      </c>
      <c r="AK39" s="103">
        <f ca="1">IF(AND(Energy!$F$11=$A$3,Main!$B$43=$A39),Summary!AK36,AK39)</f>
        <v>0.01</v>
      </c>
      <c r="AL39" s="103">
        <f ca="1">IF(AND(Energy!$F$11=$A$3,Main!$B$43=$A39),Summary!AL36,AL39)</f>
        <v>-0.28834067153721588</v>
      </c>
      <c r="AM39" s="103">
        <f ca="1">IF(AND(Energy!$F$11=$A$3,Main!$B$43=$A39),Summary!AM36,AM39)</f>
        <v>0.34375</v>
      </c>
      <c r="AN39" s="101"/>
      <c r="AO39" s="101"/>
      <c r="AP39" s="101"/>
      <c r="AQ39" s="101"/>
      <c r="AR39" s="100"/>
      <c r="AS39" s="103"/>
      <c r="AT39" s="103"/>
      <c r="AU39" s="101"/>
      <c r="AV39" s="101"/>
      <c r="AW39" s="101"/>
      <c r="AX39" s="101"/>
      <c r="AY39" s="101"/>
      <c r="AZ39" s="100"/>
      <c r="BA39" s="100"/>
      <c r="BB39" s="100"/>
      <c r="BC39" s="6"/>
    </row>
    <row r="40" spans="1:55">
      <c r="A40">
        <f t="shared" si="2"/>
        <v>2</v>
      </c>
      <c r="B40" s="100"/>
      <c r="C40" s="103"/>
      <c r="D40" s="1">
        <f ca="1">IF(AND(Energy!$F$11=$A$3,Main!$B$43=A40),Main!C37,D40)</f>
        <v>6.026315789473685</v>
      </c>
      <c r="E40" s="103">
        <f ca="1">IF(AND(Energy!$F$11=$A$3,Main!$B$43=A40),Main!B37,E40)</f>
        <v>0.22222222222222224</v>
      </c>
      <c r="F40" s="103">
        <f ca="1">IF(Main!$D$6=1,U40,IF(Main!$D$6=2,N40,IF(Main!$D$6=3,K40,IF(Main!$D$6=4,V40,J40))))</f>
        <v>381.7119273400312</v>
      </c>
      <c r="G40" s="103">
        <f ca="1">IF(AND(Energy!$F$11=$A$3,Main!$B$43=A40),Weight!H37,G40)</f>
        <v>10</v>
      </c>
      <c r="H40" s="103">
        <f ca="1">IF(AND(Energy!$F$11=$A$3,Main!$B$43=A40),Weight!U37,H40)</f>
        <v>14.734566070580019</v>
      </c>
      <c r="I40" s="103">
        <f ca="1">IF(AND(Energy!$F$11=$A$3,Main!$B$43=A40),Weight!V37,I40)</f>
        <v>35.776744910447547</v>
      </c>
      <c r="J40" s="103">
        <f ca="1">IF(AND(Energy!$F$11=$A$3,Main!$B$43=A40),Weight!I37,J40)</f>
        <v>10.98182056486753</v>
      </c>
      <c r="K40" s="103">
        <f ca="1">IF(AND(Energy!$F$11=$A$3,Main!$B$43=A40),Weight!W37,K40)</f>
        <v>45.776744910447547</v>
      </c>
      <c r="L40" s="103">
        <f ca="1">IF(AND(Energy!$F$11=$A$3,Main!$B$43=A40),'Aerodynamics-Cruise'!BI37,L40)</f>
        <v>45.776744910447555</v>
      </c>
      <c r="M40" s="103">
        <f ca="1">IF(AND(Energy!$F$11=$A$3,Main!$B$43=A40),'Aerodynamics-Cruise'!BJ37,M40)</f>
        <v>2.1703125128367229</v>
      </c>
      <c r="N40" s="103">
        <f ca="1">IF(AND(Energy!$F$11=$A$3,Main!$B$43=A40),'Aerodynamics-Cruise'!BK37,N40)</f>
        <v>21.092236551046156</v>
      </c>
      <c r="O40" s="103">
        <f t="shared" ca="1" si="0"/>
        <v>142.70693779831549</v>
      </c>
      <c r="P40" s="103">
        <f ca="1">IF(AND(Energy!$F$11=$A$3,Main!$B$43=A40),'Aerodynamics-Cruise'!H37,P40)</f>
        <v>7.8943612025441618</v>
      </c>
      <c r="Q40" s="103">
        <f ca="1">IF(AND(Energy!$F$11=$A$3,Main!$B$43=A40),'Aerodynamics-Cruise'!I37,Q40)</f>
        <v>6.6228971441161679</v>
      </c>
      <c r="R40" s="103">
        <f ca="1">IF(AND(Energy!$F$11=$A$3,Main!$B$43=$A40),Summary!R37,R40)</f>
        <v>23.508168524998911</v>
      </c>
      <c r="S40" s="103">
        <f ca="1">IF(AND(Energy!$F$11=$A$3,Main!$B$43=A40),'Aerodynamics-Cruise'!W37,S40)</f>
        <v>1</v>
      </c>
      <c r="T40" s="103">
        <f ca="1">IF(AND(Energy!$F$11=$A$3,Main!$B$43=A40),'Aerodynamics-Cruise'!BL37,T40)</f>
        <v>17.133230898734354</v>
      </c>
      <c r="U40" s="103">
        <f ca="1">IF(AND(Energy!$F$11=$A$3,Main!$B$43=A40),'Propulsion-Cruise'!M37,U40)</f>
        <v>38.835602066656193</v>
      </c>
      <c r="V40" s="103">
        <f ca="1">IF(AND(Energy!$F$11=$A$3,Main!$B$43=A40),Endurance!AP37,V40)</f>
        <v>381.7119273400312</v>
      </c>
      <c r="W40" s="103">
        <f ca="1">IF(AND(Energy!$F$11=$A$3,Main!$B$43=$A40),Summary!W37,W40)</f>
        <v>123.47913131045294</v>
      </c>
      <c r="X40" s="13">
        <f ca="1">IF(AND(Energy!$F$11=$A$3,Main!$B$43=A40),Energy!D37,X40)</f>
        <v>743.64843153276229</v>
      </c>
      <c r="Y40" s="102">
        <f ca="1">IF(AND(Energy!$F$11=$A$3,Main!$B$43=A40),'Aerodynamics-Cruise'!V37,Y40)</f>
        <v>111262.74158199019</v>
      </c>
      <c r="Z40" s="102">
        <f ca="1">IF(AND(Energy!$F$11=$A$3,Main!$B$43=$A40),Summary!Z37,Z40)</f>
        <v>81907.834639341119</v>
      </c>
      <c r="AA40" s="102">
        <f ca="1">IF(AND(Energy!$F$11=$A$3,Main!$B$43=$A40),Summary!AA37,AA40)</f>
        <v>331322.98010634357</v>
      </c>
      <c r="AB40" s="103">
        <f ca="1">IF(AND(Energy!$F$11=$A$3,Main!$B$43=$A40),Summary!AB37,AB40)</f>
        <v>2.7162127970185557</v>
      </c>
      <c r="AC40" s="103">
        <f ca="1">IF(AND(Energy!$F$11=$A$3,Main!$B$43=$A40),Summary!AC37,AC40)</f>
        <v>2.9566192813991945</v>
      </c>
      <c r="AD40" s="103">
        <f ca="1">IF(AND(Energy!$F$11=$A$3,Main!$B$43=$A40),Summary!AD37,AD40)</f>
        <v>0.35642250593292363</v>
      </c>
      <c r="AE40" s="103">
        <f ca="1">IF(AND(Energy!$F$11=$A$3,Main!$B$43=$A40),Summary!AE37,AE40)</f>
        <v>1.3391812865497079</v>
      </c>
      <c r="AF40" s="103">
        <f ca="1">IF(AND(Energy!$F$11=$A$3,Main!$B$43=$A40),Summary!AF37,AF40)</f>
        <v>27.118421052631579</v>
      </c>
      <c r="AG40" s="103">
        <f ca="1">IF(AND(Energy!$F$11=$A$3,Main!$B$43=$A40),Summary!AG37,AG40)</f>
        <v>9.1948907339845043</v>
      </c>
      <c r="AH40" s="103">
        <f ca="1">IF(AND(Energy!$F$11=$A$3,Main!$B$43=$A40),Summary!AH37,AH40)</f>
        <v>47</v>
      </c>
      <c r="AI40" s="103">
        <f ca="1">IF(AND(Energy!$F$11=$A$3,Main!$B$43=$A40),Summary!AI37,AI40)</f>
        <v>2.7848001747345599</v>
      </c>
      <c r="AJ40" s="103">
        <f ca="1">IF(AND(Energy!$F$11=$A$3,Main!$B$43=$A40),Summary!AJ37,AJ40)</f>
        <v>0.36432584197081269</v>
      </c>
      <c r="AK40" s="103">
        <f ca="1">IF(AND(Energy!$F$11=$A$3,Main!$B$43=$A40),Summary!AK37,AK40)</f>
        <v>0.01</v>
      </c>
      <c r="AL40" s="103">
        <f ca="1">IF(AND(Energy!$F$11=$A$3,Main!$B$43=$A40),Summary!AL37,AL40)</f>
        <v>-0.28822259161480784</v>
      </c>
      <c r="AM40" s="103">
        <f ca="1">IF(AND(Energy!$F$11=$A$3,Main!$B$43=$A40),Summary!AM37,AM40)</f>
        <v>0.34375</v>
      </c>
      <c r="AN40" s="101"/>
      <c r="AO40" s="101"/>
      <c r="AP40" s="101"/>
      <c r="AQ40" s="101"/>
      <c r="AR40" s="100"/>
      <c r="AS40" s="103"/>
      <c r="AT40" s="103"/>
      <c r="AU40" s="101"/>
      <c r="AV40" s="101"/>
      <c r="AW40" s="101"/>
      <c r="AX40" s="101"/>
      <c r="AY40" s="101"/>
      <c r="AZ40" s="100"/>
      <c r="BA40" s="100"/>
      <c r="BB40" s="100"/>
      <c r="BC40" s="6"/>
    </row>
    <row r="41" spans="1:55">
      <c r="A41">
        <f t="shared" si="2"/>
        <v>2</v>
      </c>
      <c r="B41" s="100"/>
      <c r="C41" s="100"/>
      <c r="D41" s="1">
        <f ca="1">IF(AND(Energy!$F$11=$A$3,Main!$B$43=A41),Main!C38,D41)</f>
        <v>6.1842105263157903</v>
      </c>
      <c r="E41" s="103">
        <f ca="1">IF(AND(Energy!$F$11=$A$3,Main!$B$43=A41),Main!B38,E41)</f>
        <v>0.22222222222222224</v>
      </c>
      <c r="F41" s="103">
        <f ca="1">IF(Main!$D$6=1,U41,IF(Main!$D$6=2,N41,IF(Main!$D$6=3,K41,IF(Main!$D$6=4,V41,J41))))</f>
        <v>385.29627349608427</v>
      </c>
      <c r="G41" s="103">
        <f ca="1">IF(AND(Energy!$F$11=$A$3,Main!$B$43=A41),Weight!H38,G41)</f>
        <v>10</v>
      </c>
      <c r="H41" s="103">
        <f ca="1">IF(AND(Energy!$F$11=$A$3,Main!$B$43=A41),Weight!U38,H41)</f>
        <v>15.203940233985811</v>
      </c>
      <c r="I41" s="103">
        <f ca="1">IF(AND(Energy!$F$11=$A$3,Main!$B$43=A41),Weight!V38,I41)</f>
        <v>36.433802652099232</v>
      </c>
      <c r="J41" s="103">
        <f ca="1">IF(AND(Energy!$F$11=$A$3,Main!$B$43=A41),Weight!I38,J41)</f>
        <v>11.169504143113421</v>
      </c>
      <c r="K41" s="103">
        <f ca="1">IF(AND(Energy!$F$11=$A$3,Main!$B$43=A41),Weight!W38,K41)</f>
        <v>46.433802652099232</v>
      </c>
      <c r="L41" s="103">
        <f ca="1">IF(AND(Energy!$F$11=$A$3,Main!$B$43=A41),'Aerodynamics-Cruise'!BI38,L41)</f>
        <v>46.433802652099224</v>
      </c>
      <c r="M41" s="103">
        <f ca="1">IF(AND(Energy!$F$11=$A$3,Main!$B$43=A41),'Aerodynamics-Cruise'!BJ38,M41)</f>
        <v>2.1987184951597745</v>
      </c>
      <c r="N41" s="103">
        <f ca="1">IF(AND(Energy!$F$11=$A$3,Main!$B$43=A41),'Aerodynamics-Cruise'!BK38,N41)</f>
        <v>21.118575549492984</v>
      </c>
      <c r="O41" s="103">
        <f t="shared" ca="1" si="0"/>
        <v>143.9069428840175</v>
      </c>
      <c r="P41" s="103">
        <f ca="1">IF(AND(Energy!$F$11=$A$3,Main!$B$43=A41),'Aerodynamics-Cruise'!H38,P41)</f>
        <v>7.8486519272189801</v>
      </c>
      <c r="Q41" s="103">
        <f ca="1">IF(AND(Energy!$F$11=$A$3,Main!$B$43=A41),'Aerodynamics-Cruise'!I38,Q41)</f>
        <v>6.5848217211423039</v>
      </c>
      <c r="R41" s="103">
        <f ca="1">IF(AND(Energy!$F$11=$A$3,Main!$B$43=$A41),Summary!R38,R41)</f>
        <v>23.338527856182331</v>
      </c>
      <c r="S41" s="103">
        <f ca="1">IF(AND(Energy!$F$11=$A$3,Main!$B$43=A41),'Aerodynamics-Cruise'!W38,S41)</f>
        <v>1</v>
      </c>
      <c r="T41" s="103">
        <f ca="1">IF(AND(Energy!$F$11=$A$3,Main!$B$43=A41),'Aerodynamics-Cruise'!BL38,T41)</f>
        <v>17.256976154447781</v>
      </c>
      <c r="U41" s="103">
        <f ca="1">IF(AND(Energy!$F$11=$A$3,Main!$B$43=A41),'Propulsion-Cruise'!M38,U41)</f>
        <v>39.154565145801904</v>
      </c>
      <c r="V41" s="103">
        <f ca="1">IF(AND(Energy!$F$11=$A$3,Main!$B$43=A41),Endurance!AP38,V41)</f>
        <v>385.29627349608427</v>
      </c>
      <c r="W41" s="103">
        <f ca="1">IF(AND(Energy!$F$11=$A$3,Main!$B$43=$A41),Summary!W38,W41)</f>
        <v>127.00270515081917</v>
      </c>
      <c r="X41" s="13">
        <f ca="1">IF(AND(Energy!$F$11=$A$3,Main!$B$43=A41),Energy!D38,X41)</f>
        <v>750.0104398556457</v>
      </c>
      <c r="Y41" s="102">
        <f ca="1">IF(AND(Energy!$F$11=$A$3,Main!$B$43=A41),'Aerodynamics-Cruise'!V38,Y41)</f>
        <v>110618.51728594876</v>
      </c>
      <c r="Z41" s="102">
        <f ca="1">IF(AND(Energy!$F$11=$A$3,Main!$B$43=$A41),Summary!Z38,Z41)</f>
        <v>81436.918493827179</v>
      </c>
      <c r="AA41" s="102">
        <f ca="1">IF(AND(Energy!$F$11=$A$3,Main!$B$43=$A41),Summary!AA38,AA41)</f>
        <v>328932.07279768732</v>
      </c>
      <c r="AB41" s="103">
        <f ca="1">IF(AND(Energy!$F$11=$A$3,Main!$B$43=$A41),Summary!AB38,AB41)</f>
        <v>2.7233125345193461</v>
      </c>
      <c r="AC41" s="103">
        <f ca="1">IF(AND(Energy!$F$11=$A$3,Main!$B$43=$A41),Summary!AC38,AC41)</f>
        <v>2.89654862491229</v>
      </c>
      <c r="AD41" s="103">
        <f ca="1">IF(AND(Energy!$F$11=$A$3,Main!$B$43=$A41),Summary!AD38,AD41)</f>
        <v>0.35717824821634769</v>
      </c>
      <c r="AE41" s="103">
        <f ca="1">IF(AND(Energy!$F$11=$A$3,Main!$B$43=$A41),Summary!AE38,AE41)</f>
        <v>1.3742690058479534</v>
      </c>
      <c r="AF41" s="103">
        <f ca="1">IF(AND(Energy!$F$11=$A$3,Main!$B$43=$A41),Summary!AF38,AF41)</f>
        <v>27.828947368421058</v>
      </c>
      <c r="AG41" s="103">
        <f ca="1">IF(AND(Energy!$F$11=$A$3,Main!$B$43=$A41),Summary!AG38,AG41)</f>
        <v>9.2507948880596746</v>
      </c>
      <c r="AH41" s="103">
        <f ca="1">IF(AND(Energy!$F$11=$A$3,Main!$B$43=$A41),Summary!AH38,AH41)</f>
        <v>47</v>
      </c>
      <c r="AI41" s="103">
        <f ca="1">IF(AND(Energy!$F$11=$A$3,Main!$B$43=$A41),Summary!AI38,AI41)</f>
        <v>2.7845701774012173</v>
      </c>
      <c r="AJ41" s="103">
        <f ca="1">IF(AND(Energy!$F$11=$A$3,Main!$B$43=$A41),Summary!AJ38,AJ41)</f>
        <v>0.364395715499086</v>
      </c>
      <c r="AK41" s="103">
        <f ca="1">IF(AND(Energy!$F$11=$A$3,Main!$B$43=$A41),Summary!AK38,AK41)</f>
        <v>0.01</v>
      </c>
      <c r="AL41" s="103">
        <f ca="1">IF(AND(Energy!$F$11=$A$3,Main!$B$43=$A41),Summary!AL38,AL41)</f>
        <v>-0.28816707287822196</v>
      </c>
      <c r="AM41" s="103">
        <f ca="1">IF(AND(Energy!$F$11=$A$3,Main!$B$43=$A41),Summary!AM38,AM41)</f>
        <v>0.34375</v>
      </c>
      <c r="AN41" s="100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</row>
    <row r="42" spans="1:55">
      <c r="A42">
        <f t="shared" si="2"/>
        <v>2</v>
      </c>
      <c r="B42" s="100"/>
      <c r="C42" s="100"/>
      <c r="D42" s="1">
        <f ca="1">IF(AND(Energy!$F$11=$A$3,Main!$B$43=A42),Main!C39,D42)</f>
        <v>6.3421052631578956</v>
      </c>
      <c r="E42" s="103">
        <f ca="1">IF(AND(Energy!$F$11=$A$3,Main!$B$43=A42),Main!B39,E42)</f>
        <v>0.22222222222222224</v>
      </c>
      <c r="F42" s="103">
        <f ca="1">IF(Main!$D$6=1,U42,IF(Main!$D$6=2,N42,IF(Main!$D$6=3,K42,IF(Main!$D$6=4,V42,J42))))</f>
        <v>389.4138301504521</v>
      </c>
      <c r="G42" s="103">
        <f ca="1">IF(AND(Energy!$F$11=$A$3,Main!$B$43=A42),Weight!H39,G42)</f>
        <v>10</v>
      </c>
      <c r="H42" s="103">
        <f ca="1">IF(AND(Energy!$F$11=$A$3,Main!$B$43=A42),Weight!U39,H42)</f>
        <v>15.688191807992723</v>
      </c>
      <c r="I42" s="103">
        <f ca="1">IF(AND(Energy!$F$11=$A$3,Main!$B$43=A42),Weight!V39,I42)</f>
        <v>37.134458428578249</v>
      </c>
      <c r="J42" s="103">
        <f ca="1">IF(AND(Energy!$F$11=$A$3,Main!$B$43=A42),Weight!I39,J42)</f>
        <v>11.385908345585529</v>
      </c>
      <c r="K42" s="103">
        <f ca="1">IF(AND(Energy!$F$11=$A$3,Main!$B$43=A42),Weight!W39,K42)</f>
        <v>47.134458428578249</v>
      </c>
      <c r="L42" s="103">
        <f ca="1">IF(AND(Energy!$F$11=$A$3,Main!$B$43=A42),'Aerodynamics-Cruise'!BI39,L42)</f>
        <v>47.134458428578249</v>
      </c>
      <c r="M42" s="103">
        <f ca="1">IF(AND(Energy!$F$11=$A$3,Main!$B$43=A42),'Aerodynamics-Cruise'!BJ39,M42)</f>
        <v>2.2293817009206096</v>
      </c>
      <c r="N42" s="103">
        <f ca="1">IF(AND(Energy!$F$11=$A$3,Main!$B$43=A42),'Aerodynamics-Cruise'!BK39,N42)</f>
        <v>21.142390470467376</v>
      </c>
      <c r="O42" s="103">
        <f t="shared" ca="1" si="0"/>
        <v>145.15210892087012</v>
      </c>
      <c r="P42" s="103">
        <f ca="1">IF(AND(Energy!$F$11=$A$3,Main!$B$43=A42),'Aerodynamics-Cruise'!H39,P42)</f>
        <v>7.8085836256259284</v>
      </c>
      <c r="Q42" s="103">
        <f ca="1">IF(AND(Energy!$F$11=$A$3,Main!$B$43=A42),'Aerodynamics-Cruise'!I39,Q42)</f>
        <v>6.5514437446176208</v>
      </c>
      <c r="R42" s="103">
        <f ca="1">IF(AND(Energy!$F$11=$A$3,Main!$B$43=$A42),Summary!R39,R42)</f>
        <v>23.173560837295884</v>
      </c>
      <c r="S42" s="103">
        <f ca="1">IF(AND(Energy!$F$11=$A$3,Main!$B$43=A42),'Aerodynamics-Cruise'!W39,S42)</f>
        <v>1</v>
      </c>
      <c r="T42" s="103">
        <f ca="1">IF(AND(Energy!$F$11=$A$3,Main!$B$43=A42),'Aerodynamics-Cruise'!BL39,T42)</f>
        <v>17.408313445078754</v>
      </c>
      <c r="U42" s="103">
        <f ca="1">IF(AND(Energy!$F$11=$A$3,Main!$B$43=A42),'Propulsion-Cruise'!M39,U42)</f>
        <v>39.528875109492041</v>
      </c>
      <c r="V42" s="103">
        <f ca="1">IF(AND(Energy!$F$11=$A$3,Main!$B$43=A42),Endurance!AP39,V42)</f>
        <v>389.4138301504521</v>
      </c>
      <c r="W42" s="103">
        <f ca="1">IF(AND(Energy!$F$11=$A$3,Main!$B$43=$A42),Summary!W39,W42)</f>
        <v>131.06548034885498</v>
      </c>
      <c r="X42" s="13">
        <f ca="1">IF(AND(Energy!$F$11=$A$3,Main!$B$43=A42),Energy!D39,X42)</f>
        <v>757.34600618543266</v>
      </c>
      <c r="Y42" s="102">
        <f ca="1">IF(AND(Energy!$F$11=$A$3,Main!$B$43=A42),'Aerodynamics-Cruise'!V39,Y42)</f>
        <v>110053.79659843576</v>
      </c>
      <c r="Z42" s="102">
        <f ca="1">IF(AND(Energy!$F$11=$A$3,Main!$B$43=$A42),Summary!Z39,Z42)</f>
        <v>81024.100403971534</v>
      </c>
      <c r="AA42" s="102">
        <f ca="1">IF(AND(Energy!$F$11=$A$3,Main!$B$43=$A42),Summary!AA39,AA42)</f>
        <v>326607.03568309481</v>
      </c>
      <c r="AB42" s="103">
        <f ca="1">IF(AND(Energy!$F$11=$A$3,Main!$B$43=$A42),Summary!AB39,AB42)</f>
        <v>2.7363078331640738</v>
      </c>
      <c r="AC42" s="103">
        <f ca="1">IF(AND(Energy!$F$11=$A$3,Main!$B$43=$A42),Summary!AC39,AC42)</f>
        <v>2.8367997808196503</v>
      </c>
      <c r="AD42" s="103">
        <f ca="1">IF(AND(Energy!$F$11=$A$3,Main!$B$43=$A42),Summary!AD39,AD42)</f>
        <v>0.35814764963535028</v>
      </c>
      <c r="AE42" s="103">
        <f ca="1">IF(AND(Energy!$F$11=$A$3,Main!$B$43=$A42),Summary!AE39,AE42)</f>
        <v>1.4093567251461991</v>
      </c>
      <c r="AF42" s="103">
        <f ca="1">IF(AND(Energy!$F$11=$A$3,Main!$B$43=$A42),Summary!AF39,AF42)</f>
        <v>28.539473684210524</v>
      </c>
      <c r="AG42" s="103">
        <f ca="1">IF(AND(Energy!$F$11=$A$3,Main!$B$43=$A42),Summary!AG39,AG42)</f>
        <v>9.3139520944232288</v>
      </c>
      <c r="AH42" s="103">
        <f ca="1">IF(AND(Energy!$F$11=$A$3,Main!$B$43=$A42),Summary!AH39,AH42)</f>
        <v>47</v>
      </c>
      <c r="AI42" s="103">
        <f ca="1">IF(AND(Energy!$F$11=$A$3,Main!$B$43=$A42),Summary!AI39,AI42)</f>
        <v>2.7843675927397062</v>
      </c>
      <c r="AJ42" s="103">
        <f ca="1">IF(AND(Energy!$F$11=$A$3,Main!$B$43=$A42),Summary!AJ39,AJ42)</f>
        <v>0.36438988291792851</v>
      </c>
      <c r="AK42" s="103">
        <f ca="1">IF(AND(Energy!$F$11=$A$3,Main!$B$43=$A42),Summary!AK39,AK42)</f>
        <v>0.01</v>
      </c>
      <c r="AL42" s="103">
        <f ca="1">IF(AND(Energy!$F$11=$A$3,Main!$B$43=$A42),Summary!AL39,AL42)</f>
        <v>-0.28817146936829446</v>
      </c>
      <c r="AM42" s="103">
        <f ca="1">IF(AND(Energy!$F$11=$A$3,Main!$B$43=$A42),Summary!AM39,AM42)</f>
        <v>0.34375</v>
      </c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</row>
    <row r="43" spans="1:55">
      <c r="A43">
        <f t="shared" si="2"/>
        <v>2</v>
      </c>
      <c r="D43" s="1">
        <f ca="1">IF(AND(Energy!$F$11=$A$3,Main!$B$43=A43),Main!C40,D43)</f>
        <v>6.5</v>
      </c>
      <c r="E43" s="103">
        <f ca="1">IF(AND(Energy!$F$11=$A$3,Main!$B$43=A43),Main!B40,E43)</f>
        <v>0.22222222222222224</v>
      </c>
      <c r="F43" s="103">
        <f ca="1">IF(Main!$D$6=1,U43,IF(Main!$D$6=2,N43,IF(Main!$D$6=3,K43,IF(Main!$D$6=4,V43,J43))))</f>
        <v>394.05588029466924</v>
      </c>
      <c r="G43" s="103">
        <f ca="1">IF(AND(Energy!$F$11=$A$3,Main!$B$43=A43),Weight!H40,G43)</f>
        <v>10</v>
      </c>
      <c r="H43" s="103">
        <f ca="1">IF(AND(Energy!$F$11=$A$3,Main!$B$43=A43),Weight!U40,H43)</f>
        <v>16.187608562576777</v>
      </c>
      <c r="I43" s="103">
        <f ca="1">IF(AND(Energy!$F$11=$A$3,Main!$B$43=A43),Weight!V40,I43)</f>
        <v>37.878521103074661</v>
      </c>
      <c r="J43" s="103">
        <f ca="1">IF(AND(Energy!$F$11=$A$3,Main!$B$43=A43),Weight!I40,J43)</f>
        <v>11.630554265497887</v>
      </c>
      <c r="K43" s="103">
        <f ca="1">IF(AND(Energy!$F$11=$A$3,Main!$B$43=A43),Weight!W40,K43)</f>
        <v>47.878521103074661</v>
      </c>
      <c r="L43" s="103">
        <f ca="1">IF(AND(Energy!$F$11=$A$3,Main!$B$43=A43),'Aerodynamics-Cruise'!BI40,L43)</f>
        <v>47.878521103074668</v>
      </c>
      <c r="M43" s="103">
        <f ca="1">IF(AND(Energy!$F$11=$A$3,Main!$B$43=A43),'Aerodynamics-Cruise'!BJ40,M43)</f>
        <v>2.2622863653371827</v>
      </c>
      <c r="N43" s="103">
        <f ca="1">IF(AND(Energy!$F$11=$A$3,Main!$B$43=A43),'Aerodynamics-Cruise'!BK40,N43)</f>
        <v>21.163775654873209</v>
      </c>
      <c r="O43" s="103">
        <f t="shared" ca="1" si="0"/>
        <v>146.4412788275059</v>
      </c>
      <c r="P43" s="103">
        <f ca="1">IF(AND(Energy!$F$11=$A$3,Main!$B$43=A43),'Aerodynamics-Cruise'!H40,P43)</f>
        <v>7.7737956267961215</v>
      </c>
      <c r="Q43" s="103">
        <f ca="1">IF(AND(Energy!$F$11=$A$3,Main!$B$43=A43),'Aerodynamics-Cruise'!I40,Q43)</f>
        <v>6.5224632702706229</v>
      </c>
      <c r="R43" s="103">
        <f ca="1">IF(AND(Energy!$F$11=$A$3,Main!$B$43=$A43),Summary!R40,R43)</f>
        <v>23.013079512428956</v>
      </c>
      <c r="S43" s="103">
        <f ca="1">IF(AND(Energy!$F$11=$A$3,Main!$B$43=A43),'Aerodynamics-Cruise'!W40,S43)</f>
        <v>1</v>
      </c>
      <c r="T43" s="103">
        <f ca="1">IF(AND(Energy!$F$11=$A$3,Main!$B$43=A43),'Aerodynamics-Cruise'!BL40,T43)</f>
        <v>17.586551853418683</v>
      </c>
      <c r="U43" s="103">
        <f ca="1">IF(AND(Energy!$F$11=$A$3,Main!$B$43=A43),'Propulsion-Cruise'!M40,U43)</f>
        <v>39.957507511752588</v>
      </c>
      <c r="V43" s="103">
        <f ca="1">IF(AND(Energy!$F$11=$A$3,Main!$B$43=A43),Endurance!AP40,V43)</f>
        <v>394.05588029466924</v>
      </c>
      <c r="W43" s="103">
        <f ca="1">IF(AND(Energy!$F$11=$A$3,Main!$B$43=$A43),Summary!W40,W43)</f>
        <v>135.65846590258377</v>
      </c>
      <c r="X43" s="13">
        <f ca="1">IF(AND(Energy!$F$11=$A$3,Main!$B$43=A43),Energy!D40,X43)</f>
        <v>765.6388967685541</v>
      </c>
      <c r="Y43" s="102">
        <f ca="1">IF(AND(Energy!$F$11=$A$3,Main!$B$43=A43),'Aerodynamics-Cruise'!V40,Y43)</f>
        <v>109563.49624041464</v>
      </c>
      <c r="Z43" s="102">
        <f ca="1">IF(AND(Energy!$F$11=$A$3,Main!$B$43=$A43),Summary!Z40,Z43)</f>
        <v>80665.670622465928</v>
      </c>
      <c r="AA43" s="102">
        <f ca="1">IF(AND(Energy!$F$11=$A$3,Main!$B$43=$A43),Summary!AA40,AA43)</f>
        <v>324345.21972113324</v>
      </c>
      <c r="AB43" s="103">
        <f ca="1">IF(AND(Energy!$F$11=$A$3,Main!$B$43=$A43),Summary!AB40,AB43)</f>
        <v>2.754972490397515</v>
      </c>
      <c r="AC43" s="103">
        <f ca="1">IF(AND(Energy!$F$11=$A$3,Main!$B$43=$A43),Summary!AC40,AC43)</f>
        <v>2.7774502781041246</v>
      </c>
      <c r="AD43" s="103">
        <f ca="1">IF(AND(Energy!$F$11=$A$3,Main!$B$43=$A43),Summary!AD40,AD43)</f>
        <v>0.35932136750016169</v>
      </c>
      <c r="AE43" s="103">
        <f ca="1">IF(AND(Energy!$F$11=$A$3,Main!$B$43=$A43),Summary!AE40,AE43)</f>
        <v>1.4444444444444446</v>
      </c>
      <c r="AF43" s="103">
        <f ca="1">IF(AND(Energy!$F$11=$A$3,Main!$B$43=$A43),Summary!AF40,AF43)</f>
        <v>29.249999999999996</v>
      </c>
      <c r="AG43" s="103">
        <f ca="1">IF(AND(Energy!$F$11=$A$3,Main!$B$43=$A43),Summary!AG40,AG43)</f>
        <v>9.3841943929808078</v>
      </c>
      <c r="AH43" s="103">
        <f ca="1">IF(AND(Energy!$F$11=$A$3,Main!$B$43=$A43),Summary!AH40,AH43)</f>
        <v>47</v>
      </c>
      <c r="AI43" s="103">
        <f ca="1">IF(AND(Energy!$F$11=$A$3,Main!$B$43=$A43),Summary!AI40,AI43)</f>
        <v>2.7841909965665672</v>
      </c>
      <c r="AJ43" s="103">
        <f ca="1">IF(AND(Energy!$F$11=$A$3,Main!$B$43=$A43),Summary!AJ40,AJ43)</f>
        <v>0.36431114845068047</v>
      </c>
      <c r="AK43" s="103">
        <f ca="1">IF(AND(Energy!$F$11=$A$3,Main!$B$43=$A43),Summary!AK40,AK43)</f>
        <v>0.01</v>
      </c>
      <c r="AL43" s="103">
        <f ca="1">IF(AND(Energy!$F$11=$A$3,Main!$B$43=$A43),Summary!AL40,AL43)</f>
        <v>-0.28823356611927142</v>
      </c>
      <c r="AM43" s="103">
        <f ca="1">IF(AND(Energy!$F$11=$A$3,Main!$B$43=$A43),Summary!AM40,AM43)</f>
        <v>0.34375</v>
      </c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</row>
    <row r="44" spans="1:55">
      <c r="A44" s="7">
        <f>A24+1</f>
        <v>3</v>
      </c>
      <c r="B44" s="100"/>
      <c r="C44" s="100"/>
      <c r="D44" s="1">
        <f ca="1">IF(AND(Energy!$F$11=$A$3,Main!$B$43=A44),Main!C21,D44)</f>
        <v>3.5</v>
      </c>
      <c r="E44" s="103">
        <f ca="1">IF(AND(Energy!$F$11=$A$3,Main!$B$43=A44),Main!B21,E44)</f>
        <v>0.24444444444444446</v>
      </c>
      <c r="F44" s="103">
        <f ca="1">IF(Main!$D$6=1,U44,IF(Main!$D$6=2,N44,IF(Main!$D$6=3,K44,IF(Main!$D$6=4,V44,J44))))</f>
        <v>436.24574141280618</v>
      </c>
      <c r="G44" s="103">
        <f ca="1">IF(AND(Energy!$F$11=$A$3,Main!$B$43=A44),Weight!H21,G44)</f>
        <v>10</v>
      </c>
      <c r="H44" s="103">
        <f ca="1">IF(AND(Energy!$F$11=$A$3,Main!$B$43=A44),Weight!U21,H44)</f>
        <v>9.8766521293719833</v>
      </c>
      <c r="I44" s="103">
        <f ca="1">IF(AND(Energy!$F$11=$A$3,Main!$B$43=A44),Weight!V21,I44)</f>
        <v>34.558846976258657</v>
      </c>
      <c r="J44" s="103">
        <f ca="1">IF(AND(Energy!$F$11=$A$3,Main!$B$43=A44),Weight!I21,J44)</f>
        <v>14.621836571886677</v>
      </c>
      <c r="K44" s="103">
        <f ca="1">IF(AND(Energy!$F$11=$A$3,Main!$B$43=A44),Weight!W21,K44)</f>
        <v>44.538576711129593</v>
      </c>
      <c r="L44" s="103">
        <f ca="1">IF(AND(Energy!$F$11=$A$3,Main!$B$43=A44),'Aerodynamics-Cruise'!BI21,L44)</f>
        <v>44.572400791888001</v>
      </c>
      <c r="M44" s="103">
        <f ca="1">IF(AND(Energy!$F$11=$A$3,Main!$B$43=A44),'Aerodynamics-Cruise'!BJ21,M44)</f>
        <v>2.2374565952217793</v>
      </c>
      <c r="N44" s="103">
        <f ca="1">IF(AND(Energy!$F$11=$A$3,Main!$B$43=A44),'Aerodynamics-Cruise'!BK21,N44)</f>
        <v>19.921012495650192</v>
      </c>
      <c r="O44" s="103">
        <f t="shared" ca="1" si="0"/>
        <v>132.99778906830903</v>
      </c>
      <c r="P44" s="103">
        <f ca="1">IF(AND(Energy!$F$11=$A$3,Main!$B$43=A44),'Aerodynamics-Cruise'!H21,P44)</f>
        <v>9.7530330713110303</v>
      </c>
      <c r="Q44" s="103">
        <f ca="1">IF(AND(Energy!$F$11=$A$3,Main!$B$43=A44),'Aerodynamics-Cruise'!I21,Q44)</f>
        <v>8.1588330521026684</v>
      </c>
      <c r="R44" s="103">
        <f ca="1">IF(AND(Energy!$F$11=$A$3,Main!$B$43=$A44),Summary!R21,R44)</f>
        <v>26.407411056543676</v>
      </c>
      <c r="S44" s="103">
        <f ca="1">IF(AND(Energy!$F$11=$A$3,Main!$B$43=A44),'Aerodynamics-Cruise'!W21,S44)</f>
        <v>1</v>
      </c>
      <c r="T44" s="103">
        <f ca="1">IF(AND(Energy!$F$11=$A$3,Main!$B$43=A44),'Aerodynamics-Cruise'!BL21,T44)</f>
        <v>21.82198816882099</v>
      </c>
      <c r="U44" s="103">
        <f ca="1">IF(AND(Energy!$F$11=$A$3,Main!$B$43=A44),'Propulsion-Cruise'!M21,U44)</f>
        <v>47.061769181551853</v>
      </c>
      <c r="V44" s="103">
        <f ca="1">IF(AND(Energy!$F$11=$A$3,Main!$B$43=A44),Endurance!AP21,V44)</f>
        <v>436.24574141280618</v>
      </c>
      <c r="W44" s="103">
        <f ca="1">IF(AND(Energy!$F$11=$A$3,Main!$B$43=$A44),Summary!W21,W44)</f>
        <v>190.95045093820215</v>
      </c>
      <c r="X44" s="13">
        <f ca="1">IF(AND(Energy!$F$11=$A$3,Main!$B$43=A44),Energy!D21,X44)</f>
        <v>866.27532787700329</v>
      </c>
      <c r="Y44" s="102">
        <f ca="1">IF(AND(Energy!$F$11=$A$3,Main!$B$43=A44),'Aerodynamics-Cruise'!V21,Y44)</f>
        <v>151204.6494268064</v>
      </c>
      <c r="Z44" s="102">
        <f ca="1">IF(AND(Energy!$F$11=$A$3,Main!$B$43=$A44),Summary!Z21,Z44)</f>
        <v>110995.84539511475</v>
      </c>
      <c r="AA44" s="102">
        <f ca="1">IF(AND(Energy!$F$11=$A$3,Main!$B$43=$A44),Summary!AA21,AA44)</f>
        <v>409403.23916460562</v>
      </c>
      <c r="AB44" s="103">
        <f ca="1">IF(AND(Energy!$F$11=$A$3,Main!$B$43=$A44),Summary!AB21,AB44)</f>
        <v>4.0558964591509978</v>
      </c>
      <c r="AC44" s="103">
        <f ca="1">IF(AND(Energy!$F$11=$A$3,Main!$B$43=$A44),Summary!AC21,AC44)</f>
        <v>3.5950809993733905</v>
      </c>
      <c r="AD44" s="103">
        <f ca="1">IF(AND(Energy!$F$11=$A$3,Main!$B$43=$A44),Summary!AD21,AD44)</f>
        <v>0.4153496137037383</v>
      </c>
      <c r="AE44" s="103">
        <f ca="1">IF(AND(Energy!$F$11=$A$3,Main!$B$43=$A44),Summary!AE21,AE44)</f>
        <v>0.85555555555555562</v>
      </c>
      <c r="AF44" s="103">
        <f ca="1">IF(AND(Energy!$F$11=$A$3,Main!$B$43=$A44),Summary!AF21,AF44)</f>
        <v>14.318181818181817</v>
      </c>
      <c r="AG44" s="103">
        <f ca="1">IF(AND(Energy!$F$11=$A$3,Main!$B$43=$A44),Summary!AG21,AG44)</f>
        <v>10.111806586270408</v>
      </c>
      <c r="AH44" s="103">
        <f ca="1">IF(AND(Energy!$F$11=$A$3,Main!$B$43=$A44),Summary!AH21,AH44)</f>
        <v>47</v>
      </c>
      <c r="AI44" s="103">
        <f ca="1">IF(AND(Energy!$F$11=$A$3,Main!$B$43=$A44),Summary!AI21,AI44)</f>
        <v>2.8027871715293586</v>
      </c>
      <c r="AJ44" s="103">
        <f ca="1">IF(AND(Energy!$F$11=$A$3,Main!$B$43=$A44),Summary!AJ21,AJ44)</f>
        <v>0.32742062650098991</v>
      </c>
      <c r="AK44" s="103">
        <f ca="1">IF(AND(Energy!$F$11=$A$3,Main!$B$43=$A44),Summary!AK21,AK44)</f>
        <v>0.01</v>
      </c>
      <c r="AL44" s="103">
        <f ca="1">IF(AND(Energy!$F$11=$A$3,Main!$B$43=$A44),Summary!AL21,AL44)</f>
        <v>-0.32042435381885942</v>
      </c>
      <c r="AM44" s="103">
        <f ca="1">IF(AND(Energy!$F$11=$A$3,Main!$B$43=$A44),Summary!AM21,AM44)</f>
        <v>0.34375</v>
      </c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</row>
    <row r="45" spans="1:55">
      <c r="A45">
        <f>A44</f>
        <v>3</v>
      </c>
      <c r="B45" s="100"/>
      <c r="C45" s="100"/>
      <c r="D45" s="1">
        <f ca="1">IF(AND(Energy!$F$11=$A$3,Main!$B$43=A45),Main!C22,D45)</f>
        <v>3.6578947368421053</v>
      </c>
      <c r="E45" s="103">
        <f ca="1">IF(AND(Energy!$F$11=$A$3,Main!$B$43=A45),Main!B22,E45)</f>
        <v>0.24444444444444446</v>
      </c>
      <c r="F45" s="103">
        <f ca="1">IF(Main!$D$6=1,U45,IF(Main!$D$6=2,N45,IF(Main!$D$6=3,K45,IF(Main!$D$6=4,V45,J45))))</f>
        <v>418.68666385607844</v>
      </c>
      <c r="G45" s="103">
        <f ca="1">IF(AND(Energy!$F$11=$A$3,Main!$B$43=A45),Weight!H22,G45)</f>
        <v>10</v>
      </c>
      <c r="H45" s="103">
        <f ca="1">IF(AND(Energy!$F$11=$A$3,Main!$B$43=A45),Weight!U22,H45)</f>
        <v>10.113305881143511</v>
      </c>
      <c r="I45" s="103">
        <f ca="1">IF(AND(Energy!$F$11=$A$3,Main!$B$43=A45),Weight!V22,I45)</f>
        <v>33.842563454274753</v>
      </c>
      <c r="J45" s="103">
        <f ca="1">IF(AND(Energy!$F$11=$A$3,Main!$B$43=A45),Weight!I22,J45)</f>
        <v>13.668899298131247</v>
      </c>
      <c r="K45" s="103">
        <f ca="1">IF(AND(Energy!$F$11=$A$3,Main!$B$43=A45),Weight!W22,K45)</f>
        <v>43.82357767081163</v>
      </c>
      <c r="L45" s="103">
        <f ca="1">IF(AND(Energy!$F$11=$A$3,Main!$B$43=A45),'Aerodynamics-Cruise'!BI22,L45)</f>
        <v>43.855364475986427</v>
      </c>
      <c r="M45" s="103">
        <f ca="1">IF(AND(Energy!$F$11=$A$3,Main!$B$43=A45),'Aerodynamics-Cruise'!BJ22,M45)</f>
        <v>2.1866300400503103</v>
      </c>
      <c r="N45" s="103">
        <f ca="1">IF(AND(Energy!$F$11=$A$3,Main!$B$43=A45),'Aerodynamics-Cruise'!BK22,N45)</f>
        <v>20.056142864925334</v>
      </c>
      <c r="O45" s="103">
        <f t="shared" ca="1" si="0"/>
        <v>132.81856291798147</v>
      </c>
      <c r="P45" s="103">
        <f ca="1">IF(AND(Energy!$F$11=$A$3,Main!$B$43=A45),'Aerodynamics-Cruise'!H22,P45)</f>
        <v>9.4630956298487447</v>
      </c>
      <c r="Q45" s="103">
        <f ca="1">IF(AND(Energy!$F$11=$A$3,Main!$B$43=A45),'Aerodynamics-Cruise'!I22,Q45)</f>
        <v>7.9180077327149414</v>
      </c>
      <c r="R45" s="103">
        <f ca="1">IF(AND(Energy!$F$11=$A$3,Main!$B$43=$A45),Summary!R22,R45)</f>
        <v>26.116050256831809</v>
      </c>
      <c r="S45" s="103">
        <f ca="1">IF(AND(Energy!$F$11=$A$3,Main!$B$43=A45),'Aerodynamics-Cruise'!W22,S45)</f>
        <v>1</v>
      </c>
      <c r="T45" s="103">
        <f ca="1">IF(AND(Energy!$F$11=$A$3,Main!$B$43=A45),'Aerodynamics-Cruise'!BL22,T45)</f>
        <v>20.692289176096075</v>
      </c>
      <c r="U45" s="103">
        <f ca="1">IF(AND(Energy!$F$11=$A$3,Main!$B$43=A45),'Propulsion-Cruise'!M22,U45)</f>
        <v>45.018802803424961</v>
      </c>
      <c r="V45" s="103">
        <f ca="1">IF(AND(Energy!$F$11=$A$3,Main!$B$43=A45),Endurance!AP22,V45)</f>
        <v>418.68666385607844</v>
      </c>
      <c r="W45" s="103">
        <f ca="1">IF(AND(Energy!$F$11=$A$3,Main!$B$43=$A45),Summary!W22,W45)</f>
        <v>173.12433751326228</v>
      </c>
      <c r="X45" s="13">
        <f ca="1">IF(AND(Energy!$F$11=$A$3,Main!$B$43=A45),Energy!D22,X45)</f>
        <v>834.02906387591509</v>
      </c>
      <c r="Y45" s="102">
        <f ca="1">IF(AND(Energy!$F$11=$A$3,Main!$B$43=A45),'Aerodynamics-Cruise'!V22,Y45)</f>
        <v>146709.64885914023</v>
      </c>
      <c r="Z45" s="102">
        <f ca="1">IF(AND(Energy!$F$11=$A$3,Main!$B$43=$A45),Summary!Z22,Z45)</f>
        <v>107719.40525543451</v>
      </c>
      <c r="AA45" s="102">
        <f ca="1">IF(AND(Energy!$F$11=$A$3,Main!$B$43=$A45),Summary!AA22,AA45)</f>
        <v>404886.17178105115</v>
      </c>
      <c r="AB45" s="103">
        <f ca="1">IF(AND(Energy!$F$11=$A$3,Main!$B$43=$A45),Summary!AB22,AB45)</f>
        <v>3.7496606385716649</v>
      </c>
      <c r="AC45" s="103">
        <f ca="1">IF(AND(Energy!$F$11=$A$3,Main!$B$43=$A45),Summary!AC22,AC45)</f>
        <v>3.5828831093362612</v>
      </c>
      <c r="AD45" s="103">
        <f ca="1">IF(AND(Energy!$F$11=$A$3,Main!$B$43=$A45),Summary!AD22,AD45)</f>
        <v>0.40685773117929452</v>
      </c>
      <c r="AE45" s="103">
        <f ca="1">IF(AND(Energy!$F$11=$A$3,Main!$B$43=$A45),Summary!AE22,AE45)</f>
        <v>0.89415204678362581</v>
      </c>
      <c r="AF45" s="103">
        <f ca="1">IF(AND(Energy!$F$11=$A$3,Main!$B$43=$A45),Summary!AF22,AF45)</f>
        <v>14.964114832535884</v>
      </c>
      <c r="AG45" s="103">
        <f ca="1">IF(AND(Energy!$F$11=$A$3,Main!$B$43=$A45),Summary!AG22,AG45)</f>
        <v>9.8717987348870917</v>
      </c>
      <c r="AH45" s="103">
        <f ca="1">IF(AND(Energy!$F$11=$A$3,Main!$B$43=$A45),Summary!AH22,AH45)</f>
        <v>47</v>
      </c>
      <c r="AI45" s="103">
        <f ca="1">IF(AND(Energy!$F$11=$A$3,Main!$B$43=$A45),Summary!AI22,AI45)</f>
        <v>2.8014776729571023</v>
      </c>
      <c r="AJ45" s="103">
        <f ca="1">IF(AND(Energy!$F$11=$A$3,Main!$B$43=$A45),Summary!AJ22,AJ45)</f>
        <v>0.3295834650451237</v>
      </c>
      <c r="AK45" s="103">
        <f ca="1">IF(AND(Energy!$F$11=$A$3,Main!$B$43=$A45),Summary!AK22,AK45)</f>
        <v>0.01</v>
      </c>
      <c r="AL45" s="103">
        <f ca="1">IF(AND(Energy!$F$11=$A$3,Main!$B$43=$A45),Summary!AL22,AL45)</f>
        <v>-0.31833031840752724</v>
      </c>
      <c r="AM45" s="103">
        <f ca="1">IF(AND(Energy!$F$11=$A$3,Main!$B$43=$A45),Summary!AM22,AM45)</f>
        <v>0.34375</v>
      </c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</row>
    <row r="46" spans="1:55">
      <c r="A46">
        <f t="shared" ref="A46:A63" si="3">A45</f>
        <v>3</v>
      </c>
      <c r="B46" s="100"/>
      <c r="C46" s="100"/>
      <c r="D46" s="1">
        <f ca="1">IF(AND(Energy!$F$11=$A$3,Main!$B$43=A46),Main!C23,D46)</f>
        <v>3.8157894736842106</v>
      </c>
      <c r="E46" s="103">
        <f ca="1">IF(AND(Energy!$F$11=$A$3,Main!$B$43=A46),Main!B23,E46)</f>
        <v>0.24444444444444446</v>
      </c>
      <c r="F46" s="103">
        <f ca="1">IF(Main!$D$6=1,U46,IF(Main!$D$6=2,N46,IF(Main!$D$6=3,K46,IF(Main!$D$6=4,V46,J46))))</f>
        <v>405.075498292308</v>
      </c>
      <c r="G46" s="103">
        <f ca="1">IF(AND(Energy!$F$11=$A$3,Main!$B$43=A46),Weight!H23,G46)</f>
        <v>10</v>
      </c>
      <c r="H46" s="103">
        <f ca="1">IF(AND(Energy!$F$11=$A$3,Main!$B$43=A46),Weight!U23,H46)</f>
        <v>10.377576318300306</v>
      </c>
      <c r="I46" s="103">
        <f ca="1">IF(AND(Energy!$F$11=$A$3,Main!$B$43=A46),Weight!V23,I46)</f>
        <v>33.365821504362195</v>
      </c>
      <c r="J46" s="103">
        <f ca="1">IF(AND(Energy!$F$11=$A$3,Main!$B$43=A46),Weight!I23,J46)</f>
        <v>12.927886911061892</v>
      </c>
      <c r="K46" s="103">
        <f ca="1">IF(AND(Energy!$F$11=$A$3,Main!$B$43=A46),Weight!W23,K46)</f>
        <v>43.348026369675864</v>
      </c>
      <c r="L46" s="103">
        <f ca="1">IF(AND(Energy!$F$11=$A$3,Main!$B$43=A46),'Aerodynamics-Cruise'!BI23,L46)</f>
        <v>43.377866777008514</v>
      </c>
      <c r="M46" s="103">
        <f ca="1">IF(AND(Energy!$F$11=$A$3,Main!$B$43=A46),'Aerodynamics-Cruise'!BJ23,M46)</f>
        <v>2.1491719079968119</v>
      </c>
      <c r="N46" s="103">
        <f ca="1">IF(AND(Energy!$F$11=$A$3,Main!$B$43=A46),'Aerodynamics-Cruise'!BK23,N46)</f>
        <v>20.183525857380069</v>
      </c>
      <c r="O46" s="103">
        <f t="shared" ca="1" si="0"/>
        <v>132.93248722758074</v>
      </c>
      <c r="P46" s="103">
        <f ca="1">IF(AND(Energy!$F$11=$A$3,Main!$B$43=A46),'Aerodynamics-Cruise'!H23,P46)</f>
        <v>9.2146002698178933</v>
      </c>
      <c r="Q46" s="103">
        <f ca="1">IF(AND(Energy!$F$11=$A$3,Main!$B$43=A46),'Aerodynamics-Cruise'!I23,Q46)</f>
        <v>7.7115628934793268</v>
      </c>
      <c r="R46" s="103">
        <f ca="1">IF(AND(Energy!$F$11=$A$3,Main!$B$43=$A46),Summary!R23,R46)</f>
        <v>25.837133459873744</v>
      </c>
      <c r="S46" s="103">
        <f ca="1">IF(AND(Energy!$F$11=$A$3,Main!$B$43=A46),'Aerodynamics-Cruise'!W23,S46)</f>
        <v>1</v>
      </c>
      <c r="T46" s="103">
        <f ca="1">IF(AND(Energy!$F$11=$A$3,Main!$B$43=A46),'Aerodynamics-Cruise'!BL23,T46)</f>
        <v>19.803760043312458</v>
      </c>
      <c r="U46" s="103">
        <f ca="1">IF(AND(Energy!$F$11=$A$3,Main!$B$43=A46),'Propulsion-Cruise'!M23,U46)</f>
        <v>43.417576264627499</v>
      </c>
      <c r="V46" s="103">
        <f ca="1">IF(AND(Energy!$F$11=$A$3,Main!$B$43=A46),Endurance!AP23,V46)</f>
        <v>405.075498292308</v>
      </c>
      <c r="W46" s="103">
        <f ca="1">IF(AND(Energy!$F$11=$A$3,Main!$B$43=$A46),Summary!W23,W46)</f>
        <v>159.27048306350434</v>
      </c>
      <c r="X46" s="13">
        <f ca="1">IF(AND(Energy!$F$11=$A$3,Main!$B$43=A46),Energy!D23,X46)</f>
        <v>808.96108654491775</v>
      </c>
      <c r="Y46" s="102">
        <f ca="1">IF(AND(Energy!$F$11=$A$3,Main!$B$43=A46),'Aerodynamics-Cruise'!V23,Y46)</f>
        <v>142857.13923234757</v>
      </c>
      <c r="Z46" s="102">
        <f ca="1">IF(AND(Energy!$F$11=$A$3,Main!$B$43=$A46),Summary!Z23,Z46)</f>
        <v>104910.71707178299</v>
      </c>
      <c r="AA46" s="102">
        <f ca="1">IF(AND(Energy!$F$11=$A$3,Main!$B$43=$A46),Summary!AA23,AA46)</f>
        <v>400562.02808186214</v>
      </c>
      <c r="AB46" s="103">
        <f ca="1">IF(AND(Energy!$F$11=$A$3,Main!$B$43=$A46),Summary!AB23,AB46)</f>
        <v>3.5109980105316096</v>
      </c>
      <c r="AC46" s="103">
        <f ca="1">IF(AND(Energy!$F$11=$A$3,Main!$B$43=$A46),Summary!AC23,AC46)</f>
        <v>3.5576092248752444</v>
      </c>
      <c r="AD46" s="103">
        <f ca="1">IF(AND(Energy!$F$11=$A$3,Main!$B$43=$A46),Summary!AD23,AD46)</f>
        <v>0.39992207968042176</v>
      </c>
      <c r="AE46" s="103">
        <f ca="1">IF(AND(Energy!$F$11=$A$3,Main!$B$43=$A46),Summary!AE23,AE46)</f>
        <v>0.93274853801169599</v>
      </c>
      <c r="AF46" s="103">
        <f ca="1">IF(AND(Energy!$F$11=$A$3,Main!$B$43=$A46),Summary!AF23,AF46)</f>
        <v>15.610047846889952</v>
      </c>
      <c r="AG46" s="103">
        <f ca="1">IF(AND(Energy!$F$11=$A$3,Main!$B$43=$A46),Summary!AG23,AG46)</f>
        <v>9.6832667151208707</v>
      </c>
      <c r="AH46" s="103">
        <f ca="1">IF(AND(Energy!$F$11=$A$3,Main!$B$43=$A46),Summary!AH23,AH46)</f>
        <v>47</v>
      </c>
      <c r="AI46" s="103">
        <f ca="1">IF(AND(Energy!$F$11=$A$3,Main!$B$43=$A46),Summary!AI23,AI46)</f>
        <v>2.8002897755659548</v>
      </c>
      <c r="AJ46" s="103">
        <f ca="1">IF(AND(Energy!$F$11=$A$3,Main!$B$43=$A46),Summary!AJ23,AJ46)</f>
        <v>0.33149145356205861</v>
      </c>
      <c r="AK46" s="103">
        <f ca="1">IF(AND(Energy!$F$11=$A$3,Main!$B$43=$A46),Summary!AK23,AK46)</f>
        <v>0.01</v>
      </c>
      <c r="AL46" s="103">
        <f ca="1">IF(AND(Energy!$F$11=$A$3,Main!$B$43=$A46),Summary!AL23,AL46)</f>
        <v>-0.31650577306730987</v>
      </c>
      <c r="AM46" s="103">
        <f ca="1">IF(AND(Energy!$F$11=$A$3,Main!$B$43=$A46),Summary!AM23,AM46)</f>
        <v>0.34375</v>
      </c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</row>
    <row r="47" spans="1:55">
      <c r="A47">
        <f t="shared" si="3"/>
        <v>3</v>
      </c>
      <c r="B47" s="100"/>
      <c r="C47" s="100"/>
      <c r="D47" s="1">
        <f ca="1">IF(AND(Energy!$F$11=$A$3,Main!$B$43=A47),Main!C24,D47)</f>
        <v>3.9736842105263159</v>
      </c>
      <c r="E47" s="103">
        <f ca="1">IF(AND(Energy!$F$11=$A$3,Main!$B$43=A47),Main!B24,E47)</f>
        <v>0.24444444444444446</v>
      </c>
      <c r="F47" s="103">
        <f ca="1">IF(Main!$D$6=1,U47,IF(Main!$D$6=2,N47,IF(Main!$D$6=3,K47,IF(Main!$D$6=4,V47,J47))))</f>
        <v>394.47094641788573</v>
      </c>
      <c r="G47" s="103">
        <f ca="1">IF(AND(Energy!$F$11=$A$3,Main!$B$43=A47),Weight!H24,G47)</f>
        <v>10</v>
      </c>
      <c r="H47" s="103">
        <f ca="1">IF(AND(Energy!$F$11=$A$3,Main!$B$43=A47),Weight!U24,H47)</f>
        <v>10.665763260208806</v>
      </c>
      <c r="I47" s="103">
        <f ca="1">IF(AND(Energy!$F$11=$A$3,Main!$B$43=A47),Weight!V24,I47)</f>
        <v>33.074614707398041</v>
      </c>
      <c r="J47" s="103">
        <f ca="1">IF(AND(Energy!$F$11=$A$3,Main!$B$43=A47),Weight!I24,J47)</f>
        <v>12.34849317218924</v>
      </c>
      <c r="K47" s="103">
        <f ca="1">IF(AND(Energy!$F$11=$A$3,Main!$B$43=A47),Weight!W24,K47)</f>
        <v>43.057888766122559</v>
      </c>
      <c r="L47" s="103">
        <f ca="1">IF(AND(Energy!$F$11=$A$3,Main!$B$43=A47),'Aerodynamics-Cruise'!BI24,L47)</f>
        <v>43.08595334120497</v>
      </c>
      <c r="M47" s="103">
        <f ca="1">IF(AND(Energy!$F$11=$A$3,Main!$B$43=A47),'Aerodynamics-Cruise'!BJ24,M47)</f>
        <v>2.1221272983929005</v>
      </c>
      <c r="N47" s="103">
        <f ca="1">IF(AND(Energy!$F$11=$A$3,Main!$B$43=A47),'Aerodynamics-Cruise'!BK24,N47)</f>
        <v>20.303189810448327</v>
      </c>
      <c r="O47" s="103">
        <f t="shared" ca="1" si="0"/>
        <v>133.26991728575615</v>
      </c>
      <c r="P47" s="103">
        <f ca="1">IF(AND(Energy!$F$11=$A$3,Main!$B$43=A47),'Aerodynamics-Cruise'!H24,P47)</f>
        <v>8.9991863903819862</v>
      </c>
      <c r="Q47" s="103">
        <f ca="1">IF(AND(Energy!$F$11=$A$3,Main!$B$43=A47),'Aerodynamics-Cruise'!I24,Q47)</f>
        <v>7.5325691840918587</v>
      </c>
      <c r="R47" s="103">
        <f ca="1">IF(AND(Energy!$F$11=$A$3,Main!$B$43=$A47),Summary!R24,R47)</f>
        <v>25.569561787351148</v>
      </c>
      <c r="S47" s="103">
        <f ca="1">IF(AND(Energy!$F$11=$A$3,Main!$B$43=A47),'Aerodynamics-Cruise'!W24,S47)</f>
        <v>1</v>
      </c>
      <c r="T47" s="103">
        <f ca="1">IF(AND(Energy!$F$11=$A$3,Main!$B$43=A47),'Aerodynamics-Cruise'!BL24,T47)</f>
        <v>19.097419102355481</v>
      </c>
      <c r="U47" s="103">
        <f ca="1">IF(AND(Energy!$F$11=$A$3,Main!$B$43=A47),'Propulsion-Cruise'!M24,U47)</f>
        <v>42.152145235618413</v>
      </c>
      <c r="V47" s="103">
        <f ca="1">IF(AND(Energy!$F$11=$A$3,Main!$B$43=A47),Endurance!AP24,V47)</f>
        <v>394.47094641788573</v>
      </c>
      <c r="W47" s="103">
        <f ca="1">IF(AND(Energy!$F$11=$A$3,Main!$B$43=$A47),Summary!W24,W47)</f>
        <v>148.44440544461258</v>
      </c>
      <c r="X47" s="13">
        <f ca="1">IF(AND(Energy!$F$11=$A$3,Main!$B$43=A47),Energy!D24,X47)</f>
        <v>789.36601249889736</v>
      </c>
      <c r="Y47" s="102">
        <f ca="1">IF(AND(Energy!$F$11=$A$3,Main!$B$43=A47),'Aerodynamics-Cruise'!V24,Y47)</f>
        <v>139517.50325617258</v>
      </c>
      <c r="Z47" s="102">
        <f ca="1">IF(AND(Energy!$F$11=$A$3,Main!$B$43=$A47),Summary!Z24,Z47)</f>
        <v>102475.50531068337</v>
      </c>
      <c r="AA47" s="102">
        <f ca="1">IF(AND(Energy!$F$11=$A$3,Main!$B$43=$A47),Summary!AA24,AA47)</f>
        <v>396413.77177589998</v>
      </c>
      <c r="AB47" s="103">
        <f ca="1">IF(AND(Energy!$F$11=$A$3,Main!$B$43=$A47),Summary!AB24,AB47)</f>
        <v>3.3217867205486376</v>
      </c>
      <c r="AC47" s="103">
        <f ca="1">IF(AND(Energy!$F$11=$A$3,Main!$B$43=$A47),Summary!AC24,AC47)</f>
        <v>3.522737937224123</v>
      </c>
      <c r="AD47" s="103">
        <f ca="1">IF(AND(Energy!$F$11=$A$3,Main!$B$43=$A47),Summary!AD24,AD47)</f>
        <v>0.39422228031626705</v>
      </c>
      <c r="AE47" s="103">
        <f ca="1">IF(AND(Energy!$F$11=$A$3,Main!$B$43=$A47),Summary!AE24,AE47)</f>
        <v>0.97134502923976618</v>
      </c>
      <c r="AF47" s="103">
        <f ca="1">IF(AND(Energy!$F$11=$A$3,Main!$B$43=$A47),Summary!AF24,AF47)</f>
        <v>16.255980861244019</v>
      </c>
      <c r="AG47" s="103">
        <f ca="1">IF(AND(Energy!$F$11=$A$3,Main!$B$43=$A47),Summary!AG24,AG47)</f>
        <v>9.5347969038250273</v>
      </c>
      <c r="AH47" s="103">
        <f ca="1">IF(AND(Energy!$F$11=$A$3,Main!$B$43=$A47),Summary!AH24,AH47)</f>
        <v>47</v>
      </c>
      <c r="AI47" s="103">
        <f ca="1">IF(AND(Energy!$F$11=$A$3,Main!$B$43=$A47),Summary!AI24,AI47)</f>
        <v>2.7992139036758248</v>
      </c>
      <c r="AJ47" s="103">
        <f ca="1">IF(AND(Energy!$F$11=$A$3,Main!$B$43=$A47),Summary!AJ24,AJ47)</f>
        <v>0.33317981872460817</v>
      </c>
      <c r="AK47" s="103">
        <f ca="1">IF(AND(Energy!$F$11=$A$3,Main!$B$43=$A47),Summary!AK24,AK47)</f>
        <v>0.01</v>
      </c>
      <c r="AL47" s="103">
        <f ca="1">IF(AND(Energy!$F$11=$A$3,Main!$B$43=$A47),Summary!AL24,AL47)</f>
        <v>-0.31490879981883424</v>
      </c>
      <c r="AM47" s="103">
        <f ca="1">IF(AND(Energy!$F$11=$A$3,Main!$B$43=$A47),Summary!AM24,AM47)</f>
        <v>0.34375</v>
      </c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</row>
    <row r="48" spans="1:55">
      <c r="A48">
        <f t="shared" si="3"/>
        <v>3</v>
      </c>
      <c r="D48" s="1">
        <f ca="1">IF(AND(Energy!$F$11=$A$3,Main!$B$43=A48),Main!C25,D48)</f>
        <v>4.1315789473684212</v>
      </c>
      <c r="E48" s="103">
        <f ca="1">IF(AND(Energy!$F$11=$A$3,Main!$B$43=A48),Main!B25,E48)</f>
        <v>0.24444444444444446</v>
      </c>
      <c r="F48" s="103">
        <f ca="1">IF(Main!$D$6=1,U48,IF(Main!$D$6=2,N48,IF(Main!$D$6=3,K48,IF(Main!$D$6=4,V48,J48))))</f>
        <v>386.2246546241438</v>
      </c>
      <c r="G48" s="103">
        <f ca="1">IF(AND(Energy!$F$11=$A$3,Main!$B$43=A48),Weight!H25,G48)</f>
        <v>10</v>
      </c>
      <c r="H48" s="103">
        <f ca="1">IF(AND(Energy!$F$11=$A$3,Main!$B$43=A48),Weight!U25,H48)</f>
        <v>10.975276015517274</v>
      </c>
      <c r="I48" s="103">
        <f ca="1">IF(AND(Energy!$F$11=$A$3,Main!$B$43=A48),Weight!V25,I48)</f>
        <v>32.931651369851984</v>
      </c>
      <c r="J48" s="103">
        <f ca="1">IF(AND(Energy!$F$11=$A$3,Main!$B$43=A48),Weight!I25,J48)</f>
        <v>11.896017079334712</v>
      </c>
      <c r="K48" s="103">
        <f ca="1">IF(AND(Energy!$F$11=$A$3,Main!$B$43=A48),Weight!W25,K48)</f>
        <v>42.915873020923691</v>
      </c>
      <c r="L48" s="103">
        <f ca="1">IF(AND(Energy!$F$11=$A$3,Main!$B$43=A48),'Aerodynamics-Cruise'!BI25,L48)</f>
        <v>42.94234909522909</v>
      </c>
      <c r="M48" s="103">
        <f ca="1">IF(AND(Energy!$F$11=$A$3,Main!$B$43=A48),'Aerodynamics-Cruise'!BJ25,M48)</f>
        <v>2.1034290951752244</v>
      </c>
      <c r="N48" s="103">
        <f ca="1">IF(AND(Energy!$F$11=$A$3,Main!$B$43=A48),'Aerodynamics-Cruise'!BK25,N48)</f>
        <v>20.41540130529183</v>
      </c>
      <c r="O48" s="103">
        <f t="shared" ca="1" si="0"/>
        <v>133.78296606489857</v>
      </c>
      <c r="P48" s="103">
        <f ca="1">IF(AND(Energy!$F$11=$A$3,Main!$B$43=A48),'Aerodynamics-Cruise'!H25,P48)</f>
        <v>8.810786511744114</v>
      </c>
      <c r="Q48" s="103">
        <f ca="1">IF(AND(Energy!$F$11=$A$3,Main!$B$43=A48),'Aerodynamics-Cruise'!I25,Q48)</f>
        <v>7.3759969009534858</v>
      </c>
      <c r="R48" s="103">
        <f ca="1">IF(AND(Energy!$F$11=$A$3,Main!$B$43=$A48),Summary!R25,R48)</f>
        <v>25.312423385125992</v>
      </c>
      <c r="S48" s="103">
        <f ca="1">IF(AND(Energy!$F$11=$A$3,Main!$B$43=A48),'Aerodynamics-Cruise'!W25,S48)</f>
        <v>1</v>
      </c>
      <c r="T48" s="103">
        <f ca="1">IF(AND(Energy!$F$11=$A$3,Main!$B$43=A48),'Aerodynamics-Cruise'!BL25,T48)</f>
        <v>18.532864700179992</v>
      </c>
      <c r="U48" s="103">
        <f ca="1">IF(AND(Energy!$F$11=$A$3,Main!$B$43=A48),'Propulsion-Cruise'!M25,U48)</f>
        <v>41.149567887463533</v>
      </c>
      <c r="V48" s="103">
        <f ca="1">IF(AND(Energy!$F$11=$A$3,Main!$B$43=A48),Endurance!AP25,V48)</f>
        <v>386.2246546241438</v>
      </c>
      <c r="W48" s="103">
        <f ca="1">IF(AND(Energy!$F$11=$A$3,Main!$B$43=$A48),Summary!W25,W48)</f>
        <v>139.99523684247532</v>
      </c>
      <c r="X48" s="13">
        <f ca="1">IF(AND(Energy!$F$11=$A$3,Main!$B$43=A48),Energy!D25,X48)</f>
        <v>774.06804998747714</v>
      </c>
      <c r="Y48" s="102">
        <f ca="1">IF(AND(Energy!$F$11=$A$3,Main!$B$43=A48),'Aerodynamics-Cruise'!V25,Y48)</f>
        <v>136596.67469000191</v>
      </c>
      <c r="Z48" s="102">
        <f ca="1">IF(AND(Energy!$F$11=$A$3,Main!$B$43=$A48),Summary!Z25,Z48)</f>
        <v>100345.33968522897</v>
      </c>
      <c r="AA48" s="102">
        <f ca="1">IF(AND(Energy!$F$11=$A$3,Main!$B$43=$A48),Summary!AA25,AA48)</f>
        <v>392427.2660726647</v>
      </c>
      <c r="AB48" s="103">
        <f ca="1">IF(AND(Energy!$F$11=$A$3,Main!$B$43=$A48),Summary!AB25,AB48)</f>
        <v>3.169977669358484</v>
      </c>
      <c r="AC48" s="103">
        <f ca="1">IF(AND(Energy!$F$11=$A$3,Main!$B$43=$A48),Summary!AC25,AC48)</f>
        <v>3.480767617636813</v>
      </c>
      <c r="AD48" s="103">
        <f ca="1">IF(AND(Energy!$F$11=$A$3,Main!$B$43=$A48),Summary!AD25,AD48)</f>
        <v>0.38952778980117642</v>
      </c>
      <c r="AE48" s="103">
        <f ca="1">IF(AND(Energy!$F$11=$A$3,Main!$B$43=$A48),Summary!AE25,AE48)</f>
        <v>1.0099415204678364</v>
      </c>
      <c r="AF48" s="103">
        <f ca="1">IF(AND(Energy!$F$11=$A$3,Main!$B$43=$A48),Summary!AF25,AF48)</f>
        <v>16.901913875598087</v>
      </c>
      <c r="AG48" s="103">
        <f ca="1">IF(AND(Energy!$F$11=$A$3,Main!$B$43=$A48),Summary!AG25,AG48)</f>
        <v>9.4183332086728111</v>
      </c>
      <c r="AH48" s="103">
        <f ca="1">IF(AND(Energy!$F$11=$A$3,Main!$B$43=$A48),Summary!AH25,AH48)</f>
        <v>47</v>
      </c>
      <c r="AI48" s="103">
        <f ca="1">IF(AND(Energy!$F$11=$A$3,Main!$B$43=$A48),Summary!AI25,AI48)</f>
        <v>2.7982386101239225</v>
      </c>
      <c r="AJ48" s="103">
        <f ca="1">IF(AND(Energy!$F$11=$A$3,Main!$B$43=$A48),Summary!AJ25,AJ48)</f>
        <v>0.33467622673355679</v>
      </c>
      <c r="AK48" s="103">
        <f ca="1">IF(AND(Energy!$F$11=$A$3,Main!$B$43=$A48),Summary!AK25,AK48)</f>
        <v>0.01</v>
      </c>
      <c r="AL48" s="103">
        <f ca="1">IF(AND(Energy!$F$11=$A$3,Main!$B$43=$A48),Summary!AL25,AL48)</f>
        <v>-0.31350703009031516</v>
      </c>
      <c r="AM48" s="103">
        <f ca="1">IF(AND(Energy!$F$11=$A$3,Main!$B$43=$A48),Summary!AM25,AM48)</f>
        <v>0.34375</v>
      </c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</row>
    <row r="49" spans="1:54">
      <c r="A49">
        <f t="shared" si="3"/>
        <v>3</v>
      </c>
      <c r="B49" s="100"/>
      <c r="C49" s="100"/>
      <c r="D49" s="1">
        <f ca="1">IF(AND(Energy!$F$11=$A$3,Main!$B$43=A49),Main!C26,D49)</f>
        <v>4.2894736842105265</v>
      </c>
      <c r="E49" s="103">
        <f ca="1">IF(AND(Energy!$F$11=$A$3,Main!$B$43=A49),Main!B26,E49)</f>
        <v>0.24444444444444446</v>
      </c>
      <c r="F49" s="103">
        <f ca="1">IF(Main!$D$6=1,U49,IF(Main!$D$6=2,N49,IF(Main!$D$6=3,K49,IF(Main!$D$6=4,V49,J49))))</f>
        <v>379.87576913283448</v>
      </c>
      <c r="G49" s="103">
        <f ca="1">IF(AND(Energy!$F$11=$A$3,Main!$B$43=A49),Weight!H26,G49)</f>
        <v>10</v>
      </c>
      <c r="H49" s="103">
        <f ca="1">IF(AND(Energy!$F$11=$A$3,Main!$B$43=A49),Weight!U26,H49)</f>
        <v>11.304274864970399</v>
      </c>
      <c r="I49" s="103">
        <f ca="1">IF(AND(Energy!$F$11=$A$3,Main!$B$43=A49),Weight!V26,I49)</f>
        <v>32.910395934199073</v>
      </c>
      <c r="J49" s="103">
        <f ca="1">IF(AND(Energy!$F$11=$A$3,Main!$B$43=A49),Weight!I26,J49)</f>
        <v>11.545762794228676</v>
      </c>
      <c r="K49" s="103">
        <f ca="1">IF(AND(Energy!$F$11=$A$3,Main!$B$43=A49),Weight!W26,K49)</f>
        <v>42.895453102977136</v>
      </c>
      <c r="L49" s="103">
        <f ca="1">IF(AND(Energy!$F$11=$A$3,Main!$B$43=A49),'Aerodynamics-Cruise'!BI26,L49)</f>
        <v>42.920520439749573</v>
      </c>
      <c r="M49" s="103">
        <f ca="1">IF(AND(Energy!$F$11=$A$3,Main!$B$43=A49),'Aerodynamics-Cruise'!BJ26,M49)</f>
        <v>2.0915872847870536</v>
      </c>
      <c r="N49" s="103">
        <f ca="1">IF(AND(Energy!$F$11=$A$3,Main!$B$43=A49),'Aerodynamics-Cruise'!BK26,N49)</f>
        <v>20.520549513724621</v>
      </c>
      <c r="O49" s="103">
        <f t="shared" ca="1" si="0"/>
        <v>134.43782454416487</v>
      </c>
      <c r="P49" s="103">
        <f ca="1">IF(AND(Energy!$F$11=$A$3,Main!$B$43=A49),'Aerodynamics-Cruise'!H26,P49)</f>
        <v>8.6448661041432935</v>
      </c>
      <c r="Q49" s="103">
        <f ca="1">IF(AND(Energy!$F$11=$A$3,Main!$B$43=A49),'Aerodynamics-Cruise'!I26,Q49)</f>
        <v>7.2380864501917985</v>
      </c>
      <c r="R49" s="103">
        <f ca="1">IF(AND(Energy!$F$11=$A$3,Main!$B$43=$A49),Summary!R26,R49)</f>
        <v>25.064944931485837</v>
      </c>
      <c r="S49" s="103">
        <f ca="1">IF(AND(Energy!$F$11=$A$3,Main!$B$43=A49),'Aerodynamics-Cruise'!W26,S49)</f>
        <v>1</v>
      </c>
      <c r="T49" s="103">
        <f ca="1">IF(AND(Energy!$F$11=$A$3,Main!$B$43=A49),'Aerodynamics-Cruise'!BL26,T49)</f>
        <v>18.081492022112705</v>
      </c>
      <c r="U49" s="103">
        <f ca="1">IF(AND(Energy!$F$11=$A$3,Main!$B$43=A49),'Propulsion-Cruise'!M26,U49)</f>
        <v>40.358002732798994</v>
      </c>
      <c r="V49" s="103">
        <f ca="1">IF(AND(Energy!$F$11=$A$3,Main!$B$43=A49),Endurance!AP26,V49)</f>
        <v>379.87576913283448</v>
      </c>
      <c r="W49" s="103">
        <f ca="1">IF(AND(Energy!$F$11=$A$3,Main!$B$43=$A49),Summary!W26,W49)</f>
        <v>133.46009104197111</v>
      </c>
      <c r="X49" s="13">
        <f ca="1">IF(AND(Energy!$F$11=$A$3,Main!$B$43=A49),Energy!D26,X49)</f>
        <v>762.23070834489226</v>
      </c>
      <c r="Y49" s="102">
        <f ca="1">IF(AND(Energy!$F$11=$A$3,Main!$B$43=A49),'Aerodynamics-Cruise'!V26,Y49)</f>
        <v>134024.35314852864</v>
      </c>
      <c r="Z49" s="102">
        <f ca="1">IF(AND(Energy!$F$11=$A$3,Main!$B$43=$A49),Summary!Z26,Z49)</f>
        <v>98469.070104663275</v>
      </c>
      <c r="AA49" s="102">
        <f ca="1">IF(AND(Energy!$F$11=$A$3,Main!$B$43=$A49),Summary!AA26,AA49)</f>
        <v>388590.52189782745</v>
      </c>
      <c r="AB49" s="103">
        <f ca="1">IF(AND(Energy!$F$11=$A$3,Main!$B$43=$A49),Summary!AB26,AB49)</f>
        <v>3.0472588896870549</v>
      </c>
      <c r="AC49" s="103">
        <f ca="1">IF(AND(Energy!$F$11=$A$3,Main!$B$43=$A49),Summary!AC26,AC49)</f>
        <v>3.4335296965864823</v>
      </c>
      <c r="AD49" s="103">
        <f ca="1">IF(AND(Energy!$F$11=$A$3,Main!$B$43=$A49),Summary!AD26,AD49)</f>
        <v>0.38566782758155577</v>
      </c>
      <c r="AE49" s="103">
        <f ca="1">IF(AND(Energy!$F$11=$A$3,Main!$B$43=$A49),Summary!AE26,AE49)</f>
        <v>1.0485380116959067</v>
      </c>
      <c r="AF49" s="103">
        <f ca="1">IF(AND(Energy!$F$11=$A$3,Main!$B$43=$A49),Summary!AF26,AF49)</f>
        <v>17.547846889952151</v>
      </c>
      <c r="AG49" s="103">
        <f ca="1">IF(AND(Energy!$F$11=$A$3,Main!$B$43=$A49),Summary!AG26,AG49)</f>
        <v>9.3280250787167382</v>
      </c>
      <c r="AH49" s="103">
        <f ca="1">IF(AND(Energy!$F$11=$A$3,Main!$B$43=$A49),Summary!AH26,AH49)</f>
        <v>47</v>
      </c>
      <c r="AI49" s="103">
        <f ca="1">IF(AND(Energy!$F$11=$A$3,Main!$B$43=$A49),Summary!AI26,AI49)</f>
        <v>2.7973528134012335</v>
      </c>
      <c r="AJ49" s="103">
        <f ca="1">IF(AND(Energy!$F$11=$A$3,Main!$B$43=$A49),Summary!AJ26,AJ49)</f>
        <v>0.33600280943041921</v>
      </c>
      <c r="AK49" s="103">
        <f ca="1">IF(AND(Energy!$F$11=$A$3,Main!$B$43=$A49),Summary!AK26,AK49)</f>
        <v>0.01</v>
      </c>
      <c r="AL49" s="103">
        <f ca="1">IF(AND(Energy!$F$11=$A$3,Main!$B$43=$A49),Summary!AL26,AL49)</f>
        <v>-0.31227498327568431</v>
      </c>
      <c r="AM49" s="103">
        <f ca="1">IF(AND(Energy!$F$11=$A$3,Main!$B$43=$A49),Summary!AM26,AM49)</f>
        <v>0.34375</v>
      </c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</row>
    <row r="50" spans="1:54">
      <c r="A50">
        <f t="shared" si="3"/>
        <v>3</v>
      </c>
      <c r="B50" s="100"/>
      <c r="C50" s="100"/>
      <c r="D50" s="1">
        <f ca="1">IF(AND(Energy!$F$11=$A$3,Main!$B$43=A50),Main!C27,D50)</f>
        <v>4.4473684210526319</v>
      </c>
      <c r="E50" s="103">
        <f ca="1">IF(AND(Energy!$F$11=$A$3,Main!$B$43=A50),Main!B27,E50)</f>
        <v>0.24444444444444446</v>
      </c>
      <c r="F50" s="103">
        <f ca="1">IF(Main!$D$6=1,U50,IF(Main!$D$6=2,N50,IF(Main!$D$6=3,K50,IF(Main!$D$6=4,V50,J50))))</f>
        <v>375.08807081198933</v>
      </c>
      <c r="G50" s="103">
        <f ca="1">IF(AND(Energy!$F$11=$A$3,Main!$B$43=A50),Weight!H27,G50)</f>
        <v>10</v>
      </c>
      <c r="H50" s="103">
        <f ca="1">IF(AND(Energy!$F$11=$A$3,Main!$B$43=A50),Weight!U27,H50)</f>
        <v>11.65144293656077</v>
      </c>
      <c r="I50" s="103">
        <f ca="1">IF(AND(Energy!$F$11=$A$3,Main!$B$43=A50),Weight!V27,I50)</f>
        <v>32.991495485922627</v>
      </c>
      <c r="J50" s="103">
        <f ca="1">IF(AND(Energy!$F$11=$A$3,Main!$B$43=A50),Weight!I27,J50)</f>
        <v>11.279694274361859</v>
      </c>
      <c r="K50" s="103">
        <f ca="1">IF(AND(Energy!$F$11=$A$3,Main!$B$43=A50),Weight!W27,K50)</f>
        <v>42.977287955867311</v>
      </c>
      <c r="L50" s="103">
        <f ca="1">IF(AND(Energy!$F$11=$A$3,Main!$B$43=A50),'Aerodynamics-Cruise'!BI27,L50)</f>
        <v>43.001110836879114</v>
      </c>
      <c r="M50" s="103">
        <f ca="1">IF(AND(Energy!$F$11=$A$3,Main!$B$43=A50),'Aerodynamics-Cruise'!BJ27,M50)</f>
        <v>2.0855010910566083</v>
      </c>
      <c r="N50" s="103">
        <f ca="1">IF(AND(Energy!$F$11=$A$3,Main!$B$43=A50),'Aerodynamics-Cruise'!BK27,N50)</f>
        <v>20.619078561638549</v>
      </c>
      <c r="O50" s="103">
        <f t="shared" ca="1" si="0"/>
        <v>135.21008653105338</v>
      </c>
      <c r="P50" s="103">
        <f ca="1">IF(AND(Energy!$F$11=$A$3,Main!$B$43=A50),'Aerodynamics-Cruise'!H27,P50)</f>
        <v>8.4979516565500877</v>
      </c>
      <c r="Q50" s="103">
        <f ca="1">IF(AND(Energy!$F$11=$A$3,Main!$B$43=A50),'Aerodynamics-Cruise'!I27,Q50)</f>
        <v>7.1159574585883174</v>
      </c>
      <c r="R50" s="103">
        <f ca="1">IF(AND(Energy!$F$11=$A$3,Main!$B$43=$A50),Summary!R27,R50)</f>
        <v>24.826459048342631</v>
      </c>
      <c r="S50" s="103">
        <f ca="1">IF(AND(Energy!$F$11=$A$3,Main!$B$43=A50),'Aerodynamics-Cruise'!W27,S50)</f>
        <v>1</v>
      </c>
      <c r="T50" s="103">
        <f ca="1">IF(AND(Energy!$F$11=$A$3,Main!$B$43=A50),'Aerodynamics-Cruise'!BL27,T50)</f>
        <v>17.72248745148152</v>
      </c>
      <c r="U50" s="103">
        <f ca="1">IF(AND(Energy!$F$11=$A$3,Main!$B$43=A50),'Propulsion-Cruise'!M27,U50)</f>
        <v>39.739621888719427</v>
      </c>
      <c r="V50" s="103">
        <f ca="1">IF(AND(Energy!$F$11=$A$3,Main!$B$43=A50),Endurance!AP27,V50)</f>
        <v>375.08807081198933</v>
      </c>
      <c r="W50" s="103">
        <f ca="1">IF(AND(Energy!$F$11=$A$3,Main!$B$43=$A50),Summary!W27,W50)</f>
        <v>128.5010738570906</v>
      </c>
      <c r="X50" s="13">
        <f ca="1">IF(AND(Energy!$F$11=$A$3,Main!$B$43=A50),Energy!D27,X50)</f>
        <v>753.2432248952689</v>
      </c>
      <c r="Y50" s="102">
        <f ca="1">IF(AND(Energy!$F$11=$A$3,Main!$B$43=A50),'Aerodynamics-Cruise'!V27,Y50)</f>
        <v>131746.68758729851</v>
      </c>
      <c r="Z50" s="102">
        <f ca="1">IF(AND(Energy!$F$11=$A$3,Main!$B$43=$A50),Summary!Z27,Z50)</f>
        <v>96807.508509149484</v>
      </c>
      <c r="AA50" s="102">
        <f ca="1">IF(AND(Energy!$F$11=$A$3,Main!$B$43=$A50),Summary!AA27,AA50)</f>
        <v>384893.19265775918</v>
      </c>
      <c r="AB50" s="103">
        <f ca="1">IF(AND(Energy!$F$11=$A$3,Main!$B$43=$A50),Summary!AB27,AB50)</f>
        <v>2.9477197568131492</v>
      </c>
      <c r="AC50" s="103">
        <f ca="1">IF(AND(Energy!$F$11=$A$3,Main!$B$43=$A50),Summary!AC27,AC50)</f>
        <v>3.3823898664083489</v>
      </c>
      <c r="AD50" s="103">
        <f ca="1">IF(AND(Energy!$F$11=$A$3,Main!$B$43=$A50),Summary!AD27,AD50)</f>
        <v>0.38251276930221173</v>
      </c>
      <c r="AE50" s="103">
        <f ca="1">IF(AND(Energy!$F$11=$A$3,Main!$B$43=$A50),Summary!AE27,AE50)</f>
        <v>1.0871345029239767</v>
      </c>
      <c r="AF50" s="103">
        <f ca="1">IF(AND(Energy!$F$11=$A$3,Main!$B$43=$A50),Summary!AF27,AF50)</f>
        <v>18.193779904306218</v>
      </c>
      <c r="AG50" s="103">
        <f ca="1">IF(AND(Energy!$F$11=$A$3,Main!$B$43=$A50),Summary!AG27,AG50)</f>
        <v>9.2595212912155773</v>
      </c>
      <c r="AH50" s="103">
        <f ca="1">IF(AND(Energy!$F$11=$A$3,Main!$B$43=$A50),Summary!AH27,AH50)</f>
        <v>47</v>
      </c>
      <c r="AI50" s="103">
        <f ca="1">IF(AND(Energy!$F$11=$A$3,Main!$B$43=$A50),Summary!AI27,AI50)</f>
        <v>2.7965465878546287</v>
      </c>
      <c r="AJ50" s="103">
        <f ca="1">IF(AND(Energy!$F$11=$A$3,Main!$B$43=$A50),Summary!AJ27,AJ50)</f>
        <v>0.33717755276764971</v>
      </c>
      <c r="AK50" s="103">
        <f ca="1">IF(AND(Energy!$F$11=$A$3,Main!$B$43=$A50),Summary!AK27,AK50)</f>
        <v>0.01</v>
      </c>
      <c r="AL50" s="103">
        <f ca="1">IF(AND(Energy!$F$11=$A$3,Main!$B$43=$A50),Summary!AL27,AL50)</f>
        <v>-0.31119226911320202</v>
      </c>
      <c r="AM50" s="103">
        <f ca="1">IF(AND(Energy!$F$11=$A$3,Main!$B$43=$A50),Summary!AM27,AM50)</f>
        <v>0.34375</v>
      </c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</row>
    <row r="51" spans="1:54">
      <c r="A51">
        <f t="shared" si="3"/>
        <v>3</v>
      </c>
      <c r="B51" s="100"/>
      <c r="C51" s="100"/>
      <c r="D51" s="1">
        <f ca="1">IF(AND(Energy!$F$11=$A$3,Main!$B$43=A51),Main!C28,D51)</f>
        <v>4.6052631578947372</v>
      </c>
      <c r="E51" s="103">
        <f ca="1">IF(AND(Energy!$F$11=$A$3,Main!$B$43=A51),Main!B28,E51)</f>
        <v>0.24444444444444446</v>
      </c>
      <c r="F51" s="103">
        <f ca="1">IF(Main!$D$6=1,U51,IF(Main!$D$6=2,N51,IF(Main!$D$6=3,K51,IF(Main!$D$6=4,V51,J51))))</f>
        <v>371.61093078009213</v>
      </c>
      <c r="G51" s="103">
        <f ca="1">IF(AND(Energy!$F$11=$A$3,Main!$B$43=A51),Weight!H28,G51)</f>
        <v>10</v>
      </c>
      <c r="H51" s="103">
        <f ca="1">IF(AND(Energy!$F$11=$A$3,Main!$B$43=A51),Weight!U28,H51)</f>
        <v>12.015837192521161</v>
      </c>
      <c r="I51" s="103">
        <f ca="1">IF(AND(Energy!$F$11=$A$3,Main!$B$43=A51),Weight!V28,I51)</f>
        <v>33.160549668390324</v>
      </c>
      <c r="J51" s="103">
        <f ca="1">IF(AND(Energy!$F$11=$A$3,Main!$B$43=A51),Weight!I28,J51)</f>
        <v>11.084354200869162</v>
      </c>
      <c r="K51" s="103">
        <f ca="1">IF(AND(Energy!$F$11=$A$3,Main!$B$43=A51),Weight!W28,K51)</f>
        <v>43.146988466768946</v>
      </c>
      <c r="L51" s="103">
        <f ca="1">IF(AND(Energy!$F$11=$A$3,Main!$B$43=A51),'Aerodynamics-Cruise'!BI28,L51)</f>
        <v>43.169714729696643</v>
      </c>
      <c r="M51" s="103">
        <f ca="1">IF(AND(Energy!$F$11=$A$3,Main!$B$43=A51),'Aerodynamics-Cruise'!BJ28,M51)</f>
        <v>2.0843407461290697</v>
      </c>
      <c r="N51" s="103">
        <f ca="1">IF(AND(Energy!$F$11=$A$3,Main!$B$43=A51),'Aerodynamics-Cruise'!BK28,N51)</f>
        <v>20.711447880999888</v>
      </c>
      <c r="O51" s="103">
        <f t="shared" ca="1" si="0"/>
        <v>136.08180140941496</v>
      </c>
      <c r="P51" s="103">
        <f ca="1">IF(AND(Energy!$F$11=$A$3,Main!$B$43=A51),'Aerodynamics-Cruise'!H28,P51)</f>
        <v>8.3673263331821559</v>
      </c>
      <c r="Q51" s="103">
        <f ca="1">IF(AND(Energy!$F$11=$A$3,Main!$B$43=A51),'Aerodynamics-Cruise'!I28,Q51)</f>
        <v>7.0073566606350601</v>
      </c>
      <c r="R51" s="103">
        <f ca="1">IF(AND(Energy!$F$11=$A$3,Main!$B$43=$A51),Summary!R28,R51)</f>
        <v>24.596381019787941</v>
      </c>
      <c r="S51" s="103">
        <f ca="1">IF(AND(Energy!$F$11=$A$3,Main!$B$43=A51),'Aerodynamics-Cruise'!W28,S51)</f>
        <v>1</v>
      </c>
      <c r="T51" s="103">
        <f ca="1">IF(AND(Energy!$F$11=$A$3,Main!$B$43=A51),'Aerodynamics-Cruise'!BL28,T51)</f>
        <v>17.440359212410307</v>
      </c>
      <c r="U51" s="103">
        <f ca="1">IF(AND(Energy!$F$11=$A$3,Main!$B$43=A51),'Propulsion-Cruise'!M28,U51)</f>
        <v>39.266214100667902</v>
      </c>
      <c r="V51" s="103">
        <f ca="1">IF(AND(Energy!$F$11=$A$3,Main!$B$43=A51),Endurance!AP28,V51)</f>
        <v>371.61093078009213</v>
      </c>
      <c r="W51" s="103">
        <f ca="1">IF(AND(Energy!$F$11=$A$3,Main!$B$43=$A51),Summary!W28,W51)</f>
        <v>124.8661537070297</v>
      </c>
      <c r="X51" s="13">
        <f ca="1">IF(AND(Energy!$F$11=$A$3,Main!$B$43=A51),Energy!D28,X51)</f>
        <v>746.64996365574211</v>
      </c>
      <c r="Y51" s="102">
        <f ca="1">IF(AND(Energy!$F$11=$A$3,Main!$B$43=A51),'Aerodynamics-Cruise'!V28,Y51)</f>
        <v>129721.55796026891</v>
      </c>
      <c r="Z51" s="102">
        <f ca="1">IF(AND(Energy!$F$11=$A$3,Main!$B$43=$A51),Summary!Z28,Z51)</f>
        <v>95329.998798836008</v>
      </c>
      <c r="AA51" s="102">
        <f ca="1">IF(AND(Energy!$F$11=$A$3,Main!$B$43=$A51),Summary!AA28,AA51)</f>
        <v>381326.21329922962</v>
      </c>
      <c r="AB51" s="103">
        <f ca="1">IF(AND(Energy!$F$11=$A$3,Main!$B$43=$A51),Summary!AB28,AB51)</f>
        <v>2.8670469280668573</v>
      </c>
      <c r="AC51" s="103">
        <f ca="1">IF(AND(Energy!$F$11=$A$3,Main!$B$43=$A51),Summary!AC28,AC51)</f>
        <v>3.3283811503325893</v>
      </c>
      <c r="AD51" s="103">
        <f ca="1">IF(AND(Energy!$F$11=$A$3,Main!$B$43=$A51),Summary!AD28,AD51)</f>
        <v>0.37996219440304807</v>
      </c>
      <c r="AE51" s="103">
        <f ca="1">IF(AND(Energy!$F$11=$A$3,Main!$B$43=$A51),Summary!AE28,AE51)</f>
        <v>1.125730994152047</v>
      </c>
      <c r="AF51" s="103">
        <f ca="1">IF(AND(Energy!$F$11=$A$3,Main!$B$43=$A51),Summary!AF28,AF51)</f>
        <v>18.839712918660286</v>
      </c>
      <c r="AG51" s="103">
        <f ca="1">IF(AND(Energy!$F$11=$A$3,Main!$B$43=$A51),Summary!AG28,AG51)</f>
        <v>9.2095206861217509</v>
      </c>
      <c r="AH51" s="103">
        <f ca="1">IF(AND(Energy!$F$11=$A$3,Main!$B$43=$A51),Summary!AH28,AH51)</f>
        <v>47</v>
      </c>
      <c r="AI51" s="103">
        <f ca="1">IF(AND(Energy!$F$11=$A$3,Main!$B$43=$A51),Summary!AI28,AI51)</f>
        <v>2.7958113518057157</v>
      </c>
      <c r="AJ51" s="103">
        <f ca="1">IF(AND(Energy!$F$11=$A$3,Main!$B$43=$A51),Summary!AJ28,AJ51)</f>
        <v>0.33821526598146634</v>
      </c>
      <c r="AK51" s="103">
        <f ca="1">IF(AND(Energy!$F$11=$A$3,Main!$B$43=$A51),Summary!AK28,AK51)</f>
        <v>0.01</v>
      </c>
      <c r="AL51" s="103">
        <f ca="1">IF(AND(Energy!$F$11=$A$3,Main!$B$43=$A51),Summary!AL28,AL51)</f>
        <v>-0.31024234673864687</v>
      </c>
      <c r="AM51" s="103">
        <f ca="1">IF(AND(Energy!$F$11=$A$3,Main!$B$43=$A51),Summary!AM28,AM51)</f>
        <v>0.34375</v>
      </c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</row>
    <row r="52" spans="1:54">
      <c r="A52">
        <f t="shared" si="3"/>
        <v>3</v>
      </c>
      <c r="B52" s="100"/>
      <c r="C52" s="100"/>
      <c r="D52" s="1">
        <f ca="1">IF(AND(Energy!$F$11=$A$3,Main!$B$43=A52),Main!C29,D52)</f>
        <v>4.7631578947368425</v>
      </c>
      <c r="E52" s="103">
        <f ca="1">IF(AND(Energy!$F$11=$A$3,Main!$B$43=A52),Main!B29,E52)</f>
        <v>0.24444444444444446</v>
      </c>
      <c r="F52" s="103">
        <f ca="1">IF(Main!$D$6=1,U52,IF(Main!$D$6=2,N52,IF(Main!$D$6=3,K52,IF(Main!$D$6=4,V52,J52))))</f>
        <v>369.25418593829056</v>
      </c>
      <c r="G52" s="103">
        <f ca="1">IF(AND(Energy!$F$11=$A$3,Main!$B$43=A52),Weight!H29,G52)</f>
        <v>10</v>
      </c>
      <c r="H52" s="103">
        <f ca="1">IF(AND(Energy!$F$11=$A$3,Main!$B$43=A52),Weight!U29,H52)</f>
        <v>12.396788582531777</v>
      </c>
      <c r="I52" s="103">
        <f ca="1">IF(AND(Energy!$F$11=$A$3,Main!$B$43=A52),Weight!V29,I52)</f>
        <v>33.406669919814561</v>
      </c>
      <c r="J52" s="103">
        <f ca="1">IF(AND(Energy!$F$11=$A$3,Main!$B$43=A52),Weight!I29,J52)</f>
        <v>10.949523062282786</v>
      </c>
      <c r="K52" s="103">
        <f ca="1">IF(AND(Energy!$F$11=$A$3,Main!$B$43=A52),Weight!W29,K52)</f>
        <v>43.39367565647018</v>
      </c>
      <c r="L52" s="103">
        <f ca="1">IF(AND(Energy!$F$11=$A$3,Main!$B$43=A52),'Aerodynamics-Cruise'!BI29,L52)</f>
        <v>43.415438492972463</v>
      </c>
      <c r="M52" s="103">
        <f ca="1">IF(AND(Energy!$F$11=$A$3,Main!$B$43=A52),'Aerodynamics-Cruise'!BJ29,M52)</f>
        <v>2.0874704616336603</v>
      </c>
      <c r="N52" s="103">
        <f ca="1">IF(AND(Energy!$F$11=$A$3,Main!$B$43=A52),'Aerodynamics-Cruise'!BK29,N52)</f>
        <v>20.79810914258179</v>
      </c>
      <c r="O52" s="103">
        <f t="shared" ca="1" si="0"/>
        <v>137.03955786859788</v>
      </c>
      <c r="P52" s="103">
        <f ca="1">IF(AND(Energy!$F$11=$A$3,Main!$B$43=A52),'Aerodynamics-Cruise'!H29,P52)</f>
        <v>8.2508270470281317</v>
      </c>
      <c r="Q52" s="103">
        <f ca="1">IF(AND(Energy!$F$11=$A$3,Main!$B$43=A52),'Aerodynamics-Cruise'!I29,Q52)</f>
        <v>6.9104897780497465</v>
      </c>
      <c r="R52" s="103">
        <f ca="1">IF(AND(Energy!$F$11=$A$3,Main!$B$43=$A52),Summary!R29,R52)</f>
        <v>24.374192782634534</v>
      </c>
      <c r="S52" s="103">
        <f ca="1">IF(AND(Energy!$F$11=$A$3,Main!$B$43=A52),'Aerodynamics-Cruise'!W29,S52)</f>
        <v>1</v>
      </c>
      <c r="T52" s="103">
        <f ca="1">IF(AND(Energy!$F$11=$A$3,Main!$B$43=A52),'Aerodynamics-Cruise'!BL29,T52)</f>
        <v>17.223357744719305</v>
      </c>
      <c r="U52" s="103">
        <f ca="1">IF(AND(Energy!$F$11=$A$3,Main!$B$43=A52),'Propulsion-Cruise'!M29,U52)</f>
        <v>38.916357542072063</v>
      </c>
      <c r="V52" s="103">
        <f ca="1">IF(AND(Energy!$F$11=$A$3,Main!$B$43=A52),Endurance!AP29,V52)</f>
        <v>369.25418593829056</v>
      </c>
      <c r="W52" s="103">
        <f ca="1">IF(AND(Energy!$F$11=$A$3,Main!$B$43=$A52),Summary!W29,W52)</f>
        <v>122.36397725638807</v>
      </c>
      <c r="X52" s="13">
        <f ca="1">IF(AND(Energy!$F$11=$A$3,Main!$B$43=A52),Energy!D29,X52)</f>
        <v>742.10494984492584</v>
      </c>
      <c r="Y52" s="102">
        <f ca="1">IF(AND(Energy!$F$11=$A$3,Main!$B$43=A52),'Aerodynamics-Cruise'!V29,Y52)</f>
        <v>127915.42918037086</v>
      </c>
      <c r="Z52" s="102">
        <f ca="1">IF(AND(Energy!$F$11=$A$3,Main!$B$43=$A52),Summary!Z29,Z52)</f>
        <v>94012.129506715428</v>
      </c>
      <c r="AA52" s="102">
        <f ca="1">IF(AND(Energy!$F$11=$A$3,Main!$B$43=$A52),Summary!AA29,AA52)</f>
        <v>377881.55210922862</v>
      </c>
      <c r="AB52" s="103">
        <f ca="1">IF(AND(Energy!$F$11=$A$3,Main!$B$43=$A52),Summary!AB29,AB52)</f>
        <v>2.8020274687906719</v>
      </c>
      <c r="AC52" s="103">
        <f ca="1">IF(AND(Energy!$F$11=$A$3,Main!$B$43=$A52),Summary!AC29,AC52)</f>
        <v>3.2722942471807079</v>
      </c>
      <c r="AD52" s="103">
        <f ca="1">IF(AND(Energy!$F$11=$A$3,Main!$B$43=$A52),Summary!AD29,AD52)</f>
        <v>0.37793695105704456</v>
      </c>
      <c r="AE52" s="103">
        <f ca="1">IF(AND(Energy!$F$11=$A$3,Main!$B$43=$A52),Summary!AE29,AE52)</f>
        <v>1.1643274853801171</v>
      </c>
      <c r="AF52" s="103">
        <f ca="1">IF(AND(Energy!$F$11=$A$3,Main!$B$43=$A52),Summary!AF29,AF52)</f>
        <v>19.485645933014357</v>
      </c>
      <c r="AG52" s="103">
        <f ca="1">IF(AND(Energy!$F$11=$A$3,Main!$B$43=$A52),Summary!AG29,AG52)</f>
        <v>9.1754768802132602</v>
      </c>
      <c r="AH52" s="103">
        <f ca="1">IF(AND(Energy!$F$11=$A$3,Main!$B$43=$A52),Summary!AH29,AH52)</f>
        <v>47</v>
      </c>
      <c r="AI52" s="103">
        <f ca="1">IF(AND(Energy!$F$11=$A$3,Main!$B$43=$A52),Summary!AI29,AI52)</f>
        <v>2.7951398098722073</v>
      </c>
      <c r="AJ52" s="103">
        <f ca="1">IF(AND(Energy!$F$11=$A$3,Main!$B$43=$A52),Summary!AJ29,AJ52)</f>
        <v>0.33912828883081086</v>
      </c>
      <c r="AK52" s="103">
        <f ca="1">IF(AND(Energy!$F$11=$A$3,Main!$B$43=$A52),Summary!AK29,AK52)</f>
        <v>0.01</v>
      </c>
      <c r="AL52" s="103">
        <f ca="1">IF(AND(Energy!$F$11=$A$3,Main!$B$43=$A52),Summary!AL29,AL52)</f>
        <v>-0.30941163326753629</v>
      </c>
      <c r="AM52" s="103">
        <f ca="1">IF(AND(Energy!$F$11=$A$3,Main!$B$43=$A52),Summary!AM29,AM52)</f>
        <v>0.34375</v>
      </c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</row>
    <row r="53" spans="1:54">
      <c r="A53">
        <f t="shared" si="3"/>
        <v>3</v>
      </c>
      <c r="B53" s="100"/>
      <c r="C53" s="100"/>
      <c r="D53" s="1">
        <f ca="1">IF(AND(Energy!$F$11=$A$3,Main!$B$43=A53),Main!C30,D53)</f>
        <v>4.9210526315789478</v>
      </c>
      <c r="E53" s="103">
        <f ca="1">IF(AND(Energy!$F$11=$A$3,Main!$B$43=A53),Main!B30,E53)</f>
        <v>0.24444444444444446</v>
      </c>
      <c r="F53" s="103">
        <f ca="1">IF(Main!$D$6=1,U53,IF(Main!$D$6=2,N53,IF(Main!$D$6=3,K53,IF(Main!$D$6=4,V53,J53))))</f>
        <v>367.8787086916584</v>
      </c>
      <c r="G53" s="103">
        <f ca="1">IF(AND(Energy!$F$11=$A$3,Main!$B$43=A53),Weight!H30,G53)</f>
        <v>10</v>
      </c>
      <c r="H53" s="103">
        <f ca="1">IF(AND(Energy!$F$11=$A$3,Main!$B$43=A53),Weight!U30,H53)</f>
        <v>12.793909935199256</v>
      </c>
      <c r="I53" s="103">
        <f ca="1">IF(AND(Energy!$F$11=$A$3,Main!$B$43=A53),Weight!V30,I53)</f>
        <v>33.721994619445773</v>
      </c>
      <c r="J53" s="103">
        <f ca="1">IF(AND(Energy!$F$11=$A$3,Main!$B$43=A53),Weight!I30,J53)</f>
        <v>10.867726409246519</v>
      </c>
      <c r="K53" s="103">
        <f ca="1">IF(AND(Energy!$F$11=$A$3,Main!$B$43=A53),Weight!W30,K53)</f>
        <v>43.709491960802247</v>
      </c>
      <c r="L53" s="103">
        <f ca="1">IF(AND(Energy!$F$11=$A$3,Main!$B$43=A53),'Aerodynamics-Cruise'!BI30,L53)</f>
        <v>43.730419705257496</v>
      </c>
      <c r="M53" s="103">
        <f ca="1">IF(AND(Energy!$F$11=$A$3,Main!$B$43=A53),'Aerodynamics-Cruise'!BJ30,M53)</f>
        <v>2.0944327193207966</v>
      </c>
      <c r="N53" s="103">
        <f ca="1">IF(AND(Energy!$F$11=$A$3,Main!$B$43=A53),'Aerodynamics-Cruise'!BK30,N53)</f>
        <v>20.879362369510169</v>
      </c>
      <c r="O53" s="103">
        <f t="shared" ca="1" si="0"/>
        <v>138.07309325497056</v>
      </c>
      <c r="P53" s="103">
        <f ca="1">IF(AND(Energy!$F$11=$A$3,Main!$B$43=A53),'Aerodynamics-Cruise'!H30,P53)</f>
        <v>8.1467496626219713</v>
      </c>
      <c r="Q53" s="103">
        <f ca="1">IF(AND(Energy!$F$11=$A$3,Main!$B$43=A53),'Aerodynamics-Cruise'!I30,Q53)</f>
        <v>6.8239431119620413</v>
      </c>
      <c r="R53" s="103">
        <f ca="1">IF(AND(Energy!$F$11=$A$3,Main!$B$43=$A53),Summary!R30,R53)</f>
        <v>24.159434041921291</v>
      </c>
      <c r="S53" s="103">
        <f ca="1">IF(AND(Energy!$F$11=$A$3,Main!$B$43=A53),'Aerodynamics-Cruise'!W30,S53)</f>
        <v>1</v>
      </c>
      <c r="T53" s="103">
        <f ca="1">IF(AND(Energy!$F$11=$A$3,Main!$B$43=A53),'Aerodynamics-Cruise'!BL30,T53)</f>
        <v>17.062819049511116</v>
      </c>
      <c r="U53" s="103">
        <f ca="1">IF(AND(Energy!$F$11=$A$3,Main!$B$43=A53),'Propulsion-Cruise'!M30,U53)</f>
        <v>38.674335481880469</v>
      </c>
      <c r="V53" s="103">
        <f ca="1">IF(AND(Energy!$F$11=$A$3,Main!$B$43=A53),Endurance!AP30,V53)</f>
        <v>367.8787086916584</v>
      </c>
      <c r="W53" s="103">
        <f ca="1">IF(AND(Energy!$F$11=$A$3,Main!$B$43=$A53),Summary!W30,W53)</f>
        <v>120.85451889303653</v>
      </c>
      <c r="X53" s="13">
        <f ca="1">IF(AND(Energy!$F$11=$A$3,Main!$B$43=A53),Energy!D30,X53)</f>
        <v>739.35507560471603</v>
      </c>
      <c r="Y53" s="102">
        <f ca="1">IF(AND(Energy!$F$11=$A$3,Main!$B$43=A53),'Aerodynamics-Cruise'!V30,Y53)</f>
        <v>126301.88144528899</v>
      </c>
      <c r="Z53" s="102">
        <f ca="1">IF(AND(Energy!$F$11=$A$3,Main!$B$43=$A53),Summary!Z30,Z53)</f>
        <v>92834.667026519499</v>
      </c>
      <c r="AA53" s="102">
        <f ca="1">IF(AND(Energy!$F$11=$A$3,Main!$B$43=$A53),Summary!AA30,AA53)</f>
        <v>374552.07297556225</v>
      </c>
      <c r="AB53" s="103">
        <f ca="1">IF(AND(Energy!$F$11=$A$3,Main!$B$43=$A53),Summary!AB30,AB53)</f>
        <v>2.7502861733046302</v>
      </c>
      <c r="AC53" s="103">
        <f ca="1">IF(AND(Energy!$F$11=$A$3,Main!$B$43=$A53),Summary!AC30,AC53)</f>
        <v>3.2147129607361831</v>
      </c>
      <c r="AD53" s="103">
        <f ca="1">IF(AND(Energy!$F$11=$A$3,Main!$B$43=$A53),Summary!AD30,AD53)</f>
        <v>0.37637663280389727</v>
      </c>
      <c r="AE53" s="103">
        <f ca="1">IF(AND(Energy!$F$11=$A$3,Main!$B$43=$A53),Summary!AE30,AE53)</f>
        <v>1.2029239766081874</v>
      </c>
      <c r="AF53" s="103">
        <f ca="1">IF(AND(Energy!$F$11=$A$3,Main!$B$43=$A53),Summary!AF30,AF53)</f>
        <v>20.131578947368418</v>
      </c>
      <c r="AG53" s="103">
        <f ca="1">IF(AND(Energy!$F$11=$A$3,Main!$B$43=$A53),Summary!AG30,AG53)</f>
        <v>9.1555160301215288</v>
      </c>
      <c r="AH53" s="103">
        <f ca="1">IF(AND(Energy!$F$11=$A$3,Main!$B$43=$A53),Summary!AH30,AH53)</f>
        <v>47</v>
      </c>
      <c r="AI53" s="103">
        <f ca="1">IF(AND(Energy!$F$11=$A$3,Main!$B$43=$A53),Summary!AI30,AI53)</f>
        <v>2.7945267105611657</v>
      </c>
      <c r="AJ53" s="103">
        <f ca="1">IF(AND(Energy!$F$11=$A$3,Main!$B$43=$A53),Summary!AJ30,AJ53)</f>
        <v>0.34024439347342028</v>
      </c>
      <c r="AK53" s="103">
        <f ca="1">IF(AND(Energy!$F$11=$A$3,Main!$B$43=$A53),Summary!AK30,AK53)</f>
        <v>0.01</v>
      </c>
      <c r="AL53" s="103">
        <f ca="1">IF(AND(Energy!$F$11=$A$3,Main!$B$43=$A53),Summary!AL30,AL53)</f>
        <v>-0.30839792562137586</v>
      </c>
      <c r="AM53" s="103">
        <f ca="1">IF(AND(Energy!$F$11=$A$3,Main!$B$43=$A53),Summary!AM30,AM53)</f>
        <v>0.34375</v>
      </c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</row>
    <row r="54" spans="1:54">
      <c r="A54">
        <f t="shared" si="3"/>
        <v>3</v>
      </c>
      <c r="B54" s="100"/>
      <c r="C54" s="100"/>
      <c r="D54" s="1">
        <f ca="1">IF(AND(Energy!$F$11=$A$3,Main!$B$43=A54),Main!C31,D54)</f>
        <v>5.0789473684210531</v>
      </c>
      <c r="E54" s="103">
        <f ca="1">IF(AND(Energy!$F$11=$A$3,Main!$B$43=A54),Main!B31,E54)</f>
        <v>0.24444444444444446</v>
      </c>
      <c r="F54" s="103">
        <f ca="1">IF(Main!$D$6=1,U54,IF(Main!$D$6=2,N54,IF(Main!$D$6=3,K54,IF(Main!$D$6=4,V54,J54))))</f>
        <v>367.36503169576309</v>
      </c>
      <c r="G54" s="103">
        <f ca="1">IF(AND(Energy!$F$11=$A$3,Main!$B$43=A54),Weight!H31,G54)</f>
        <v>10</v>
      </c>
      <c r="H54" s="103">
        <f ca="1">IF(AND(Energy!$F$11=$A$3,Main!$B$43=A54),Weight!U31,H54)</f>
        <v>13.20684172084907</v>
      </c>
      <c r="I54" s="103">
        <f ca="1">IF(AND(Energy!$F$11=$A$3,Main!$B$43=A54),Weight!V31,I54)</f>
        <v>34.099727533638614</v>
      </c>
      <c r="J54" s="103">
        <f ca="1">IF(AND(Energy!$F$11=$A$3,Main!$B$43=A54),Weight!I31,J54)</f>
        <v>10.832527537789545</v>
      </c>
      <c r="K54" s="103">
        <f ca="1">IF(AND(Energy!$F$11=$A$3,Main!$B$43=A54),Weight!W31,K54)</f>
        <v>44.087649655700389</v>
      </c>
      <c r="L54" s="103">
        <f ca="1">IF(AND(Energy!$F$11=$A$3,Main!$B$43=A54),'Aerodynamics-Cruise'!BI31,L54)</f>
        <v>44.10785636948431</v>
      </c>
      <c r="M54" s="103">
        <f ca="1">IF(AND(Energy!$F$11=$A$3,Main!$B$43=A54),'Aerodynamics-Cruise'!BJ31,M54)</f>
        <v>2.104813778654433</v>
      </c>
      <c r="N54" s="103">
        <f ca="1">IF(AND(Energy!$F$11=$A$3,Main!$B$43=A54),'Aerodynamics-Cruise'!BK31,N54)</f>
        <v>20.955704878405736</v>
      </c>
      <c r="O54" s="103">
        <f t="shared" ca="1" si="0"/>
        <v>139.17468577632147</v>
      </c>
      <c r="P54" s="103">
        <f ca="1">IF(AND(Energy!$F$11=$A$3,Main!$B$43=A54),'Aerodynamics-Cruise'!H31,P54)</f>
        <v>8.053626374521512</v>
      </c>
      <c r="Q54" s="103">
        <f ca="1">IF(AND(Energy!$F$11=$A$3,Main!$B$43=A54),'Aerodynamics-Cruise'!I31,Q54)</f>
        <v>6.7464986969927239</v>
      </c>
      <c r="R54" s="103">
        <f ca="1">IF(AND(Energy!$F$11=$A$3,Main!$B$43=$A54),Summary!R31,R54)</f>
        <v>23.951683940246092</v>
      </c>
      <c r="S54" s="103">
        <f ca="1">IF(AND(Energy!$F$11=$A$3,Main!$B$43=A54),'Aerodynamics-Cruise'!W31,S54)</f>
        <v>1</v>
      </c>
      <c r="T54" s="103">
        <f ca="1">IF(AND(Energy!$F$11=$A$3,Main!$B$43=A54),'Aerodynamics-Cruise'!BL31,T54)</f>
        <v>16.951383761227625</v>
      </c>
      <c r="U54" s="103">
        <f ca="1">IF(AND(Energy!$F$11=$A$3,Main!$B$43=A54),'Propulsion-Cruise'!M31,U54)</f>
        <v>38.526672414488836</v>
      </c>
      <c r="V54" s="103">
        <f ca="1">IF(AND(Energy!$F$11=$A$3,Main!$B$43=A54),Endurance!AP31,V54)</f>
        <v>367.36503169576309</v>
      </c>
      <c r="W54" s="103">
        <f ca="1">IF(AND(Energy!$F$11=$A$3,Main!$B$43=$A54),Summary!W31,W54)</f>
        <v>120.21733830129932</v>
      </c>
      <c r="X54" s="13">
        <f ca="1">IF(AND(Energy!$F$11=$A$3,Main!$B$43=A54),Energy!D31,X54)</f>
        <v>738.18250473774856</v>
      </c>
      <c r="Y54" s="102">
        <f ca="1">IF(AND(Energy!$F$11=$A$3,Main!$B$43=A54),'Aerodynamics-Cruise'!V31,Y54)</f>
        <v>124858.15885891528</v>
      </c>
      <c r="Z54" s="102">
        <f ca="1">IF(AND(Energy!$F$11=$A$3,Main!$B$43=$A54),Summary!Z31,Z54)</f>
        <v>91781.040767052487</v>
      </c>
      <c r="AA54" s="102">
        <f ca="1">IF(AND(Energy!$F$11=$A$3,Main!$B$43=$A54),Summary!AA31,AA54)</f>
        <v>371331.25120017183</v>
      </c>
      <c r="AB54" s="103">
        <f ca="1">IF(AND(Energy!$F$11=$A$3,Main!$B$43=$A54),Summary!AB31,AB54)</f>
        <v>2.7098991588462877</v>
      </c>
      <c r="AC54" s="103">
        <f ca="1">IF(AND(Energy!$F$11=$A$3,Main!$B$43=$A54),Summary!AC31,AC54)</f>
        <v>3.1561356008849257</v>
      </c>
      <c r="AD54" s="103">
        <f ca="1">IF(AND(Energy!$F$11=$A$3,Main!$B$43=$A54),Summary!AD31,AD54)</f>
        <v>0.37522776284976789</v>
      </c>
      <c r="AE54" s="103">
        <f ca="1">IF(AND(Energy!$F$11=$A$3,Main!$B$43=$A54),Summary!AE31,AE54)</f>
        <v>1.2415204678362575</v>
      </c>
      <c r="AF54" s="103">
        <f ca="1">IF(AND(Energy!$F$11=$A$3,Main!$B$43=$A54),Summary!AF31,AF54)</f>
        <v>20.777511961722489</v>
      </c>
      <c r="AG54" s="103">
        <f ca="1">IF(AND(Energy!$F$11=$A$3,Main!$B$43=$A54),Summary!AG31,AG54)</f>
        <v>9.1479743336193557</v>
      </c>
      <c r="AH54" s="103">
        <f ca="1">IF(AND(Energy!$F$11=$A$3,Main!$B$43=$A54),Summary!AH31,AH54)</f>
        <v>47</v>
      </c>
      <c r="AI54" s="103">
        <f ca="1">IF(AND(Energy!$F$11=$A$3,Main!$B$43=$A54),Summary!AI31,AI54)</f>
        <v>2.7939662008087738</v>
      </c>
      <c r="AJ54" s="103">
        <f ca="1">IF(AND(Energy!$F$11=$A$3,Main!$B$43=$A54),Summary!AJ31,AJ54)</f>
        <v>0.341334359457309</v>
      </c>
      <c r="AK54" s="103">
        <f ca="1">IF(AND(Energy!$F$11=$A$3,Main!$B$43=$A54),Summary!AK31,AK54)</f>
        <v>0.01</v>
      </c>
      <c r="AL54" s="103">
        <f ca="1">IF(AND(Energy!$F$11=$A$3,Main!$B$43=$A54),Summary!AL31,AL54)</f>
        <v>-0.30741340996180833</v>
      </c>
      <c r="AM54" s="103">
        <f ca="1">IF(AND(Energy!$F$11=$A$3,Main!$B$43=$A54),Summary!AM31,AM54)</f>
        <v>0.34375</v>
      </c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</row>
    <row r="55" spans="1:54">
      <c r="A55">
        <f t="shared" si="3"/>
        <v>3</v>
      </c>
      <c r="B55" s="100"/>
      <c r="C55" s="100"/>
      <c r="D55" s="1">
        <f ca="1">IF(AND(Energy!$F$11=$A$3,Main!$B$43=A55),Main!C32,D55)</f>
        <v>5.2368421052631584</v>
      </c>
      <c r="E55" s="103">
        <f ca="1">IF(AND(Energy!$F$11=$A$3,Main!$B$43=A55),Main!B32,E55)</f>
        <v>0.24444444444444446</v>
      </c>
      <c r="F55" s="103">
        <f ca="1">IF(Main!$D$6=1,U55,IF(Main!$D$6=2,N55,IF(Main!$D$6=3,K55,IF(Main!$D$6=4,V55,J55))))</f>
        <v>367.62165063388949</v>
      </c>
      <c r="G55" s="103">
        <f ca="1">IF(AND(Energy!$F$11=$A$3,Main!$B$43=A55),Weight!H32,G55)</f>
        <v>10</v>
      </c>
      <c r="H55" s="103">
        <f ca="1">IF(AND(Energy!$F$11=$A$3,Main!$B$43=A55),Weight!U32,H55)</f>
        <v>13.635380707039076</v>
      </c>
      <c r="I55" s="103">
        <f ca="1">IF(AND(Energy!$F$11=$A$3,Main!$B$43=A55),Weight!V32,I55)</f>
        <v>34.534733745473211</v>
      </c>
      <c r="J55" s="103">
        <f ca="1">IF(AND(Energy!$F$11=$A$3,Main!$B$43=A55),Weight!I32,J55)</f>
        <v>10.838994763434135</v>
      </c>
      <c r="K55" s="103">
        <f ca="1">IF(AND(Energy!$F$11=$A$3,Main!$B$43=A55),Weight!W32,K55)</f>
        <v>44.523018907003404</v>
      </c>
      <c r="L55" s="103">
        <f ca="1">IF(AND(Energy!$F$11=$A$3,Main!$B$43=A55),'Aerodynamics-Cruise'!BI32,L55)</f>
        <v>44.54261056823173</v>
      </c>
      <c r="M55" s="103">
        <f ca="1">IF(AND(Energy!$F$11=$A$3,Main!$B$43=A55),'Aerodynamics-Cruise'!BJ32,M55)</f>
        <v>2.1182976780482514</v>
      </c>
      <c r="N55" s="103">
        <f ca="1">IF(AND(Energy!$F$11=$A$3,Main!$B$43=A55),'Aerodynamics-Cruise'!BK32,N55)</f>
        <v>21.027550107722451</v>
      </c>
      <c r="O55" s="103">
        <f t="shared" ca="1" si="0"/>
        <v>140.338396474457</v>
      </c>
      <c r="P55" s="103">
        <f ca="1">IF(AND(Energy!$F$11=$A$3,Main!$B$43=A55),'Aerodynamics-Cruise'!H32,P55)</f>
        <v>7.9702578396418993</v>
      </c>
      <c r="Q55" s="103">
        <f ca="1">IF(AND(Energy!$F$11=$A$3,Main!$B$43=A55),'Aerodynamics-Cruise'!I32,Q55)</f>
        <v>6.6771612183378295</v>
      </c>
      <c r="R55" s="103">
        <f ca="1">IF(AND(Energy!$F$11=$A$3,Main!$B$43=$A55),Summary!R32,R55)</f>
        <v>23.750563276383861</v>
      </c>
      <c r="S55" s="103">
        <f ca="1">IF(AND(Energy!$F$11=$A$3,Main!$B$43=A55),'Aerodynamics-Cruise'!W32,S55)</f>
        <v>1</v>
      </c>
      <c r="T55" s="103">
        <f ca="1">IF(AND(Energy!$F$11=$A$3,Main!$B$43=A55),'Aerodynamics-Cruise'!BL32,T55)</f>
        <v>16.883378675159307</v>
      </c>
      <c r="U55" s="103">
        <f ca="1">IF(AND(Energy!$F$11=$A$3,Main!$B$43=A55),'Propulsion-Cruise'!M32,U55)</f>
        <v>38.46301857888723</v>
      </c>
      <c r="V55" s="103">
        <f ca="1">IF(AND(Energy!$F$11=$A$3,Main!$B$43=A55),Endurance!AP32,V55)</f>
        <v>367.62165063388949</v>
      </c>
      <c r="W55" s="103">
        <f ca="1">IF(AND(Energy!$F$11=$A$3,Main!$B$43=$A55),Summary!W32,W55)</f>
        <v>120.36012197815938</v>
      </c>
      <c r="X55" s="13">
        <f ca="1">IF(AND(Energy!$F$11=$A$3,Main!$B$43=A55),Energy!D32,X55)</f>
        <v>738.42030353434802</v>
      </c>
      <c r="Y55" s="102">
        <f ca="1">IF(AND(Energy!$F$11=$A$3,Main!$B$43=A55),'Aerodynamics-Cruise'!V32,Y55)</f>
        <v>123565.66759004237</v>
      </c>
      <c r="Z55" s="102">
        <f ca="1">IF(AND(Energy!$F$11=$A$3,Main!$B$43=$A55),Summary!Z32,Z55)</f>
        <v>90837.70934083777</v>
      </c>
      <c r="AA55" s="102">
        <f ca="1">IF(AND(Energy!$F$11=$A$3,Main!$B$43=$A55),Summary!AA32,AA55)</f>
        <v>368213.20789513801</v>
      </c>
      <c r="AB55" s="103">
        <f ca="1">IF(AND(Energy!$F$11=$A$3,Main!$B$43=$A55),Summary!AB32,AB55)</f>
        <v>2.6793900749912467</v>
      </c>
      <c r="AC55" s="103">
        <f ca="1">IF(AND(Energy!$F$11=$A$3,Main!$B$43=$A55),Summary!AC32,AC55)</f>
        <v>3.0969434257051294</v>
      </c>
      <c r="AD55" s="103">
        <f ca="1">IF(AND(Energy!$F$11=$A$3,Main!$B$43=$A55),Summary!AD32,AD55)</f>
        <v>0.37444755181113804</v>
      </c>
      <c r="AE55" s="103">
        <f ca="1">IF(AND(Energy!$F$11=$A$3,Main!$B$43=$A55),Summary!AE32,AE55)</f>
        <v>1.2801169590643278</v>
      </c>
      <c r="AF55" s="103">
        <f ca="1">IF(AND(Energy!$F$11=$A$3,Main!$B$43=$A55),Summary!AF32,AF55)</f>
        <v>21.423444976076553</v>
      </c>
      <c r="AG55" s="103">
        <f ca="1">IF(AND(Energy!$F$11=$A$3,Main!$B$43=$A55),Summary!AG32,AG55)</f>
        <v>9.1515619842749132</v>
      </c>
      <c r="AH55" s="103">
        <f ca="1">IF(AND(Energy!$F$11=$A$3,Main!$B$43=$A55),Summary!AH32,AH55)</f>
        <v>47</v>
      </c>
      <c r="AI55" s="103">
        <f ca="1">IF(AND(Energy!$F$11=$A$3,Main!$B$43=$A55),Summary!AI32,AI55)</f>
        <v>2.793453708861859</v>
      </c>
      <c r="AJ55" s="103">
        <f ca="1">IF(AND(Energy!$F$11=$A$3,Main!$B$43=$A55),Summary!AJ32,AJ55)</f>
        <v>0.34230775629575744</v>
      </c>
      <c r="AK55" s="103">
        <f ca="1">IF(AND(Energy!$F$11=$A$3,Main!$B$43=$A55),Summary!AK32,AK55)</f>
        <v>0.01</v>
      </c>
      <c r="AL55" s="103">
        <f ca="1">IF(AND(Energy!$F$11=$A$3,Main!$B$43=$A55),Summary!AL32,AL55)</f>
        <v>-0.30653948117186991</v>
      </c>
      <c r="AM55" s="103">
        <f ca="1">IF(AND(Energy!$F$11=$A$3,Main!$B$43=$A55),Summary!AM32,AM55)</f>
        <v>0.34375</v>
      </c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</row>
    <row r="56" spans="1:54">
      <c r="A56">
        <f t="shared" si="3"/>
        <v>3</v>
      </c>
      <c r="B56" s="100"/>
      <c r="C56" s="100"/>
      <c r="D56" s="1">
        <f ca="1">IF(AND(Energy!$F$11=$A$3,Main!$B$43=A56),Main!C33,D56)</f>
        <v>5.3947368421052637</v>
      </c>
      <c r="E56" s="103">
        <f ca="1">IF(AND(Energy!$F$11=$A$3,Main!$B$43=A56),Main!B33,E56)</f>
        <v>0.24444444444444446</v>
      </c>
      <c r="F56" s="103">
        <f ca="1">IF(Main!$D$6=1,U56,IF(Main!$D$6=2,N56,IF(Main!$D$6=3,K56,IF(Main!$D$6=4,V56,J56))))</f>
        <v>368.57823963996765</v>
      </c>
      <c r="G56" s="103">
        <f ca="1">IF(AND(Energy!$F$11=$A$3,Main!$B$43=A56),Weight!H33,G56)</f>
        <v>10</v>
      </c>
      <c r="H56" s="103">
        <f ca="1">IF(AND(Energy!$F$11=$A$3,Main!$B$43=A56),Weight!U33,H56)</f>
        <v>14.079447202139768</v>
      </c>
      <c r="I56" s="103">
        <f ca="1">IF(AND(Energy!$F$11=$A$3,Main!$B$43=A56),Weight!V33,I56)</f>
        <v>35.023142242914098</v>
      </c>
      <c r="J56" s="103">
        <f ca="1">IF(AND(Energy!$F$11=$A$3,Main!$B$43=A56),Weight!I33,J56)</f>
        <v>10.883336765774331</v>
      </c>
      <c r="K56" s="103">
        <f ca="1">IF(AND(Energy!$F$11=$A$3,Main!$B$43=A56),Weight!W33,K56)</f>
        <v>45.011731098205182</v>
      </c>
      <c r="L56" s="103">
        <f ca="1">IF(AND(Energy!$F$11=$A$3,Main!$B$43=A56),'Aerodynamics-Cruise'!BI33,L56)</f>
        <v>45.03081046506535</v>
      </c>
      <c r="M56" s="103">
        <f ca="1">IF(AND(Energy!$F$11=$A$3,Main!$B$43=A56),'Aerodynamics-Cruise'!BJ33,M56)</f>
        <v>2.134643247949549</v>
      </c>
      <c r="N56" s="103">
        <f ca="1">IF(AND(Energy!$F$11=$A$3,Main!$B$43=A56),'Aerodynamics-Cruise'!BK33,N56)</f>
        <v>21.095239454330414</v>
      </c>
      <c r="O56" s="103">
        <f t="shared" ca="1" si="0"/>
        <v>141.55960469632578</v>
      </c>
      <c r="P56" s="103">
        <f ca="1">IF(AND(Energy!$F$11=$A$3,Main!$B$43=A56),'Aerodynamics-Cruise'!H33,P56)</f>
        <v>7.8956529346788926</v>
      </c>
      <c r="Q56" s="103">
        <f ca="1">IF(AND(Energy!$F$11=$A$3,Main!$B$43=A56),'Aerodynamics-Cruise'!I33,Q56)</f>
        <v>6.6151080652761376</v>
      </c>
      <c r="R56" s="103">
        <f ca="1">IF(AND(Energy!$F$11=$A$3,Main!$B$43=$A56),Summary!R33,R56)</f>
        <v>23.555727396569555</v>
      </c>
      <c r="S56" s="103">
        <f ca="1">IF(AND(Energy!$F$11=$A$3,Main!$B$43=A56),'Aerodynamics-Cruise'!W33,S56)</f>
        <v>1</v>
      </c>
      <c r="T56" s="103">
        <f ca="1">IF(AND(Energy!$F$11=$A$3,Main!$B$43=A56),'Aerodynamics-Cruise'!BL33,T56)</f>
        <v>16.854402225165341</v>
      </c>
      <c r="U56" s="103">
        <f ca="1">IF(AND(Energy!$F$11=$A$3,Main!$B$43=A56),'Propulsion-Cruise'!M33,U56)</f>
        <v>38.475389733345814</v>
      </c>
      <c r="V56" s="103">
        <f ca="1">IF(AND(Energy!$F$11=$A$3,Main!$B$43=A56),Endurance!AP33,V56)</f>
        <v>368.57823963996765</v>
      </c>
      <c r="W56" s="103">
        <f ca="1">IF(AND(Energy!$F$11=$A$3,Main!$B$43=$A56),Summary!W33,W56)</f>
        <v>121.21186713120102</v>
      </c>
      <c r="X56" s="13">
        <f ca="1">IF(AND(Energy!$F$11=$A$3,Main!$B$43=A56),Energy!D33,X56)</f>
        <v>739.94010631093329</v>
      </c>
      <c r="Y56" s="102">
        <f ca="1">IF(AND(Energy!$F$11=$A$3,Main!$B$43=A56),'Aerodynamics-Cruise'!V33,Y56)</f>
        <v>122409.04191083348</v>
      </c>
      <c r="Z56" s="102">
        <f ca="1">IF(AND(Energy!$F$11=$A$3,Main!$B$43=$A56),Summary!Z33,Z56)</f>
        <v>89993.481031010291</v>
      </c>
      <c r="AA56" s="102">
        <f ca="1">IF(AND(Energy!$F$11=$A$3,Main!$B$43=$A56),Summary!AA33,AA56)</f>
        <v>365192.59977377887</v>
      </c>
      <c r="AB56" s="103">
        <f ca="1">IF(AND(Energy!$F$11=$A$3,Main!$B$43=$A56),Summary!AB33,AB56)</f>
        <v>2.657615418230475</v>
      </c>
      <c r="AC56" s="103">
        <f ca="1">IF(AND(Energy!$F$11=$A$3,Main!$B$43=$A56),Summary!AC33,AC56)</f>
        <v>3.0374295186005154</v>
      </c>
      <c r="AD56" s="103">
        <f ca="1">IF(AND(Energy!$F$11=$A$3,Main!$B$43=$A56),Summary!AD33,AD56)</f>
        <v>0.37400146283675162</v>
      </c>
      <c r="AE56" s="103">
        <f ca="1">IF(AND(Energy!$F$11=$A$3,Main!$B$43=$A56),Summary!AE33,AE56)</f>
        <v>1.3187134502923978</v>
      </c>
      <c r="AF56" s="103">
        <f ca="1">IF(AND(Energy!$F$11=$A$3,Main!$B$43=$A56),Summary!AF33,AF56)</f>
        <v>22.069377990430624</v>
      </c>
      <c r="AG56" s="103">
        <f ca="1">IF(AND(Energy!$F$11=$A$3,Main!$B$43=$A56),Summary!AG33,AG56)</f>
        <v>9.1652745508428044</v>
      </c>
      <c r="AH56" s="103">
        <f ca="1">IF(AND(Energy!$F$11=$A$3,Main!$B$43=$A56),Summary!AH33,AH56)</f>
        <v>47</v>
      </c>
      <c r="AI56" s="103">
        <f ca="1">IF(AND(Energy!$F$11=$A$3,Main!$B$43=$A56),Summary!AI33,AI56)</f>
        <v>2.7929856680341087</v>
      </c>
      <c r="AJ56" s="103">
        <f ca="1">IF(AND(Energy!$F$11=$A$3,Main!$B$43=$A56),Summary!AJ33,AJ56)</f>
        <v>0.34317198682334865</v>
      </c>
      <c r="AK56" s="103">
        <f ca="1">IF(AND(Energy!$F$11=$A$3,Main!$B$43=$A56),Summary!AK33,AK56)</f>
        <v>0.01</v>
      </c>
      <c r="AL56" s="103">
        <f ca="1">IF(AND(Energy!$F$11=$A$3,Main!$B$43=$A56),Summary!AL33,AL56)</f>
        <v>-0.30576772089401677</v>
      </c>
      <c r="AM56" s="103">
        <f ca="1">IF(AND(Energy!$F$11=$A$3,Main!$B$43=$A56),Summary!AM33,AM56)</f>
        <v>0.34375</v>
      </c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</row>
    <row r="57" spans="1:54">
      <c r="A57">
        <f t="shared" si="3"/>
        <v>3</v>
      </c>
      <c r="B57" s="100"/>
      <c r="C57" s="100"/>
      <c r="D57" s="1">
        <f ca="1">IF(AND(Energy!$F$11=$A$3,Main!$B$43=A57),Main!C34,D57)</f>
        <v>5.552631578947369</v>
      </c>
      <c r="E57" s="103">
        <f ca="1">IF(AND(Energy!$F$11=$A$3,Main!$B$43=A57),Main!B34,E57)</f>
        <v>0.24444444444444446</v>
      </c>
      <c r="F57" s="103">
        <f ca="1">IF(Main!$D$6=1,U57,IF(Main!$D$6=2,N57,IF(Main!$D$6=3,K57,IF(Main!$D$6=4,V57,J57))))</f>
        <v>370.17930864410783</v>
      </c>
      <c r="G57" s="103">
        <f ca="1">IF(AND(Energy!$F$11=$A$3,Main!$B$43=A57),Weight!H34,G57)</f>
        <v>10</v>
      </c>
      <c r="H57" s="103">
        <f ca="1">IF(AND(Energy!$F$11=$A$3,Main!$B$43=A57),Weight!U34,H57)</f>
        <v>14.53904417571832</v>
      </c>
      <c r="I57" s="103">
        <f ca="1">IF(AND(Energy!$F$11=$A$3,Main!$B$43=A57),Weight!V34,I57)</f>
        <v>35.561962125956533</v>
      </c>
      <c r="J57" s="103">
        <f ca="1">IF(AND(Energy!$F$11=$A$3,Main!$B$43=A57),Weight!I34,J57)</f>
        <v>10.962559675238214</v>
      </c>
      <c r="K57" s="103">
        <f ca="1">IF(AND(Energy!$F$11=$A$3,Main!$B$43=A57),Weight!W34,K57)</f>
        <v>45.550796313960369</v>
      </c>
      <c r="L57" s="103">
        <f ca="1">IF(AND(Energy!$F$11=$A$3,Main!$B$43=A57),'Aerodynamics-Cruise'!BI34,L57)</f>
        <v>45.569465387692226</v>
      </c>
      <c r="M57" s="103">
        <f ca="1">IF(AND(Energy!$F$11=$A$3,Main!$B$43=A57),'Aerodynamics-Cruise'!BJ34,M57)</f>
        <v>2.1536597535877737</v>
      </c>
      <c r="N57" s="103">
        <f ca="1">IF(AND(Energy!$F$11=$A$3,Main!$B$43=A57),'Aerodynamics-Cruise'!BK34,N57)</f>
        <v>21.159082957174746</v>
      </c>
      <c r="O57" s="103">
        <f t="shared" ca="1" si="0"/>
        <v>142.83472667083302</v>
      </c>
      <c r="P57" s="103">
        <f ca="1">IF(AND(Energy!$F$11=$A$3,Main!$B$43=A57),'Aerodynamics-Cruise'!H34,P57)</f>
        <v>7.8289758653958934</v>
      </c>
      <c r="Q57" s="103">
        <f ca="1">IF(AND(Energy!$F$11=$A$3,Main!$B$43=A57),'Aerodynamics-Cruise'!I34,Q57)</f>
        <v>6.5596454523582848</v>
      </c>
      <c r="R57" s="103">
        <f ca="1">IF(AND(Energy!$F$11=$A$3,Main!$B$43=$A57),Summary!R34,R57)</f>
        <v>23.366860799135992</v>
      </c>
      <c r="S57" s="103">
        <f ca="1">IF(AND(Energy!$F$11=$A$3,Main!$B$43=A57),'Aerodynamics-Cruise'!W34,S57)</f>
        <v>1</v>
      </c>
      <c r="T57" s="103">
        <f ca="1">IF(AND(Energy!$F$11=$A$3,Main!$B$43=A57),'Aerodynamics-Cruise'!BL34,T57)</f>
        <v>16.860950233113147</v>
      </c>
      <c r="U57" s="103">
        <f ca="1">IF(AND(Energy!$F$11=$A$3,Main!$B$43=A57),'Propulsion-Cruise'!M34,U57)</f>
        <v>38.557461408834669</v>
      </c>
      <c r="V57" s="103">
        <f ca="1">IF(AND(Energy!$F$11=$A$3,Main!$B$43=A57),Endurance!AP34,V57)</f>
        <v>370.17930864410783</v>
      </c>
      <c r="W57" s="103">
        <f ca="1">IF(AND(Energy!$F$11=$A$3,Main!$B$43=$A57),Summary!W34,W57)</f>
        <v>122.71648656157288</v>
      </c>
      <c r="X57" s="13">
        <f ca="1">IF(AND(Energy!$F$11=$A$3,Main!$B$43=A57),Energy!D34,X57)</f>
        <v>742.64052963092979</v>
      </c>
      <c r="Y57" s="102">
        <f ca="1">IF(AND(Energy!$F$11=$A$3,Main!$B$43=A57),'Aerodynamics-Cruise'!V34,Y57)</f>
        <v>121375.32421378201</v>
      </c>
      <c r="Z57" s="102">
        <f ca="1">IF(AND(Energy!$F$11=$A$3,Main!$B$43=$A57),Summary!Z34,Z57)</f>
        <v>89238.91681283123</v>
      </c>
      <c r="AA57" s="102">
        <f ca="1">IF(AND(Energy!$F$11=$A$3,Main!$B$43=$A57),Summary!AA34,AA57)</f>
        <v>362264.53550448216</v>
      </c>
      <c r="AB57" s="103">
        <f ca="1">IF(AND(Energy!$F$11=$A$3,Main!$B$43=$A57),Summary!AB34,AB57)</f>
        <v>2.6436723181728756</v>
      </c>
      <c r="AC57" s="103">
        <f ca="1">IF(AND(Energy!$F$11=$A$3,Main!$B$43=$A57),Summary!AC34,AC57)</f>
        <v>2.9778250609924748</v>
      </c>
      <c r="AD57" s="103">
        <f ca="1">IF(AND(Energy!$F$11=$A$3,Main!$B$43=$A57),Summary!AD34,AD57)</f>
        <v>0.37386082582125707</v>
      </c>
      <c r="AE57" s="103">
        <f ca="1">IF(AND(Energy!$F$11=$A$3,Main!$B$43=$A57),Summary!AE34,AE57)</f>
        <v>1.3573099415204681</v>
      </c>
      <c r="AF57" s="103">
        <f ca="1">IF(AND(Energy!$F$11=$A$3,Main!$B$43=$A57),Summary!AF34,AF57)</f>
        <v>22.715311004784688</v>
      </c>
      <c r="AG57" s="103">
        <f ca="1">IF(AND(Energy!$F$11=$A$3,Main!$B$43=$A57),Summary!AG34,AG57)</f>
        <v>9.1883044591335565</v>
      </c>
      <c r="AH57" s="103">
        <f ca="1">IF(AND(Energy!$F$11=$A$3,Main!$B$43=$A57),Summary!AH34,AH57)</f>
        <v>47</v>
      </c>
      <c r="AI57" s="103">
        <f ca="1">IF(AND(Energy!$F$11=$A$3,Main!$B$43=$A57),Summary!AI34,AI57)</f>
        <v>2.7925591284676363</v>
      </c>
      <c r="AJ57" s="103">
        <f ca="1">IF(AND(Energy!$F$11=$A$3,Main!$B$43=$A57),Summary!AJ34,AJ57)</f>
        <v>0.34393350807335238</v>
      </c>
      <c r="AK57" s="103">
        <f ca="1">IF(AND(Energy!$F$11=$A$3,Main!$B$43=$A57),Summary!AK34,AK57)</f>
        <v>0.01</v>
      </c>
      <c r="AL57" s="103">
        <f ca="1">IF(AND(Energy!$F$11=$A$3,Main!$B$43=$A57),Summary!AL34,AL57)</f>
        <v>-0.30509090395104804</v>
      </c>
      <c r="AM57" s="103">
        <f ca="1">IF(AND(Energy!$F$11=$A$3,Main!$B$43=$A57),Summary!AM34,AM57)</f>
        <v>0.34375</v>
      </c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</row>
    <row r="58" spans="1:54">
      <c r="A58">
        <f t="shared" si="3"/>
        <v>3</v>
      </c>
      <c r="B58" s="100"/>
      <c r="C58" s="100"/>
      <c r="D58" s="1">
        <f ca="1">IF(AND(Energy!$F$11=$A$3,Main!$B$43=A58),Main!C35,D58)</f>
        <v>5.7105263157894743</v>
      </c>
      <c r="E58" s="103">
        <f ca="1">IF(AND(Energy!$F$11=$A$3,Main!$B$43=A58),Main!B35,E58)</f>
        <v>0.24444444444444446</v>
      </c>
      <c r="F58" s="103">
        <f ca="1">IF(Main!$D$6=1,U58,IF(Main!$D$6=2,N58,IF(Main!$D$6=3,K58,IF(Main!$D$6=4,V58,J58))))</f>
        <v>372.38122583393579</v>
      </c>
      <c r="G58" s="103">
        <f ca="1">IF(AND(Energy!$F$11=$A$3,Main!$B$43=A58),Weight!H35,G58)</f>
        <v>10</v>
      </c>
      <c r="H58" s="103">
        <f ca="1">IF(AND(Energy!$F$11=$A$3,Main!$B$43=A58),Weight!U35,H58)</f>
        <v>15.014244611419727</v>
      </c>
      <c r="I58" s="103">
        <f ca="1">IF(AND(Energy!$F$11=$A$3,Main!$B$43=A58),Weight!V35,I58)</f>
        <v>36.148910393627894</v>
      </c>
      <c r="J58" s="103">
        <f ca="1">IF(AND(Energy!$F$11=$A$3,Main!$B$43=A58),Weight!I35,J58)</f>
        <v>11.074307507208168</v>
      </c>
      <c r="K58" s="103">
        <f ca="1">IF(AND(Energy!$F$11=$A$3,Main!$B$43=A58),Weight!W35,K58)</f>
        <v>46.137931236978645</v>
      </c>
      <c r="L58" s="103">
        <f ca="1">IF(AND(Energy!$F$11=$A$3,Main!$B$43=A58),'Aerodynamics-Cruise'!BI35,L58)</f>
        <v>46.156293577841531</v>
      </c>
      <c r="M58" s="103">
        <f ca="1">IF(AND(Energy!$F$11=$A$3,Main!$B$43=A58),'Aerodynamics-Cruise'!BJ35,M58)</f>
        <v>2.1751971895702846</v>
      </c>
      <c r="N58" s="103">
        <f ca="1">IF(AND(Energy!$F$11=$A$3,Main!$B$43=A58),'Aerodynamics-Cruise'!BK35,N58)</f>
        <v>21.219360616661984</v>
      </c>
      <c r="O58" s="103">
        <f t="shared" ca="1" si="0"/>
        <v>144.16099033075724</v>
      </c>
      <c r="P58" s="103">
        <f ca="1">IF(AND(Energy!$F$11=$A$3,Main!$B$43=A58),'Aerodynamics-Cruise'!H35,P58)</f>
        <v>7.7695168529707477</v>
      </c>
      <c r="Q58" s="103">
        <f ca="1">IF(AND(Energy!$F$11=$A$3,Main!$B$43=A58),'Aerodynamics-Cruise'!I35,Q58)</f>
        <v>6.5101841198400159</v>
      </c>
      <c r="R58" s="103">
        <f ca="1">IF(AND(Energy!$F$11=$A$3,Main!$B$43=$A58),Summary!R35,R58)</f>
        <v>23.183673661732886</v>
      </c>
      <c r="S58" s="103">
        <f ca="1">IF(AND(Energy!$F$11=$A$3,Main!$B$43=A58),'Aerodynamics-Cruise'!W35,S58)</f>
        <v>1</v>
      </c>
      <c r="T58" s="103">
        <f ca="1">IF(AND(Energy!$F$11=$A$3,Main!$B$43=A58),'Aerodynamics-Cruise'!BL35,T58)</f>
        <v>16.900231222900931</v>
      </c>
      <c r="U58" s="103">
        <f ca="1">IF(AND(Energy!$F$11=$A$3,Main!$B$43=A58),'Propulsion-Cruise'!M35,U58)</f>
        <v>38.704234159716485</v>
      </c>
      <c r="V58" s="103">
        <f ca="1">IF(AND(Energy!$F$11=$A$3,Main!$B$43=A58),Endurance!AP35,V58)</f>
        <v>372.38122583393579</v>
      </c>
      <c r="W58" s="103">
        <f ca="1">IF(AND(Energy!$F$11=$A$3,Main!$B$43=$A58),Summary!W35,W58)</f>
        <v>124.82981954218883</v>
      </c>
      <c r="X58" s="13">
        <f ca="1">IF(AND(Energy!$F$11=$A$3,Main!$B$43=A58),Energy!D35,X58)</f>
        <v>746.44176909342627</v>
      </c>
      <c r="Y58" s="102">
        <f ca="1">IF(AND(Energy!$F$11=$A$3,Main!$B$43=A58),'Aerodynamics-Cruise'!V35,Y58)</f>
        <v>120453.51055199363</v>
      </c>
      <c r="Z58" s="102">
        <f ca="1">IF(AND(Energy!$F$11=$A$3,Main!$B$43=$A58),Summary!Z35,Z58)</f>
        <v>88565.999752365562</v>
      </c>
      <c r="AA58" s="102">
        <f ca="1">IF(AND(Energy!$F$11=$A$3,Main!$B$43=$A58),Summary!AA35,AA58)</f>
        <v>359424.52187097823</v>
      </c>
      <c r="AB58" s="103">
        <f ca="1">IF(AND(Energy!$F$11=$A$3,Main!$B$43=$A58),Summary!AB35,AB58)</f>
        <v>2.6368461075109351</v>
      </c>
      <c r="AC58" s="103">
        <f ca="1">IF(AND(Energy!$F$11=$A$3,Main!$B$43=$A58),Summary!AC35,AC58)</f>
        <v>2.9183124920399139</v>
      </c>
      <c r="AD58" s="103">
        <f ca="1">IF(AND(Energy!$F$11=$A$3,Main!$B$43=$A58),Summary!AD35,AD58)</f>
        <v>0.37400172715733265</v>
      </c>
      <c r="AE58" s="103">
        <f ca="1">IF(AND(Energy!$F$11=$A$3,Main!$B$43=$A58),Summary!AE35,AE58)</f>
        <v>1.3959064327485382</v>
      </c>
      <c r="AF58" s="103">
        <f ca="1">IF(AND(Energy!$F$11=$A$3,Main!$B$43=$A58),Summary!AF35,AF58)</f>
        <v>23.361244019138756</v>
      </c>
      <c r="AG58" s="103">
        <f ca="1">IF(AND(Energy!$F$11=$A$3,Main!$B$43=$A58),Summary!AG35,AG58)</f>
        <v>9.2200026702296132</v>
      </c>
      <c r="AH58" s="103">
        <f ca="1">IF(AND(Energy!$F$11=$A$3,Main!$B$43=$A58),Summary!AH35,AH58)</f>
        <v>47</v>
      </c>
      <c r="AI58" s="103">
        <f ca="1">IF(AND(Energy!$F$11=$A$3,Main!$B$43=$A58),Summary!AI35,AI58)</f>
        <v>2.7921716720490481</v>
      </c>
      <c r="AJ58" s="103">
        <f ca="1">IF(AND(Energy!$F$11=$A$3,Main!$B$43=$A58),Summary!AJ35,AJ58)</f>
        <v>0.34459796949183208</v>
      </c>
      <c r="AK58" s="103">
        <f ca="1">IF(AND(Energy!$F$11=$A$3,Main!$B$43=$A58),Summary!AK35,AK58)</f>
        <v>0.01</v>
      </c>
      <c r="AL58" s="103">
        <f ca="1">IF(AND(Energy!$F$11=$A$3,Main!$B$43=$A58),Summary!AL35,AL58)</f>
        <v>-0.30450281020651088</v>
      </c>
      <c r="AM58" s="103">
        <f ca="1">IF(AND(Energy!$F$11=$A$3,Main!$B$43=$A58),Summary!AM35,AM58)</f>
        <v>0.34375</v>
      </c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</row>
    <row r="59" spans="1:54">
      <c r="A59">
        <f t="shared" si="3"/>
        <v>3</v>
      </c>
      <c r="B59" s="100"/>
      <c r="C59" s="100"/>
      <c r="D59" s="1">
        <f ca="1">IF(AND(Energy!$F$11=$A$3,Main!$B$43=A59),Main!C36,D59)</f>
        <v>5.8684210526315796</v>
      </c>
      <c r="E59" s="103">
        <f ca="1">IF(AND(Energy!$F$11=$A$3,Main!$B$43=A59),Main!B36,E59)</f>
        <v>0.24444444444444446</v>
      </c>
      <c r="F59" s="103">
        <f ca="1">IF(Main!$D$6=1,U59,IF(Main!$D$6=2,N59,IF(Main!$D$6=3,K59,IF(Main!$D$6=4,V59,J59))))</f>
        <v>375.15000871886997</v>
      </c>
      <c r="G59" s="103">
        <f ca="1">IF(AND(Energy!$F$11=$A$3,Main!$B$43=A59),Weight!H36,G59)</f>
        <v>10</v>
      </c>
      <c r="H59" s="103">
        <f ca="1">IF(AND(Energy!$F$11=$A$3,Main!$B$43=A59),Weight!U36,H59)</f>
        <v>15.505182385237049</v>
      </c>
      <c r="I59" s="103">
        <f ca="1">IF(AND(Energy!$F$11=$A$3,Main!$B$43=A59),Weight!V36,I59)</f>
        <v>36.782284419071047</v>
      </c>
      <c r="J59" s="103">
        <f ca="1">IF(AND(Energy!$F$11=$A$3,Main!$B$43=A59),Weight!I36,J59)</f>
        <v>11.216743758833999</v>
      </c>
      <c r="K59" s="103">
        <f ca="1">IF(AND(Energy!$F$11=$A$3,Main!$B$43=A59),Weight!W36,K59)</f>
        <v>46.7714316949357</v>
      </c>
      <c r="L59" s="103">
        <f ca="1">IF(AND(Energy!$F$11=$A$3,Main!$B$43=A59),'Aerodynamics-Cruise'!BI36,L59)</f>
        <v>46.789594648078939</v>
      </c>
      <c r="M59" s="103">
        <f ca="1">IF(AND(Energy!$F$11=$A$3,Main!$B$43=A59),'Aerodynamics-Cruise'!BJ36,M59)</f>
        <v>2.1991390204660006</v>
      </c>
      <c r="N59" s="103">
        <f ca="1">IF(AND(Energy!$F$11=$A$3,Main!$B$43=A59),'Aerodynamics-Cruise'!BK36,N59)</f>
        <v>21.276324148968154</v>
      </c>
      <c r="O59" s="103">
        <f t="shared" ca="1" si="0"/>
        <v>145.53626986997151</v>
      </c>
      <c r="P59" s="103">
        <f ca="1">IF(AND(Energy!$F$11=$A$3,Main!$B$43=A59),'Aerodynamics-Cruise'!H36,P59)</f>
        <v>7.7166695934573903</v>
      </c>
      <c r="Q59" s="103">
        <f ca="1">IF(AND(Energy!$F$11=$A$3,Main!$B$43=A59),'Aerodynamics-Cruise'!I36,Q59)</f>
        <v>6.4662206471487433</v>
      </c>
      <c r="R59" s="103">
        <f ca="1">IF(AND(Energy!$F$11=$A$3,Main!$B$43=$A59),Summary!R36,R59)</f>
        <v>23.005898988303333</v>
      </c>
      <c r="S59" s="103">
        <f ca="1">IF(AND(Energy!$F$11=$A$3,Main!$B$43=A59),'Aerodynamics-Cruise'!W36,S59)</f>
        <v>1</v>
      </c>
      <c r="T59" s="103">
        <f ca="1">IF(AND(Energy!$F$11=$A$3,Main!$B$43=A59),'Aerodynamics-Cruise'!BL36,T59)</f>
        <v>16.970029211015657</v>
      </c>
      <c r="U59" s="103">
        <f ca="1">IF(AND(Energy!$F$11=$A$3,Main!$B$43=A59),'Propulsion-Cruise'!M36,U59)</f>
        <v>38.911785064553094</v>
      </c>
      <c r="V59" s="103">
        <f ca="1">IF(AND(Energy!$F$11=$A$3,Main!$B$43=A59),Endurance!AP36,V59)</f>
        <v>375.15000871886997</v>
      </c>
      <c r="W59" s="103">
        <f ca="1">IF(AND(Energy!$F$11=$A$3,Main!$B$43=$A59),Summary!W36,W59)</f>
        <v>127.51741357778997</v>
      </c>
      <c r="X59" s="13">
        <f ca="1">IF(AND(Energy!$F$11=$A$3,Main!$B$43=A59),Energy!D36,X59)</f>
        <v>751.28158977854264</v>
      </c>
      <c r="Y59" s="102">
        <f ca="1">IF(AND(Energy!$F$11=$A$3,Main!$B$43=A59),'Aerodynamics-Cruise'!V36,Y59)</f>
        <v>119634.20118541416</v>
      </c>
      <c r="Z59" s="102">
        <f ca="1">IF(AND(Energy!$F$11=$A$3,Main!$B$43=$A59),Summary!Z36,Z59)</f>
        <v>87967.880771941011</v>
      </c>
      <c r="AA59" s="102">
        <f ca="1">IF(AND(Energy!$F$11=$A$3,Main!$B$43=$A59),Summary!AA36,AA59)</f>
        <v>356668.41954092978</v>
      </c>
      <c r="AB59" s="103">
        <f ca="1">IF(AND(Energy!$F$11=$A$3,Main!$B$43=$A59),Summary!AB36,AB59)</f>
        <v>2.6365718704308927</v>
      </c>
      <c r="AC59" s="103">
        <f ca="1">IF(AND(Energy!$F$11=$A$3,Main!$B$43=$A59),Summary!AC36,AC59)</f>
        <v>2.8590355276267254</v>
      </c>
      <c r="AD59" s="103">
        <f ca="1">IF(AND(Energy!$F$11=$A$3,Main!$B$43=$A59),Summary!AD36,AD59)</f>
        <v>0.37440416206256016</v>
      </c>
      <c r="AE59" s="103">
        <f ca="1">IF(AND(Energy!$F$11=$A$3,Main!$B$43=$A59),Summary!AE36,AE59)</f>
        <v>1.4345029239766085</v>
      </c>
      <c r="AF59" s="103">
        <f ca="1">IF(AND(Energy!$F$11=$A$3,Main!$B$43=$A59),Summary!AF36,AF59)</f>
        <v>24.007177033492823</v>
      </c>
      <c r="AG59" s="103">
        <f ca="1">IF(AND(Energy!$F$11=$A$3,Main!$B$43=$A59),Summary!AG36,AG59)</f>
        <v>9.2598498953722519</v>
      </c>
      <c r="AH59" s="103">
        <f ca="1">IF(AND(Energy!$F$11=$A$3,Main!$B$43=$A59),Summary!AH36,AH59)</f>
        <v>47</v>
      </c>
      <c r="AI59" s="103">
        <f ca="1">IF(AND(Energy!$F$11=$A$3,Main!$B$43=$A59),Summary!AI36,AI59)</f>
        <v>2.7918213442073134</v>
      </c>
      <c r="AJ59" s="103">
        <f ca="1">IF(AND(Energy!$F$11=$A$3,Main!$B$43=$A59),Summary!AJ36,AJ59)</f>
        <v>0.34517032408859344</v>
      </c>
      <c r="AK59" s="103">
        <f ca="1">IF(AND(Energy!$F$11=$A$3,Main!$B$43=$A59),Summary!AK36,AK59)</f>
        <v>0.01</v>
      </c>
      <c r="AL59" s="103">
        <f ca="1">IF(AND(Energy!$F$11=$A$3,Main!$B$43=$A59),Summary!AL36,AL59)</f>
        <v>-0.30399807479156493</v>
      </c>
      <c r="AM59" s="103">
        <f ca="1">IF(AND(Energy!$F$11=$A$3,Main!$B$43=$A59),Summary!AM36,AM59)</f>
        <v>0.34375</v>
      </c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</row>
    <row r="60" spans="1:54">
      <c r="A60">
        <f t="shared" si="3"/>
        <v>3</v>
      </c>
      <c r="B60" s="100"/>
      <c r="C60" s="100"/>
      <c r="D60" s="1">
        <f ca="1">IF(AND(Energy!$F$11=$A$3,Main!$B$43=A60),Main!C37,D60)</f>
        <v>6.026315789473685</v>
      </c>
      <c r="E60" s="103">
        <f ca="1">IF(AND(Energy!$F$11=$A$3,Main!$B$43=A60),Main!B37,E60)</f>
        <v>0.24444444444444446</v>
      </c>
      <c r="F60" s="103">
        <f ca="1">IF(Main!$D$6=1,U60,IF(Main!$D$6=2,N60,IF(Main!$D$6=3,K60,IF(Main!$D$6=4,V60,J60))))</f>
        <v>378.45967240444389</v>
      </c>
      <c r="G60" s="103">
        <f ca="1">IF(AND(Energy!$F$11=$A$3,Main!$B$43=A60),Weight!H37,G60)</f>
        <v>10</v>
      </c>
      <c r="H60" s="103">
        <f ca="1">IF(AND(Energy!$F$11=$A$3,Main!$B$43=A60),Weight!U37,H60)</f>
        <v>16.012045802589888</v>
      </c>
      <c r="I60" s="103">
        <f ca="1">IF(AND(Energy!$F$11=$A$3,Main!$B$43=A60),Weight!V37,I60)</f>
        <v>37.460866946498278</v>
      </c>
      <c r="J60" s="103">
        <f ca="1">IF(AND(Energy!$F$11=$A$3,Main!$B$43=A60),Weight!I37,J60)</f>
        <v>11.388462868908393</v>
      </c>
      <c r="K60" s="103">
        <f ca="1">IF(AND(Energy!$F$11=$A$3,Main!$B$43=A60),Weight!W37,K60)</f>
        <v>47.450077691327465</v>
      </c>
      <c r="L60" s="103">
        <f ca="1">IF(AND(Energy!$F$11=$A$3,Main!$B$43=A60),'Aerodynamics-Cruise'!BI37,L60)</f>
        <v>47.468154584633737</v>
      </c>
      <c r="M60" s="103">
        <f ca="1">IF(AND(Energy!$F$11=$A$3,Main!$B$43=A60),'Aerodynamics-Cruise'!BJ37,M60)</f>
        <v>2.225396710501911</v>
      </c>
      <c r="N60" s="103">
        <f ca="1">IF(AND(Energy!$F$11=$A$3,Main!$B$43=A60),'Aerodynamics-Cruise'!BK37,N60)</f>
        <v>21.330198953124128</v>
      </c>
      <c r="O60" s="103">
        <f t="shared" ca="1" si="0"/>
        <v>146.9589635124712</v>
      </c>
      <c r="P60" s="103">
        <f ca="1">IF(AND(Energy!$F$11=$A$3,Main!$B$43=A60),'Aerodynamics-Cruise'!H37,P60)</f>
        <v>7.669913721693483</v>
      </c>
      <c r="Q60" s="103">
        <f ca="1">IF(AND(Energy!$F$11=$A$3,Main!$B$43=A60),'Aerodynamics-Cruise'!I37,Q60)</f>
        <v>6.4273229139801646</v>
      </c>
      <c r="R60" s="103">
        <f ca="1">IF(AND(Energy!$F$11=$A$3,Main!$B$43=$A60),Summary!R37,R60)</f>
        <v>22.833290245181882</v>
      </c>
      <c r="S60" s="103">
        <f ca="1">IF(AND(Energy!$F$11=$A$3,Main!$B$43=A60),'Aerodynamics-Cruise'!W37,S60)</f>
        <v>1</v>
      </c>
      <c r="T60" s="103">
        <f ca="1">IF(AND(Energy!$F$11=$A$3,Main!$B$43=A60),'Aerodynamics-Cruise'!BL37,T60)</f>
        <v>17.068600766090146</v>
      </c>
      <c r="U60" s="103">
        <f ca="1">IF(AND(Energy!$F$11=$A$3,Main!$B$43=A60),'Propulsion-Cruise'!M37,U60)</f>
        <v>39.177081707423334</v>
      </c>
      <c r="V60" s="103">
        <f ca="1">IF(AND(Energy!$F$11=$A$3,Main!$B$43=A60),Endurance!AP37,V60)</f>
        <v>378.45967240444389</v>
      </c>
      <c r="W60" s="103">
        <f ca="1">IF(AND(Energy!$F$11=$A$3,Main!$B$43=$A60),Summary!W37,W60)</f>
        <v>130.75286513083569</v>
      </c>
      <c r="X60" s="13">
        <f ca="1">IF(AND(Energy!$F$11=$A$3,Main!$B$43=A60),Energy!D37,X60)</f>
        <v>757.11232750053784</v>
      </c>
      <c r="Y60" s="102">
        <f ca="1">IF(AND(Energy!$F$11=$A$3,Main!$B$43=A60),'Aerodynamics-Cruise'!V37,Y60)</f>
        <v>118909.32871271617</v>
      </c>
      <c r="Z60" s="102">
        <f ca="1">IF(AND(Energy!$F$11=$A$3,Main!$B$43=$A60),Summary!Z37,Z60)</f>
        <v>87438.680845165305</v>
      </c>
      <c r="AA60" s="102">
        <f ca="1">IF(AND(Energy!$F$11=$A$3,Main!$B$43=$A60),Summary!AA37,AA60)</f>
        <v>353992.40641754022</v>
      </c>
      <c r="AB60" s="103">
        <f ca="1">IF(AND(Energy!$F$11=$A$3,Main!$B$43=$A60),Summary!AB37,AB60)</f>
        <v>2.6424059274917497</v>
      </c>
      <c r="AC60" s="103">
        <f ca="1">IF(AND(Energy!$F$11=$A$3,Main!$B$43=$A60),Summary!AC37,AC60)</f>
        <v>2.8001068625051526</v>
      </c>
      <c r="AD60" s="103">
        <f ca="1">IF(AND(Energy!$F$11=$A$3,Main!$B$43=$A60),Summary!AD37,AD60)</f>
        <v>0.37505138053253217</v>
      </c>
      <c r="AE60" s="103">
        <f ca="1">IF(AND(Energy!$F$11=$A$3,Main!$B$43=$A60),Summary!AE37,AE60)</f>
        <v>1.4730994152046786</v>
      </c>
      <c r="AF60" s="103">
        <f ca="1">IF(AND(Energy!$F$11=$A$3,Main!$B$43=$A60),Summary!AF37,AF60)</f>
        <v>24.653110047846891</v>
      </c>
      <c r="AG60" s="103">
        <f ca="1">IF(AND(Energy!$F$11=$A$3,Main!$B$43=$A60),Summary!AG37,AG60)</f>
        <v>9.3074347982386669</v>
      </c>
      <c r="AH60" s="103">
        <f ca="1">IF(AND(Energy!$F$11=$A$3,Main!$B$43=$A60),Summary!AH37,AH60)</f>
        <v>47</v>
      </c>
      <c r="AI60" s="103">
        <f ca="1">IF(AND(Energy!$F$11=$A$3,Main!$B$43=$A60),Summary!AI37,AI60)</f>
        <v>2.7915066001324633</v>
      </c>
      <c r="AJ60" s="103">
        <f ca="1">IF(AND(Energy!$F$11=$A$3,Main!$B$43=$A60),Summary!AJ37,AJ60)</f>
        <v>0.34565491764915679</v>
      </c>
      <c r="AK60" s="103">
        <f ca="1">IF(AND(Energy!$F$11=$A$3,Main!$B$43=$A60),Summary!AK37,AK60)</f>
        <v>0.01</v>
      </c>
      <c r="AL60" s="103">
        <f ca="1">IF(AND(Energy!$F$11=$A$3,Main!$B$43=$A60),Summary!AL37,AL60)</f>
        <v>-0.30357206871396381</v>
      </c>
      <c r="AM60" s="103">
        <f ca="1">IF(AND(Energy!$F$11=$A$3,Main!$B$43=$A60),Summary!AM37,AM60)</f>
        <v>0.34375</v>
      </c>
      <c r="AN60" s="100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</row>
    <row r="61" spans="1:54">
      <c r="A61">
        <f t="shared" si="3"/>
        <v>3</v>
      </c>
      <c r="B61" s="100"/>
      <c r="C61" s="100"/>
      <c r="D61" s="1">
        <f ca="1">IF(AND(Energy!$F$11=$A$3,Main!$B$43=A61),Main!C38,D61)</f>
        <v>6.1842105263157903</v>
      </c>
      <c r="E61" s="103">
        <f ca="1">IF(AND(Energy!$F$11=$A$3,Main!$B$43=A61),Main!B38,E61)</f>
        <v>0.24444444444444446</v>
      </c>
      <c r="F61" s="103">
        <f ca="1">IF(Main!$D$6=1,U61,IF(Main!$D$6=2,N61,IF(Main!$D$6=3,K61,IF(Main!$D$6=4,V61,J61))))</f>
        <v>382.29098991310195</v>
      </c>
      <c r="G61" s="103">
        <f ca="1">IF(AND(Energy!$F$11=$A$3,Main!$B$43=A61),Weight!H38,G61)</f>
        <v>10</v>
      </c>
      <c r="H61" s="103">
        <f ca="1">IF(AND(Energy!$F$11=$A$3,Main!$B$43=A61),Weight!U38,H61)</f>
        <v>16.535073200519321</v>
      </c>
      <c r="I61" s="103">
        <f ca="1">IF(AND(Energy!$F$11=$A$3,Main!$B$43=A61),Weight!V38,I61)</f>
        <v>38.183855253913173</v>
      </c>
      <c r="J61" s="103">
        <f ca="1">IF(AND(Energy!$F$11=$A$3,Main!$B$43=A61),Weight!I38,J61)</f>
        <v>11.588423778393853</v>
      </c>
      <c r="K61" s="103">
        <f ca="1">IF(AND(Energy!$F$11=$A$3,Main!$B$43=A61),Weight!W38,K61)</f>
        <v>48.17306256522653</v>
      </c>
      <c r="L61" s="103">
        <f ca="1">IF(AND(Energy!$F$11=$A$3,Main!$B$43=A61),'Aerodynamics-Cruise'!BI38,L61)</f>
        <v>48.191174942745128</v>
      </c>
      <c r="M61" s="103">
        <f ca="1">IF(AND(Energy!$F$11=$A$3,Main!$B$43=A61),'Aerodynamics-Cruise'!BJ38,M61)</f>
        <v>2.2539055876771426</v>
      </c>
      <c r="N61" s="103">
        <f ca="1">IF(AND(Energy!$F$11=$A$3,Main!$B$43=A61),'Aerodynamics-Cruise'!BK38,N61)</f>
        <v>21.381186153591543</v>
      </c>
      <c r="O61" s="103">
        <f t="shared" ca="1" si="0"/>
        <v>148.42790313214161</v>
      </c>
      <c r="P61" s="103">
        <f ca="1">IF(AND(Energy!$F$11=$A$3,Main!$B$43=A61),'Aerodynamics-Cruise'!H38,P61)</f>
        <v>7.6288010325062086</v>
      </c>
      <c r="Q61" s="103">
        <f ca="1">IF(AND(Energy!$F$11=$A$3,Main!$B$43=A61),'Aerodynamics-Cruise'!I38,Q61)</f>
        <v>6.3931186756577123</v>
      </c>
      <c r="R61" s="103">
        <f ca="1">IF(AND(Energy!$F$11=$A$3,Main!$B$43=$A61),Summary!R38,R61)</f>
        <v>22.665619354986852</v>
      </c>
      <c r="S61" s="103">
        <f ca="1">IF(AND(Energy!$F$11=$A$3,Main!$B$43=A61),'Aerodynamics-Cruise'!W38,S61)</f>
        <v>1</v>
      </c>
      <c r="T61" s="103">
        <f ca="1">IF(AND(Energy!$F$11=$A$3,Main!$B$43=A61),'Aerodynamics-Cruise'!BL38,T61)</f>
        <v>17.194597274442899</v>
      </c>
      <c r="U61" s="103">
        <f ca="1">IF(AND(Energy!$F$11=$A$3,Main!$B$43=A61),'Propulsion-Cruise'!M38,U61)</f>
        <v>39.497842315540829</v>
      </c>
      <c r="V61" s="103">
        <f ca="1">IF(AND(Energy!$F$11=$A$3,Main!$B$43=A61),Endurance!AP38,V61)</f>
        <v>382.29098991310195</v>
      </c>
      <c r="W61" s="103">
        <f ca="1">IF(AND(Energy!$F$11=$A$3,Main!$B$43=$A61),Summary!W38,W61)</f>
        <v>134.5165737698984</v>
      </c>
      <c r="X61" s="13">
        <f ca="1">IF(AND(Energy!$F$11=$A$3,Main!$B$43=A61),Energy!D38,X61)</f>
        <v>763.89863789809158</v>
      </c>
      <c r="Y61" s="102">
        <f ca="1">IF(AND(Energy!$F$11=$A$3,Main!$B$43=A61),'Aerodynamics-Cruise'!V38,Y61)</f>
        <v>118271.94445388073</v>
      </c>
      <c r="Z61" s="102">
        <f ca="1">IF(AND(Energy!$F$11=$A$3,Main!$B$43=$A61),Summary!Z38,Z61)</f>
        <v>86973.335562256645</v>
      </c>
      <c r="AA61" s="102">
        <f ca="1">IF(AND(Energy!$F$11=$A$3,Main!$B$43=$A61),Summary!AA38,AA61)</f>
        <v>351392.94653817243</v>
      </c>
      <c r="AB61" s="103">
        <f ca="1">IF(AND(Energy!$F$11=$A$3,Main!$B$43=$A61),Summary!AB38,AB61)</f>
        <v>2.6540045220506423</v>
      </c>
      <c r="AC61" s="103">
        <f ca="1">IF(AND(Energy!$F$11=$A$3,Main!$B$43=$A61),Summary!AC38,AC61)</f>
        <v>2.7416141413199049</v>
      </c>
      <c r="AD61" s="103">
        <f ca="1">IF(AND(Energy!$F$11=$A$3,Main!$B$43=$A61),Summary!AD38,AD61)</f>
        <v>0.37592937851858788</v>
      </c>
      <c r="AE61" s="103">
        <f ca="1">IF(AND(Energy!$F$11=$A$3,Main!$B$43=$A61),Summary!AE38,AE61)</f>
        <v>1.5116959064327489</v>
      </c>
      <c r="AF61" s="103">
        <f ca="1">IF(AND(Energy!$F$11=$A$3,Main!$B$43=$A61),Summary!AF38,AF61)</f>
        <v>25.299043062200958</v>
      </c>
      <c r="AG61" s="103">
        <f ca="1">IF(AND(Energy!$F$11=$A$3,Main!$B$43=$A61),Summary!AG38,AG61)</f>
        <v>9.362437412736945</v>
      </c>
      <c r="AH61" s="103">
        <f ca="1">IF(AND(Energy!$F$11=$A$3,Main!$B$43=$A61),Summary!AH38,AH61)</f>
        <v>47</v>
      </c>
      <c r="AI61" s="103">
        <f ca="1">IF(AND(Energy!$F$11=$A$3,Main!$B$43=$A61),Summary!AI38,AI61)</f>
        <v>2.7912262632337304</v>
      </c>
      <c r="AJ61" s="103">
        <f ca="1">IF(AND(Energy!$F$11=$A$3,Main!$B$43=$A61),Summary!AJ38,AJ61)</f>
        <v>0.34605556073833021</v>
      </c>
      <c r="AK61" s="103">
        <f ca="1">IF(AND(Energy!$F$11=$A$3,Main!$B$43=$A61),Summary!AK38,AK61)</f>
        <v>0.01</v>
      </c>
      <c r="AL61" s="103">
        <f ca="1">IF(AND(Energy!$F$11=$A$3,Main!$B$43=$A61),Summary!AL38,AL61)</f>
        <v>-0.30322080313169048</v>
      </c>
      <c r="AM61" s="103">
        <f ca="1">IF(AND(Energy!$F$11=$A$3,Main!$B$43=$A61),Summary!AM38,AM61)</f>
        <v>0.34375</v>
      </c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</row>
    <row r="62" spans="1:54">
      <c r="A62">
        <f t="shared" si="3"/>
        <v>3</v>
      </c>
      <c r="B62" s="100"/>
      <c r="C62" s="100"/>
      <c r="D62" s="1">
        <f ca="1">IF(AND(Energy!$F$11=$A$3,Main!$B$43=A62),Main!C39,D62)</f>
        <v>6.3421052631578956</v>
      </c>
      <c r="E62" s="103">
        <f ca="1">IF(AND(Energy!$F$11=$A$3,Main!$B$43=A62),Main!B39,E62)</f>
        <v>0.24444444444444446</v>
      </c>
      <c r="F62" s="103">
        <f ca="1">IF(Main!$D$6=1,U62,IF(Main!$D$6=2,N62,IF(Main!$D$6=3,K62,IF(Main!$D$6=4,V62,J62))))</f>
        <v>386.63056354590788</v>
      </c>
      <c r="G62" s="103">
        <f ca="1">IF(AND(Energy!$F$11=$A$3,Main!$B$43=A62),Weight!H39,G62)</f>
        <v>10</v>
      </c>
      <c r="H62" s="103">
        <f ca="1">IF(AND(Energy!$F$11=$A$3,Main!$B$43=A62),Weight!U39,H62)</f>
        <v>17.074550209902085</v>
      </c>
      <c r="I62" s="103">
        <f ca="1">IF(AND(Energy!$F$11=$A$3,Main!$B$43=A62),Weight!V39,I62)</f>
        <v>38.950808674414496</v>
      </c>
      <c r="J62" s="103">
        <f ca="1">IF(AND(Energy!$F$11=$A$3,Main!$B$43=A62),Weight!I39,J62)</f>
        <v>11.815900189512414</v>
      </c>
      <c r="K62" s="103">
        <f ca="1">IF(AND(Energy!$F$11=$A$3,Main!$B$43=A62),Weight!W39,K62)</f>
        <v>48.939940473426773</v>
      </c>
      <c r="L62" s="103">
        <f ca="1">IF(AND(Energy!$F$11=$A$3,Main!$B$43=A62),'Aerodynamics-Cruise'!BI39,L62)</f>
        <v>48.958220429184948</v>
      </c>
      <c r="M62" s="103">
        <f ca="1">IF(AND(Energy!$F$11=$A$3,Main!$B$43=A62),'Aerodynamics-Cruise'!BJ39,M62)</f>
        <v>2.2846217234085113</v>
      </c>
      <c r="N62" s="103">
        <f ca="1">IF(AND(Energy!$F$11=$A$3,Main!$B$43=A62),'Aerodynamics-Cruise'!BK39,N62)</f>
        <v>21.429464636334796</v>
      </c>
      <c r="O62" s="103">
        <f t="shared" ca="1" si="0"/>
        <v>149.94228782843157</v>
      </c>
      <c r="P62" s="103">
        <f ca="1">IF(AND(Energy!$F$11=$A$3,Main!$B$43=A62),'Aerodynamics-Cruise'!H39,P62)</f>
        <v>7.5929445661431494</v>
      </c>
      <c r="Q62" s="103">
        <f ca="1">IF(AND(Energy!$F$11=$A$3,Main!$B$43=A62),'Aerodynamics-Cruise'!I39,Q62)</f>
        <v>6.363286512727206</v>
      </c>
      <c r="R62" s="103">
        <f ca="1">IF(AND(Energy!$F$11=$A$3,Main!$B$43=$A62),Summary!R39,R62)</f>
        <v>22.502675016879344</v>
      </c>
      <c r="S62" s="103">
        <f ca="1">IF(AND(Energy!$F$11=$A$3,Main!$B$43=A62),'Aerodynamics-Cruise'!W39,S62)</f>
        <v>1</v>
      </c>
      <c r="T62" s="103">
        <f ca="1">IF(AND(Energy!$F$11=$A$3,Main!$B$43=A62),'Aerodynamics-Cruise'!BL39,T62)</f>
        <v>17.347006100447253</v>
      </c>
      <c r="U62" s="103">
        <f ca="1">IF(AND(Energy!$F$11=$A$3,Main!$B$43=A62),'Propulsion-Cruise'!M39,U62)</f>
        <v>39.872430689647949</v>
      </c>
      <c r="V62" s="103">
        <f ca="1">IF(AND(Energy!$F$11=$A$3,Main!$B$43=A62),Endurance!AP39,V62)</f>
        <v>386.63056354590788</v>
      </c>
      <c r="W62" s="103">
        <f ca="1">IF(AND(Energy!$F$11=$A$3,Main!$B$43=$A62),Summary!W39,W62)</f>
        <v>138.79480845512541</v>
      </c>
      <c r="X62" s="13">
        <f ca="1">IF(AND(Energy!$F$11=$A$3,Main!$B$43=A62),Energy!D39,X62)</f>
        <v>771.61581035518714</v>
      </c>
      <c r="Y62" s="102">
        <f ca="1">IF(AND(Energy!$F$11=$A$3,Main!$B$43=A62),'Aerodynamics-Cruise'!V39,Y62)</f>
        <v>117716.04923785213</v>
      </c>
      <c r="Z62" s="102">
        <f ca="1">IF(AND(Energy!$F$11=$A$3,Main!$B$43=$A62),Summary!Z39,Z62)</f>
        <v>86567.471997410365</v>
      </c>
      <c r="AA62" s="102">
        <f ca="1">IF(AND(Energy!$F$11=$A$3,Main!$B$43=$A62),Summary!AA39,AA62)</f>
        <v>348866.76403274218</v>
      </c>
      <c r="AB62" s="103">
        <f ca="1">IF(AND(Energy!$F$11=$A$3,Main!$B$43=$A62),Summary!AB39,AB62)</f>
        <v>2.6711078282881</v>
      </c>
      <c r="AC62" s="103">
        <f ca="1">IF(AND(Energy!$F$11=$A$3,Main!$B$43=$A62),Summary!AC39,AC62)</f>
        <v>2.683624620636587</v>
      </c>
      <c r="AD62" s="103">
        <f ca="1">IF(AND(Energy!$F$11=$A$3,Main!$B$43=$A62),Summary!AD39,AD62)</f>
        <v>0.37702649984975328</v>
      </c>
      <c r="AE62" s="103">
        <f ca="1">IF(AND(Energy!$F$11=$A$3,Main!$B$43=$A62),Summary!AE39,AE62)</f>
        <v>1.5502923976608189</v>
      </c>
      <c r="AF62" s="103">
        <f ca="1">IF(AND(Energy!$F$11=$A$3,Main!$B$43=$A62),Summary!AF39,AF62)</f>
        <v>25.944976076555026</v>
      </c>
      <c r="AG62" s="103">
        <f ca="1">IF(AND(Energy!$F$11=$A$3,Main!$B$43=$A62),Summary!AG39,AG62)</f>
        <v>9.4246165288720682</v>
      </c>
      <c r="AH62" s="103">
        <f ca="1">IF(AND(Energy!$F$11=$A$3,Main!$B$43=$A62),Summary!AH39,AH62)</f>
        <v>47</v>
      </c>
      <c r="AI62" s="103">
        <f ca="1">IF(AND(Energy!$F$11=$A$3,Main!$B$43=$A62),Summary!AI39,AI62)</f>
        <v>2.7909794940436905</v>
      </c>
      <c r="AJ62" s="103">
        <f ca="1">IF(AND(Energy!$F$11=$A$3,Main!$B$43=$A62),Summary!AJ39,AJ62)</f>
        <v>0.34637558689665299</v>
      </c>
      <c r="AK62" s="103">
        <f ca="1">IF(AND(Energy!$F$11=$A$3,Main!$B$43=$A62),Summary!AK39,AK62)</f>
        <v>0.01</v>
      </c>
      <c r="AL62" s="103">
        <f ca="1">IF(AND(Energy!$F$11=$A$3,Main!$B$43=$A62),Summary!AL39,AL62)</f>
        <v>-0.30294085242317892</v>
      </c>
      <c r="AM62" s="103">
        <f ca="1">IF(AND(Energy!$F$11=$A$3,Main!$B$43=$A62),Summary!AM39,AM62)</f>
        <v>0.34375</v>
      </c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</row>
    <row r="63" spans="1:54">
      <c r="A63">
        <f t="shared" si="3"/>
        <v>3</v>
      </c>
      <c r="D63" s="1">
        <f ca="1">IF(AND(Energy!$F$11=$A$3,Main!$B$43=A63),Main!C40,D63)</f>
        <v>6.5</v>
      </c>
      <c r="E63" s="103">
        <f ca="1">IF(AND(Energy!$F$11=$A$3,Main!$B$43=A63),Main!B40,E63)</f>
        <v>0.24444444444444446</v>
      </c>
      <c r="F63" s="103">
        <f ca="1">IF(Main!$D$6=1,U63,IF(Main!$D$6=2,N63,IF(Main!$D$6=3,K63,IF(Main!$D$6=4,V63,J63))))</f>
        <v>391.47013638717874</v>
      </c>
      <c r="G63" s="103">
        <f ca="1">IF(AND(Energy!$F$11=$A$3,Main!$B$43=A63),Weight!H40,G63)</f>
        <v>10</v>
      </c>
      <c r="H63" s="103">
        <f ca="1">IF(AND(Energy!$F$11=$A$3,Main!$B$43=A63),Weight!U40,H63)</f>
        <v>17.630808407048661</v>
      </c>
      <c r="I63" s="103">
        <f ca="1">IF(AND(Energy!$F$11=$A$3,Main!$B$43=A63),Weight!V40,I63)</f>
        <v>39.761610414041414</v>
      </c>
      <c r="J63" s="103">
        <f ca="1">IF(AND(Energy!$F$11=$A$3,Main!$B$43=A63),Weight!I40,J63)</f>
        <v>12.070443731992757</v>
      </c>
      <c r="K63" s="103">
        <f ca="1">IF(AND(Energy!$F$11=$A$3,Main!$B$43=A63),Weight!W40,K63)</f>
        <v>49.750588132593101</v>
      </c>
      <c r="L63" s="103">
        <f ca="1">IF(AND(Energy!$F$11=$A$3,Main!$B$43=A63),'Aerodynamics-Cruise'!BI40,L63)</f>
        <v>49.769180812002915</v>
      </c>
      <c r="M63" s="103">
        <f ca="1">IF(AND(Energy!$F$11=$A$3,Main!$B$43=A63),'Aerodynamics-Cruise'!BJ40,M63)</f>
        <v>2.3175196021159463</v>
      </c>
      <c r="N63" s="103">
        <f ca="1">IF(AND(Energy!$F$11=$A$3,Main!$B$43=A63),'Aerodynamics-Cruise'!BK40,N63)</f>
        <v>21.475193032482903</v>
      </c>
      <c r="O63" s="103">
        <f t="shared" ca="1" si="0"/>
        <v>151.50163593889644</v>
      </c>
      <c r="P63" s="103">
        <f ca="1">IF(AND(Energy!$F$11=$A$3,Main!$B$43=A63),'Aerodynamics-Cruise'!H40,P63)</f>
        <v>7.5620099099186895</v>
      </c>
      <c r="Q63" s="103">
        <f ca="1">IF(AND(Energy!$F$11=$A$3,Main!$B$43=A63),'Aerodynamics-Cruise'!I40,Q63)</f>
        <v>6.3375486177993645</v>
      </c>
      <c r="R63" s="103">
        <f ca="1">IF(AND(Energy!$F$11=$A$3,Main!$B$43=$A63),Summary!R40,R63)</f>
        <v>22.344261287639522</v>
      </c>
      <c r="S63" s="103">
        <f ca="1">IF(AND(Energy!$F$11=$A$3,Main!$B$43=A63),'Aerodynamics-Cruise'!W40,S63)</f>
        <v>1</v>
      </c>
      <c r="T63" s="103">
        <f ca="1">IF(AND(Energy!$F$11=$A$3,Main!$B$43=A63),'Aerodynamics-Cruise'!BL40,T63)</f>
        <v>17.525106197631604</v>
      </c>
      <c r="U63" s="103">
        <f ca="1">IF(AND(Energy!$F$11=$A$3,Main!$B$43=A63),'Propulsion-Cruise'!M40,U63)</f>
        <v>40.299777942864303</v>
      </c>
      <c r="V63" s="103">
        <f ca="1">IF(AND(Energy!$F$11=$A$3,Main!$B$43=A63),Endurance!AP40,V63)</f>
        <v>391.47013638717874</v>
      </c>
      <c r="W63" s="103">
        <f ca="1">IF(AND(Energy!$F$11=$A$3,Main!$B$43=$A63),Summary!W40,W63)</f>
        <v>143.57901485419325</v>
      </c>
      <c r="X63" s="13">
        <f ca="1">IF(AND(Energy!$F$11=$A$3,Main!$B$43=A63),Energy!D40,X63)</f>
        <v>780.24851829271574</v>
      </c>
      <c r="Y63" s="102">
        <f ca="1">IF(AND(Energy!$F$11=$A$3,Main!$B$43=A63),'Aerodynamics-Cruise'!V40,Y63)</f>
        <v>117236.45854894973</v>
      </c>
      <c r="Z63" s="102">
        <f ca="1">IF(AND(Energy!$F$11=$A$3,Main!$B$43=$A63),Summary!Z40,Z63)</f>
        <v>86217.31057234692</v>
      </c>
      <c r="AA63" s="102">
        <f ca="1">IF(AND(Energy!$F$11=$A$3,Main!$B$43=$A63),Summary!AA40,AA63)</f>
        <v>346410.82112565223</v>
      </c>
      <c r="AB63" s="103">
        <f ca="1">IF(AND(Energy!$F$11=$A$3,Main!$B$43=$A63),Summary!AB40,AB63)</f>
        <v>2.6935279725502816</v>
      </c>
      <c r="AC63" s="103">
        <f ca="1">IF(AND(Energy!$F$11=$A$3,Main!$B$43=$A63),Summary!AC40,AC63)</f>
        <v>2.6261888298546787</v>
      </c>
      <c r="AD63" s="103">
        <f ca="1">IF(AND(Energy!$F$11=$A$3,Main!$B$43=$A63),Summary!AD40,AD63)</f>
        <v>0.37833312404326624</v>
      </c>
      <c r="AE63" s="103">
        <f ca="1">IF(AND(Energy!$F$11=$A$3,Main!$B$43=$A63),Summary!AE40,AE63)</f>
        <v>1.588888888888889</v>
      </c>
      <c r="AF63" s="103">
        <f ca="1">IF(AND(Energy!$F$11=$A$3,Main!$B$43=$A63),Summary!AF40,AF63)</f>
        <v>26.59090909090909</v>
      </c>
      <c r="AG63" s="103">
        <f ca="1">IF(AND(Energy!$F$11=$A$3,Main!$B$43=$A63),Summary!AG40,AG63)</f>
        <v>9.4938001606625892</v>
      </c>
      <c r="AH63" s="103">
        <f ca="1">IF(AND(Energy!$F$11=$A$3,Main!$B$43=$A63),Summary!AH40,AH63)</f>
        <v>47</v>
      </c>
      <c r="AI63" s="103">
        <f ca="1">IF(AND(Energy!$F$11=$A$3,Main!$B$43=$A63),Summary!AI40,AI63)</f>
        <v>2.7907657681747597</v>
      </c>
      <c r="AJ63" s="103">
        <f ca="1">IF(AND(Energy!$F$11=$A$3,Main!$B$43=$A63),Summary!AJ40,AJ63)</f>
        <v>0.34661789958707334</v>
      </c>
      <c r="AK63" s="103">
        <f ca="1">IF(AND(Energy!$F$11=$A$3,Main!$B$43=$A63),Summary!AK40,AK63)</f>
        <v>0.01</v>
      </c>
      <c r="AL63" s="103">
        <f ca="1">IF(AND(Energy!$F$11=$A$3,Main!$B$43=$A63),Summary!AL40,AL63)</f>
        <v>-0.30272929241227325</v>
      </c>
      <c r="AM63" s="103">
        <f ca="1">IF(AND(Energy!$F$11=$A$3,Main!$B$43=$A63),Summary!AM40,AM63)</f>
        <v>0.34375</v>
      </c>
    </row>
    <row r="64" spans="1:54">
      <c r="A64" s="7">
        <f>A44+1</f>
        <v>4</v>
      </c>
      <c r="D64" s="1">
        <f ca="1">IF(AND(Energy!$F$11=$A$3,Main!$B$43=A64),Main!C21,D64)</f>
        <v>3.5</v>
      </c>
      <c r="E64" s="103">
        <f ca="1">IF(AND(Energy!$F$11=$A$3,Main!$B$43=A64),Main!B21,E64)</f>
        <v>0.26666666666666666</v>
      </c>
      <c r="F64" s="103">
        <f ca="1">IF(Main!$D$6=1,U64,IF(Main!$D$6=2,N64,IF(Main!$D$6=3,K64,IF(Main!$D$6=4,V64,J64))))</f>
        <v>421.18673235046458</v>
      </c>
      <c r="G64" s="103">
        <f ca="1">IF(AND(Energy!$F$11=$A$3,Main!$B$43=A64),Weight!H21,G64)</f>
        <v>10</v>
      </c>
      <c r="H64" s="103">
        <f ca="1">IF(AND(Energy!$F$11=$A$3,Main!$B$43=A64),Weight!U21,H64)</f>
        <v>10.296420274232496</v>
      </c>
      <c r="I64" s="103">
        <f ca="1">IF(AND(Energy!$F$11=$A$3,Main!$B$43=A64),Weight!V21,I64)</f>
        <v>34.10342089140736</v>
      </c>
      <c r="J64" s="103">
        <f ca="1">IF(AND(Energy!$F$11=$A$3,Main!$B$43=A64),Weight!I21,J64)</f>
        <v>13.746642342174866</v>
      </c>
      <c r="K64" s="103">
        <f ca="1">IF(AND(Energy!$F$11=$A$3,Main!$B$43=A64),Weight!W21,K64)</f>
        <v>44.10339499999634</v>
      </c>
      <c r="L64" s="103">
        <f ca="1">IF(AND(Energy!$F$11=$A$3,Main!$B$43=A64),'Aerodynamics-Cruise'!BI21,L64)</f>
        <v>44.103446940738039</v>
      </c>
      <c r="M64" s="103">
        <f ca="1">IF(AND(Energy!$F$11=$A$3,Main!$B$43=A64),'Aerodynamics-Cruise'!BJ21,M64)</f>
        <v>2.2532653827823195</v>
      </c>
      <c r="N64" s="103">
        <f ca="1">IF(AND(Energy!$F$11=$A$3,Main!$B$43=A64),'Aerodynamics-Cruise'!BK21,N64)</f>
        <v>19.57312586335452</v>
      </c>
      <c r="O64" s="103">
        <f t="shared" ca="1" si="0"/>
        <v>129.98596285897111</v>
      </c>
      <c r="P64" s="103">
        <f ca="1">IF(AND(Energy!$F$11=$A$3,Main!$B$43=A64),'Aerodynamics-Cruise'!H21,P64)</f>
        <v>9.2949249118908366</v>
      </c>
      <c r="Q64" s="103">
        <f ca="1">IF(AND(Energy!$F$11=$A$3,Main!$B$43=A64),'Aerodynamics-Cruise'!I21,Q64)</f>
        <v>7.7681884156133236</v>
      </c>
      <c r="R64" s="103">
        <f ca="1">IF(AND(Energy!$F$11=$A$3,Main!$B$43=$A64),Summary!R21,R64)</f>
        <v>25.862811963564848</v>
      </c>
      <c r="S64" s="103">
        <f ca="1">IF(AND(Energy!$F$11=$A$3,Main!$B$43=A64),'Aerodynamics-Cruise'!W21,S64)</f>
        <v>1</v>
      </c>
      <c r="T64" s="103">
        <f ca="1">IF(AND(Energy!$F$11=$A$3,Main!$B$43=A64),'Aerodynamics-Cruise'!BL21,T64)</f>
        <v>20.943932539524624</v>
      </c>
      <c r="U64" s="103">
        <f ca="1">IF(AND(Energy!$F$11=$A$3,Main!$B$43=A64),'Propulsion-Cruise'!M21,U64)</f>
        <v>45.176896922881284</v>
      </c>
      <c r="V64" s="103">
        <f ca="1">IF(AND(Energy!$F$11=$A$3,Main!$B$43=A64),Endurance!AP21,V64)</f>
        <v>421.18673235046458</v>
      </c>
      <c r="W64" s="103">
        <f ca="1">IF(AND(Energy!$F$11=$A$3,Main!$B$43=$A64),Summary!W21,W64)</f>
        <v>175.38508587448933</v>
      </c>
      <c r="X64" s="13">
        <f ca="1">IF(AND(Energy!$F$11=$A$3,Main!$B$43=A64),Energy!D21,X64)</f>
        <v>837.36827568478839</v>
      </c>
      <c r="Y64" s="102">
        <f ca="1">IF(AND(Energy!$F$11=$A$3,Main!$B$43=A64),'Aerodynamics-Cruise'!V21,Y64)</f>
        <v>157202.66179293985</v>
      </c>
      <c r="Z64" s="102">
        <f ca="1">IF(AND(Energy!$F$11=$A$3,Main!$B$43=$A64),Summary!Z21,Z64)</f>
        <v>115289.53037389551</v>
      </c>
      <c r="AA64" s="102">
        <f ca="1">IF(AND(Energy!$F$11=$A$3,Main!$B$43=$A64),Summary!AA21,AA64)</f>
        <v>437411.0518011286</v>
      </c>
      <c r="AB64" s="103">
        <f ca="1">IF(AND(Energy!$F$11=$A$3,Main!$B$43=$A64),Summary!AB21,AB64)</f>
        <v>3.6332556273816086</v>
      </c>
      <c r="AC64" s="103">
        <f ca="1">IF(AND(Energy!$F$11=$A$3,Main!$B$43=$A64),Summary!AC21,AC64)</f>
        <v>3.4784303331980939</v>
      </c>
      <c r="AD64" s="103">
        <f ca="1">IF(AND(Energy!$F$11=$A$3,Main!$B$43=$A64),Summary!AD21,AD64)</f>
        <v>0.40794008584025715</v>
      </c>
      <c r="AE64" s="103">
        <f ca="1">IF(AND(Energy!$F$11=$A$3,Main!$B$43=$A64),Summary!AE21,AE64)</f>
        <v>0.93333333333333335</v>
      </c>
      <c r="AF64" s="103">
        <f ca="1">IF(AND(Energy!$F$11=$A$3,Main!$B$43=$A64),Summary!AF21,AF64)</f>
        <v>13.125</v>
      </c>
      <c r="AG64" s="103">
        <f ca="1">IF(AND(Energy!$F$11=$A$3,Main!$B$43=$A64),Summary!AG21,AG64)</f>
        <v>9.8930034581036228</v>
      </c>
      <c r="AH64" s="103">
        <f ca="1">IF(AND(Energy!$F$11=$A$3,Main!$B$43=$A64),Summary!AH21,AH64)</f>
        <v>47</v>
      </c>
      <c r="AI64" s="103">
        <f ca="1">IF(AND(Energy!$F$11=$A$3,Main!$B$43=$A64),Summary!AI21,AI64)</f>
        <v>2.8061385969219796</v>
      </c>
      <c r="AJ64" s="103">
        <f ca="1">IF(AND(Energy!$F$11=$A$3,Main!$B$43=$A64),Summary!AJ21,AJ64)</f>
        <v>0.29894075681573218</v>
      </c>
      <c r="AK64" s="103">
        <f ca="1">IF(AND(Energy!$F$11=$A$3,Main!$B$43=$A64),Summary!AK21,AK64)</f>
        <v>0.01</v>
      </c>
      <c r="AL64" s="103">
        <f ca="1">IF(AND(Energy!$F$11=$A$3,Main!$B$43=$A64),Summary!AL21,AL64)</f>
        <v>-0.35127254496182536</v>
      </c>
      <c r="AM64" s="103">
        <f ca="1">IF(AND(Energy!$F$11=$A$3,Main!$B$43=$A64),Summary!AM21,AM64)</f>
        <v>0.34375</v>
      </c>
    </row>
    <row r="65" spans="1:39">
      <c r="A65">
        <f>A64</f>
        <v>4</v>
      </c>
      <c r="D65" s="1">
        <f ca="1">IF(AND(Energy!$F$11=$A$3,Main!$B$43=A65),Main!C22,D65)</f>
        <v>3.6578947368421053</v>
      </c>
      <c r="E65" s="103">
        <f ca="1">IF(AND(Energy!$F$11=$A$3,Main!$B$43=A65),Main!B22,E65)</f>
        <v>0.26666666666666666</v>
      </c>
      <c r="F65" s="103">
        <f ca="1">IF(Main!$D$6=1,U65,IF(Main!$D$6=2,N65,IF(Main!$D$6=3,K65,IF(Main!$D$6=4,V65,J65))))</f>
        <v>406.04244899573814</v>
      </c>
      <c r="G65" s="103">
        <f ca="1">IF(AND(Energy!$F$11=$A$3,Main!$B$43=A65),Weight!H22,G65)</f>
        <v>10</v>
      </c>
      <c r="H65" s="103">
        <f ca="1">IF(AND(Energy!$F$11=$A$3,Main!$B$43=A65),Weight!U22,H65)</f>
        <v>10.57573243904222</v>
      </c>
      <c r="I65" s="103">
        <f ca="1">IF(AND(Energy!$F$11=$A$3,Main!$B$43=A65),Weight!V22,I65)</f>
        <v>33.561217975412674</v>
      </c>
      <c r="J65" s="103">
        <f ca="1">IF(AND(Energy!$F$11=$A$3,Main!$B$43=A65),Weight!I22,J65)</f>
        <v>12.925127261370459</v>
      </c>
      <c r="K65" s="103">
        <f ca="1">IF(AND(Energy!$F$11=$A$3,Main!$B$43=A65),Weight!W22,K65)</f>
        <v>43.56119639827115</v>
      </c>
      <c r="L65" s="103">
        <f ca="1">IF(AND(Energy!$F$11=$A$3,Main!$B$43=A65),'Aerodynamics-Cruise'!BI22,L65)</f>
        <v>43.561239743803448</v>
      </c>
      <c r="M65" s="103">
        <f ca="1">IF(AND(Energy!$F$11=$A$3,Main!$B$43=A65),'Aerodynamics-Cruise'!BJ22,M65)</f>
        <v>2.2062750643196747</v>
      </c>
      <c r="N65" s="103">
        <f ca="1">IF(AND(Energy!$F$11=$A$3,Main!$B$43=A65),'Aerodynamics-Cruise'!BK22,N65)</f>
        <v>19.744246965523296</v>
      </c>
      <c r="O65" s="103">
        <f t="shared" ca="1" si="0"/>
        <v>130.31388433864066</v>
      </c>
      <c r="P65" s="103">
        <f ca="1">IF(AND(Energy!$F$11=$A$3,Main!$B$43=A65),'Aerodynamics-Cruise'!H22,P65)</f>
        <v>9.0359610025542771</v>
      </c>
      <c r="Q65" s="103">
        <f ca="1">IF(AND(Energy!$F$11=$A$3,Main!$B$43=A65),'Aerodynamics-Cruise'!I22,Q65)</f>
        <v>7.5533101164781993</v>
      </c>
      <c r="R65" s="103">
        <f ca="1">IF(AND(Energy!$F$11=$A$3,Main!$B$43=$A65),Summary!R22,R65)</f>
        <v>25.568465311567863</v>
      </c>
      <c r="S65" s="103">
        <f ca="1">IF(AND(Energy!$F$11=$A$3,Main!$B$43=A65),'Aerodynamics-Cruise'!W22,S65)</f>
        <v>1</v>
      </c>
      <c r="T65" s="103">
        <f ca="1">IF(AND(Energy!$F$11=$A$3,Main!$B$43=A65),'Aerodynamics-Cruise'!BL22,T65)</f>
        <v>19.935815442100509</v>
      </c>
      <c r="U65" s="103">
        <f ca="1">IF(AND(Energy!$F$11=$A$3,Main!$B$43=A65),'Propulsion-Cruise'!M22,U65)</f>
        <v>43.392524071732204</v>
      </c>
      <c r="V65" s="103">
        <f ca="1">IF(AND(Energy!$F$11=$A$3,Main!$B$43=A65),Endurance!AP22,V65)</f>
        <v>406.04244899573814</v>
      </c>
      <c r="W65" s="103">
        <f ca="1">IF(AND(Energy!$F$11=$A$3,Main!$B$43=$A65),Summary!W22,W65)</f>
        <v>159.96210167714287</v>
      </c>
      <c r="X65" s="13">
        <f ca="1">IF(AND(Energy!$F$11=$A$3,Main!$B$43=A65),Energy!D22,X65)</f>
        <v>809.52108496770279</v>
      </c>
      <c r="Y65" s="102">
        <f ca="1">IF(AND(Energy!$F$11=$A$3,Main!$B$43=A65),'Aerodynamics-Cruise'!V22,Y65)</f>
        <v>152822.87215053689</v>
      </c>
      <c r="Z65" s="102">
        <f ca="1">IF(AND(Energy!$F$11=$A$3,Main!$B$43=$A65),Summary!Z22,Z65)</f>
        <v>112100.31171283904</v>
      </c>
      <c r="AA65" s="102">
        <f ca="1">IF(AND(Energy!$F$11=$A$3,Main!$B$43=$A65),Summary!AA22,AA65)</f>
        <v>432432.84298046661</v>
      </c>
      <c r="AB65" s="103">
        <f ca="1">IF(AND(Energy!$F$11=$A$3,Main!$B$43=$A65),Summary!AB22,AB65)</f>
        <v>3.3853405240890995</v>
      </c>
      <c r="AC65" s="103">
        <f ca="1">IF(AND(Energy!$F$11=$A$3,Main!$B$43=$A65),Summary!AC22,AC65)</f>
        <v>3.4567753795143816</v>
      </c>
      <c r="AD65" s="103">
        <f ca="1">IF(AND(Energy!$F$11=$A$3,Main!$B$43=$A65),Summary!AD22,AD65)</f>
        <v>0.40033406311676961</v>
      </c>
      <c r="AE65" s="103">
        <f ca="1">IF(AND(Energy!$F$11=$A$3,Main!$B$43=$A65),Summary!AE22,AE65)</f>
        <v>0.9754385964912281</v>
      </c>
      <c r="AF65" s="103">
        <f ca="1">IF(AND(Energy!$F$11=$A$3,Main!$B$43=$A65),Summary!AF22,AF65)</f>
        <v>13.717105263157894</v>
      </c>
      <c r="AG65" s="103">
        <f ca="1">IF(AND(Energy!$F$11=$A$3,Main!$B$43=$A65),Summary!AG22,AG65)</f>
        <v>9.6802997831730142</v>
      </c>
      <c r="AH65" s="103">
        <f ca="1">IF(AND(Energy!$F$11=$A$3,Main!$B$43=$A65),Summary!AH22,AH65)</f>
        <v>47</v>
      </c>
      <c r="AI65" s="103">
        <f ca="1">IF(AND(Energy!$F$11=$A$3,Main!$B$43=$A65),Summary!AI22,AI65)</f>
        <v>2.804986618974151</v>
      </c>
      <c r="AJ65" s="103">
        <f ca="1">IF(AND(Energy!$F$11=$A$3,Main!$B$43=$A65),Summary!AJ22,AJ65)</f>
        <v>0.30142390428466909</v>
      </c>
      <c r="AK65" s="103">
        <f ca="1">IF(AND(Energy!$F$11=$A$3,Main!$B$43=$A65),Summary!AK22,AK65)</f>
        <v>0.01</v>
      </c>
      <c r="AL65" s="103">
        <f ca="1">IF(AND(Energy!$F$11=$A$3,Main!$B$43=$A65),Summary!AL22,AL65)</f>
        <v>-0.34837919625230207</v>
      </c>
      <c r="AM65" s="103">
        <f ca="1">IF(AND(Energy!$F$11=$A$3,Main!$B$43=$A65),Summary!AM22,AM65)</f>
        <v>0.34375</v>
      </c>
    </row>
    <row r="66" spans="1:39">
      <c r="A66">
        <f t="shared" ref="A66:A83" si="4">A65</f>
        <v>4</v>
      </c>
      <c r="D66" s="1">
        <f ca="1">IF(AND(Energy!$F$11=$A$3,Main!$B$43=A66),Main!C23,D66)</f>
        <v>3.8157894736842106</v>
      </c>
      <c r="E66" s="103">
        <f ca="1">IF(AND(Energy!$F$11=$A$3,Main!$B$43=A66),Main!B23,E66)</f>
        <v>0.26666666666666666</v>
      </c>
      <c r="F66" s="103">
        <f ca="1">IF(Main!$D$6=1,U66,IF(Main!$D$6=2,N66,IF(Main!$D$6=3,K66,IF(Main!$D$6=4,V66,J66))))</f>
        <v>394.40672942905883</v>
      </c>
      <c r="G66" s="103">
        <f ca="1">IF(AND(Energy!$F$11=$A$3,Main!$B$43=A66),Weight!H23,G66)</f>
        <v>10</v>
      </c>
      <c r="H66" s="103">
        <f ca="1">IF(AND(Energy!$F$11=$A$3,Main!$B$43=A66),Weight!U23,H66)</f>
        <v>10.882616839189659</v>
      </c>
      <c r="I66" s="103">
        <f ca="1">IF(AND(Energy!$F$11=$A$3,Main!$B$43=A66),Weight!V23,I66)</f>
        <v>33.234807225860841</v>
      </c>
      <c r="J66" s="103">
        <f ca="1">IF(AND(Energy!$F$11=$A$3,Main!$B$43=A66),Weight!I23,J66)</f>
        <v>12.291832111671182</v>
      </c>
      <c r="K66" s="103">
        <f ca="1">IF(AND(Energy!$F$11=$A$3,Main!$B$43=A66),Weight!W23,K66)</f>
        <v>43.234790267477905</v>
      </c>
      <c r="L66" s="103">
        <f ca="1">IF(AND(Energy!$F$11=$A$3,Main!$B$43=A66),'Aerodynamics-Cruise'!BI23,L66)</f>
        <v>43.234824360198409</v>
      </c>
      <c r="M66" s="103">
        <f ca="1">IF(AND(Energy!$F$11=$A$3,Main!$B$43=A66),'Aerodynamics-Cruise'!BJ23,M66)</f>
        <v>2.1719522549563526</v>
      </c>
      <c r="N66" s="103">
        <f ca="1">IF(AND(Energy!$F$11=$A$3,Main!$B$43=A66),'Aerodynamics-Cruise'!BK23,N66)</f>
        <v>19.90597365183207</v>
      </c>
      <c r="O66" s="103">
        <f t="shared" ca="1" si="0"/>
        <v>130.8881334393931</v>
      </c>
      <c r="P66" s="103">
        <f ca="1">IF(AND(Energy!$F$11=$A$3,Main!$B$43=A66),'Aerodynamics-Cruise'!H23,P66)</f>
        <v>8.8137578119786166</v>
      </c>
      <c r="Q66" s="103">
        <f ca="1">IF(AND(Energy!$F$11=$A$3,Main!$B$43=A66),'Aerodynamics-Cruise'!I23,Q66)</f>
        <v>7.3688990783073267</v>
      </c>
      <c r="R66" s="103">
        <f ca="1">IF(AND(Energy!$F$11=$A$3,Main!$B$43=$A66),Summary!R23,R66)</f>
        <v>25.286649987051788</v>
      </c>
      <c r="S66" s="103">
        <f ca="1">IF(AND(Energy!$F$11=$A$3,Main!$B$43=A66),'Aerodynamics-Cruise'!W23,S66)</f>
        <v>1</v>
      </c>
      <c r="T66" s="103">
        <f ca="1">IF(AND(Energy!$F$11=$A$3,Main!$B$43=A66),'Aerodynamics-Cruise'!BL23,T66)</f>
        <v>19.143061154366123</v>
      </c>
      <c r="U66" s="103">
        <f ca="1">IF(AND(Energy!$F$11=$A$3,Main!$B$43=A66),'Propulsion-Cruise'!M23,U66)</f>
        <v>41.999938807057944</v>
      </c>
      <c r="V66" s="103">
        <f ca="1">IF(AND(Energy!$F$11=$A$3,Main!$B$43=A66),Endurance!AP23,V66)</f>
        <v>394.40672942905883</v>
      </c>
      <c r="W66" s="103">
        <f ca="1">IF(AND(Energy!$F$11=$A$3,Main!$B$43=$A66),Summary!W23,W66)</f>
        <v>148.07276445444387</v>
      </c>
      <c r="X66" s="13">
        <f ca="1">IF(AND(Energy!$F$11=$A$3,Main!$B$43=A66),Energy!D23,X66)</f>
        <v>788.05408751473328</v>
      </c>
      <c r="Y66" s="102">
        <f ca="1">IF(AND(Energy!$F$11=$A$3,Main!$B$43=A66),'Aerodynamics-Cruise'!V23,Y66)</f>
        <v>149064.80703989882</v>
      </c>
      <c r="Z66" s="102">
        <f ca="1">IF(AND(Energy!$F$11=$A$3,Main!$B$43=$A66),Summary!Z23,Z66)</f>
        <v>109363.29104597734</v>
      </c>
      <c r="AA66" s="102">
        <f ca="1">IF(AND(Energy!$F$11=$A$3,Main!$B$43=$A66),Summary!AA23,AA66)</f>
        <v>427666.5732614618</v>
      </c>
      <c r="AB66" s="103">
        <f ca="1">IF(AND(Energy!$F$11=$A$3,Main!$B$43=$A66),Summary!AB23,AB66)</f>
        <v>3.1919943696934263</v>
      </c>
      <c r="AC66" s="103">
        <f ca="1">IF(AND(Energy!$F$11=$A$3,Main!$B$43=$A66),Summary!AC23,AC66)</f>
        <v>3.4239713880441252</v>
      </c>
      <c r="AD66" s="103">
        <f ca="1">IF(AND(Energy!$F$11=$A$3,Main!$B$43=$A66),Summary!AD23,AD66)</f>
        <v>0.39414967261689016</v>
      </c>
      <c r="AE66" s="103">
        <f ca="1">IF(AND(Energy!$F$11=$A$3,Main!$B$43=$A66),Summary!AE23,AE66)</f>
        <v>1.0175438596491229</v>
      </c>
      <c r="AF66" s="103">
        <f ca="1">IF(AND(Energy!$F$11=$A$3,Main!$B$43=$A66),Summary!AF23,AF66)</f>
        <v>14.309210526315789</v>
      </c>
      <c r="AG66" s="103">
        <f ca="1">IF(AND(Energy!$F$11=$A$3,Main!$B$43=$A66),Summary!AG23,AG66)</f>
        <v>9.5145729213696875</v>
      </c>
      <c r="AH66" s="103">
        <f ca="1">IF(AND(Energy!$F$11=$A$3,Main!$B$43=$A66),Summary!AH23,AH66)</f>
        <v>47</v>
      </c>
      <c r="AI66" s="103">
        <f ca="1">IF(AND(Energy!$F$11=$A$3,Main!$B$43=$A66),Summary!AI23,AI66)</f>
        <v>2.8039715468349478</v>
      </c>
      <c r="AJ66" s="103">
        <f ca="1">IF(AND(Energy!$F$11=$A$3,Main!$B$43=$A66),Summary!AJ23,AJ66)</f>
        <v>0.3036216140480964</v>
      </c>
      <c r="AK66" s="103">
        <f ca="1">IF(AND(Energy!$F$11=$A$3,Main!$B$43=$A66),Summary!AK23,AK66)</f>
        <v>0.01</v>
      </c>
      <c r="AL66" s="103">
        <f ca="1">IF(AND(Energy!$F$11=$A$3,Main!$B$43=$A66),Summary!AL23,AL66)</f>
        <v>-0.34585794829362621</v>
      </c>
      <c r="AM66" s="103">
        <f ca="1">IF(AND(Energy!$F$11=$A$3,Main!$B$43=$A66),Summary!AM23,AM66)</f>
        <v>0.34375</v>
      </c>
    </row>
    <row r="67" spans="1:39">
      <c r="A67">
        <f t="shared" si="4"/>
        <v>4</v>
      </c>
      <c r="D67" s="1">
        <f ca="1">IF(AND(Energy!$F$11=$A$3,Main!$B$43=A67),Main!C24,D67)</f>
        <v>3.9736842105263159</v>
      </c>
      <c r="E67" s="103">
        <f ca="1">IF(AND(Energy!$F$11=$A$3,Main!$B$43=A67),Main!B24,E67)</f>
        <v>0.26666666666666666</v>
      </c>
      <c r="F67" s="103">
        <f ca="1">IF(Main!$D$6=1,U67,IF(Main!$D$6=2,N67,IF(Main!$D$6=3,K67,IF(Main!$D$6=4,V67,J67))))</f>
        <v>385.45805315371518</v>
      </c>
      <c r="G67" s="103">
        <f ca="1">IF(AND(Energy!$F$11=$A$3,Main!$B$43=A67),Weight!H24,G67)</f>
        <v>10</v>
      </c>
      <c r="H67" s="103">
        <f ca="1">IF(AND(Energy!$F$11=$A$3,Main!$B$43=A67),Weight!U24,H67)</f>
        <v>11.213601368674233</v>
      </c>
      <c r="I67" s="103">
        <f ca="1">IF(AND(Energy!$F$11=$A$3,Main!$B$43=A67),Weight!V24,I67)</f>
        <v>33.0767866615816</v>
      </c>
      <c r="J67" s="103">
        <f ca="1">IF(AND(Energy!$F$11=$A$3,Main!$B$43=A67),Weight!I24,J67)</f>
        <v>11.802827017907369</v>
      </c>
      <c r="K67" s="103">
        <f ca="1">IF(AND(Energy!$F$11=$A$3,Main!$B$43=A67),Weight!W24,K67)</f>
        <v>43.076773875921305</v>
      </c>
      <c r="L67" s="103">
        <f ca="1">IF(AND(Energy!$F$11=$A$3,Main!$B$43=A67),'Aerodynamics-Cruise'!BI24,L67)</f>
        <v>43.076799595484658</v>
      </c>
      <c r="M67" s="103">
        <f ca="1">IF(AND(Energy!$F$11=$A$3,Main!$B$43=A67),'Aerodynamics-Cruise'!BJ24,M67)</f>
        <v>2.1475510156109796</v>
      </c>
      <c r="N67" s="103">
        <f ca="1">IF(AND(Energy!$F$11=$A$3,Main!$B$43=A67),'Aerodynamics-Cruise'!BK24,N67)</f>
        <v>20.05856870563295</v>
      </c>
      <c r="O67" s="103">
        <f t="shared" ca="1" si="0"/>
        <v>131.65024003037263</v>
      </c>
      <c r="P67" s="103">
        <f ca="1">IF(AND(Energy!$F$11=$A$3,Main!$B$43=A67),'Aerodynamics-Cruise'!H24,P67)</f>
        <v>8.62101720388962</v>
      </c>
      <c r="Q67" s="103">
        <f ca="1">IF(AND(Energy!$F$11=$A$3,Main!$B$43=A67),'Aerodynamics-Cruise'!I24,Q67)</f>
        <v>7.2089123726509925</v>
      </c>
      <c r="R67" s="103">
        <f ca="1">IF(AND(Energy!$F$11=$A$3,Main!$B$43=$A67),Summary!R24,R67)</f>
        <v>25.016306555272436</v>
      </c>
      <c r="S67" s="103">
        <f ca="1">IF(AND(Energy!$F$11=$A$3,Main!$B$43=A67),'Aerodynamics-Cruise'!W24,S67)</f>
        <v>1</v>
      </c>
      <c r="T67" s="103">
        <f ca="1">IF(AND(Energy!$F$11=$A$3,Main!$B$43=A67),'Aerodynamics-Cruise'!BL24,T67)</f>
        <v>18.514074251812882</v>
      </c>
      <c r="U67" s="103">
        <f ca="1">IF(AND(Energy!$F$11=$A$3,Main!$B$43=A67),'Propulsion-Cruise'!M24,U67)</f>
        <v>40.906817138604069</v>
      </c>
      <c r="V67" s="103">
        <f ca="1">IF(AND(Energy!$F$11=$A$3,Main!$B$43=A67),Endurance!AP24,V67)</f>
        <v>385.45805315371518</v>
      </c>
      <c r="W67" s="103">
        <f ca="1">IF(AND(Energy!$F$11=$A$3,Main!$B$43=$A67),Summary!W24,W67)</f>
        <v>138.89231315259588</v>
      </c>
      <c r="X67" s="13">
        <f ca="1">IF(AND(Energy!$F$11=$A$3,Main!$B$43=A67),Energy!D24,X67)</f>
        <v>771.47814992572034</v>
      </c>
      <c r="Y67" s="102">
        <f ca="1">IF(AND(Energy!$F$11=$A$3,Main!$B$43=A67),'Aerodynamics-Cruise'!V24,Y67)</f>
        <v>145805.03496918324</v>
      </c>
      <c r="Z67" s="102">
        <f ca="1">IF(AND(Energy!$F$11=$A$3,Main!$B$43=$A67),Summary!Z24,Z67)</f>
        <v>106988.77806239476</v>
      </c>
      <c r="AA67" s="102">
        <f ca="1">IF(AND(Energy!$F$11=$A$3,Main!$B$43=$A67),Summary!AA24,AA67)</f>
        <v>423094.32469820726</v>
      </c>
      <c r="AB67" s="103">
        <f ca="1">IF(AND(Energy!$F$11=$A$3,Main!$B$43=$A67),Summary!AB24,AB67)</f>
        <v>3.0389494413378308</v>
      </c>
      <c r="AC67" s="103">
        <f ca="1">IF(AND(Energy!$F$11=$A$3,Main!$B$43=$A67),Summary!AC24,AC67)</f>
        <v>3.3830911631904965</v>
      </c>
      <c r="AD67" s="103">
        <f ca="1">IF(AND(Energy!$F$11=$A$3,Main!$B$43=$A67),Summary!AD24,AD67)</f>
        <v>0.38909929295475193</v>
      </c>
      <c r="AE67" s="103">
        <f ca="1">IF(AND(Energy!$F$11=$A$3,Main!$B$43=$A67),Summary!AE24,AE67)</f>
        <v>1.0596491228070175</v>
      </c>
      <c r="AF67" s="103">
        <f ca="1">IF(AND(Energy!$F$11=$A$3,Main!$B$43=$A67),Summary!AF24,AF67)</f>
        <v>14.901315789473685</v>
      </c>
      <c r="AG67" s="103">
        <f ca="1">IF(AND(Energy!$F$11=$A$3,Main!$B$43=$A67),Summary!AG24,AG67)</f>
        <v>9.3854920470082615</v>
      </c>
      <c r="AH67" s="103">
        <f ca="1">IF(AND(Energy!$F$11=$A$3,Main!$B$43=$A67),Summary!AH24,AH67)</f>
        <v>47</v>
      </c>
      <c r="AI67" s="103">
        <f ca="1">IF(AND(Energy!$F$11=$A$3,Main!$B$43=$A67),Summary!AI24,AI67)</f>
        <v>2.8030703562843446</v>
      </c>
      <c r="AJ67" s="103">
        <f ca="1">IF(AND(Energy!$F$11=$A$3,Main!$B$43=$A67),Summary!AJ24,AJ67)</f>
        <v>0.30557590488382325</v>
      </c>
      <c r="AK67" s="103">
        <f ca="1">IF(AND(Energy!$F$11=$A$3,Main!$B$43=$A67),Summary!AK24,AK67)</f>
        <v>0.01</v>
      </c>
      <c r="AL67" s="103">
        <f ca="1">IF(AND(Energy!$F$11=$A$3,Main!$B$43=$A67),Summary!AL24,AL67)</f>
        <v>-0.34364646344245003</v>
      </c>
      <c r="AM67" s="103">
        <f ca="1">IF(AND(Energy!$F$11=$A$3,Main!$B$43=$A67),Summary!AM24,AM67)</f>
        <v>0.34375</v>
      </c>
    </row>
    <row r="68" spans="1:39">
      <c r="A68">
        <f t="shared" si="4"/>
        <v>4</v>
      </c>
      <c r="D68" s="1">
        <f ca="1">IF(AND(Energy!$F$11=$A$3,Main!$B$43=A68),Main!C25,D68)</f>
        <v>4.1315789473684212</v>
      </c>
      <c r="E68" s="103">
        <f ca="1">IF(AND(Energy!$F$11=$A$3,Main!$B$43=A68),Main!B25,E68)</f>
        <v>0.26666666666666666</v>
      </c>
      <c r="F68" s="103">
        <f ca="1">IF(Main!$D$6=1,U68,IF(Main!$D$6=2,N68,IF(Main!$D$6=3,K68,IF(Main!$D$6=4,V68,J68))))</f>
        <v>378.63278068525119</v>
      </c>
      <c r="G68" s="103">
        <f ca="1">IF(AND(Energy!$F$11=$A$3,Main!$B$43=A68),Weight!H25,G68)</f>
        <v>10</v>
      </c>
      <c r="H68" s="103">
        <f ca="1">IF(AND(Energy!$F$11=$A$3,Main!$B$43=A68),Weight!U25,H68)</f>
        <v>11.566344350308597</v>
      </c>
      <c r="I68" s="103">
        <f ca="1">IF(AND(Energy!$F$11=$A$3,Main!$B$43=A68),Weight!V25,I68)</f>
        <v>33.054657308907338</v>
      </c>
      <c r="J68" s="103">
        <f ca="1">IF(AND(Energy!$F$11=$A$3,Main!$B$43=A68),Weight!I25,J68)</f>
        <v>11.42795468359874</v>
      </c>
      <c r="K68" s="103">
        <f ca="1">IF(AND(Energy!$F$11=$A$3,Main!$B$43=A68),Weight!W25,K68)</f>
        <v>43.054648170788482</v>
      </c>
      <c r="L68" s="103">
        <f ca="1">IF(AND(Energy!$F$11=$A$3,Main!$B$43=A68),'Aerodynamics-Cruise'!BI25,L68)</f>
        <v>43.054666566406645</v>
      </c>
      <c r="M68" s="103">
        <f ca="1">IF(AND(Energy!$F$11=$A$3,Main!$B$43=A68),'Aerodynamics-Cruise'!BJ25,M68)</f>
        <v>2.1311554079751396</v>
      </c>
      <c r="N68" s="103">
        <f ca="1">IF(AND(Energy!$F$11=$A$3,Main!$B$43=A68),'Aerodynamics-Cruise'!BK25,N68)</f>
        <v>20.202499735724992</v>
      </c>
      <c r="O68" s="103">
        <f t="shared" ca="1" si="0"/>
        <v>132.56083311609177</v>
      </c>
      <c r="P68" s="103">
        <f ca="1">IF(AND(Energy!$F$11=$A$3,Main!$B$43=A68),'Aerodynamics-Cruise'!H25,P68)</f>
        <v>8.4524553949912793</v>
      </c>
      <c r="Q68" s="103">
        <f ca="1">IF(AND(Energy!$F$11=$A$3,Main!$B$43=A68),'Aerodynamics-Cruise'!I25,Q68)</f>
        <v>7.0689742715692896</v>
      </c>
      <c r="R68" s="103">
        <f ca="1">IF(AND(Energy!$F$11=$A$3,Main!$B$43=$A68),Summary!R25,R68)</f>
        <v>24.756556081255766</v>
      </c>
      <c r="S68" s="103">
        <f ca="1">IF(AND(Energy!$F$11=$A$3,Main!$B$43=A68),'Aerodynamics-Cruise'!W25,S68)</f>
        <v>1</v>
      </c>
      <c r="T68" s="103">
        <f ca="1">IF(AND(Energy!$F$11=$A$3,Main!$B$43=A68),'Aerodynamics-Cruise'!BL25,T68)</f>
        <v>18.01349602570431</v>
      </c>
      <c r="U68" s="103">
        <f ca="1">IF(AND(Energy!$F$11=$A$3,Main!$B$43=A68),'Propulsion-Cruise'!M25,U68)</f>
        <v>40.049788135925994</v>
      </c>
      <c r="V68" s="103">
        <f ca="1">IF(AND(Energy!$F$11=$A$3,Main!$B$43=A68),Endurance!AP25,V68)</f>
        <v>378.63278068525119</v>
      </c>
      <c r="W68" s="103">
        <f ca="1">IF(AND(Energy!$F$11=$A$3,Main!$B$43=$A68),Summary!W25,W68)</f>
        <v>131.85457313431777</v>
      </c>
      <c r="X68" s="13">
        <f ca="1">IF(AND(Energy!$F$11=$A$3,Main!$B$43=A68),Energy!D25,X68)</f>
        <v>758.7710133574958</v>
      </c>
      <c r="Y68" s="102">
        <f ca="1">IF(AND(Energy!$F$11=$A$3,Main!$B$43=A68),'Aerodynamics-Cruise'!V25,Y68)</f>
        <v>142954.19267764917</v>
      </c>
      <c r="Z68" s="102">
        <f ca="1">IF(AND(Energy!$F$11=$A$3,Main!$B$43=$A68),Summary!Z25,Z68)</f>
        <v>104911.8274349438</v>
      </c>
      <c r="AA68" s="102">
        <f ca="1">IF(AND(Energy!$F$11=$A$3,Main!$B$43=$A68),Summary!AA25,AA68)</f>
        <v>418701.23209073913</v>
      </c>
      <c r="AB68" s="103">
        <f ca="1">IF(AND(Energy!$F$11=$A$3,Main!$B$43=$A68),Summary!AB25,AB68)</f>
        <v>2.9166934385511039</v>
      </c>
      <c r="AC68" s="103">
        <f ca="1">IF(AND(Energy!$F$11=$A$3,Main!$B$43=$A68),Summary!AC25,AC68)</f>
        <v>3.3363172321316781</v>
      </c>
      <c r="AD68" s="103">
        <f ca="1">IF(AND(Energy!$F$11=$A$3,Main!$B$43=$A68),Summary!AD25,AD68)</f>
        <v>0.38497659314306171</v>
      </c>
      <c r="AE68" s="103">
        <f ca="1">IF(AND(Energy!$F$11=$A$3,Main!$B$43=$A68),Summary!AE25,AE68)</f>
        <v>1.1017543859649124</v>
      </c>
      <c r="AF68" s="103">
        <f ca="1">IF(AND(Energy!$F$11=$A$3,Main!$B$43=$A68),Summary!AF25,AF68)</f>
        <v>15.493421052631579</v>
      </c>
      <c r="AG68" s="103">
        <f ca="1">IF(AND(Energy!$F$11=$A$3,Main!$B$43=$A68),Summary!AG25,AG68)</f>
        <v>9.285825799972347</v>
      </c>
      <c r="AH68" s="103">
        <f ca="1">IF(AND(Energy!$F$11=$A$3,Main!$B$43=$A68),Summary!AH25,AH68)</f>
        <v>47</v>
      </c>
      <c r="AI68" s="103">
        <f ca="1">IF(AND(Energy!$F$11=$A$3,Main!$B$43=$A68),Summary!AI25,AI68)</f>
        <v>2.8022658166752272</v>
      </c>
      <c r="AJ68" s="103">
        <f ca="1">IF(AND(Energy!$F$11=$A$3,Main!$B$43=$A68),Summary!AJ25,AJ68)</f>
        <v>0.30731895586342001</v>
      </c>
      <c r="AK68" s="103">
        <f ca="1">IF(AND(Energy!$F$11=$A$3,Main!$B$43=$A68),Summary!AK25,AK68)</f>
        <v>0.01</v>
      </c>
      <c r="AL68" s="103">
        <f ca="1">IF(AND(Energy!$F$11=$A$3,Main!$B$43=$A68),Summary!AL25,AL68)</f>
        <v>-0.34169780016532691</v>
      </c>
      <c r="AM68" s="103">
        <f ca="1">IF(AND(Energy!$F$11=$A$3,Main!$B$43=$A68),Summary!AM25,AM68)</f>
        <v>0.34375</v>
      </c>
    </row>
    <row r="69" spans="1:39">
      <c r="A69">
        <f t="shared" si="4"/>
        <v>4</v>
      </c>
      <c r="D69" s="1">
        <f ca="1">IF(AND(Energy!$F$11=$A$3,Main!$B$43=A69),Main!C26,D69)</f>
        <v>4.2894736842105265</v>
      </c>
      <c r="E69" s="103">
        <f ca="1">IF(AND(Energy!$F$11=$A$3,Main!$B$43=A69),Main!B26,E69)</f>
        <v>0.26666666666666666</v>
      </c>
      <c r="F69" s="103">
        <f ca="1">IF(Main!$D$6=1,U69,IF(Main!$D$6=2,N69,IF(Main!$D$6=3,K69,IF(Main!$D$6=4,V69,J69))))</f>
        <v>373.53012606741368</v>
      </c>
      <c r="G69" s="103">
        <f ca="1">IF(AND(Energy!$F$11=$A$3,Main!$B$43=A69),Weight!H26,G69)</f>
        <v>10</v>
      </c>
      <c r="H69" s="103">
        <f ca="1">IF(AND(Energy!$F$11=$A$3,Main!$B$43=A69),Weight!U26,H69)</f>
        <v>11.939230354676901</v>
      </c>
      <c r="I69" s="103">
        <f ca="1">IF(AND(Energy!$F$11=$A$3,Main!$B$43=A69),Weight!V26,I69)</f>
        <v>33.145346678591736</v>
      </c>
      <c r="J69" s="103">
        <f ca="1">IF(AND(Energy!$F$11=$A$3,Main!$B$43=A69),Weight!I26,J69)</f>
        <v>11.145758048914836</v>
      </c>
      <c r="K69" s="103">
        <f ca="1">IF(AND(Energy!$F$11=$A$3,Main!$B$43=A69),Weight!W26,K69)</f>
        <v>43.14534073737817</v>
      </c>
      <c r="L69" s="103">
        <f ca="1">IF(AND(Energy!$F$11=$A$3,Main!$B$43=A69),'Aerodynamics-Cruise'!BI26,L69)</f>
        <v>43.145352712315471</v>
      </c>
      <c r="M69" s="103">
        <f ca="1">IF(AND(Energy!$F$11=$A$3,Main!$B$43=A69),'Aerodynamics-Cruise'!BJ26,M69)</f>
        <v>2.1213821811063394</v>
      </c>
      <c r="N69" s="103">
        <f ca="1">IF(AND(Energy!$F$11=$A$3,Main!$B$43=A69),'Aerodynamics-Cruise'!BK26,N69)</f>
        <v>20.338321447488724</v>
      </c>
      <c r="O69" s="103">
        <f t="shared" ref="O69:O132" ca="1" si="5">L69^(3/2)/M69</f>
        <v>133.59251285069016</v>
      </c>
      <c r="P69" s="103">
        <f ca="1">IF(AND(Energy!$F$11=$A$3,Main!$B$43=A69),'Aerodynamics-Cruise'!H26,P69)</f>
        <v>8.3041161487173909</v>
      </c>
      <c r="Q69" s="103">
        <f ca="1">IF(AND(Energy!$F$11=$A$3,Main!$B$43=A69),'Aerodynamics-Cruise'!I26,Q69)</f>
        <v>6.9458079202373568</v>
      </c>
      <c r="R69" s="103">
        <f ca="1">IF(AND(Energy!$F$11=$A$3,Main!$B$43=$A69),Summary!R26,R69)</f>
        <v>24.506648581033232</v>
      </c>
      <c r="S69" s="103">
        <f ca="1">IF(AND(Energy!$F$11=$A$3,Main!$B$43=A69),'Aerodynamics-Cruise'!W26,S69)</f>
        <v>1</v>
      </c>
      <c r="T69" s="103">
        <f ca="1">IF(AND(Energy!$F$11=$A$3,Main!$B$43=A69),'Aerodynamics-Cruise'!BL26,T69)</f>
        <v>17.616204027726475</v>
      </c>
      <c r="U69" s="103">
        <f ca="1">IF(AND(Energy!$F$11=$A$3,Main!$B$43=A69),'Propulsion-Cruise'!M26,U69)</f>
        <v>39.383764214426122</v>
      </c>
      <c r="V69" s="103">
        <f ca="1">IF(AND(Energy!$F$11=$A$3,Main!$B$43=A69),Endurance!AP26,V69)</f>
        <v>373.53012606741368</v>
      </c>
      <c r="W69" s="103">
        <f ca="1">IF(AND(Energy!$F$11=$A$3,Main!$B$43=$A69),Summary!W26,W69)</f>
        <v>126.5567123151713</v>
      </c>
      <c r="X69" s="13">
        <f ca="1">IF(AND(Energy!$F$11=$A$3,Main!$B$43=A69),Energy!D26,X69)</f>
        <v>749.20533933486627</v>
      </c>
      <c r="Y69" s="102">
        <f ca="1">IF(AND(Energy!$F$11=$A$3,Main!$B$43=A69),'Aerodynamics-Cruise'!V26,Y69)</f>
        <v>140445.36935915399</v>
      </c>
      <c r="Z69" s="102">
        <f ca="1">IF(AND(Energy!$F$11=$A$3,Main!$B$43=$A69),Summary!Z26,Z69)</f>
        <v>103083.80355912958</v>
      </c>
      <c r="AA69" s="102">
        <f ca="1">IF(AND(Energy!$F$11=$A$3,Main!$B$43=$A69),Summary!AA26,AA69)</f>
        <v>414474.61115410912</v>
      </c>
      <c r="AB69" s="103">
        <f ca="1">IF(AND(Energy!$F$11=$A$3,Main!$B$43=$A69),Summary!AB26,AB69)</f>
        <v>2.8186308833448366</v>
      </c>
      <c r="AC69" s="103">
        <f ca="1">IF(AND(Energy!$F$11=$A$3,Main!$B$43=$A69),Summary!AC26,AC69)</f>
        <v>3.2852402930804927</v>
      </c>
      <c r="AD69" s="103">
        <f ca="1">IF(AND(Energy!$F$11=$A$3,Main!$B$43=$A69),Summary!AD26,AD69)</f>
        <v>0.38162848762740575</v>
      </c>
      <c r="AE69" s="103">
        <f ca="1">IF(AND(Energy!$F$11=$A$3,Main!$B$43=$A69),Summary!AE26,AE69)</f>
        <v>1.143859649122807</v>
      </c>
      <c r="AF69" s="103">
        <f ca="1">IF(AND(Energy!$F$11=$A$3,Main!$B$43=$A69),Summary!AF26,AF69)</f>
        <v>16.085526315789476</v>
      </c>
      <c r="AG69" s="103">
        <f ca="1">IF(AND(Energy!$F$11=$A$3,Main!$B$43=$A69),Summary!AG26,AG69)</f>
        <v>9.2103354069990395</v>
      </c>
      <c r="AH69" s="103">
        <f ca="1">IF(AND(Energy!$F$11=$A$3,Main!$B$43=$A69),Summary!AH26,AH69)</f>
        <v>47</v>
      </c>
      <c r="AI69" s="103">
        <f ca="1">IF(AND(Energy!$F$11=$A$3,Main!$B$43=$A69),Summary!AI26,AI69)</f>
        <v>2.8015446504995674</v>
      </c>
      <c r="AJ69" s="103">
        <f ca="1">IF(AND(Energy!$F$11=$A$3,Main!$B$43=$A69),Summary!AJ26,AJ69)</f>
        <v>0.3088761287125118</v>
      </c>
      <c r="AK69" s="103">
        <f ca="1">IF(AND(Energy!$F$11=$A$3,Main!$B$43=$A69),Summary!AK26,AK69)</f>
        <v>0.01</v>
      </c>
      <c r="AL69" s="103">
        <f ca="1">IF(AND(Energy!$F$11=$A$3,Main!$B$43=$A69),Summary!AL26,AL69)</f>
        <v>-0.33997559391400645</v>
      </c>
      <c r="AM69" s="103">
        <f ca="1">IF(AND(Energy!$F$11=$A$3,Main!$B$43=$A69),Summary!AM26,AM69)</f>
        <v>0.34375</v>
      </c>
    </row>
    <row r="70" spans="1:39">
      <c r="A70">
        <f t="shared" si="4"/>
        <v>4</v>
      </c>
      <c r="D70" s="1">
        <f ca="1">IF(AND(Energy!$F$11=$A$3,Main!$B$43=A70),Main!C27,D70)</f>
        <v>4.4473684210526319</v>
      </c>
      <c r="E70" s="103">
        <f ca="1">IF(AND(Energy!$F$11=$A$3,Main!$B$43=A70),Main!B27,E70)</f>
        <v>0.26666666666666666</v>
      </c>
      <c r="F70" s="103">
        <f ca="1">IF(Main!$D$6=1,U70,IF(Main!$D$6=2,N70,IF(Main!$D$6=3,K70,IF(Main!$D$6=4,V70,J70))))</f>
        <v>369.85693131236121</v>
      </c>
      <c r="G70" s="103">
        <f ca="1">IF(AND(Energy!$F$11=$A$3,Main!$B$43=A70),Weight!H27,G70)</f>
        <v>10</v>
      </c>
      <c r="H70" s="103">
        <f ca="1">IF(AND(Energy!$F$11=$A$3,Main!$B$43=A70),Weight!U27,H70)</f>
        <v>12.331132297057824</v>
      </c>
      <c r="I70" s="103">
        <f ca="1">IF(AND(Energy!$F$11=$A$3,Main!$B$43=A70),Weight!V27,I70)</f>
        <v>33.33202234940012</v>
      </c>
      <c r="J70" s="103">
        <f ca="1">IF(AND(Energy!$F$11=$A$3,Main!$B$43=A70),Weight!I27,J70)</f>
        <v>10.940531777342297</v>
      </c>
      <c r="K70" s="103">
        <f ca="1">IF(AND(Energy!$F$11=$A$3,Main!$B$43=A70),Weight!W27,K70)</f>
        <v>43.332019246911464</v>
      </c>
      <c r="L70" s="103">
        <f ca="1">IF(AND(Energy!$F$11=$A$3,Main!$B$43=A70),'Aerodynamics-Cruise'!BI27,L70)</f>
        <v>43.332025520049051</v>
      </c>
      <c r="M70" s="103">
        <f ca="1">IF(AND(Energy!$F$11=$A$3,Main!$B$43=A70),'Aerodynamics-Cruise'!BJ27,M70)</f>
        <v>2.1172054903748152</v>
      </c>
      <c r="N70" s="103">
        <f ca="1">IF(AND(Energy!$F$11=$A$3,Main!$B$43=A70),'Aerodynamics-Cruise'!BK27,N70)</f>
        <v>20.466613050572551</v>
      </c>
      <c r="O70" s="103">
        <f t="shared" ca="1" si="5"/>
        <v>134.72570777909004</v>
      </c>
      <c r="P70" s="103">
        <f ca="1">IF(AND(Energy!$F$11=$A$3,Main!$B$43=A70),'Aerodynamics-Cruise'!H27,P70)</f>
        <v>8.1729566830797431</v>
      </c>
      <c r="Q70" s="103">
        <f ca="1">IF(AND(Energy!$F$11=$A$3,Main!$B$43=A70),'Aerodynamics-Cruise'!I27,Q70)</f>
        <v>6.8368926545135622</v>
      </c>
      <c r="R70" s="103">
        <f ca="1">IF(AND(Energy!$F$11=$A$3,Main!$B$43=$A70),Summary!R27,R70)</f>
        <v>24.265930935904333</v>
      </c>
      <c r="S70" s="103">
        <f ca="1">IF(AND(Energy!$F$11=$A$3,Main!$B$43=A70),'Aerodynamics-Cruise'!W27,S70)</f>
        <v>1</v>
      </c>
      <c r="T70" s="103">
        <f ca="1">IF(AND(Energy!$F$11=$A$3,Main!$B$43=A70),'Aerodynamics-Cruise'!BL27,T70)</f>
        <v>17.303828762011971</v>
      </c>
      <c r="U70" s="103">
        <f ca="1">IF(AND(Energy!$F$11=$A$3,Main!$B$43=A70),'Propulsion-Cruise'!M27,U70)</f>
        <v>38.875740316401227</v>
      </c>
      <c r="V70" s="103">
        <f ca="1">IF(AND(Energy!$F$11=$A$3,Main!$B$43=A70),Endurance!AP27,V70)</f>
        <v>369.85693131236121</v>
      </c>
      <c r="W70" s="103">
        <f ca="1">IF(AND(Energy!$F$11=$A$3,Main!$B$43=$A70),Summary!W27,W70)</f>
        <v>122.7038817911918</v>
      </c>
      <c r="X70" s="13">
        <f ca="1">IF(AND(Energy!$F$11=$A$3,Main!$B$43=A70),Energy!D27,X70)</f>
        <v>742.24875881685841</v>
      </c>
      <c r="Y70" s="102">
        <f ca="1">IF(AND(Energy!$F$11=$A$3,Main!$B$43=A70),'Aerodynamics-Cruise'!V27,Y70)</f>
        <v>138227.10322865506</v>
      </c>
      <c r="Z70" s="102">
        <f ca="1">IF(AND(Energy!$F$11=$A$3,Main!$B$43=$A70),Summary!Z27,Z70)</f>
        <v>101467.29437488252</v>
      </c>
      <c r="AA70" s="102">
        <f ca="1">IF(AND(Energy!$F$11=$A$3,Main!$B$43=$A70),Summary!AA27,AA70)</f>
        <v>410403.41586060205</v>
      </c>
      <c r="AB70" s="103">
        <f ca="1">IF(AND(Energy!$F$11=$A$3,Main!$B$43=$A70),Summary!AB27,AB70)</f>
        <v>2.7400432568740278</v>
      </c>
      <c r="AC70" s="103">
        <f ca="1">IF(AND(Energy!$F$11=$A$3,Main!$B$43=$A70),Summary!AC27,AC70)</f>
        <v>3.231043132583495</v>
      </c>
      <c r="AD70" s="103">
        <f ca="1">IF(AND(Energy!$F$11=$A$3,Main!$B$43=$A70),Summary!AD27,AD70)</f>
        <v>0.37893831478411144</v>
      </c>
      <c r="AE70" s="103">
        <f ca="1">IF(AND(Energy!$F$11=$A$3,Main!$B$43=$A70),Summary!AE27,AE70)</f>
        <v>1.1859649122807019</v>
      </c>
      <c r="AF70" s="103">
        <f ca="1">IF(AND(Energy!$F$11=$A$3,Main!$B$43=$A70),Summary!AF27,AF70)</f>
        <v>16.677631578947366</v>
      </c>
      <c r="AG70" s="103">
        <f ca="1">IF(AND(Energy!$F$11=$A$3,Main!$B$43=$A70),Summary!AG27,AG70)</f>
        <v>9.1551207119188049</v>
      </c>
      <c r="AH70" s="103">
        <f ca="1">IF(AND(Energy!$F$11=$A$3,Main!$B$43=$A70),Summary!AH27,AH70)</f>
        <v>47</v>
      </c>
      <c r="AI70" s="103">
        <f ca="1">IF(AND(Energy!$F$11=$A$3,Main!$B$43=$A70),Summary!AI27,AI70)</f>
        <v>2.8008963724018336</v>
      </c>
      <c r="AJ70" s="103">
        <f ca="1">IF(AND(Energy!$F$11=$A$3,Main!$B$43=$A70),Summary!AJ27,AJ70)</f>
        <v>0.31026791150993305</v>
      </c>
      <c r="AK70" s="103">
        <f ca="1">IF(AND(Energy!$F$11=$A$3,Main!$B$43=$A70),Summary!AK27,AK70)</f>
        <v>0.01</v>
      </c>
      <c r="AL70" s="103">
        <f ca="1">IF(AND(Energy!$F$11=$A$3,Main!$B$43=$A70),Summary!AL27,AL70)</f>
        <v>-0.33845098720077749</v>
      </c>
      <c r="AM70" s="103">
        <f ca="1">IF(AND(Energy!$F$11=$A$3,Main!$B$43=$A70),Summary!AM27,AM70)</f>
        <v>0.34375</v>
      </c>
    </row>
    <row r="71" spans="1:39">
      <c r="A71">
        <f t="shared" si="4"/>
        <v>4</v>
      </c>
      <c r="D71" s="1">
        <f ca="1">IF(AND(Energy!$F$11=$A$3,Main!$B$43=A71),Main!C28,D71)</f>
        <v>4.6052631578947372</v>
      </c>
      <c r="E71" s="103">
        <f ca="1">IF(AND(Energy!$F$11=$A$3,Main!$B$43=A71),Main!B28,E71)</f>
        <v>0.26666666666666666</v>
      </c>
      <c r="F71" s="103">
        <f ca="1">IF(Main!$D$6=1,U71,IF(Main!$D$6=2,N71,IF(Main!$D$6=3,K71,IF(Main!$D$6=4,V71,J71))))</f>
        <v>367.39386707832745</v>
      </c>
      <c r="G71" s="103">
        <f ca="1">IF(AND(Energy!$F$11=$A$3,Main!$B$43=A71),Weight!H28,G71)</f>
        <v>10</v>
      </c>
      <c r="H71" s="103">
        <f ca="1">IF(AND(Energy!$F$11=$A$3,Main!$B$43=A71),Weight!U28,H71)</f>
        <v>12.741264312129804</v>
      </c>
      <c r="I71" s="103">
        <f ca="1">IF(AND(Energy!$F$11=$A$3,Main!$B$43=A71),Weight!V28,I71)</f>
        <v>33.602139922197679</v>
      </c>
      <c r="J71" s="103">
        <f ca="1">IF(AND(Energy!$F$11=$A$3,Main!$B$43=A71),Weight!I28,J71)</f>
        <v>10.800517335067877</v>
      </c>
      <c r="K71" s="103">
        <f ca="1">IF(AND(Energy!$F$11=$A$3,Main!$B$43=A71),Weight!W28,K71)</f>
        <v>43.602139372972943</v>
      </c>
      <c r="L71" s="103">
        <f ca="1">IF(AND(Energy!$F$11=$A$3,Main!$B$43=A71),'Aerodynamics-Cruise'!BI28,L71)</f>
        <v>43.602140517564926</v>
      </c>
      <c r="M71" s="103">
        <f ca="1">IF(AND(Energy!$F$11=$A$3,Main!$B$43=A71),'Aerodynamics-Cruise'!BJ28,M71)</f>
        <v>2.1178481674916214</v>
      </c>
      <c r="N71" s="103">
        <f ca="1">IF(AND(Energy!$F$11=$A$3,Main!$B$43=A71),'Aerodynamics-Cruise'!BK28,N71)</f>
        <v>20.587944493304864</v>
      </c>
      <c r="O71" s="103">
        <f t="shared" ca="1" si="5"/>
        <v>135.94614402772842</v>
      </c>
      <c r="P71" s="103">
        <f ca="1">IF(AND(Energy!$F$11=$A$3,Main!$B$43=A71),'Aerodynamics-Cruise'!H28,P71)</f>
        <v>8.0565850522122027</v>
      </c>
      <c r="Q71" s="103">
        <f ca="1">IF(AND(Energy!$F$11=$A$3,Main!$B$43=A71),'Aerodynamics-Cruise'!I28,Q71)</f>
        <v>6.7402466552260707</v>
      </c>
      <c r="R71" s="103">
        <f ca="1">IF(AND(Energy!$F$11=$A$3,Main!$B$43=$A71),Summary!R28,R71)</f>
        <v>24.033825797921949</v>
      </c>
      <c r="S71" s="103">
        <f ca="1">IF(AND(Energy!$F$11=$A$3,Main!$B$43=A71),'Aerodynamics-Cruise'!W28,S71)</f>
        <v>1</v>
      </c>
      <c r="T71" s="103">
        <f ca="1">IF(AND(Energy!$F$11=$A$3,Main!$B$43=A71),'Aerodynamics-Cruise'!BL28,T71)</f>
        <v>17.062623889068004</v>
      </c>
      <c r="U71" s="103">
        <f ca="1">IF(AND(Energy!$F$11=$A$3,Main!$B$43=A71),'Propulsion-Cruise'!M28,U71)</f>
        <v>38.500998685407865</v>
      </c>
      <c r="V71" s="103">
        <f ca="1">IF(AND(Energy!$F$11=$A$3,Main!$B$43=A71),Endurance!AP28,V71)</f>
        <v>367.39386707832745</v>
      </c>
      <c r="W71" s="103">
        <f ca="1">IF(AND(Energy!$F$11=$A$3,Main!$B$43=$A71),Summary!W28,W71)</f>
        <v>120.07532920895289</v>
      </c>
      <c r="X71" s="13">
        <f ca="1">IF(AND(Energy!$F$11=$A$3,Main!$B$43=A71),Energy!D28,X71)</f>
        <v>737.50268890676045</v>
      </c>
      <c r="Y71" s="102">
        <f ca="1">IF(AND(Energy!$F$11=$A$3,Main!$B$43=A71),'Aerodynamics-Cruise'!V28,Y71)</f>
        <v>136258.93992416622</v>
      </c>
      <c r="Z71" s="102">
        <f ca="1">IF(AND(Energy!$F$11=$A$3,Main!$B$43=$A71),Summary!Z28,Z71)</f>
        <v>100032.88546877337</v>
      </c>
      <c r="AA71" s="102">
        <f ca="1">IF(AND(Energy!$F$11=$A$3,Main!$B$43=$A71),Summary!AA28,AA71)</f>
        <v>406477.88167366415</v>
      </c>
      <c r="AB71" s="103">
        <f ca="1">IF(AND(Energy!$F$11=$A$3,Main!$B$43=$A71),Summary!AB28,AB71)</f>
        <v>2.6774681574891988</v>
      </c>
      <c r="AC71" s="103">
        <f ca="1">IF(AND(Energy!$F$11=$A$3,Main!$B$43=$A71),Summary!AC28,AC71)</f>
        <v>3.1746191737246305</v>
      </c>
      <c r="AD71" s="103">
        <f ca="1">IF(AND(Energy!$F$11=$A$3,Main!$B$43=$A71),Summary!AD28,AD71)</f>
        <v>0.37681522386122013</v>
      </c>
      <c r="AE71" s="103">
        <f ca="1">IF(AND(Energy!$F$11=$A$3,Main!$B$43=$A71),Summary!AE28,AE71)</f>
        <v>1.2280701754385965</v>
      </c>
      <c r="AF71" s="103">
        <f ca="1">IF(AND(Energy!$F$11=$A$3,Main!$B$43=$A71),Summary!AF28,AF71)</f>
        <v>17.269736842105267</v>
      </c>
      <c r="AG71" s="103">
        <f ca="1">IF(AND(Energy!$F$11=$A$3,Main!$B$43=$A71),Summary!AG28,AG71)</f>
        <v>9.1172137562368469</v>
      </c>
      <c r="AH71" s="103">
        <f ca="1">IF(AND(Energy!$F$11=$A$3,Main!$B$43=$A71),Summary!AH28,AH71)</f>
        <v>47</v>
      </c>
      <c r="AI71" s="103">
        <f ca="1">IF(AND(Energy!$F$11=$A$3,Main!$B$43=$A71),Summary!AI28,AI71)</f>
        <v>2.8003125320579421</v>
      </c>
      <c r="AJ71" s="103">
        <f ca="1">IF(AND(Energy!$F$11=$A$3,Main!$B$43=$A71),Summary!AJ28,AJ71)</f>
        <v>0.31151157681142699</v>
      </c>
      <c r="AK71" s="103">
        <f ca="1">IF(AND(Energy!$F$11=$A$3,Main!$B$43=$A71),Summary!AK28,AK71)</f>
        <v>0.01</v>
      </c>
      <c r="AL71" s="103">
        <f ca="1">IF(AND(Energy!$F$11=$A$3,Main!$B$43=$A71),Summary!AL28,AL71)</f>
        <v>-0.33710020321709128</v>
      </c>
      <c r="AM71" s="103">
        <f ca="1">IF(AND(Energy!$F$11=$A$3,Main!$B$43=$A71),Summary!AM28,AM71)</f>
        <v>0.34375</v>
      </c>
    </row>
    <row r="72" spans="1:39">
      <c r="A72">
        <f t="shared" si="4"/>
        <v>4</v>
      </c>
      <c r="D72" s="1">
        <f ca="1">IF(AND(Energy!$F$11=$A$3,Main!$B$43=A72),Main!C29,D72)</f>
        <v>4.7631578947368425</v>
      </c>
      <c r="E72" s="103">
        <f ca="1">IF(AND(Energy!$F$11=$A$3,Main!$B$43=A72),Main!B29,E72)</f>
        <v>0.26666666666666666</v>
      </c>
      <c r="F72" s="103">
        <f ca="1">IF(Main!$D$6=1,U72,IF(Main!$D$6=2,N72,IF(Main!$D$6=3,K72,IF(Main!$D$6=4,V72,J72))))</f>
        <v>365.97381867418648</v>
      </c>
      <c r="G72" s="103">
        <f ca="1">IF(AND(Energy!$F$11=$A$3,Main!$B$43=A72),Weight!H29,G72)</f>
        <v>10</v>
      </c>
      <c r="H72" s="103">
        <f ca="1">IF(AND(Energy!$F$11=$A$3,Main!$B$43=A72),Weight!U29,H72)</f>
        <v>13.169086614567387</v>
      </c>
      <c r="I72" s="103">
        <f ca="1">IF(AND(Energy!$F$11=$A$3,Main!$B$43=A72),Weight!V29,I72)</f>
        <v>33.946193391083717</v>
      </c>
      <c r="J72" s="103">
        <f ca="1">IF(AND(Energy!$F$11=$A$3,Main!$B$43=A72),Weight!I29,J72)</f>
        <v>10.716748501516332</v>
      </c>
      <c r="K72" s="103">
        <f ca="1">IF(AND(Energy!$F$11=$A$3,Main!$B$43=A72),Weight!W29,K72)</f>
        <v>43.946195171630535</v>
      </c>
      <c r="L72" s="103">
        <f ca="1">IF(AND(Energy!$F$11=$A$3,Main!$B$43=A72),'Aerodynamics-Cruise'!BI29,L72)</f>
        <v>43.94619163656931</v>
      </c>
      <c r="M72" s="103">
        <f ca="1">IF(AND(Energy!$F$11=$A$3,Main!$B$43=A72),'Aerodynamics-Cruise'!BJ29,M72)</f>
        <v>2.1227112452104571</v>
      </c>
      <c r="N72" s="103">
        <f ca="1">IF(AND(Energy!$F$11=$A$3,Main!$B$43=A72),'Aerodynamics-Cruise'!BK29,N72)</f>
        <v>20.702859013785574</v>
      </c>
      <c r="O72" s="103">
        <f t="shared" ca="1" si="5"/>
        <v>137.24323525824974</v>
      </c>
      <c r="P72" s="103">
        <f ca="1">IF(AND(Energy!$F$11=$A$3,Main!$B$43=A72),'Aerodynamics-Cruise'!H29,P72)</f>
        <v>7.9530863634041644</v>
      </c>
      <c r="Q72" s="103">
        <f ca="1">IF(AND(Energy!$F$11=$A$3,Main!$B$43=A72),'Aerodynamics-Cruise'!I29,Q72)</f>
        <v>6.6542831123983088</v>
      </c>
      <c r="R72" s="103">
        <f ca="1">IF(AND(Energy!$F$11=$A$3,Main!$B$43=$A72),Summary!R29,R72)</f>
        <v>23.809816919103955</v>
      </c>
      <c r="S72" s="103">
        <f ca="1">IF(AND(Energy!$F$11=$A$3,Main!$B$43=A72),'Aerodynamics-Cruise'!W29,S72)</f>
        <v>1</v>
      </c>
      <c r="T72" s="103">
        <f ca="1">IF(AND(Energy!$F$11=$A$3,Main!$B$43=A72),'Aerodynamics-Cruise'!BL29,T72)</f>
        <v>16.882105857727961</v>
      </c>
      <c r="U72" s="103">
        <f ca="1">IF(AND(Energy!$F$11=$A$3,Main!$B$43=A72),'Propulsion-Cruise'!M29,U72)</f>
        <v>38.240681854350726</v>
      </c>
      <c r="V72" s="103">
        <f ca="1">IF(AND(Energy!$F$11=$A$3,Main!$B$43=A72),Endurance!AP29,V72)</f>
        <v>365.97381867418648</v>
      </c>
      <c r="W72" s="103">
        <f ca="1">IF(AND(Energy!$F$11=$A$3,Main!$B$43=$A72),Summary!W29,W72)</f>
        <v>118.50272472017656</v>
      </c>
      <c r="X72" s="13">
        <f ca="1">IF(AND(Energy!$F$11=$A$3,Main!$B$43=A72),Energy!D29,X72)</f>
        <v>734.66319883344886</v>
      </c>
      <c r="Y72" s="102">
        <f ca="1">IF(AND(Energy!$F$11=$A$3,Main!$B$43=A72),'Aerodynamics-Cruise'!V29,Y72)</f>
        <v>134508.49336037651</v>
      </c>
      <c r="Z72" s="102">
        <f ca="1">IF(AND(Energy!$F$11=$A$3,Main!$B$43=$A72),Summary!Z29,Z72)</f>
        <v>98757.025229705658</v>
      </c>
      <c r="AA72" s="102">
        <f ca="1">IF(AND(Energy!$F$11=$A$3,Main!$B$43=$A72),Summary!AA29,AA72)</f>
        <v>402689.27742465178</v>
      </c>
      <c r="AB72" s="103">
        <f ca="1">IF(AND(Energy!$F$11=$A$3,Main!$B$43=$A72),Summary!AB29,AB72)</f>
        <v>2.6283115682908917</v>
      </c>
      <c r="AC72" s="103">
        <f ca="1">IF(AND(Energy!$F$11=$A$3,Main!$B$43=$A72),Summary!AC29,AC72)</f>
        <v>3.1166518283786449</v>
      </c>
      <c r="AD72" s="103">
        <f ca="1">IF(AND(Energy!$F$11=$A$3,Main!$B$43=$A72),Summary!AD29,AD72)</f>
        <v>0.37518718306834414</v>
      </c>
      <c r="AE72" s="103">
        <f ca="1">IF(AND(Energy!$F$11=$A$3,Main!$B$43=$A72),Summary!AE29,AE72)</f>
        <v>1.2701754385964914</v>
      </c>
      <c r="AF72" s="103">
        <f ca="1">IF(AND(Energy!$F$11=$A$3,Main!$B$43=$A72),Summary!AF29,AF72)</f>
        <v>17.861842105263161</v>
      </c>
      <c r="AG72" s="103">
        <f ca="1">IF(AND(Energy!$F$11=$A$3,Main!$B$43=$A72),Summary!AG29,AG72)</f>
        <v>9.0943149697776189</v>
      </c>
      <c r="AH72" s="103">
        <f ca="1">IF(AND(Energy!$F$11=$A$3,Main!$B$43=$A72),Summary!AH29,AH72)</f>
        <v>47</v>
      </c>
      <c r="AI72" s="103">
        <f ca="1">IF(AND(Energy!$F$11=$A$3,Main!$B$43=$A72),Summary!AI29,AI72)</f>
        <v>2.7997861984332397</v>
      </c>
      <c r="AJ72" s="103">
        <f ca="1">IF(AND(Energy!$F$11=$A$3,Main!$B$43=$A72),Summary!AJ29,AJ72)</f>
        <v>0.31262119925701343</v>
      </c>
      <c r="AK72" s="103">
        <f ca="1">IF(AND(Energy!$F$11=$A$3,Main!$B$43=$A72),Summary!AK29,AK72)</f>
        <v>0.01</v>
      </c>
      <c r="AL72" s="103">
        <f ca="1">IF(AND(Energy!$F$11=$A$3,Main!$B$43=$A72),Summary!AL29,AL72)</f>
        <v>-0.33590412078996229</v>
      </c>
      <c r="AM72" s="103">
        <f ca="1">IF(AND(Energy!$F$11=$A$3,Main!$B$43=$A72),Summary!AM29,AM72)</f>
        <v>0.34375</v>
      </c>
    </row>
    <row r="73" spans="1:39">
      <c r="A73">
        <f t="shared" si="4"/>
        <v>4</v>
      </c>
      <c r="D73" s="1">
        <f ca="1">IF(AND(Energy!$F$11=$A$3,Main!$B$43=A73),Main!C30,D73)</f>
        <v>4.9210526315789478</v>
      </c>
      <c r="E73" s="103">
        <f ca="1">IF(AND(Energy!$F$11=$A$3,Main!$B$43=A73),Main!B30,E73)</f>
        <v>0.26666666666666666</v>
      </c>
      <c r="F73" s="103">
        <f ca="1">IF(Main!$D$6=1,U73,IF(Main!$D$6=2,N73,IF(Main!$D$6=3,K73,IF(Main!$D$6=4,V73,J73))))</f>
        <v>365.46957002279265</v>
      </c>
      <c r="G73" s="103">
        <f ca="1">IF(AND(Energy!$F$11=$A$3,Main!$B$43=A73),Weight!H30,G73)</f>
        <v>10</v>
      </c>
      <c r="H73" s="103">
        <f ca="1">IF(AND(Energy!$F$11=$A$3,Main!$B$43=A73),Weight!U30,H73)</f>
        <v>13.614265033349902</v>
      </c>
      <c r="I73" s="103">
        <f ca="1">IF(AND(Energy!$F$11=$A$3,Main!$B$43=A73),Weight!V30,I73)</f>
        <v>34.35702003854631</v>
      </c>
      <c r="J73" s="103">
        <f ca="1">IF(AND(Energy!$F$11=$A$3,Main!$B$43=A73),Weight!I30,J73)</f>
        <v>10.682396730196409</v>
      </c>
      <c r="K73" s="103">
        <f ca="1">IF(AND(Energy!$F$11=$A$3,Main!$B$43=A73),Weight!W30,K73)</f>
        <v>44.357022696715816</v>
      </c>
      <c r="L73" s="103">
        <f ca="1">IF(AND(Energy!$F$11=$A$3,Main!$B$43=A73),'Aerodynamics-Cruise'!BI30,L73)</f>
        <v>44.357017400303732</v>
      </c>
      <c r="M73" s="103">
        <f ca="1">IF(AND(Energy!$F$11=$A$3,Main!$B$43=A73),'Aerodynamics-Cruise'!BJ30,M73)</f>
        <v>2.131336665814898</v>
      </c>
      <c r="N73" s="103">
        <f ca="1">IF(AND(Energy!$F$11=$A$3,Main!$B$43=A73),'Aerodynamics-Cruise'!BK30,N73)</f>
        <v>20.811830487298547</v>
      </c>
      <c r="O73" s="103">
        <f t="shared" ca="1" si="5"/>
        <v>138.60900564444717</v>
      </c>
      <c r="P73" s="103">
        <f ca="1">IF(AND(Energy!$F$11=$A$3,Main!$B$43=A73),'Aerodynamics-Cruise'!H30,P73)</f>
        <v>7.8609157406863659</v>
      </c>
      <c r="Q73" s="103">
        <f ca="1">IF(AND(Energy!$F$11=$A$3,Main!$B$43=A73),'Aerodynamics-Cruise'!I30,Q73)</f>
        <v>6.5777216629887718</v>
      </c>
      <c r="R73" s="103">
        <f ca="1">IF(AND(Energy!$F$11=$A$3,Main!$B$43=$A73),Summary!R30,R73)</f>
        <v>23.593445657862169</v>
      </c>
      <c r="S73" s="103">
        <f ca="1">IF(AND(Energy!$F$11=$A$3,Main!$B$43=A73),'Aerodynamics-Cruise'!W30,S73)</f>
        <v>1</v>
      </c>
      <c r="T73" s="103">
        <f ca="1">IF(AND(Energy!$F$11=$A$3,Main!$B$43=A73),'Aerodynamics-Cruise'!BL30,T73)</f>
        <v>16.75425794500633</v>
      </c>
      <c r="U73" s="103">
        <f ca="1">IF(AND(Energy!$F$11=$A$3,Main!$B$43=A73),'Propulsion-Cruise'!M30,U73)</f>
        <v>38.080402022141328</v>
      </c>
      <c r="V73" s="103">
        <f ca="1">IF(AND(Energy!$F$11=$A$3,Main!$B$43=A73),Endurance!AP30,V73)</f>
        <v>365.46957002279265</v>
      </c>
      <c r="W73" s="103">
        <f ca="1">IF(AND(Energy!$F$11=$A$3,Main!$B$43=$A73),Summary!W30,W73)</f>
        <v>117.85783130045445</v>
      </c>
      <c r="X73" s="13">
        <f ca="1">IF(AND(Energy!$F$11=$A$3,Main!$B$43=A73),Energy!D30,X73)</f>
        <v>733.49878348986704</v>
      </c>
      <c r="Y73" s="102">
        <f ca="1">IF(AND(Energy!$F$11=$A$3,Main!$B$43=A73),'Aerodynamics-Cruise'!V30,Y73)</f>
        <v>132949.63544945195</v>
      </c>
      <c r="Z73" s="102">
        <f ca="1">IF(AND(Energy!$F$11=$A$3,Main!$B$43=$A73),Summary!Z30,Z73)</f>
        <v>97620.710384297345</v>
      </c>
      <c r="AA73" s="102">
        <f ca="1">IF(AND(Energy!$F$11=$A$3,Main!$B$43=$A73),Summary!AA30,AA73)</f>
        <v>399029.8462269677</v>
      </c>
      <c r="AB73" s="103">
        <f ca="1">IF(AND(Energy!$F$11=$A$3,Main!$B$43=$A73),Summary!AB30,AB73)</f>
        <v>2.5906128135430087</v>
      </c>
      <c r="AC73" s="103">
        <f ca="1">IF(AND(Energy!$F$11=$A$3,Main!$B$43=$A73),Summary!AC30,AC73)</f>
        <v>3.0576620408459738</v>
      </c>
      <c r="AD73" s="103">
        <f ca="1">IF(AND(Energy!$F$11=$A$3,Main!$B$43=$A73),Summary!AD30,AD73)</f>
        <v>0.37399700771259647</v>
      </c>
      <c r="AE73" s="103">
        <f ca="1">IF(AND(Energy!$F$11=$A$3,Main!$B$43=$A73),Summary!AE30,AE73)</f>
        <v>1.312280701754386</v>
      </c>
      <c r="AF73" s="103">
        <f ca="1">IF(AND(Energy!$F$11=$A$3,Main!$B$43=$A73),Summary!AF30,AF73)</f>
        <v>18.453947368421055</v>
      </c>
      <c r="AG73" s="103">
        <f ca="1">IF(AND(Energy!$F$11=$A$3,Main!$B$43=$A73),Summary!AG30,AG73)</f>
        <v>9.0846489434595838</v>
      </c>
      <c r="AH73" s="103">
        <f ca="1">IF(AND(Energy!$F$11=$A$3,Main!$B$43=$A73),Summary!AH30,AH73)</f>
        <v>47</v>
      </c>
      <c r="AI73" s="103">
        <f ca="1">IF(AND(Energy!$F$11=$A$3,Main!$B$43=$A73),Summary!AI30,AI73)</f>
        <v>2.7993119110007121</v>
      </c>
      <c r="AJ73" s="103">
        <f ca="1">IF(AND(Energy!$F$11=$A$3,Main!$B$43=$A73),Summary!AJ30,AJ73)</f>
        <v>0.31369441086412181</v>
      </c>
      <c r="AK73" s="103">
        <f ca="1">IF(AND(Energy!$F$11=$A$3,Main!$B$43=$A73),Summary!AK30,AK73)</f>
        <v>0.01</v>
      </c>
      <c r="AL73" s="103">
        <f ca="1">IF(AND(Energy!$F$11=$A$3,Main!$B$43=$A73),Summary!AL30,AL73)</f>
        <v>-0.33475443533562477</v>
      </c>
      <c r="AM73" s="103">
        <f ca="1">IF(AND(Energy!$F$11=$A$3,Main!$B$43=$A73),Summary!AM30,AM73)</f>
        <v>0.34375</v>
      </c>
    </row>
    <row r="74" spans="1:39">
      <c r="A74">
        <f t="shared" si="4"/>
        <v>4</v>
      </c>
      <c r="D74" s="1">
        <f ca="1">IF(AND(Energy!$F$11=$A$3,Main!$B$43=A74),Main!C31,D74)</f>
        <v>5.0789473684210531</v>
      </c>
      <c r="E74" s="103">
        <f ca="1">IF(AND(Energy!$F$11=$A$3,Main!$B$43=A74),Main!B31,E74)</f>
        <v>0.26666666666666666</v>
      </c>
      <c r="F74" s="103">
        <f ca="1">IF(Main!$D$6=1,U74,IF(Main!$D$6=2,N74,IF(Main!$D$6=3,K74,IF(Main!$D$6=4,V74,J74))))</f>
        <v>365.77865342948331</v>
      </c>
      <c r="G74" s="103">
        <f ca="1">IF(AND(Energy!$F$11=$A$3,Main!$B$43=A74),Weight!H31,G74)</f>
        <v>10</v>
      </c>
      <c r="H74" s="103">
        <f ca="1">IF(AND(Energy!$F$11=$A$3,Main!$B$43=A74),Weight!U31,H74)</f>
        <v>14.076565965517979</v>
      </c>
      <c r="I74" s="103">
        <f ca="1">IF(AND(Energy!$F$11=$A$3,Main!$B$43=A74),Weight!V31,I74)</f>
        <v>34.828876795687052</v>
      </c>
      <c r="J74" s="103">
        <f ca="1">IF(AND(Energy!$F$11=$A$3,Main!$B$43=A74),Weight!I31,J74)</f>
        <v>10.691952555169074</v>
      </c>
      <c r="K74" s="103">
        <f ca="1">IF(AND(Energy!$F$11=$A$3,Main!$B$43=A74),Weight!W31,K74)</f>
        <v>44.828879878314495</v>
      </c>
      <c r="L74" s="103">
        <f ca="1">IF(AND(Energy!$F$11=$A$3,Main!$B$43=A74),'Aerodynamics-Cruise'!BI31,L74)</f>
        <v>44.828873731038108</v>
      </c>
      <c r="M74" s="103">
        <f ca="1">IF(AND(Energy!$F$11=$A$3,Main!$B$43=A74),'Aerodynamics-Cruise'!BJ31,M74)</f>
        <v>2.1433478820318586</v>
      </c>
      <c r="N74" s="103">
        <f ca="1">IF(AND(Energy!$F$11=$A$3,Main!$B$43=A74),'Aerodynamics-Cruise'!BK31,N74)</f>
        <v>20.915351216126929</v>
      </c>
      <c r="O74" s="103">
        <f t="shared" ca="1" si="5"/>
        <v>140.03741188663676</v>
      </c>
      <c r="P74" s="103">
        <f ca="1">IF(AND(Energy!$F$11=$A$3,Main!$B$43=A74),'Aerodynamics-Cruise'!H31,P74)</f>
        <v>7.7787819121780082</v>
      </c>
      <c r="Q74" s="103">
        <f ca="1">IF(AND(Energy!$F$11=$A$3,Main!$B$43=A74),'Aerodynamics-Cruise'!I31,Q74)</f>
        <v>6.5094919285158879</v>
      </c>
      <c r="R74" s="103">
        <f ca="1">IF(AND(Energy!$F$11=$A$3,Main!$B$43=$A74),Summary!R31,R74)</f>
        <v>23.384283466375638</v>
      </c>
      <c r="S74" s="103">
        <f ca="1">IF(AND(Energy!$F$11=$A$3,Main!$B$43=A74),'Aerodynamics-Cruise'!W31,S74)</f>
        <v>1</v>
      </c>
      <c r="T74" s="103">
        <f ca="1">IF(AND(Energy!$F$11=$A$3,Main!$B$43=A74),'Aerodynamics-Cruise'!BL31,T74)</f>
        <v>16.672635736254463</v>
      </c>
      <c r="U74" s="103">
        <f ca="1">IF(AND(Energy!$F$11=$A$3,Main!$B$43=A74),'Propulsion-Cruise'!M31,U74)</f>
        <v>38.00855980838849</v>
      </c>
      <c r="V74" s="103">
        <f ca="1">IF(AND(Energy!$F$11=$A$3,Main!$B$43=A74),Endurance!AP31,V74)</f>
        <v>365.77865342948331</v>
      </c>
      <c r="W74" s="103">
        <f ca="1">IF(AND(Energy!$F$11=$A$3,Main!$B$43=$A74),Summary!W31,W74)</f>
        <v>118.03724546149039</v>
      </c>
      <c r="X74" s="13">
        <f ca="1">IF(AND(Energy!$F$11=$A$3,Main!$B$43=A74),Energy!D31,X74)</f>
        <v>733.82271402048036</v>
      </c>
      <c r="Y74" s="102">
        <f ca="1">IF(AND(Energy!$F$11=$A$3,Main!$B$43=A74),'Aerodynamics-Cruise'!V31,Y74)</f>
        <v>131560.52724393641</v>
      </c>
      <c r="Z74" s="102">
        <f ca="1">IF(AND(Energy!$F$11=$A$3,Main!$B$43=$A74),Summary!Z31,Z74)</f>
        <v>96608.054290431086</v>
      </c>
      <c r="AA74" s="102">
        <f ca="1">IF(AND(Energy!$F$11=$A$3,Main!$B$43=$A74),Summary!AA31,AA74)</f>
        <v>395492.34016211896</v>
      </c>
      <c r="AB74" s="103">
        <f ca="1">IF(AND(Energy!$F$11=$A$3,Main!$B$43=$A74),Summary!AB31,AB74)</f>
        <v>2.5628328316541218</v>
      </c>
      <c r="AC74" s="103">
        <f ca="1">IF(AND(Energy!$F$11=$A$3,Main!$B$43=$A74),Summary!AC31,AC74)</f>
        <v>2.998066524155627</v>
      </c>
      <c r="AD74" s="103">
        <f ca="1">IF(AND(Energy!$F$11=$A$3,Main!$B$43=$A74),Summary!AD31,AD74)</f>
        <v>0.37319687544597913</v>
      </c>
      <c r="AE74" s="103">
        <f ca="1">IF(AND(Energy!$F$11=$A$3,Main!$B$43=$A74),Summary!AE31,AE74)</f>
        <v>1.3543859649122809</v>
      </c>
      <c r="AF74" s="103">
        <f ca="1">IF(AND(Energy!$F$11=$A$3,Main!$B$43=$A74),Summary!AF31,AF74)</f>
        <v>19.046052631578949</v>
      </c>
      <c r="AG74" s="103">
        <f ca="1">IF(AND(Energy!$F$11=$A$3,Main!$B$43=$A74),Summary!AG31,AG74)</f>
        <v>9.0867531117979627</v>
      </c>
      <c r="AH74" s="103">
        <f ca="1">IF(AND(Energy!$F$11=$A$3,Main!$B$43=$A74),Summary!AH31,AH74)</f>
        <v>47</v>
      </c>
      <c r="AI74" s="103">
        <f ca="1">IF(AND(Energy!$F$11=$A$3,Main!$B$43=$A74),Summary!AI31,AI74)</f>
        <v>2.79888457254784</v>
      </c>
      <c r="AJ74" s="103">
        <f ca="1">IF(AND(Energy!$F$11=$A$3,Main!$B$43=$A74),Summary!AJ31,AJ74)</f>
        <v>0.31467662455225104</v>
      </c>
      <c r="AK74" s="103">
        <f ca="1">IF(AND(Energy!$F$11=$A$3,Main!$B$43=$A74),Summary!AK31,AK74)</f>
        <v>0.01</v>
      </c>
      <c r="AL74" s="103">
        <f ca="1">IF(AND(Energy!$F$11=$A$3,Main!$B$43=$A74),Summary!AL31,AL74)</f>
        <v>-0.33370883802595663</v>
      </c>
      <c r="AM74" s="103">
        <f ca="1">IF(AND(Energy!$F$11=$A$3,Main!$B$43=$A74),Summary!AM31,AM74)</f>
        <v>0.34375</v>
      </c>
    </row>
    <row r="75" spans="1:39">
      <c r="A75">
        <f t="shared" si="4"/>
        <v>4</v>
      </c>
      <c r="D75" s="1">
        <f ca="1">IF(AND(Energy!$F$11=$A$3,Main!$B$43=A75),Main!C32,D75)</f>
        <v>5.2368421052631584</v>
      </c>
      <c r="E75" s="103">
        <f ca="1">IF(AND(Energy!$F$11=$A$3,Main!$B$43=A75),Main!B32,E75)</f>
        <v>0.26666666666666666</v>
      </c>
      <c r="F75" s="103">
        <f ca="1">IF(Main!$D$6=1,U75,IF(Main!$D$6=2,N75,IF(Main!$D$6=3,K75,IF(Main!$D$6=4,V75,J75))))</f>
        <v>366.82090093800042</v>
      </c>
      <c r="G75" s="103">
        <f ca="1">IF(AND(Energy!$F$11=$A$3,Main!$B$43=A75),Weight!H32,G75)</f>
        <v>10</v>
      </c>
      <c r="H75" s="103">
        <f ca="1">IF(AND(Energy!$F$11=$A$3,Main!$B$43=A75),Weight!U32,H75)</f>
        <v>14.555873934848574</v>
      </c>
      <c r="I75" s="103">
        <f ca="1">IF(AND(Energy!$F$11=$A$3,Main!$B$43=A75),Weight!V32,I75)</f>
        <v>35.357334025084342</v>
      </c>
      <c r="J75" s="103">
        <f ca="1">IF(AND(Energy!$F$11=$A$3,Main!$B$43=A75),Weight!I32,J75)</f>
        <v>10.741101815235769</v>
      </c>
      <c r="K75" s="103">
        <f ca="1">IF(AND(Energy!$F$11=$A$3,Main!$B$43=A75),Weight!W32,K75)</f>
        <v>45.357337490257393</v>
      </c>
      <c r="L75" s="103">
        <f ca="1">IF(AND(Energy!$F$11=$A$3,Main!$B$43=A75),'Aerodynamics-Cruise'!BI32,L75)</f>
        <v>45.357330576084983</v>
      </c>
      <c r="M75" s="103">
        <f ca="1">IF(AND(Energy!$F$11=$A$3,Main!$B$43=A75),'Aerodynamics-Cruise'!BJ32,M75)</f>
        <v>2.1584483162792463</v>
      </c>
      <c r="N75" s="103">
        <f ca="1">IF(AND(Energy!$F$11=$A$3,Main!$B$43=A75),'Aerodynamics-Cruise'!BK32,N75)</f>
        <v>21.013859926130813</v>
      </c>
      <c r="O75" s="103">
        <f t="shared" ca="1" si="5"/>
        <v>141.52383108734455</v>
      </c>
      <c r="P75" s="103">
        <f ca="1">IF(AND(Energy!$F$11=$A$3,Main!$B$43=A75),'Aerodynamics-Cruise'!H32,P75)</f>
        <v>7.7056136899928553</v>
      </c>
      <c r="Q75" s="103">
        <f ca="1">IF(AND(Energy!$F$11=$A$3,Main!$B$43=A75),'Aerodynamics-Cruise'!I32,Q75)</f>
        <v>6.4487058391635586</v>
      </c>
      <c r="R75" s="103">
        <f ca="1">IF(AND(Energy!$F$11=$A$3,Main!$B$43=$A75),Summary!R32,R75)</f>
        <v>23.181942247113373</v>
      </c>
      <c r="S75" s="103">
        <f ca="1">IF(AND(Energy!$F$11=$A$3,Main!$B$43=A75),'Aerodynamics-Cruise'!W32,S75)</f>
        <v>1</v>
      </c>
      <c r="T75" s="103">
        <f ca="1">IF(AND(Energy!$F$11=$A$3,Main!$B$43=A75),'Aerodynamics-Cruise'!BL32,T75)</f>
        <v>16.632168895063387</v>
      </c>
      <c r="U75" s="103">
        <f ca="1">IF(AND(Energy!$F$11=$A$3,Main!$B$43=A75),'Propulsion-Cruise'!M32,U75)</f>
        <v>38.016053498627599</v>
      </c>
      <c r="V75" s="103">
        <f ca="1">IF(AND(Energy!$F$11=$A$3,Main!$B$43=A75),Endurance!AP32,V75)</f>
        <v>366.82090093800042</v>
      </c>
      <c r="W75" s="103">
        <f ca="1">IF(AND(Energy!$F$11=$A$3,Main!$B$43=$A75),Summary!W32,W75)</f>
        <v>118.9599858588652</v>
      </c>
      <c r="X75" s="13">
        <f ca="1">IF(AND(Energy!$F$11=$A$3,Main!$B$43=A75),Energy!D32,X75)</f>
        <v>735.48876263506531</v>
      </c>
      <c r="Y75" s="102">
        <f ca="1">IF(AND(Energy!$F$11=$A$3,Main!$B$43=A75),'Aerodynamics-Cruise'!V32,Y75)</f>
        <v>130323.05202007001</v>
      </c>
      <c r="Z75" s="102">
        <f ca="1">IF(AND(Energy!$F$11=$A$3,Main!$B$43=$A75),Summary!Z32,Z75)</f>
        <v>95705.876158652201</v>
      </c>
      <c r="AA75" s="102">
        <f ca="1">IF(AND(Energy!$F$11=$A$3,Main!$B$43=$A75),Summary!AA32,AA75)</f>
        <v>392070.19543690828</v>
      </c>
      <c r="AB75" s="103">
        <f ca="1">IF(AND(Energy!$F$11=$A$3,Main!$B$43=$A75),Summary!AB32,AB75)</f>
        <v>2.543774569813174</v>
      </c>
      <c r="AC75" s="103">
        <f ca="1">IF(AND(Energy!$F$11=$A$3,Main!$B$43=$A75),Summary!AC32,AC75)</f>
        <v>2.9381892465292103</v>
      </c>
      <c r="AD75" s="103">
        <f ca="1">IF(AND(Energy!$F$11=$A$3,Main!$B$43=$A75),Summary!AD32,AD75)</f>
        <v>0.37274766568944029</v>
      </c>
      <c r="AE75" s="103">
        <f ca="1">IF(AND(Energy!$F$11=$A$3,Main!$B$43=$A75),Summary!AE32,AE75)</f>
        <v>1.3964912280701756</v>
      </c>
      <c r="AF75" s="103">
        <f ca="1">IF(AND(Energy!$F$11=$A$3,Main!$B$43=$A75),Summary!AF32,AF75)</f>
        <v>19.638157894736842</v>
      </c>
      <c r="AG75" s="103">
        <f ca="1">IF(AND(Energy!$F$11=$A$3,Main!$B$43=$A75),Summary!AG32,AG75)</f>
        <v>9.0994630385053732</v>
      </c>
      <c r="AH75" s="103">
        <f ca="1">IF(AND(Energy!$F$11=$A$3,Main!$B$43=$A75),Summary!AH32,AH75)</f>
        <v>47</v>
      </c>
      <c r="AI75" s="103">
        <f ca="1">IF(AND(Energy!$F$11=$A$3,Main!$B$43=$A75),Summary!AI32,AI75)</f>
        <v>2.7984999521713827</v>
      </c>
      <c r="AJ75" s="103">
        <f ca="1">IF(AND(Energy!$F$11=$A$3,Main!$B$43=$A75),Summary!AJ32,AJ75)</f>
        <v>0.31554989274812034</v>
      </c>
      <c r="AK75" s="103">
        <f ca="1">IF(AND(Energy!$F$11=$A$3,Main!$B$43=$A75),Summary!AK32,AK75)</f>
        <v>0.01</v>
      </c>
      <c r="AL75" s="103">
        <f ca="1">IF(AND(Energy!$F$11=$A$3,Main!$B$43=$A75),Summary!AL32,AL75)</f>
        <v>-0.33278465702195853</v>
      </c>
      <c r="AM75" s="103">
        <f ca="1">IF(AND(Energy!$F$11=$A$3,Main!$B$43=$A75),Summary!AM32,AM75)</f>
        <v>0.34375</v>
      </c>
    </row>
    <row r="76" spans="1:39">
      <c r="A76">
        <f t="shared" si="4"/>
        <v>4</v>
      </c>
      <c r="D76" s="1">
        <f ca="1">IF(AND(Energy!$F$11=$A$3,Main!$B$43=A76),Main!C33,D76)</f>
        <v>5.3947368421052637</v>
      </c>
      <c r="E76" s="103">
        <f ca="1">IF(AND(Energy!$F$11=$A$3,Main!$B$43=A76),Main!B33,E76)</f>
        <v>0.26666666666666666</v>
      </c>
      <c r="F76" s="103">
        <f ca="1">IF(Main!$D$6=1,U76,IF(Main!$D$6=2,N76,IF(Main!$D$6=3,K76,IF(Main!$D$6=4,V76,J76))))</f>
        <v>368.5332957149825</v>
      </c>
      <c r="G76" s="103">
        <f ca="1">IF(AND(Energy!$F$11=$A$3,Main!$B$43=A76),Weight!H33,G76)</f>
        <v>10</v>
      </c>
      <c r="H76" s="103">
        <f ca="1">IF(AND(Energy!$F$11=$A$3,Main!$B$43=A76),Weight!U33,H76)</f>
        <v>15.052167422784578</v>
      </c>
      <c r="I76" s="103">
        <f ca="1">IF(AND(Energy!$F$11=$A$3,Main!$B$43=A76),Weight!V33,I76)</f>
        <v>35.938975691434415</v>
      </c>
      <c r="J76" s="103">
        <f ca="1">IF(AND(Energy!$F$11=$A$3,Main!$B$43=A76),Weight!I33,J76)</f>
        <v>10.826449993649838</v>
      </c>
      <c r="K76" s="103">
        <f ca="1">IF(AND(Energy!$F$11=$A$3,Main!$B$43=A76),Weight!W33,K76)</f>
        <v>45.938979504101198</v>
      </c>
      <c r="L76" s="103">
        <f ca="1">IF(AND(Energy!$F$11=$A$3,Main!$B$43=A76),'Aerodynamics-Cruise'!BI33,L76)</f>
        <v>45.938971893234985</v>
      </c>
      <c r="M76" s="103">
        <f ca="1">IF(AND(Energy!$F$11=$A$3,Main!$B$43=A76),'Aerodynamics-Cruise'!BJ33,M76)</f>
        <v>2.1764035148083063</v>
      </c>
      <c r="N76" s="103">
        <f ca="1">IF(AND(Energy!$F$11=$A$3,Main!$B$43=A76),'Aerodynamics-Cruise'!BK33,N76)</f>
        <v>21.107745682574496</v>
      </c>
      <c r="O76" s="103">
        <f t="shared" ca="1" si="5"/>
        <v>143.06470006124357</v>
      </c>
      <c r="P76" s="103">
        <f ca="1">IF(AND(Energy!$F$11=$A$3,Main!$B$43=A76),'Aerodynamics-Cruise'!H33,P76)</f>
        <v>7.6405133869245638</v>
      </c>
      <c r="Q76" s="103">
        <f ca="1">IF(AND(Energy!$F$11=$A$3,Main!$B$43=A76),'Aerodynamics-Cruise'!I33,Q76)</f>
        <v>6.3946190614272744</v>
      </c>
      <c r="R76" s="103">
        <f ca="1">IF(AND(Energy!$F$11=$A$3,Main!$B$43=$A76),Summary!R33,R76)</f>
        <v>22.986068192308949</v>
      </c>
      <c r="S76" s="103">
        <f ca="1">IF(AND(Energy!$F$11=$A$3,Main!$B$43=A76),'Aerodynamics-Cruise'!W33,S76)</f>
        <v>1</v>
      </c>
      <c r="T76" s="103">
        <f ca="1">IF(AND(Energy!$F$11=$A$3,Main!$B$43=A76),'Aerodynamics-Cruise'!BL33,T76)</f>
        <v>16.628840190242538</v>
      </c>
      <c r="U76" s="103">
        <f ca="1">IF(AND(Energy!$F$11=$A$3,Main!$B$43=A76),'Propulsion-Cruise'!M33,U76)</f>
        <v>38.09570133845844</v>
      </c>
      <c r="V76" s="103">
        <f ca="1">IF(AND(Energy!$F$11=$A$3,Main!$B$43=A76),Endurance!AP33,V76)</f>
        <v>368.5332957149825</v>
      </c>
      <c r="W76" s="103">
        <f ca="1">IF(AND(Energy!$F$11=$A$3,Main!$B$43=$A76),Summary!W33,W76)</f>
        <v>120.56232402292989</v>
      </c>
      <c r="X76" s="13">
        <f ca="1">IF(AND(Energy!$F$11=$A$3,Main!$B$43=A76),Energy!D33,X76)</f>
        <v>738.3818638343007</v>
      </c>
      <c r="Y76" s="102">
        <f ca="1">IF(AND(Energy!$F$11=$A$3,Main!$B$43=A76),'Aerodynamics-Cruise'!V33,Y76)</f>
        <v>129222.02742623273</v>
      </c>
      <c r="Z76" s="102">
        <f ca="1">IF(AND(Energy!$F$11=$A$3,Main!$B$43=$A76),Summary!Z33,Z76)</f>
        <v>94903.128553894421</v>
      </c>
      <c r="AA76" s="102">
        <f ca="1">IF(AND(Energy!$F$11=$A$3,Main!$B$43=$A76),Summary!AA33,AA76)</f>
        <v>388757.4281920605</v>
      </c>
      <c r="AB76" s="103">
        <f ca="1">IF(AND(Energy!$F$11=$A$3,Main!$B$43=$A76),Summary!AB33,AB76)</f>
        <v>2.5325003282525271</v>
      </c>
      <c r="AC76" s="103">
        <f ca="1">IF(AND(Energy!$F$11=$A$3,Main!$B$43=$A76),Summary!AC33,AC76)</f>
        <v>2.8782830957966641</v>
      </c>
      <c r="AD76" s="103">
        <f ca="1">IF(AND(Energy!$F$11=$A$3,Main!$B$43=$A76),Summary!AD33,AD76)</f>
        <v>0.37261709172619312</v>
      </c>
      <c r="AE76" s="103">
        <f ca="1">IF(AND(Energy!$F$11=$A$3,Main!$B$43=$A76),Summary!AE33,AE76)</f>
        <v>1.4385964912280702</v>
      </c>
      <c r="AF76" s="103">
        <f ca="1">IF(AND(Energy!$F$11=$A$3,Main!$B$43=$A76),Summary!AF33,AF76)</f>
        <v>20.23026315789474</v>
      </c>
      <c r="AG76" s="103">
        <f ca="1">IF(AND(Energy!$F$11=$A$3,Main!$B$43=$A76),Summary!AG33,AG76)</f>
        <v>9.1218453487743005</v>
      </c>
      <c r="AH76" s="103">
        <f ca="1">IF(AND(Energy!$F$11=$A$3,Main!$B$43=$A76),Summary!AH33,AH76)</f>
        <v>47</v>
      </c>
      <c r="AI76" s="103">
        <f ca="1">IF(AND(Energy!$F$11=$A$3,Main!$B$43=$A76),Summary!AI33,AI76)</f>
        <v>2.7981544972362822</v>
      </c>
      <c r="AJ76" s="103">
        <f ca="1">IF(AND(Energy!$F$11=$A$3,Main!$B$43=$A76),Summary!AJ33,AJ76)</f>
        <v>0.31632205580500894</v>
      </c>
      <c r="AK76" s="103">
        <f ca="1">IF(AND(Energy!$F$11=$A$3,Main!$B$43=$A76),Summary!AK33,AK76)</f>
        <v>0.01</v>
      </c>
      <c r="AL76" s="103">
        <f ca="1">IF(AND(Energy!$F$11=$A$3,Main!$B$43=$A76),Summary!AL33,AL76)</f>
        <v>-0.33197169780783298</v>
      </c>
      <c r="AM76" s="103">
        <f ca="1">IF(AND(Energy!$F$11=$A$3,Main!$B$43=$A76),Summary!AM33,AM76)</f>
        <v>0.34375</v>
      </c>
    </row>
    <row r="77" spans="1:39">
      <c r="A77">
        <f t="shared" si="4"/>
        <v>4</v>
      </c>
      <c r="D77" s="1">
        <f ca="1">IF(AND(Energy!$F$11=$A$3,Main!$B$43=A77),Main!C34,D77)</f>
        <v>5.552631578947369</v>
      </c>
      <c r="E77" s="103">
        <f ca="1">IF(AND(Energy!$F$11=$A$3,Main!$B$43=A77),Main!B34,E77)</f>
        <v>0.26666666666666666</v>
      </c>
      <c r="F77" s="103">
        <f ca="1">IF(Main!$D$6=1,U77,IF(Main!$D$6=2,N77,IF(Main!$D$6=3,K77,IF(Main!$D$6=4,V77,J77))))</f>
        <v>370.8658187673995</v>
      </c>
      <c r="G77" s="103">
        <f ca="1">IF(AND(Energy!$F$11=$A$3,Main!$B$43=A77),Weight!H34,G77)</f>
        <v>10</v>
      </c>
      <c r="H77" s="103">
        <f ca="1">IF(AND(Energy!$F$11=$A$3,Main!$B$43=A77),Weight!U34,H77)</f>
        <v>15.565495932207014</v>
      </c>
      <c r="I77" s="103">
        <f ca="1">IF(AND(Energy!$F$11=$A$3,Main!$B$43=A77),Weight!V34,I77)</f>
        <v>36.571153308543423</v>
      </c>
      <c r="J77" s="103">
        <f ca="1">IF(AND(Energy!$F$11=$A$3,Main!$B$43=A77),Weight!I34,J77)</f>
        <v>10.94529910133641</v>
      </c>
      <c r="K77" s="103">
        <f ca="1">IF(AND(Energy!$F$11=$A$3,Main!$B$43=A77),Weight!W34,K77)</f>
        <v>46.571157438845681</v>
      </c>
      <c r="L77" s="103">
        <f ca="1">IF(AND(Energy!$F$11=$A$3,Main!$B$43=A77),'Aerodynamics-Cruise'!BI34,L77)</f>
        <v>46.571149191070198</v>
      </c>
      <c r="M77" s="103">
        <f ca="1">IF(AND(Energy!$F$11=$A$3,Main!$B$43=A77),'Aerodynamics-Cruise'!BJ34,M77)</f>
        <v>2.1970259016350875</v>
      </c>
      <c r="N77" s="103">
        <f ca="1">IF(AND(Energy!$F$11=$A$3,Main!$B$43=A77),'Aerodynamics-Cruise'!BK34,N77)</f>
        <v>21.197360102314068</v>
      </c>
      <c r="O77" s="103">
        <f t="shared" ca="1" si="5"/>
        <v>144.65726677518458</v>
      </c>
      <c r="P77" s="103">
        <f ca="1">IF(AND(Energy!$F$11=$A$3,Main!$B$43=A77),'Aerodynamics-Cruise'!H34,P77)</f>
        <v>7.5827196596566626</v>
      </c>
      <c r="Q77" s="103">
        <f ca="1">IF(AND(Energy!$F$11=$A$3,Main!$B$43=A77),'Aerodynamics-Cruise'!I34,Q77)</f>
        <v>6.3466002217840201</v>
      </c>
      <c r="R77" s="103">
        <f ca="1">IF(AND(Energy!$F$11=$A$3,Main!$B$43=$A77),Summary!R34,R77)</f>
        <v>22.796335691170164</v>
      </c>
      <c r="S77" s="103">
        <f ca="1">IF(AND(Energy!$F$11=$A$3,Main!$B$43=A77),'Aerodynamics-Cruise'!W34,S77)</f>
        <v>1</v>
      </c>
      <c r="T77" s="103">
        <f ca="1">IF(AND(Energy!$F$11=$A$3,Main!$B$43=A77),'Aerodynamics-Cruise'!BL34,T77)</f>
        <v>16.659431497103284</v>
      </c>
      <c r="U77" s="103">
        <f ca="1">IF(AND(Energy!$F$11=$A$3,Main!$B$43=A77),'Propulsion-Cruise'!M34,U77)</f>
        <v>38.241777214709209</v>
      </c>
      <c r="V77" s="103">
        <f ca="1">IF(AND(Energy!$F$11=$A$3,Main!$B$43=A77),Endurance!AP34,V77)</f>
        <v>370.8658187673995</v>
      </c>
      <c r="W77" s="103">
        <f ca="1">IF(AND(Energy!$F$11=$A$3,Main!$B$43=$A77),Summary!W34,W77)</f>
        <v>122.79360804840377</v>
      </c>
      <c r="X77" s="13">
        <f ca="1">IF(AND(Energy!$F$11=$A$3,Main!$B$43=A77),Energy!D34,X77)</f>
        <v>742.4105626315727</v>
      </c>
      <c r="Y77" s="102">
        <f ca="1">IF(AND(Energy!$F$11=$A$3,Main!$B$43=A77),'Aerodynamics-Cruise'!V34,Y77)</f>
        <v>128244.57705976161</v>
      </c>
      <c r="Z77" s="102">
        <f ca="1">IF(AND(Energy!$F$11=$A$3,Main!$B$43=$A77),Summary!Z34,Z77)</f>
        <v>94190.440608214369</v>
      </c>
      <c r="AA77" s="102">
        <f ca="1">IF(AND(Energy!$F$11=$A$3,Main!$B$43=$A77),Summary!AA34,AA77)</f>
        <v>385548.53145643516</v>
      </c>
      <c r="AB77" s="103">
        <f ca="1">IF(AND(Energy!$F$11=$A$3,Main!$B$43=$A77),Summary!AB34,AB77)</f>
        <v>2.5282684742469752</v>
      </c>
      <c r="AC77" s="103">
        <f ca="1">IF(AND(Energy!$F$11=$A$3,Main!$B$43=$A77),Summary!AC34,AC77)</f>
        <v>2.8185472912180263</v>
      </c>
      <c r="AD77" s="103">
        <f ca="1">IF(AND(Energy!$F$11=$A$3,Main!$B$43=$A77),Summary!AD34,AD77)</f>
        <v>0.37277814432454143</v>
      </c>
      <c r="AE77" s="103">
        <f ca="1">IF(AND(Energy!$F$11=$A$3,Main!$B$43=$A77),Summary!AE34,AE77)</f>
        <v>1.4807017543859651</v>
      </c>
      <c r="AF77" s="103">
        <f ca="1">IF(AND(Energy!$F$11=$A$3,Main!$B$43=$A77),Summary!AF34,AF77)</f>
        <v>20.822368421052634</v>
      </c>
      <c r="AG77" s="103">
        <f ca="1">IF(AND(Energy!$F$11=$A$3,Main!$B$43=$A77),Summary!AG34,AG77)</f>
        <v>9.1531415602794368</v>
      </c>
      <c r="AH77" s="103">
        <f ca="1">IF(AND(Energy!$F$11=$A$3,Main!$B$43=$A77),Summary!AH34,AH77)</f>
        <v>47</v>
      </c>
      <c r="AI77" s="103">
        <f ca="1">IF(AND(Energy!$F$11=$A$3,Main!$B$43=$A77),Summary!AI34,AI77)</f>
        <v>2.7978451295667424</v>
      </c>
      <c r="AJ77" s="103">
        <f ca="1">IF(AND(Energy!$F$11=$A$3,Main!$B$43=$A77),Summary!AJ34,AJ77)</f>
        <v>0.31700000230869285</v>
      </c>
      <c r="AK77" s="103">
        <f ca="1">IF(AND(Energy!$F$11=$A$3,Main!$B$43=$A77),Summary!AK34,AK77)</f>
        <v>0.01</v>
      </c>
      <c r="AL77" s="103">
        <f ca="1">IF(AND(Energy!$F$11=$A$3,Main!$B$43=$A77),Summary!AL34,AL77)</f>
        <v>-0.33126116617863838</v>
      </c>
      <c r="AM77" s="103">
        <f ca="1">IF(AND(Energy!$F$11=$A$3,Main!$B$43=$A77),Summary!AM34,AM77)</f>
        <v>0.34375</v>
      </c>
    </row>
    <row r="78" spans="1:39">
      <c r="A78">
        <f t="shared" si="4"/>
        <v>4</v>
      </c>
      <c r="D78" s="1">
        <f ca="1">IF(AND(Energy!$F$11=$A$3,Main!$B$43=A78),Main!C35,D78)</f>
        <v>5.7105263157894743</v>
      </c>
      <c r="E78" s="103">
        <f ca="1">IF(AND(Energy!$F$11=$A$3,Main!$B$43=A78),Main!B35,E78)</f>
        <v>0.26666666666666666</v>
      </c>
      <c r="F78" s="103">
        <f ca="1">IF(Main!$D$6=1,U78,IF(Main!$D$6=2,N78,IF(Main!$D$6=3,K78,IF(Main!$D$6=4,V78,J78))))</f>
        <v>373.77883740545957</v>
      </c>
      <c r="G78" s="103">
        <f ca="1">IF(AND(Energy!$F$11=$A$3,Main!$B$43=A78),Weight!H35,G78)</f>
        <v>10</v>
      </c>
      <c r="H78" s="103">
        <f ca="1">IF(AND(Energy!$F$11=$A$3,Main!$B$43=A78),Weight!U35,H78)</f>
        <v>16.095968254380075</v>
      </c>
      <c r="I78" s="103">
        <f ca="1">IF(AND(Energy!$F$11=$A$3,Main!$B$43=A78),Weight!V35,I78)</f>
        <v>37.251834498216731</v>
      </c>
      <c r="J78" s="103">
        <f ca="1">IF(AND(Energy!$F$11=$A$3,Main!$B$43=A78),Weight!I35,J78)</f>
        <v>11.095507968836657</v>
      </c>
      <c r="K78" s="103">
        <f ca="1">IF(AND(Energy!$F$11=$A$3,Main!$B$43=A78),Weight!W35,K78)</f>
        <v>47.251838920205749</v>
      </c>
      <c r="L78" s="103">
        <f ca="1">IF(AND(Energy!$F$11=$A$3,Main!$B$43=A78),'Aerodynamics-Cruise'!BI35,L78)</f>
        <v>47.251830087468022</v>
      </c>
      <c r="M78" s="103">
        <f ca="1">IF(AND(Energy!$F$11=$A$3,Main!$B$43=A78),'Aerodynamics-Cruise'!BJ35,M78)</f>
        <v>2.2201656936392253</v>
      </c>
      <c r="N78" s="103">
        <f ca="1">IF(AND(Energy!$F$11=$A$3,Main!$B$43=A78),'Aerodynamics-Cruise'!BK35,N78)</f>
        <v>21.283019651571284</v>
      </c>
      <c r="O78" s="103">
        <f t="shared" ca="1" si="5"/>
        <v>146.29940600855841</v>
      </c>
      <c r="P78" s="103">
        <f ca="1">IF(AND(Energy!$F$11=$A$3,Main!$B$43=A78),'Aerodynamics-Cruise'!H35,P78)</f>
        <v>7.5315820305111743</v>
      </c>
      <c r="Q78" s="103">
        <f ca="1">IF(AND(Energy!$F$11=$A$3,Main!$B$43=A78),'Aerodynamics-Cruise'!I35,Q78)</f>
        <v>6.3041098086301703</v>
      </c>
      <c r="R78" s="103">
        <f ca="1">IF(AND(Energy!$F$11=$A$3,Main!$B$43=$A78),Summary!R35,R78)</f>
        <v>22.612444183054549</v>
      </c>
      <c r="S78" s="103">
        <f ca="1">IF(AND(Energy!$F$11=$A$3,Main!$B$43=A78),'Aerodynamics-Cruise'!W35,S78)</f>
        <v>1</v>
      </c>
      <c r="T78" s="103">
        <f ca="1">IF(AND(Energy!$F$11=$A$3,Main!$B$43=A78),'Aerodynamics-Cruise'!BL35,T78)</f>
        <v>16.721360042970566</v>
      </c>
      <c r="U78" s="103">
        <f ca="1">IF(AND(Energy!$F$11=$A$3,Main!$B$43=A78),'Propulsion-Cruise'!M35,U78)</f>
        <v>38.449717150056813</v>
      </c>
      <c r="V78" s="103">
        <f ca="1">IF(AND(Energy!$F$11=$A$3,Main!$B$43=A78),Endurance!AP35,V78)</f>
        <v>373.77883740545957</v>
      </c>
      <c r="W78" s="103">
        <f ca="1">IF(AND(Energy!$F$11=$A$3,Main!$B$43=$A78),Summary!W35,W78)</f>
        <v>125.61363972651242</v>
      </c>
      <c r="X78" s="13">
        <f ca="1">IF(AND(Energy!$F$11=$A$3,Main!$B$43=A78),Energy!D35,X78)</f>
        <v>747.5022788077132</v>
      </c>
      <c r="Y78" s="102">
        <f ca="1">IF(AND(Energy!$F$11=$A$3,Main!$B$43=A78),'Aerodynamics-Cruise'!V35,Y78)</f>
        <v>127379.69955987275</v>
      </c>
      <c r="Z78" s="102">
        <f ca="1">IF(AND(Energy!$F$11=$A$3,Main!$B$43=$A78),Summary!Z35,Z78)</f>
        <v>93559.804879463089</v>
      </c>
      <c r="AA78" s="102">
        <f ca="1">IF(AND(Energy!$F$11=$A$3,Main!$B$43=$A78),Summary!AA35,AA78)</f>
        <v>382438.42192559742</v>
      </c>
      <c r="AB78" s="103">
        <f ca="1">IF(AND(Energy!$F$11=$A$3,Main!$B$43=$A78),Summary!AB35,AB78)</f>
        <v>2.5304913369159125</v>
      </c>
      <c r="AC78" s="103">
        <f ca="1">IF(AND(Energy!$F$11=$A$3,Main!$B$43=$A78),Summary!AC35,AC78)</f>
        <v>2.7591388122492728</v>
      </c>
      <c r="AD78" s="103">
        <f ca="1">IF(AND(Energy!$F$11=$A$3,Main!$B$43=$A78),Summary!AD35,AD78)</f>
        <v>0.37320809754228412</v>
      </c>
      <c r="AE78" s="103">
        <f ca="1">IF(AND(Energy!$F$11=$A$3,Main!$B$43=$A78),Summary!AE35,AE78)</f>
        <v>1.5228070175438597</v>
      </c>
      <c r="AF78" s="103">
        <f ca="1">IF(AND(Energy!$F$11=$A$3,Main!$B$43=$A78),Summary!AF35,AF78)</f>
        <v>21.414473684210527</v>
      </c>
      <c r="AG78" s="103">
        <f ca="1">IF(AND(Energy!$F$11=$A$3,Main!$B$43=$A78),Summary!AG35,AG78)</f>
        <v>9.1927337069452619</v>
      </c>
      <c r="AH78" s="103">
        <f ca="1">IF(AND(Energy!$F$11=$A$3,Main!$B$43=$A78),Summary!AH35,AH78)</f>
        <v>47</v>
      </c>
      <c r="AI78" s="103">
        <f ca="1">IF(AND(Energy!$F$11=$A$3,Main!$B$43=$A78),Summary!AI35,AI78)</f>
        <v>2.7975691632664046</v>
      </c>
      <c r="AJ78" s="103">
        <f ca="1">IF(AND(Energy!$F$11=$A$3,Main!$B$43=$A78),Summary!AJ35,AJ78)</f>
        <v>0.31758982169219085</v>
      </c>
      <c r="AK78" s="103">
        <f ca="1">IF(AND(Energy!$F$11=$A$3,Main!$B$43=$A78),Summary!AK35,AK78)</f>
        <v>0.01</v>
      </c>
      <c r="AL78" s="103">
        <f ca="1">IF(AND(Energy!$F$11=$A$3,Main!$B$43=$A78),Summary!AL35,AL78)</f>
        <v>-0.33064542958753185</v>
      </c>
      <c r="AM78" s="103">
        <f ca="1">IF(AND(Energy!$F$11=$A$3,Main!$B$43=$A78),Summary!AM35,AM78)</f>
        <v>0.34375</v>
      </c>
    </row>
    <row r="79" spans="1:39">
      <c r="A79">
        <f t="shared" si="4"/>
        <v>4</v>
      </c>
      <c r="D79" s="1">
        <f ca="1">IF(AND(Energy!$F$11=$A$3,Main!$B$43=A79),Main!C36,D79)</f>
        <v>5.8684210526315796</v>
      </c>
      <c r="E79" s="103">
        <f ca="1">IF(AND(Energy!$F$11=$A$3,Main!$B$43=A79),Main!B36,E79)</f>
        <v>0.26666666666666666</v>
      </c>
      <c r="F79" s="103">
        <f ca="1">IF(Main!$D$6=1,U79,IF(Main!$D$6=2,N79,IF(Main!$D$6=3,K79,IF(Main!$D$6=4,V79,J79))))</f>
        <v>377.24114902863982</v>
      </c>
      <c r="G79" s="103">
        <f ca="1">IF(AND(Energy!$F$11=$A$3,Main!$B$43=A79),Weight!H36,G79)</f>
        <v>10</v>
      </c>
      <c r="H79" s="103">
        <f ca="1">IF(AND(Energy!$F$11=$A$3,Main!$B$43=A79),Weight!U36,H79)</f>
        <v>16.643743750827419</v>
      </c>
      <c r="I79" s="103">
        <f ca="1">IF(AND(Energy!$F$11=$A$3,Main!$B$43=A79),Weight!V36,I79)</f>
        <v>37.979489584913694</v>
      </c>
      <c r="J79" s="103">
        <f ca="1">IF(AND(Energy!$F$11=$A$3,Main!$B$43=A79),Weight!I36,J79)</f>
        <v>11.275387559086276</v>
      </c>
      <c r="K79" s="103">
        <f ca="1">IF(AND(Energy!$F$11=$A$3,Main!$B$43=A79),Weight!W36,K79)</f>
        <v>47.979494275550152</v>
      </c>
      <c r="L79" s="103">
        <f ca="1">IF(AND(Energy!$F$11=$A$3,Main!$B$43=A79),'Aerodynamics-Cruise'!BI36,L79)</f>
        <v>47.97948490396935</v>
      </c>
      <c r="M79" s="103">
        <f ca="1">IF(AND(Energy!$F$11=$A$3,Main!$B$43=A79),'Aerodynamics-Cruise'!BJ36,M79)</f>
        <v>2.2457040322399382</v>
      </c>
      <c r="N79" s="103">
        <f ca="1">IF(AND(Energy!$F$11=$A$3,Main!$B$43=A79),'Aerodynamics-Cruise'!BK36,N79)</f>
        <v>21.365008128926522</v>
      </c>
      <c r="O79" s="103">
        <f t="shared" ca="1" si="5"/>
        <v>147.98948300043284</v>
      </c>
      <c r="P79" s="103">
        <f ca="1">IF(AND(Energy!$F$11=$A$3,Main!$B$43=A79),'Aerodynamics-Cruise'!H36,P79)</f>
        <v>7.4865411716601598</v>
      </c>
      <c r="Q79" s="103">
        <f ca="1">IF(AND(Energy!$F$11=$A$3,Main!$B$43=A79),'Aerodynamics-Cruise'!I36,Q79)</f>
        <v>6.2666838445991164</v>
      </c>
      <c r="R79" s="103">
        <f ca="1">IF(AND(Energy!$F$11=$A$3,Main!$B$43=$A79),Summary!R36,R79)</f>
        <v>22.434115526528835</v>
      </c>
      <c r="S79" s="103">
        <f ca="1">IF(AND(Energy!$F$11=$A$3,Main!$B$43=A79),'Aerodynamics-Cruise'!W36,S79)</f>
        <v>1</v>
      </c>
      <c r="T79" s="103">
        <f ca="1">IF(AND(Energy!$F$11=$A$3,Main!$B$43=A79),'Aerodynamics-Cruise'!BL36,T79)</f>
        <v>16.812555696727532</v>
      </c>
      <c r="U79" s="103">
        <f ca="1">IF(AND(Energy!$F$11=$A$3,Main!$B$43=A79),'Propulsion-Cruise'!M36,U79)</f>
        <v>38.715899363542945</v>
      </c>
      <c r="V79" s="103">
        <f ca="1">IF(AND(Energy!$F$11=$A$3,Main!$B$43=A79),Endurance!AP36,V79)</f>
        <v>377.24114902863982</v>
      </c>
      <c r="W79" s="103">
        <f ca="1">IF(AND(Energy!$F$11=$A$3,Main!$B$43=$A79),Summary!W36,W79)</f>
        <v>128.99070915525033</v>
      </c>
      <c r="X79" s="13">
        <f ca="1">IF(AND(Energy!$F$11=$A$3,Main!$B$43=A79),Energy!D36,X79)</f>
        <v>753.59975828214249</v>
      </c>
      <c r="Y79" s="102">
        <f ca="1">IF(AND(Energy!$F$11=$A$3,Main!$B$43=A79),'Aerodynamics-Cruise'!V36,Y79)</f>
        <v>126617.93515962873</v>
      </c>
      <c r="Z79" s="102">
        <f ca="1">IF(AND(Energy!$F$11=$A$3,Main!$B$43=$A79),Summary!Z36,Z79)</f>
        <v>93004.335012956741</v>
      </c>
      <c r="AA79" s="102">
        <f ca="1">IF(AND(Energy!$F$11=$A$3,Main!$B$43=$A79),Summary!AA36,AA79)</f>
        <v>379422.39546540106</v>
      </c>
      <c r="AB79" s="103">
        <f ca="1">IF(AND(Energy!$F$11=$A$3,Main!$B$43=$A79),Summary!AB36,AB79)</f>
        <v>2.5387040837327097</v>
      </c>
      <c r="AC79" s="103">
        <f ca="1">IF(AND(Energy!$F$11=$A$3,Main!$B$43=$A79),Summary!AC36,AC79)</f>
        <v>2.7001811229132784</v>
      </c>
      <c r="AD79" s="103">
        <f ca="1">IF(AND(Energy!$F$11=$A$3,Main!$B$43=$A79),Summary!AD36,AD79)</f>
        <v>0.37388774376935507</v>
      </c>
      <c r="AE79" s="103">
        <f ca="1">IF(AND(Energy!$F$11=$A$3,Main!$B$43=$A79),Summary!AE36,AE79)</f>
        <v>1.5649122807017546</v>
      </c>
      <c r="AF79" s="103">
        <f ca="1">IF(AND(Energy!$F$11=$A$3,Main!$B$43=$A79),Summary!AF36,AF79)</f>
        <v>22.006578947368425</v>
      </c>
      <c r="AG79" s="103">
        <f ca="1">IF(AND(Energy!$F$11=$A$3,Main!$B$43=$A79),Summary!AG36,AG79)</f>
        <v>9.2401182747880544</v>
      </c>
      <c r="AH79" s="103">
        <f ca="1">IF(AND(Energy!$F$11=$A$3,Main!$B$43=$A79),Summary!AH36,AH79)</f>
        <v>47</v>
      </c>
      <c r="AI79" s="103">
        <f ca="1">IF(AND(Energy!$F$11=$A$3,Main!$B$43=$A79),Summary!AI36,AI79)</f>
        <v>2.797324240279869</v>
      </c>
      <c r="AJ79" s="103">
        <f ca="1">IF(AND(Energy!$F$11=$A$3,Main!$B$43=$A79),Summary!AJ36,AJ79)</f>
        <v>0.31809692561657305</v>
      </c>
      <c r="AK79" s="103">
        <f ca="1">IF(AND(Energy!$F$11=$A$3,Main!$B$43=$A79),Summary!AK36,AK79)</f>
        <v>0.01</v>
      </c>
      <c r="AL79" s="103">
        <f ca="1">IF(AND(Energy!$F$11=$A$3,Main!$B$43=$A79),Summary!AL36,AL79)</f>
        <v>-0.33011782885102559</v>
      </c>
      <c r="AM79" s="103">
        <f ca="1">IF(AND(Energy!$F$11=$A$3,Main!$B$43=$A79),Summary!AM36,AM79)</f>
        <v>0.34375</v>
      </c>
    </row>
    <row r="80" spans="1:39">
      <c r="A80">
        <f t="shared" si="4"/>
        <v>4</v>
      </c>
      <c r="D80" s="1">
        <f ca="1">IF(AND(Energy!$F$11=$A$3,Main!$B$43=A80),Main!C37,D80)</f>
        <v>6.026315789473685</v>
      </c>
      <c r="E80" s="103">
        <f ca="1">IF(AND(Energy!$F$11=$A$3,Main!$B$43=A80),Main!B37,E80)</f>
        <v>0.26666666666666666</v>
      </c>
      <c r="F80" s="103">
        <f ca="1">IF(Main!$D$6=1,U80,IF(Main!$D$6=2,N80,IF(Main!$D$6=3,K80,IF(Main!$D$6=4,V80,J80))))</f>
        <v>381.22849951657895</v>
      </c>
      <c r="G80" s="103">
        <f ca="1">IF(AND(Energy!$F$11=$A$3,Main!$B$43=A80),Weight!H37,G80)</f>
        <v>10</v>
      </c>
      <c r="H80" s="103">
        <f ca="1">IF(AND(Energy!$F$11=$A$3,Main!$B$43=A80),Weight!U37,H80)</f>
        <v>17.209025851818229</v>
      </c>
      <c r="I80" s="103">
        <f ca="1">IF(AND(Energy!$F$11=$A$3,Main!$B$43=A80),Weight!V37,I80)</f>
        <v>38.753005775199675</v>
      </c>
      <c r="J80" s="103">
        <f ca="1">IF(AND(Energy!$F$11=$A$3,Main!$B$43=A80),Weight!I37,J80)</f>
        <v>11.483621648381447</v>
      </c>
      <c r="K80" s="103">
        <f ca="1">IF(AND(Energy!$F$11=$A$3,Main!$B$43=A80),Weight!W37,K80)</f>
        <v>48.753010713561217</v>
      </c>
      <c r="L80" s="103">
        <f ca="1">IF(AND(Energy!$F$11=$A$3,Main!$B$43=A80),'Aerodynamics-Cruise'!BI37,L80)</f>
        <v>48.753000845020438</v>
      </c>
      <c r="M80" s="103">
        <f ca="1">IF(AND(Energy!$F$11=$A$3,Main!$B$43=A80),'Aerodynamics-Cruise'!BJ37,M80)</f>
        <v>2.2735477346741439</v>
      </c>
      <c r="N80" s="103">
        <f ca="1">IF(AND(Energy!$F$11=$A$3,Main!$B$43=A80),'Aerodynamics-Cruise'!BK37,N80)</f>
        <v>21.443579169894999</v>
      </c>
      <c r="O80" s="103">
        <f t="shared" ca="1" si="5"/>
        <v>149.72625150949466</v>
      </c>
      <c r="P80" s="103">
        <f ca="1">IF(AND(Energy!$F$11=$A$3,Main!$B$43=A80),'Aerodynamics-Cruise'!H37,P80)</f>
        <v>7.44711345611708</v>
      </c>
      <c r="Q80" s="103">
        <f ca="1">IF(AND(Energy!$F$11=$A$3,Main!$B$43=A80),'Aerodynamics-Cruise'!I37,Q80)</f>
        <v>6.2339210913197807</v>
      </c>
      <c r="R80" s="103">
        <f ca="1">IF(AND(Energy!$F$11=$A$3,Main!$B$43=$A80),Summary!R37,R80)</f>
        <v>22.261091769209404</v>
      </c>
      <c r="S80" s="103">
        <f ca="1">IF(AND(Energy!$F$11=$A$3,Main!$B$43=A80),'Aerodynamics-Cruise'!W37,S80)</f>
        <v>1</v>
      </c>
      <c r="T80" s="103">
        <f ca="1">IF(AND(Energy!$F$11=$A$3,Main!$B$43=A80),'Aerodynamics-Cruise'!BL37,T80)</f>
        <v>16.931367928016321</v>
      </c>
      <c r="U80" s="103">
        <f ca="1">IF(AND(Energy!$F$11=$A$3,Main!$B$43=A80),'Propulsion-Cruise'!M37,U80)</f>
        <v>39.03747760029465</v>
      </c>
      <c r="V80" s="103">
        <f ca="1">IF(AND(Energy!$F$11=$A$3,Main!$B$43=A80),Endurance!AP37,V80)</f>
        <v>381.22849951657895</v>
      </c>
      <c r="W80" s="103">
        <f ca="1">IF(AND(Energy!$F$11=$A$3,Main!$B$43=$A80),Summary!W37,W80)</f>
        <v>132.90010560973434</v>
      </c>
      <c r="X80" s="13">
        <f ca="1">IF(AND(Energy!$F$11=$A$3,Main!$B$43=A80),Energy!D37,X80)</f>
        <v>760.6583844003793</v>
      </c>
      <c r="Y80" s="102">
        <f ca="1">IF(AND(Energy!$F$11=$A$3,Main!$B$43=A80),'Aerodynamics-Cruise'!V37,Y80)</f>
        <v>125951.10440085005</v>
      </c>
      <c r="Z80" s="102">
        <f ca="1">IF(AND(Energy!$F$11=$A$3,Main!$B$43=$A80),Summary!Z37,Z80)</f>
        <v>92518.075832368646</v>
      </c>
      <c r="AA80" s="102">
        <f ca="1">IF(AND(Energy!$F$11=$A$3,Main!$B$43=$A80),Summary!AA37,AA80)</f>
        <v>376496.08939387661</v>
      </c>
      <c r="AB80" s="103">
        <f ca="1">IF(AND(Energy!$F$11=$A$3,Main!$B$43=$A80),Summary!AB37,AB80)</f>
        <v>2.5525414272483817</v>
      </c>
      <c r="AC80" s="103">
        <f ca="1">IF(AND(Energy!$F$11=$A$3,Main!$B$43=$A80),Summary!AC37,AC80)</f>
        <v>2.6417709007509798</v>
      </c>
      <c r="AD80" s="103">
        <f ca="1">IF(AND(Energy!$F$11=$A$3,Main!$B$43=$A80),Summary!AD37,AD80)</f>
        <v>0.37480079802765026</v>
      </c>
      <c r="AE80" s="103">
        <f ca="1">IF(AND(Energy!$F$11=$A$3,Main!$B$43=$A80),Summary!AE37,AE80)</f>
        <v>1.6070175438596492</v>
      </c>
      <c r="AF80" s="103">
        <f ca="1">IF(AND(Energy!$F$11=$A$3,Main!$B$43=$A80),Summary!AF37,AF80)</f>
        <v>22.598684210526319</v>
      </c>
      <c r="AG80" s="103">
        <f ca="1">IF(AND(Energy!$F$11=$A$3,Main!$B$43=$A80),Summary!AG37,AG80)</f>
        <v>9.2948862104783174</v>
      </c>
      <c r="AH80" s="103">
        <f ca="1">IF(AND(Energy!$F$11=$A$3,Main!$B$43=$A80),Summary!AH37,AH80)</f>
        <v>47</v>
      </c>
      <c r="AI80" s="103">
        <f ca="1">IF(AND(Energy!$F$11=$A$3,Main!$B$43=$A80),Summary!AI37,AI80)</f>
        <v>2.7971082792461446</v>
      </c>
      <c r="AJ80" s="103">
        <f ca="1">IF(AND(Energy!$F$11=$A$3,Main!$B$43=$A80),Summary!AJ37,AJ80)</f>
        <v>0.31852614560544651</v>
      </c>
      <c r="AK80" s="103">
        <f ca="1">IF(AND(Energy!$F$11=$A$3,Main!$B$43=$A80),Summary!AK37,AK80)</f>
        <v>0.01</v>
      </c>
      <c r="AL80" s="103">
        <f ca="1">IF(AND(Energy!$F$11=$A$3,Main!$B$43=$A80),Summary!AL37,AL80)</f>
        <v>-0.3296725279253977</v>
      </c>
      <c r="AM80" s="103">
        <f ca="1">IF(AND(Energy!$F$11=$A$3,Main!$B$43=$A80),Summary!AM37,AM80)</f>
        <v>0.34375</v>
      </c>
    </row>
    <row r="81" spans="1:39">
      <c r="A81">
        <f t="shared" si="4"/>
        <v>4</v>
      </c>
      <c r="D81" s="1">
        <f ca="1">IF(AND(Energy!$F$11=$A$3,Main!$B$43=A81),Main!C38,D81)</f>
        <v>6.1842105263157903</v>
      </c>
      <c r="E81" s="103">
        <f ca="1">IF(AND(Energy!$F$11=$A$3,Main!$B$43=A81),Main!B38,E81)</f>
        <v>0.26666666666666666</v>
      </c>
      <c r="F81" s="103">
        <f ca="1">IF(Main!$D$6=1,U81,IF(Main!$D$6=2,N81,IF(Main!$D$6=3,K81,IF(Main!$D$6=4,V81,J81))))</f>
        <v>385.72245134028401</v>
      </c>
      <c r="G81" s="103">
        <f ca="1">IF(AND(Energy!$F$11=$A$3,Main!$B$43=A81),Weight!H38,G81)</f>
        <v>10</v>
      </c>
      <c r="H81" s="103">
        <f ca="1">IF(AND(Energy!$F$11=$A$3,Main!$B$43=A81),Weight!U38,H81)</f>
        <v>17.792057218508759</v>
      </c>
      <c r="I81" s="103">
        <f ca="1">IF(AND(Energy!$F$11=$A$3,Main!$B$43=A81),Weight!V38,I81)</f>
        <v>39.571621697708615</v>
      </c>
      <c r="J81" s="103">
        <f ca="1">IF(AND(Energy!$F$11=$A$3,Main!$B$43=A81),Weight!I38,J81)</f>
        <v>11.719206204199859</v>
      </c>
      <c r="K81" s="103">
        <f ca="1">IF(AND(Energy!$F$11=$A$3,Main!$B$43=A81),Weight!W38,K81)</f>
        <v>49.571626864349369</v>
      </c>
      <c r="L81" s="103">
        <f ca="1">IF(AND(Energy!$F$11=$A$3,Main!$B$43=A81),'Aerodynamics-Cruise'!BI38,L81)</f>
        <v>49.571616537781679</v>
      </c>
      <c r="M81" s="103">
        <f ca="1">IF(AND(Energy!$F$11=$A$3,Main!$B$43=A81),'Aerodynamics-Cruise'!BJ38,M81)</f>
        <v>2.3036252488344231</v>
      </c>
      <c r="N81" s="103">
        <f ca="1">IF(AND(Energy!$F$11=$A$3,Main!$B$43=A81),'Aerodynamics-Cruise'!BK38,N81)</f>
        <v>21.518958677355911</v>
      </c>
      <c r="O81" s="103">
        <f t="shared" ca="1" si="5"/>
        <v>151.5087769417909</v>
      </c>
      <c r="P81" s="103">
        <f ca="1">IF(AND(Energy!$F$11=$A$3,Main!$B$43=A81),'Aerodynamics-Cruise'!H38,P81)</f>
        <v>7.4128787169966452</v>
      </c>
      <c r="Q81" s="103">
        <f ca="1">IF(AND(Energy!$F$11=$A$3,Main!$B$43=A81),'Aerodynamics-Cruise'!I38,Q81)</f>
        <v>6.2054729104683393</v>
      </c>
      <c r="R81" s="103">
        <f ca="1">IF(AND(Energy!$F$11=$A$3,Main!$B$43=$A81),Summary!R38,R81)</f>
        <v>22.09313323522035</v>
      </c>
      <c r="S81" s="103">
        <f ca="1">IF(AND(Energy!$F$11=$A$3,Main!$B$43=A81),'Aerodynamics-Cruise'!W38,S81)</f>
        <v>1</v>
      </c>
      <c r="T81" s="103">
        <f ca="1">IF(AND(Energy!$F$11=$A$3,Main!$B$43=A81),'Aerodynamics-Cruise'!BL38,T81)</f>
        <v>17.076494579020796</v>
      </c>
      <c r="U81" s="103">
        <f ca="1">IF(AND(Energy!$F$11=$A$3,Main!$B$43=A81),'Propulsion-Cruise'!M38,U81)</f>
        <v>39.412253703015786</v>
      </c>
      <c r="V81" s="103">
        <f ca="1">IF(AND(Energy!$F$11=$A$3,Main!$B$43=A81),Endurance!AP38,V81)</f>
        <v>385.72245134028401</v>
      </c>
      <c r="W81" s="103">
        <f ca="1">IF(AND(Energy!$F$11=$A$3,Main!$B$43=$A81),Summary!W38,W81)</f>
        <v>137.32297942567828</v>
      </c>
      <c r="X81" s="13">
        <f ca="1">IF(AND(Energy!$F$11=$A$3,Main!$B$43=A81),Energy!D38,X81)</f>
        <v>768.64412299692253</v>
      </c>
      <c r="Y81" s="102">
        <f ca="1">IF(AND(Energy!$F$11=$A$3,Main!$B$43=A81),'Aerodynamics-Cruise'!V38,Y81)</f>
        <v>125372.10110964169</v>
      </c>
      <c r="Z81" s="102">
        <f ca="1">IF(AND(Energy!$F$11=$A$3,Main!$B$43=$A81),Summary!Z38,Z81)</f>
        <v>92095.852855856996</v>
      </c>
      <c r="AA81" s="102">
        <f ca="1">IF(AND(Energy!$F$11=$A$3,Main!$B$43=$A81),Summary!AA38,AA81)</f>
        <v>373655.45013490401</v>
      </c>
      <c r="AB81" s="103">
        <f ca="1">IF(AND(Energy!$F$11=$A$3,Main!$B$43=$A81),Summary!AB38,AB81)</f>
        <v>2.5717200146420116</v>
      </c>
      <c r="AC81" s="103">
        <f ca="1">IF(AND(Energy!$F$11=$A$3,Main!$B$43=$A81),Summary!AC38,AC81)</f>
        <v>2.5839832744633413</v>
      </c>
      <c r="AD81" s="103">
        <f ca="1">IF(AND(Energy!$F$11=$A$3,Main!$B$43=$A81),Summary!AD38,AD81)</f>
        <v>0.37593342922628231</v>
      </c>
      <c r="AE81" s="103">
        <f ca="1">IF(AND(Energy!$F$11=$A$3,Main!$B$43=$A81),Summary!AE38,AE81)</f>
        <v>1.6491228070175441</v>
      </c>
      <c r="AF81" s="103">
        <f ca="1">IF(AND(Energy!$F$11=$A$3,Main!$B$43=$A81),Summary!AF38,AF81)</f>
        <v>23.190789473684216</v>
      </c>
      <c r="AG81" s="103">
        <f ca="1">IF(AND(Energy!$F$11=$A$3,Main!$B$43=$A81),Summary!AG38,AG81)</f>
        <v>9.3567074398438255</v>
      </c>
      <c r="AH81" s="103">
        <f ca="1">IF(AND(Energy!$F$11=$A$3,Main!$B$43=$A81),Summary!AH38,AH81)</f>
        <v>47</v>
      </c>
      <c r="AI81" s="103">
        <f ca="1">IF(AND(Energy!$F$11=$A$3,Main!$B$43=$A81),Summary!AI38,AI81)</f>
        <v>2.7969194344632826</v>
      </c>
      <c r="AJ81" s="103">
        <f ca="1">IF(AND(Energy!$F$11=$A$3,Main!$B$43=$A81),Summary!AJ38,AJ81)</f>
        <v>0.31888181236013313</v>
      </c>
      <c r="AK81" s="103">
        <f ca="1">IF(AND(Energy!$F$11=$A$3,Main!$B$43=$A81),Summary!AK38,AK81)</f>
        <v>0.01</v>
      </c>
      <c r="AL81" s="103">
        <f ca="1">IF(AND(Energy!$F$11=$A$3,Main!$B$43=$A81),Summary!AL38,AL81)</f>
        <v>-0.32930439287875035</v>
      </c>
      <c r="AM81" s="103">
        <f ca="1">IF(AND(Energy!$F$11=$A$3,Main!$B$43=$A81),Summary!AM38,AM81)</f>
        <v>0.34375</v>
      </c>
    </row>
    <row r="82" spans="1:39">
      <c r="A82">
        <f t="shared" si="4"/>
        <v>4</v>
      </c>
      <c r="D82" s="1">
        <f ca="1">IF(AND(Energy!$F$11=$A$3,Main!$B$43=A82),Main!C39,D82)</f>
        <v>6.3421052631578956</v>
      </c>
      <c r="E82" s="103">
        <f ca="1">IF(AND(Energy!$F$11=$A$3,Main!$B$43=A82),Main!B39,E82)</f>
        <v>0.26666666666666666</v>
      </c>
      <c r="F82" s="103">
        <f ca="1">IF(Main!$D$6=1,U82,IF(Main!$D$6=2,N82,IF(Main!$D$6=3,K82,IF(Main!$D$6=4,V82,J82))))</f>
        <v>390.70951363831352</v>
      </c>
      <c r="G82" s="103">
        <f ca="1">IF(AND(Energy!$F$11=$A$3,Main!$B$43=A82),Weight!H39,G82)</f>
        <v>10</v>
      </c>
      <c r="H82" s="103">
        <f ca="1">IF(AND(Energy!$F$11=$A$3,Main!$B$43=A82),Weight!U39,H82)</f>
        <v>18.393116180237733</v>
      </c>
      <c r="I82" s="103">
        <f ca="1">IF(AND(Energy!$F$11=$A$3,Main!$B$43=A82),Weight!V39,I82)</f>
        <v>40.434877226519987</v>
      </c>
      <c r="J82" s="103">
        <f ca="1">IF(AND(Energy!$F$11=$A$3,Main!$B$43=A82),Weight!I39,J82)</f>
        <v>11.981402771282255</v>
      </c>
      <c r="K82" s="103">
        <f ca="1">IF(AND(Energy!$F$11=$A$3,Main!$B$43=A82),Weight!W39,K82)</f>
        <v>50.434882602940597</v>
      </c>
      <c r="L82" s="103">
        <f ca="1">IF(AND(Energy!$F$11=$A$3,Main!$B$43=A82),'Aerodynamics-Cruise'!BI39,L82)</f>
        <v>50.434871855392814</v>
      </c>
      <c r="M82" s="103">
        <f ca="1">IF(AND(Energy!$F$11=$A$3,Main!$B$43=A82),'Aerodynamics-Cruise'!BJ39,M82)</f>
        <v>2.3358835168963812</v>
      </c>
      <c r="N82" s="103">
        <f ca="1">IF(AND(Energy!$F$11=$A$3,Main!$B$43=A82),'Aerodynamics-Cruise'!BK39,N82)</f>
        <v>21.591347124365228</v>
      </c>
      <c r="O82" s="103">
        <f t="shared" ca="1" si="5"/>
        <v>153.33637800833731</v>
      </c>
      <c r="P82" s="103">
        <f ca="1">IF(AND(Energy!$F$11=$A$3,Main!$B$43=A82),'Aerodynamics-Cruise'!H39,P82)</f>
        <v>7.3834704530448398</v>
      </c>
      <c r="Q82" s="103">
        <f ca="1">IF(AND(Energy!$F$11=$A$3,Main!$B$43=A82),'Aerodynamics-Cruise'!I39,Q82)</f>
        <v>6.1810351503609944</v>
      </c>
      <c r="R82" s="103">
        <f ca="1">IF(AND(Energy!$F$11=$A$3,Main!$B$43=$A82),Summary!R39,R82)</f>
        <v>21.930016868955793</v>
      </c>
      <c r="S82" s="103">
        <f ca="1">IF(AND(Energy!$F$11=$A$3,Main!$B$43=A82),'Aerodynamics-Cruise'!W39,S82)</f>
        <v>1</v>
      </c>
      <c r="T82" s="103">
        <f ca="1">IF(AND(Energy!$F$11=$A$3,Main!$B$43=A82),'Aerodynamics-Cruise'!BL39,T82)</f>
        <v>17.246926928758896</v>
      </c>
      <c r="U82" s="103">
        <f ca="1">IF(AND(Energy!$F$11=$A$3,Main!$B$43=A82),'Propulsion-Cruise'!M39,U82)</f>
        <v>39.838579566769958</v>
      </c>
      <c r="V82" s="103">
        <f ca="1">IF(AND(Energy!$F$11=$A$3,Main!$B$43=A82),Endurance!AP39,V82)</f>
        <v>390.70951363831352</v>
      </c>
      <c r="W82" s="103">
        <f ca="1">IF(AND(Energy!$F$11=$A$3,Main!$B$43=$A82),Summary!W39,W82)</f>
        <v>142.24546687277223</v>
      </c>
      <c r="X82" s="13">
        <f ca="1">IF(AND(Energy!$F$11=$A$3,Main!$B$43=A82),Energy!D39,X82)</f>
        <v>777.53194230223164</v>
      </c>
      <c r="Y82" s="102">
        <f ca="1">IF(AND(Energy!$F$11=$A$3,Main!$B$43=A82),'Aerodynamics-Cruise'!V39,Y82)</f>
        <v>124874.72674505498</v>
      </c>
      <c r="Z82" s="102">
        <f ca="1">IF(AND(Energy!$F$11=$A$3,Main!$B$43=$A82),Summary!Z39,Z82)</f>
        <v>91733.151875664116</v>
      </c>
      <c r="AA82" s="102">
        <f ca="1">IF(AND(Energy!$F$11=$A$3,Main!$B$43=$A82),Summary!AA39,AA82)</f>
        <v>370896.70520669303</v>
      </c>
      <c r="AB82" s="103">
        <f ca="1">IF(AND(Energy!$F$11=$A$3,Main!$B$43=$A82),Summary!AB39,AB82)</f>
        <v>2.596025010990997</v>
      </c>
      <c r="AC82" s="103">
        <f ca="1">IF(AND(Energy!$F$11=$A$3,Main!$B$43=$A82),Summary!AC39,AC82)</f>
        <v>2.5268759340897393</v>
      </c>
      <c r="AD82" s="103">
        <f ca="1">IF(AND(Energy!$F$11=$A$3,Main!$B$43=$A82),Summary!AD39,AD82)</f>
        <v>0.37727388803059897</v>
      </c>
      <c r="AE82" s="103">
        <f ca="1">IF(AND(Energy!$F$11=$A$3,Main!$B$43=$A82),Summary!AE39,AE82)</f>
        <v>1.6912280701754387</v>
      </c>
      <c r="AF82" s="103">
        <f ca="1">IF(AND(Energy!$F$11=$A$3,Main!$B$43=$A82),Summary!AF39,AF82)</f>
        <v>23.782894736842106</v>
      </c>
      <c r="AG82" s="103">
        <f ca="1">IF(AND(Energy!$F$11=$A$3,Main!$B$43=$A82),Summary!AG39,AG82)</f>
        <v>9.4253187872939801</v>
      </c>
      <c r="AH82" s="103">
        <f ca="1">IF(AND(Energy!$F$11=$A$3,Main!$B$43=$A82),Summary!AH39,AH82)</f>
        <v>47</v>
      </c>
      <c r="AI82" s="103">
        <f ca="1">IF(AND(Energy!$F$11=$A$3,Main!$B$43=$A82),Summary!AI39,AI82)</f>
        <v>2.7967560626517374</v>
      </c>
      <c r="AJ82" s="103">
        <f ca="1">IF(AND(Energy!$F$11=$A$3,Main!$B$43=$A82),Summary!AJ39,AJ82)</f>
        <v>0.31916782075413397</v>
      </c>
      <c r="AK82" s="103">
        <f ca="1">IF(AND(Energy!$F$11=$A$3,Main!$B$43=$A82),Summary!AK39,AK82)</f>
        <v>0.01</v>
      </c>
      <c r="AL82" s="103">
        <f ca="1">IF(AND(Energy!$F$11=$A$3,Main!$B$43=$A82),Summary!AL39,AL82)</f>
        <v>-0.32900889354436574</v>
      </c>
      <c r="AM82" s="103">
        <f ca="1">IF(AND(Energy!$F$11=$A$3,Main!$B$43=$A82),Summary!AM39,AM82)</f>
        <v>0.34375</v>
      </c>
    </row>
    <row r="83" spans="1:39">
      <c r="A83">
        <f t="shared" si="4"/>
        <v>4</v>
      </c>
      <c r="D83" s="1">
        <f ca="1">IF(AND(Energy!$F$11=$A$3,Main!$B$43=A83),Main!C40,D83)</f>
        <v>6.5</v>
      </c>
      <c r="E83" s="103">
        <f ca="1">IF(AND(Energy!$F$11=$A$3,Main!$B$43=A83),Main!B40,E83)</f>
        <v>0.26666666666666666</v>
      </c>
      <c r="F83" s="103">
        <f ca="1">IF(Main!$D$6=1,U83,IF(Main!$D$6=2,N83,IF(Main!$D$6=3,K83,IF(Main!$D$6=4,V83,J83))))</f>
        <v>396.18047169213156</v>
      </c>
      <c r="G83" s="103">
        <f ca="1">IF(AND(Energy!$F$11=$A$3,Main!$B$43=A83),Weight!H40,G83)</f>
        <v>10</v>
      </c>
      <c r="H83" s="103">
        <f ca="1">IF(AND(Energy!$F$11=$A$3,Main!$B$43=A83),Weight!U40,H83)</f>
        <v>19.012514171048132</v>
      </c>
      <c r="I83" s="103">
        <f ca="1">IF(AND(Energy!$F$11=$A$3,Main!$B$43=A83),Weight!V40,I83)</f>
        <v>41.342574968701413</v>
      </c>
      <c r="J83" s="103">
        <f ca="1">IF(AND(Energy!$F$11=$A$3,Main!$B$43=A83),Weight!I40,J83)</f>
        <v>12.269702522653287</v>
      </c>
      <c r="K83" s="103">
        <f ca="1">IF(AND(Energy!$F$11=$A$3,Main!$B$43=A83),Weight!W40,K83)</f>
        <v>51.342580536899163</v>
      </c>
      <c r="L83" s="103">
        <f ca="1">IF(AND(Energy!$F$11=$A$3,Main!$B$43=A83),'Aerodynamics-Cruise'!BI40,L83)</f>
        <v>51.342569404434172</v>
      </c>
      <c r="M83" s="103">
        <f ca="1">IF(AND(Energy!$F$11=$A$3,Main!$B$43=A83),'Aerodynamics-Cruise'!BJ40,M83)</f>
        <v>2.3702855358691552</v>
      </c>
      <c r="N83" s="103">
        <f ca="1">IF(AND(Energy!$F$11=$A$3,Main!$B$43=A83),'Aerodynamics-Cruise'!BK40,N83)</f>
        <v>21.660921702248615</v>
      </c>
      <c r="O83" s="103">
        <f t="shared" ca="1" si="5"/>
        <v>155.20858227388004</v>
      </c>
      <c r="P83" s="103">
        <f ca="1">IF(AND(Energy!$F$11=$A$3,Main!$B$43=A83),'Aerodynamics-Cruise'!H40,P83)</f>
        <v>7.3585679234477279</v>
      </c>
      <c r="Q83" s="103">
        <f ca="1">IF(AND(Energy!$F$11=$A$3,Main!$B$43=A83),'Aerodynamics-Cruise'!I40,Q83)</f>
        <v>6.1603415970074549</v>
      </c>
      <c r="R83" s="103">
        <f ca="1">IF(AND(Energy!$F$11=$A$3,Main!$B$43=$A83),Summary!R40,R83)</f>
        <v>21.771534789027999</v>
      </c>
      <c r="S83" s="103">
        <f ca="1">IF(AND(Energy!$F$11=$A$3,Main!$B$43=A83),'Aerodynamics-Cruise'!W40,S83)</f>
        <v>1</v>
      </c>
      <c r="T83" s="103">
        <f ca="1">IF(AND(Energy!$F$11=$A$3,Main!$B$43=A83),'Aerodynamics-Cruise'!BL40,T83)</f>
        <v>17.441907113658875</v>
      </c>
      <c r="U83" s="103">
        <f ca="1">IF(AND(Energy!$F$11=$A$3,Main!$B$43=A83),'Propulsion-Cruise'!M40,U83)</f>
        <v>40.315281446762349</v>
      </c>
      <c r="V83" s="103">
        <f ca="1">IF(AND(Energy!$F$11=$A$3,Main!$B$43=A83),Endurance!AP40,V83)</f>
        <v>396.18047169213156</v>
      </c>
      <c r="W83" s="103">
        <f ca="1">IF(AND(Energy!$F$11=$A$3,Main!$B$43=$A83),Summary!W40,W83)</f>
        <v>147.65801525076819</v>
      </c>
      <c r="X83" s="13">
        <f ca="1">IF(AND(Energy!$F$11=$A$3,Main!$B$43=A83),Energy!D40,X83)</f>
        <v>787.30459436382102</v>
      </c>
      <c r="Y83" s="102">
        <f ca="1">IF(AND(Energy!$F$11=$A$3,Main!$B$43=A83),'Aerodynamics-Cruise'!V40,Y83)</f>
        <v>124453.5567006326</v>
      </c>
      <c r="Z83" s="102">
        <f ca="1">IF(AND(Energy!$F$11=$A$3,Main!$B$43=$A83),Summary!Z40,Z83)</f>
        <v>91426.021757731549</v>
      </c>
      <c r="AA83" s="102">
        <f ca="1">IF(AND(Energy!$F$11=$A$3,Main!$B$43=$A83),Summary!AA40,AA83)</f>
        <v>368216.3387650816</v>
      </c>
      <c r="AB83" s="103">
        <f ca="1">IF(AND(Energy!$F$11=$A$3,Main!$B$43=$A83),Summary!AB40,AB83)</f>
        <v>2.6252998276255752</v>
      </c>
      <c r="AC83" s="103">
        <f ca="1">IF(AND(Energy!$F$11=$A$3,Main!$B$43=$A83),Summary!AC40,AC83)</f>
        <v>2.4704923798664691</v>
      </c>
      <c r="AD83" s="103">
        <f ca="1">IF(AND(Energy!$F$11=$A$3,Main!$B$43=$A83),Summary!AD40,AD83)</f>
        <v>0.37881220925235765</v>
      </c>
      <c r="AE83" s="103">
        <f ca="1">IF(AND(Energy!$F$11=$A$3,Main!$B$43=$A83),Summary!AE40,AE83)</f>
        <v>1.7333333333333334</v>
      </c>
      <c r="AF83" s="103">
        <f ca="1">IF(AND(Energy!$F$11=$A$3,Main!$B$43=$A83),Summary!AF40,AF83)</f>
        <v>24.375</v>
      </c>
      <c r="AG83" s="103">
        <f ca="1">IF(AND(Energy!$F$11=$A$3,Main!$B$43=$A83),Summary!AG40,AG83)</f>
        <v>9.5005144974779974</v>
      </c>
      <c r="AH83" s="103">
        <f ca="1">IF(AND(Energy!$F$11=$A$3,Main!$B$43=$A83),Summary!AH40,AH83)</f>
        <v>47</v>
      </c>
      <c r="AI83" s="103">
        <f ca="1">IF(AND(Energy!$F$11=$A$3,Main!$B$43=$A83),Summary!AI40,AI83)</f>
        <v>2.7966166958097052</v>
      </c>
      <c r="AJ83" s="103">
        <f ca="1">IF(AND(Energy!$F$11=$A$3,Main!$B$43=$A83),Summary!AJ40,AJ83)</f>
        <v>0.31938768349656355</v>
      </c>
      <c r="AK83" s="103">
        <f ca="1">IF(AND(Energy!$F$11=$A$3,Main!$B$43=$A83),Summary!AK40,AK83)</f>
        <v>0.01</v>
      </c>
      <c r="AL83" s="103">
        <f ca="1">IF(AND(Energy!$F$11=$A$3,Main!$B$43=$A83),Summary!AL40,AL83)</f>
        <v>-0.32878202300540399</v>
      </c>
      <c r="AM83" s="103">
        <f ca="1">IF(AND(Energy!$F$11=$A$3,Main!$B$43=$A83),Summary!AM40,AM83)</f>
        <v>0.34375</v>
      </c>
    </row>
    <row r="84" spans="1:39">
      <c r="A84" s="7">
        <f>A64+1</f>
        <v>5</v>
      </c>
      <c r="D84" s="1">
        <f ca="1">IF(AND(Energy!$F$11=$A$3,Main!$B$43=A84),Main!C21,D84)</f>
        <v>3.5</v>
      </c>
      <c r="E84" s="103">
        <f ca="1">IF(AND(Energy!$F$11=$A$3,Main!$B$43=A84),Main!B21,E84)</f>
        <v>0.28888888888888886</v>
      </c>
      <c r="F84" s="103">
        <f ca="1">IF(Main!$D$6=1,U84,IF(Main!$D$6=2,N84,IF(Main!$D$6=3,K84,IF(Main!$D$6=4,V84,J84))))</f>
        <v>428.2258888698276</v>
      </c>
      <c r="G84" s="103">
        <f ca="1">IF(AND(Energy!$F$11=$A$3,Main!$B$43=A84),Weight!H21,G84)</f>
        <v>10</v>
      </c>
      <c r="H84" s="103">
        <f ca="1">IF(AND(Energy!$F$11=$A$3,Main!$B$43=A84),Weight!U21,H84)</f>
        <v>10.926218649627629</v>
      </c>
      <c r="I84" s="103">
        <f ca="1">IF(AND(Energy!$F$11=$A$3,Main!$B$43=A84),Weight!V21,I84)</f>
        <v>35.089211490421775</v>
      </c>
      <c r="J84" s="103">
        <f ca="1">IF(AND(Energy!$F$11=$A$3,Main!$B$43=A84),Weight!I21,J84)</f>
        <v>14.102634565794144</v>
      </c>
      <c r="K84" s="103">
        <f ca="1">IF(AND(Energy!$F$11=$A$3,Main!$B$43=A84),Weight!W21,K84)</f>
        <v>45.08920974012014</v>
      </c>
      <c r="L84" s="103">
        <f ca="1">IF(AND(Energy!$F$11=$A$3,Main!$B$43=A84),'Aerodynamics-Cruise'!BI21,L84)</f>
        <v>45.089213258524389</v>
      </c>
      <c r="M84" s="103">
        <f ca="1">IF(AND(Energy!$F$11=$A$3,Main!$B$43=A84),'Aerodynamics-Cruise'!BJ21,M84)</f>
        <v>2.338989265082418</v>
      </c>
      <c r="N84" s="103">
        <f ca="1">IF(AND(Energy!$F$11=$A$3,Main!$B$43=A84),'Aerodynamics-Cruise'!BK21,N84)</f>
        <v>19.277221119240835</v>
      </c>
      <c r="O84" s="103">
        <f t="shared" ca="1" si="5"/>
        <v>129.44365215987042</v>
      </c>
      <c r="P84" s="103">
        <f ca="1">IF(AND(Energy!$F$11=$A$3,Main!$B$43=A84),'Aerodynamics-Cruise'!H21,P84)</f>
        <v>9.0357333268659286</v>
      </c>
      <c r="Q84" s="103">
        <f ca="1">IF(AND(Energy!$F$11=$A$3,Main!$B$43=A84),'Aerodynamics-Cruise'!I21,Q84)</f>
        <v>7.5436670769796077</v>
      </c>
      <c r="R84" s="103">
        <f ca="1">IF(AND(Energy!$F$11=$A$3,Main!$B$43=$A84),Summary!R21,R84)</f>
        <v>25.320243321858317</v>
      </c>
      <c r="S84" s="103">
        <f ca="1">IF(AND(Energy!$F$11=$A$3,Main!$B$43=A84),'Aerodynamics-Cruise'!W21,S84)</f>
        <v>1</v>
      </c>
      <c r="T84" s="103">
        <f ca="1">IF(AND(Energy!$F$11=$A$3,Main!$B$43=A84),'Aerodynamics-Cruise'!BL21,T84)</f>
        <v>21.134483253686849</v>
      </c>
      <c r="U84" s="103">
        <f ca="1">IF(AND(Energy!$F$11=$A$3,Main!$B$43=A84),'Propulsion-Cruise'!M21,U84)</f>
        <v>45.779710628740958</v>
      </c>
      <c r="V84" s="103">
        <f ca="1">IF(AND(Energy!$F$11=$A$3,Main!$B$43=A84),Endurance!AP21,V84)</f>
        <v>428.2258888698276</v>
      </c>
      <c r="W84" s="103">
        <f ca="1">IF(AND(Energy!$F$11=$A$3,Main!$B$43=$A84),Summary!W21,W84)</f>
        <v>182.06927625215269</v>
      </c>
      <c r="X84" s="13">
        <f ca="1">IF(AND(Energy!$F$11=$A$3,Main!$B$43=A84),Energy!D21,X84)</f>
        <v>849.43624358755415</v>
      </c>
      <c r="Y84" s="102">
        <f ca="1">IF(AND(Energy!$F$11=$A$3,Main!$B$43=A84),'Aerodynamics-Cruise'!V21,Y84)</f>
        <v>165553.93999136021</v>
      </c>
      <c r="Z84" s="102">
        <f ca="1">IF(AND(Energy!$F$11=$A$3,Main!$B$43=$A84),Summary!Z21,Z84)</f>
        <v>121288.01213527849</v>
      </c>
      <c r="AA84" s="102">
        <f ca="1">IF(AND(Energy!$F$11=$A$3,Main!$B$43=$A84),Summary!AA21,AA84)</f>
        <v>463920.95603462576</v>
      </c>
      <c r="AB84" s="103">
        <f ca="1">IF(AND(Energy!$F$11=$A$3,Main!$B$43=$A84),Summary!AB21,AB84)</f>
        <v>3.5010238894804164</v>
      </c>
      <c r="AC84" s="103">
        <f ca="1">IF(AND(Energy!$F$11=$A$3,Main!$B$43=$A84),Summary!AC21,AC84)</f>
        <v>3.3006625017887203</v>
      </c>
      <c r="AD84" s="103">
        <f ca="1">IF(AND(Energy!$F$11=$A$3,Main!$B$43=$A84),Summary!AD21,AD84)</f>
        <v>0.40909665127806716</v>
      </c>
      <c r="AE84" s="103">
        <f ca="1">IF(AND(Energy!$F$11=$A$3,Main!$B$43=$A84),Summary!AE21,AE84)</f>
        <v>1.0111111111111111</v>
      </c>
      <c r="AF84" s="103">
        <f ca="1">IF(AND(Energy!$F$11=$A$3,Main!$B$43=$A84),Summary!AF21,AF84)</f>
        <v>12.115384615384615</v>
      </c>
      <c r="AG84" s="103">
        <f ca="1">IF(AND(Energy!$F$11=$A$3,Main!$B$43=$A84),Summary!AG21,AG84)</f>
        <v>10.028636479980783</v>
      </c>
      <c r="AH84" s="103">
        <f ca="1">IF(AND(Energy!$F$11=$A$3,Main!$B$43=$A84),Summary!AH21,AH84)</f>
        <v>47</v>
      </c>
      <c r="AI84" s="103">
        <f ca="1">IF(AND(Energy!$F$11=$A$3,Main!$B$43=$A84),Summary!AI21,AI84)</f>
        <v>2.812016768333454</v>
      </c>
      <c r="AJ84" s="103">
        <f ca="1">IF(AND(Energy!$F$11=$A$3,Main!$B$43=$A84),Summary!AJ21,AJ84)</f>
        <v>0.29586700149446266</v>
      </c>
      <c r="AK84" s="103">
        <f ca="1">IF(AND(Energy!$F$11=$A$3,Main!$B$43=$A84),Summary!AK21,AK84)</f>
        <v>0.01</v>
      </c>
      <c r="AL84" s="103">
        <f ca="1">IF(AND(Energy!$F$11=$A$3,Main!$B$43=$A84),Summary!AL21,AL84)</f>
        <v>-0.35494394754011077</v>
      </c>
      <c r="AM84" s="103">
        <f ca="1">IF(AND(Energy!$F$11=$A$3,Main!$B$43=$A84),Summary!AM21,AM84)</f>
        <v>0.34375</v>
      </c>
    </row>
    <row r="85" spans="1:39">
      <c r="A85">
        <f>A84</f>
        <v>5</v>
      </c>
      <c r="B85" s="100"/>
      <c r="C85" s="100"/>
      <c r="D85" s="1">
        <f ca="1">IF(AND(Energy!$F$11=$A$3,Main!$B$43=A85),Main!C22,D85)</f>
        <v>3.6578947368421053</v>
      </c>
      <c r="E85" s="103">
        <f ca="1">IF(AND(Energy!$F$11=$A$3,Main!$B$43=A85),Main!B22,E85)</f>
        <v>0.28888888888888886</v>
      </c>
      <c r="F85" s="103">
        <f ca="1">IF(Main!$D$6=1,U85,IF(Main!$D$6=2,N85,IF(Main!$D$6=3,K85,IF(Main!$D$6=4,V85,J85))))</f>
        <v>412.7950127494737</v>
      </c>
      <c r="G85" s="103">
        <f ca="1">IF(AND(Energy!$F$11=$A$3,Main!$B$43=A85),Weight!H22,G85)</f>
        <v>10</v>
      </c>
      <c r="H85" s="103">
        <f ca="1">IF(AND(Energy!$F$11=$A$3,Main!$B$43=A85),Weight!U22,H85)</f>
        <v>11.233666202726802</v>
      </c>
      <c r="I85" s="103">
        <f ca="1">IF(AND(Energy!$F$11=$A$3,Main!$B$43=A85),Weight!V22,I85)</f>
        <v>34.558911540806349</v>
      </c>
      <c r="J85" s="103">
        <f ca="1">IF(AND(Energy!$F$11=$A$3,Main!$B$43=A85),Weight!I22,J85)</f>
        <v>13.264887063079552</v>
      </c>
      <c r="K85" s="103">
        <f ca="1">IF(AND(Energy!$F$11=$A$3,Main!$B$43=A85),Weight!W22,K85)</f>
        <v>44.558909839948768</v>
      </c>
      <c r="L85" s="103">
        <f ca="1">IF(AND(Energy!$F$11=$A$3,Main!$B$43=A85),'Aerodynamics-Cruise'!BI22,L85)</f>
        <v>44.558913258710291</v>
      </c>
      <c r="M85" s="103">
        <f ca="1">IF(AND(Energy!$F$11=$A$3,Main!$B$43=A85),'Aerodynamics-Cruise'!BJ22,M85)</f>
        <v>2.2881448330674701</v>
      </c>
      <c r="N85" s="103">
        <f ca="1">IF(AND(Energy!$F$11=$A$3,Main!$B$43=A85),'Aerodynamics-Cruise'!BK22,N85)</f>
        <v>19.473816785878427</v>
      </c>
      <c r="O85" s="103">
        <f t="shared" ca="1" si="5"/>
        <v>129.99252358253614</v>
      </c>
      <c r="P85" s="103">
        <f ca="1">IF(AND(Energy!$F$11=$A$3,Main!$B$43=A85),'Aerodynamics-Cruise'!H22,P85)</f>
        <v>8.7863475486841782</v>
      </c>
      <c r="Q85" s="103">
        <f ca="1">IF(AND(Energy!$F$11=$A$3,Main!$B$43=A85),'Aerodynamics-Cruise'!I22,Q85)</f>
        <v>7.3369639633781212</v>
      </c>
      <c r="R85" s="103">
        <f ca="1">IF(AND(Energy!$F$11=$A$3,Main!$B$43=$A85),Summary!R22,R85)</f>
        <v>25.023648714683816</v>
      </c>
      <c r="S85" s="103">
        <f ca="1">IF(AND(Energy!$F$11=$A$3,Main!$B$43=A85),'Aerodynamics-Cruise'!W22,S85)</f>
        <v>1</v>
      </c>
      <c r="T85" s="103">
        <f ca="1">IF(AND(Energy!$F$11=$A$3,Main!$B$43=A85),'Aerodynamics-Cruise'!BL22,T85)</f>
        <v>20.104435745056733</v>
      </c>
      <c r="U85" s="103">
        <f ca="1">IF(AND(Energy!$F$11=$A$3,Main!$B$43=A85),'Propulsion-Cruise'!M22,U85)</f>
        <v>43.956588658214883</v>
      </c>
      <c r="V85" s="103">
        <f ca="1">IF(AND(Energy!$F$11=$A$3,Main!$B$43=A85),Endurance!AP22,V85)</f>
        <v>412.7950127494737</v>
      </c>
      <c r="W85" s="103">
        <f ca="1">IF(AND(Energy!$F$11=$A$3,Main!$B$43=$A85),Summary!W22,W85)</f>
        <v>166.34139604914924</v>
      </c>
      <c r="X85" s="13">
        <f ca="1">IF(AND(Energy!$F$11=$A$3,Main!$B$43=A85),Energy!D22,X85)</f>
        <v>821.0386804347329</v>
      </c>
      <c r="Y85" s="102">
        <f ca="1">IF(AND(Energy!$F$11=$A$3,Main!$B$43=A85),'Aerodynamics-Cruise'!V22,Y85)</f>
        <v>160984.65970582518</v>
      </c>
      <c r="Z85" s="102">
        <f ca="1">IF(AND(Energy!$F$11=$A$3,Main!$B$43=$A85),Summary!Z22,Z85)</f>
        <v>117964.44723258636</v>
      </c>
      <c r="AA85" s="102">
        <f ca="1">IF(AND(Energy!$F$11=$A$3,Main!$B$43=$A85),Summary!AA22,AA85)</f>
        <v>458486.70913715119</v>
      </c>
      <c r="AB85" s="103">
        <f ca="1">IF(AND(Energy!$F$11=$A$3,Main!$B$43=$A85),Summary!AB22,AB85)</f>
        <v>3.2656559165191217</v>
      </c>
      <c r="AC85" s="103">
        <f ca="1">IF(AND(Energy!$F$11=$A$3,Main!$B$43=$A85),Summary!AC22,AC85)</f>
        <v>3.2794091120254603</v>
      </c>
      <c r="AD85" s="103">
        <f ca="1">IF(AND(Energy!$F$11=$A$3,Main!$B$43=$A85),Summary!AD22,AD85)</f>
        <v>0.40149092784724499</v>
      </c>
      <c r="AE85" s="103">
        <f ca="1">IF(AND(Energy!$F$11=$A$3,Main!$B$43=$A85),Summary!AE22,AE85)</f>
        <v>1.0567251461988303</v>
      </c>
      <c r="AF85" s="103">
        <f ca="1">IF(AND(Energy!$F$11=$A$3,Main!$B$43=$A85),Summary!AF22,AF85)</f>
        <v>12.661943319838057</v>
      </c>
      <c r="AG85" s="103">
        <f ca="1">IF(AND(Energy!$F$11=$A$3,Main!$B$43=$A85),Summary!AG22,AG85)</f>
        <v>9.8085688610888742</v>
      </c>
      <c r="AH85" s="103">
        <f ca="1">IF(AND(Energy!$F$11=$A$3,Main!$B$43=$A85),Summary!AH22,AH85)</f>
        <v>47</v>
      </c>
      <c r="AI85" s="103">
        <f ca="1">IF(AND(Energy!$F$11=$A$3,Main!$B$43=$A85),Summary!AI22,AI85)</f>
        <v>2.8108657666579915</v>
      </c>
      <c r="AJ85" s="103">
        <f ca="1">IF(AND(Energy!$F$11=$A$3,Main!$B$43=$A85),Summary!AJ22,AJ85)</f>
        <v>0.29855389248555175</v>
      </c>
      <c r="AK85" s="103">
        <f ca="1">IF(AND(Energy!$F$11=$A$3,Main!$B$43=$A85),Summary!AK22,AK85)</f>
        <v>0.01</v>
      </c>
      <c r="AL85" s="103">
        <f ca="1">IF(AND(Energy!$F$11=$A$3,Main!$B$43=$A85),Summary!AL22,AL85)</f>
        <v>-0.35174620383838517</v>
      </c>
      <c r="AM85" s="103">
        <f ca="1">IF(AND(Energy!$F$11=$A$3,Main!$B$43=$A85),Summary!AM22,AM85)</f>
        <v>0.34375</v>
      </c>
    </row>
    <row r="86" spans="1:39">
      <c r="A86">
        <f t="shared" ref="A86:A103" si="6">A85</f>
        <v>5</v>
      </c>
      <c r="D86" s="1">
        <f ca="1">IF(AND(Energy!$F$11=$A$3,Main!$B$43=A86),Main!C23,D86)</f>
        <v>3.8157894736842106</v>
      </c>
      <c r="E86" s="103">
        <f ca="1">IF(AND(Energy!$F$11=$A$3,Main!$B$43=A86),Main!B23,E86)</f>
        <v>0.28888888888888886</v>
      </c>
      <c r="F86" s="103">
        <f ca="1">IF(Main!$D$6=1,U86,IF(Main!$D$6=2,N86,IF(Main!$D$6=3,K86,IF(Main!$D$6=4,V86,J86))))</f>
        <v>401.01732843014224</v>
      </c>
      <c r="G86" s="103">
        <f ca="1">IF(AND(Energy!$F$11=$A$3,Main!$B$43=A86),Weight!H23,G86)</f>
        <v>10</v>
      </c>
      <c r="H86" s="103">
        <f ca="1">IF(AND(Energy!$F$11=$A$3,Main!$B$43=A86),Weight!U23,H86)</f>
        <v>11.571324360072694</v>
      </c>
      <c r="I86" s="103">
        <f ca="1">IF(AND(Energy!$F$11=$A$3,Main!$B$43=A86),Weight!V23,I86)</f>
        <v>34.254838708782515</v>
      </c>
      <c r="J86" s="103">
        <f ca="1">IF(AND(Energy!$F$11=$A$3,Main!$B$43=A86),Weight!I23,J86)</f>
        <v>12.62315607370982</v>
      </c>
      <c r="K86" s="103">
        <f ca="1">IF(AND(Energy!$F$11=$A$3,Main!$B$43=A86),Weight!W23,K86)</f>
        <v>44.254837022481638</v>
      </c>
      <c r="L86" s="103">
        <f ca="1">IF(AND(Energy!$F$11=$A$3,Main!$B$43=A86),'Aerodynamics-Cruise'!BI23,L86)</f>
        <v>44.254840411899202</v>
      </c>
      <c r="M86" s="103">
        <f ca="1">IF(AND(Energy!$F$11=$A$3,Main!$B$43=A86),'Aerodynamics-Cruise'!BJ23,M86)</f>
        <v>2.250951287432335</v>
      </c>
      <c r="N86" s="103">
        <f ca="1">IF(AND(Energy!$F$11=$A$3,Main!$B$43=A86),'Aerodynamics-Cruise'!BK23,N86)</f>
        <v>19.66050560888894</v>
      </c>
      <c r="O86" s="103">
        <f t="shared" ca="1" si="5"/>
        <v>130.7901602423315</v>
      </c>
      <c r="P86" s="103">
        <f ca="1">IF(AND(Energy!$F$11=$A$3,Main!$B$43=A86),'Aerodynamics-Cruise'!H23,P86)</f>
        <v>8.5731606869838899</v>
      </c>
      <c r="Q86" s="103">
        <f ca="1">IF(AND(Energy!$F$11=$A$3,Main!$B$43=A86),'Aerodynamics-Cruise'!I23,Q86)</f>
        <v>7.1602308604882241</v>
      </c>
      <c r="R86" s="103">
        <f ca="1">IF(AND(Energy!$F$11=$A$3,Main!$B$43=$A86),Summary!R23,R86)</f>
        <v>24.740038046176853</v>
      </c>
      <c r="S86" s="103">
        <f ca="1">IF(AND(Energy!$F$11=$A$3,Main!$B$43=A86),'Aerodynamics-Cruise'!W23,S86)</f>
        <v>1</v>
      </c>
      <c r="T86" s="103">
        <f ca="1">IF(AND(Energy!$F$11=$A$3,Main!$B$43=A86),'Aerodynamics-Cruise'!BL23,T86)</f>
        <v>19.297767085730669</v>
      </c>
      <c r="U86" s="103">
        <f ca="1">IF(AND(Energy!$F$11=$A$3,Main!$B$43=A86),'Propulsion-Cruise'!M23,U86)</f>
        <v>42.540780052926181</v>
      </c>
      <c r="V86" s="103">
        <f ca="1">IF(AND(Energy!$F$11=$A$3,Main!$B$43=A86),Endurance!AP23,V86)</f>
        <v>401.01732843014224</v>
      </c>
      <c r="W86" s="103">
        <f ca="1">IF(AND(Energy!$F$11=$A$3,Main!$B$43=$A86),Summary!W23,W86)</f>
        <v>154.29353119440884</v>
      </c>
      <c r="X86" s="13">
        <f ca="1">IF(AND(Energy!$F$11=$A$3,Main!$B$43=A86),Energy!D23,X86)</f>
        <v>799.28559044194094</v>
      </c>
      <c r="Y86" s="102">
        <f ca="1">IF(AND(Energy!$F$11=$A$3,Main!$B$43=A86),'Aerodynamics-Cruise'!V23,Y86)</f>
        <v>157078.62091161503</v>
      </c>
      <c r="Z86" s="102">
        <f ca="1">IF(AND(Energy!$F$11=$A$3,Main!$B$43=$A86),Summary!Z23,Z86)</f>
        <v>115122.77174445974</v>
      </c>
      <c r="AA86" s="102">
        <f ca="1">IF(AND(Energy!$F$11=$A$3,Main!$B$43=$A86),Summary!AA23,AA86)</f>
        <v>453290.35573711159</v>
      </c>
      <c r="AB86" s="103">
        <f ca="1">IF(AND(Energy!$F$11=$A$3,Main!$B$43=$A86),Summary!AB23,AB86)</f>
        <v>3.083320822539283</v>
      </c>
      <c r="AC86" s="103">
        <f ca="1">IF(AND(Energy!$F$11=$A$3,Main!$B$43=$A86),Summary!AC23,AC86)</f>
        <v>3.2472075491971726</v>
      </c>
      <c r="AD86" s="103">
        <f ca="1">IF(AND(Energy!$F$11=$A$3,Main!$B$43=$A86),Summary!AD23,AD86)</f>
        <v>0.39533952522607457</v>
      </c>
      <c r="AE86" s="103">
        <f ca="1">IF(AND(Energy!$F$11=$A$3,Main!$B$43=$A86),Summary!AE23,AE86)</f>
        <v>1.1023391812865497</v>
      </c>
      <c r="AF86" s="103">
        <f ca="1">IF(AND(Energy!$F$11=$A$3,Main!$B$43=$A86),Summary!AF23,AF86)</f>
        <v>13.208502024291498</v>
      </c>
      <c r="AG86" s="103">
        <f ca="1">IF(AND(Energy!$F$11=$A$3,Main!$B$43=$A86),Summary!AG23,AG86)</f>
        <v>9.6377220375780386</v>
      </c>
      <c r="AH86" s="103">
        <f ca="1">IF(AND(Energy!$F$11=$A$3,Main!$B$43=$A86),Summary!AH23,AH86)</f>
        <v>47</v>
      </c>
      <c r="AI86" s="103">
        <f ca="1">IF(AND(Energy!$F$11=$A$3,Main!$B$43=$A86),Summary!AI23,AI86)</f>
        <v>2.8098555851799203</v>
      </c>
      <c r="AJ86" s="103">
        <f ca="1">IF(AND(Energy!$F$11=$A$3,Main!$B$43=$A86),Summary!AJ23,AJ86)</f>
        <v>0.3009283952671129</v>
      </c>
      <c r="AK86" s="103">
        <f ca="1">IF(AND(Energy!$F$11=$A$3,Main!$B$43=$A86),Summary!AK23,AK86)</f>
        <v>0.01</v>
      </c>
      <c r="AL86" s="103">
        <f ca="1">IF(AND(Energy!$F$11=$A$3,Main!$B$43=$A86),Summary!AL23,AL86)</f>
        <v>-0.34896776373932709</v>
      </c>
      <c r="AM86" s="103">
        <f ca="1">IF(AND(Energy!$F$11=$A$3,Main!$B$43=$A86),Summary!AM23,AM86)</f>
        <v>0.34375</v>
      </c>
    </row>
    <row r="87" spans="1:39">
      <c r="A87">
        <f t="shared" si="6"/>
        <v>5</v>
      </c>
      <c r="D87" s="1">
        <f ca="1">IF(AND(Energy!$F$11=$A$3,Main!$B$43=A87),Main!C24,D87)</f>
        <v>3.9736842105263159</v>
      </c>
      <c r="E87" s="103">
        <f ca="1">IF(AND(Energy!$F$11=$A$3,Main!$B$43=A87),Main!B24,E87)</f>
        <v>0.28888888888888886</v>
      </c>
      <c r="F87" s="103">
        <f ca="1">IF(Main!$D$6=1,U87,IF(Main!$D$6=2,N87,IF(Main!$D$6=3,K87,IF(Main!$D$6=4,V87,J87))))</f>
        <v>392.02879452271628</v>
      </c>
      <c r="G87" s="103">
        <f ca="1">IF(AND(Energy!$F$11=$A$3,Main!$B$43=A87),Weight!H24,G87)</f>
        <v>10</v>
      </c>
      <c r="H87" s="103">
        <f ca="1">IF(AND(Energy!$F$11=$A$3,Main!$B$43=A87),Weight!U24,H87)</f>
        <v>11.935411852222479</v>
      </c>
      <c r="I87" s="103">
        <f ca="1">IF(AND(Energy!$F$11=$A$3,Main!$B$43=A87),Weight!V24,I87)</f>
        <v>34.127002546282924</v>
      </c>
      <c r="J87" s="103">
        <f ca="1">IF(AND(Energy!$F$11=$A$3,Main!$B$43=A87),Weight!I24,J87)</f>
        <v>12.131232419060446</v>
      </c>
      <c r="K87" s="103">
        <f ca="1">IF(AND(Energy!$F$11=$A$3,Main!$B$43=A87),Weight!W24,K87)</f>
        <v>44.127000854049037</v>
      </c>
      <c r="L87" s="103">
        <f ca="1">IF(AND(Energy!$F$11=$A$3,Main!$B$43=A87),'Aerodynamics-Cruise'!BI24,L87)</f>
        <v>44.127004255352965</v>
      </c>
      <c r="M87" s="103">
        <f ca="1">IF(AND(Energy!$F$11=$A$3,Main!$B$43=A87),'Aerodynamics-Cruise'!BJ24,M87)</f>
        <v>2.2244146052122891</v>
      </c>
      <c r="N87" s="103">
        <f ca="1">IF(AND(Energy!$F$11=$A$3,Main!$B$43=A87),'Aerodynamics-Cruise'!BK24,N87)</f>
        <v>19.837580706381697</v>
      </c>
      <c r="O87" s="103">
        <f t="shared" ca="1" si="5"/>
        <v>131.77739828694573</v>
      </c>
      <c r="P87" s="103">
        <f ca="1">IF(AND(Energy!$F$11=$A$3,Main!$B$43=A87),'Aerodynamics-Cruise'!H24,P87)</f>
        <v>8.3888967306497975</v>
      </c>
      <c r="Q87" s="103">
        <f ca="1">IF(AND(Energy!$F$11=$A$3,Main!$B$43=A87),'Aerodynamics-Cruise'!I24,Q87)</f>
        <v>7.0074494372196865</v>
      </c>
      <c r="R87" s="103">
        <f ca="1">IF(AND(Energy!$F$11=$A$3,Main!$B$43=$A87),Summary!R24,R87)</f>
        <v>24.468302241294495</v>
      </c>
      <c r="S87" s="103">
        <f ca="1">IF(AND(Energy!$F$11=$A$3,Main!$B$43=A87),'Aerodynamics-Cruise'!W24,S87)</f>
        <v>1</v>
      </c>
      <c r="T87" s="103">
        <f ca="1">IF(AND(Energy!$F$11=$A$3,Main!$B$43=A87),'Aerodynamics-Cruise'!BL24,T87)</f>
        <v>18.660384409275032</v>
      </c>
      <c r="U87" s="103">
        <f ca="1">IF(AND(Energy!$F$11=$A$3,Main!$B$43=A87),'Propulsion-Cruise'!M24,U87)</f>
        <v>41.435275039129095</v>
      </c>
      <c r="V87" s="103">
        <f ca="1">IF(AND(Energy!$F$11=$A$3,Main!$B$43=A87),Endurance!AP24,V87)</f>
        <v>392.02879452271628</v>
      </c>
      <c r="W87" s="103">
        <f ca="1">IF(AND(Energy!$F$11=$A$3,Main!$B$43=$A87),Summary!W24,W87)</f>
        <v>145.0581504536342</v>
      </c>
      <c r="X87" s="13">
        <f ca="1">IF(AND(Energy!$F$11=$A$3,Main!$B$43=A87),Energy!D24,X87)</f>
        <v>782.61059735627009</v>
      </c>
      <c r="Y87" s="102">
        <f ca="1">IF(AND(Energy!$F$11=$A$3,Main!$B$43=A87),'Aerodynamics-Cruise'!V24,Y87)</f>
        <v>153702.51153941802</v>
      </c>
      <c r="Z87" s="102">
        <f ca="1">IF(AND(Energy!$F$11=$A$3,Main!$B$43=$A87),Summary!Z24,Z87)</f>
        <v>112666.21597269292</v>
      </c>
      <c r="AA87" s="102">
        <f ca="1">IF(AND(Energy!$F$11=$A$3,Main!$B$43=$A87),Summary!AA24,AA87)</f>
        <v>448311.57521010796</v>
      </c>
      <c r="AB87" s="103">
        <f ca="1">IF(AND(Energy!$F$11=$A$3,Main!$B$43=$A87),Summary!AB24,AB87)</f>
        <v>2.940037652673916</v>
      </c>
      <c r="AC87" s="103">
        <f ca="1">IF(AND(Energy!$F$11=$A$3,Main!$B$43=$A87),Summary!AC24,AC87)</f>
        <v>3.2071045180692672</v>
      </c>
      <c r="AD87" s="103">
        <f ca="1">IF(AND(Energy!$F$11=$A$3,Main!$B$43=$A87),Summary!AD24,AD87)</f>
        <v>0.39034465188314843</v>
      </c>
      <c r="AE87" s="103">
        <f ca="1">IF(AND(Energy!$F$11=$A$3,Main!$B$43=$A87),Summary!AE24,AE87)</f>
        <v>1.1479532163742689</v>
      </c>
      <c r="AF87" s="103">
        <f ca="1">IF(AND(Energy!$F$11=$A$3,Main!$B$43=$A87),Summary!AF24,AF87)</f>
        <v>13.75506072874494</v>
      </c>
      <c r="AG87" s="103">
        <f ca="1">IF(AND(Energy!$F$11=$A$3,Main!$B$43=$A87),Summary!AG24,AG87)</f>
        <v>9.5051566323025636</v>
      </c>
      <c r="AH87" s="103">
        <f ca="1">IF(AND(Energy!$F$11=$A$3,Main!$B$43=$A87),Summary!AH24,AH87)</f>
        <v>47</v>
      </c>
      <c r="AI87" s="103">
        <f ca="1">IF(AND(Energy!$F$11=$A$3,Main!$B$43=$A87),Summary!AI24,AI87)</f>
        <v>2.8089620594611202</v>
      </c>
      <c r="AJ87" s="103">
        <f ca="1">IF(AND(Energy!$F$11=$A$3,Main!$B$43=$A87),Summary!AJ24,AJ87)</f>
        <v>0.30303816597854977</v>
      </c>
      <c r="AK87" s="103">
        <f ca="1">IF(AND(Energy!$F$11=$A$3,Main!$B$43=$A87),Summary!AK24,AK87)</f>
        <v>0.01</v>
      </c>
      <c r="AL87" s="103">
        <f ca="1">IF(AND(Energy!$F$11=$A$3,Main!$B$43=$A87),Summary!AL24,AL87)</f>
        <v>-0.34653561479099454</v>
      </c>
      <c r="AM87" s="103">
        <f ca="1">IF(AND(Energy!$F$11=$A$3,Main!$B$43=$A87),Summary!AM24,AM87)</f>
        <v>0.34375</v>
      </c>
    </row>
    <row r="88" spans="1:39">
      <c r="A88">
        <f t="shared" si="6"/>
        <v>5</v>
      </c>
      <c r="D88" s="1">
        <f ca="1">IF(AND(Energy!$F$11=$A$3,Main!$B$43=A88),Main!C25,D88)</f>
        <v>4.1315789473684212</v>
      </c>
      <c r="E88" s="103">
        <f ca="1">IF(AND(Energy!$F$11=$A$3,Main!$B$43=A88),Main!B25,E88)</f>
        <v>0.28888888888888886</v>
      </c>
      <c r="F88" s="103">
        <f ca="1">IF(Main!$D$6=1,U88,IF(Main!$D$6=2,N88,IF(Main!$D$6=3,K88,IF(Main!$D$6=4,V88,J88))))</f>
        <v>385.239780269633</v>
      </c>
      <c r="G88" s="103">
        <f ca="1">IF(AND(Energy!$F$11=$A$3,Main!$B$43=A88),Weight!H25,G88)</f>
        <v>10</v>
      </c>
      <c r="H88" s="103">
        <f ca="1">IF(AND(Energy!$F$11=$A$3,Main!$B$43=A88),Weight!U25,H88)</f>
        <v>12.323400682756933</v>
      </c>
      <c r="I88" s="103">
        <f ca="1">IF(AND(Energy!$F$11=$A$3,Main!$B$43=A88),Weight!V25,I88)</f>
        <v>34.141323471203343</v>
      </c>
      <c r="J88" s="103">
        <f ca="1">IF(AND(Energy!$F$11=$A$3,Main!$B$43=A88),Weight!I25,J88)</f>
        <v>11.757564513446409</v>
      </c>
      <c r="K88" s="103">
        <f ca="1">IF(AND(Energy!$F$11=$A$3,Main!$B$43=A88),Weight!W25,K88)</f>
        <v>44.141321758982016</v>
      </c>
      <c r="L88" s="103">
        <f ca="1">IF(AND(Energy!$F$11=$A$3,Main!$B$43=A88),'Aerodynamics-Cruise'!BI25,L88)</f>
        <v>44.141325200430849</v>
      </c>
      <c r="M88" s="103">
        <f ca="1">IF(AND(Energy!$F$11=$A$3,Main!$B$43=A88),'Aerodynamics-Cruise'!BJ25,M88)</f>
        <v>2.206455241807654</v>
      </c>
      <c r="N88" s="103">
        <f ca="1">IF(AND(Energy!$F$11=$A$3,Main!$B$43=A88),'Aerodynamics-Cruise'!BK25,N88)</f>
        <v>20.00553846008123</v>
      </c>
      <c r="O88" s="103">
        <f t="shared" ca="1" si="5"/>
        <v>132.91467350480681</v>
      </c>
      <c r="P88" s="103">
        <f ca="1">IF(AND(Energy!$F$11=$A$3,Main!$B$43=A88),'Aerodynamics-Cruise'!H25,P88)</f>
        <v>8.228313910189927</v>
      </c>
      <c r="Q88" s="103">
        <f ca="1">IF(AND(Energy!$F$11=$A$3,Main!$B$43=A88),'Aerodynamics-Cruise'!I25,Q88)</f>
        <v>6.8742832908487692</v>
      </c>
      <c r="R88" s="103">
        <f ca="1">IF(AND(Energy!$F$11=$A$3,Main!$B$43=$A88),Summary!R25,R88)</f>
        <v>24.207518851186101</v>
      </c>
      <c r="S88" s="103">
        <f ca="1">IF(AND(Energy!$F$11=$A$3,Main!$B$43=A88),'Aerodynamics-Cruise'!W25,S88)</f>
        <v>1</v>
      </c>
      <c r="T88" s="103">
        <f ca="1">IF(AND(Energy!$F$11=$A$3,Main!$B$43=A88),'Aerodynamics-Cruise'!BL25,T88)</f>
        <v>18.155406358377398</v>
      </c>
      <c r="U88" s="103">
        <f ca="1">IF(AND(Energy!$F$11=$A$3,Main!$B$43=A88),'Propulsion-Cruise'!M25,U88)</f>
        <v>40.573838290721774</v>
      </c>
      <c r="V88" s="103">
        <f ca="1">IF(AND(Energy!$F$11=$A$3,Main!$B$43=A88),Endurance!AP25,V88)</f>
        <v>385.239780269633</v>
      </c>
      <c r="W88" s="103">
        <f ca="1">IF(AND(Energy!$F$11=$A$3,Main!$B$43=$A88),Summary!W25,W88)</f>
        <v>138.04290417328798</v>
      </c>
      <c r="X88" s="13">
        <f ca="1">IF(AND(Energy!$F$11=$A$3,Main!$B$43=A88),Energy!D25,X88)</f>
        <v>769.94418078188619</v>
      </c>
      <c r="Y88" s="102">
        <f ca="1">IF(AND(Energy!$F$11=$A$3,Main!$B$43=A88),'Aerodynamics-Cruise'!V25,Y88)</f>
        <v>150760.29117275326</v>
      </c>
      <c r="Z88" s="102">
        <f ca="1">IF(AND(Energy!$F$11=$A$3,Main!$B$43=$A88),Summary!Z25,Z88)</f>
        <v>110525.05428781635</v>
      </c>
      <c r="AA88" s="102">
        <f ca="1">IF(AND(Energy!$F$11=$A$3,Main!$B$43=$A88),Summary!AA25,AA88)</f>
        <v>443533.46632232342</v>
      </c>
      <c r="AB88" s="103">
        <f ca="1">IF(AND(Energy!$F$11=$A$3,Main!$B$43=$A88),Summary!AB25,AB88)</f>
        <v>2.8265376536593023</v>
      </c>
      <c r="AC88" s="103">
        <f ca="1">IF(AND(Energy!$F$11=$A$3,Main!$B$43=$A88),Summary!AC25,AC88)</f>
        <v>3.1612565992773121</v>
      </c>
      <c r="AD88" s="103">
        <f ca="1">IF(AND(Energy!$F$11=$A$3,Main!$B$43=$A88),Summary!AD25,AD88)</f>
        <v>0.3862937261364261</v>
      </c>
      <c r="AE88" s="103">
        <f ca="1">IF(AND(Energy!$F$11=$A$3,Main!$B$43=$A88),Summary!AE25,AE88)</f>
        <v>1.1935672514619882</v>
      </c>
      <c r="AF88" s="103">
        <f ca="1">IF(AND(Energy!$F$11=$A$3,Main!$B$43=$A88),Summary!AF25,AF88)</f>
        <v>14.301619433198383</v>
      </c>
      <c r="AG88" s="103">
        <f ca="1">IF(AND(Energy!$F$11=$A$3,Main!$B$43=$A88),Summary!AG25,AG88)</f>
        <v>9.4032526878133105</v>
      </c>
      <c r="AH88" s="103">
        <f ca="1">IF(AND(Energy!$F$11=$A$3,Main!$B$43=$A88),Summary!AH25,AH88)</f>
        <v>47</v>
      </c>
      <c r="AI88" s="103">
        <f ca="1">IF(AND(Energy!$F$11=$A$3,Main!$B$43=$A88),Summary!AI25,AI88)</f>
        <v>2.8081672833447784</v>
      </c>
      <c r="AJ88" s="103">
        <f ca="1">IF(AND(Energy!$F$11=$A$3,Main!$B$43=$A88),Summary!AJ25,AJ88)</f>
        <v>0.30491917985211792</v>
      </c>
      <c r="AK88" s="103">
        <f ca="1">IF(AND(Energy!$F$11=$A$3,Main!$B$43=$A88),Summary!AK25,AK88)</f>
        <v>0.01</v>
      </c>
      <c r="AL88" s="103">
        <f ca="1">IF(AND(Energy!$F$11=$A$3,Main!$B$43=$A88),Summary!AL25,AL88)</f>
        <v>-0.34439554996965593</v>
      </c>
      <c r="AM88" s="103">
        <f ca="1">IF(AND(Energy!$F$11=$A$3,Main!$B$43=$A88),Summary!AM25,AM88)</f>
        <v>0.34375</v>
      </c>
    </row>
    <row r="89" spans="1:39">
      <c r="A89">
        <f t="shared" si="6"/>
        <v>5</v>
      </c>
      <c r="D89" s="1">
        <f ca="1">IF(AND(Energy!$F$11=$A$3,Main!$B$43=A89),Main!C26,D89)</f>
        <v>4.2894736842105265</v>
      </c>
      <c r="E89" s="103">
        <f ca="1">IF(AND(Energy!$F$11=$A$3,Main!$B$43=A89),Main!B26,E89)</f>
        <v>0.28888888888888886</v>
      </c>
      <c r="F89" s="103">
        <f ca="1">IF(Main!$D$6=1,U89,IF(Main!$D$6=2,N89,IF(Main!$D$6=3,K89,IF(Main!$D$6=4,V89,J89))))</f>
        <v>380.23273171315731</v>
      </c>
      <c r="G89" s="103">
        <f ca="1">IF(AND(Energy!$F$11=$A$3,Main!$B$43=A89),Weight!H26,G89)</f>
        <v>10</v>
      </c>
      <c r="H89" s="103">
        <f ca="1">IF(AND(Energy!$F$11=$A$3,Main!$B$43=A89),Weight!U26,H89)</f>
        <v>12.7335608897355</v>
      </c>
      <c r="I89" s="103">
        <f ca="1">IF(AND(Energy!$F$11=$A$3,Main!$B$43=A89),Weight!V26,I89)</f>
        <v>34.273713832846987</v>
      </c>
      <c r="J89" s="103">
        <f ca="1">IF(AND(Energy!$F$11=$A$3,Main!$B$43=A89),Weight!I26,J89)</f>
        <v>11.479794668111488</v>
      </c>
      <c r="K89" s="103">
        <f ca="1">IF(AND(Energy!$F$11=$A$3,Main!$B$43=A89),Weight!W26,K89)</f>
        <v>44.273712090046416</v>
      </c>
      <c r="L89" s="103">
        <f ca="1">IF(AND(Energy!$F$11=$A$3,Main!$B$43=A89),'Aerodynamics-Cruise'!BI26,L89)</f>
        <v>44.273715592928376</v>
      </c>
      <c r="M89" s="103">
        <f ca="1">IF(AND(Energy!$F$11=$A$3,Main!$B$43=A89),'Aerodynamics-Cruise'!BJ26,M89)</f>
        <v>2.1955766154742649</v>
      </c>
      <c r="N89" s="103">
        <f ca="1">IF(AND(Energy!$F$11=$A$3,Main!$B$43=A89),'Aerodynamics-Cruise'!BK26,N89)</f>
        <v>20.164960439499328</v>
      </c>
      <c r="O89" s="103">
        <f t="shared" ca="1" si="5"/>
        <v>134.17461561135528</v>
      </c>
      <c r="P89" s="103">
        <f ca="1">IF(AND(Energy!$F$11=$A$3,Main!$B$43=A89),'Aerodynamics-Cruise'!H26,P89)</f>
        <v>8.0875018389531217</v>
      </c>
      <c r="Q89" s="103">
        <f ca="1">IF(AND(Energy!$F$11=$A$3,Main!$B$43=A89),'Aerodynamics-Cruise'!I26,Q89)</f>
        <v>6.7574969263402789</v>
      </c>
      <c r="R89" s="103">
        <f ca="1">IF(AND(Energy!$F$11=$A$3,Main!$B$43=$A89),Summary!R26,R89)</f>
        <v>23.956899167038451</v>
      </c>
      <c r="S89" s="103">
        <f ca="1">IF(AND(Energy!$F$11=$A$3,Main!$B$43=A89),'Aerodynamics-Cruise'!W26,S89)</f>
        <v>1</v>
      </c>
      <c r="T89" s="103">
        <f ca="1">IF(AND(Energy!$F$11=$A$3,Main!$B$43=A89),'Aerodynamics-Cruise'!BL26,T89)</f>
        <v>17.756729915210588</v>
      </c>
      <c r="U89" s="103">
        <f ca="1">IF(AND(Energy!$F$11=$A$3,Main!$B$43=A89),'Propulsion-Cruise'!M26,U89)</f>
        <v>39.909532598904029</v>
      </c>
      <c r="V89" s="103">
        <f ca="1">IF(AND(Energy!$F$11=$A$3,Main!$B$43=A89),Endurance!AP26,V89)</f>
        <v>380.23273171315731</v>
      </c>
      <c r="W89" s="103">
        <f ca="1">IF(AND(Energy!$F$11=$A$3,Main!$B$43=$A89),Summary!W26,W89)</f>
        <v>132.8280489402336</v>
      </c>
      <c r="X89" s="13">
        <f ca="1">IF(AND(Energy!$F$11=$A$3,Main!$B$43=A89),Energy!D26,X89)</f>
        <v>760.52847056447695</v>
      </c>
      <c r="Y89" s="102">
        <f ca="1">IF(AND(Energy!$F$11=$A$3,Main!$B$43=A89),'Aerodynamics-Cruise'!V26,Y89)</f>
        <v>148180.31317337116</v>
      </c>
      <c r="Z89" s="102">
        <f ca="1">IF(AND(Energy!$F$11=$A$3,Main!$B$43=$A89),Summary!Z26,Z89)</f>
        <v>108647.26276724115</v>
      </c>
      <c r="AA89" s="102">
        <f ca="1">IF(AND(Energy!$F$11=$A$3,Main!$B$43=$A89),Summary!AA26,AA89)</f>
        <v>438941.57824317121</v>
      </c>
      <c r="AB89" s="103">
        <f ca="1">IF(AND(Energy!$F$11=$A$3,Main!$B$43=$A89),Summary!AB26,AB89)</f>
        <v>2.7364228816495784</v>
      </c>
      <c r="AC89" s="103">
        <f ca="1">IF(AND(Energy!$F$11=$A$3,Main!$B$43=$A89),Summary!AC26,AC89)</f>
        <v>3.1112318827749132</v>
      </c>
      <c r="AD89" s="103">
        <f ca="1">IF(AND(Energy!$F$11=$A$3,Main!$B$43=$A89),Summary!AD26,AD89)</f>
        <v>0.38302958863939229</v>
      </c>
      <c r="AE89" s="103">
        <f ca="1">IF(AND(Energy!$F$11=$A$3,Main!$B$43=$A89),Summary!AE26,AE89)</f>
        <v>1.2391812865497076</v>
      </c>
      <c r="AF89" s="103">
        <f ca="1">IF(AND(Energy!$F$11=$A$3,Main!$B$43=$A89),Summary!AF26,AF89)</f>
        <v>14.848178137651823</v>
      </c>
      <c r="AG89" s="103">
        <f ca="1">IF(AND(Energy!$F$11=$A$3,Main!$B$43=$A89),Summary!AG26,AG89)</f>
        <v>9.3265091872622001</v>
      </c>
      <c r="AH89" s="103">
        <f ca="1">IF(AND(Energy!$F$11=$A$3,Main!$B$43=$A89),Summary!AH26,AH89)</f>
        <v>47</v>
      </c>
      <c r="AI89" s="103">
        <f ca="1">IF(AND(Energy!$F$11=$A$3,Main!$B$43=$A89),Summary!AI26,AI89)</f>
        <v>2.8074575288297874</v>
      </c>
      <c r="AJ89" s="103">
        <f ca="1">IF(AND(Energy!$F$11=$A$3,Main!$B$43=$A89),Summary!AJ26,AJ89)</f>
        <v>0.30659952348486869</v>
      </c>
      <c r="AK89" s="103">
        <f ca="1">IF(AND(Energy!$F$11=$A$3,Main!$B$43=$A89),Summary!AK26,AK89)</f>
        <v>0.01</v>
      </c>
      <c r="AL89" s="103">
        <f ca="1">IF(AND(Energy!$F$11=$A$3,Main!$B$43=$A89),Summary!AL26,AL89)</f>
        <v>-0.34250598665297793</v>
      </c>
      <c r="AM89" s="103">
        <f ca="1">IF(AND(Energy!$F$11=$A$3,Main!$B$43=$A89),Summary!AM26,AM89)</f>
        <v>0.34375</v>
      </c>
    </row>
    <row r="90" spans="1:39">
      <c r="A90">
        <f t="shared" si="6"/>
        <v>5</v>
      </c>
      <c r="D90" s="1">
        <f ca="1">IF(AND(Energy!$F$11=$A$3,Main!$B$43=A90),Main!C27,D90)</f>
        <v>4.4473684210526319</v>
      </c>
      <c r="E90" s="103">
        <f ca="1">IF(AND(Energy!$F$11=$A$3,Main!$B$43=A90),Main!B27,E90)</f>
        <v>0.28888888888888886</v>
      </c>
      <c r="F90" s="103">
        <f ca="1">IF(Main!$D$6=1,U90,IF(Main!$D$6=2,N90,IF(Main!$D$6=3,K90,IF(Main!$D$6=4,V90,J90))))</f>
        <v>376.7032207396382</v>
      </c>
      <c r="G90" s="103">
        <f ca="1">IF(AND(Energy!$F$11=$A$3,Main!$B$43=A90),Weight!H27,G90)</f>
        <v>10</v>
      </c>
      <c r="H90" s="103">
        <f ca="1">IF(AND(Energy!$F$11=$A$3,Main!$B$43=A90),Weight!U27,H90)</f>
        <v>13.164695700063806</v>
      </c>
      <c r="I90" s="103">
        <f ca="1">IF(AND(Energy!$F$11=$A$3,Main!$B$43=A90),Weight!V27,I90)</f>
        <v>34.506665181562639</v>
      </c>
      <c r="J90" s="103">
        <f ca="1">IF(AND(Energy!$F$11=$A$3,Main!$B$43=A90),Weight!I27,J90)</f>
        <v>11.281611206498834</v>
      </c>
      <c r="K90" s="103">
        <f ca="1">IF(AND(Energy!$F$11=$A$3,Main!$B$43=A90),Weight!W27,K90)</f>
        <v>44.506663399694844</v>
      </c>
      <c r="L90" s="103">
        <f ca="1">IF(AND(Energy!$F$11=$A$3,Main!$B$43=A90),'Aerodynamics-Cruise'!BI27,L90)</f>
        <v>44.506666981066957</v>
      </c>
      <c r="M90" s="103">
        <f ca="1">IF(AND(Energy!$F$11=$A$3,Main!$B$43=A90),'Aerodynamics-Cruise'!BJ27,M90)</f>
        <v>2.1906713177756267</v>
      </c>
      <c r="N90" s="103">
        <f ca="1">IF(AND(Energy!$F$11=$A$3,Main!$B$43=A90),'Aerodynamics-Cruise'!BK27,N90)</f>
        <v>20.316451226584885</v>
      </c>
      <c r="O90" s="103">
        <f t="shared" ca="1" si="5"/>
        <v>135.53778560135521</v>
      </c>
      <c r="P90" s="103">
        <f ca="1">IF(AND(Energy!$F$11=$A$3,Main!$B$43=A90),'Aerodynamics-Cruise'!H27,P90)</f>
        <v>7.9634615267809767</v>
      </c>
      <c r="Q90" s="103">
        <f ca="1">IF(AND(Energy!$F$11=$A$3,Main!$B$43=A90),'Aerodynamics-Cruise'!I27,Q90)</f>
        <v>6.6546085514222657</v>
      </c>
      <c r="R90" s="103">
        <f ca="1">IF(AND(Energy!$F$11=$A$3,Main!$B$43=$A90),Summary!R27,R90)</f>
        <v>23.71575545805231</v>
      </c>
      <c r="S90" s="103">
        <f ca="1">IF(AND(Energy!$F$11=$A$3,Main!$B$43=A90),'Aerodynamics-Cruise'!W27,S90)</f>
        <v>1</v>
      </c>
      <c r="T90" s="103">
        <f ca="1">IF(AND(Energy!$F$11=$A$3,Main!$B$43=A90),'Aerodynamics-Cruise'!BL27,T90)</f>
        <v>17.445326756928786</v>
      </c>
      <c r="U90" s="103">
        <f ca="1">IF(AND(Energy!$F$11=$A$3,Main!$B$43=A90),'Propulsion-Cruise'!M27,U90)</f>
        <v>39.408107189155885</v>
      </c>
      <c r="V90" s="103">
        <f ca="1">IF(AND(Energy!$F$11=$A$3,Main!$B$43=A90),Endurance!AP27,V90)</f>
        <v>376.7032207396382</v>
      </c>
      <c r="W90" s="103">
        <f ca="1">IF(AND(Energy!$F$11=$A$3,Main!$B$43=$A90),Summary!W27,W90)</f>
        <v>129.10734920562129</v>
      </c>
      <c r="X90" s="13">
        <f ca="1">IF(AND(Energy!$F$11=$A$3,Main!$B$43=A90),Energy!D27,X90)</f>
        <v>753.81054134429746</v>
      </c>
      <c r="Y90" s="102">
        <f ca="1">IF(AND(Energy!$F$11=$A$3,Main!$B$43=A90),'Aerodynamics-Cruise'!V27,Y90)</f>
        <v>145907.62963402865</v>
      </c>
      <c r="Z90" s="102">
        <f ca="1">IF(AND(Energy!$F$11=$A$3,Main!$B$43=$A90),Summary!Z27,Z90)</f>
        <v>106992.9364117543</v>
      </c>
      <c r="AA90" s="102">
        <f ca="1">IF(AND(Energy!$F$11=$A$3,Main!$B$43=$A90),Summary!AA27,AA90)</f>
        <v>434523.310275027</v>
      </c>
      <c r="AB90" s="103">
        <f ca="1">IF(AND(Energy!$F$11=$A$3,Main!$B$43=$A90),Summary!AB27,AB90)</f>
        <v>2.6651333576685596</v>
      </c>
      <c r="AC90" s="103">
        <f ca="1">IF(AND(Energy!$F$11=$A$3,Main!$B$43=$A90),Summary!AC27,AC90)</f>
        <v>3.0581943598037307</v>
      </c>
      <c r="AD90" s="103">
        <f ca="1">IF(AND(Energy!$F$11=$A$3,Main!$B$43=$A90),Summary!AD27,AD90)</f>
        <v>0.38043279477199282</v>
      </c>
      <c r="AE90" s="103">
        <f ca="1">IF(AND(Energy!$F$11=$A$3,Main!$B$43=$A90),Summary!AE27,AE90)</f>
        <v>1.2847953216374268</v>
      </c>
      <c r="AF90" s="103">
        <f ca="1">IF(AND(Energy!$F$11=$A$3,Main!$B$43=$A90),Summary!AF27,AF90)</f>
        <v>15.394736842105265</v>
      </c>
      <c r="AG90" s="103">
        <f ca="1">IF(AND(Energy!$F$11=$A$3,Main!$B$43=$A90),Summary!AG27,AG90)</f>
        <v>9.2708412627042929</v>
      </c>
      <c r="AH90" s="103">
        <f ca="1">IF(AND(Energy!$F$11=$A$3,Main!$B$43=$A90),Summary!AH27,AH90)</f>
        <v>47</v>
      </c>
      <c r="AI90" s="103">
        <f ca="1">IF(AND(Energy!$F$11=$A$3,Main!$B$43=$A90),Summary!AI27,AI90)</f>
        <v>2.8068219853383969</v>
      </c>
      <c r="AJ90" s="103">
        <f ca="1">IF(AND(Energy!$F$11=$A$3,Main!$B$43=$A90),Summary!AJ27,AJ90)</f>
        <v>0.30810170612939308</v>
      </c>
      <c r="AK90" s="103">
        <f ca="1">IF(AND(Energy!$F$11=$A$3,Main!$B$43=$A90),Summary!AK27,AK90)</f>
        <v>0.01</v>
      </c>
      <c r="AL90" s="103">
        <f ca="1">IF(AND(Energy!$F$11=$A$3,Main!$B$43=$A90),Summary!AL27,AL90)</f>
        <v>-0.34083420064155601</v>
      </c>
      <c r="AM90" s="103">
        <f ca="1">IF(AND(Energy!$F$11=$A$3,Main!$B$43=$A90),Summary!AM27,AM90)</f>
        <v>0.34375</v>
      </c>
    </row>
    <row r="91" spans="1:39">
      <c r="A91">
        <f t="shared" si="6"/>
        <v>5</v>
      </c>
      <c r="D91" s="1">
        <f ca="1">IF(AND(Energy!$F$11=$A$3,Main!$B$43=A91),Main!C28,D91)</f>
        <v>4.6052631578947372</v>
      </c>
      <c r="E91" s="103">
        <f ca="1">IF(AND(Energy!$F$11=$A$3,Main!$B$43=A91),Main!B28,E91)</f>
        <v>0.28888888888888886</v>
      </c>
      <c r="F91" s="103">
        <f ca="1">IF(Main!$D$6=1,U91,IF(Main!$D$6=2,N91,IF(Main!$D$6=3,K91,IF(Main!$D$6=4,V91,J91))))</f>
        <v>374.42408626294065</v>
      </c>
      <c r="G91" s="103">
        <f ca="1">IF(AND(Energy!$F$11=$A$3,Main!$B$43=A91),Weight!H28,G91)</f>
        <v>10</v>
      </c>
      <c r="H91" s="103">
        <f ca="1">IF(AND(Energy!$F$11=$A$3,Main!$B$43=A91),Weight!U28,H91)</f>
        <v>13.615978916100715</v>
      </c>
      <c r="I91" s="103">
        <f ca="1">IF(AND(Energy!$F$11=$A$3,Main!$B$43=A91),Weight!V28,I91)</f>
        <v>34.827170547639675</v>
      </c>
      <c r="J91" s="103">
        <f ca="1">IF(AND(Energy!$F$11=$A$3,Main!$B$43=A91),Weight!I28,J91)</f>
        <v>11.150833356538961</v>
      </c>
      <c r="K91" s="103">
        <f ca="1">IF(AND(Energy!$F$11=$A$3,Main!$B$43=A91),Weight!W28,K91)</f>
        <v>44.827168719593033</v>
      </c>
      <c r="L91" s="103">
        <f ca="1">IF(AND(Energy!$F$11=$A$3,Main!$B$43=A91),'Aerodynamics-Cruise'!BI28,L91)</f>
        <v>44.827172393745549</v>
      </c>
      <c r="M91" s="103">
        <f ca="1">IF(AND(Energy!$F$11=$A$3,Main!$B$43=A91),'Aerodynamics-Cruise'!BJ28,M91)</f>
        <v>2.1909015856417193</v>
      </c>
      <c r="N91" s="103">
        <f ca="1">IF(AND(Energy!$F$11=$A$3,Main!$B$43=A91),'Aerodynamics-Cruise'!BK28,N91)</f>
        <v>20.460605208159354</v>
      </c>
      <c r="O91" s="103">
        <f t="shared" ca="1" si="5"/>
        <v>136.99008915191428</v>
      </c>
      <c r="P91" s="103">
        <f ca="1">IF(AND(Energy!$F$11=$A$3,Main!$B$43=A91),'Aerodynamics-Cruise'!H28,P91)</f>
        <v>7.853840688390795</v>
      </c>
      <c r="Q91" s="103">
        <f ca="1">IF(AND(Energy!$F$11=$A$3,Main!$B$43=A91),'Aerodynamics-Cruise'!I28,Q91)</f>
        <v>6.5636712400583574</v>
      </c>
      <c r="R91" s="103">
        <f ca="1">IF(AND(Energy!$F$11=$A$3,Main!$B$43=$A91),Summary!R28,R91)</f>
        <v>23.483479389152691</v>
      </c>
      <c r="S91" s="103">
        <f ca="1">IF(AND(Energy!$F$11=$A$3,Main!$B$43=A91),'Aerodynamics-Cruise'!W28,S91)</f>
        <v>1</v>
      </c>
      <c r="T91" s="103">
        <f ca="1">IF(AND(Energy!$F$11=$A$3,Main!$B$43=A91),'Aerodynamics-Cruise'!BL28,T91)</f>
        <v>17.206992017572844</v>
      </c>
      <c r="U91" s="103">
        <f ca="1">IF(AND(Energy!$F$11=$A$3,Main!$B$43=A91),'Propulsion-Cruise'!M28,U91)</f>
        <v>39.043975640437196</v>
      </c>
      <c r="V91" s="103">
        <f ca="1">IF(AND(Energy!$F$11=$A$3,Main!$B$43=A91),Endurance!AP28,V91)</f>
        <v>374.42408626294065</v>
      </c>
      <c r="W91" s="103">
        <f ca="1">IF(AND(Energy!$F$11=$A$3,Main!$B$43=$A91),Summary!W28,W91)</f>
        <v>126.6521230490664</v>
      </c>
      <c r="X91" s="13">
        <f ca="1">IF(AND(Energy!$F$11=$A$3,Main!$B$43=A91),Energy!D28,X91)</f>
        <v>749.37749516780354</v>
      </c>
      <c r="Y91" s="102">
        <f ca="1">IF(AND(Energy!$F$11=$A$3,Main!$B$43=A91),'Aerodynamics-Cruise'!V28,Y91)</f>
        <v>143899.14166253322</v>
      </c>
      <c r="Z91" s="102">
        <f ca="1">IF(AND(Energy!$F$11=$A$3,Main!$B$43=$A91),Summary!Z28,Z91)</f>
        <v>105530.77042700544</v>
      </c>
      <c r="AA91" s="102">
        <f ca="1">IF(AND(Energy!$F$11=$A$3,Main!$B$43=$A91),Summary!AA28,AA91)</f>
        <v>430267.51641956862</v>
      </c>
      <c r="AB91" s="103">
        <f ca="1">IF(AND(Energy!$F$11=$A$3,Main!$B$43=$A91),Summary!AB28,AB91)</f>
        <v>2.6093341450755294</v>
      </c>
      <c r="AC91" s="103">
        <f ca="1">IF(AND(Energy!$F$11=$A$3,Main!$B$43=$A91),Summary!AC28,AC91)</f>
        <v>3.0030221658507528</v>
      </c>
      <c r="AD91" s="103">
        <f ca="1">IF(AND(Energy!$F$11=$A$3,Main!$B$43=$A91),Summary!AD28,AD91)</f>
        <v>0.37841051092701911</v>
      </c>
      <c r="AE91" s="103">
        <f ca="1">IF(AND(Energy!$F$11=$A$3,Main!$B$43=$A91),Summary!AE28,AE91)</f>
        <v>1.3304093567251463</v>
      </c>
      <c r="AF91" s="103">
        <f ca="1">IF(AND(Energy!$F$11=$A$3,Main!$B$43=$A91),Summary!AF28,AF91)</f>
        <v>15.941295546558708</v>
      </c>
      <c r="AG91" s="103">
        <f ca="1">IF(AND(Energy!$F$11=$A$3,Main!$B$43=$A91),Summary!AG28,AG91)</f>
        <v>9.2331461040680853</v>
      </c>
      <c r="AH91" s="103">
        <f ca="1">IF(AND(Energy!$F$11=$A$3,Main!$B$43=$A91),Summary!AH28,AH91)</f>
        <v>47</v>
      </c>
      <c r="AI91" s="103">
        <f ca="1">IF(AND(Energy!$F$11=$A$3,Main!$B$43=$A91),Summary!AI28,AI91)</f>
        <v>2.8062519534046273</v>
      </c>
      <c r="AJ91" s="103">
        <f ca="1">IF(AND(Energy!$F$11=$A$3,Main!$B$43=$A91),Summary!AJ28,AJ91)</f>
        <v>0.30944414828171218</v>
      </c>
      <c r="AK91" s="103">
        <f ca="1">IF(AND(Energy!$F$11=$A$3,Main!$B$43=$A91),Summary!AK28,AK91)</f>
        <v>0.01</v>
      </c>
      <c r="AL91" s="103">
        <f ca="1">IF(AND(Energy!$F$11=$A$3,Main!$B$43=$A91),Summary!AL28,AL91)</f>
        <v>-0.33935390486356753</v>
      </c>
      <c r="AM91" s="103">
        <f ca="1">IF(AND(Energy!$F$11=$A$3,Main!$B$43=$A91),Summary!AM28,AM91)</f>
        <v>0.34375</v>
      </c>
    </row>
    <row r="92" spans="1:39">
      <c r="A92">
        <f t="shared" si="6"/>
        <v>5</v>
      </c>
      <c r="D92" s="1">
        <f ca="1">IF(AND(Energy!$F$11=$A$3,Main!$B$43=A92),Main!C29,D92)</f>
        <v>4.7631578947368425</v>
      </c>
      <c r="E92" s="103">
        <f ca="1">IF(AND(Energy!$F$11=$A$3,Main!$B$43=A92),Main!B29,E92)</f>
        <v>0.28888888888888886</v>
      </c>
      <c r="F92" s="103">
        <f ca="1">IF(Main!$D$6=1,U92,IF(Main!$D$6=2,N92,IF(Main!$D$6=3,K92,IF(Main!$D$6=4,V92,J92))))</f>
        <v>373.22264267146301</v>
      </c>
      <c r="G92" s="103">
        <f ca="1">IF(AND(Energy!$F$11=$A$3,Main!$B$43=A92),Weight!H29,G92)</f>
        <v>10</v>
      </c>
      <c r="H92" s="103">
        <f ca="1">IF(AND(Energy!$F$11=$A$3,Main!$B$43=A92),Weight!U29,H92)</f>
        <v>14.086850651204973</v>
      </c>
      <c r="I92" s="103">
        <f ca="1">IF(AND(Energy!$F$11=$A$3,Main!$B$43=A92),Weight!V29,I92)</f>
        <v>35.225402731035771</v>
      </c>
      <c r="J92" s="103">
        <f ca="1">IF(AND(Energy!$F$11=$A$3,Main!$B$43=A92),Weight!I29,J92)</f>
        <v>11.0781938048308</v>
      </c>
      <c r="K92" s="103">
        <f ca="1">IF(AND(Energy!$F$11=$A$3,Main!$B$43=A92),Weight!W29,K92)</f>
        <v>45.225400850641471</v>
      </c>
      <c r="L92" s="103">
        <f ca="1">IF(AND(Energy!$F$11=$A$3,Main!$B$43=A92),'Aerodynamics-Cruise'!BI29,L92)</f>
        <v>45.225404629970157</v>
      </c>
      <c r="M92" s="103">
        <f ca="1">IF(AND(Energy!$F$11=$A$3,Main!$B$43=A92),'Aerodynamics-Cruise'!BJ29,M92)</f>
        <v>2.1956223203035621</v>
      </c>
      <c r="N92" s="103">
        <f ca="1">IF(AND(Energy!$F$11=$A$3,Main!$B$43=A92),'Aerodynamics-Cruise'!BK29,N92)</f>
        <v>20.597989103935411</v>
      </c>
      <c r="O92" s="103">
        <f t="shared" ca="1" si="5"/>
        <v>138.52113923809182</v>
      </c>
      <c r="P92" s="103">
        <f ca="1">IF(AND(Energy!$F$11=$A$3,Main!$B$43=A92),'Aerodynamics-Cruise'!H29,P92)</f>
        <v>7.7567596195164281</v>
      </c>
      <c r="Q92" s="103">
        <f ca="1">IF(AND(Energy!$F$11=$A$3,Main!$B$43=A92),'Aerodynamics-Cruise'!I29,Q92)</f>
        <v>6.4831289636121916</v>
      </c>
      <c r="R92" s="103">
        <f ca="1">IF(AND(Energy!$F$11=$A$3,Main!$B$43=$A92),Summary!R29,R92)</f>
        <v>23.259527058277829</v>
      </c>
      <c r="S92" s="103">
        <f ca="1">IF(AND(Energy!$F$11=$A$3,Main!$B$43=A92),'Aerodynamics-Cruise'!W29,S92)</f>
        <v>1</v>
      </c>
      <c r="T92" s="103">
        <f ca="1">IF(AND(Energy!$F$11=$A$3,Main!$B$43=A92),'Aerodynamics-Cruise'!BL29,T92)</f>
        <v>17.030914553839636</v>
      </c>
      <c r="U92" s="103">
        <f ca="1">IF(AND(Energy!$F$11=$A$3,Main!$B$43=A92),'Propulsion-Cruise'!M29,U92)</f>
        <v>38.797659297311625</v>
      </c>
      <c r="V92" s="103">
        <f ca="1">IF(AND(Energy!$F$11=$A$3,Main!$B$43=A92),Endurance!AP29,V92)</f>
        <v>373.22264267146301</v>
      </c>
      <c r="W92" s="103">
        <f ca="1">IF(AND(Energy!$F$11=$A$3,Main!$B$43=$A92),Summary!W29,W92)</f>
        <v>125.28838584520503</v>
      </c>
      <c r="X92" s="13">
        <f ca="1">IF(AND(Energy!$F$11=$A$3,Main!$B$43=A92),Energy!D29,X92)</f>
        <v>746.91519309925809</v>
      </c>
      <c r="Y92" s="102">
        <f ca="1">IF(AND(Energy!$F$11=$A$3,Main!$B$43=A92),'Aerodynamics-Cruise'!V29,Y92)</f>
        <v>142120.40906061628</v>
      </c>
      <c r="Z92" s="102">
        <f ca="1">IF(AND(Energy!$F$11=$A$3,Main!$B$43=$A92),Summary!Z29,Z92)</f>
        <v>104235.74531946675</v>
      </c>
      <c r="AA92" s="102">
        <f ca="1">IF(AND(Energy!$F$11=$A$3,Main!$B$43=$A92),Summary!AA29,AA92)</f>
        <v>426164.23122894176</v>
      </c>
      <c r="AB92" s="103">
        <f ca="1">IF(AND(Energy!$F$11=$A$3,Main!$B$43=$A92),Summary!AB29,AB92)</f>
        <v>2.566534629214638</v>
      </c>
      <c r="AC92" s="103">
        <f ca="1">IF(AND(Energy!$F$11=$A$3,Main!$B$43=$A92),Summary!AC29,AC92)</f>
        <v>2.9463863217773039</v>
      </c>
      <c r="AD92" s="103">
        <f ca="1">IF(AND(Energy!$F$11=$A$3,Main!$B$43=$A92),Summary!AD29,AD92)</f>
        <v>0.37688924629324605</v>
      </c>
      <c r="AE92" s="103">
        <f ca="1">IF(AND(Energy!$F$11=$A$3,Main!$B$43=$A92),Summary!AE29,AE92)</f>
        <v>1.3760233918128655</v>
      </c>
      <c r="AF92" s="103">
        <f ca="1">IF(AND(Energy!$F$11=$A$3,Main!$B$43=$A92),Summary!AF29,AF92)</f>
        <v>16.487854251012148</v>
      </c>
      <c r="AG92" s="103">
        <f ca="1">IF(AND(Energy!$F$11=$A$3,Main!$B$43=$A92),Summary!AG29,AG92)</f>
        <v>9.211023004655722</v>
      </c>
      <c r="AH92" s="103">
        <f ca="1">IF(AND(Energy!$F$11=$A$3,Main!$B$43=$A92),Summary!AH29,AH92)</f>
        <v>47</v>
      </c>
      <c r="AI92" s="103">
        <f ca="1">IF(AND(Energy!$F$11=$A$3,Main!$B$43=$A92),Summary!AI29,AI92)</f>
        <v>2.8057403062831217</v>
      </c>
      <c r="AJ92" s="103">
        <f ca="1">IF(AND(Energy!$F$11=$A$3,Main!$B$43=$A92),Summary!AJ29,AJ92)</f>
        <v>0.31064218377752117</v>
      </c>
      <c r="AK92" s="103">
        <f ca="1">IF(AND(Energy!$F$11=$A$3,Main!$B$43=$A92),Summary!AK29,AK92)</f>
        <v>0.01</v>
      </c>
      <c r="AL92" s="103">
        <f ca="1">IF(AND(Energy!$F$11=$A$3,Main!$B$43=$A92),Summary!AL29,AL92)</f>
        <v>-0.33804362432313861</v>
      </c>
      <c r="AM92" s="103">
        <f ca="1">IF(AND(Energy!$F$11=$A$3,Main!$B$43=$A92),Summary!AM29,AM92)</f>
        <v>0.34375</v>
      </c>
    </row>
    <row r="93" spans="1:39">
      <c r="A93">
        <f t="shared" si="6"/>
        <v>5</v>
      </c>
      <c r="D93" s="1">
        <f ca="1">IF(AND(Energy!$F$11=$A$3,Main!$B$43=A93),Main!C30,D93)</f>
        <v>4.9210526315789478</v>
      </c>
      <c r="E93" s="103">
        <f ca="1">IF(AND(Energy!$F$11=$A$3,Main!$B$43=A93),Main!B30,E93)</f>
        <v>0.28888888888888886</v>
      </c>
      <c r="F93" s="103">
        <f ca="1">IF(Main!$D$6=1,U93,IF(Main!$D$6=2,N93,IF(Main!$D$6=3,K93,IF(Main!$D$6=4,V93,J93))))</f>
        <v>372.96565945021683</v>
      </c>
      <c r="G93" s="103">
        <f ca="1">IF(AND(Energy!$F$11=$A$3,Main!$B$43=A93),Weight!H30,G93)</f>
        <v>10</v>
      </c>
      <c r="H93" s="103">
        <f ca="1">IF(AND(Energy!$F$11=$A$3,Main!$B$43=A93),Weight!U30,H93)</f>
        <v>14.576948060891716</v>
      </c>
      <c r="I93" s="103">
        <f ca="1">IF(AND(Energy!$F$11=$A$3,Main!$B$43=A93),Weight!V30,I93)</f>
        <v>35.693842533127892</v>
      </c>
      <c r="J93" s="103">
        <f ca="1">IF(AND(Energy!$F$11=$A$3,Main!$B$43=A93),Weight!I30,J93)</f>
        <v>11.056536197236177</v>
      </c>
      <c r="K93" s="103">
        <f ca="1">IF(AND(Energy!$F$11=$A$3,Main!$B$43=A93),Weight!W30,K93)</f>
        <v>45.693840594882452</v>
      </c>
      <c r="L93" s="103">
        <f ca="1">IF(AND(Energy!$F$11=$A$3,Main!$B$43=A93),'Aerodynamics-Cruise'!BI30,L93)</f>
        <v>45.693844490446317</v>
      </c>
      <c r="M93" s="103">
        <f ca="1">IF(AND(Energy!$F$11=$A$3,Main!$B$43=A93),'Aerodynamics-Cruise'!BJ30,M93)</f>
        <v>2.2043297123049399</v>
      </c>
      <c r="N93" s="103">
        <f ca="1">IF(AND(Energy!$F$11=$A$3,Main!$B$43=A93),'Aerodynamics-Cruise'!BK30,N93)</f>
        <v>20.729133321288362</v>
      </c>
      <c r="O93" s="103">
        <f t="shared" ca="1" si="5"/>
        <v>140.12318311154516</v>
      </c>
      <c r="P93" s="103">
        <f ca="1">IF(AND(Energy!$F$11=$A$3,Main!$B$43=A93),'Aerodynamics-Cruise'!H30,P93)</f>
        <v>7.6706925417659155</v>
      </c>
      <c r="Q93" s="103">
        <f ca="1">IF(AND(Energy!$F$11=$A$3,Main!$B$43=A93),'Aerodynamics-Cruise'!I30,Q93)</f>
        <v>6.4117184773243201</v>
      </c>
      <c r="R93" s="103">
        <f ca="1">IF(AND(Energy!$F$11=$A$3,Main!$B$43=$A93),Summary!R30,R93)</f>
        <v>23.043408166912446</v>
      </c>
      <c r="S93" s="103">
        <f ca="1">IF(AND(Energy!$F$11=$A$3,Main!$B$43=A93),'Aerodynamics-Cruise'!W30,S93)</f>
        <v>1</v>
      </c>
      <c r="T93" s="103">
        <f ca="1">IF(AND(Energy!$F$11=$A$3,Main!$B$43=A93),'Aerodynamics-Cruise'!BL30,T93)</f>
        <v>16.90873548377051</v>
      </c>
      <c r="U93" s="103">
        <f ca="1">IF(AND(Energy!$F$11=$A$3,Main!$B$43=A93),'Propulsion-Cruise'!M30,U93)</f>
        <v>38.6541022680235</v>
      </c>
      <c r="V93" s="103">
        <f ca="1">IF(AND(Energy!$F$11=$A$3,Main!$B$43=A93),Endurance!AP30,V93)</f>
        <v>372.96565945021683</v>
      </c>
      <c r="W93" s="103">
        <f ca="1">IF(AND(Energy!$F$11=$A$3,Main!$B$43=$A93),Summary!W30,W93)</f>
        <v>124.88178413498252</v>
      </c>
      <c r="X93" s="13">
        <f ca="1">IF(AND(Energy!$F$11=$A$3,Main!$B$43=A93),Energy!D30,X93)</f>
        <v>746.18105248372353</v>
      </c>
      <c r="Y93" s="102">
        <f ca="1">IF(AND(Energy!$F$11=$A$3,Main!$B$43=A93),'Aerodynamics-Cruise'!V30,Y93)</f>
        <v>140543.47630821037</v>
      </c>
      <c r="Z93" s="102">
        <f ca="1">IF(AND(Energy!$F$11=$A$3,Main!$B$43=$A93),Summary!Z30,Z93)</f>
        <v>103087.54931004219</v>
      </c>
      <c r="AA93" s="102">
        <f ca="1">IF(AND(Energy!$F$11=$A$3,Main!$B$43=$A93),Summary!AA30,AA93)</f>
        <v>422204.47138679132</v>
      </c>
      <c r="AB93" s="103">
        <f ca="1">IF(AND(Energy!$F$11=$A$3,Main!$B$43=$A93),Summary!AB30,AB93)</f>
        <v>2.5348429231515577</v>
      </c>
      <c r="AC93" s="103">
        <f ca="1">IF(AND(Energy!$F$11=$A$3,Main!$B$43=$A93),Summary!AC30,AC93)</f>
        <v>2.8888047954943374</v>
      </c>
      <c r="AD93" s="103">
        <f ca="1">IF(AND(Energy!$F$11=$A$3,Main!$B$43=$A93),Summary!AD30,AD93)</f>
        <v>0.37580992420854231</v>
      </c>
      <c r="AE93" s="103">
        <f ca="1">IF(AND(Energy!$F$11=$A$3,Main!$B$43=$A93),Summary!AE30,AE93)</f>
        <v>1.4216374269005847</v>
      </c>
      <c r="AF93" s="103">
        <f ca="1">IF(AND(Energy!$F$11=$A$3,Main!$B$43=$A93),Summary!AF30,AF93)</f>
        <v>17.034412955465591</v>
      </c>
      <c r="AG93" s="103">
        <f ca="1">IF(AND(Energy!$F$11=$A$3,Main!$B$43=$A93),Summary!AG30,AG93)</f>
        <v>9.2025862781989289</v>
      </c>
      <c r="AH93" s="103">
        <f ca="1">IF(AND(Energy!$F$11=$A$3,Main!$B$43=$A93),Summary!AH30,AH93)</f>
        <v>47</v>
      </c>
      <c r="AI93" s="103">
        <f ca="1">IF(AND(Energy!$F$11=$A$3,Main!$B$43=$A93),Summary!AI30,AI93)</f>
        <v>2.8052811175312744</v>
      </c>
      <c r="AJ93" s="103">
        <f ca="1">IF(AND(Energy!$F$11=$A$3,Main!$B$43=$A93),Summary!AJ30,AJ93)</f>
        <v>0.31170875923788566</v>
      </c>
      <c r="AK93" s="103">
        <f ca="1">IF(AND(Energy!$F$11=$A$3,Main!$B$43=$A93),Summary!AK30,AK93)</f>
        <v>0.01</v>
      </c>
      <c r="AL93" s="103">
        <f ca="1">IF(AND(Energy!$F$11=$A$3,Main!$B$43=$A93),Summary!AL30,AL93)</f>
        <v>-0.33688556657537588</v>
      </c>
      <c r="AM93" s="103">
        <f ca="1">IF(AND(Energy!$F$11=$A$3,Main!$B$43=$A93),Summary!AM30,AM93)</f>
        <v>0.34375</v>
      </c>
    </row>
    <row r="94" spans="1:39">
      <c r="A94">
        <f t="shared" si="6"/>
        <v>5</v>
      </c>
      <c r="D94" s="1">
        <f ca="1">IF(AND(Energy!$F$11=$A$3,Main!$B$43=A94),Main!C31,D94)</f>
        <v>5.0789473684210531</v>
      </c>
      <c r="E94" s="103">
        <f ca="1">IF(AND(Energy!$F$11=$A$3,Main!$B$43=A94),Main!B31,E94)</f>
        <v>0.28888888888888886</v>
      </c>
      <c r="F94" s="103">
        <f ca="1">IF(Main!$D$6=1,U94,IF(Main!$D$6=2,N94,IF(Main!$D$6=3,K94,IF(Main!$D$6=4,V94,J94))))</f>
        <v>373.54915704254023</v>
      </c>
      <c r="G94" s="103">
        <f ca="1">IF(AND(Energy!$F$11=$A$3,Main!$B$43=A94),Weight!H31,G94)</f>
        <v>10</v>
      </c>
      <c r="H94" s="103">
        <f ca="1">IF(AND(Energy!$F$11=$A$3,Main!$B$43=A94),Weight!U31,H94)</f>
        <v>15.086057946604285</v>
      </c>
      <c r="I94" s="103">
        <f ca="1">IF(AND(Energy!$F$11=$A$3,Main!$B$43=A94),Weight!V31,I94)</f>
        <v>36.226686056880261</v>
      </c>
      <c r="J94" s="103">
        <f ca="1">IF(AND(Energy!$F$11=$A$3,Main!$B$43=A94),Weight!I31,J94)</f>
        <v>11.080269835275976</v>
      </c>
      <c r="K94" s="103">
        <f ca="1">IF(AND(Energy!$F$11=$A$3,Main!$B$43=A94),Weight!W31,K94)</f>
        <v>46.226684055760238</v>
      </c>
      <c r="L94" s="103">
        <f ca="1">IF(AND(Energy!$F$11=$A$3,Main!$B$43=A94),'Aerodynamics-Cruise'!BI31,L94)</f>
        <v>46.226688077654131</v>
      </c>
      <c r="M94" s="103">
        <f ca="1">IF(AND(Energy!$F$11=$A$3,Main!$B$43=A94),'Aerodynamics-Cruise'!BJ31,M94)</f>
        <v>2.2166259187878086</v>
      </c>
      <c r="N94" s="103">
        <f ca="1">IF(AND(Energy!$F$11=$A$3,Main!$B$43=A94),'Aerodynamics-Cruise'!BK31,N94)</f>
        <v>20.854528355841751</v>
      </c>
      <c r="O94" s="103">
        <f t="shared" ca="1" si="5"/>
        <v>141.79037856639252</v>
      </c>
      <c r="P94" s="103">
        <f ca="1">IF(AND(Energy!$F$11=$A$3,Main!$B$43=A94),'Aerodynamics-Cruise'!H31,P94)</f>
        <v>7.5943843237665236</v>
      </c>
      <c r="Q94" s="103">
        <f ca="1">IF(AND(Energy!$F$11=$A$3,Main!$B$43=A94),'Aerodynamics-Cruise'!I31,Q94)</f>
        <v>6.3484004534187486</v>
      </c>
      <c r="R94" s="103">
        <f ca="1">IF(AND(Energy!$F$11=$A$3,Main!$B$43=$A94),Summary!R31,R94)</f>
        <v>22.834677891275778</v>
      </c>
      <c r="S94" s="103">
        <f ca="1">IF(AND(Energy!$F$11=$A$3,Main!$B$43=A94),'Aerodynamics-Cruise'!W31,S94)</f>
        <v>1</v>
      </c>
      <c r="T94" s="103">
        <f ca="1">IF(AND(Energy!$F$11=$A$3,Main!$B$43=A94),'Aerodynamics-Cruise'!BL31,T94)</f>
        <v>16.8339091292967</v>
      </c>
      <c r="U94" s="103">
        <f ca="1">IF(AND(Energy!$F$11=$A$3,Main!$B$43=A94),'Propulsion-Cruise'!M31,U94)</f>
        <v>38.601526616872363</v>
      </c>
      <c r="V94" s="103">
        <f ca="1">IF(AND(Energy!$F$11=$A$3,Main!$B$43=A94),Endurance!AP31,V94)</f>
        <v>373.54915704254023</v>
      </c>
      <c r="W94" s="103">
        <f ca="1">IF(AND(Energy!$F$11=$A$3,Main!$B$43=$A94),Summary!W31,W94)</f>
        <v>125.32735809202683</v>
      </c>
      <c r="X94" s="13">
        <f ca="1">IF(AND(Energy!$F$11=$A$3,Main!$B$43=A94),Energy!D31,X94)</f>
        <v>746.98556250862032</v>
      </c>
      <c r="Y94" s="102">
        <f ca="1">IF(AND(Energy!$F$11=$A$3,Main!$B$43=A94),'Aerodynamics-Cruise'!V31,Y94)</f>
        <v>139145.34671689579</v>
      </c>
      <c r="Z94" s="102">
        <f ca="1">IF(AND(Energy!$F$11=$A$3,Main!$B$43=$A94),Summary!Z31,Z94)</f>
        <v>102069.47101050055</v>
      </c>
      <c r="AA94" s="102">
        <f ca="1">IF(AND(Energy!$F$11=$A$3,Main!$B$43=$A94),Summary!AA31,AA94)</f>
        <v>418380.08677105827</v>
      </c>
      <c r="AB94" s="103">
        <f ca="1">IF(AND(Energy!$F$11=$A$3,Main!$B$43=$A94),Summary!AB31,AB94)</f>
        <v>2.5128023216342901</v>
      </c>
      <c r="AC94" s="103">
        <f ca="1">IF(AND(Energy!$F$11=$A$3,Main!$B$43=$A94),Summary!AC31,AC94)</f>
        <v>2.830680566989539</v>
      </c>
      <c r="AD94" s="103">
        <f ca="1">IF(AND(Energy!$F$11=$A$3,Main!$B$43=$A94),Summary!AD31,AD94)</f>
        <v>0.37512443971474946</v>
      </c>
      <c r="AE94" s="103">
        <f ca="1">IF(AND(Energy!$F$11=$A$3,Main!$B$43=$A94),Summary!AE31,AE94)</f>
        <v>1.4672514619883041</v>
      </c>
      <c r="AF94" s="103">
        <f ca="1">IF(AND(Energy!$F$11=$A$3,Main!$B$43=$A94),Summary!AF31,AF94)</f>
        <v>17.580971659919033</v>
      </c>
      <c r="AG94" s="103">
        <f ca="1">IF(AND(Energy!$F$11=$A$3,Main!$B$43=$A94),Summary!AG31,AG94)</f>
        <v>9.2063364591653318</v>
      </c>
      <c r="AH94" s="103">
        <f ca="1">IF(AND(Energy!$F$11=$A$3,Main!$B$43=$A94),Summary!AH31,AH94)</f>
        <v>47</v>
      </c>
      <c r="AI94" s="103">
        <f ca="1">IF(AND(Energy!$F$11=$A$3,Main!$B$43=$A94),Summary!AI31,AI94)</f>
        <v>2.8048693956972564</v>
      </c>
      <c r="AJ94" s="103">
        <f ca="1">IF(AND(Energy!$F$11=$A$3,Main!$B$43=$A94),Summary!AJ31,AJ94)</f>
        <v>0.31265493714777332</v>
      </c>
      <c r="AK94" s="103">
        <f ca="1">IF(AND(Energy!$F$11=$A$3,Main!$B$43=$A94),Summary!AK31,AK94)</f>
        <v>0.01</v>
      </c>
      <c r="AL94" s="103">
        <f ca="1">IF(AND(Energy!$F$11=$A$3,Main!$B$43=$A94),Summary!AL31,AL94)</f>
        <v>-0.33586481349294656</v>
      </c>
      <c r="AM94" s="103">
        <f ca="1">IF(AND(Energy!$F$11=$A$3,Main!$B$43=$A94),Summary!AM31,AM94)</f>
        <v>0.34375</v>
      </c>
    </row>
    <row r="95" spans="1:39">
      <c r="A95">
        <f t="shared" si="6"/>
        <v>5</v>
      </c>
      <c r="D95" s="1">
        <f ca="1">IF(AND(Energy!$F$11=$A$3,Main!$B$43=A95),Main!C32,D95)</f>
        <v>5.2368421052631584</v>
      </c>
      <c r="E95" s="103">
        <f ca="1">IF(AND(Energy!$F$11=$A$3,Main!$B$43=A95),Main!B32,E95)</f>
        <v>0.28888888888888886</v>
      </c>
      <c r="F95" s="103">
        <f ca="1">IF(Main!$D$6=1,U95,IF(Main!$D$6=2,N95,IF(Main!$D$6=3,K95,IF(Main!$D$6=4,V95,J95))))</f>
        <v>374.89129357891085</v>
      </c>
      <c r="G95" s="103">
        <f ca="1">IF(AND(Energy!$F$11=$A$3,Main!$B$43=A95),Weight!H32,G95)</f>
        <v>10</v>
      </c>
      <c r="H95" s="103">
        <f ca="1">IF(AND(Energy!$F$11=$A$3,Main!$B$43=A95),Weight!U32,H95)</f>
        <v>15.614083516609242</v>
      </c>
      <c r="I95" s="103">
        <f ca="1">IF(AND(Energy!$F$11=$A$3,Main!$B$43=A95),Weight!V32,I95)</f>
        <v>36.819431243393893</v>
      </c>
      <c r="J95" s="103">
        <f ca="1">IF(AND(Energy!$F$11=$A$3,Main!$B$43=A95),Weight!I32,J95)</f>
        <v>11.144989451784651</v>
      </c>
      <c r="K95" s="103">
        <f ca="1">IF(AND(Energy!$F$11=$A$3,Main!$B$43=A95),Weight!W32,K95)</f>
        <v>46.819429174727915</v>
      </c>
      <c r="L95" s="103">
        <f ca="1">IF(AND(Energy!$F$11=$A$3,Main!$B$43=A95),'Aerodynamics-Cruise'!BI32,L95)</f>
        <v>46.819433332339528</v>
      </c>
      <c r="M95" s="103">
        <f ca="1">IF(AND(Energy!$F$11=$A$3,Main!$B$43=A95),'Aerodynamics-Cruise'!BJ32,M95)</f>
        <v>2.2321941564327812</v>
      </c>
      <c r="N95" s="103">
        <f ca="1">IF(AND(Energy!$F$11=$A$3,Main!$B$43=A95),'Aerodynamics-Cruise'!BK32,N95)</f>
        <v>20.97462409235969</v>
      </c>
      <c r="O95" s="103">
        <f t="shared" ca="1" si="5"/>
        <v>143.51829379016476</v>
      </c>
      <c r="P95" s="103">
        <f ca="1">IF(AND(Energy!$F$11=$A$3,Main!$B$43=A95),'Aerodynamics-Cruise'!H32,P95)</f>
        <v>7.526790546911843</v>
      </c>
      <c r="Q95" s="103">
        <f ca="1">IF(AND(Energy!$F$11=$A$3,Main!$B$43=A95),'Aerodynamics-Cruise'!I32,Q95)</f>
        <v>6.2923099149244957</v>
      </c>
      <c r="R95" s="103">
        <f ca="1">IF(AND(Energy!$F$11=$A$3,Main!$B$43=$A95),Summary!R32,R95)</f>
        <v>22.632930589358402</v>
      </c>
      <c r="S95" s="103">
        <f ca="1">IF(AND(Energy!$F$11=$A$3,Main!$B$43=A95),'Aerodynamics-Cruise'!W32,S95)</f>
        <v>1</v>
      </c>
      <c r="T95" s="103">
        <f ca="1">IF(AND(Energy!$F$11=$A$3,Main!$B$43=A95),'Aerodynamics-Cruise'!BL32,T95)</f>
        <v>16.801257875510114</v>
      </c>
      <c r="U95" s="103">
        <f ca="1">IF(AND(Energy!$F$11=$A$3,Main!$B$43=A95),'Propulsion-Cruise'!M32,U95)</f>
        <v>38.63063424060374</v>
      </c>
      <c r="V95" s="103">
        <f ca="1">IF(AND(Energy!$F$11=$A$3,Main!$B$43=A95),Endurance!AP32,V95)</f>
        <v>374.89129357891085</v>
      </c>
      <c r="W95" s="103">
        <f ca="1">IF(AND(Energy!$F$11=$A$3,Main!$B$43=$A95),Summary!W32,W95)</f>
        <v>126.54240318794865</v>
      </c>
      <c r="X95" s="13">
        <f ca="1">IF(AND(Energy!$F$11=$A$3,Main!$B$43=A95),Energy!D32,X95)</f>
        <v>749.17939554213774</v>
      </c>
      <c r="Y95" s="102">
        <f ca="1">IF(AND(Energy!$F$11=$A$3,Main!$B$43=A95),'Aerodynamics-Cruise'!V32,Y95)</f>
        <v>137906.88430633341</v>
      </c>
      <c r="Z95" s="102">
        <f ca="1">IF(AND(Energy!$F$11=$A$3,Main!$B$43=$A95),Summary!Z32,Z95)</f>
        <v>101167.60244012573</v>
      </c>
      <c r="AA95" s="102">
        <f ca="1">IF(AND(Energy!$F$11=$A$3,Main!$B$43=$A95),Summary!AA32,AA95)</f>
        <v>414683.64515344874</v>
      </c>
      <c r="AB95" s="103">
        <f ca="1">IF(AND(Energy!$F$11=$A$3,Main!$B$43=$A95),Summary!AB32,AB95)</f>
        <v>2.4992794013028501</v>
      </c>
      <c r="AC95" s="103">
        <f ca="1">IF(AND(Energy!$F$11=$A$3,Main!$B$43=$A95),Summary!AC32,AC95)</f>
        <v>2.7723290035664245</v>
      </c>
      <c r="AD95" s="103">
        <f ca="1">IF(AND(Energy!$F$11=$A$3,Main!$B$43=$A95),Summary!AD32,AD95)</f>
        <v>0.37479319405861788</v>
      </c>
      <c r="AE95" s="103">
        <f ca="1">IF(AND(Energy!$F$11=$A$3,Main!$B$43=$A95),Summary!AE32,AE95)</f>
        <v>1.5128654970760234</v>
      </c>
      <c r="AF95" s="103">
        <f ca="1">IF(AND(Energy!$F$11=$A$3,Main!$B$43=$A95),Summary!AF32,AF95)</f>
        <v>18.127530364372472</v>
      </c>
      <c r="AG95" s="103">
        <f ca="1">IF(AND(Energy!$F$11=$A$3,Main!$B$43=$A95),Summary!AG32,AG95)</f>
        <v>9.221069358059081</v>
      </c>
      <c r="AH95" s="103">
        <f ca="1">IF(AND(Energy!$F$11=$A$3,Main!$B$43=$A95),Summary!AH32,AH95)</f>
        <v>47</v>
      </c>
      <c r="AI95" s="103">
        <f ca="1">IF(AND(Energy!$F$11=$A$3,Main!$B$43=$A95),Summary!AI32,AI95)</f>
        <v>2.804500890539376</v>
      </c>
      <c r="AJ95" s="103">
        <f ca="1">IF(AND(Energy!$F$11=$A$3,Main!$B$43=$A95),Summary!AJ32,AJ95)</f>
        <v>0.31349026696787574</v>
      </c>
      <c r="AK95" s="103">
        <f ca="1">IF(AND(Energy!$F$11=$A$3,Main!$B$43=$A95),Summary!AK32,AK95)</f>
        <v>0.01</v>
      </c>
      <c r="AL95" s="103">
        <f ca="1">IF(AND(Energy!$F$11=$A$3,Main!$B$43=$A95),Summary!AL32,AL95)</f>
        <v>-0.33496872860577126</v>
      </c>
      <c r="AM95" s="103">
        <f ca="1">IF(AND(Energy!$F$11=$A$3,Main!$B$43=$A95),Summary!AM32,AM95)</f>
        <v>0.34375</v>
      </c>
    </row>
    <row r="96" spans="1:39">
      <c r="A96">
        <f t="shared" si="6"/>
        <v>5</v>
      </c>
      <c r="D96" s="1">
        <f ca="1">IF(AND(Energy!$F$11=$A$3,Main!$B$43=A96),Main!C33,D96)</f>
        <v>5.3947368421052637</v>
      </c>
      <c r="E96" s="103">
        <f ca="1">IF(AND(Energy!$F$11=$A$3,Main!$B$43=A96),Main!B33,E96)</f>
        <v>0.28888888888888886</v>
      </c>
      <c r="F96" s="103">
        <f ca="1">IF(Main!$D$6=1,U96,IF(Main!$D$6=2,N96,IF(Main!$D$6=3,K96,IF(Main!$D$6=4,V96,J96))))</f>
        <v>376.92729551441306</v>
      </c>
      <c r="G96" s="103">
        <f ca="1">IF(AND(Energy!$F$11=$A$3,Main!$B$43=A96),Weight!H33,G96)</f>
        <v>10</v>
      </c>
      <c r="H96" s="103">
        <f ca="1">IF(AND(Energy!$F$11=$A$3,Main!$B$43=A96),Weight!U33,H96)</f>
        <v>16.16102059105404</v>
      </c>
      <c r="I96" s="103">
        <f ca="1">IF(AND(Energy!$F$11=$A$3,Main!$B$43=A96),Weight!V33,I96)</f>
        <v>37.468583030906515</v>
      </c>
      <c r="J96" s="103">
        <f ca="1">IF(AND(Energy!$F$11=$A$3,Main!$B$43=A96),Weight!I33,J96)</f>
        <v>11.247204164852475</v>
      </c>
      <c r="K96" s="103">
        <f ca="1">IF(AND(Energy!$F$11=$A$3,Main!$B$43=A96),Weight!W33,K96)</f>
        <v>47.468580890285608</v>
      </c>
      <c r="L96" s="103">
        <f ca="1">IF(AND(Energy!$F$11=$A$3,Main!$B$43=A96),'Aerodynamics-Cruise'!BI33,L96)</f>
        <v>47.468585192475977</v>
      </c>
      <c r="M96" s="103">
        <f ca="1">IF(AND(Energy!$F$11=$A$3,Main!$B$43=A96),'Aerodynamics-Cruise'!BJ33,M96)</f>
        <v>2.2507807551571104</v>
      </c>
      <c r="N96" s="103">
        <f ca="1">IF(AND(Energy!$F$11=$A$3,Main!$B$43=A96),'Aerodynamics-Cruise'!BK33,N96)</f>
        <v>21.089830754822916</v>
      </c>
      <c r="O96" s="103">
        <f t="shared" ca="1" si="5"/>
        <v>145.30355450537849</v>
      </c>
      <c r="P96" s="103">
        <f ca="1">IF(AND(Energy!$F$11=$A$3,Main!$B$43=A96),'Aerodynamics-Cruise'!H33,P96)</f>
        <v>7.4670334314080948</v>
      </c>
      <c r="Q96" s="103">
        <f ca="1">IF(AND(Energy!$F$11=$A$3,Main!$B$43=A96),'Aerodynamics-Cruise'!I33,Q96)</f>
        <v>6.2427197831270407</v>
      </c>
      <c r="R96" s="103">
        <f ca="1">IF(AND(Energy!$F$11=$A$3,Main!$B$43=$A96),Summary!R33,R96)</f>
        <v>22.437794800344893</v>
      </c>
      <c r="S96" s="103">
        <f ca="1">IF(AND(Energy!$F$11=$A$3,Main!$B$43=A96),'Aerodynamics-Cruise'!W33,S96)</f>
        <v>1</v>
      </c>
      <c r="T96" s="103">
        <f ca="1">IF(AND(Energy!$F$11=$A$3,Main!$B$43=A96),'Aerodynamics-Cruise'!BL33,T96)</f>
        <v>16.806655145528101</v>
      </c>
      <c r="U96" s="103">
        <f ca="1">IF(AND(Energy!$F$11=$A$3,Main!$B$43=A96),'Propulsion-Cruise'!M33,U96)</f>
        <v>38.73403799965687</v>
      </c>
      <c r="V96" s="103">
        <f ca="1">IF(AND(Energy!$F$11=$A$3,Main!$B$43=A96),Endurance!AP33,V96)</f>
        <v>376.92729551441306</v>
      </c>
      <c r="W96" s="103">
        <f ca="1">IF(AND(Energy!$F$11=$A$3,Main!$B$43=$A96),Summary!W33,W96)</f>
        <v>128.46138157153149</v>
      </c>
      <c r="X96" s="13">
        <f ca="1">IF(AND(Energy!$F$11=$A$3,Main!$B$43=A96),Energy!D33,X96)</f>
        <v>752.64421934453037</v>
      </c>
      <c r="Y96" s="102">
        <f ca="1">IF(AND(Energy!$F$11=$A$3,Main!$B$43=A96),'Aerodynamics-Cruise'!V33,Y96)</f>
        <v>136812.00627526653</v>
      </c>
      <c r="Z96" s="102">
        <f ca="1">IF(AND(Energy!$F$11=$A$3,Main!$B$43=$A96),Summary!Z33,Z96)</f>
        <v>100370.2528990712</v>
      </c>
      <c r="AA96" s="102">
        <f ca="1">IF(AND(Energy!$F$11=$A$3,Main!$B$43=$A96),Summary!AA33,AA96)</f>
        <v>411108.34057817369</v>
      </c>
      <c r="AB96" s="103">
        <f ca="1">IF(AND(Energy!$F$11=$A$3,Main!$B$43=$A96),Summary!AB33,AB96)</f>
        <v>2.4933856531273522</v>
      </c>
      <c r="AC96" s="103">
        <f ca="1">IF(AND(Energy!$F$11=$A$3,Main!$B$43=$A96),Summary!AC33,AC96)</f>
        <v>2.713997905630614</v>
      </c>
      <c r="AD96" s="103">
        <f ca="1">IF(AND(Energy!$F$11=$A$3,Main!$B$43=$A96),Summary!AD33,AD96)</f>
        <v>0.37478329043337799</v>
      </c>
      <c r="AE96" s="103">
        <f ca="1">IF(AND(Energy!$F$11=$A$3,Main!$B$43=$A96),Summary!AE33,AE96)</f>
        <v>1.5584795321637428</v>
      </c>
      <c r="AF96" s="103">
        <f ca="1">IF(AND(Energy!$F$11=$A$3,Main!$B$43=$A96),Summary!AF33,AF96)</f>
        <v>18.674089068825914</v>
      </c>
      <c r="AG96" s="103">
        <f ca="1">IF(AND(Energy!$F$11=$A$3,Main!$B$43=$A96),Summary!AG33,AG96)</f>
        <v>9.2458104375788839</v>
      </c>
      <c r="AH96" s="103">
        <f ca="1">IF(AND(Energy!$F$11=$A$3,Main!$B$43=$A96),Summary!AH33,AH96)</f>
        <v>47</v>
      </c>
      <c r="AI96" s="103">
        <f ca="1">IF(AND(Energy!$F$11=$A$3,Main!$B$43=$A96),Summary!AI33,AI96)</f>
        <v>2.8041719484362031</v>
      </c>
      <c r="AJ96" s="103">
        <f ca="1">IF(AND(Energy!$F$11=$A$3,Main!$B$43=$A96),Summary!AJ33,AJ96)</f>
        <v>0.31422306483495022</v>
      </c>
      <c r="AK96" s="103">
        <f ca="1">IF(AND(Energy!$F$11=$A$3,Main!$B$43=$A96),Summary!AK33,AK96)</f>
        <v>0.01</v>
      </c>
      <c r="AL96" s="103">
        <f ca="1">IF(AND(Energy!$F$11=$A$3,Main!$B$43=$A96),Summary!AL33,AL96)</f>
        <v>-0.3341865133791212</v>
      </c>
      <c r="AM96" s="103">
        <f ca="1">IF(AND(Energy!$F$11=$A$3,Main!$B$43=$A96),Summary!AM33,AM96)</f>
        <v>0.34375</v>
      </c>
    </row>
    <row r="97" spans="1:39">
      <c r="A97">
        <f t="shared" si="6"/>
        <v>5</v>
      </c>
      <c r="D97" s="1">
        <f ca="1">IF(AND(Energy!$F$11=$A$3,Main!$B$43=A97),Main!C34,D97)</f>
        <v>5.552631578947369</v>
      </c>
      <c r="E97" s="103">
        <f ca="1">IF(AND(Energy!$F$11=$A$3,Main!$B$43=A97),Main!B34,E97)</f>
        <v>0.28888888888888886</v>
      </c>
      <c r="F97" s="103">
        <f ca="1">IF(Main!$D$6=1,U97,IF(Main!$D$6=2,N97,IF(Main!$D$6=3,K97,IF(Main!$D$6=4,V97,J97))))</f>
        <v>379.60577555500413</v>
      </c>
      <c r="G97" s="103">
        <f ca="1">IF(AND(Energy!$F$11=$A$3,Main!$B$43=A97),Weight!H34,G97)</f>
        <v>10</v>
      </c>
      <c r="H97" s="103">
        <f ca="1">IF(AND(Energy!$F$11=$A$3,Main!$B$43=A97),Weight!U34,H97)</f>
        <v>16.726940276635293</v>
      </c>
      <c r="I97" s="103">
        <f ca="1">IF(AND(Energy!$F$11=$A$3,Main!$B$43=A97),Weight!V34,I97)</f>
        <v>38.171439099187758</v>
      </c>
      <c r="J97" s="103">
        <f ca="1">IF(AND(Energy!$F$11=$A$3,Main!$B$43=A97),Weight!I34,J97)</f>
        <v>11.384140547552466</v>
      </c>
      <c r="K97" s="103">
        <f ca="1">IF(AND(Energy!$F$11=$A$3,Main!$B$43=A97),Weight!W34,K97)</f>
        <v>48.171436882401586</v>
      </c>
      <c r="L97" s="103">
        <f ca="1">IF(AND(Energy!$F$11=$A$3,Main!$B$43=A97),'Aerodynamics-Cruise'!BI34,L97)</f>
        <v>48.171441337632771</v>
      </c>
      <c r="M97" s="103">
        <f ca="1">IF(AND(Energy!$F$11=$A$3,Main!$B$43=A97),'Aerodynamics-Cruise'!BJ34,M97)</f>
        <v>2.2721819845239102</v>
      </c>
      <c r="N97" s="103">
        <f ca="1">IF(AND(Energy!$F$11=$A$3,Main!$B$43=A97),'Aerodynamics-Cruise'!BK34,N97)</f>
        <v>21.200520761864119</v>
      </c>
      <c r="O97" s="103">
        <f t="shared" ca="1" si="5"/>
        <v>147.14359057693258</v>
      </c>
      <c r="P97" s="103">
        <f ca="1">IF(AND(Energy!$F$11=$A$3,Main!$B$43=A97),'Aerodynamics-Cruise'!H34,P97)</f>
        <v>7.4143688126615999</v>
      </c>
      <c r="Q97" s="103">
        <f ca="1">IF(AND(Energy!$F$11=$A$3,Main!$B$43=A97),'Aerodynamics-Cruise'!I34,Q97)</f>
        <v>6.199013562218199</v>
      </c>
      <c r="R97" s="103">
        <f ca="1">IF(AND(Energy!$F$11=$A$3,Main!$B$43=$A97),Summary!R34,R97)</f>
        <v>22.248929182624593</v>
      </c>
      <c r="S97" s="103">
        <f ca="1">IF(AND(Energy!$F$11=$A$3,Main!$B$43=A97),'Aerodynamics-Cruise'!W34,S97)</f>
        <v>1</v>
      </c>
      <c r="T97" s="103">
        <f ca="1">IF(AND(Energy!$F$11=$A$3,Main!$B$43=A97),'Aerodynamics-Cruise'!BL34,T97)</f>
        <v>16.846795242745621</v>
      </c>
      <c r="U97" s="103">
        <f ca="1">IF(AND(Energy!$F$11=$A$3,Main!$B$43=A97),'Propulsion-Cruise'!M34,U97)</f>
        <v>38.905848452286492</v>
      </c>
      <c r="V97" s="103">
        <f ca="1">IF(AND(Energy!$F$11=$A$3,Main!$B$43=A97),Endurance!AP34,V97)</f>
        <v>379.60577555500413</v>
      </c>
      <c r="W97" s="103">
        <f ca="1">IF(AND(Energy!$F$11=$A$3,Main!$B$43=$A97),Summary!W34,W97)</f>
        <v>131.03222489819245</v>
      </c>
      <c r="X97" s="13">
        <f ca="1">IF(AND(Energy!$F$11=$A$3,Main!$B$43=A97),Energy!D34,X97)</f>
        <v>757.28602162053107</v>
      </c>
      <c r="Y97" s="102">
        <f ca="1">IF(AND(Energy!$F$11=$A$3,Main!$B$43=A97),'Aerodynamics-Cruise'!V34,Y97)</f>
        <v>135847.07793838199</v>
      </c>
      <c r="Z97" s="102">
        <f ca="1">IF(AND(Energy!$F$11=$A$3,Main!$B$43=$A97),Summary!Z34,Z97)</f>
        <v>99667.509760514542</v>
      </c>
      <c r="AA97" s="102">
        <f ca="1">IF(AND(Energy!$F$11=$A$3,Main!$B$43=$A97),Summary!AA34,AA97)</f>
        <v>407647.91893762676</v>
      </c>
      <c r="AB97" s="103">
        <f ca="1">IF(AND(Energy!$F$11=$A$3,Main!$B$43=$A97),Summary!AB34,AB97)</f>
        <v>2.4944214822382262</v>
      </c>
      <c r="AC97" s="103">
        <f ca="1">IF(AND(Energy!$F$11=$A$3,Main!$B$43=$A97),Summary!AC34,AC97)</f>
        <v>2.6558824155317429</v>
      </c>
      <c r="AD97" s="103">
        <f ca="1">IF(AND(Energy!$F$11=$A$3,Main!$B$43=$A97),Summary!AD34,AD97)</f>
        <v>0.37506718874902123</v>
      </c>
      <c r="AE97" s="103">
        <f ca="1">IF(AND(Energy!$F$11=$A$3,Main!$B$43=$A97),Summary!AE34,AE97)</f>
        <v>1.604093567251462</v>
      </c>
      <c r="AF97" s="103">
        <f ca="1">IF(AND(Energy!$F$11=$A$3,Main!$B$43=$A97),Summary!AF34,AF97)</f>
        <v>19.220647773279357</v>
      </c>
      <c r="AG97" s="103">
        <f ca="1">IF(AND(Energy!$F$11=$A$3,Main!$B$43=$A97),Summary!AG34,AG97)</f>
        <v>9.2797665635631024</v>
      </c>
      <c r="AH97" s="103">
        <f ca="1">IF(AND(Energy!$F$11=$A$3,Main!$B$43=$A97),Summary!AH34,AH97)</f>
        <v>47</v>
      </c>
      <c r="AI97" s="103">
        <f ca="1">IF(AND(Energy!$F$11=$A$3,Main!$B$43=$A97),Summary!AI34,AI97)</f>
        <v>2.8038794024886107</v>
      </c>
      <c r="AJ97" s="103">
        <f ca="1">IF(AND(Energy!$F$11=$A$3,Main!$B$43=$A97),Summary!AJ34,AJ97)</f>
        <v>0.31486062829541911</v>
      </c>
      <c r="AK97" s="103">
        <f ca="1">IF(AND(Energy!$F$11=$A$3,Main!$B$43=$A97),Summary!AK34,AK97)</f>
        <v>0.01</v>
      </c>
      <c r="AL97" s="103">
        <f ca="1">IF(AND(Energy!$F$11=$A$3,Main!$B$43=$A97),Summary!AL34,AL97)</f>
        <v>-0.33350886898912163</v>
      </c>
      <c r="AM97" s="103">
        <f ca="1">IF(AND(Energy!$F$11=$A$3,Main!$B$43=$A97),Summary!AM34,AM97)</f>
        <v>0.34375</v>
      </c>
    </row>
    <row r="98" spans="1:39">
      <c r="A98">
        <f t="shared" si="6"/>
        <v>5</v>
      </c>
      <c r="D98" s="1">
        <f ca="1">IF(AND(Energy!$F$11=$A$3,Main!$B$43=A98),Main!C35,D98)</f>
        <v>5.7105263157894743</v>
      </c>
      <c r="E98" s="103">
        <f ca="1">IF(AND(Energy!$F$11=$A$3,Main!$B$43=A98),Main!B35,E98)</f>
        <v>0.28888888888888886</v>
      </c>
      <c r="F98" s="103">
        <f ca="1">IF(Main!$D$6=1,U98,IF(Main!$D$6=2,N98,IF(Main!$D$6=3,K98,IF(Main!$D$6=4,V98,J98))))</f>
        <v>382.88601409576893</v>
      </c>
      <c r="G98" s="103">
        <f ca="1">IF(AND(Energy!$F$11=$A$3,Main!$B$43=A98),Weight!H35,G98)</f>
        <v>10</v>
      </c>
      <c r="H98" s="103">
        <f ca="1">IF(AND(Energy!$F$11=$A$3,Main!$B$43=A98),Weight!U35,H98)</f>
        <v>17.31197617975959</v>
      </c>
      <c r="I98" s="103">
        <f ca="1">IF(AND(Energy!$F$11=$A$3,Main!$B$43=A98),Weight!V35,I98)</f>
        <v>38.925931636917241</v>
      </c>
      <c r="J98" s="103">
        <f ca="1">IF(AND(Energy!$F$11=$A$3,Main!$B$43=A98),Weight!I35,J98)</f>
        <v>11.553597182157651</v>
      </c>
      <c r="K98" s="103">
        <f ca="1">IF(AND(Energy!$F$11=$A$3,Main!$B$43=A98),Weight!W35,K98)</f>
        <v>48.925929339909267</v>
      </c>
      <c r="L98" s="103">
        <f ca="1">IF(AND(Energy!$F$11=$A$3,Main!$B$43=A98),'Aerodynamics-Cruise'!BI35,L98)</f>
        <v>48.925933956334767</v>
      </c>
      <c r="M98" s="103">
        <f ca="1">IF(AND(Energy!$F$11=$A$3,Main!$B$43=A98),'Aerodynamics-Cruise'!BJ35,M98)</f>
        <v>2.2962342272904261</v>
      </c>
      <c r="N98" s="103">
        <f ca="1">IF(AND(Energy!$F$11=$A$3,Main!$B$43=A98),'Aerodynamics-Cruise'!BK35,N98)</f>
        <v>21.307031040151223</v>
      </c>
      <c r="O98" s="103">
        <f t="shared" ca="1" si="5"/>
        <v>149.03645125977715</v>
      </c>
      <c r="P98" s="103">
        <f ca="1">IF(AND(Energy!$F$11=$A$3,Main!$B$43=A98),'Aerodynamics-Cruise'!H35,P98)</f>
        <v>7.3681609881320433</v>
      </c>
      <c r="Q98" s="103">
        <f ca="1">IF(AND(Energy!$F$11=$A$3,Main!$B$43=A98),'Aerodynamics-Cruise'!I35,Q98)</f>
        <v>6.1606645322036089</v>
      </c>
      <c r="R98" s="103">
        <f ca="1">IF(AND(Energy!$F$11=$A$3,Main!$B$43=$A98),Summary!R35,R98)</f>
        <v>22.066019152688042</v>
      </c>
      <c r="S98" s="103">
        <f ca="1">IF(AND(Energy!$F$11=$A$3,Main!$B$43=A98),'Aerodynamics-Cruise'!W35,S98)</f>
        <v>1</v>
      </c>
      <c r="T98" s="103">
        <f ca="1">IF(AND(Energy!$F$11=$A$3,Main!$B$43=A98),'Aerodynamics-Cruise'!BL35,T98)</f>
        <v>16.919023453134844</v>
      </c>
      <c r="U98" s="103">
        <f ca="1">IF(AND(Energy!$F$11=$A$3,Main!$B$43=A98),'Propulsion-Cruise'!M35,U98)</f>
        <v>39.141368654610638</v>
      </c>
      <c r="V98" s="103">
        <f ca="1">IF(AND(Energy!$F$11=$A$3,Main!$B$43=A98),Endurance!AP35,V98)</f>
        <v>382.88601409576893</v>
      </c>
      <c r="W98" s="103">
        <f ca="1">IF(AND(Energy!$F$11=$A$3,Main!$B$43=$A98),Summary!W35,W98)</f>
        <v>134.21360372965637</v>
      </c>
      <c r="X98" s="13">
        <f ca="1">IF(AND(Energy!$F$11=$A$3,Main!$B$43=A98),Energy!D35,X98)</f>
        <v>763.0301797682132</v>
      </c>
      <c r="Y98" s="102">
        <f ca="1">IF(AND(Energy!$F$11=$A$3,Main!$B$43=A98),'Aerodynamics-Cruise'!V35,Y98)</f>
        <v>135000.45186692054</v>
      </c>
      <c r="Z98" s="102">
        <f ca="1">IF(AND(Energy!$F$11=$A$3,Main!$B$43=$A98),Summary!Z35,Z98)</f>
        <v>99050.903910313442</v>
      </c>
      <c r="AA98" s="102">
        <f ca="1">IF(AND(Energy!$F$11=$A$3,Main!$B$43=$A98),Summary!AA35,AA98)</f>
        <v>404296.61638978624</v>
      </c>
      <c r="AB98" s="103">
        <f ca="1">IF(AND(Energy!$F$11=$A$3,Main!$B$43=$A98),Summary!AB35,AB98)</f>
        <v>2.5018354876855096</v>
      </c>
      <c r="AC98" s="103">
        <f ca="1">IF(AND(Energy!$F$11=$A$3,Main!$B$43=$A98),Summary!AC35,AC98)</f>
        <v>2.5981362571593114</v>
      </c>
      <c r="AD98" s="103">
        <f ca="1">IF(AND(Energy!$F$11=$A$3,Main!$B$43=$A98),Summary!AD35,AD98)</f>
        <v>0.37562168619545172</v>
      </c>
      <c r="AE98" s="103">
        <f ca="1">IF(AND(Energy!$F$11=$A$3,Main!$B$43=$A98),Summary!AE35,AE98)</f>
        <v>1.6497076023391812</v>
      </c>
      <c r="AF98" s="103">
        <f ca="1">IF(AND(Energy!$F$11=$A$3,Main!$B$43=$A98),Summary!AF35,AF98)</f>
        <v>19.767206477732799</v>
      </c>
      <c r="AG98" s="103">
        <f ca="1">IF(AND(Energy!$F$11=$A$3,Main!$B$43=$A98),Summary!AG35,AG98)</f>
        <v>9.322289948495623</v>
      </c>
      <c r="AH98" s="103">
        <f ca="1">IF(AND(Energy!$F$11=$A$3,Main!$B$43=$A98),Summary!AH35,AH98)</f>
        <v>47</v>
      </c>
      <c r="AI98" s="103">
        <f ca="1">IF(AND(Energy!$F$11=$A$3,Main!$B$43=$A98),Summary!AI35,AI98)</f>
        <v>2.8036204876326161</v>
      </c>
      <c r="AJ98" s="103">
        <f ca="1">IF(AND(Energy!$F$11=$A$3,Main!$B$43=$A98),Summary!AJ35,AJ98)</f>
        <v>0.31540940381801413</v>
      </c>
      <c r="AK98" s="103">
        <f ca="1">IF(AND(Energy!$F$11=$A$3,Main!$B$43=$A98),Summary!AK35,AK98)</f>
        <v>0.01</v>
      </c>
      <c r="AL98" s="103">
        <f ca="1">IF(AND(Energy!$F$11=$A$3,Main!$B$43=$A98),Summary!AL35,AL98)</f>
        <v>-0.33292773446768609</v>
      </c>
      <c r="AM98" s="103">
        <f ca="1">IF(AND(Energy!$F$11=$A$3,Main!$B$43=$A98),Summary!AM35,AM98)</f>
        <v>0.34375</v>
      </c>
    </row>
    <row r="99" spans="1:39">
      <c r="A99">
        <f t="shared" si="6"/>
        <v>5</v>
      </c>
      <c r="D99" s="1">
        <f ca="1">IF(AND(Energy!$F$11=$A$3,Main!$B$43=A99),Main!C36,D99)</f>
        <v>5.8684210526315796</v>
      </c>
      <c r="E99" s="103">
        <f ca="1">IF(AND(Energy!$F$11=$A$3,Main!$B$43=A99),Main!B36,E99)</f>
        <v>0.28888888888888886</v>
      </c>
      <c r="F99" s="103">
        <f ca="1">IF(Main!$D$6=1,U99,IF(Main!$D$6=2,N99,IF(Main!$D$6=3,K99,IF(Main!$D$6=4,V99,J99))))</f>
        <v>386.7359237280117</v>
      </c>
      <c r="G99" s="103">
        <f ca="1">IF(AND(Energy!$F$11=$A$3,Main!$B$43=A99),Weight!H36,G99)</f>
        <v>10</v>
      </c>
      <c r="H99" s="103">
        <f ca="1">IF(AND(Energy!$F$11=$A$3,Main!$B$43=A99),Weight!U36,H99)</f>
        <v>17.916314873391435</v>
      </c>
      <c r="I99" s="103">
        <f ca="1">IF(AND(Energy!$F$11=$A$3,Main!$B$43=A99),Weight!V36,I99)</f>
        <v>39.730508868854216</v>
      </c>
      <c r="J99" s="103">
        <f ca="1">IF(AND(Energy!$F$11=$A$3,Main!$B$43=A99),Weight!I36,J99)</f>
        <v>11.753835720462783</v>
      </c>
      <c r="K99" s="103">
        <f ca="1">IF(AND(Energy!$F$11=$A$3,Main!$B$43=A99),Weight!W36,K99)</f>
        <v>49.730506487690441</v>
      </c>
      <c r="L99" s="103">
        <f ca="1">IF(AND(Energy!$F$11=$A$3,Main!$B$43=A99),'Aerodynamics-Cruise'!BI36,L99)</f>
        <v>49.730511273217736</v>
      </c>
      <c r="M99" s="103">
        <f ca="1">IF(AND(Energy!$F$11=$A$3,Main!$B$43=A99),'Aerodynamics-Cruise'!BJ36,M99)</f>
        <v>2.3228065479869522</v>
      </c>
      <c r="N99" s="103">
        <f ca="1">IF(AND(Energy!$F$11=$A$3,Main!$B$43=A99),'Aerodynamics-Cruise'!BK36,N99)</f>
        <v>21.409665525661797</v>
      </c>
      <c r="O99" s="103">
        <f t="shared" ca="1" si="5"/>
        <v>150.98066873024962</v>
      </c>
      <c r="P99" s="103">
        <f ca="1">IF(AND(Energy!$F$11=$A$3,Main!$B$43=A99),'Aerodynamics-Cruise'!H36,P99)</f>
        <v>7.3278632797579277</v>
      </c>
      <c r="Q99" s="103">
        <f ca="1">IF(AND(Energy!$F$11=$A$3,Main!$B$43=A99),'Aerodynamics-Cruise'!I36,Q99)</f>
        <v>6.1272196684440656</v>
      </c>
      <c r="R99" s="103">
        <f ca="1">IF(AND(Energy!$F$11=$A$3,Main!$B$43=$A99),Summary!R36,R99)</f>
        <v>21.888774060586826</v>
      </c>
      <c r="S99" s="103">
        <f ca="1">IF(AND(Energy!$F$11=$A$3,Main!$B$43=A99),'Aerodynamics-Cruise'!W36,S99)</f>
        <v>1</v>
      </c>
      <c r="T99" s="103">
        <f ca="1">IF(AND(Energy!$F$11=$A$3,Main!$B$43=A99),'Aerodynamics-Cruise'!BL36,T99)</f>
        <v>17.021208808974858</v>
      </c>
      <c r="U99" s="103">
        <f ca="1">IF(AND(Energy!$F$11=$A$3,Main!$B$43=A99),'Propulsion-Cruise'!M36,U99)</f>
        <v>39.436865566191031</v>
      </c>
      <c r="V99" s="103">
        <f ca="1">IF(AND(Energy!$F$11=$A$3,Main!$B$43=A99),Endurance!AP36,V99)</f>
        <v>386.7359237280117</v>
      </c>
      <c r="W99" s="103">
        <f ca="1">IF(AND(Energy!$F$11=$A$3,Main!$B$43=$A99),Summary!W36,W99)</f>
        <v>137.97288229952511</v>
      </c>
      <c r="X99" s="13">
        <f ca="1">IF(AND(Energy!$F$11=$A$3,Main!$B$43=A99),Energy!D36,X99)</f>
        <v>769.81776809419762</v>
      </c>
      <c r="Y99" s="102">
        <f ca="1">IF(AND(Energy!$F$11=$A$3,Main!$B$43=A99),'Aerodynamics-Cruise'!V36,Y99)</f>
        <v>134262.11175078174</v>
      </c>
      <c r="Z99" s="102">
        <f ca="1">IF(AND(Energy!$F$11=$A$3,Main!$B$43=$A99),Summary!Z36,Z99)</f>
        <v>98513.151187065145</v>
      </c>
      <c r="AA99" s="102">
        <f ca="1">IF(AND(Energy!$F$11=$A$3,Main!$B$43=$A99),Summary!AA36,AA99)</f>
        <v>401049.10760660417</v>
      </c>
      <c r="AB99" s="103">
        <f ca="1">IF(AND(Energy!$F$11=$A$3,Main!$B$43=$A99),Summary!AB36,AB99)</f>
        <v>2.5151944051702091</v>
      </c>
      <c r="AC99" s="103">
        <f ca="1">IF(AND(Energy!$F$11=$A$3,Main!$B$43=$A99),Summary!AC36,AC99)</f>
        <v>2.5408803108630087</v>
      </c>
      <c r="AD99" s="103">
        <f ca="1">IF(AND(Energy!$F$11=$A$3,Main!$B$43=$A99),Summary!AD36,AD99)</f>
        <v>0.37642713360983987</v>
      </c>
      <c r="AE99" s="103">
        <f ca="1">IF(AND(Energy!$F$11=$A$3,Main!$B$43=$A99),Summary!AE36,AE99)</f>
        <v>1.6953216374269007</v>
      </c>
      <c r="AF99" s="103">
        <f ca="1">IF(AND(Energy!$F$11=$A$3,Main!$B$43=$A99),Summary!AF36,AF99)</f>
        <v>20.313765182186238</v>
      </c>
      <c r="AG99" s="103">
        <f ca="1">IF(AND(Energy!$F$11=$A$3,Main!$B$43=$A99),Summary!AG36,AG99)</f>
        <v>9.3728508230267362</v>
      </c>
      <c r="AH99" s="103">
        <f ca="1">IF(AND(Energy!$F$11=$A$3,Main!$B$43=$A99),Summary!AH36,AH99)</f>
        <v>47</v>
      </c>
      <c r="AI99" s="103">
        <f ca="1">IF(AND(Energy!$F$11=$A$3,Main!$B$43=$A99),Summary!AI36,AI99)</f>
        <v>2.803392774135653</v>
      </c>
      <c r="AJ99" s="103">
        <f ca="1">IF(AND(Energy!$F$11=$A$3,Main!$B$43=$A99),Summary!AJ36,AJ99)</f>
        <v>0.31587511930197648</v>
      </c>
      <c r="AK99" s="103">
        <f ca="1">IF(AND(Energy!$F$11=$A$3,Main!$B$43=$A99),Summary!AK36,AK99)</f>
        <v>0.01</v>
      </c>
      <c r="AL99" s="103">
        <f ca="1">IF(AND(Energy!$F$11=$A$3,Main!$B$43=$A99),Summary!AL36,AL99)</f>
        <v>-0.33243608119514262</v>
      </c>
      <c r="AM99" s="103">
        <f ca="1">IF(AND(Energy!$F$11=$A$3,Main!$B$43=$A99),Summary!AM36,AM99)</f>
        <v>0.34375</v>
      </c>
    </row>
    <row r="100" spans="1:39">
      <c r="A100">
        <f t="shared" si="6"/>
        <v>5</v>
      </c>
      <c r="D100" s="1">
        <f ca="1">IF(AND(Energy!$F$11=$A$3,Main!$B$43=A100),Main!C37,D100)</f>
        <v>6.026315789473685</v>
      </c>
      <c r="E100" s="103">
        <f ca="1">IF(AND(Energy!$F$11=$A$3,Main!$B$43=A100),Main!B37,E100)</f>
        <v>0.28888888888888886</v>
      </c>
      <c r="F100" s="103">
        <f ca="1">IF(Main!$D$6=1,U100,IF(Main!$D$6=2,N100,IF(Main!$D$6=3,K100,IF(Main!$D$6=4,V100,J100))))</f>
        <v>391.13050708392467</v>
      </c>
      <c r="G100" s="103">
        <f ca="1">IF(AND(Energy!$F$11=$A$3,Main!$B$43=A100),Weight!H37,G100)</f>
        <v>10</v>
      </c>
      <c r="H100" s="103">
        <f ca="1">IF(AND(Energy!$F$11=$A$3,Main!$B$43=A100),Weight!U37,H100)</f>
        <v>18.540188744383819</v>
      </c>
      <c r="I100" s="103">
        <f ca="1">IF(AND(Energy!$F$11=$A$3,Main!$B$43=A100),Weight!V37,I100)</f>
        <v>40.584045334866431</v>
      </c>
      <c r="J100" s="103">
        <f ca="1">IF(AND(Energy!$F$11=$A$3,Main!$B$43=A100),Weight!I37,J100)</f>
        <v>11.983498315482617</v>
      </c>
      <c r="K100" s="103">
        <f ca="1">IF(AND(Energy!$F$11=$A$3,Main!$B$43=A100),Weight!W37,K100)</f>
        <v>50.584042865714856</v>
      </c>
      <c r="L100" s="103">
        <f ca="1">IF(AND(Energy!$F$11=$A$3,Main!$B$43=A100),'Aerodynamics-Cruise'!BI37,L100)</f>
        <v>50.584047828046756</v>
      </c>
      <c r="M100" s="103">
        <f ca="1">IF(AND(Energy!$F$11=$A$3,Main!$B$43=A100),'Aerodynamics-Cruise'!BJ37,M100)</f>
        <v>2.3517950066065967</v>
      </c>
      <c r="N100" s="103">
        <f ca="1">IF(AND(Energy!$F$11=$A$3,Main!$B$43=A100),'Aerodynamics-Cruise'!BK37,N100)</f>
        <v>21.508697690890347</v>
      </c>
      <c r="O100" s="103">
        <f t="shared" ca="1" si="5"/>
        <v>152.97515616891747</v>
      </c>
      <c r="P100" s="103">
        <f ca="1">IF(AND(Energy!$F$11=$A$3,Main!$B$43=A100),'Aerodynamics-Cruise'!H37,P100)</f>
        <v>7.2930028194157046</v>
      </c>
      <c r="Q100" s="103">
        <f ca="1">IF(AND(Energy!$F$11=$A$3,Main!$B$43=A100),'Aerodynamics-Cruise'!I37,Q100)</f>
        <v>6.0982870537709806</v>
      </c>
      <c r="R100" s="103">
        <f ca="1">IF(AND(Energy!$F$11=$A$3,Main!$B$43=$A100),Summary!R37,R100)</f>
        <v>21.716924785368146</v>
      </c>
      <c r="S100" s="103">
        <f ca="1">IF(AND(Energy!$F$11=$A$3,Main!$B$43=A100),'Aerodynamics-Cruise'!W37,S100)</f>
        <v>1</v>
      </c>
      <c r="T100" s="103">
        <f ca="1">IF(AND(Energy!$F$11=$A$3,Main!$B$43=A100),'Aerodynamics-Cruise'!BL37,T100)</f>
        <v>17.151647613869685</v>
      </c>
      <c r="U100" s="103">
        <f ca="1">IF(AND(Energy!$F$11=$A$3,Main!$B$43=A100),'Propulsion-Cruise'!M37,U100)</f>
        <v>39.78939677546218</v>
      </c>
      <c r="V100" s="103">
        <f ca="1">IF(AND(Energy!$F$11=$A$3,Main!$B$43=A100),Endurance!AP37,V100)</f>
        <v>391.13050708392467</v>
      </c>
      <c r="W100" s="103">
        <f ca="1">IF(AND(Energy!$F$11=$A$3,Main!$B$43=$A100),Summary!W37,W100)</f>
        <v>142.28456837529114</v>
      </c>
      <c r="X100" s="13">
        <f ca="1">IF(AND(Energy!$F$11=$A$3,Main!$B$43=A100),Energy!D37,X100)</f>
        <v>777.6027589530936</v>
      </c>
      <c r="Y100" s="102">
        <f ca="1">IF(AND(Energy!$F$11=$A$3,Main!$B$43=A100),'Aerodynamics-Cruise'!V37,Y100)</f>
        <v>133623.39363562802</v>
      </c>
      <c r="Z100" s="102">
        <f ca="1">IF(AND(Energy!$F$11=$A$3,Main!$B$43=$A100),Summary!Z37,Z100)</f>
        <v>98047.949979874131</v>
      </c>
      <c r="AA100" s="102">
        <f ca="1">IF(AND(Energy!$F$11=$A$3,Main!$B$43=$A100),Summary!AA37,AA100)</f>
        <v>397900.46171723062</v>
      </c>
      <c r="AB100" s="103">
        <f ca="1">IF(AND(Energy!$F$11=$A$3,Main!$B$43=$A100),Summary!AB37,AB100)</f>
        <v>2.5341606357166859</v>
      </c>
      <c r="AC100" s="103">
        <f ca="1">IF(AND(Energy!$F$11=$A$3,Main!$B$43=$A100),Summary!AC37,AC100)</f>
        <v>2.484209224763696</v>
      </c>
      <c r="AD100" s="103">
        <f ca="1">IF(AND(Energy!$F$11=$A$3,Main!$B$43=$A100),Summary!AD37,AD100)</f>
        <v>0.37746682552748101</v>
      </c>
      <c r="AE100" s="103">
        <f ca="1">IF(AND(Energy!$F$11=$A$3,Main!$B$43=$A100),Summary!AE37,AE100)</f>
        <v>1.7409356725146199</v>
      </c>
      <c r="AF100" s="103">
        <f ca="1">IF(AND(Energy!$F$11=$A$3,Main!$B$43=$A100),Summary!AF37,AF100)</f>
        <v>20.86032388663968</v>
      </c>
      <c r="AG100" s="103">
        <f ca="1">IF(AND(Energy!$F$11=$A$3,Main!$B$43=$A100),Summary!AG37,AG100)</f>
        <v>9.4310164681476234</v>
      </c>
      <c r="AH100" s="103">
        <f ca="1">IF(AND(Energy!$F$11=$A$3,Main!$B$43=$A100),Summary!AH37,AH100)</f>
        <v>47</v>
      </c>
      <c r="AI100" s="103">
        <f ca="1">IF(AND(Energy!$F$11=$A$3,Main!$B$43=$A100),Summary!AI37,AI100)</f>
        <v>2.8031941148392567</v>
      </c>
      <c r="AJ100" s="103">
        <f ca="1">IF(AND(Energy!$F$11=$A$3,Main!$B$43=$A100),Summary!AJ37,AJ100)</f>
        <v>0.31626289018309645</v>
      </c>
      <c r="AK100" s="103">
        <f ca="1">IF(AND(Energy!$F$11=$A$3,Main!$B$43=$A100),Summary!AK37,AK100)</f>
        <v>0.01</v>
      </c>
      <c r="AL100" s="103">
        <f ca="1">IF(AND(Energy!$F$11=$A$3,Main!$B$43=$A100),Summary!AL37,AL100)</f>
        <v>-0.33202774967384502</v>
      </c>
      <c r="AM100" s="103">
        <f ca="1">IF(AND(Energy!$F$11=$A$3,Main!$B$43=$A100),Summary!AM37,AM100)</f>
        <v>0.34375</v>
      </c>
    </row>
    <row r="101" spans="1:39">
      <c r="A101">
        <f t="shared" si="6"/>
        <v>5</v>
      </c>
      <c r="D101" s="1">
        <f ca="1">IF(AND(Energy!$F$11=$A$3,Main!$B$43=A101),Main!C38,D101)</f>
        <v>6.1842105263157903</v>
      </c>
      <c r="E101" s="103">
        <f ca="1">IF(AND(Energy!$F$11=$A$3,Main!$B$43=A101),Main!B38,E101)</f>
        <v>0.28888888888888886</v>
      </c>
      <c r="F101" s="103">
        <f ca="1">IF(Main!$D$6=1,U101,IF(Main!$D$6=2,N101,IF(Main!$D$6=3,K101,IF(Main!$D$6=4,V101,J101))))</f>
        <v>396.05067712800241</v>
      </c>
      <c r="G101" s="103">
        <f ca="1">IF(AND(Energy!$F$11=$A$3,Main!$B$43=A101),Weight!H38,G101)</f>
        <v>10</v>
      </c>
      <c r="H101" s="103">
        <f ca="1">IF(AND(Energy!$F$11=$A$3,Main!$B$43=A101),Weight!U38,H101)</f>
        <v>19.183870616802032</v>
      </c>
      <c r="I101" s="103">
        <f ca="1">IF(AND(Energy!$F$11=$A$3,Main!$B$43=A101),Weight!V38,I101)</f>
        <v>41.485773323692811</v>
      </c>
      <c r="J101" s="103">
        <f ca="1">IF(AND(Energy!$F$11=$A$3,Main!$B$43=A101),Weight!I38,J101)</f>
        <v>12.241544431890777</v>
      </c>
      <c r="K101" s="103">
        <f ca="1">IF(AND(Energy!$F$11=$A$3,Main!$B$43=A101),Weight!W38,K101)</f>
        <v>51.485770762811192</v>
      </c>
      <c r="L101" s="103">
        <f ca="1">IF(AND(Energy!$F$11=$A$3,Main!$B$43=A101),'Aerodynamics-Cruise'!BI38,L101)</f>
        <v>51.485775909470298</v>
      </c>
      <c r="M101" s="103">
        <f ca="1">IF(AND(Energy!$F$11=$A$3,Main!$B$43=A101),'Aerodynamics-Cruise'!BJ38,M101)</f>
        <v>2.3831182651194238</v>
      </c>
      <c r="N101" s="103">
        <f ca="1">IF(AND(Energy!$F$11=$A$3,Main!$B$43=A101),'Aerodynamics-Cruise'!BK38,N101)</f>
        <v>21.604373002818733</v>
      </c>
      <c r="O101" s="103">
        <f t="shared" ca="1" si="5"/>
        <v>155.01913095627299</v>
      </c>
      <c r="P101" s="103">
        <f ca="1">IF(AND(Energy!$F$11=$A$3,Main!$B$43=A101),'Aerodynamics-Cruise'!H38,P101)</f>
        <v>7.2631685033808839</v>
      </c>
      <c r="Q101" s="103">
        <f ca="1">IF(AND(Energy!$F$11=$A$3,Main!$B$43=A101),'Aerodynamics-Cruise'!I38,Q101)</f>
        <v>6.0735259116394982</v>
      </c>
      <c r="R101" s="103">
        <f ca="1">IF(AND(Energy!$F$11=$A$3,Main!$B$43=$A101),Summary!R38,R101)</f>
        <v>21.546522781119975</v>
      </c>
      <c r="S101" s="103">
        <f ca="1">IF(AND(Energy!$F$11=$A$3,Main!$B$43=A101),'Aerodynamics-Cruise'!W38,S101)</f>
        <v>1</v>
      </c>
      <c r="T101" s="103">
        <f ca="1">IF(AND(Energy!$F$11=$A$3,Main!$B$43=A101),'Aerodynamics-Cruise'!BL38,T101)</f>
        <v>17.308989523047096</v>
      </c>
      <c r="U101" s="103">
        <f ca="1">IF(AND(Energy!$F$11=$A$3,Main!$B$43=A101),'Propulsion-Cruise'!M38,U101)</f>
        <v>40.196677859280555</v>
      </c>
      <c r="V101" s="103">
        <f ca="1">IF(AND(Energy!$F$11=$A$3,Main!$B$43=A101),Endurance!AP38,V101)</f>
        <v>396.05067712800241</v>
      </c>
      <c r="W101" s="103">
        <f ca="1">IF(AND(Energy!$F$11=$A$3,Main!$B$43=$A101),Summary!W38,W101)</f>
        <v>147.12912693699877</v>
      </c>
      <c r="X101" s="13">
        <f ca="1">IF(AND(Energy!$F$11=$A$3,Main!$B$43=A101),Energy!D38,X101)</f>
        <v>786.34988077816979</v>
      </c>
      <c r="Y101" s="102">
        <f ca="1">IF(AND(Energy!$F$11=$A$3,Main!$B$43=A101),'Aerodynamics-Cruise'!V38,Y101)</f>
        <v>133076.76522287633</v>
      </c>
      <c r="Z101" s="102">
        <f ca="1">IF(AND(Energy!$F$11=$A$3,Main!$B$43=$A101),Summary!Z38,Z101)</f>
        <v>97649.820970220026</v>
      </c>
      <c r="AA101" s="102">
        <f ca="1">IF(AND(Energy!$F$11=$A$3,Main!$B$43=$A101),Summary!AA38,AA101)</f>
        <v>394778.33292422711</v>
      </c>
      <c r="AB101" s="103">
        <f ca="1">IF(AND(Energy!$F$11=$A$3,Main!$B$43=$A101),Summary!AB38,AB101)</f>
        <v>2.5584752762253844</v>
      </c>
      <c r="AC101" s="103">
        <f ca="1">IF(AND(Energy!$F$11=$A$3,Main!$B$43=$A101),Summary!AC38,AC101)</f>
        <v>2.4281965601613571</v>
      </c>
      <c r="AD101" s="103">
        <f ca="1">IF(AND(Energy!$F$11=$A$3,Main!$B$43=$A101),Summary!AD38,AD101)</f>
        <v>0.37872652019421027</v>
      </c>
      <c r="AE101" s="103">
        <f ca="1">IF(AND(Energy!$F$11=$A$3,Main!$B$43=$A101),Summary!AE38,AE101)</f>
        <v>1.7865497076023393</v>
      </c>
      <c r="AF101" s="103">
        <f ca="1">IF(AND(Energy!$F$11=$A$3,Main!$B$43=$A101),Summary!AF38,AF101)</f>
        <v>21.406882591093122</v>
      </c>
      <c r="AG101" s="103">
        <f ca="1">IF(AND(Energy!$F$11=$A$3,Main!$B$43=$A101),Summary!AG38,AG101)</f>
        <v>9.496434958752241</v>
      </c>
      <c r="AH101" s="103">
        <f ca="1">IF(AND(Energy!$F$11=$A$3,Main!$B$43=$A101),Summary!AH38,AH101)</f>
        <v>47</v>
      </c>
      <c r="AI101" s="103">
        <f ca="1">IF(AND(Energy!$F$11=$A$3,Main!$B$43=$A101),Summary!AI38,AI101)</f>
        <v>2.8030226028398459</v>
      </c>
      <c r="AJ101" s="103">
        <f ca="1">IF(AND(Energy!$F$11=$A$3,Main!$B$43=$A101),Summary!AJ38,AJ101)</f>
        <v>0.3165773053161276</v>
      </c>
      <c r="AK101" s="103">
        <f ca="1">IF(AND(Energy!$F$11=$A$3,Main!$B$43=$A101),Summary!AK38,AK101)</f>
        <v>0.01</v>
      </c>
      <c r="AL101" s="103">
        <f ca="1">IF(AND(Energy!$F$11=$A$3,Main!$B$43=$A101),Summary!AL38,AL101)</f>
        <v>-0.33169731850821471</v>
      </c>
      <c r="AM101" s="103">
        <f ca="1">IF(AND(Energy!$F$11=$A$3,Main!$B$43=$A101),Summary!AM38,AM101)</f>
        <v>0.34375</v>
      </c>
    </row>
    <row r="102" spans="1:39">
      <c r="A102">
        <f t="shared" si="6"/>
        <v>5</v>
      </c>
      <c r="D102" s="1">
        <f ca="1">IF(AND(Energy!$F$11=$A$3,Main!$B$43=A102),Main!C39,D102)</f>
        <v>6.3421052631578956</v>
      </c>
      <c r="E102" s="103">
        <f ca="1">IF(AND(Energy!$F$11=$A$3,Main!$B$43=A102),Main!B39,E102)</f>
        <v>0.28888888888888886</v>
      </c>
      <c r="F102" s="103">
        <f ca="1">IF(Main!$D$6=1,U102,IF(Main!$D$6=2,N102,IF(Main!$D$6=3,K102,IF(Main!$D$6=4,V102,J102))))</f>
        <v>401.48234802443824</v>
      </c>
      <c r="G102" s="103">
        <f ca="1">IF(AND(Energy!$F$11=$A$3,Main!$B$43=A102),Weight!H39,G102)</f>
        <v>10</v>
      </c>
      <c r="H102" s="103">
        <f ca="1">IF(AND(Energy!$F$11=$A$3,Main!$B$43=A102),Weight!U39,H102)</f>
        <v>19.847669726170771</v>
      </c>
      <c r="I102" s="103">
        <f ca="1">IF(AND(Energy!$F$11=$A$3,Main!$B$43=A102),Weight!V39,I102)</f>
        <v>42.435230127591431</v>
      </c>
      <c r="J102" s="103">
        <f ca="1">IF(AND(Energy!$F$11=$A$3,Main!$B$43=A102),Weight!I39,J102)</f>
        <v>12.52720212642066</v>
      </c>
      <c r="K102" s="103">
        <f ca="1">IF(AND(Energy!$F$11=$A$3,Main!$B$43=A102),Weight!W39,K102)</f>
        <v>52.435227471322236</v>
      </c>
      <c r="L102" s="103">
        <f ca="1">IF(AND(Energy!$F$11=$A$3,Main!$B$43=A102),'Aerodynamics-Cruise'!BI39,L102)</f>
        <v>52.435232809661215</v>
      </c>
      <c r="M102" s="103">
        <f ca="1">IF(AND(Energy!$F$11=$A$3,Main!$B$43=A102),'Aerodynamics-Cruise'!BJ39,M102)</f>
        <v>2.4167141666341809</v>
      </c>
      <c r="N102" s="103">
        <f ca="1">IF(AND(Energy!$F$11=$A$3,Main!$B$43=A102),'Aerodynamics-Cruise'!BK39,N102)</f>
        <v>21.696911258102606</v>
      </c>
      <c r="O102" s="103">
        <f t="shared" ca="1" si="5"/>
        <v>157.11205638559321</v>
      </c>
      <c r="P102" s="103">
        <f ca="1">IF(AND(Energy!$F$11=$A$3,Main!$B$43=A102),'Aerodynamics-Cruise'!H39,P102)</f>
        <v>7.2380013584093081</v>
      </c>
      <c r="Q102" s="103">
        <f ca="1">IF(AND(Energy!$F$11=$A$3,Main!$B$43=A102),'Aerodynamics-Cruise'!I39,Q102)</f>
        <v>6.0526386340386846</v>
      </c>
      <c r="R102" s="103">
        <f ca="1">IF(AND(Energy!$F$11=$A$3,Main!$B$43=$A102),Summary!R39,R102)</f>
        <v>21.347693590239587</v>
      </c>
      <c r="S102" s="103">
        <f ca="1">IF(AND(Energy!$F$11=$A$3,Main!$B$43=A102),'Aerodynamics-Cruise'!W39,S102)</f>
        <v>1</v>
      </c>
      <c r="T102" s="103">
        <f ca="1">IF(AND(Energy!$F$11=$A$3,Main!$B$43=A102),'Aerodynamics-Cruise'!BL39,T102)</f>
        <v>17.492180420985221</v>
      </c>
      <c r="U102" s="103">
        <f ca="1">IF(AND(Energy!$F$11=$A$3,Main!$B$43=A102),'Propulsion-Cruise'!M39,U102)</f>
        <v>40.656980067611983</v>
      </c>
      <c r="V102" s="103">
        <f ca="1">IF(AND(Energy!$F$11=$A$3,Main!$B$43=A102),Endurance!AP39,V102)</f>
        <v>401.48234802443824</v>
      </c>
      <c r="W102" s="103">
        <f ca="1">IF(AND(Energy!$F$11=$A$3,Main!$B$43=$A102),Summary!W39,W102)</f>
        <v>152.49206551510071</v>
      </c>
      <c r="X102" s="13">
        <f ca="1">IF(AND(Energy!$F$11=$A$3,Main!$B$43=A102),Energy!D39,X102)</f>
        <v>796.03296660784736</v>
      </c>
      <c r="Y102" s="102">
        <f ca="1">IF(AND(Energy!$F$11=$A$3,Main!$B$43=A102),'Aerodynamics-Cruise'!V39,Y102)</f>
        <v>132615.64935572364</v>
      </c>
      <c r="Z102" s="102">
        <f ca="1">IF(AND(Energy!$F$11=$A$3,Main!$B$43=$A102),Summary!Z39,Z102)</f>
        <v>97313.978947842159</v>
      </c>
      <c r="AA102" s="102">
        <f ca="1">IF(AND(Energy!$F$11=$A$3,Main!$B$43=$A102),Summary!AA39,AA102)</f>
        <v>391135.35733555292</v>
      </c>
      <c r="AB102" s="103">
        <f ca="1">IF(AND(Energy!$F$11=$A$3,Main!$B$43=$A102),Summary!AB39,AB102)</f>
        <v>2.5879453665154015</v>
      </c>
      <c r="AC102" s="103">
        <f ca="1">IF(AND(Energy!$F$11=$A$3,Main!$B$43=$A102),Summary!AC39,AC102)</f>
        <v>2.3728988297896718</v>
      </c>
      <c r="AD102" s="103">
        <f ca="1">IF(AND(Energy!$F$11=$A$3,Main!$B$43=$A102),Summary!AD39,AD102)</f>
        <v>0.38019405823165608</v>
      </c>
      <c r="AE102" s="103">
        <f ca="1">IF(AND(Energy!$F$11=$A$3,Main!$B$43=$A102),Summary!AE39,AE102)</f>
        <v>1.8321637426900585</v>
      </c>
      <c r="AF102" s="103">
        <f ca="1">IF(AND(Energy!$F$11=$A$3,Main!$B$43=$A102),Summary!AF39,AF102)</f>
        <v>21.953441295546561</v>
      </c>
      <c r="AG102" s="103">
        <f ca="1">IF(AND(Energy!$F$11=$A$3,Main!$B$43=$A102),Summary!AG39,AG102)</f>
        <v>9.5688224496507353</v>
      </c>
      <c r="AH102" s="103">
        <f ca="1">IF(AND(Energy!$F$11=$A$3,Main!$B$43=$A102),Summary!AH39,AH102)</f>
        <v>47</v>
      </c>
      <c r="AI102" s="103">
        <f ca="1">IF(AND(Energy!$F$11=$A$3,Main!$B$43=$A102),Summary!AI39,AI102)</f>
        <v>2.8028765372061084</v>
      </c>
      <c r="AJ102" s="103">
        <f ca="1">IF(AND(Energy!$F$11=$A$3,Main!$B$43=$A102),Summary!AJ39,AJ102)</f>
        <v>0.31682249715021321</v>
      </c>
      <c r="AK102" s="103">
        <f ca="1">IF(AND(Energy!$F$11=$A$3,Main!$B$43=$A102),Summary!AK39,AK102)</f>
        <v>0.01</v>
      </c>
      <c r="AL102" s="103">
        <f ca="1">IF(AND(Energy!$F$11=$A$3,Main!$B$43=$A102),Summary!AL39,AL102)</f>
        <v>-0.33143999825152326</v>
      </c>
      <c r="AM102" s="103">
        <f ca="1">IF(AND(Energy!$F$11=$A$3,Main!$B$43=$A102),Summary!AM39,AM102)</f>
        <v>0.34375</v>
      </c>
    </row>
    <row r="103" spans="1:39">
      <c r="A103">
        <f t="shared" si="6"/>
        <v>5</v>
      </c>
      <c r="D103" s="1">
        <f ca="1">IF(AND(Energy!$F$11=$A$3,Main!$B$43=A103),Main!C40,D103)</f>
        <v>6.5</v>
      </c>
      <c r="E103" s="103">
        <f ca="1">IF(AND(Energy!$F$11=$A$3,Main!$B$43=A103),Main!B40,E103)</f>
        <v>0.28888888888888886</v>
      </c>
      <c r="F103" s="103">
        <f ca="1">IF(Main!$D$6=1,U103,IF(Main!$D$6=2,N103,IF(Main!$D$6=3,K103,IF(Main!$D$6=4,V103,J103))))</f>
        <v>407.41573110707753</v>
      </c>
      <c r="G103" s="103">
        <f ca="1">IF(AND(Energy!$F$11=$A$3,Main!$B$43=A103),Weight!H40,G103)</f>
        <v>10</v>
      </c>
      <c r="H103" s="103">
        <f ca="1">IF(AND(Energy!$F$11=$A$3,Main!$B$43=A103),Weight!U40,H103)</f>
        <v>20.531928741850834</v>
      </c>
      <c r="I103" s="103">
        <f ca="1">IF(AND(Energy!$F$11=$A$3,Main!$B$43=A103),Weight!V40,I103)</f>
        <v>43.432217316176519</v>
      </c>
      <c r="J103" s="103">
        <f ca="1">IF(AND(Energy!$F$11=$A$3,Main!$B$43=A103),Weight!I40,J103)</f>
        <v>12.839930299325685</v>
      </c>
      <c r="K103" s="103">
        <f ca="1">IF(AND(Energy!$F$11=$A$3,Main!$B$43=A103),Weight!W40,K103)</f>
        <v>53.432214560947806</v>
      </c>
      <c r="L103" s="103">
        <f ca="1">IF(AND(Energy!$F$11=$A$3,Main!$B$43=A103),'Aerodynamics-Cruise'!BI40,L103)</f>
        <v>53.432220098147319</v>
      </c>
      <c r="M103" s="103">
        <f ca="1">IF(AND(Energy!$F$11=$A$3,Main!$B$43=A103),'Aerodynamics-Cruise'!BJ40,M103)</f>
        <v>2.4525370570967806</v>
      </c>
      <c r="N103" s="103">
        <f ca="1">IF(AND(Energy!$F$11=$A$3,Main!$B$43=A103),'Aerodynamics-Cruise'!BK40,N103)</f>
        <v>21.786508767944298</v>
      </c>
      <c r="O103" s="103">
        <f t="shared" ca="1" si="5"/>
        <v>159.2535972160961</v>
      </c>
      <c r="P103" s="103">
        <f ca="1">IF(AND(Energy!$F$11=$A$3,Main!$B$43=A103),'Aerodynamics-Cruise'!H40,P103)</f>
        <v>7.2171867666630627</v>
      </c>
      <c r="Q103" s="103">
        <f ca="1">IF(AND(Energy!$F$11=$A$3,Main!$B$43=A103),'Aerodynamics-Cruise'!I40,Q103)</f>
        <v>6.0353643470434726</v>
      </c>
      <c r="R103" s="103">
        <f ca="1">IF(AND(Energy!$F$11=$A$3,Main!$B$43=$A103),Summary!R40,R103)</f>
        <v>21.155825214447383</v>
      </c>
      <c r="S103" s="103">
        <f ca="1">IF(AND(Energy!$F$11=$A$3,Main!$B$43=A103),'Aerodynamics-Cruise'!W40,S103)</f>
        <v>1</v>
      </c>
      <c r="T103" s="103">
        <f ca="1">IF(AND(Energy!$F$11=$A$3,Main!$B$43=A103),'Aerodynamics-Cruise'!BL40,T103)</f>
        <v>17.700417993229657</v>
      </c>
      <c r="U103" s="103">
        <f ca="1">IF(AND(Energy!$F$11=$A$3,Main!$B$43=A103),'Propulsion-Cruise'!M40,U103)</f>
        <v>41.169050985316417</v>
      </c>
      <c r="V103" s="103">
        <f ca="1">IF(AND(Energy!$F$11=$A$3,Main!$B$43=A103),Endurance!AP40,V103)</f>
        <v>407.41573110707753</v>
      </c>
      <c r="W103" s="103">
        <f ca="1">IF(AND(Energy!$F$11=$A$3,Main!$B$43=$A103),Summary!W40,W103)</f>
        <v>158.36322549909039</v>
      </c>
      <c r="X103" s="13">
        <f ca="1">IF(AND(Energy!$F$11=$A$3,Main!$B$43=A103),Energy!D40,X103)</f>
        <v>806.63367450389183</v>
      </c>
      <c r="Y103" s="102">
        <f ca="1">IF(AND(Energy!$F$11=$A$3,Main!$B$43=A103),'Aerodynamics-Cruise'!V40,Y103)</f>
        <v>132234.2815631775</v>
      </c>
      <c r="Z103" s="102">
        <f ca="1">IF(AND(Energy!$F$11=$A$3,Main!$B$43=$A103),Summary!Z40,Z103)</f>
        <v>97036.2293505977</v>
      </c>
      <c r="AA103" s="102">
        <f ca="1">IF(AND(Energy!$F$11=$A$3,Main!$B$43=$A103),Summary!AA40,AA103)</f>
        <v>387619.9187515371</v>
      </c>
      <c r="AB103" s="103">
        <f ca="1">IF(AND(Energy!$F$11=$A$3,Main!$B$43=$A103),Summary!AB40,AB103)</f>
        <v>2.6224333632303871</v>
      </c>
      <c r="AC103" s="103">
        <f ca="1">IF(AND(Energy!$F$11=$A$3,Main!$B$43=$A103),Summary!AC40,AC103)</f>
        <v>2.3183586910498688</v>
      </c>
      <c r="AD103" s="103">
        <f ca="1">IF(AND(Energy!$F$11=$A$3,Main!$B$43=$A103),Summary!AD40,AD103)</f>
        <v>0.38185905718600854</v>
      </c>
      <c r="AE103" s="103">
        <f ca="1">IF(AND(Energy!$F$11=$A$3,Main!$B$43=$A103),Summary!AE40,AE103)</f>
        <v>1.8777777777777775</v>
      </c>
      <c r="AF103" s="103">
        <f ca="1">IF(AND(Energy!$F$11=$A$3,Main!$B$43=$A103),Summary!AF40,AF103)</f>
        <v>22.500000000000004</v>
      </c>
      <c r="AG103" s="103">
        <f ca="1">IF(AND(Energy!$F$11=$A$3,Main!$B$43=$A103),Summary!AG40,AG103)</f>
        <v>9.6479531627452264</v>
      </c>
      <c r="AH103" s="103">
        <f ca="1">IF(AND(Energy!$F$11=$A$3,Main!$B$43=$A103),Summary!AH40,AH103)</f>
        <v>47</v>
      </c>
      <c r="AI103" s="103">
        <f ca="1">IF(AND(Energy!$F$11=$A$3,Main!$B$43=$A103),Summary!AI40,AI103)</f>
        <v>2.8027543949624083</v>
      </c>
      <c r="AJ103" s="103">
        <f ca="1">IF(AND(Energy!$F$11=$A$3,Main!$B$43=$A103),Summary!AJ40,AJ103)</f>
        <v>0.31700219955155595</v>
      </c>
      <c r="AK103" s="103">
        <f ca="1">IF(AND(Energy!$F$11=$A$3,Main!$B$43=$A103),Summary!AK40,AK103)</f>
        <v>0.01</v>
      </c>
      <c r="AL103" s="103">
        <f ca="1">IF(AND(Energy!$F$11=$A$3,Main!$B$43=$A103),Summary!AL40,AL103)</f>
        <v>-0.33125154468991802</v>
      </c>
      <c r="AM103" s="103">
        <f ca="1">IF(AND(Energy!$F$11=$A$3,Main!$B$43=$A103),Summary!AM40,AM103)</f>
        <v>0.34375</v>
      </c>
    </row>
    <row r="104" spans="1:39">
      <c r="A104" s="7">
        <f>A84+1</f>
        <v>6</v>
      </c>
      <c r="D104" s="1">
        <f ca="1">IF(AND(Energy!$F$11=$A$3,Main!$B$43=A104),Main!C21,D104)</f>
        <v>3.5</v>
      </c>
      <c r="E104" s="103">
        <f ca="1">IF(AND(Energy!$F$11=$A$3,Main!$B$43=A104),Main!B21,E104)</f>
        <v>0.31111111111111106</v>
      </c>
      <c r="F104" s="103">
        <f ca="1">IF(Main!$D$6=1,U104,IF(Main!$D$6=2,N104,IF(Main!$D$6=3,K104,IF(Main!$D$6=4,V104,J104))))</f>
        <v>440.41837687403222</v>
      </c>
      <c r="G104" s="103">
        <f ca="1">IF(AND(Energy!$F$11=$A$3,Main!$B$43=A104),Weight!H21,G104)</f>
        <v>10</v>
      </c>
      <c r="H104" s="103">
        <f ca="1">IF(AND(Energy!$F$11=$A$3,Main!$B$43=A104),Weight!U21,H104)</f>
        <v>11.605794914367749</v>
      </c>
      <c r="I104" s="103">
        <f ca="1">IF(AND(Energy!$F$11=$A$3,Main!$B$43=A104),Weight!V21,I104)</f>
        <v>36.402934146243837</v>
      </c>
      <c r="J104" s="103">
        <f ca="1">IF(AND(Energy!$F$11=$A$3,Main!$B$43=A104),Weight!I21,J104)</f>
        <v>14.736780956876087</v>
      </c>
      <c r="K104" s="103">
        <f ca="1">IF(AND(Energy!$F$11=$A$3,Main!$B$43=A104),Weight!W21,K104)</f>
        <v>46.402934581831758</v>
      </c>
      <c r="L104" s="103">
        <f ca="1">IF(AND(Energy!$F$11=$A$3,Main!$B$43=A104),'Aerodynamics-Cruise'!BI21,L104)</f>
        <v>46.402933706338722</v>
      </c>
      <c r="M104" s="103">
        <f ca="1">IF(AND(Energy!$F$11=$A$3,Main!$B$43=A104),'Aerodynamics-Cruise'!BJ21,M104)</f>
        <v>2.4445358300706967</v>
      </c>
      <c r="N104" s="103">
        <f ca="1">IF(AND(Energy!$F$11=$A$3,Main!$B$43=A104),'Aerodynamics-Cruise'!BK21,N104)</f>
        <v>18.982308680252288</v>
      </c>
      <c r="O104" s="103">
        <f t="shared" ca="1" si="5"/>
        <v>129.30691506677346</v>
      </c>
      <c r="P104" s="103">
        <f ca="1">IF(AND(Energy!$F$11=$A$3,Main!$B$43=A104),'Aerodynamics-Cruise'!H21,P104)</f>
        <v>8.8390837844559993</v>
      </c>
      <c r="Q104" s="103">
        <f ca="1">IF(AND(Energy!$F$11=$A$3,Main!$B$43=A104),'Aerodynamics-Cruise'!I21,Q104)</f>
        <v>7.3717276021053904</v>
      </c>
      <c r="R104" s="103">
        <f ca="1">IF(AND(Energy!$F$11=$A$3,Main!$B$43=$A104),Summary!R21,R104)</f>
        <v>24.814711710133519</v>
      </c>
      <c r="S104" s="103">
        <f ca="1">IF(AND(Energy!$F$11=$A$3,Main!$B$43=A104),'Aerodynamics-Cruise'!W21,S104)</f>
        <v>1</v>
      </c>
      <c r="T104" s="103">
        <f ca="1">IF(AND(Energy!$F$11=$A$3,Main!$B$43=A104),'Aerodynamics-Cruise'!BL21,T104)</f>
        <v>21.60745701609958</v>
      </c>
      <c r="U104" s="103">
        <f ca="1">IF(AND(Energy!$F$11=$A$3,Main!$B$43=A104),'Propulsion-Cruise'!M21,U104)</f>
        <v>46.949642128015675</v>
      </c>
      <c r="V104" s="103">
        <f ca="1">IF(AND(Energy!$F$11=$A$3,Main!$B$43=A104),Endurance!AP21,V104)</f>
        <v>440.41837687403222</v>
      </c>
      <c r="W104" s="103">
        <f ca="1">IF(AND(Energy!$F$11=$A$3,Main!$B$43=$A104),Summary!W21,W104)</f>
        <v>193.97481847470135</v>
      </c>
      <c r="X104" s="13">
        <f ca="1">IF(AND(Energy!$F$11=$A$3,Main!$B$43=A104),Energy!D21,X104)</f>
        <v>870.93229864720058</v>
      </c>
      <c r="Y104" s="102">
        <f ca="1">IF(AND(Energy!$F$11=$A$3,Main!$B$43=A104),'Aerodynamics-Cruise'!V21,Y104)</f>
        <v>174408.66177498427</v>
      </c>
      <c r="Z104" s="102">
        <f ca="1">IF(AND(Energy!$F$11=$A$3,Main!$B$43=$A104),Summary!Z21,Z104)</f>
        <v>127641.67129005908</v>
      </c>
      <c r="AA104" s="102">
        <f ca="1">IF(AND(Energy!$F$11=$A$3,Main!$B$43=$A104),Summary!AA21,AA104)</f>
        <v>489632.27040649421</v>
      </c>
      <c r="AB104" s="103">
        <f ca="1">IF(AND(Energy!$F$11=$A$3,Main!$B$43=$A104),Summary!AB21,AB104)</f>
        <v>3.4375861776264918</v>
      </c>
      <c r="AC104" s="103">
        <f ca="1">IF(AND(Energy!$F$11=$A$3,Main!$B$43=$A104),Summary!AC21,AC104)</f>
        <v>3.1336154736673052</v>
      </c>
      <c r="AD104" s="103">
        <f ca="1">IF(AND(Energy!$F$11=$A$3,Main!$B$43=$A104),Summary!AD21,AD104)</f>
        <v>0.41248528109578864</v>
      </c>
      <c r="AE104" s="103">
        <f ca="1">IF(AND(Energy!$F$11=$A$3,Main!$B$43=$A104),Summary!AE21,AE104)</f>
        <v>1.0888888888888888</v>
      </c>
      <c r="AF104" s="103">
        <f ca="1">IF(AND(Energy!$F$11=$A$3,Main!$B$43=$A104),Summary!AF21,AF104)</f>
        <v>11.250000000000002</v>
      </c>
      <c r="AG104" s="103">
        <f ca="1">IF(AND(Energy!$F$11=$A$3,Main!$B$43=$A104),Summary!AG21,AG104)</f>
        <v>10.23211189370965</v>
      </c>
      <c r="AH104" s="103">
        <f ca="1">IF(AND(Energy!$F$11=$A$3,Main!$B$43=$A104),Summary!AH21,AH104)</f>
        <v>47</v>
      </c>
      <c r="AI104" s="103">
        <f ca="1">IF(AND(Energy!$F$11=$A$3,Main!$B$43=$A104),Summary!AI21,AI104)</f>
        <v>2.817941688779896</v>
      </c>
      <c r="AJ104" s="103">
        <f ca="1">IF(AND(Energy!$F$11=$A$3,Main!$B$43=$A104),Summary!AJ21,AJ104)</f>
        <v>0.29844198571263408</v>
      </c>
      <c r="AK104" s="103">
        <f ca="1">IF(AND(Energy!$F$11=$A$3,Main!$B$43=$A104),Summary!AK21,AK104)</f>
        <v>0.01</v>
      </c>
      <c r="AL104" s="103">
        <f ca="1">IF(AND(Energy!$F$11=$A$3,Main!$B$43=$A104),Summary!AL21,AL104)</f>
        <v>-0.35188877581733002</v>
      </c>
      <c r="AM104" s="103">
        <f ca="1">IF(AND(Energy!$F$11=$A$3,Main!$B$43=$A104),Summary!AM21,AM104)</f>
        <v>0.34375</v>
      </c>
    </row>
    <row r="105" spans="1:39">
      <c r="A105">
        <f>A104</f>
        <v>6</v>
      </c>
      <c r="D105" s="1">
        <f ca="1">IF(AND(Energy!$F$11=$A$3,Main!$B$43=A105),Main!C22,D105)</f>
        <v>3.6578947368421053</v>
      </c>
      <c r="E105" s="103">
        <f ca="1">IF(AND(Energy!$F$11=$A$3,Main!$B$43=A105),Main!B22,E105)</f>
        <v>0.31111111111111106</v>
      </c>
      <c r="F105" s="103">
        <f ca="1">IF(Main!$D$6=1,U105,IF(Main!$D$6=2,N105,IF(Main!$D$6=3,K105,IF(Main!$D$6=4,V105,J105))))</f>
        <v>424.57886474645949</v>
      </c>
      <c r="G105" s="103">
        <f ca="1">IF(AND(Energy!$F$11=$A$3,Main!$B$43=A105),Weight!H22,G105)</f>
        <v>10</v>
      </c>
      <c r="H105" s="103">
        <f ca="1">IF(AND(Energy!$F$11=$A$3,Main!$B$43=A105),Weight!U22,H105)</f>
        <v>11.942911420580558</v>
      </c>
      <c r="I105" s="103">
        <f ca="1">IF(AND(Energy!$F$11=$A$3,Main!$B$43=A105),Weight!V22,I105)</f>
        <v>35.879806750116977</v>
      </c>
      <c r="J105" s="103">
        <f ca="1">IF(AND(Energy!$F$11=$A$3,Main!$B$43=A105),Weight!I22,J105)</f>
        <v>13.876537054536422</v>
      </c>
      <c r="K105" s="103">
        <f ca="1">IF(AND(Energy!$F$11=$A$3,Main!$B$43=A105),Weight!W22,K105)</f>
        <v>45.879806631000051</v>
      </c>
      <c r="L105" s="103">
        <f ca="1">IF(AND(Energy!$F$11=$A$3,Main!$B$43=A105),'Aerodynamics-Cruise'!BI22,L105)</f>
        <v>45.87980687040362</v>
      </c>
      <c r="M105" s="103">
        <f ca="1">IF(AND(Energy!$F$11=$A$3,Main!$B$43=A105),'Aerodynamics-Cruise'!BJ22,M105)</f>
        <v>2.3900789866672838</v>
      </c>
      <c r="N105" s="103">
        <f ca="1">IF(AND(Energy!$F$11=$A$3,Main!$B$43=A105),'Aerodynamics-Cruise'!BK22,N105)</f>
        <v>19.195937509319819</v>
      </c>
      <c r="O105" s="103">
        <f t="shared" ca="1" si="5"/>
        <v>130.02298077050031</v>
      </c>
      <c r="P105" s="103">
        <f ca="1">IF(AND(Energy!$F$11=$A$3,Main!$B$43=A105),'Aerodynamics-Cruise'!H22,P105)</f>
        <v>8.5972327324651534</v>
      </c>
      <c r="Q105" s="103">
        <f ca="1">IF(AND(Energy!$F$11=$A$3,Main!$B$43=A105),'Aerodynamics-Cruise'!I22,Q105)</f>
        <v>7.1714919656632246</v>
      </c>
      <c r="R105" s="103">
        <f ca="1">IF(AND(Energy!$F$11=$A$3,Main!$B$43=$A105),Summary!R22,R105)</f>
        <v>24.517086361361574</v>
      </c>
      <c r="S105" s="103">
        <f ca="1">IF(AND(Energy!$F$11=$A$3,Main!$B$43=A105),'Aerodynamics-Cruise'!W22,S105)</f>
        <v>1</v>
      </c>
      <c r="T105" s="103">
        <f ca="1">IF(AND(Energy!$F$11=$A$3,Main!$B$43=A105),'Aerodynamics-Cruise'!BL22,T105)</f>
        <v>20.548065297353116</v>
      </c>
      <c r="U105" s="103">
        <f ca="1">IF(AND(Energy!$F$11=$A$3,Main!$B$43=A105),'Propulsion-Cruise'!M22,U105)</f>
        <v>45.073399460029833</v>
      </c>
      <c r="V105" s="103">
        <f ca="1">IF(AND(Energy!$F$11=$A$3,Main!$B$43=A105),Endurance!AP22,V105)</f>
        <v>424.57886474645949</v>
      </c>
      <c r="W105" s="103">
        <f ca="1">IF(AND(Energy!$F$11=$A$3,Main!$B$43=$A105),Summary!W22,W105)</f>
        <v>177.82457103490498</v>
      </c>
      <c r="X105" s="13">
        <f ca="1">IF(AND(Energy!$F$11=$A$3,Main!$B$43=A105),Energy!D22,X105)</f>
        <v>841.7721455421779</v>
      </c>
      <c r="Y105" s="102">
        <f ca="1">IF(AND(Energy!$F$11=$A$3,Main!$B$43=A105),'Aerodynamics-Cruise'!V22,Y105)</f>
        <v>169636.57007914889</v>
      </c>
      <c r="Z105" s="102">
        <f ca="1">IF(AND(Energy!$F$11=$A$3,Main!$B$43=$A105),Summary!Z22,Z105)</f>
        <v>124174.41033175646</v>
      </c>
      <c r="AA105" s="102">
        <f ca="1">IF(AND(Energy!$F$11=$A$3,Main!$B$43=$A105),Summary!AA22,AA105)</f>
        <v>483759.66640641546</v>
      </c>
      <c r="AB105" s="103">
        <f ca="1">IF(AND(Energy!$F$11=$A$3,Main!$B$43=$A105),Summary!AB22,AB105)</f>
        <v>3.2096736425090384</v>
      </c>
      <c r="AC105" s="103">
        <f ca="1">IF(AND(Energy!$F$11=$A$3,Main!$B$43=$A105),Summary!AC22,AC105)</f>
        <v>3.1127865121124909</v>
      </c>
      <c r="AD105" s="103">
        <f ca="1">IF(AND(Energy!$F$11=$A$3,Main!$B$43=$A105),Summary!AD22,AD105)</f>
        <v>0.40486097374994151</v>
      </c>
      <c r="AE105" s="103">
        <f ca="1">IF(AND(Energy!$F$11=$A$3,Main!$B$43=$A105),Summary!AE22,AE105)</f>
        <v>1.1380116959064326</v>
      </c>
      <c r="AF105" s="103">
        <f ca="1">IF(AND(Energy!$F$11=$A$3,Main!$B$43=$A105),Summary!AF22,AF105)</f>
        <v>11.757518796992482</v>
      </c>
      <c r="AG105" s="103">
        <f ca="1">IF(AND(Energy!$F$11=$A$3,Main!$B$43=$A105),Summary!AG22,AG105)</f>
        <v>10.004483057020233</v>
      </c>
      <c r="AH105" s="103">
        <f ca="1">IF(AND(Energy!$F$11=$A$3,Main!$B$43=$A105),Summary!AH22,AH105)</f>
        <v>47</v>
      </c>
      <c r="AI105" s="103">
        <f ca="1">IF(AND(Energy!$F$11=$A$3,Main!$B$43=$A105),Summary!AI22,AI105)</f>
        <v>2.816789605575722</v>
      </c>
      <c r="AJ105" s="103">
        <f ca="1">IF(AND(Energy!$F$11=$A$3,Main!$B$43=$A105),Summary!AJ22,AJ105)</f>
        <v>0.29821358735181719</v>
      </c>
      <c r="AK105" s="103">
        <f ca="1">IF(AND(Energy!$F$11=$A$3,Main!$B$43=$A105),Summary!AK22,AK105)</f>
        <v>0.01</v>
      </c>
      <c r="AL105" s="103">
        <f ca="1">IF(AND(Energy!$F$11=$A$3,Main!$B$43=$A105),Summary!AL22,AL105)</f>
        <v>-0.35215422579977834</v>
      </c>
      <c r="AM105" s="103">
        <f ca="1">IF(AND(Energy!$F$11=$A$3,Main!$B$43=$A105),Summary!AM22,AM105)</f>
        <v>0.34375</v>
      </c>
    </row>
    <row r="106" spans="1:39">
      <c r="A106">
        <f t="shared" ref="A106:A123" si="7">A105</f>
        <v>6</v>
      </c>
      <c r="D106" s="1">
        <f ca="1">IF(AND(Energy!$F$11=$A$3,Main!$B$43=A106),Main!C23,D106)</f>
        <v>3.8157894736842106</v>
      </c>
      <c r="E106" s="103">
        <f ca="1">IF(AND(Energy!$F$11=$A$3,Main!$B$43=A106),Main!B23,E106)</f>
        <v>0.31111111111111106</v>
      </c>
      <c r="F106" s="103">
        <f ca="1">IF(Main!$D$6=1,U106,IF(Main!$D$6=2,N106,IF(Main!$D$6=3,K106,IF(Main!$D$6=4,V106,J106))))</f>
        <v>412.45124715498861</v>
      </c>
      <c r="G106" s="103">
        <f ca="1">IF(AND(Energy!$F$11=$A$3,Main!$B$43=A106),Weight!H23,G106)</f>
        <v>10</v>
      </c>
      <c r="H106" s="103">
        <f ca="1">IF(AND(Energy!$F$11=$A$3,Main!$B$43=A106),Weight!U23,H106)</f>
        <v>12.312130331527378</v>
      </c>
      <c r="I106" s="103">
        <f ca="1">IF(AND(Energy!$F$11=$A$3,Main!$B$43=A106),Weight!V23,I106)</f>
        <v>35.587900765907726</v>
      </c>
      <c r="J106" s="103">
        <f ca="1">IF(AND(Energy!$F$11=$A$3,Main!$B$43=A106),Weight!I23,J106)</f>
        <v>13.215412159380351</v>
      </c>
      <c r="K106" s="103">
        <f ca="1">IF(AND(Energy!$F$11=$A$3,Main!$B$43=A106),Weight!W23,K106)</f>
        <v>45.587900419899277</v>
      </c>
      <c r="L106" s="103">
        <f ca="1">IF(AND(Energy!$F$11=$A$3,Main!$B$43=A106),'Aerodynamics-Cruise'!BI23,L106)</f>
        <v>45.58790111533002</v>
      </c>
      <c r="M106" s="103">
        <f ca="1">IF(AND(Energy!$F$11=$A$3,Main!$B$43=A106),'Aerodynamics-Cruise'!BJ23,M106)</f>
        <v>2.349662210770239</v>
      </c>
      <c r="N106" s="103">
        <f ca="1">IF(AND(Energy!$F$11=$A$3,Main!$B$43=A106),'Aerodynamics-Cruise'!BK23,N106)</f>
        <v>19.401895687970367</v>
      </c>
      <c r="O106" s="103">
        <f t="shared" ca="1" si="5"/>
        <v>130.99929671757198</v>
      </c>
      <c r="P106" s="103">
        <f ca="1">IF(AND(Energy!$F$11=$A$3,Main!$B$43=A106),'Aerodynamics-Cruise'!H23,P106)</f>
        <v>8.3905728186422852</v>
      </c>
      <c r="Q106" s="103">
        <f ca="1">IF(AND(Energy!$F$11=$A$3,Main!$B$43=A106),'Aerodynamics-Cruise'!I23,Q106)</f>
        <v>7.0003599546655</v>
      </c>
      <c r="R106" s="103">
        <f ca="1">IF(AND(Energy!$F$11=$A$3,Main!$B$43=$A106),Summary!R23,R106)</f>
        <v>24.232466137705153</v>
      </c>
      <c r="S106" s="103">
        <f ca="1">IF(AND(Energy!$F$11=$A$3,Main!$B$43=A106),'Aerodynamics-Cruise'!W23,S106)</f>
        <v>1</v>
      </c>
      <c r="T106" s="103">
        <f ca="1">IF(AND(Energy!$F$11=$A$3,Main!$B$43=A106),'Aerodynamics-Cruise'!BL23,T106)</f>
        <v>19.715011878679707</v>
      </c>
      <c r="U106" s="103">
        <f ca="1">IF(AND(Energy!$F$11=$A$3,Main!$B$43=A106),'Propulsion-Cruise'!M23,U106)</f>
        <v>43.610507213248361</v>
      </c>
      <c r="V106" s="103">
        <f ca="1">IF(AND(Energy!$F$11=$A$3,Main!$B$43=A106),Endurance!AP23,V106)</f>
        <v>412.45124715498861</v>
      </c>
      <c r="W106" s="103">
        <f ca="1">IF(AND(Energy!$F$11=$A$3,Main!$B$43=$A106),Summary!W23,W106)</f>
        <v>165.41259686630451</v>
      </c>
      <c r="X106" s="13">
        <f ca="1">IF(AND(Energy!$F$11=$A$3,Main!$B$43=A106),Energy!D23,X106)</f>
        <v>819.36164303698979</v>
      </c>
      <c r="Y106" s="102">
        <f ca="1">IF(AND(Energy!$F$11=$A$3,Main!$B$43=A106),'Aerodynamics-Cruise'!V23,Y106)</f>
        <v>165558.85344116835</v>
      </c>
      <c r="Z106" s="102">
        <f ca="1">IF(AND(Energy!$F$11=$A$3,Main!$B$43=$A106),Summary!Z23,Z106)</f>
        <v>121211.10878665179</v>
      </c>
      <c r="AA106" s="102">
        <f ca="1">IF(AND(Energy!$F$11=$A$3,Main!$B$43=$A106),Summary!AA23,AA106)</f>
        <v>478143.67344464402</v>
      </c>
      <c r="AB106" s="103">
        <f ca="1">IF(AND(Energy!$F$11=$A$3,Main!$B$43=$A106),Summary!AB23,AB106)</f>
        <v>3.0332931287807141</v>
      </c>
      <c r="AC106" s="103">
        <f ca="1">IF(AND(Energy!$F$11=$A$3,Main!$B$43=$A106),Summary!AC23,AC106)</f>
        <v>3.0816256984953836</v>
      </c>
      <c r="AD106" s="103">
        <f ca="1">IF(AND(Energy!$F$11=$A$3,Main!$B$43=$A106),Summary!AD23,AD106)</f>
        <v>0.39868105911113638</v>
      </c>
      <c r="AE106" s="103">
        <f ca="1">IF(AND(Energy!$F$11=$A$3,Main!$B$43=$A106),Summary!AE23,AE106)</f>
        <v>1.1871345029239764</v>
      </c>
      <c r="AF106" s="103">
        <f ca="1">IF(AND(Energy!$F$11=$A$3,Main!$B$43=$A106),Summary!AF23,AF106)</f>
        <v>12.265037593984966</v>
      </c>
      <c r="AG106" s="103">
        <f ca="1">IF(AND(Energy!$F$11=$A$3,Main!$B$43=$A106),Summary!AG23,AG106)</f>
        <v>9.8266615802093522</v>
      </c>
      <c r="AH106" s="103">
        <f ca="1">IF(AND(Energy!$F$11=$A$3,Main!$B$43=$A106),Summary!AH23,AH106)</f>
        <v>47</v>
      </c>
      <c r="AI106" s="103">
        <f ca="1">IF(AND(Energy!$F$11=$A$3,Main!$B$43=$A106),Summary!AI23,AI106)</f>
        <v>2.8157789605960368</v>
      </c>
      <c r="AJ106" s="103">
        <f ca="1">IF(AND(Energy!$F$11=$A$3,Main!$B$43=$A106),Summary!AJ23,AJ106)</f>
        <v>0.29922595920229417</v>
      </c>
      <c r="AK106" s="103">
        <f ca="1">IF(AND(Energy!$F$11=$A$3,Main!$B$43=$A106),Summary!AK23,AK106)</f>
        <v>0.01</v>
      </c>
      <c r="AL106" s="103">
        <f ca="1">IF(AND(Energy!$F$11=$A$3,Main!$B$43=$A106),Summary!AL23,AL106)</f>
        <v>-0.35095930977757261</v>
      </c>
      <c r="AM106" s="103">
        <f ca="1">IF(AND(Energy!$F$11=$A$3,Main!$B$43=$A106),Summary!AM23,AM106)</f>
        <v>0.34375</v>
      </c>
    </row>
    <row r="107" spans="1:39">
      <c r="A107">
        <f t="shared" si="7"/>
        <v>6</v>
      </c>
      <c r="D107" s="1">
        <f ca="1">IF(AND(Energy!$F$11=$A$3,Main!$B$43=A107),Main!C24,D107)</f>
        <v>3.9736842105263159</v>
      </c>
      <c r="E107" s="103">
        <f ca="1">IF(AND(Energy!$F$11=$A$3,Main!$B$43=A107),Main!B24,E107)</f>
        <v>0.31111111111111106</v>
      </c>
      <c r="F107" s="103">
        <f ca="1">IF(Main!$D$6=1,U107,IF(Main!$D$6=2,N107,IF(Main!$D$6=3,K107,IF(Main!$D$6=4,V107,J107))))</f>
        <v>403.14180002120816</v>
      </c>
      <c r="G107" s="103">
        <f ca="1">IF(AND(Energy!$F$11=$A$3,Main!$B$43=A107),Weight!H24,G107)</f>
        <v>10</v>
      </c>
      <c r="H107" s="103">
        <f ca="1">IF(AND(Energy!$F$11=$A$3,Main!$B$43=A107),Weight!U24,H107)</f>
        <v>12.709389097315906</v>
      </c>
      <c r="I107" s="103">
        <f ca="1">IF(AND(Energy!$F$11=$A$3,Main!$B$43=A107),Weight!V24,I107)</f>
        <v>35.475342632135572</v>
      </c>
      <c r="J107" s="103">
        <f ca="1">IF(AND(Energy!$F$11=$A$3,Main!$B$43=A107),Weight!I24,J107)</f>
        <v>12.705595259819665</v>
      </c>
      <c r="K107" s="103">
        <f ca="1">IF(AND(Energy!$F$11=$A$3,Main!$B$43=A107),Weight!W24,K107)</f>
        <v>45.475342290421437</v>
      </c>
      <c r="L107" s="103">
        <f ca="1">IF(AND(Energy!$F$11=$A$3,Main!$B$43=A107),'Aerodynamics-Cruise'!BI24,L107)</f>
        <v>45.475342977222567</v>
      </c>
      <c r="M107" s="103">
        <f ca="1">IF(AND(Energy!$F$11=$A$3,Main!$B$43=A107),'Aerodynamics-Cruise'!BJ24,M107)</f>
        <v>2.3201105621014824</v>
      </c>
      <c r="N107" s="103">
        <f ca="1">IF(AND(Energy!$F$11=$A$3,Main!$B$43=A107),'Aerodynamics-Cruise'!BK24,N107)</f>
        <v>19.60050685517006</v>
      </c>
      <c r="O107" s="103">
        <f t="shared" ca="1" si="5"/>
        <v>132.17681834115345</v>
      </c>
      <c r="P107" s="103">
        <f ca="1">IF(AND(Energy!$F$11=$A$3,Main!$B$43=A107),'Aerodynamics-Cruise'!H24,P107)</f>
        <v>8.2119509044263399</v>
      </c>
      <c r="Q107" s="103">
        <f ca="1">IF(AND(Energy!$F$11=$A$3,Main!$B$43=A107),'Aerodynamics-Cruise'!I24,Q107)</f>
        <v>6.8524211681804985</v>
      </c>
      <c r="R107" s="103">
        <f ca="1">IF(AND(Energy!$F$11=$A$3,Main!$B$43=$A107),Summary!R24,R107)</f>
        <v>23.959884723417549</v>
      </c>
      <c r="S107" s="103">
        <f ca="1">IF(AND(Energy!$F$11=$A$3,Main!$B$43=A107),'Aerodynamics-Cruise'!W24,S107)</f>
        <v>1</v>
      </c>
      <c r="T107" s="103">
        <f ca="1">IF(AND(Energy!$F$11=$A$3,Main!$B$43=A107),'Aerodynamics-Cruise'!BL24,T107)</f>
        <v>19.052634028818371</v>
      </c>
      <c r="U107" s="103">
        <f ca="1">IF(AND(Energy!$F$11=$A$3,Main!$B$43=A107),'Propulsion-Cruise'!M24,U107)</f>
        <v>42.460728168032922</v>
      </c>
      <c r="V107" s="103">
        <f ca="1">IF(AND(Energy!$F$11=$A$3,Main!$B$43=A107),Endurance!AP24,V107)</f>
        <v>403.14180002120816</v>
      </c>
      <c r="W107" s="103">
        <f ca="1">IF(AND(Energy!$F$11=$A$3,Main!$B$43=$A107),Summary!W24,W107)</f>
        <v>155.84128822629788</v>
      </c>
      <c r="X107" s="13">
        <f ca="1">IF(AND(Energy!$F$11=$A$3,Main!$B$43=A107),Energy!D24,X107)</f>
        <v>802.0801133728055</v>
      </c>
      <c r="Y107" s="102">
        <f ca="1">IF(AND(Energy!$F$11=$A$3,Main!$B$43=A107),'Aerodynamics-Cruise'!V24,Y107)</f>
        <v>162034.36948086543</v>
      </c>
      <c r="Z107" s="102">
        <f ca="1">IF(AND(Energy!$F$11=$A$3,Main!$B$43=$A107),Summary!Z24,Z107)</f>
        <v>118649.42130167452</v>
      </c>
      <c r="AA107" s="102">
        <f ca="1">IF(AND(Energy!$F$11=$A$3,Main!$B$43=$A107),Summary!AA24,AA107)</f>
        <v>472765.22463140427</v>
      </c>
      <c r="AB107" s="103">
        <f ca="1">IF(AND(Energy!$F$11=$A$3,Main!$B$43=$A107),Summary!AB24,AB107)</f>
        <v>2.8947662714529803</v>
      </c>
      <c r="AC107" s="103">
        <f ca="1">IF(AND(Energy!$F$11=$A$3,Main!$B$43=$A107),Summary!AC24,AC107)</f>
        <v>3.0430747503774036</v>
      </c>
      <c r="AD107" s="103">
        <f ca="1">IF(AND(Energy!$F$11=$A$3,Main!$B$43=$A107),Summary!AD24,AD107)</f>
        <v>0.39364315999242561</v>
      </c>
      <c r="AE107" s="103">
        <f ca="1">IF(AND(Energy!$F$11=$A$3,Main!$B$43=$A107),Summary!AE24,AE107)</f>
        <v>1.2362573099415204</v>
      </c>
      <c r="AF107" s="103">
        <f ca="1">IF(AND(Energy!$F$11=$A$3,Main!$B$43=$A107),Summary!AF24,AF107)</f>
        <v>12.772556390977444</v>
      </c>
      <c r="AG107" s="103">
        <f ca="1">IF(AND(Energy!$F$11=$A$3,Main!$B$43=$A107),Summary!AG24,AG107)</f>
        <v>9.6873254908613244</v>
      </c>
      <c r="AH107" s="103">
        <f ca="1">IF(AND(Energy!$F$11=$A$3,Main!$B$43=$A107),Summary!AH24,AH107)</f>
        <v>47</v>
      </c>
      <c r="AI107" s="103">
        <f ca="1">IF(AND(Energy!$F$11=$A$3,Main!$B$43=$A107),Summary!AI24,AI107)</f>
        <v>2.814885110588889</v>
      </c>
      <c r="AJ107" s="103">
        <f ca="1">IF(AND(Energy!$F$11=$A$3,Main!$B$43=$A107),Summary!AJ24,AJ107)</f>
        <v>0.3012629828889285</v>
      </c>
      <c r="AK107" s="103">
        <f ca="1">IF(AND(Energy!$F$11=$A$3,Main!$B$43=$A107),Summary!AK24,AK107)</f>
        <v>0.01</v>
      </c>
      <c r="AL107" s="103">
        <f ca="1">IF(AND(Energy!$F$11=$A$3,Main!$B$43=$A107),Summary!AL24,AL107)</f>
        <v>-0.34858328956750623</v>
      </c>
      <c r="AM107" s="103">
        <f ca="1">IF(AND(Energy!$F$11=$A$3,Main!$B$43=$A107),Summary!AM24,AM107)</f>
        <v>0.34375</v>
      </c>
    </row>
    <row r="108" spans="1:39">
      <c r="A108">
        <f t="shared" si="7"/>
        <v>6</v>
      </c>
      <c r="D108" s="1">
        <f ca="1">IF(AND(Energy!$F$11=$A$3,Main!$B$43=A108),Main!C25,D108)</f>
        <v>4.1315789473684212</v>
      </c>
      <c r="E108" s="103">
        <f ca="1">IF(AND(Energy!$F$11=$A$3,Main!$B$43=A108),Main!B25,E108)</f>
        <v>0.31111111111111106</v>
      </c>
      <c r="F108" s="103">
        <f ca="1">IF(Main!$D$6=1,U108,IF(Main!$D$6=2,N108,IF(Main!$D$6=3,K108,IF(Main!$D$6=4,V108,J108))))</f>
        <v>396.17736195606227</v>
      </c>
      <c r="G108" s="103">
        <f ca="1">IF(AND(Energy!$F$11=$A$3,Main!$B$43=A108),Weight!H25,G108)</f>
        <v>10</v>
      </c>
      <c r="H108" s="103">
        <f ca="1">IF(AND(Energy!$F$11=$A$3,Main!$B$43=A108),Weight!U25,H108)</f>
        <v>13.133178044568645</v>
      </c>
      <c r="I108" s="103">
        <f ca="1">IF(AND(Energy!$F$11=$A$3,Main!$B$43=A108),Weight!V25,I108)</f>
        <v>35.515395399486074</v>
      </c>
      <c r="J108" s="103">
        <f ca="1">IF(AND(Energy!$F$11=$A$3,Main!$B$43=A108),Weight!I25,J108)</f>
        <v>12.321859079917429</v>
      </c>
      <c r="K108" s="103">
        <f ca="1">IF(AND(Energy!$F$11=$A$3,Main!$B$43=A108),Weight!W25,K108)</f>
        <v>45.51539505711299</v>
      </c>
      <c r="L108" s="103">
        <f ca="1">IF(AND(Energy!$F$11=$A$3,Main!$B$43=A108),'Aerodynamics-Cruise'!BI25,L108)</f>
        <v>45.515395745239367</v>
      </c>
      <c r="M108" s="103">
        <f ca="1">IF(AND(Energy!$F$11=$A$3,Main!$B$43=A108),'Aerodynamics-Cruise'!BJ25,M108)</f>
        <v>2.2999455815130609</v>
      </c>
      <c r="N108" s="103">
        <f ca="1">IF(AND(Energy!$F$11=$A$3,Main!$B$43=A108),'Aerodynamics-Cruise'!BK25,N108)</f>
        <v>19.789770728095331</v>
      </c>
      <c r="O108" s="103">
        <f t="shared" ca="1" si="5"/>
        <v>133.51188401033934</v>
      </c>
      <c r="P108" s="103">
        <f ca="1">IF(AND(Energy!$F$11=$A$3,Main!$B$43=A108),'Aerodynamics-Cruise'!H25,P108)</f>
        <v>8.0569857931442819</v>
      </c>
      <c r="Q108" s="103">
        <f ca="1">IF(AND(Energy!$F$11=$A$3,Main!$B$43=A108),'Aerodynamics-Cruise'!I25,Q108)</f>
        <v>6.7240568031455474</v>
      </c>
      <c r="R108" s="103">
        <f ca="1">IF(AND(Energy!$F$11=$A$3,Main!$B$43=$A108),Summary!R25,R108)</f>
        <v>23.698593902321992</v>
      </c>
      <c r="S108" s="103">
        <f ca="1">IF(AND(Energy!$F$11=$A$3,Main!$B$43=A108),'Aerodynamics-Cruise'!W25,S108)</f>
        <v>1</v>
      </c>
      <c r="T108" s="103">
        <f ca="1">IF(AND(Energy!$F$11=$A$3,Main!$B$43=A108),'Aerodynamics-Cruise'!BL25,T108)</f>
        <v>18.530628875255697</v>
      </c>
      <c r="U108" s="103">
        <f ca="1">IF(AND(Energy!$F$11=$A$3,Main!$B$43=A108),'Propulsion-Cruise'!M25,U108)</f>
        <v>41.570689343024171</v>
      </c>
      <c r="V108" s="103">
        <f ca="1">IF(AND(Energy!$F$11=$A$3,Main!$B$43=A108),Endurance!AP25,V108)</f>
        <v>396.17736195606227</v>
      </c>
      <c r="W108" s="103">
        <f ca="1">IF(AND(Energy!$F$11=$A$3,Main!$B$43=$A108),Summary!W25,W108)</f>
        <v>148.63702043241295</v>
      </c>
      <c r="X108" s="13">
        <f ca="1">IF(AND(Energy!$F$11=$A$3,Main!$B$43=A108),Energy!D25,X108)</f>
        <v>789.07240760077138</v>
      </c>
      <c r="Y108" s="102">
        <f ca="1">IF(AND(Energy!$F$11=$A$3,Main!$B$43=A108),'Aerodynamics-Cruise'!V25,Y108)</f>
        <v>158976.67047726008</v>
      </c>
      <c r="Z108" s="102">
        <f ca="1">IF(AND(Energy!$F$11=$A$3,Main!$B$43=$A108),Summary!Z25,Z108)</f>
        <v>116426.68401394854</v>
      </c>
      <c r="AA108" s="102">
        <f ca="1">IF(AND(Energy!$F$11=$A$3,Main!$B$43=$A108),Summary!AA25,AA108)</f>
        <v>467609.55651549587</v>
      </c>
      <c r="AB108" s="103">
        <f ca="1">IF(AND(Energy!$F$11=$A$3,Main!$B$43=$A108),Summary!AB25,AB108)</f>
        <v>2.7861241192038357</v>
      </c>
      <c r="AC108" s="103">
        <f ca="1">IF(AND(Energy!$F$11=$A$3,Main!$B$43=$A108),Summary!AC25,AC108)</f>
        <v>2.9987367970616097</v>
      </c>
      <c r="AD108" s="103">
        <f ca="1">IF(AND(Energy!$F$11=$A$3,Main!$B$43=$A108),Summary!AD25,AD108)</f>
        <v>0.38958599032136709</v>
      </c>
      <c r="AE108" s="103">
        <f ca="1">IF(AND(Energy!$F$11=$A$3,Main!$B$43=$A108),Summary!AE25,AE108)</f>
        <v>1.2853801169590642</v>
      </c>
      <c r="AF108" s="103">
        <f ca="1">IF(AND(Energy!$F$11=$A$3,Main!$B$43=$A108),Summary!AF25,AF108)</f>
        <v>13.280075187969928</v>
      </c>
      <c r="AG108" s="103">
        <f ca="1">IF(AND(Energy!$F$11=$A$3,Main!$B$43=$A108),Summary!AG25,AG108)</f>
        <v>9.5807051095058142</v>
      </c>
      <c r="AH108" s="103">
        <f ca="1">IF(AND(Energy!$F$11=$A$3,Main!$B$43=$A108),Summary!AH25,AH108)</f>
        <v>47</v>
      </c>
      <c r="AI108" s="103">
        <f ca="1">IF(AND(Energy!$F$11=$A$3,Main!$B$43=$A108),Summary!AI25,AI108)</f>
        <v>2.8140935444234407</v>
      </c>
      <c r="AJ108" s="103">
        <f ca="1">IF(AND(Energy!$F$11=$A$3,Main!$B$43=$A108),Summary!AJ25,AJ108)</f>
        <v>0.30306848092928274</v>
      </c>
      <c r="AK108" s="103">
        <f ca="1">IF(AND(Energy!$F$11=$A$3,Main!$B$43=$A108),Summary!AK25,AK108)</f>
        <v>0.01</v>
      </c>
      <c r="AL108" s="103">
        <f ca="1">IF(AND(Energy!$F$11=$A$3,Main!$B$43=$A108),Summary!AL25,AL108)</f>
        <v>-0.34650400235873036</v>
      </c>
      <c r="AM108" s="103">
        <f ca="1">IF(AND(Energy!$F$11=$A$3,Main!$B$43=$A108),Summary!AM25,AM108)</f>
        <v>0.34375</v>
      </c>
    </row>
    <row r="109" spans="1:39">
      <c r="A109">
        <f t="shared" si="7"/>
        <v>6</v>
      </c>
      <c r="D109" s="1">
        <f ca="1">IF(AND(Energy!$F$11=$A$3,Main!$B$43=A109),Main!C26,D109)</f>
        <v>4.2894736842105265</v>
      </c>
      <c r="E109" s="103">
        <f ca="1">IF(AND(Energy!$F$11=$A$3,Main!$B$43=A109),Main!B26,E109)</f>
        <v>0.31111111111111106</v>
      </c>
      <c r="F109" s="103">
        <f ca="1">IF(Main!$D$6=1,U109,IF(Main!$D$6=2,N109,IF(Main!$D$6=3,K109,IF(Main!$D$6=4,V109,J109))))</f>
        <v>391.10607514770675</v>
      </c>
      <c r="G109" s="103">
        <f ca="1">IF(AND(Energy!$F$11=$A$3,Main!$B$43=A109),Weight!H26,G109)</f>
        <v>10</v>
      </c>
      <c r="H109" s="103">
        <f ca="1">IF(AND(Energy!$F$11=$A$3,Main!$B$43=A109),Weight!U26,H109)</f>
        <v>13.581564600310116</v>
      </c>
      <c r="I109" s="103">
        <f ca="1">IF(AND(Energy!$F$11=$A$3,Main!$B$43=A109),Weight!V26,I109)</f>
        <v>35.681932227489895</v>
      </c>
      <c r="J109" s="103">
        <f ca="1">IF(AND(Energy!$F$11=$A$3,Main!$B$43=A109),Weight!I26,J109)</f>
        <v>12.040009352179784</v>
      </c>
      <c r="K109" s="103">
        <f ca="1">IF(AND(Energy!$F$11=$A$3,Main!$B$43=A109),Weight!W26,K109)</f>
        <v>45.681931880885209</v>
      </c>
      <c r="L109" s="103">
        <f ca="1">IF(AND(Energy!$F$11=$A$3,Main!$B$43=A109),'Aerodynamics-Cruise'!BI26,L109)</f>
        <v>45.681932577517202</v>
      </c>
      <c r="M109" s="103">
        <f ca="1">IF(AND(Energy!$F$11=$A$3,Main!$B$43=A109),'Aerodynamics-Cruise'!BJ26,M109)</f>
        <v>2.2874985446993303</v>
      </c>
      <c r="N109" s="103">
        <f ca="1">IF(AND(Energy!$F$11=$A$3,Main!$B$43=A109),'Aerodynamics-Cruise'!BK26,N109)</f>
        <v>19.970256454751823</v>
      </c>
      <c r="O109" s="103">
        <f t="shared" ca="1" si="5"/>
        <v>134.97578945753204</v>
      </c>
      <c r="P109" s="103">
        <f ca="1">IF(AND(Energy!$F$11=$A$3,Main!$B$43=A109),'Aerodynamics-Cruise'!H26,P109)</f>
        <v>7.9217019081369813</v>
      </c>
      <c r="Q109" s="103">
        <f ca="1">IF(AND(Energy!$F$11=$A$3,Main!$B$43=A109),'Aerodynamics-Cruise'!I26,Q109)</f>
        <v>6.6119808376376774</v>
      </c>
      <c r="R109" s="103">
        <f ca="1">IF(AND(Energy!$F$11=$A$3,Main!$B$43=$A109),Summary!R26,R109)</f>
        <v>23.447761065070281</v>
      </c>
      <c r="S109" s="103">
        <f ca="1">IF(AND(Energy!$F$11=$A$3,Main!$B$43=A109),'Aerodynamics-Cruise'!W26,S109)</f>
        <v>1</v>
      </c>
      <c r="T109" s="103">
        <f ca="1">IF(AND(Energy!$F$11=$A$3,Main!$B$43=A109),'Aerodynamics-Cruise'!BL26,T109)</f>
        <v>18.120881586405254</v>
      </c>
      <c r="U109" s="103">
        <f ca="1">IF(AND(Energy!$F$11=$A$3,Main!$B$43=A109),'Propulsion-Cruise'!M26,U109)</f>
        <v>40.889644411689481</v>
      </c>
      <c r="V109" s="103">
        <f ca="1">IF(AND(Energy!$F$11=$A$3,Main!$B$43=A109),Endurance!AP26,V109)</f>
        <v>391.10607514770675</v>
      </c>
      <c r="W109" s="103">
        <f ca="1">IF(AND(Energy!$F$11=$A$3,Main!$B$43=$A109),Summary!W26,W109)</f>
        <v>143.34557005039306</v>
      </c>
      <c r="X109" s="13">
        <f ca="1">IF(AND(Energy!$F$11=$A$3,Main!$B$43=A109),Energy!D26,X109)</f>
        <v>779.51840003470625</v>
      </c>
      <c r="Y109" s="102">
        <f ca="1">IF(AND(Energy!$F$11=$A$3,Main!$B$43=A109),'Aerodynamics-Cruise'!V26,Y109)</f>
        <v>156307.31221352954</v>
      </c>
      <c r="Z109" s="102">
        <f ca="1">IF(AND(Energy!$F$11=$A$3,Main!$B$43=$A109),Summary!Z26,Z109)</f>
        <v>114485.99583049197</v>
      </c>
      <c r="AA109" s="102">
        <f ca="1">IF(AND(Energy!$F$11=$A$3,Main!$B$43=$A109),Summary!AA26,AA109)</f>
        <v>462660.24043918197</v>
      </c>
      <c r="AB109" s="103">
        <f ca="1">IF(AND(Energy!$F$11=$A$3,Main!$B$43=$A109),Summary!AB26,AB109)</f>
        <v>2.7008736061233281</v>
      </c>
      <c r="AC109" s="103">
        <f ca="1">IF(AND(Energy!$F$11=$A$3,Main!$B$43=$A109),Summary!AC26,AC109)</f>
        <v>2.9502048877514477</v>
      </c>
      <c r="AD109" s="103">
        <f ca="1">IF(AND(Energy!$F$11=$A$3,Main!$B$43=$A109),Summary!AD26,AD109)</f>
        <v>0.38634338818224878</v>
      </c>
      <c r="AE109" s="103">
        <f ca="1">IF(AND(Energy!$F$11=$A$3,Main!$B$43=$A109),Summary!AE26,AE109)</f>
        <v>1.334502923976608</v>
      </c>
      <c r="AF109" s="103">
        <f ca="1">IF(AND(Energy!$F$11=$A$3,Main!$B$43=$A109),Summary!AF26,AF109)</f>
        <v>13.78759398496241</v>
      </c>
      <c r="AG109" s="103">
        <f ca="1">IF(AND(Energy!$F$11=$A$3,Main!$B$43=$A109),Summary!AG26,AG109)</f>
        <v>9.5008353144737949</v>
      </c>
      <c r="AH109" s="103">
        <f ca="1">IF(AND(Energy!$F$11=$A$3,Main!$B$43=$A109),Summary!AH26,AH109)</f>
        <v>47</v>
      </c>
      <c r="AI109" s="103">
        <f ca="1">IF(AND(Energy!$F$11=$A$3,Main!$B$43=$A109),Summary!AI26,AI109)</f>
        <v>2.8133897501395233</v>
      </c>
      <c r="AJ109" s="103">
        <f ca="1">IF(AND(Energy!$F$11=$A$3,Main!$B$43=$A109),Summary!AJ26,AJ109)</f>
        <v>0.30467174685689863</v>
      </c>
      <c r="AK109" s="103">
        <f ca="1">IF(AND(Energy!$F$11=$A$3,Main!$B$43=$A109),Summary!AK26,AK109)</f>
        <v>0.01</v>
      </c>
      <c r="AL109" s="103">
        <f ca="1">IF(AND(Energy!$F$11=$A$3,Main!$B$43=$A109),Summary!AL26,AL109)</f>
        <v>-0.34467824607736997</v>
      </c>
      <c r="AM109" s="103">
        <f ca="1">IF(AND(Energy!$F$11=$A$3,Main!$B$43=$A109),Summary!AM26,AM109)</f>
        <v>0.34375</v>
      </c>
    </row>
    <row r="110" spans="1:39">
      <c r="A110">
        <f t="shared" si="7"/>
        <v>6</v>
      </c>
      <c r="D110" s="1">
        <f ca="1">IF(AND(Energy!$F$11=$A$3,Main!$B$43=A110),Main!C27,D110)</f>
        <v>4.4473684210526319</v>
      </c>
      <c r="E110" s="103">
        <f ca="1">IF(AND(Energy!$F$11=$A$3,Main!$B$43=A110),Main!B27,E110)</f>
        <v>0.31111111111111106</v>
      </c>
      <c r="F110" s="103">
        <f ca="1">IF(Main!$D$6=1,U110,IF(Main!$D$6=2,N110,IF(Main!$D$6=3,K110,IF(Main!$D$6=4,V110,J110))))</f>
        <v>387.60049529406558</v>
      </c>
      <c r="G110" s="103">
        <f ca="1">IF(AND(Energy!$F$11=$A$3,Main!$B$43=A110),Weight!H27,G110)</f>
        <v>10</v>
      </c>
      <c r="H110" s="103">
        <f ca="1">IF(AND(Energy!$F$11=$A$3,Main!$B$43=A110),Weight!U27,H110)</f>
        <v>14.053224098344653</v>
      </c>
      <c r="I110" s="103">
        <f ca="1">IF(AND(Energy!$F$11=$A$3,Main!$B$43=A110),Weight!V27,I110)</f>
        <v>35.956083479647361</v>
      </c>
      <c r="J110" s="103">
        <f ca="1">IF(AND(Energy!$F$11=$A$3,Main!$B$43=A110),Weight!I27,J110)</f>
        <v>11.842501106302709</v>
      </c>
      <c r="K110" s="103">
        <f ca="1">IF(AND(Energy!$F$11=$A$3,Main!$B$43=A110),Weight!W27,K110)</f>
        <v>45.956083126082071</v>
      </c>
      <c r="L110" s="103">
        <f ca="1">IF(AND(Energy!$F$11=$A$3,Main!$B$43=A110),'Aerodynamics-Cruise'!BI27,L110)</f>
        <v>45.956083836704508</v>
      </c>
      <c r="M110" s="103">
        <f ca="1">IF(AND(Energy!$F$11=$A$3,Main!$B$43=A110),'Aerodynamics-Cruise'!BJ27,M110)</f>
        <v>2.2815409416203614</v>
      </c>
      <c r="N110" s="103">
        <f ca="1">IF(AND(Energy!$F$11=$A$3,Main!$B$43=A110),'Aerodynamics-Cruise'!BK27,N110)</f>
        <v>20.142563737675587</v>
      </c>
      <c r="O110" s="103">
        <f t="shared" ca="1" si="5"/>
        <v>136.5482859966643</v>
      </c>
      <c r="P110" s="103">
        <f ca="1">IF(AND(Energy!$F$11=$A$3,Main!$B$43=A110),'Aerodynamics-Cruise'!H27,P110)</f>
        <v>7.8030670163375211</v>
      </c>
      <c r="Q110" s="103">
        <f ca="1">IF(AND(Energy!$F$11=$A$3,Main!$B$43=A110),'Aerodynamics-Cruise'!I27,Q110)</f>
        <v>6.5136865743028523</v>
      </c>
      <c r="R110" s="103">
        <f ca="1">IF(AND(Energy!$F$11=$A$3,Main!$B$43=$A110),Summary!R27,R110)</f>
        <v>23.206661337014584</v>
      </c>
      <c r="S110" s="103">
        <f ca="1">IF(AND(Energy!$F$11=$A$3,Main!$B$43=A110),'Aerodynamics-Cruise'!W27,S110)</f>
        <v>1</v>
      </c>
      <c r="T110" s="103">
        <f ca="1">IF(AND(Energy!$F$11=$A$3,Main!$B$43=A110),'Aerodynamics-Cruise'!BL27,T110)</f>
        <v>17.803016867981491</v>
      </c>
      <c r="U110" s="103">
        <f ca="1">IF(AND(Energy!$F$11=$A$3,Main!$B$43=A110),'Propulsion-Cruise'!M27,U110)</f>
        <v>40.380783793497933</v>
      </c>
      <c r="V110" s="103">
        <f ca="1">IF(AND(Energy!$F$11=$A$3,Main!$B$43=A110),Endurance!AP27,V110)</f>
        <v>387.60049529406558</v>
      </c>
      <c r="W110" s="103">
        <f ca="1">IF(AND(Energy!$F$11=$A$3,Main!$B$43=$A110),Summary!W27,W110)</f>
        <v>139.6375476167002</v>
      </c>
      <c r="X110" s="13">
        <f ca="1">IF(AND(Energy!$F$11=$A$3,Main!$B$43=A110),Energy!D27,X110)</f>
        <v>772.82335967369477</v>
      </c>
      <c r="Y110" s="102">
        <f ca="1">IF(AND(Energy!$F$11=$A$3,Main!$B$43=A110),'Aerodynamics-Cruise'!V27,Y110)</f>
        <v>153966.4640868323</v>
      </c>
      <c r="Z110" s="102">
        <f ca="1">IF(AND(Energy!$F$11=$A$3,Main!$B$43=$A110),Summary!Z27,Z110)</f>
        <v>112783.95057012593</v>
      </c>
      <c r="AA110" s="102">
        <f ca="1">IF(AND(Energy!$F$11=$A$3,Main!$B$43=$A110),Summary!AA27,AA110)</f>
        <v>457902.97351538006</v>
      </c>
      <c r="AB110" s="103">
        <f ca="1">IF(AND(Energy!$F$11=$A$3,Main!$B$43=$A110),Summary!AB27,AB110)</f>
        <v>2.6344182950225723</v>
      </c>
      <c r="AC110" s="103">
        <f ca="1">IF(AND(Energy!$F$11=$A$3,Main!$B$43=$A110),Summary!AC27,AC110)</f>
        <v>2.8986572792140168</v>
      </c>
      <c r="AD110" s="103">
        <f ca="1">IF(AND(Energy!$F$11=$A$3,Main!$B$43=$A110),Summary!AD27,AD110)</f>
        <v>0.38378974991811987</v>
      </c>
      <c r="AE110" s="103">
        <f ca="1">IF(AND(Energy!$F$11=$A$3,Main!$B$43=$A110),Summary!AE27,AE110)</f>
        <v>1.383625730994152</v>
      </c>
      <c r="AF110" s="103">
        <f ca="1">IF(AND(Energy!$F$11=$A$3,Main!$B$43=$A110),Summary!AF27,AF110)</f>
        <v>14.29511278195489</v>
      </c>
      <c r="AG110" s="103">
        <f ca="1">IF(AND(Energy!$F$11=$A$3,Main!$B$43=$A110),Summary!AG27,AG110)</f>
        <v>9.4433102055464904</v>
      </c>
      <c r="AH110" s="103">
        <f ca="1">IF(AND(Energy!$F$11=$A$3,Main!$B$43=$A110),Summary!AH27,AH110)</f>
        <v>47</v>
      </c>
      <c r="AI110" s="103">
        <f ca="1">IF(AND(Energy!$F$11=$A$3,Main!$B$43=$A110),Summary!AI27,AI110)</f>
        <v>2.8127623526401346</v>
      </c>
      <c r="AJ110" s="103">
        <f ca="1">IF(AND(Energy!$F$11=$A$3,Main!$B$43=$A110),Summary!AJ27,AJ110)</f>
        <v>0.30609614629060544</v>
      </c>
      <c r="AK110" s="103">
        <f ca="1">IF(AND(Energy!$F$11=$A$3,Main!$B$43=$A110),Summary!AK27,AK110)</f>
        <v>0.01</v>
      </c>
      <c r="AL110" s="103">
        <f ca="1">IF(AND(Energy!$F$11=$A$3,Main!$B$43=$A110),Summary!AL27,AL110)</f>
        <v>-0.34307219245569237</v>
      </c>
      <c r="AM110" s="103">
        <f ca="1">IF(AND(Energy!$F$11=$A$3,Main!$B$43=$A110),Summary!AM27,AM110)</f>
        <v>0.34375</v>
      </c>
    </row>
    <row r="111" spans="1:39">
      <c r="A111">
        <f t="shared" si="7"/>
        <v>6</v>
      </c>
      <c r="D111" s="1">
        <f ca="1">IF(AND(Energy!$F$11=$A$3,Main!$B$43=A111),Main!C28,D111)</f>
        <v>4.6052631578947372</v>
      </c>
      <c r="E111" s="103">
        <f ca="1">IF(AND(Energy!$F$11=$A$3,Main!$B$43=A111),Main!B28,E111)</f>
        <v>0.31111111111111106</v>
      </c>
      <c r="F111" s="103">
        <f ca="1">IF(Main!$D$6=1,U111,IF(Main!$D$6=2,N111,IF(Main!$D$6=3,K111,IF(Main!$D$6=4,V111,J111))))</f>
        <v>385.41751148819787</v>
      </c>
      <c r="G111" s="103">
        <f ca="1">IF(AND(Energy!$F$11=$A$3,Main!$B$43=A111),Weight!H28,G111)</f>
        <v>10</v>
      </c>
      <c r="H111" s="103">
        <f ca="1">IF(AND(Energy!$F$11=$A$3,Main!$B$43=A111),Weight!U28,H111)</f>
        <v>14.547250904944601</v>
      </c>
      <c r="I111" s="103">
        <f ca="1">IF(AND(Energy!$F$11=$A$3,Main!$B$43=A111),Weight!V28,I111)</f>
        <v>36.323907232909079</v>
      </c>
      <c r="J111" s="103">
        <f ca="1">IF(AND(Energy!$F$11=$A$3,Main!$B$43=A111),Weight!I28,J111)</f>
        <v>11.716298052964479</v>
      </c>
      <c r="K111" s="103">
        <f ca="1">IF(AND(Energy!$F$11=$A$3,Main!$B$43=A111),Weight!W28,K111)</f>
        <v>46.323906870191514</v>
      </c>
      <c r="L111" s="103">
        <f ca="1">IF(AND(Energy!$F$11=$A$3,Main!$B$43=A111),'Aerodynamics-Cruise'!BI28,L111)</f>
        <v>46.323907599209271</v>
      </c>
      <c r="M111" s="103">
        <f ca="1">IF(AND(Energy!$F$11=$A$3,Main!$B$43=A111),'Aerodynamics-Cruise'!BJ28,M111)</f>
        <v>2.2811470290880402</v>
      </c>
      <c r="N111" s="103">
        <f ca="1">IF(AND(Energy!$F$11=$A$3,Main!$B$43=A111),'Aerodynamics-Cruise'!BK28,N111)</f>
        <v>20.30728708343219</v>
      </c>
      <c r="O111" s="103">
        <f t="shared" ca="1" si="5"/>
        <v>138.21478477110185</v>
      </c>
      <c r="P111" s="103">
        <f ca="1">IF(AND(Energy!$F$11=$A$3,Main!$B$43=A111),'Aerodynamics-Cruise'!H28,P111)</f>
        <v>7.6987133105811223</v>
      </c>
      <c r="Q111" s="103">
        <f ca="1">IF(AND(Energy!$F$11=$A$3,Main!$B$43=A111),'Aerodynamics-Cruise'!I28,Q111)</f>
        <v>6.4272162742374945</v>
      </c>
      <c r="R111" s="103">
        <f ca="1">IF(AND(Energy!$F$11=$A$3,Main!$B$43=$A111),Summary!R28,R111)</f>
        <v>22.974654565841579</v>
      </c>
      <c r="S111" s="103">
        <f ca="1">IF(AND(Energy!$F$11=$A$3,Main!$B$43=A111),'Aerodynamics-Cruise'!W28,S111)</f>
        <v>1</v>
      </c>
      <c r="T111" s="103">
        <f ca="1">IF(AND(Energy!$F$11=$A$3,Main!$B$43=A111),'Aerodynamics-Cruise'!BL28,T111)</f>
        <v>17.561896996232679</v>
      </c>
      <c r="U111" s="103">
        <f ca="1">IF(AND(Energy!$F$11=$A$3,Main!$B$43=A111),'Propulsion-Cruise'!M28,U111)</f>
        <v>40.016744236740848</v>
      </c>
      <c r="V111" s="103">
        <f ca="1">IF(AND(Energy!$F$11=$A$3,Main!$B$43=A111),Endurance!AP28,V111)</f>
        <v>385.41751148819787</v>
      </c>
      <c r="W111" s="103">
        <f ca="1">IF(AND(Energy!$F$11=$A$3,Main!$B$43=$A111),Summary!W28,W111)</f>
        <v>137.26820969074652</v>
      </c>
      <c r="X111" s="13">
        <f ca="1">IF(AND(Energy!$F$11=$A$3,Main!$B$43=A111),Energy!D28,X111)</f>
        <v>768.54538862287473</v>
      </c>
      <c r="Y111" s="102">
        <f ca="1">IF(AND(Energy!$F$11=$A$3,Main!$B$43=A111),'Aerodynamics-Cruise'!V28,Y111)</f>
        <v>151907.40563506834</v>
      </c>
      <c r="Z111" s="102">
        <f ca="1">IF(AND(Energy!$F$11=$A$3,Main!$B$43=$A111),Summary!Z28,Z111)</f>
        <v>111286.64789936408</v>
      </c>
      <c r="AA111" s="102">
        <f ca="1">IF(AND(Energy!$F$11=$A$3,Main!$B$43=$A111),Summary!AA28,AA111)</f>
        <v>453325.12455843529</v>
      </c>
      <c r="AB111" s="103">
        <f ca="1">IF(AND(Energy!$F$11=$A$3,Main!$B$43=$A111),Summary!AB28,AB111)</f>
        <v>2.5834162725408776</v>
      </c>
      <c r="AC111" s="103">
        <f ca="1">IF(AND(Energy!$F$11=$A$3,Main!$B$43=$A111),Summary!AC28,AC111)</f>
        <v>2.8449804327417061</v>
      </c>
      <c r="AD111" s="103">
        <f ca="1">IF(AND(Energy!$F$11=$A$3,Main!$B$43=$A111),Summary!AD28,AD111)</f>
        <v>0.38182787448578326</v>
      </c>
      <c r="AE111" s="103">
        <f ca="1">IF(AND(Energy!$F$11=$A$3,Main!$B$43=$A111),Summary!AE28,AE111)</f>
        <v>1.4327485380116958</v>
      </c>
      <c r="AF111" s="103">
        <f ca="1">IF(AND(Energy!$F$11=$A$3,Main!$B$43=$A111),Summary!AF28,AF111)</f>
        <v>14.802631578947373</v>
      </c>
      <c r="AG111" s="103">
        <f ca="1">IF(AND(Energy!$F$11=$A$3,Main!$B$43=$A111),Summary!AG28,AG111)</f>
        <v>9.4047972445442181</v>
      </c>
      <c r="AH111" s="103">
        <f ca="1">IF(AND(Energy!$F$11=$A$3,Main!$B$43=$A111),Summary!AH28,AH111)</f>
        <v>47</v>
      </c>
      <c r="AI111" s="103">
        <f ca="1">IF(AND(Energy!$F$11=$A$3,Main!$B$43=$A111),Summary!AI28,AI111)</f>
        <v>2.8122022312437465</v>
      </c>
      <c r="AJ111" s="103">
        <f ca="1">IF(AND(Energy!$F$11=$A$3,Main!$B$43=$A111),Summary!AJ28,AJ111)</f>
        <v>0.30736072966931638</v>
      </c>
      <c r="AK111" s="103">
        <f ca="1">IF(AND(Energy!$F$11=$A$3,Main!$B$43=$A111),Summary!AK28,AK111)</f>
        <v>0.01</v>
      </c>
      <c r="AL111" s="103">
        <f ca="1">IF(AND(Energy!$F$11=$A$3,Main!$B$43=$A111),Summary!AL28,AL111)</f>
        <v>-0.34165877598934002</v>
      </c>
      <c r="AM111" s="103">
        <f ca="1">IF(AND(Energy!$F$11=$A$3,Main!$B$43=$A111),Summary!AM28,AM111)</f>
        <v>0.34375</v>
      </c>
    </row>
    <row r="112" spans="1:39">
      <c r="A112">
        <f t="shared" si="7"/>
        <v>6</v>
      </c>
      <c r="D112" s="1">
        <f ca="1">IF(AND(Energy!$F$11=$A$3,Main!$B$43=A112),Main!C29,D112)</f>
        <v>4.7631578947368425</v>
      </c>
      <c r="E112" s="103">
        <f ca="1">IF(AND(Energy!$F$11=$A$3,Main!$B$43=A112),Main!B29,E112)</f>
        <v>0.31111111111111106</v>
      </c>
      <c r="F112" s="103">
        <f ca="1">IF(Main!$D$6=1,U112,IF(Main!$D$6=2,N112,IF(Main!$D$6=3,K112,IF(Main!$D$6=4,V112,J112))))</f>
        <v>384.37309637507866</v>
      </c>
      <c r="G112" s="103">
        <f ca="1">IF(AND(Energy!$F$11=$A$3,Main!$B$43=A112),Weight!H29,G112)</f>
        <v>10</v>
      </c>
      <c r="H112" s="103">
        <f ca="1">IF(AND(Energy!$F$11=$A$3,Main!$B$43=A112),Weight!U29,H112)</f>
        <v>15.06303839633286</v>
      </c>
      <c r="I112" s="103">
        <f ca="1">IF(AND(Energy!$F$11=$A$3,Main!$B$43=A112),Weight!V29,I112)</f>
        <v>36.77492046472544</v>
      </c>
      <c r="J112" s="103">
        <f ca="1">IF(AND(Energy!$F$11=$A$3,Main!$B$43=A112),Weight!I29,J112)</f>
        <v>11.651523793392581</v>
      </c>
      <c r="K112" s="103">
        <f ca="1">IF(AND(Energy!$F$11=$A$3,Main!$B$43=A112),Weight!W29,K112)</f>
        <v>46.774920091017393</v>
      </c>
      <c r="L112" s="103">
        <f ca="1">IF(AND(Energy!$F$11=$A$3,Main!$B$43=A112),'Aerodynamics-Cruise'!BI29,L112)</f>
        <v>46.774920842124999</v>
      </c>
      <c r="M112" s="103">
        <f ca="1">IF(AND(Energy!$F$11=$A$3,Main!$B$43=A112),'Aerodynamics-Cruise'!BJ29,M112)</f>
        <v>2.28560606624412</v>
      </c>
      <c r="N112" s="103">
        <f ca="1">IF(AND(Energy!$F$11=$A$3,Main!$B$43=A112),'Aerodynamics-Cruise'!BK29,N112)</f>
        <v>20.464996804540807</v>
      </c>
      <c r="O112" s="103">
        <f t="shared" ca="1" si="5"/>
        <v>139.96460143219929</v>
      </c>
      <c r="P112" s="103">
        <f ca="1">IF(AND(Energy!$F$11=$A$3,Main!$B$43=A112),'Aerodynamics-Cruise'!H29,P112)</f>
        <v>7.6067555595611829</v>
      </c>
      <c r="Q112" s="103">
        <f ca="1">IF(AND(Energy!$F$11=$A$3,Main!$B$43=A112),'Aerodynamics-Cruise'!I29,Q112)</f>
        <v>6.3510109519565887</v>
      </c>
      <c r="R112" s="103">
        <f ca="1">IF(AND(Energy!$F$11=$A$3,Main!$B$43=$A112),Summary!R29,R112)</f>
        <v>22.751169384305555</v>
      </c>
      <c r="S112" s="103">
        <f ca="1">IF(AND(Energy!$F$11=$A$3,Main!$B$43=A112),'Aerodynamics-Cruise'!W29,S112)</f>
        <v>1</v>
      </c>
      <c r="T112" s="103">
        <f ca="1">IF(AND(Energy!$F$11=$A$3,Main!$B$43=A112),'Aerodynamics-Cruise'!BL29,T112)</f>
        <v>17.386046651369224</v>
      </c>
      <c r="U112" s="103">
        <f ca="1">IF(AND(Energy!$F$11=$A$3,Main!$B$43=A112),'Propulsion-Cruise'!M29,U112)</f>
        <v>39.776779696121721</v>
      </c>
      <c r="V112" s="103">
        <f ca="1">IF(AND(Energy!$F$11=$A$3,Main!$B$43=A112),Endurance!AP29,V112)</f>
        <v>384.37309637507866</v>
      </c>
      <c r="W112" s="103">
        <f ca="1">IF(AND(Energy!$F$11=$A$3,Main!$B$43=$A112),Summary!W29,W112)</f>
        <v>136.05213665050712</v>
      </c>
      <c r="X112" s="13">
        <f ca="1">IF(AND(Energy!$F$11=$A$3,Main!$B$43=A112),Energy!D29,X112)</f>
        <v>766.34970144299598</v>
      </c>
      <c r="Y112" s="102">
        <f ca="1">IF(AND(Energy!$F$11=$A$3,Main!$B$43=A112),'Aerodynamics-Cruise'!V29,Y112)</f>
        <v>150092.93835697454</v>
      </c>
      <c r="Z112" s="102">
        <f ca="1">IF(AND(Energy!$F$11=$A$3,Main!$B$43=$A112),Summary!Z29,Z112)</f>
        <v>109967.09235430087</v>
      </c>
      <c r="AA112" s="102">
        <f ca="1">IF(AND(Energy!$F$11=$A$3,Main!$B$43=$A112),Summary!AA29,AA112)</f>
        <v>448915.41961743432</v>
      </c>
      <c r="AB112" s="103">
        <f ca="1">IF(AND(Energy!$F$11=$A$3,Main!$B$43=$A112),Summary!AB29,AB112)</f>
        <v>2.5453848776134165</v>
      </c>
      <c r="AC112" s="103">
        <f ca="1">IF(AND(Energy!$F$11=$A$3,Main!$B$43=$A112),Summary!AC29,AC112)</f>
        <v>2.7898503001846824</v>
      </c>
      <c r="AD112" s="103">
        <f ca="1">IF(AND(Energy!$F$11=$A$3,Main!$B$43=$A112),Summary!AD29,AD112)</f>
        <v>0.38038107760804868</v>
      </c>
      <c r="AE112" s="103">
        <f ca="1">IF(AND(Energy!$F$11=$A$3,Main!$B$43=$A112),Summary!AE29,AE112)</f>
        <v>1.4818713450292396</v>
      </c>
      <c r="AF112" s="103">
        <f ca="1">IF(AND(Energy!$F$11=$A$3,Main!$B$43=$A112),Summary!AF29,AF112)</f>
        <v>15.310150375939855</v>
      </c>
      <c r="AG112" s="103">
        <f ca="1">IF(AND(Energy!$F$11=$A$3,Main!$B$43=$A112),Summary!AG29,AG112)</f>
        <v>9.382726623156481</v>
      </c>
      <c r="AH112" s="103">
        <f ca="1">IF(AND(Energy!$F$11=$A$3,Main!$B$43=$A112),Summary!AH29,AH112)</f>
        <v>47</v>
      </c>
      <c r="AI112" s="103">
        <f ca="1">IF(AND(Energy!$F$11=$A$3,Main!$B$43=$A112),Summary!AI29,AI112)</f>
        <v>2.811701935437311</v>
      </c>
      <c r="AJ112" s="103">
        <f ca="1">IF(AND(Energy!$F$11=$A$3,Main!$B$43=$A112),Summary!AJ29,AJ112)</f>
        <v>0.30848130869860713</v>
      </c>
      <c r="AK112" s="103">
        <f ca="1">IF(AND(Energy!$F$11=$A$3,Main!$B$43=$A112),Summary!AK29,AK112)</f>
        <v>0.01</v>
      </c>
      <c r="AL112" s="103">
        <f ca="1">IF(AND(Energy!$F$11=$A$3,Main!$B$43=$A112),Summary!AL29,AL112)</f>
        <v>-0.34041595663937663</v>
      </c>
      <c r="AM112" s="103">
        <f ca="1">IF(AND(Energy!$F$11=$A$3,Main!$B$43=$A112),Summary!AM29,AM112)</f>
        <v>0.34375</v>
      </c>
    </row>
    <row r="113" spans="1:39">
      <c r="A113">
        <f t="shared" si="7"/>
        <v>6</v>
      </c>
      <c r="D113" s="1">
        <f ca="1">IF(AND(Energy!$F$11=$A$3,Main!$B$43=A113),Main!C30,D113)</f>
        <v>4.9210526315789478</v>
      </c>
      <c r="E113" s="103">
        <f ca="1">IF(AND(Energy!$F$11=$A$3,Main!$B$43=A113),Main!B30,E113)</f>
        <v>0.31111111111111106</v>
      </c>
      <c r="F113" s="103">
        <f ca="1">IF(Main!$D$6=1,U113,IF(Main!$D$6=2,N113,IF(Main!$D$6=3,K113,IF(Main!$D$6=4,V113,J113))))</f>
        <v>384.32578673864583</v>
      </c>
      <c r="G113" s="103">
        <f ca="1">IF(AND(Energy!$F$11=$A$3,Main!$B$43=A113),Weight!H30,G113)</f>
        <v>10</v>
      </c>
      <c r="H113" s="103">
        <f ca="1">IF(AND(Energy!$F$11=$A$3,Main!$B$43=A113),Weight!U30,H113)</f>
        <v>15.600199799797441</v>
      </c>
      <c r="I113" s="103">
        <f ca="1">IF(AND(Energy!$F$11=$A$3,Main!$B$43=A113),Weight!V30,I113)</f>
        <v>37.301137289983551</v>
      </c>
      <c r="J113" s="103">
        <f ca="1">IF(AND(Energy!$F$11=$A$3,Main!$B$43=A113),Weight!I30,J113)</f>
        <v>11.640579215186111</v>
      </c>
      <c r="K113" s="103">
        <f ca="1">IF(AND(Energy!$F$11=$A$3,Main!$B$43=A113),Weight!W30,K113)</f>
        <v>47.301136903684721</v>
      </c>
      <c r="L113" s="103">
        <f ca="1">IF(AND(Energy!$F$11=$A$3,Main!$B$43=A113),'Aerodynamics-Cruise'!BI30,L113)</f>
        <v>47.301137680098471</v>
      </c>
      <c r="M113" s="103">
        <f ca="1">IF(AND(Energy!$F$11=$A$3,Main!$B$43=A113),'Aerodynamics-Cruise'!BJ30,M113)</f>
        <v>2.2943641529024936</v>
      </c>
      <c r="N113" s="103">
        <f ca="1">IF(AND(Energy!$F$11=$A$3,Main!$B$43=A113),'Aerodynamics-Cruise'!BK30,N113)</f>
        <v>20.616229389855135</v>
      </c>
      <c r="O113" s="103">
        <f t="shared" ca="1" si="5"/>
        <v>141.78981342538151</v>
      </c>
      <c r="P113" s="103">
        <f ca="1">IF(AND(Energy!$F$11=$A$3,Main!$B$43=A113),'Aerodynamics-Cruise'!H30,P113)</f>
        <v>7.5256680986102333</v>
      </c>
      <c r="Q113" s="103">
        <f ca="1">IF(AND(Energy!$F$11=$A$3,Main!$B$43=A113),'Aerodynamics-Cruise'!I30,Q113)</f>
        <v>6.2838087648101038</v>
      </c>
      <c r="R113" s="103">
        <f ca="1">IF(AND(Energy!$F$11=$A$3,Main!$B$43=$A113),Summary!R30,R113)</f>
        <v>22.535691666074985</v>
      </c>
      <c r="S113" s="103">
        <f ca="1">IF(AND(Energy!$F$11=$A$3,Main!$B$43=A113),'Aerodynamics-Cruise'!W30,S113)</f>
        <v>1</v>
      </c>
      <c r="T113" s="103">
        <f ca="1">IF(AND(Energy!$F$11=$A$3,Main!$B$43=A113),'Aerodynamics-Cruise'!BL30,T113)</f>
        <v>17.266623112093189</v>
      </c>
      <c r="U113" s="103">
        <f ca="1">IF(AND(Energy!$F$11=$A$3,Main!$B$43=A113),'Propulsion-Cruise'!M30,U113)</f>
        <v>39.644910259829317</v>
      </c>
      <c r="V113" s="103">
        <f ca="1">IF(AND(Energy!$F$11=$A$3,Main!$B$43=A113),Endurance!AP30,V113)</f>
        <v>384.32578673864583</v>
      </c>
      <c r="W113" s="103">
        <f ca="1">IF(AND(Energy!$F$11=$A$3,Main!$B$43=$A113),Summary!W30,W113)</f>
        <v>135.8466626729284</v>
      </c>
      <c r="X113" s="13">
        <f ca="1">IF(AND(Energy!$F$11=$A$3,Main!$B$43=A113),Energy!D30,X113)</f>
        <v>765.978707057468</v>
      </c>
      <c r="Y113" s="102">
        <f ca="1">IF(AND(Energy!$F$11=$A$3,Main!$B$43=A113),'Aerodynamics-Cruise'!V30,Y113)</f>
        <v>148492.95855182139</v>
      </c>
      <c r="Z113" s="102">
        <f ca="1">IF(AND(Energy!$F$11=$A$3,Main!$B$43=$A113),Summary!Z30,Z113)</f>
        <v>108803.43383379438</v>
      </c>
      <c r="AA113" s="102">
        <f ca="1">IF(AND(Energy!$F$11=$A$3,Main!$B$43=$A113),Summary!AA30,AA113)</f>
        <v>444663.71419237554</v>
      </c>
      <c r="AB113" s="103">
        <f ca="1">IF(AND(Energy!$F$11=$A$3,Main!$B$43=$A113),Summary!AB30,AB113)</f>
        <v>2.5184476163281682</v>
      </c>
      <c r="AC113" s="103">
        <f ca="1">IF(AND(Energy!$F$11=$A$3,Main!$B$43=$A113),Summary!AC30,AC113)</f>
        <v>2.7337877975980498</v>
      </c>
      <c r="AD113" s="103">
        <f ca="1">IF(AND(Energy!$F$11=$A$3,Main!$B$43=$A113),Summary!AD30,AD113)</f>
        <v>0.37938788365397252</v>
      </c>
      <c r="AE113" s="103">
        <f ca="1">IF(AND(Energy!$F$11=$A$3,Main!$B$43=$A113),Summary!AE30,AE113)</f>
        <v>1.5309941520467836</v>
      </c>
      <c r="AF113" s="103">
        <f ca="1">IF(AND(Energy!$F$11=$A$3,Main!$B$43=$A113),Summary!AF30,AF113)</f>
        <v>15.817669172932334</v>
      </c>
      <c r="AG113" s="103">
        <f ca="1">IF(AND(Energy!$F$11=$A$3,Main!$B$43=$A113),Summary!AG30,AG113)</f>
        <v>9.3750851519728009</v>
      </c>
      <c r="AH113" s="103">
        <f ca="1">IF(AND(Energy!$F$11=$A$3,Main!$B$43=$A113),Summary!AH30,AH113)</f>
        <v>47</v>
      </c>
      <c r="AI113" s="103">
        <f ca="1">IF(AND(Energy!$F$11=$A$3,Main!$B$43=$A113),Summary!AI30,AI113)</f>
        <v>2.8112552835304192</v>
      </c>
      <c r="AJ113" s="103">
        <f ca="1">IF(AND(Energy!$F$11=$A$3,Main!$B$43=$A113),Summary!AJ30,AJ113)</f>
        <v>0.30947120246534893</v>
      </c>
      <c r="AK113" s="103">
        <f ca="1">IF(AND(Energy!$F$11=$A$3,Main!$B$43=$A113),Summary!AK30,AK113)</f>
        <v>0.01</v>
      </c>
      <c r="AL113" s="103">
        <f ca="1">IF(AND(Energy!$F$11=$A$3,Main!$B$43=$A113),Summary!AL30,AL113)</f>
        <v>-0.33932552084777962</v>
      </c>
      <c r="AM113" s="103">
        <f ca="1">IF(AND(Energy!$F$11=$A$3,Main!$B$43=$A113),Summary!AM30,AM113)</f>
        <v>0.34375</v>
      </c>
    </row>
    <row r="114" spans="1:39">
      <c r="A114">
        <f t="shared" si="7"/>
        <v>6</v>
      </c>
      <c r="D114" s="1">
        <f ca="1">IF(AND(Energy!$F$11=$A$3,Main!$B$43=A114),Main!C31,D114)</f>
        <v>5.0789473684210531</v>
      </c>
      <c r="E114" s="103">
        <f ca="1">IF(AND(Energy!$F$11=$A$3,Main!$B$43=A114),Main!B31,E114)</f>
        <v>0.31111111111111106</v>
      </c>
      <c r="F114" s="103">
        <f ca="1">IF(Main!$D$6=1,U114,IF(Main!$D$6=2,N114,IF(Main!$D$6=3,K114,IF(Main!$D$6=4,V114,J114))))</f>
        <v>385.16552919464357</v>
      </c>
      <c r="G114" s="103">
        <f ca="1">IF(AND(Energy!$F$11=$A$3,Main!$B$43=A114),Weight!H31,G114)</f>
        <v>10</v>
      </c>
      <c r="H114" s="103">
        <f ca="1">IF(AND(Energy!$F$11=$A$3,Main!$B$43=A114),Weight!U31,H114)</f>
        <v>16.158514350629272</v>
      </c>
      <c r="I114" s="103">
        <f ca="1">IF(AND(Energy!$F$11=$A$3,Main!$B$43=A114),Weight!V31,I114)</f>
        <v>37.896419030908163</v>
      </c>
      <c r="J114" s="103">
        <f ca="1">IF(AND(Energy!$F$11=$A$3,Main!$B$43=A114),Weight!I31,J114)</f>
        <v>11.677546405278893</v>
      </c>
      <c r="K114" s="103">
        <f ca="1">IF(AND(Energy!$F$11=$A$3,Main!$B$43=A114),Weight!W31,K114)</f>
        <v>47.896418630580769</v>
      </c>
      <c r="L114" s="103">
        <f ca="1">IF(AND(Energy!$F$11=$A$3,Main!$B$43=A114),'Aerodynamics-Cruise'!BI31,L114)</f>
        <v>47.896419435190332</v>
      </c>
      <c r="M114" s="103">
        <f ca="1">IF(AND(Energy!$F$11=$A$3,Main!$B$43=A114),'Aerodynamics-Cruise'!BJ31,M114)</f>
        <v>2.3069844719811194</v>
      </c>
      <c r="N114" s="103">
        <f ca="1">IF(AND(Energy!$F$11=$A$3,Main!$B$43=A114),'Aerodynamics-Cruise'!BK31,N114)</f>
        <v>20.761483233590798</v>
      </c>
      <c r="O114" s="103">
        <f t="shared" ca="1" si="5"/>
        <v>143.68449341689305</v>
      </c>
      <c r="P114" s="103">
        <f ca="1">IF(AND(Energy!$F$11=$A$3,Main!$B$43=A114),'Aerodynamics-Cruise'!H31,P114)</f>
        <v>7.4541990272447851</v>
      </c>
      <c r="Q114" s="103">
        <f ca="1">IF(AND(Energy!$F$11=$A$3,Main!$B$43=A114),'Aerodynamics-Cruise'!I31,Q114)</f>
        <v>6.2245741315082732</v>
      </c>
      <c r="R114" s="103">
        <f ca="1">IF(AND(Energy!$F$11=$A$3,Main!$B$43=$A114),Summary!R31,R114)</f>
        <v>22.327755843697314</v>
      </c>
      <c r="S114" s="103">
        <f ca="1">IF(AND(Energy!$F$11=$A$3,Main!$B$43=A114),'Aerodynamics-Cruise'!W31,S114)</f>
        <v>1</v>
      </c>
      <c r="T114" s="103">
        <f ca="1">IF(AND(Energy!$F$11=$A$3,Main!$B$43=A114),'Aerodynamics-Cruise'!BL31,T114)</f>
        <v>17.196721406910484</v>
      </c>
      <c r="U114" s="103">
        <f ca="1">IF(AND(Energy!$F$11=$A$3,Main!$B$43=A114),'Propulsion-Cruise'!M31,U114)</f>
        <v>39.608672146994301</v>
      </c>
      <c r="V114" s="103">
        <f ca="1">IF(AND(Energy!$F$11=$A$3,Main!$B$43=A114),Endurance!AP31,V114)</f>
        <v>385.16552919464357</v>
      </c>
      <c r="W114" s="103">
        <f ca="1">IF(AND(Energy!$F$11=$A$3,Main!$B$43=$A114),Summary!W31,W114)</f>
        <v>136.5406847897741</v>
      </c>
      <c r="X114" s="13">
        <f ca="1">IF(AND(Energy!$F$11=$A$3,Main!$B$43=A114),Energy!D31,X114)</f>
        <v>767.23180287978823</v>
      </c>
      <c r="Y114" s="102">
        <f ca="1">IF(AND(Energy!$F$11=$A$3,Main!$B$43=A114),'Aerodynamics-Cruise'!V31,Y114)</f>
        <v>147082.7643055502</v>
      </c>
      <c r="Z114" s="102">
        <f ca="1">IF(AND(Energy!$F$11=$A$3,Main!$B$43=$A114),Summary!Z31,Z114)</f>
        <v>107777.74020394361</v>
      </c>
      <c r="AA114" s="102">
        <f ca="1">IF(AND(Energy!$F$11=$A$3,Main!$B$43=$A114),Summary!AA31,AA114)</f>
        <v>440560.82192431652</v>
      </c>
      <c r="AB114" s="103">
        <f ca="1">IF(AND(Energy!$F$11=$A$3,Main!$B$43=$A114),Summary!AB31,AB114)</f>
        <v>2.5011666840583153</v>
      </c>
      <c r="AC114" s="103">
        <f ca="1">IF(AND(Energy!$F$11=$A$3,Main!$B$43=$A114),Summary!AC31,AC114)</f>
        <v>2.6771976762105081</v>
      </c>
      <c r="AD114" s="103">
        <f ca="1">IF(AND(Energy!$F$11=$A$3,Main!$B$43=$A114),Summary!AD31,AD114)</f>
        <v>0.37879834097509563</v>
      </c>
      <c r="AE114" s="103">
        <f ca="1">IF(AND(Energy!$F$11=$A$3,Main!$B$43=$A114),Summary!AE31,AE114)</f>
        <v>1.5801169590643274</v>
      </c>
      <c r="AF114" s="103">
        <f ca="1">IF(AND(Energy!$F$11=$A$3,Main!$B$43=$A114),Summary!AF31,AF114)</f>
        <v>16.325187969924816</v>
      </c>
      <c r="AG114" s="103">
        <f ca="1">IF(AND(Energy!$F$11=$A$3,Main!$B$43=$A114),Summary!AG31,AG114)</f>
        <v>9.3802751970350897</v>
      </c>
      <c r="AH114" s="103">
        <f ca="1">IF(AND(Energy!$F$11=$A$3,Main!$B$43=$A114),Summary!AH31,AH114)</f>
        <v>47</v>
      </c>
      <c r="AI114" s="103">
        <f ca="1">IF(AND(Energy!$F$11=$A$3,Main!$B$43=$A114),Summary!AI31,AI114)</f>
        <v>2.8108570783710656</v>
      </c>
      <c r="AJ114" s="103">
        <f ca="1">IF(AND(Energy!$F$11=$A$3,Main!$B$43=$A114),Summary!AJ31,AJ114)</f>
        <v>0.3103417709901552</v>
      </c>
      <c r="AK114" s="103">
        <f ca="1">IF(AND(Energy!$F$11=$A$3,Main!$B$43=$A114),Summary!AK31,AK114)</f>
        <v>0.01</v>
      </c>
      <c r="AL114" s="103">
        <f ca="1">IF(AND(Energy!$F$11=$A$3,Main!$B$43=$A114),Summary!AL31,AL114)</f>
        <v>-0.33837222867264827</v>
      </c>
      <c r="AM114" s="103">
        <f ca="1">IF(AND(Energy!$F$11=$A$3,Main!$B$43=$A114),Summary!AM31,AM114)</f>
        <v>0.34375</v>
      </c>
    </row>
    <row r="115" spans="1:39">
      <c r="A115">
        <f t="shared" si="7"/>
        <v>6</v>
      </c>
      <c r="D115" s="1">
        <f ca="1">IF(AND(Energy!$F$11=$A$3,Main!$B$43=A115),Main!C32,D115)</f>
        <v>5.2368421052631584</v>
      </c>
      <c r="E115" s="103">
        <f ca="1">IF(AND(Energy!$F$11=$A$3,Main!$B$43=A115),Main!B32,E115)</f>
        <v>0.31111111111111106</v>
      </c>
      <c r="F115" s="103">
        <f ca="1">IF(Main!$D$6=1,U115,IF(Main!$D$6=2,N115,IF(Main!$D$6=3,K115,IF(Main!$D$6=4,V115,J115))))</f>
        <v>386.80594434982652</v>
      </c>
      <c r="G115" s="103">
        <f ca="1">IF(AND(Energy!$F$11=$A$3,Main!$B$43=A115),Weight!H32,G115)</f>
        <v>10</v>
      </c>
      <c r="H115" s="103">
        <f ca="1">IF(AND(Energy!$F$11=$A$3,Main!$B$43=A115),Weight!U32,H115)</f>
        <v>16.737889711096237</v>
      </c>
      <c r="I115" s="103">
        <f ca="1">IF(AND(Energy!$F$11=$A$3,Main!$B$43=A115),Weight!V32,I115)</f>
        <v>38.556023130962565</v>
      </c>
      <c r="J115" s="103">
        <f ca="1">IF(AND(Energy!$F$11=$A$3,Main!$B$43=A115),Weight!I32,J115)</f>
        <v>11.757775144866329</v>
      </c>
      <c r="K115" s="103">
        <f ca="1">IF(AND(Energy!$F$11=$A$3,Main!$B$43=A115),Weight!W32,K115)</f>
        <v>48.556022715280378</v>
      </c>
      <c r="L115" s="103">
        <f ca="1">IF(AND(Energy!$F$11=$A$3,Main!$B$43=A115),'Aerodynamics-Cruise'!BI32,L115)</f>
        <v>48.556023550751284</v>
      </c>
      <c r="M115" s="103">
        <f ca="1">IF(AND(Energy!$F$11=$A$3,Main!$B$43=A115),'Aerodynamics-Cruise'!BJ32,M115)</f>
        <v>2.3231193898662146</v>
      </c>
      <c r="N115" s="103">
        <f ca="1">IF(AND(Energy!$F$11=$A$3,Main!$B$43=A115),'Aerodynamics-Cruise'!BK32,N115)</f>
        <v>20.90121745897337</v>
      </c>
      <c r="O115" s="103">
        <f t="shared" ca="1" si="5"/>
        <v>145.64418191186661</v>
      </c>
      <c r="P115" s="103">
        <f ca="1">IF(AND(Energy!$F$11=$A$3,Main!$B$43=A115),'Aerodynamics-Cruise'!H32,P115)</f>
        <v>7.3913087819848364</v>
      </c>
      <c r="Q115" s="103">
        <f ca="1">IF(AND(Energy!$F$11=$A$3,Main!$B$43=A115),'Aerodynamics-Cruise'!I32,Q115)</f>
        <v>6.1724469832128968</v>
      </c>
      <c r="R115" s="103">
        <f ca="1">IF(AND(Energy!$F$11=$A$3,Main!$B$43=$A115),Summary!R32,R115)</f>
        <v>22.126938170790222</v>
      </c>
      <c r="S115" s="103">
        <f ca="1">IF(AND(Energy!$F$11=$A$3,Main!$B$43=A115),'Aerodynamics-Cruise'!W32,S115)</f>
        <v>1</v>
      </c>
      <c r="T115" s="103">
        <f ca="1">IF(AND(Energy!$F$11=$A$3,Main!$B$43=A115),'Aerodynamics-Cruise'!BL32,T115)</f>
        <v>17.170892747917406</v>
      </c>
      <c r="U115" s="103">
        <f ca="1">IF(AND(Energy!$F$11=$A$3,Main!$B$43=A115),'Propulsion-Cruise'!M32,U115)</f>
        <v>39.658250700897973</v>
      </c>
      <c r="V115" s="103">
        <f ca="1">IF(AND(Energy!$F$11=$A$3,Main!$B$43=A115),Endurance!AP32,V115)</f>
        <v>386.80594434982652</v>
      </c>
      <c r="W115" s="103">
        <f ca="1">IF(AND(Energy!$F$11=$A$3,Main!$B$43=$A115),Summary!W32,W115)</f>
        <v>138.04689973902657</v>
      </c>
      <c r="X115" s="13">
        <f ca="1">IF(AND(Energy!$F$11=$A$3,Main!$B$43=A115),Energy!D32,X115)</f>
        <v>769.9513580167386</v>
      </c>
      <c r="Y115" s="102">
        <f ca="1">IF(AND(Energy!$F$11=$A$3,Main!$B$43=A115),'Aerodynamics-Cruise'!V32,Y115)</f>
        <v>145841.84343841494</v>
      </c>
      <c r="Z115" s="102">
        <f ca="1">IF(AND(Energy!$F$11=$A$3,Main!$B$43=$A115),Summary!Z32,Z115)</f>
        <v>106875.11852192153</v>
      </c>
      <c r="AA115" s="102">
        <f ca="1">IF(AND(Energy!$F$11=$A$3,Main!$B$43=$A115),Summary!AA32,AA115)</f>
        <v>436598.38164808735</v>
      </c>
      <c r="AB115" s="103">
        <f ca="1">IF(AND(Energy!$F$11=$A$3,Main!$B$43=$A115),Summary!AB32,AB115)</f>
        <v>2.4924289894759579</v>
      </c>
      <c r="AC115" s="103">
        <f ca="1">IF(AND(Energy!$F$11=$A$3,Main!$B$43=$A115),Summary!AC32,AC115)</f>
        <v>2.6203963682546783</v>
      </c>
      <c r="AD115" s="103">
        <f ca="1">IF(AND(Energy!$F$11=$A$3,Main!$B$43=$A115),Summary!AD32,AD115)</f>
        <v>0.3785713966557035</v>
      </c>
      <c r="AE115" s="103">
        <f ca="1">IF(AND(Energy!$F$11=$A$3,Main!$B$43=$A115),Summary!AE32,AE115)</f>
        <v>1.6292397660818712</v>
      </c>
      <c r="AF115" s="103">
        <f ca="1">IF(AND(Energy!$F$11=$A$3,Main!$B$43=$A115),Summary!AF32,AF115)</f>
        <v>16.832706766917298</v>
      </c>
      <c r="AG115" s="103">
        <f ca="1">IF(AND(Energy!$F$11=$A$3,Main!$B$43=$A115),Summary!AG32,AG115)</f>
        <v>9.3970155670426507</v>
      </c>
      <c r="AH115" s="103">
        <f ca="1">IF(AND(Energy!$F$11=$A$3,Main!$B$43=$A115),Summary!AH32,AH115)</f>
        <v>47</v>
      </c>
      <c r="AI115" s="103">
        <f ca="1">IF(AND(Energy!$F$11=$A$3,Main!$B$43=$A115),Summary!AI32,AI115)</f>
        <v>2.8105029007033946</v>
      </c>
      <c r="AJ115" s="103">
        <f ca="1">IF(AND(Energy!$F$11=$A$3,Main!$B$43=$A115),Summary!AJ32,AJ115)</f>
        <v>0.31110280689953879</v>
      </c>
      <c r="AK115" s="103">
        <f ca="1">IF(AND(Energy!$F$11=$A$3,Main!$B$43=$A115),Summary!AK32,AK115)</f>
        <v>0.01</v>
      </c>
      <c r="AL115" s="103">
        <f ca="1">IF(AND(Energy!$F$11=$A$3,Main!$B$43=$A115),Summary!AL32,AL115)</f>
        <v>-0.33754319154052387</v>
      </c>
      <c r="AM115" s="103">
        <f ca="1">IF(AND(Energy!$F$11=$A$3,Main!$B$43=$A115),Summary!AM32,AM115)</f>
        <v>0.34375</v>
      </c>
    </row>
    <row r="116" spans="1:39">
      <c r="A116">
        <f t="shared" si="7"/>
        <v>6</v>
      </c>
      <c r="D116" s="1">
        <f ca="1">IF(AND(Energy!$F$11=$A$3,Main!$B$43=A116),Main!C33,D116)</f>
        <v>5.3947368421052637</v>
      </c>
      <c r="E116" s="103">
        <f ca="1">IF(AND(Energy!$F$11=$A$3,Main!$B$43=A116),Main!B33,E116)</f>
        <v>0.31111111111111106</v>
      </c>
      <c r="F116" s="103">
        <f ca="1">IF(Main!$D$6=1,U116,IF(Main!$D$6=2,N116,IF(Main!$D$6=3,K116,IF(Main!$D$6=4,V116,J116))))</f>
        <v>389.17883755710989</v>
      </c>
      <c r="G116" s="103">
        <f ca="1">IF(AND(Energy!$F$11=$A$3,Main!$B$43=A116),Weight!H33,G116)</f>
        <v>10</v>
      </c>
      <c r="H116" s="103">
        <f ca="1">IF(AND(Energy!$F$11=$A$3,Main!$B$43=A116),Weight!U33,H116)</f>
        <v>17.338335165768662</v>
      </c>
      <c r="I116" s="103">
        <f ca="1">IF(AND(Energy!$F$11=$A$3,Main!$B$43=A116),Weight!V33,I116)</f>
        <v>39.27628285357985</v>
      </c>
      <c r="J116" s="103">
        <f ca="1">IF(AND(Energy!$F$11=$A$3,Main!$B$43=A116),Weight!I33,J116)</f>
        <v>11.87758941281119</v>
      </c>
      <c r="K116" s="103">
        <f ca="1">IF(AND(Energy!$F$11=$A$3,Main!$B$43=A116),Weight!W33,K116)</f>
        <v>49.276282421292699</v>
      </c>
      <c r="L116" s="103">
        <f ca="1">IF(AND(Energy!$F$11=$A$3,Main!$B$43=A116),'Aerodynamics-Cruise'!BI33,L116)</f>
        <v>49.276283290137577</v>
      </c>
      <c r="M116" s="103">
        <f ca="1">IF(AND(Energy!$F$11=$A$3,Main!$B$43=A116),'Aerodynamics-Cruise'!BJ33,M116)</f>
        <v>2.3424904336163364</v>
      </c>
      <c r="N116" s="103">
        <f ca="1">IF(AND(Energy!$F$11=$A$3,Main!$B$43=A116),'Aerodynamics-Cruise'!BK33,N116)</f>
        <v>21.035852519604472</v>
      </c>
      <c r="O116" s="103">
        <f t="shared" ca="1" si="5"/>
        <v>147.66551657436543</v>
      </c>
      <c r="P116" s="103">
        <f ca="1">IF(AND(Energy!$F$11=$A$3,Main!$B$43=A116),'Aerodynamics-Cruise'!H33,P116)</f>
        <v>7.3361251672005823</v>
      </c>
      <c r="Q116" s="103">
        <f ca="1">IF(AND(Energy!$F$11=$A$3,Main!$B$43=A116),'Aerodynamics-Cruise'!I33,Q116)</f>
        <v>6.1267056087235074</v>
      </c>
      <c r="R116" s="103">
        <f ca="1">IF(AND(Energy!$F$11=$A$3,Main!$B$43=$A116),Summary!R33,R116)</f>
        <v>21.932851354333252</v>
      </c>
      <c r="S116" s="103">
        <f ca="1">IF(AND(Energy!$F$11=$A$3,Main!$B$43=A116),'Aerodynamics-Cruise'!W33,S116)</f>
        <v>1</v>
      </c>
      <c r="T116" s="103">
        <f ca="1">IF(AND(Energy!$F$11=$A$3,Main!$B$43=A116),'Aerodynamics-Cruise'!BL33,T116)</f>
        <v>17.184803023979409</v>
      </c>
      <c r="U116" s="103">
        <f ca="1">IF(AND(Energy!$F$11=$A$3,Main!$B$43=A116),'Propulsion-Cruise'!M33,U116)</f>
        <v>39.78586508960656</v>
      </c>
      <c r="V116" s="103">
        <f ca="1">IF(AND(Energy!$F$11=$A$3,Main!$B$43=A116),Endurance!AP33,V116)</f>
        <v>389.17883755710989</v>
      </c>
      <c r="W116" s="103">
        <f ca="1">IF(AND(Energy!$F$11=$A$3,Main!$B$43=$A116),Summary!W33,W116)</f>
        <v>140.29629385667067</v>
      </c>
      <c r="X116" s="13">
        <f ca="1">IF(AND(Energy!$F$11=$A$3,Main!$B$43=A116),Energy!D33,X116)</f>
        <v>774.01276446142629</v>
      </c>
      <c r="Y116" s="102">
        <f ca="1">IF(AND(Energy!$F$11=$A$3,Main!$B$43=A116),'Aerodynamics-Cruise'!V33,Y116)</f>
        <v>144752.98619470908</v>
      </c>
      <c r="Z116" s="102">
        <f ca="1">IF(AND(Energy!$F$11=$A$3,Main!$B$43=$A116),Summary!Z33,Z116)</f>
        <v>106083.0716576636</v>
      </c>
      <c r="AA116" s="102">
        <f ca="1">IF(AND(Energy!$F$11=$A$3,Main!$B$43=$A116),Summary!AA33,AA116)</f>
        <v>432768.75147918286</v>
      </c>
      <c r="AB116" s="103">
        <f ca="1">IF(AND(Energy!$F$11=$A$3,Main!$B$43=$A116),Summary!AB33,AB116)</f>
        <v>2.491366702702885</v>
      </c>
      <c r="AC116" s="103">
        <f ca="1">IF(AND(Energy!$F$11=$A$3,Main!$B$43=$A116),Summary!AC33,AC116)</f>
        <v>2.5636323126860181</v>
      </c>
      <c r="AD116" s="103">
        <f ca="1">IF(AND(Energy!$F$11=$A$3,Main!$B$43=$A116),Summary!AD33,AD116)</f>
        <v>0.37867298384090325</v>
      </c>
      <c r="AE116" s="103">
        <f ca="1">IF(AND(Energy!$F$11=$A$3,Main!$B$43=$A116),Summary!AE33,AE116)</f>
        <v>1.6783625730994152</v>
      </c>
      <c r="AF116" s="103">
        <f ca="1">IF(AND(Energy!$F$11=$A$3,Main!$B$43=$A116),Summary!AF33,AF116)</f>
        <v>17.34022556390978</v>
      </c>
      <c r="AG116" s="103">
        <f ca="1">IF(AND(Energy!$F$11=$A$3,Main!$B$43=$A116),Summary!AG33,AG116)</f>
        <v>9.4242702912280247</v>
      </c>
      <c r="AH116" s="103">
        <f ca="1">IF(AND(Energy!$F$11=$A$3,Main!$B$43=$A116),Summary!AH33,AH116)</f>
        <v>47</v>
      </c>
      <c r="AI116" s="103">
        <f ca="1">IF(AND(Energy!$F$11=$A$3,Main!$B$43=$A116),Summary!AI33,AI116)</f>
        <v>2.8101889556059536</v>
      </c>
      <c r="AJ116" s="103">
        <f ca="1">IF(AND(Energy!$F$11=$A$3,Main!$B$43=$A116),Summary!AJ33,AJ116)</f>
        <v>0.3117628294083305</v>
      </c>
      <c r="AK116" s="103">
        <f ca="1">IF(AND(Energy!$F$11=$A$3,Main!$B$43=$A116),Summary!AK33,AK116)</f>
        <v>0.01</v>
      </c>
      <c r="AL116" s="103">
        <f ca="1">IF(AND(Energy!$F$11=$A$3,Main!$B$43=$A116),Summary!AL33,AL116)</f>
        <v>-0.33682740836141062</v>
      </c>
      <c r="AM116" s="103">
        <f ca="1">IF(AND(Energy!$F$11=$A$3,Main!$B$43=$A116),Summary!AM33,AM116)</f>
        <v>0.34375</v>
      </c>
    </row>
    <row r="117" spans="1:39">
      <c r="A117">
        <f t="shared" si="7"/>
        <v>6</v>
      </c>
      <c r="D117" s="1">
        <f ca="1">IF(AND(Energy!$F$11=$A$3,Main!$B$43=A117),Main!C34,D117)</f>
        <v>5.552631578947369</v>
      </c>
      <c r="E117" s="103">
        <f ca="1">IF(AND(Energy!$F$11=$A$3,Main!$B$43=A117),Main!B34,E117)</f>
        <v>0.31111111111111106</v>
      </c>
      <c r="F117" s="103">
        <f ca="1">IF(Main!$D$6=1,U117,IF(Main!$D$6=2,N117,IF(Main!$D$6=3,K117,IF(Main!$D$6=4,V117,J117))))</f>
        <v>392.23022629298242</v>
      </c>
      <c r="G117" s="103">
        <f ca="1">IF(AND(Energy!$F$11=$A$3,Main!$B$43=A117),Weight!H34,G117)</f>
        <v>10</v>
      </c>
      <c r="H117" s="103">
        <f ca="1">IF(AND(Energy!$F$11=$A$3,Main!$B$43=A117),Weight!U34,H117)</f>
        <v>17.959942154847667</v>
      </c>
      <c r="I117" s="103">
        <f ca="1">IF(AND(Energy!$F$11=$A$3,Main!$B$43=A117),Weight!V34,I117)</f>
        <v>40.054375346166616</v>
      </c>
      <c r="J117" s="103">
        <f ca="1">IF(AND(Energy!$F$11=$A$3,Main!$B$43=A117),Weight!I34,J117)</f>
        <v>12.034074916318948</v>
      </c>
      <c r="K117" s="103">
        <f ca="1">IF(AND(Energy!$F$11=$A$3,Main!$B$43=A117),Weight!W34,K117)</f>
        <v>50.054374896075046</v>
      </c>
      <c r="L117" s="103">
        <f ca="1">IF(AND(Energy!$F$11=$A$3,Main!$B$43=A117),'Aerodynamics-Cruise'!BI34,L117)</f>
        <v>50.054375800704619</v>
      </c>
      <c r="M117" s="103">
        <f ca="1">IF(AND(Energy!$F$11=$A$3,Main!$B$43=A117),'Aerodynamics-Cruise'!BJ34,M117)</f>
        <v>2.3648736405062221</v>
      </c>
      <c r="N117" s="103">
        <f ca="1">IF(AND(Energy!$F$11=$A$3,Main!$B$43=A117),'Aerodynamics-Cruise'!BK34,N117)</f>
        <v>21.16577179573537</v>
      </c>
      <c r="O117" s="103">
        <f t="shared" ca="1" si="5"/>
        <v>149.74596687304833</v>
      </c>
      <c r="P117" s="103">
        <f ca="1">IF(AND(Energy!$F$11=$A$3,Main!$B$43=A117),'Aerodynamics-Cruise'!H34,P117)</f>
        <v>7.28790979117493</v>
      </c>
      <c r="Q117" s="103">
        <f ca="1">IF(AND(Energy!$F$11=$A$3,Main!$B$43=A117),'Aerodynamics-Cruise'!I34,Q117)</f>
        <v>6.0867389207335565</v>
      </c>
      <c r="R117" s="103">
        <f ca="1">IF(AND(Energy!$F$11=$A$3,Main!$B$43=$A117),Summary!R34,R117)</f>
        <v>21.745140184306262</v>
      </c>
      <c r="S117" s="103">
        <f ca="1">IF(AND(Energy!$F$11=$A$3,Main!$B$43=A117),'Aerodynamics-Cruise'!W34,S117)</f>
        <v>1</v>
      </c>
      <c r="T117" s="103">
        <f ca="1">IF(AND(Energy!$F$11=$A$3,Main!$B$43=A117),'Aerodynamics-Cruise'!BL34,T117)</f>
        <v>17.234985759536798</v>
      </c>
      <c r="U117" s="103">
        <f ca="1">IF(AND(Energy!$F$11=$A$3,Main!$B$43=A117),'Propulsion-Cruise'!M34,U117)</f>
        <v>39.985322928044845</v>
      </c>
      <c r="V117" s="103">
        <f ca="1">IF(AND(Energy!$F$11=$A$3,Main!$B$43=A117),Endurance!AP34,V117)</f>
        <v>392.23022629298242</v>
      </c>
      <c r="W117" s="103">
        <f ca="1">IF(AND(Energy!$F$11=$A$3,Main!$B$43=$A117),Summary!W34,W117)</f>
        <v>143.23415417527548</v>
      </c>
      <c r="X117" s="13">
        <f ca="1">IF(AND(Energy!$F$11=$A$3,Main!$B$43=A117),Energy!D34,X117)</f>
        <v>779.31723490987133</v>
      </c>
      <c r="Y117" s="102">
        <f ca="1">IF(AND(Energy!$F$11=$A$3,Main!$B$43=A117),'Aerodynamics-Cruise'!V34,Y117)</f>
        <v>143801.6229748695</v>
      </c>
      <c r="Z117" s="102">
        <f ca="1">IF(AND(Energy!$F$11=$A$3,Main!$B$43=$A117),Summary!Z34,Z117)</f>
        <v>105391.01805248151</v>
      </c>
      <c r="AA117" s="102">
        <f ca="1">IF(AND(Energy!$F$11=$A$3,Main!$B$43=$A117),Summary!AA34,AA117)</f>
        <v>429064.92257983517</v>
      </c>
      <c r="AB117" s="103">
        <f ca="1">IF(AND(Energy!$F$11=$A$3,Main!$B$43=$A117),Summary!AB34,AB117)</f>
        <v>2.4973007097649504</v>
      </c>
      <c r="AC117" s="103">
        <f ca="1">IF(AND(Energy!$F$11=$A$3,Main!$B$43=$A117),Summary!AC34,AC117)</f>
        <v>2.5071010331800134</v>
      </c>
      <c r="AD117" s="103">
        <f ca="1">IF(AND(Energy!$F$11=$A$3,Main!$B$43=$A117),Summary!AD34,AD117)</f>
        <v>0.37907460103830537</v>
      </c>
      <c r="AE117" s="103">
        <f ca="1">IF(AND(Energy!$F$11=$A$3,Main!$B$43=$A117),Summary!AE34,AE117)</f>
        <v>1.727485380116959</v>
      </c>
      <c r="AF117" s="103">
        <f ca="1">IF(AND(Energy!$F$11=$A$3,Main!$B$43=$A117),Summary!AF34,AF117)</f>
        <v>17.847744360902261</v>
      </c>
      <c r="AG117" s="103">
        <f ca="1">IF(AND(Energy!$F$11=$A$3,Main!$B$43=$A117),Summary!AG34,AG117)</f>
        <v>9.4611964345498443</v>
      </c>
      <c r="AH117" s="103">
        <f ca="1">IF(AND(Energy!$F$11=$A$3,Main!$B$43=$A117),Summary!AH34,AH117)</f>
        <v>47</v>
      </c>
      <c r="AI117" s="103">
        <f ca="1">IF(AND(Energy!$F$11=$A$3,Main!$B$43=$A117),Summary!AI34,AI117)</f>
        <v>2.8099119561766464</v>
      </c>
      <c r="AJ117" s="103">
        <f ca="1">IF(AND(Energy!$F$11=$A$3,Main!$B$43=$A117),Summary!AJ34,AJ117)</f>
        <v>0.31232930922344776</v>
      </c>
      <c r="AK117" s="103">
        <f ca="1">IF(AND(Energy!$F$11=$A$3,Main!$B$43=$A117),Summary!AK34,AK117)</f>
        <v>0.01</v>
      </c>
      <c r="AL117" s="103">
        <f ca="1">IF(AND(Energy!$F$11=$A$3,Main!$B$43=$A117),Summary!AL34,AL117)</f>
        <v>-0.33621541323504101</v>
      </c>
      <c r="AM117" s="103">
        <f ca="1">IF(AND(Energy!$F$11=$A$3,Main!$B$43=$A117),Summary!AM34,AM117)</f>
        <v>0.34375</v>
      </c>
    </row>
    <row r="118" spans="1:39">
      <c r="A118">
        <f t="shared" si="7"/>
        <v>6</v>
      </c>
      <c r="D118" s="1">
        <f ca="1">IF(AND(Energy!$F$11=$A$3,Main!$B$43=A118),Main!C35,D118)</f>
        <v>5.7105263157894743</v>
      </c>
      <c r="E118" s="103">
        <f ca="1">IF(AND(Energy!$F$11=$A$3,Main!$B$43=A118),Main!B35,E118)</f>
        <v>0.31111111111111106</v>
      </c>
      <c r="F118" s="103">
        <f ca="1">IF(Main!$D$6=1,U118,IF(Main!$D$6=2,N118,IF(Main!$D$6=3,K118,IF(Main!$D$6=4,V118,J118))))</f>
        <v>395.91741580119646</v>
      </c>
      <c r="G118" s="103">
        <f ca="1">IF(AND(Energy!$F$11=$A$3,Main!$B$43=A118),Weight!H35,G118)</f>
        <v>10</v>
      </c>
      <c r="H118" s="103">
        <f ca="1">IF(AND(Energy!$F$11=$A$3,Main!$B$43=A118),Weight!U35,H118)</f>
        <v>18.602869926449173</v>
      </c>
      <c r="I118" s="103">
        <f ca="1">IF(AND(Energy!$F$11=$A$3,Main!$B$43=A118),Weight!V35,I118)</f>
        <v>40.888150837341556</v>
      </c>
      <c r="J118" s="103">
        <f ca="1">IF(AND(Energy!$F$11=$A$3,Main!$B$43=A118),Weight!I35,J118)</f>
        <v>12.224922635892387</v>
      </c>
      <c r="K118" s="103">
        <f ca="1">IF(AND(Energy!$F$11=$A$3,Main!$B$43=A118),Weight!W35,K118)</f>
        <v>50.888150368278332</v>
      </c>
      <c r="L118" s="103">
        <f ca="1">IF(AND(Energy!$F$11=$A$3,Main!$B$43=A118),'Aerodynamics-Cruise'!BI35,L118)</f>
        <v>50.88815131103852</v>
      </c>
      <c r="M118" s="103">
        <f ca="1">IF(AND(Energy!$F$11=$A$3,Main!$B$43=A118),'Aerodynamics-Cruise'!BJ35,M118)</f>
        <v>2.39008865751532</v>
      </c>
      <c r="N118" s="103">
        <f ca="1">IF(AND(Energy!$F$11=$A$3,Main!$B$43=A118),'Aerodynamics-Cruise'!BK35,N118)</f>
        <v>21.291323713464525</v>
      </c>
      <c r="O118" s="103">
        <f t="shared" ca="1" si="5"/>
        <v>151.8836411181467</v>
      </c>
      <c r="P118" s="103">
        <f ca="1">IF(AND(Energy!$F$11=$A$3,Main!$B$43=A118),'Aerodynamics-Cruise'!H35,P118)</f>
        <v>7.2460325871302285</v>
      </c>
      <c r="Q118" s="103">
        <f ca="1">IF(AND(Energy!$F$11=$A$3,Main!$B$43=A118),'Aerodynamics-Cruise'!I35,Q118)</f>
        <v>6.0520254009144017</v>
      </c>
      <c r="R118" s="103">
        <f ca="1">IF(AND(Energy!$F$11=$A$3,Main!$B$43=$A118),Summary!R35,R118)</f>
        <v>21.562858708015114</v>
      </c>
      <c r="S118" s="103">
        <f ca="1">IF(AND(Energy!$F$11=$A$3,Main!$B$43=A118),'Aerodynamics-Cruise'!W35,S118)</f>
        <v>1</v>
      </c>
      <c r="T118" s="103">
        <f ca="1">IF(AND(Energy!$F$11=$A$3,Main!$B$43=A118),'Aerodynamics-Cruise'!BL35,T118)</f>
        <v>17.31866029848635</v>
      </c>
      <c r="U118" s="103">
        <f ca="1">IF(AND(Energy!$F$11=$A$3,Main!$B$43=A118),'Propulsion-Cruise'!M35,U118)</f>
        <v>40.251692344118283</v>
      </c>
      <c r="V118" s="103">
        <f ca="1">IF(AND(Energy!$F$11=$A$3,Main!$B$43=A118),Endurance!AP35,V118)</f>
        <v>395.91741580119646</v>
      </c>
      <c r="W118" s="103">
        <f ca="1">IF(AND(Energy!$F$11=$A$3,Main!$B$43=$A118),Summary!W35,W118)</f>
        <v>146.81713113524222</v>
      </c>
      <c r="X118" s="13">
        <f ca="1">IF(AND(Energy!$F$11=$A$3,Main!$B$43=A118),Energy!D35,X118)</f>
        <v>785.78649932277608</v>
      </c>
      <c r="Y118" s="102">
        <f ca="1">IF(AND(Energy!$F$11=$A$3,Main!$B$43=A118),'Aerodynamics-Cruise'!V35,Y118)</f>
        <v>142975.32159630826</v>
      </c>
      <c r="Z118" s="102">
        <f ca="1">IF(AND(Energy!$F$11=$A$3,Main!$B$43=$A118),Summary!Z35,Z118)</f>
        <v>104789.92712940117</v>
      </c>
      <c r="AA118" s="102">
        <f ca="1">IF(AND(Energy!$F$11=$A$3,Main!$B$43=$A118),Summary!AA35,AA118)</f>
        <v>425468.22985448566</v>
      </c>
      <c r="AB118" s="103">
        <f ca="1">IF(AND(Energy!$F$11=$A$3,Main!$B$43=$A118),Summary!AB35,AB118)</f>
        <v>2.5096996417024289</v>
      </c>
      <c r="AC118" s="103">
        <f ca="1">IF(AND(Energy!$F$11=$A$3,Main!$B$43=$A118),Summary!AC35,AC118)</f>
        <v>2.4509564814293996</v>
      </c>
      <c r="AD118" s="103">
        <f ca="1">IF(AND(Energy!$F$11=$A$3,Main!$B$43=$A118),Summary!AD35,AD118)</f>
        <v>0.37975223891751969</v>
      </c>
      <c r="AE118" s="103">
        <f ca="1">IF(AND(Energy!$F$11=$A$3,Main!$B$43=$A118),Summary!AE35,AE118)</f>
        <v>1.7766081871345027</v>
      </c>
      <c r="AF118" s="103">
        <f ca="1">IF(AND(Energy!$F$11=$A$3,Main!$B$43=$A118),Summary!AF35,AF118)</f>
        <v>18.35526315789474</v>
      </c>
      <c r="AG118" s="103">
        <f ca="1">IF(AND(Energy!$F$11=$A$3,Main!$B$43=$A118),Summary!AG35,AG118)</f>
        <v>9.5071052098424609</v>
      </c>
      <c r="AH118" s="103">
        <f ca="1">IF(AND(Energy!$F$11=$A$3,Main!$B$43=$A118),Summary!AH35,AH118)</f>
        <v>47</v>
      </c>
      <c r="AI118" s="103">
        <f ca="1">IF(AND(Energy!$F$11=$A$3,Main!$B$43=$A118),Summary!AI35,AI118)</f>
        <v>2.8096690339524928</v>
      </c>
      <c r="AJ118" s="103">
        <f ca="1">IF(AND(Energy!$F$11=$A$3,Main!$B$43=$A118),Summary!AJ35,AJ118)</f>
        <v>0.31280884346112064</v>
      </c>
      <c r="AK118" s="103">
        <f ca="1">IF(AND(Energy!$F$11=$A$3,Main!$B$43=$A118),Summary!AK35,AK118)</f>
        <v>0.01</v>
      </c>
      <c r="AL118" s="103">
        <f ca="1">IF(AND(Energy!$F$11=$A$3,Main!$B$43=$A118),Summary!AL35,AL118)</f>
        <v>-0.33569900356826415</v>
      </c>
      <c r="AM118" s="103">
        <f ca="1">IF(AND(Energy!$F$11=$A$3,Main!$B$43=$A118),Summary!AM35,AM118)</f>
        <v>0.34375</v>
      </c>
    </row>
    <row r="119" spans="1:39">
      <c r="A119">
        <f t="shared" si="7"/>
        <v>6</v>
      </c>
      <c r="D119" s="1">
        <f ca="1">IF(AND(Energy!$F$11=$A$3,Main!$B$43=A119),Main!C36,D119)</f>
        <v>5.8684210526315796</v>
      </c>
      <c r="E119" s="103">
        <f ca="1">IF(AND(Energy!$F$11=$A$3,Main!$B$43=A119),Main!B36,E119)</f>
        <v>0.31111111111111106</v>
      </c>
      <c r="F119" s="103">
        <f ca="1">IF(Main!$D$6=1,U119,IF(Main!$D$6=2,N119,IF(Main!$D$6=3,K119,IF(Main!$D$6=4,V119,J119))))</f>
        <v>400.20681463637868</v>
      </c>
      <c r="G119" s="103">
        <f ca="1">IF(AND(Energy!$F$11=$A$3,Main!$B$43=A119),Weight!H36,G119)</f>
        <v>10</v>
      </c>
      <c r="H119" s="103">
        <f ca="1">IF(AND(Energy!$F$11=$A$3,Main!$B$43=A119),Weight!U36,H119)</f>
        <v>19.267334838858375</v>
      </c>
      <c r="I119" s="103">
        <f ca="1">IF(AND(Energy!$F$11=$A$3,Main!$B$43=A119),Weight!V36,I119)</f>
        <v>41.776005028086942</v>
      </c>
      <c r="J119" s="103">
        <f ca="1">IF(AND(Energy!$F$11=$A$3,Main!$B$43=A119),Weight!I36,J119)</f>
        <v>12.448311914228565</v>
      </c>
      <c r="K119" s="103">
        <f ca="1">IF(AND(Energy!$F$11=$A$3,Main!$B$43=A119),Weight!W36,K119)</f>
        <v>51.776004538903244</v>
      </c>
      <c r="L119" s="103">
        <f ca="1">IF(AND(Energy!$F$11=$A$3,Main!$B$43=A119),'Aerodynamics-Cruise'!BI36,L119)</f>
        <v>51.776005522103027</v>
      </c>
      <c r="M119" s="103">
        <f ca="1">IF(AND(Energy!$F$11=$A$3,Main!$B$43=A119),'Aerodynamics-Cruise'!BJ36,M119)</f>
        <v>2.4179905125654026</v>
      </c>
      <c r="N119" s="103">
        <f ca="1">IF(AND(Energy!$F$11=$A$3,Main!$B$43=A119),'Aerodynamics-Cruise'!BK36,N119)</f>
        <v>21.412824100443022</v>
      </c>
      <c r="O119" s="103">
        <f t="shared" ca="1" si="5"/>
        <v>154.07714424150845</v>
      </c>
      <c r="P119" s="103">
        <f ca="1">IF(AND(Energy!$F$11=$A$3,Main!$B$43=A119),'Aerodynamics-Cruise'!H36,P119)</f>
        <v>7.2099521810921843</v>
      </c>
      <c r="Q119" s="103">
        <f ca="1">IF(AND(Energy!$F$11=$A$3,Main!$B$43=A119),'Aerodynamics-Cruise'!I36,Q119)</f>
        <v>6.0221168752500729</v>
      </c>
      <c r="R119" s="103">
        <f ca="1">IF(AND(Energy!$F$11=$A$3,Main!$B$43=$A119),Summary!R36,R119)</f>
        <v>21.346069813744716</v>
      </c>
      <c r="S119" s="103">
        <f ca="1">IF(AND(Energy!$F$11=$A$3,Main!$B$43=A119),'Aerodynamics-Cruise'!W36,S119)</f>
        <v>1</v>
      </c>
      <c r="T119" s="103">
        <f ca="1">IF(AND(Energy!$F$11=$A$3,Main!$B$43=A119),'Aerodynamics-Cruise'!BL36,T119)</f>
        <v>17.433595969931133</v>
      </c>
      <c r="U119" s="103">
        <f ca="1">IF(AND(Energy!$F$11=$A$3,Main!$B$43=A119),'Propulsion-Cruise'!M36,U119)</f>
        <v>40.581056935676934</v>
      </c>
      <c r="V119" s="103">
        <f ca="1">IF(AND(Energy!$F$11=$A$3,Main!$B$43=A119),Endurance!AP36,V119)</f>
        <v>400.20681463637868</v>
      </c>
      <c r="W119" s="103">
        <f ca="1">IF(AND(Energy!$F$11=$A$3,Main!$B$43=$A119),Summary!W36,W119)</f>
        <v>151.01104369445005</v>
      </c>
      <c r="X119" s="13">
        <f ca="1">IF(AND(Energy!$F$11=$A$3,Main!$B$43=A119),Energy!D36,X119)</f>
        <v>793.35884192891979</v>
      </c>
      <c r="Y119" s="102">
        <f ca="1">IF(AND(Energy!$F$11=$A$3,Main!$B$43=A119),'Aerodynamics-Cruise'!V36,Y119)</f>
        <v>142263.39992129718</v>
      </c>
      <c r="Z119" s="102">
        <f ca="1">IF(AND(Energy!$F$11=$A$3,Main!$B$43=$A119),Summary!Z36,Z119)</f>
        <v>104272.03834491393</v>
      </c>
      <c r="AA119" s="102">
        <f ca="1">IF(AND(Energy!$F$11=$A$3,Main!$B$43=$A119),Summary!AA36,AA119)</f>
        <v>421190.65291785001</v>
      </c>
      <c r="AB119" s="103">
        <f ca="1">IF(AND(Energy!$F$11=$A$3,Main!$B$43=$A119),Summary!AB36,AB119)</f>
        <v>2.5281497268355015</v>
      </c>
      <c r="AC119" s="103">
        <f ca="1">IF(AND(Energy!$F$11=$A$3,Main!$B$43=$A119),Summary!AC36,AC119)</f>
        <v>2.395319676612826</v>
      </c>
      <c r="AD119" s="103">
        <f ca="1">IF(AND(Energy!$F$11=$A$3,Main!$B$43=$A119),Summary!AD36,AD119)</f>
        <v>0.38068555754261324</v>
      </c>
      <c r="AE119" s="103">
        <f ca="1">IF(AND(Energy!$F$11=$A$3,Main!$B$43=$A119),Summary!AE36,AE119)</f>
        <v>1.8257309941520468</v>
      </c>
      <c r="AF119" s="103">
        <f ca="1">IF(AND(Energy!$F$11=$A$3,Main!$B$43=$A119),Summary!AF36,AF119)</f>
        <v>18.862781954887222</v>
      </c>
      <c r="AG119" s="103">
        <f ca="1">IF(AND(Energy!$F$11=$A$3,Main!$B$43=$A119),Summary!AG36,AG119)</f>
        <v>9.5614325686061346</v>
      </c>
      <c r="AH119" s="103">
        <f ca="1">IF(AND(Energy!$F$11=$A$3,Main!$B$43=$A119),Summary!AH36,AH119)</f>
        <v>47</v>
      </c>
      <c r="AI119" s="103">
        <f ca="1">IF(AND(Energy!$F$11=$A$3,Main!$B$43=$A119),Summary!AI36,AI119)</f>
        <v>2.8094576689041562</v>
      </c>
      <c r="AJ119" s="103">
        <f ca="1">IF(AND(Energy!$F$11=$A$3,Main!$B$43=$A119),Summary!AJ36,AJ119)</f>
        <v>0.31320729365749111</v>
      </c>
      <c r="AK119" s="103">
        <f ca="1">IF(AND(Energy!$F$11=$A$3,Main!$B$43=$A119),Summary!AK36,AK119)</f>
        <v>0.01</v>
      </c>
      <c r="AL119" s="103">
        <f ca="1">IF(AND(Energy!$F$11=$A$3,Main!$B$43=$A119),Summary!AL36,AL119)</f>
        <v>-0.33527102727872393</v>
      </c>
      <c r="AM119" s="103">
        <f ca="1">IF(AND(Energy!$F$11=$A$3,Main!$B$43=$A119),Summary!AM36,AM119)</f>
        <v>0.34375</v>
      </c>
    </row>
    <row r="120" spans="1:39">
      <c r="A120">
        <f t="shared" si="7"/>
        <v>6</v>
      </c>
      <c r="D120" s="1">
        <f ca="1">IF(AND(Energy!$F$11=$A$3,Main!$B$43=A120),Main!C37,D120)</f>
        <v>6.026315789473685</v>
      </c>
      <c r="E120" s="103">
        <f ca="1">IF(AND(Energy!$F$11=$A$3,Main!$B$43=A120),Main!B37,E120)</f>
        <v>0.31111111111111106</v>
      </c>
      <c r="F120" s="103">
        <f ca="1">IF(Main!$D$6=1,U120,IF(Main!$D$6=2,N120,IF(Main!$D$6=3,K120,IF(Main!$D$6=4,V120,J120))))</f>
        <v>405.07228240703961</v>
      </c>
      <c r="G120" s="103">
        <f ca="1">IF(AND(Energy!$F$11=$A$3,Main!$B$43=A120),Weight!H37,G120)</f>
        <v>10</v>
      </c>
      <c r="H120" s="103">
        <f ca="1">IF(AND(Energy!$F$11=$A$3,Main!$B$43=A120),Weight!U37,H120)</f>
        <v>19.953602318508693</v>
      </c>
      <c r="I120" s="103">
        <f ca="1">IF(AND(Energy!$F$11=$A$3,Main!$B$43=A120),Weight!V37,I120)</f>
        <v>42.716782587652418</v>
      </c>
      <c r="J120" s="103">
        <f ca="1">IF(AND(Energy!$F$11=$A$3,Main!$B$43=A120),Weight!I37,J120)</f>
        <v>12.702821994143722</v>
      </c>
      <c r="K120" s="103">
        <f ca="1">IF(AND(Energy!$F$11=$A$3,Main!$B$43=A120),Weight!W37,K120)</f>
        <v>52.71678207720732</v>
      </c>
      <c r="L120" s="103">
        <f ca="1">IF(AND(Energy!$F$11=$A$3,Main!$B$43=A120),'Aerodynamics-Cruise'!BI37,L120)</f>
        <v>52.716783103139768</v>
      </c>
      <c r="M120" s="103">
        <f ca="1">IF(AND(Energy!$F$11=$A$3,Main!$B$43=A120),'Aerodynamics-Cruise'!BJ37,M120)</f>
        <v>2.4484633246624474</v>
      </c>
      <c r="N120" s="103">
        <f ca="1">IF(AND(Energy!$F$11=$A$3,Main!$B$43=A120),'Aerodynamics-Cruise'!BK37,N120)</f>
        <v>21.530558604714841</v>
      </c>
      <c r="O120" s="103">
        <f t="shared" ca="1" si="5"/>
        <v>156.32547177388909</v>
      </c>
      <c r="P120" s="103">
        <f ca="1">IF(AND(Energy!$F$11=$A$3,Main!$B$43=A120),'Aerodynamics-Cruise'!H37,P120)</f>
        <v>7.179200563620042</v>
      </c>
      <c r="Q120" s="103">
        <f ca="1">IF(AND(Energy!$F$11=$A$3,Main!$B$43=A120),'Aerodynamics-Cruise'!I37,Q120)</f>
        <v>5.9966258451528613</v>
      </c>
      <c r="R120" s="103">
        <f ca="1">IF(AND(Energy!$F$11=$A$3,Main!$B$43=$A120),Summary!R37,R120)</f>
        <v>21.137459045009603</v>
      </c>
      <c r="S120" s="103">
        <f ca="1">IF(AND(Energy!$F$11=$A$3,Main!$B$43=A120),'Aerodynamics-Cruise'!W37,S120)</f>
        <v>1</v>
      </c>
      <c r="T120" s="103">
        <f ca="1">IF(AND(Energy!$F$11=$A$3,Main!$B$43=A120),'Aerodynamics-Cruise'!BL37,T120)</f>
        <v>17.578009280419643</v>
      </c>
      <c r="U120" s="103">
        <f ca="1">IF(AND(Energy!$F$11=$A$3,Main!$B$43=A120),'Propulsion-Cruise'!M37,U120)</f>
        <v>40.970330343463097</v>
      </c>
      <c r="V120" s="103">
        <f ca="1">IF(AND(Energy!$F$11=$A$3,Main!$B$43=A120),Endurance!AP37,V120)</f>
        <v>405.07228240703961</v>
      </c>
      <c r="W120" s="103">
        <f ca="1">IF(AND(Energy!$F$11=$A$3,Main!$B$43=$A120),Summary!W37,W120)</f>
        <v>155.78921854026368</v>
      </c>
      <c r="X120" s="13">
        <f ca="1">IF(AND(Energy!$F$11=$A$3,Main!$B$43=A120),Energy!D37,X120)</f>
        <v>801.98610258007261</v>
      </c>
      <c r="Y120" s="102">
        <f ca="1">IF(AND(Energy!$F$11=$A$3,Main!$B$43=A120),'Aerodynamics-Cruise'!V37,Y120)</f>
        <v>141656.62340672626</v>
      </c>
      <c r="Z120" s="102">
        <f ca="1">IF(AND(Energy!$F$11=$A$3,Main!$B$43=$A120),Summary!Z37,Z120)</f>
        <v>103830.64181318395</v>
      </c>
      <c r="AA120" s="102">
        <f ca="1">IF(AND(Energy!$F$11=$A$3,Main!$B$43=$A120),Summary!AA37,AA120)</f>
        <v>417074.4429243523</v>
      </c>
      <c r="AB120" s="103">
        <f ca="1">IF(AND(Energy!$F$11=$A$3,Main!$B$43=$A120),Summary!AB37,AB120)</f>
        <v>2.5523323137387339</v>
      </c>
      <c r="AC120" s="103">
        <f ca="1">IF(AND(Energy!$F$11=$A$3,Main!$B$43=$A120),Summary!AC37,AC120)</f>
        <v>2.3402853576496074</v>
      </c>
      <c r="AD120" s="103">
        <f ca="1">IF(AND(Energy!$F$11=$A$3,Main!$B$43=$A120),Summary!AD37,AD120)</f>
        <v>0.38185724734253373</v>
      </c>
      <c r="AE120" s="103">
        <f ca="1">IF(AND(Energy!$F$11=$A$3,Main!$B$43=$A120),Summary!AE37,AE120)</f>
        <v>1.8748538011695906</v>
      </c>
      <c r="AF120" s="103">
        <f ca="1">IF(AND(Energy!$F$11=$A$3,Main!$B$43=$A120),Summary!AF37,AF120)</f>
        <v>19.370300751879704</v>
      </c>
      <c r="AG120" s="103">
        <f ca="1">IF(AND(Energy!$F$11=$A$3,Main!$B$43=$A120),Summary!AG37,AG120)</f>
        <v>9.6237166727862071</v>
      </c>
      <c r="AH120" s="103">
        <f ca="1">IF(AND(Energy!$F$11=$A$3,Main!$B$43=$A120),Summary!AH37,AH120)</f>
        <v>47</v>
      </c>
      <c r="AI120" s="103">
        <f ca="1">IF(AND(Energy!$F$11=$A$3,Main!$B$43=$A120),Summary!AI37,AI120)</f>
        <v>2.8092756340169687</v>
      </c>
      <c r="AJ120" s="103">
        <f ca="1">IF(AND(Energy!$F$11=$A$3,Main!$B$43=$A120),Summary!AJ37,AJ120)</f>
        <v>0.31352989604297715</v>
      </c>
      <c r="AK120" s="103">
        <f ca="1">IF(AND(Energy!$F$11=$A$3,Main!$B$43=$A120),Summary!AK37,AK120)</f>
        <v>0.01</v>
      </c>
      <c r="AL120" s="103">
        <f ca="1">IF(AND(Energy!$F$11=$A$3,Main!$B$43=$A120),Summary!AL37,AL120)</f>
        <v>-0.33492521416965998</v>
      </c>
      <c r="AM120" s="103">
        <f ca="1">IF(AND(Energy!$F$11=$A$3,Main!$B$43=$A120),Summary!AM37,AM120)</f>
        <v>0.34375</v>
      </c>
    </row>
    <row r="121" spans="1:39">
      <c r="A121">
        <f t="shared" si="7"/>
        <v>6</v>
      </c>
      <c r="D121" s="1">
        <f ca="1">IF(AND(Energy!$F$11=$A$3,Main!$B$43=A121),Main!C38,D121)</f>
        <v>6.1842105263157903</v>
      </c>
      <c r="E121" s="103">
        <f ca="1">IF(AND(Energy!$F$11=$A$3,Main!$B$43=A121),Main!B38,E121)</f>
        <v>0.31111111111111106</v>
      </c>
      <c r="F121" s="103">
        <f ca="1">IF(Main!$D$6=1,U121,IF(Main!$D$6=2,N121,IF(Main!$D$6=3,K121,IF(Main!$D$6=4,V121,J121))))</f>
        <v>410.49386697592854</v>
      </c>
      <c r="G121" s="103">
        <f ca="1">IF(AND(Energy!$F$11=$A$3,Main!$B$43=A121),Weight!H38,G121)</f>
        <v>10</v>
      </c>
      <c r="H121" s="103">
        <f ca="1">IF(AND(Energy!$F$11=$A$3,Main!$B$43=A121),Weight!U38,H121)</f>
        <v>20.661980787626526</v>
      </c>
      <c r="I121" s="103">
        <f ca="1">IF(AND(Energy!$F$11=$A$3,Main!$B$43=A121),Weight!V38,I121)</f>
        <v>43.709703442193415</v>
      </c>
      <c r="J121" s="103">
        <f ca="1">IF(AND(Energy!$F$11=$A$3,Main!$B$43=A121),Weight!I38,J121)</f>
        <v>12.987364379566893</v>
      </c>
      <c r="K121" s="103">
        <f ca="1">IF(AND(Energy!$F$11=$A$3,Main!$B$43=A121),Weight!W38,K121)</f>
        <v>53.709702909345864</v>
      </c>
      <c r="L121" s="103">
        <f ca="1">IF(AND(Energy!$F$11=$A$3,Main!$B$43=A121),'Aerodynamics-Cruise'!BI38,L121)</f>
        <v>53.709703980304361</v>
      </c>
      <c r="M121" s="103">
        <f ca="1">IF(AND(Energy!$F$11=$A$3,Main!$B$43=A121),'Aerodynamics-Cruise'!BJ38,M121)</f>
        <v>2.481415444808091</v>
      </c>
      <c r="N121" s="103">
        <f ca="1">IF(AND(Energy!$F$11=$A$3,Main!$B$43=A121),'Aerodynamics-Cruise'!BK38,N121)</f>
        <v>21.644785073246045</v>
      </c>
      <c r="O121" s="103">
        <f t="shared" ca="1" si="5"/>
        <v>158.62793005492654</v>
      </c>
      <c r="P121" s="103">
        <f ca="1">IF(AND(Energy!$F$11=$A$3,Main!$B$43=A121),'Aerodynamics-Cruise'!H38,P121)</f>
        <v>7.1533709802433503</v>
      </c>
      <c r="Q121" s="103">
        <f ca="1">IF(AND(Energy!$F$11=$A$3,Main!$B$43=A121),'Aerodynamics-Cruise'!I38,Q121)</f>
        <v>5.975215477993431</v>
      </c>
      <c r="R121" s="103">
        <f ca="1">IF(AND(Energy!$F$11=$A$3,Main!$B$43=$A121),Summary!R38,R121)</f>
        <v>20.936538110544326</v>
      </c>
      <c r="S121" s="103">
        <f ca="1">IF(AND(Energy!$F$11=$A$3,Main!$B$43=A121),'Aerodynamics-Cruise'!W38,S121)</f>
        <v>1</v>
      </c>
      <c r="T121" s="103">
        <f ca="1">IF(AND(Energy!$F$11=$A$3,Main!$B$43=A121),'Aerodynamics-Cruise'!BL38,T121)</f>
        <v>17.750485232817841</v>
      </c>
      <c r="U121" s="103">
        <f ca="1">IF(AND(Energy!$F$11=$A$3,Main!$B$43=A121),'Propulsion-Cruise'!M38,U121)</f>
        <v>41.417114443155135</v>
      </c>
      <c r="V121" s="103">
        <f ca="1">IF(AND(Energy!$F$11=$A$3,Main!$B$43=A121),Endurance!AP38,V121)</f>
        <v>410.49386697592854</v>
      </c>
      <c r="W121" s="103">
        <f ca="1">IF(AND(Energy!$F$11=$A$3,Main!$B$43=$A121),Summary!W38,W121)</f>
        <v>161.13122023406146</v>
      </c>
      <c r="X121" s="13">
        <f ca="1">IF(AND(Energy!$F$11=$A$3,Main!$B$43=A121),Energy!D38,X121)</f>
        <v>811.63138395631995</v>
      </c>
      <c r="Y121" s="102">
        <f ca="1">IF(AND(Energy!$F$11=$A$3,Main!$B$43=A121),'Aerodynamics-Cruise'!V38,Y121)</f>
        <v>141146.96616387309</v>
      </c>
      <c r="Z121" s="102">
        <f ca="1">IF(AND(Energy!$F$11=$A$3,Main!$B$43=$A121),Summary!Z38,Z121)</f>
        <v>103459.90498107183</v>
      </c>
      <c r="AA121" s="102">
        <f ca="1">IF(AND(Energy!$F$11=$A$3,Main!$B$43=$A121),Summary!AA38,AA121)</f>
        <v>413109.96513941581</v>
      </c>
      <c r="AB121" s="103">
        <f ca="1">IF(AND(Energy!$F$11=$A$3,Main!$B$43=$A121),Summary!AB38,AB121)</f>
        <v>2.582006929456282</v>
      </c>
      <c r="AC121" s="103">
        <f ca="1">IF(AND(Energy!$F$11=$A$3,Main!$B$43=$A121),Summary!AC38,AC121)</f>
        <v>2.285927155280612</v>
      </c>
      <c r="AD121" s="103">
        <f ca="1">IF(AND(Energy!$F$11=$A$3,Main!$B$43=$A121),Summary!AD38,AD121)</f>
        <v>0.38325252706911045</v>
      </c>
      <c r="AE121" s="103">
        <f ca="1">IF(AND(Energy!$F$11=$A$3,Main!$B$43=$A121),Summary!AE38,AE121)</f>
        <v>1.9239766081871343</v>
      </c>
      <c r="AF121" s="103">
        <f ca="1">IF(AND(Energy!$F$11=$A$3,Main!$B$43=$A121),Summary!AF38,AF121)</f>
        <v>19.877819548872189</v>
      </c>
      <c r="AG121" s="103">
        <f ca="1">IF(AND(Energy!$F$11=$A$3,Main!$B$43=$A121),Summary!AG38,AG121)</f>
        <v>9.6935804447111309</v>
      </c>
      <c r="AH121" s="103">
        <f ca="1">IF(AND(Energy!$F$11=$A$3,Main!$B$43=$A121),Summary!AH38,AH121)</f>
        <v>47</v>
      </c>
      <c r="AI121" s="103">
        <f ca="1">IF(AND(Energy!$F$11=$A$3,Main!$B$43=$A121),Summary!AI38,AI121)</f>
        <v>2.8091209509132589</v>
      </c>
      <c r="AJ121" s="103">
        <f ca="1">IF(AND(Energy!$F$11=$A$3,Main!$B$43=$A121),Summary!AJ38,AJ121)</f>
        <v>0.31378135064237794</v>
      </c>
      <c r="AK121" s="103">
        <f ca="1">IF(AND(Energy!$F$11=$A$3,Main!$B$43=$A121),Summary!AK38,AK121)</f>
        <v>0.01</v>
      </c>
      <c r="AL121" s="103">
        <f ca="1">IF(AND(Energy!$F$11=$A$3,Main!$B$43=$A121),Summary!AL38,AL121)</f>
        <v>-0.33465604083530576</v>
      </c>
      <c r="AM121" s="103">
        <f ca="1">IF(AND(Energy!$F$11=$A$3,Main!$B$43=$A121),Summary!AM38,AM121)</f>
        <v>0.34375</v>
      </c>
    </row>
    <row r="122" spans="1:39">
      <c r="A122">
        <f t="shared" si="7"/>
        <v>6</v>
      </c>
      <c r="D122" s="1">
        <f ca="1">IF(AND(Energy!$F$11=$A$3,Main!$B$43=A122),Main!C39,D122)</f>
        <v>6.3421052631578956</v>
      </c>
      <c r="E122" s="103">
        <f ca="1">IF(AND(Energy!$F$11=$A$3,Main!$B$43=A122),Main!B39,E122)</f>
        <v>0.31111111111111106</v>
      </c>
      <c r="F122" s="103">
        <f ca="1">IF(Main!$D$6=1,U122,IF(Main!$D$6=2,N122,IF(Main!$D$6=3,K122,IF(Main!$D$6=4,V122,J122))))</f>
        <v>416.45683125000005</v>
      </c>
      <c r="G122" s="103">
        <f ca="1">IF(AND(Energy!$F$11=$A$3,Main!$B$43=A122),Weight!H39,G122)</f>
        <v>10</v>
      </c>
      <c r="H122" s="103">
        <f ca="1">IF(AND(Energy!$F$11=$A$3,Main!$B$43=A122),Weight!U39,H122)</f>
        <v>21.392817080164349</v>
      </c>
      <c r="I122" s="103">
        <f ca="1">IF(AND(Energy!$F$11=$A$3,Main!$B$43=A122),Weight!V39,I122)</f>
        <v>44.754306038596077</v>
      </c>
      <c r="J122" s="103">
        <f ca="1">IF(AND(Energy!$F$11=$A$3,Main!$B$43=A122),Weight!I39,J122)</f>
        <v>13.301130683431731</v>
      </c>
      <c r="K122" s="103">
        <f ca="1">IF(AND(Energy!$F$11=$A$3,Main!$B$43=A122),Weight!W39,K122)</f>
        <v>54.754305482198589</v>
      </c>
      <c r="L122" s="103">
        <f ca="1">IF(AND(Energy!$F$11=$A$3,Main!$B$43=A122),'Aerodynamics-Cruise'!BI39,L122)</f>
        <v>54.754306600489379</v>
      </c>
      <c r="M122" s="103">
        <f ca="1">IF(AND(Energy!$F$11=$A$3,Main!$B$43=A122),'Aerodynamics-Cruise'!BJ39,M122)</f>
        <v>2.5167756690608605</v>
      </c>
      <c r="N122" s="103">
        <f ca="1">IF(AND(Energy!$F$11=$A$3,Main!$B$43=A122),'Aerodynamics-Cruise'!BK39,N122)</f>
        <v>21.755735830409172</v>
      </c>
      <c r="O122" s="103">
        <f t="shared" ca="1" si="5"/>
        <v>160.98407573182271</v>
      </c>
      <c r="P122" s="103">
        <f ca="1">IF(AND(Energy!$F$11=$A$3,Main!$B$43=A122),'Aerodynamics-Cruise'!H39,P122)</f>
        <v>7.1321082637003181</v>
      </c>
      <c r="Q122" s="103">
        <f ca="1">IF(AND(Energy!$F$11=$A$3,Main!$B$43=A122),'Aerodynamics-Cruise'!I39,Q122)</f>
        <v>5.9575916152734445</v>
      </c>
      <c r="R122" s="103">
        <f ca="1">IF(AND(Energy!$F$11=$A$3,Main!$B$43=$A122),Summary!R39,R122)</f>
        <v>20.742664956249804</v>
      </c>
      <c r="S122" s="103">
        <f ca="1">IF(AND(Energy!$F$11=$A$3,Main!$B$43=A122),'Aerodynamics-Cruise'!W39,S122)</f>
        <v>1</v>
      </c>
      <c r="T122" s="103">
        <f ca="1">IF(AND(Energy!$F$11=$A$3,Main!$B$43=A122),'Aerodynamics-Cruise'!BL39,T122)</f>
        <v>17.94991654718886</v>
      </c>
      <c r="U122" s="103">
        <f ca="1">IF(AND(Energy!$F$11=$A$3,Main!$B$43=A122),'Propulsion-Cruise'!M39,U122)</f>
        <v>41.919589963332015</v>
      </c>
      <c r="V122" s="103">
        <f ca="1">IF(AND(Energy!$F$11=$A$3,Main!$B$43=A122),Endurance!AP39,V122)</f>
        <v>416.45683125000005</v>
      </c>
      <c r="W122" s="103">
        <f ca="1">IF(AND(Energy!$F$11=$A$3,Main!$B$43=$A122),Summary!W39,W122)</f>
        <v>167.02187210696195</v>
      </c>
      <c r="X122" s="13">
        <f ca="1">IF(AND(Energy!$F$11=$A$3,Main!$B$43=A122),Energy!D39,X122)</f>
        <v>822.26728373885794</v>
      </c>
      <c r="Y122" s="102">
        <f ca="1">IF(AND(Energy!$F$11=$A$3,Main!$B$43=A122),'Aerodynamics-Cruise'!V39,Y122)</f>
        <v>140727.42019865749</v>
      </c>
      <c r="Z122" s="102">
        <f ca="1">IF(AND(Energy!$F$11=$A$3,Main!$B$43=$A122),Summary!Z39,Z122)</f>
        <v>103154.73424093952</v>
      </c>
      <c r="AA122" s="102">
        <f ca="1">IF(AND(Energy!$F$11=$A$3,Main!$B$43=$A122),Summary!AA39,AA122)</f>
        <v>409284.55085223989</v>
      </c>
      <c r="AB122" s="103">
        <f ca="1">IF(AND(Energy!$F$11=$A$3,Main!$B$43=$A122),Summary!AB39,AB122)</f>
        <v>2.6169983994325952</v>
      </c>
      <c r="AC122" s="103">
        <f ca="1">IF(AND(Energy!$F$11=$A$3,Main!$B$43=$A122),Summary!AC39,AC122)</f>
        <v>2.2323016483981326</v>
      </c>
      <c r="AD122" s="103">
        <f ca="1">IF(AND(Energy!$F$11=$A$3,Main!$B$43=$A122),Summary!AD39,AD122)</f>
        <v>0.38485874538440912</v>
      </c>
      <c r="AE122" s="103">
        <f ca="1">IF(AND(Energy!$F$11=$A$3,Main!$B$43=$A122),Summary!AE39,AE122)</f>
        <v>1.9730994152046784</v>
      </c>
      <c r="AF122" s="103">
        <f ca="1">IF(AND(Energy!$F$11=$A$3,Main!$B$43=$A122),Summary!AF39,AF122)</f>
        <v>20.385338345864664</v>
      </c>
      <c r="AG122" s="103">
        <f ca="1">IF(AND(Energy!$F$11=$A$3,Main!$B$43=$A122),Summary!AG39,AG122)</f>
        <v>9.770717921556578</v>
      </c>
      <c r="AH122" s="103">
        <f ca="1">IF(AND(Energy!$F$11=$A$3,Main!$B$43=$A122),Summary!AH39,AH122)</f>
        <v>47</v>
      </c>
      <c r="AI122" s="103">
        <f ca="1">IF(AND(Energy!$F$11=$A$3,Main!$B$43=$A122),Summary!AI39,AI122)</f>
        <v>2.8089918539509298</v>
      </c>
      <c r="AJ122" s="103">
        <f ca="1">IF(AND(Energy!$F$11=$A$3,Main!$B$43=$A122),Summary!AJ39,AJ122)</f>
        <v>0.31396589398204777</v>
      </c>
      <c r="AK122" s="103">
        <f ca="1">IF(AND(Energy!$F$11=$A$3,Main!$B$43=$A122),Summary!AK39,AK122)</f>
        <v>0.01</v>
      </c>
      <c r="AL122" s="103">
        <f ca="1">IF(AND(Energy!$F$11=$A$3,Main!$B$43=$A122),Summary!AL39,AL122)</f>
        <v>-0.33445862137142418</v>
      </c>
      <c r="AM122" s="103">
        <f ca="1">IF(AND(Energy!$F$11=$A$3,Main!$B$43=$A122),Summary!AM39,AM122)</f>
        <v>0.34375</v>
      </c>
    </row>
    <row r="123" spans="1:39">
      <c r="A123">
        <f t="shared" si="7"/>
        <v>6</v>
      </c>
      <c r="D123" s="1">
        <f ca="1">IF(AND(Energy!$F$11=$A$3,Main!$B$43=A123),Main!C40,D123)</f>
        <v>6.5</v>
      </c>
      <c r="E123" s="103">
        <f ca="1">IF(AND(Energy!$F$11=$A$3,Main!$B$43=A123),Main!B40,E123)</f>
        <v>0.31111111111111106</v>
      </c>
      <c r="F123" s="103">
        <f ca="1">IF(Main!$D$6=1,U123,IF(Main!$D$6=2,N123,IF(Main!$D$6=3,K123,IF(Main!$D$6=4,V123,J123))))</f>
        <v>422.95089857304697</v>
      </c>
      <c r="G123" s="103">
        <f ca="1">IF(AND(Energy!$F$11=$A$3,Main!$B$43=A123),Weight!H40,G123)</f>
        <v>10</v>
      </c>
      <c r="H123" s="103">
        <f ca="1">IF(AND(Energy!$F$11=$A$3,Main!$B$43=A123),Weight!U40,H123)</f>
        <v>22.146493003434827</v>
      </c>
      <c r="I123" s="103">
        <f ca="1">IF(AND(Energy!$F$11=$A$3,Main!$B$43=A123),Weight!V40,I123)</f>
        <v>45.850403447303833</v>
      </c>
      <c r="J123" s="103">
        <f ca="1">IF(AND(Energy!$F$11=$A$3,Main!$B$43=A123),Weight!I40,J123)</f>
        <v>13.643552168869007</v>
      </c>
      <c r="K123" s="103">
        <f ca="1">IF(AND(Energy!$F$11=$A$3,Main!$B$43=A123),Weight!W40,K123)</f>
        <v>55.850402866197548</v>
      </c>
      <c r="L123" s="103">
        <f ca="1">IF(AND(Energy!$F$11=$A$3,Main!$B$43=A123),'Aerodynamics-Cruise'!BI40,L123)</f>
        <v>55.850404034149832</v>
      </c>
      <c r="M123" s="103">
        <f ca="1">IF(AND(Energy!$F$11=$A$3,Main!$B$43=A123),'Aerodynamics-Cruise'!BJ40,M123)</f>
        <v>2.5544902666307303</v>
      </c>
      <c r="N123" s="103">
        <f ca="1">IF(AND(Energy!$F$11=$A$3,Main!$B$43=A123),'Aerodynamics-Cruise'!BK40,N123)</f>
        <v>21.863619824167216</v>
      </c>
      <c r="O123" s="103">
        <f t="shared" ca="1" si="5"/>
        <v>163.39366963396182</v>
      </c>
      <c r="P123" s="103">
        <f ca="1">IF(AND(Energy!$F$11=$A$3,Main!$B$43=A123),'Aerodynamics-Cruise'!H40,P123)</f>
        <v>7.1151010427922508</v>
      </c>
      <c r="Q123" s="103">
        <f ca="1">IF(AND(Energy!$F$11=$A$3,Main!$B$43=A123),'Aerodynamics-Cruise'!I40,Q123)</f>
        <v>5.9434963315387446</v>
      </c>
      <c r="R123" s="103">
        <f ca="1">IF(AND(Energy!$F$11=$A$3,Main!$B$43=$A123),Summary!R40,R123)</f>
        <v>20.555704124717746</v>
      </c>
      <c r="S123" s="103">
        <f ca="1">IF(AND(Energy!$F$11=$A$3,Main!$B$43=A123),'Aerodynamics-Cruise'!W40,S123)</f>
        <v>1</v>
      </c>
      <c r="T123" s="103">
        <f ca="1">IF(AND(Energy!$F$11=$A$3,Main!$B$43=A123),'Aerodynamics-Cruise'!BL40,T123)</f>
        <v>18.175456359906963</v>
      </c>
      <c r="U123" s="103">
        <f ca="1">IF(AND(Energy!$F$11=$A$3,Main!$B$43=A123),'Propulsion-Cruise'!M40,U123)</f>
        <v>42.476431572008984</v>
      </c>
      <c r="V123" s="103">
        <f ca="1">IF(AND(Energy!$F$11=$A$3,Main!$B$43=A123),Endurance!AP40,V123)</f>
        <v>422.95089857304697</v>
      </c>
      <c r="W123" s="103">
        <f ca="1">IF(AND(Energy!$F$11=$A$3,Main!$B$43=$A123),Summary!W40,W123)</f>
        <v>173.45049668571227</v>
      </c>
      <c r="X123" s="13">
        <f ca="1">IF(AND(Energy!$F$11=$A$3,Main!$B$43=A123),Energy!D40,X123)</f>
        <v>833.87452315668747</v>
      </c>
      <c r="Y123" s="102">
        <f ca="1">IF(AND(Energy!$F$11=$A$3,Main!$B$43=A123),'Aerodynamics-Cruise'!V40,Y123)</f>
        <v>140391.8416804061</v>
      </c>
      <c r="Z123" s="102">
        <f ca="1">IF(AND(Energy!$F$11=$A$3,Main!$B$43=$A123),Summary!Z40,Z123)</f>
        <v>102910.66339628342</v>
      </c>
      <c r="AA123" s="102">
        <f ca="1">IF(AND(Energy!$F$11=$A$3,Main!$B$43=$A123),Summary!AA40,AA123)</f>
        <v>405595.52728068078</v>
      </c>
      <c r="AB123" s="103">
        <f ca="1">IF(AND(Energy!$F$11=$A$3,Main!$B$43=$A123),Summary!AB40,AB123)</f>
        <v>2.6571869956055085</v>
      </c>
      <c r="AC123" s="103">
        <f ca="1">IF(AND(Energy!$F$11=$A$3,Main!$B$43=$A123),Summary!AC40,AC123)</f>
        <v>2.1794515702360719</v>
      </c>
      <c r="AD123" s="103">
        <f ca="1">IF(AND(Energy!$F$11=$A$3,Main!$B$43=$A123),Summary!AD40,AD123)</f>
        <v>0.386665061892699</v>
      </c>
      <c r="AE123" s="103">
        <f ca="1">IF(AND(Energy!$F$11=$A$3,Main!$B$43=$A123),Summary!AE40,AE123)</f>
        <v>2.0222222222222217</v>
      </c>
      <c r="AF123" s="103">
        <f ca="1">IF(AND(Energy!$F$11=$A$3,Main!$B$43=$A123),Summary!AF40,AF123)</f>
        <v>20.892857142857149</v>
      </c>
      <c r="AG123" s="103">
        <f ca="1">IF(AND(Energy!$F$11=$A$3,Main!$B$43=$A123),Summary!AG40,AG123)</f>
        <v>9.8548835001764381</v>
      </c>
      <c r="AH123" s="103">
        <f ca="1">IF(AND(Energy!$F$11=$A$3,Main!$B$43=$A123),Summary!AH40,AH123)</f>
        <v>47</v>
      </c>
      <c r="AI123" s="103">
        <f ca="1">IF(AND(Energy!$F$11=$A$3,Main!$B$43=$A123),Summary!AI40,AI123)</f>
        <v>2.8088867609127295</v>
      </c>
      <c r="AJ123" s="103">
        <f ca="1">IF(AND(Energy!$F$11=$A$3,Main!$B$43=$A123),Summary!AJ40,AJ123)</f>
        <v>0.31408735894479978</v>
      </c>
      <c r="AK123" s="103">
        <f ca="1">IF(AND(Energy!$F$11=$A$3,Main!$B$43=$A123),Summary!AK40,AK123)</f>
        <v>0.01</v>
      </c>
      <c r="AL123" s="103">
        <f ca="1">IF(AND(Energy!$F$11=$A$3,Main!$B$43=$A123),Summary!AL40,AL123)</f>
        <v>-0.33432861819332887</v>
      </c>
      <c r="AM123" s="103">
        <f ca="1">IF(AND(Energy!$F$11=$A$3,Main!$B$43=$A123),Summary!AM40,AM123)</f>
        <v>0.34375</v>
      </c>
    </row>
    <row r="124" spans="1:39">
      <c r="A124" s="7">
        <f>A104+1</f>
        <v>7</v>
      </c>
      <c r="D124" s="1">
        <f>IF(AND(Energy!$F$11=$A$3,Main!$B$43=A124),Main!C21,D124)</f>
        <v>1.5</v>
      </c>
      <c r="E124" s="103">
        <f>IF(AND(Energy!$F$11=$A$3,Main!$B$43=A124),Main!B21,E124)</f>
        <v>0.33333333333333326</v>
      </c>
      <c r="F124" s="103">
        <f ca="1">IF(Main!$D$6=1,U124,IF(Main!$D$6=2,N124,IF(Main!$D$6=3,K124,IF(Main!$D$6=4,V124,J124))))</f>
        <v>1687.3335409775245</v>
      </c>
      <c r="G124" s="103">
        <f>IF(AND(Energy!$F$11=$A$3,Main!$B$43=A124),Weight!H21,G124)</f>
        <v>10</v>
      </c>
      <c r="H124" s="103">
        <f ca="1">IF(AND(Energy!$F$11=$A$3,Main!$B$43=A124),Weight!U21,H124)</f>
        <v>12.936304787762779</v>
      </c>
      <c r="I124" s="103">
        <f ca="1">IF(AND(Energy!$F$11=$A$3,Main!$B$43=A124),Weight!V21,I124)</f>
        <v>119.6027712490764</v>
      </c>
      <c r="J124" s="103">
        <f ca="1">IF(AND(Energy!$F$11=$A$3,Main!$B$43=A124),Weight!I21,J124)</f>
        <v>96.60610818631362</v>
      </c>
      <c r="K124" s="103">
        <f ca="1">IF(AND(Energy!$F$11=$A$3,Main!$B$43=A124),Weight!W21,K124)</f>
        <v>129.60277124897891</v>
      </c>
      <c r="L124" s="103">
        <f ca="1">IF(AND(Energy!$F$11=$A$3,Main!$B$43=A124),'Aerodynamics-Cruise'!BI21,L124)</f>
        <v>129.60277124917459</v>
      </c>
      <c r="M124" s="103">
        <f ca="1">IF(AND(Energy!$F$11=$A$3,Main!$B$43=A124),'Aerodynamics-Cruise'!BJ21,M124)</f>
        <v>8.8897799936810245</v>
      </c>
      <c r="N124" s="103">
        <f ca="1">IF(AND(Energy!$F$11=$A$3,Main!$B$43=A124),'Aerodynamics-Cruise'!BK21,N124)</f>
        <v>14.578850246158847</v>
      </c>
      <c r="O124" s="103">
        <f t="shared" ca="1" si="5"/>
        <v>165.970315250818</v>
      </c>
      <c r="P124" s="103">
        <f ca="1">IF(AND(Energy!$F$11=$A$3,Main!$B$43=A124),'Aerodynamics-Cruise'!H21,P124)</f>
        <v>29.912886947189744</v>
      </c>
      <c r="Q124" s="103">
        <f ca="1">IF(AND(Energy!$F$11=$A$3,Main!$B$43=A124),'Aerodynamics-Cruise'!I21,Q124)</f>
        <v>23.460111671384258</v>
      </c>
      <c r="R124" s="103">
        <f ca="1">IF(AND(Energy!$F$11=$A$3,Main!$B$43=$A124),Summary!R21,R124)</f>
        <v>29.912886947212638</v>
      </c>
      <c r="S124" s="103">
        <f ca="1">IF(AND(Energy!$F$11=$A$3,Main!$B$43=A124),'Aerodynamics-Cruise'!W21,S124)</f>
        <v>0.9</v>
      </c>
      <c r="T124" s="103">
        <f ca="1">IF(AND(Energy!$F$11=$A$3,Main!$B$43=A124),'Aerodynamics-Cruise'!BL21,T124)</f>
        <v>265.91898393636961</v>
      </c>
      <c r="U124" s="103">
        <f ca="1">IF(AND(Energy!$F$11=$A$3,Main!$B$43=A124),'Propulsion-Cruise'!M21,U124)</f>
        <v>299.87269139340134</v>
      </c>
      <c r="V124" s="103">
        <f ca="1">IF(AND(Energy!$F$11=$A$3,Main!$B$43=A124),Endurance!AP21,V124)</f>
        <v>1687.3335409758272</v>
      </c>
      <c r="W124" s="103">
        <f ca="1">IF(AND(Energy!$F$11=$A$3,Main!$B$43=$A124),Summary!W21,W124)</f>
        <v>1779.6122642251626</v>
      </c>
      <c r="X124" s="13">
        <f ca="1">IF(AND(Energy!$F$11=$A$3,Main!$B$43=A124),Energy!D21,X124)</f>
        <v>3370.8888104096131</v>
      </c>
      <c r="Y124" s="102">
        <f ca="1">IF(AND(Energy!$F$11=$A$3,Main!$B$43=A124),'Aerodynamics-Cruise'!V21,Y124)</f>
        <v>411432.27905529388</v>
      </c>
      <c r="Z124" s="102">
        <f ca="1">IF(AND(Energy!$F$11=$A$3,Main!$B$43=$A124),Summary!Z21,Z124)</f>
        <v>335030.18768678309</v>
      </c>
      <c r="AA124" s="102">
        <f ca="1">IF(AND(Energy!$F$11=$A$3,Main!$B$43=$A124),Summary!AA21,AA124)</f>
        <v>411432.27905560873</v>
      </c>
      <c r="AB124" s="103">
        <f ca="1">IF(AND(Energy!$F$11=$A$3,Main!$B$43=$A124),Summary!AB21,AB124)</f>
        <v>66.669791158627689</v>
      </c>
      <c r="AC124" s="103">
        <f ca="1">IF(AND(Energy!$F$11=$A$3,Main!$B$43=$A124),Summary!AC21,AC124)</f>
        <v>-0.91822257240729355</v>
      </c>
      <c r="AD124" s="103">
        <f ca="1">IF(AND(Energy!$F$11=$A$3,Main!$B$43=$A124),Summary!AD21,AD124)</f>
        <v>1</v>
      </c>
      <c r="AE124" s="103">
        <f>IF(AND(Energy!$F$11=$A$3,Main!$B$43=$A124),Summary!AE21,AE124)</f>
        <v>0.49999999999999989</v>
      </c>
      <c r="AF124" s="103">
        <f>IF(AND(Energy!$F$11=$A$3,Main!$B$43=$A124),Summary!AF21,AF124)</f>
        <v>4.5000000000000009</v>
      </c>
      <c r="AG124" s="103">
        <f ca="1">IF(AND(Energy!$F$11=$A$3,Main!$B$43=$A124),Summary!AG21,AG124)</f>
        <v>25.305712353873528</v>
      </c>
      <c r="AH124" s="103">
        <f ca="1">IF(AND(Energy!$F$11=$A$3,Main!$B$43=$A124),Summary!AH21,AH124)</f>
        <v>47</v>
      </c>
      <c r="AI124" s="103">
        <f ca="1">IF(AND(Energy!$F$11=$A$3,Main!$B$43=$A124),Summary!AI21,AI124)</f>
        <v>3.1864901509681021</v>
      </c>
      <c r="AJ124" s="103">
        <f ca="1">IF(AND(Energy!$F$11=$A$3,Main!$B$43=$A124),Summary!AJ21,AJ124)</f>
        <v>0.38052583642890464</v>
      </c>
      <c r="AK124" s="103">
        <f ca="1">IF(AND(Energy!$F$11=$A$3,Main!$B$43=$A124),Summary!AK21,AK124)</f>
        <v>2.2978567222721902E-2</v>
      </c>
      <c r="AL124" s="103">
        <f ca="1">IF(AND(Energy!$F$11=$A$3,Main!$B$43=$A124),Summary!AL21,AL124)</f>
        <v>-0.28922976880583656</v>
      </c>
      <c r="AM124" s="103">
        <f ca="1">IF(AND(Energy!$F$11=$A$3,Main!$B$43=$A124),Summary!AM21,AM124)</f>
        <v>0</v>
      </c>
    </row>
    <row r="125" spans="1:39">
      <c r="A125">
        <f>A124</f>
        <v>7</v>
      </c>
      <c r="D125" s="1">
        <f>IF(AND(Energy!$F$11=$A$3,Main!$B$43=A125),Main!C22,D125)</f>
        <v>1.5789473684210527</v>
      </c>
      <c r="E125" s="103">
        <f>IF(AND(Energy!$F$11=$A$3,Main!$B$43=A125),Main!B22,E125)</f>
        <v>0.33333333333333326</v>
      </c>
      <c r="F125" s="103">
        <f ca="1">IF(Main!$D$6=1,U125,IF(Main!$D$6=2,N125,IF(Main!$D$6=3,K125,IF(Main!$D$6=4,V125,J125))))</f>
        <v>1724.7438960256466</v>
      </c>
      <c r="G125" s="103">
        <f>IF(AND(Energy!$F$11=$A$3,Main!$B$43=A125),Weight!H22,G125)</f>
        <v>10</v>
      </c>
      <c r="H125" s="103">
        <f ca="1">IF(AND(Energy!$F$11=$A$3,Main!$B$43=A125),Weight!U22,H125)</f>
        <v>13.331749770175321</v>
      </c>
      <c r="I125" s="103">
        <f ca="1">IF(AND(Energy!$F$11=$A$3,Main!$B$43=A125),Weight!V22,I125)</f>
        <v>121.99424477485522</v>
      </c>
      <c r="J125" s="103">
        <f ca="1">IF(AND(Energy!$F$11=$A$3,Main!$B$43=A125),Weight!I22,J125)</f>
        <v>98.602136729679899</v>
      </c>
      <c r="K125" s="103">
        <f ca="1">IF(AND(Energy!$F$11=$A$3,Main!$B$43=A125),Weight!W22,K125)</f>
        <v>131.99424477474008</v>
      </c>
      <c r="L125" s="103">
        <f ca="1">IF(AND(Energy!$F$11=$A$3,Main!$B$43=A125),'Aerodynamics-Cruise'!BI22,L125)</f>
        <v>131.99424477497124</v>
      </c>
      <c r="M125" s="103">
        <f ca="1">IF(AND(Energy!$F$11=$A$3,Main!$B$43=A125),'Aerodynamics-Cruise'!BJ22,M125)</f>
        <v>8.7318421045382735</v>
      </c>
      <c r="N125" s="103">
        <f ca="1">IF(AND(Energy!$F$11=$A$3,Main!$B$43=A125),'Aerodynamics-Cruise'!BK22,N125)</f>
        <v>15.116425972289257</v>
      </c>
      <c r="O125" s="103">
        <f t="shared" ca="1" si="5"/>
        <v>173.67072581704394</v>
      </c>
      <c r="P125" s="103">
        <f ca="1">IF(AND(Energy!$F$11=$A$3,Main!$B$43=A125),'Aerodynamics-Cruise'!H22,P125)</f>
        <v>29.421519599178584</v>
      </c>
      <c r="Q125" s="103">
        <f ca="1">IF(AND(Energy!$F$11=$A$3,Main!$B$43=A125),'Aerodynamics-Cruise'!I22,Q125)</f>
        <v>23.078747160529637</v>
      </c>
      <c r="R125" s="103">
        <f ca="1">IF(AND(Energy!$F$11=$A$3,Main!$B$43=$A125),Summary!R22,R125)</f>
        <v>29.4215195992047</v>
      </c>
      <c r="S125" s="103">
        <f ca="1">IF(AND(Energy!$F$11=$A$3,Main!$B$43=A125),'Aerodynamics-Cruise'!W22,S125)</f>
        <v>0.9</v>
      </c>
      <c r="T125" s="103">
        <f ca="1">IF(AND(Energy!$F$11=$A$3,Main!$B$43=A125),'Aerodynamics-Cruise'!BL22,T125)</f>
        <v>256.90406361560559</v>
      </c>
      <c r="U125" s="103">
        <f ca="1">IF(AND(Energy!$F$11=$A$3,Main!$B$43=A125),'Propulsion-Cruise'!M22,U125)</f>
        <v>306.53258489662142</v>
      </c>
      <c r="V125" s="103">
        <f ca="1">IF(AND(Energy!$F$11=$A$3,Main!$B$43=A125),Endurance!AP22,V125)</f>
        <v>1724.7438960236409</v>
      </c>
      <c r="W125" s="103">
        <f ca="1">IF(AND(Energy!$F$11=$A$3,Main!$B$43=$A125),Summary!W22,W125)</f>
        <v>1817.0857290090632</v>
      </c>
      <c r="X125" s="13">
        <f ca="1">IF(AND(Energy!$F$11=$A$3,Main!$B$43=A125),Energy!D22,X125)</f>
        <v>3438.5492329366552</v>
      </c>
      <c r="Y125" s="102">
        <f ca="1">IF(AND(Energy!$F$11=$A$3,Main!$B$43=A125),'Aerodynamics-Cruise'!V22,Y125)</f>
        <v>404673.84118861449</v>
      </c>
      <c r="Z125" s="102">
        <f ca="1">IF(AND(Energy!$F$11=$A$3,Main!$B$43=$A125),Summary!Z22,Z125)</f>
        <v>329583.58582642203</v>
      </c>
      <c r="AA125" s="102">
        <f ca="1">IF(AND(Energy!$F$11=$A$3,Main!$B$43=$A125),Summary!AA22,AA125)</f>
        <v>404673.84118897363</v>
      </c>
      <c r="AB125" s="103">
        <f ca="1">IF(AND(Energy!$F$11=$A$3,Main!$B$43=$A125),Summary!AB22,AB125)</f>
        <v>65.428027728328871</v>
      </c>
      <c r="AC125" s="103">
        <f ca="1">IF(AND(Energy!$F$11=$A$3,Main!$B$43=$A125),Summary!AC22,AC125)</f>
        <v>-0.79560854311484919</v>
      </c>
      <c r="AD125" s="103">
        <f ca="1">IF(AND(Energy!$F$11=$A$3,Main!$B$43=$A125),Summary!AD22,AD125)</f>
        <v>1</v>
      </c>
      <c r="AE125" s="103">
        <f>IF(AND(Energy!$F$11=$A$3,Main!$B$43=$A125),Summary!AE22,AE125)</f>
        <v>0.52631578947368407</v>
      </c>
      <c r="AF125" s="103">
        <f>IF(AND(Energy!$F$11=$A$3,Main!$B$43=$A125),Summary!AF22,AF125)</f>
        <v>4.7368421052631593</v>
      </c>
      <c r="AG125" s="103">
        <f ca="1">IF(AND(Energy!$F$11=$A$3,Main!$B$43=$A125),Summary!AG22,AG125)</f>
        <v>25.867728683259188</v>
      </c>
      <c r="AH125" s="103">
        <f ca="1">IF(AND(Energy!$F$11=$A$3,Main!$B$43=$A125),Summary!AH22,AH125)</f>
        <v>47</v>
      </c>
      <c r="AI125" s="103">
        <f ca="1">IF(AND(Energy!$F$11=$A$3,Main!$B$43=$A125),Summary!AI22,AI125)</f>
        <v>3.1853841352175802</v>
      </c>
      <c r="AJ125" s="103">
        <f ca="1">IF(AND(Energy!$F$11=$A$3,Main!$B$43=$A125),Summary!AJ22,AJ125)</f>
        <v>0.3730850699632936</v>
      </c>
      <c r="AK125" s="103">
        <f ca="1">IF(AND(Energy!$F$11=$A$3,Main!$B$43=$A125),Summary!AK22,AK125)</f>
        <v>2.2145239865508339E-2</v>
      </c>
      <c r="AL125" s="103">
        <f ca="1">IF(AND(Energy!$F$11=$A$3,Main!$B$43=$A125),Summary!AL22,AL125)</f>
        <v>-0.29498450130697684</v>
      </c>
      <c r="AM125" s="103">
        <f ca="1">IF(AND(Energy!$F$11=$A$3,Main!$B$43=$A125),Summary!AM22,AM125)</f>
        <v>0</v>
      </c>
    </row>
    <row r="126" spans="1:39">
      <c r="A126">
        <f t="shared" ref="A126:A143" si="8">A125</f>
        <v>7</v>
      </c>
      <c r="D126" s="1">
        <f>IF(AND(Energy!$F$11=$A$3,Main!$B$43=A126),Main!C23,D126)</f>
        <v>1.6578947368421053</v>
      </c>
      <c r="E126" s="103">
        <f>IF(AND(Energy!$F$11=$A$3,Main!$B$43=A126),Main!B23,E126)</f>
        <v>0.33333333333333326</v>
      </c>
      <c r="F126" s="103">
        <f ca="1">IF(Main!$D$6=1,U126,IF(Main!$D$6=2,N126,IF(Main!$D$6=3,K126,IF(Main!$D$6=4,V126,J126))))</f>
        <v>1759.4048226359957</v>
      </c>
      <c r="G126" s="103">
        <f>IF(AND(Energy!$F$11=$A$3,Main!$B$43=A126),Weight!H23,G126)</f>
        <v>10</v>
      </c>
      <c r="H126" s="103">
        <f ca="1">IF(AND(Energy!$F$11=$A$3,Main!$B$43=A126),Weight!U23,H126)</f>
        <v>13.728526792350607</v>
      </c>
      <c r="I126" s="103">
        <f ca="1">IF(AND(Energy!$F$11=$A$3,Main!$B$43=A126),Weight!V23,I126)</f>
        <v>124.24051129324812</v>
      </c>
      <c r="J126" s="103">
        <f ca="1">IF(AND(Energy!$F$11=$A$3,Main!$B$43=A126),Weight!I23,J126)</f>
        <v>100.45162622589751</v>
      </c>
      <c r="K126" s="103">
        <f ca="1">IF(AND(Energy!$F$11=$A$3,Main!$B$43=A126),Weight!W23,K126)</f>
        <v>134.24051129311465</v>
      </c>
      <c r="L126" s="103">
        <f ca="1">IF(AND(Energy!$F$11=$A$3,Main!$B$43=A126),'Aerodynamics-Cruise'!BI23,L126)</f>
        <v>134.24051129338261</v>
      </c>
      <c r="M126" s="103">
        <f ca="1">IF(AND(Energy!$F$11=$A$3,Main!$B$43=A126),'Aerodynamics-Cruise'!BJ23,M126)</f>
        <v>8.5851081776821978</v>
      </c>
      <c r="N126" s="103">
        <f ca="1">IF(AND(Energy!$F$11=$A$3,Main!$B$43=A126),'Aerodynamics-Cruise'!BK23,N126)</f>
        <v>15.636437947555924</v>
      </c>
      <c r="O126" s="103">
        <f t="shared" ca="1" si="5"/>
        <v>181.16722182136948</v>
      </c>
      <c r="P126" s="103">
        <f ca="1">IF(AND(Energy!$F$11=$A$3,Main!$B$43=A126),'Aerodynamics-Cruise'!H23,P126)</f>
        <v>28.954278467487942</v>
      </c>
      <c r="Q126" s="103">
        <f ca="1">IF(AND(Energy!$F$11=$A$3,Main!$B$43=A126),'Aerodynamics-Cruise'!I23,Q126)</f>
        <v>22.715913401700096</v>
      </c>
      <c r="R126" s="103">
        <f ca="1">IF(AND(Energy!$F$11=$A$3,Main!$B$43=$A126),Summary!R23,R126)</f>
        <v>28.954278467517241</v>
      </c>
      <c r="S126" s="103">
        <f ca="1">IF(AND(Energy!$F$11=$A$3,Main!$B$43=A126),'Aerodynamics-Cruise'!W23,S126)</f>
        <v>0.9</v>
      </c>
      <c r="T126" s="103">
        <f ca="1">IF(AND(Energy!$F$11=$A$3,Main!$B$43=A126),'Aerodynamics-Cruise'!BL23,T126)</f>
        <v>248.57561285011832</v>
      </c>
      <c r="U126" s="103">
        <f ca="1">IF(AND(Energy!$F$11=$A$3,Main!$B$43=A126),'Propulsion-Cruise'!M23,U126)</f>
        <v>312.70357364434722</v>
      </c>
      <c r="V126" s="103">
        <f ca="1">IF(AND(Energy!$F$11=$A$3,Main!$B$43=A126),Endurance!AP23,V126)</f>
        <v>1759.4048226336711</v>
      </c>
      <c r="W126" s="103">
        <f ca="1">IF(AND(Energy!$F$11=$A$3,Main!$B$43=$A126),Summary!W23,W126)</f>
        <v>1851.8080678928982</v>
      </c>
      <c r="X126" s="13">
        <f ca="1">IF(AND(Energy!$F$11=$A$3,Main!$B$43=A126),Energy!D23,X126)</f>
        <v>3501.2423448108202</v>
      </c>
      <c r="Y126" s="102">
        <f ca="1">IF(AND(Energy!$F$11=$A$3,Main!$B$43=A126),'Aerodynamics-Cruise'!V23,Y126)</f>
        <v>398247.243715116</v>
      </c>
      <c r="Z126" s="102">
        <f ca="1">IF(AND(Energy!$F$11=$A$3,Main!$B$43=$A126),Summary!Z23,Z126)</f>
        <v>324401.6572237935</v>
      </c>
      <c r="AA126" s="102">
        <f ca="1">IF(AND(Energy!$F$11=$A$3,Main!$B$43=$A126),Summary!AA23,AA126)</f>
        <v>398247.24371551903</v>
      </c>
      <c r="AB126" s="103">
        <f ca="1">IF(AND(Energy!$F$11=$A$3,Main!$B$43=$A126),Summary!AB23,AB126)</f>
        <v>64.203200853005939</v>
      </c>
      <c r="AC126" s="103">
        <f ca="1">IF(AND(Energy!$F$11=$A$3,Main!$B$43=$A126),Summary!AC23,AC126)</f>
        <v>-0.68724720012981866</v>
      </c>
      <c r="AD126" s="103">
        <f ca="1">IF(AND(Energy!$F$11=$A$3,Main!$B$43=$A126),Summary!AD23,AD126)</f>
        <v>1</v>
      </c>
      <c r="AE126" s="103">
        <f>IF(AND(Energy!$F$11=$A$3,Main!$B$43=$A126),Summary!AE23,AE126)</f>
        <v>0.55263157894736836</v>
      </c>
      <c r="AF126" s="103">
        <f>IF(AND(Energy!$F$11=$A$3,Main!$B$43=$A126),Summary!AF23,AF126)</f>
        <v>4.9736842105263168</v>
      </c>
      <c r="AG126" s="103">
        <f ca="1">IF(AND(Energy!$F$11=$A$3,Main!$B$43=$A126),Summary!AG23,AG126)</f>
        <v>26.388487227371069</v>
      </c>
      <c r="AH126" s="103">
        <f ca="1">IF(AND(Energy!$F$11=$A$3,Main!$B$43=$A126),Summary!AH23,AH126)</f>
        <v>47</v>
      </c>
      <c r="AI126" s="103">
        <f ca="1">IF(AND(Energy!$F$11=$A$3,Main!$B$43=$A126),Summary!AI23,AI126)</f>
        <v>3.1843526418469028</v>
      </c>
      <c r="AJ126" s="103">
        <f ca="1">IF(AND(Energy!$F$11=$A$3,Main!$B$43=$A126),Summary!AJ23,AJ126)</f>
        <v>0.36629805457554726</v>
      </c>
      <c r="AK126" s="103">
        <f ca="1">IF(AND(Energy!$F$11=$A$3,Main!$B$43=$A126),Summary!AK23,AK126)</f>
        <v>2.1426157146857194E-2</v>
      </c>
      <c r="AL126" s="103">
        <f ca="1">IF(AND(Energy!$F$11=$A$3,Main!$B$43=$A126),Summary!AL23,AL126)</f>
        <v>-0.30043813386009655</v>
      </c>
      <c r="AM126" s="103">
        <f ca="1">IF(AND(Energy!$F$11=$A$3,Main!$B$43=$A126),Summary!AM23,AM126)</f>
        <v>0</v>
      </c>
    </row>
    <row r="127" spans="1:39">
      <c r="A127">
        <f t="shared" si="8"/>
        <v>7</v>
      </c>
      <c r="D127" s="1">
        <f>IF(AND(Energy!$F$11=$A$3,Main!$B$43=A127),Main!C24,D127)</f>
        <v>1.736842105263158</v>
      </c>
      <c r="E127" s="103">
        <f>IF(AND(Energy!$F$11=$A$3,Main!$B$43=A127),Main!B24,E127)</f>
        <v>0.33333333333333326</v>
      </c>
      <c r="F127" s="103">
        <f ca="1">IF(Main!$D$6=1,U127,IF(Main!$D$6=2,N127,IF(Main!$D$6=3,K127,IF(Main!$D$6=4,V127,J127))))</f>
        <v>1864.9577248278963</v>
      </c>
      <c r="G127" s="103">
        <f>IF(AND(Energy!$F$11=$A$3,Main!$B$43=A127),Weight!H24,G127)</f>
        <v>10</v>
      </c>
      <c r="H127" s="103">
        <f ca="1">IF(AND(Energy!$F$11=$A$3,Main!$B$43=A127),Weight!U24,H127)</f>
        <v>13.606633496805074</v>
      </c>
      <c r="I127" s="103">
        <f ca="1">IF(AND(Energy!$F$11=$A$3,Main!$B$43=A127),Weight!V24,I127)</f>
        <v>116.40792205809124</v>
      </c>
      <c r="J127" s="103">
        <f ca="1">IF(AND(Energy!$F$11=$A$3,Main!$B$43=A127),Weight!I24,J127)</f>
        <v>92.740930286286172</v>
      </c>
      <c r="K127" s="103">
        <f ca="1">IF(AND(Energy!$F$11=$A$3,Main!$B$43=A127),Weight!W24,K127)</f>
        <v>126.40792205792529</v>
      </c>
      <c r="L127" s="103">
        <f ca="1">IF(AND(Energy!$F$11=$A$3,Main!$B$43=A127),'Aerodynamics-Cruise'!BI24,L127)</f>
        <v>126.40792205825834</v>
      </c>
      <c r="M127" s="103">
        <f ca="1">IF(AND(Energy!$F$11=$A$3,Main!$B$43=A127),'Aerodynamics-Cruise'!BJ24,M127)</f>
        <v>7.8718111409100988</v>
      </c>
      <c r="N127" s="103">
        <f ca="1">IF(AND(Energy!$F$11=$A$3,Main!$B$43=A127),'Aerodynamics-Cruise'!BK24,N127)</f>
        <v>16.05830218681335</v>
      </c>
      <c r="O127" s="103">
        <f t="shared" ca="1" si="5"/>
        <v>180.54554325969295</v>
      </c>
      <c r="P127" s="103">
        <f ca="1">IF(AND(Energy!$F$11=$A$3,Main!$B$43=A127),'Aerodynamics-Cruise'!H24,P127)</f>
        <v>27.44967418856622</v>
      </c>
      <c r="Q127" s="103">
        <f ca="1">IF(AND(Energy!$F$11=$A$3,Main!$B$43=A127),'Aerodynamics-Cruise'!I24,Q127)</f>
        <v>21.544426827365353</v>
      </c>
      <c r="R127" s="103">
        <f ca="1">IF(AND(Energy!$F$11=$A$3,Main!$B$43=$A127),Summary!R24,R127)</f>
        <v>27.449674188602877</v>
      </c>
      <c r="S127" s="103">
        <f ca="1">IF(AND(Energy!$F$11=$A$3,Main!$B$43=A127),'Aerodynamics-Cruise'!W24,S127)</f>
        <v>0.9</v>
      </c>
      <c r="T127" s="103">
        <f ca="1">IF(AND(Energy!$F$11=$A$3,Main!$B$43=A127),'Aerodynamics-Cruise'!BL24,T127)</f>
        <v>216.07865109190794</v>
      </c>
      <c r="U127" s="103">
        <f ca="1">IF(AND(Energy!$F$11=$A$3,Main!$B$43=A127),'Propulsion-Cruise'!M24,U127)</f>
        <v>331.50896534803536</v>
      </c>
      <c r="V127" s="103">
        <f ca="1">IF(AND(Energy!$F$11=$A$3,Main!$B$43=A127),Endurance!AP24,V127)</f>
        <v>1864.9577248250121</v>
      </c>
      <c r="W127" s="103">
        <f ca="1">IF(AND(Energy!$F$11=$A$3,Main!$B$43=$A127),Summary!W24,W127)</f>
        <v>1658.4256776060638</v>
      </c>
      <c r="X127" s="13">
        <f ca="1">IF(AND(Energy!$F$11=$A$3,Main!$B$43=A127),Energy!D24,X127)</f>
        <v>3515.0796956828235</v>
      </c>
      <c r="Y127" s="102">
        <f ca="1">IF(AND(Energy!$F$11=$A$3,Main!$B$43=A127),'Aerodynamics-Cruise'!V24,Y127)</f>
        <v>377552.39173890883</v>
      </c>
      <c r="Z127" s="102">
        <f ca="1">IF(AND(Energy!$F$11=$A$3,Main!$B$43=$A127),Summary!Z24,Z127)</f>
        <v>307670.99765885097</v>
      </c>
      <c r="AA127" s="102">
        <f ca="1">IF(AND(Energy!$F$11=$A$3,Main!$B$43=$A127),Summary!AA24,AA127)</f>
        <v>377552.39173941303</v>
      </c>
      <c r="AB127" s="103">
        <f ca="1">IF(AND(Energy!$F$11=$A$3,Main!$B$43=$A127),Summary!AB24,AB127)</f>
        <v>53.603023634118628</v>
      </c>
      <c r="AC127" s="103">
        <f ca="1">IF(AND(Energy!$F$11=$A$3,Main!$B$43=$A127),Summary!AC24,AC127)</f>
        <v>-0.36087950028243349</v>
      </c>
      <c r="AD127" s="103">
        <f ca="1">IF(AND(Energy!$F$11=$A$3,Main!$B$43=$A127),Summary!AD24,AD127)</f>
        <v>1</v>
      </c>
      <c r="AE127" s="103">
        <f>IF(AND(Energy!$F$11=$A$3,Main!$B$43=$A127),Summary!AE24,AE127)</f>
        <v>0.57894736842105254</v>
      </c>
      <c r="AF127" s="103">
        <f>IF(AND(Energy!$F$11=$A$3,Main!$B$43=$A127),Summary!AF24,AF127)</f>
        <v>5.2105263157894752</v>
      </c>
      <c r="AG127" s="103">
        <f ca="1">IF(AND(Energy!$F$11=$A$3,Main!$B$43=$A127),Summary!AG24,AG127)</f>
        <v>27.975440113758253</v>
      </c>
      <c r="AH127" s="103">
        <f ca="1">IF(AND(Energy!$F$11=$A$3,Main!$B$43=$A127),Summary!AH24,AH127)</f>
        <v>47</v>
      </c>
      <c r="AI127" s="103">
        <f ca="1">IF(AND(Energy!$F$11=$A$3,Main!$B$43=$A127),Summary!AI24,AI127)</f>
        <v>3.1817098344201846</v>
      </c>
      <c r="AJ127" s="103">
        <f ca="1">IF(AND(Energy!$F$11=$A$3,Main!$B$43=$A127),Summary!AJ24,AJ127)</f>
        <v>0.36378799846911575</v>
      </c>
      <c r="AK127" s="103">
        <f ca="1">IF(AND(Energy!$F$11=$A$3,Main!$B$43=$A127),Summary!AK24,AK127)</f>
        <v>2.0799966720791683E-2</v>
      </c>
      <c r="AL127" s="103">
        <f ca="1">IF(AND(Energy!$F$11=$A$3,Main!$B$43=$A127),Summary!AL24,AL127)</f>
        <v>-0.3025005091817875</v>
      </c>
      <c r="AM127" s="103">
        <f ca="1">IF(AND(Energy!$F$11=$A$3,Main!$B$43=$A127),Summary!AM24,AM127)</f>
        <v>0.34375</v>
      </c>
    </row>
    <row r="128" spans="1:39">
      <c r="A128">
        <f t="shared" si="8"/>
        <v>7</v>
      </c>
      <c r="D128" s="1">
        <f>IF(AND(Energy!$F$11=$A$3,Main!$B$43=A128),Main!C25,D128)</f>
        <v>1.8157894736842106</v>
      </c>
      <c r="E128" s="103">
        <f>IF(AND(Energy!$F$11=$A$3,Main!$B$43=A128),Main!B25,E128)</f>
        <v>0.33333333333333326</v>
      </c>
      <c r="F128" s="103">
        <f ca="1">IF(Main!$D$6=1,U128,IF(Main!$D$6=2,N128,IF(Main!$D$6=3,K128,IF(Main!$D$6=4,V128,J128))))</f>
        <v>1892.210641228123</v>
      </c>
      <c r="G128" s="103">
        <f>IF(AND(Energy!$F$11=$A$3,Main!$B$43=A128),Weight!H25,G128)</f>
        <v>10</v>
      </c>
      <c r="H128" s="103">
        <f ca="1">IF(AND(Energy!$F$11=$A$3,Main!$B$43=A128),Weight!U25,H128)</f>
        <v>13.991561787663755</v>
      </c>
      <c r="I128" s="103">
        <f ca="1">IF(AND(Energy!$F$11=$A$3,Main!$B$43=A128),Weight!V25,I128)</f>
        <v>118.23739388407131</v>
      </c>
      <c r="J128" s="103">
        <f ca="1">IF(AND(Energy!$F$11=$A$3,Main!$B$43=A128),Weight!I25,J128)</f>
        <v>94.185473821407555</v>
      </c>
      <c r="K128" s="103">
        <f ca="1">IF(AND(Energy!$F$11=$A$3,Main!$B$43=A128),Weight!W25,K128)</f>
        <v>128.23739388388455</v>
      </c>
      <c r="L128" s="103">
        <f ca="1">IF(AND(Energy!$F$11=$A$3,Main!$B$43=A128),'Aerodynamics-Cruise'!BI25,L128)</f>
        <v>128.23739388425938</v>
      </c>
      <c r="M128" s="103">
        <f ca="1">IF(AND(Energy!$F$11=$A$3,Main!$B$43=A128),'Aerodynamics-Cruise'!BJ25,M128)</f>
        <v>7.7535752914846618</v>
      </c>
      <c r="N128" s="103">
        <f ca="1">IF(AND(Energy!$F$11=$A$3,Main!$B$43=A128),'Aerodynamics-Cruise'!BK25,N128)</f>
        <v>16.539130538281569</v>
      </c>
      <c r="O128" s="103">
        <f t="shared" ca="1" si="5"/>
        <v>187.29234043128764</v>
      </c>
      <c r="P128" s="103">
        <f ca="1">IF(AND(Energy!$F$11=$A$3,Main!$B$43=A128),'Aerodynamics-Cruise'!H25,P128)</f>
        <v>27.03883277583968</v>
      </c>
      <c r="Q128" s="103">
        <f ca="1">IF(AND(Energy!$F$11=$A$3,Main!$B$43=A128),'Aerodynamics-Cruise'!I25,Q128)</f>
        <v>21.22501883276092</v>
      </c>
      <c r="R128" s="103">
        <f ca="1">IF(AND(Energy!$F$11=$A$3,Main!$B$43=$A128),Summary!R25,R128)</f>
        <v>27.03883277587974</v>
      </c>
      <c r="S128" s="103">
        <f ca="1">IF(AND(Energy!$F$11=$A$3,Main!$B$43=A128),'Aerodynamics-Cruise'!W25,S128)</f>
        <v>0.9</v>
      </c>
      <c r="T128" s="103">
        <f ca="1">IF(AND(Energy!$F$11=$A$3,Main!$B$43=A128),'Aerodynamics-Cruise'!BL25,T128)</f>
        <v>209.64762572133617</v>
      </c>
      <c r="U128" s="103">
        <f ca="1">IF(AND(Energy!$F$11=$A$3,Main!$B$43=A128),'Propulsion-Cruise'!M25,U128)</f>
        <v>336.36288602539298</v>
      </c>
      <c r="V128" s="103">
        <f ca="1">IF(AND(Energy!$F$11=$A$3,Main!$B$43=A128),Endurance!AP25,V128)</f>
        <v>1892.2106412248818</v>
      </c>
      <c r="W128" s="103">
        <f ca="1">IF(AND(Energy!$F$11=$A$3,Main!$B$43=$A128),Summary!W25,W128)</f>
        <v>1685.5455559622815</v>
      </c>
      <c r="X128" s="13">
        <f ca="1">IF(AND(Energy!$F$11=$A$3,Main!$B$43=A128),Energy!D25,X128)</f>
        <v>3564.0461427155324</v>
      </c>
      <c r="Y128" s="102">
        <f ca="1">IF(AND(Energy!$F$11=$A$3,Main!$B$43=A128),'Aerodynamics-Cruise'!V25,Y128)</f>
        <v>371901.53566918877</v>
      </c>
      <c r="Z128" s="102">
        <f ca="1">IF(AND(Energy!$F$11=$A$3,Main!$B$43=$A128),Summary!Z25,Z128)</f>
        <v>303109.30505904608</v>
      </c>
      <c r="AA128" s="102">
        <f ca="1">IF(AND(Energy!$F$11=$A$3,Main!$B$43=$A128),Summary!AA25,AA128)</f>
        <v>371901.53566973982</v>
      </c>
      <c r="AB128" s="103">
        <f ca="1">IF(AND(Energy!$F$11=$A$3,Main!$B$43=$A128),Summary!AB25,AB128)</f>
        <v>52.594847793505416</v>
      </c>
      <c r="AC128" s="103">
        <f ca="1">IF(AND(Energy!$F$11=$A$3,Main!$B$43=$A128),Summary!AC25,AC128)</f>
        <v>-0.28320341167509455</v>
      </c>
      <c r="AD128" s="103">
        <f ca="1">IF(AND(Energy!$F$11=$A$3,Main!$B$43=$A128),Summary!AD25,AD128)</f>
        <v>1</v>
      </c>
      <c r="AE128" s="103">
        <f>IF(AND(Energy!$F$11=$A$3,Main!$B$43=$A128),Summary!AE25,AE128)</f>
        <v>0.60526315789473673</v>
      </c>
      <c r="AF128" s="103">
        <f>IF(AND(Energy!$F$11=$A$3,Main!$B$43=$A128),Summary!AF25,AF128)</f>
        <v>5.4473684210526327</v>
      </c>
      <c r="AG128" s="103">
        <f ca="1">IF(AND(Energy!$F$11=$A$3,Main!$B$43=$A128),Summary!AG25,AG128)</f>
        <v>28.385053673028938</v>
      </c>
      <c r="AH128" s="103">
        <f ca="1">IF(AND(Energy!$F$11=$A$3,Main!$B$43=$A128),Summary!AH25,AH128)</f>
        <v>47</v>
      </c>
      <c r="AI128" s="103">
        <f ca="1">IF(AND(Energy!$F$11=$A$3,Main!$B$43=$A128),Summary!AI25,AI128)</f>
        <v>3.1807957508611517</v>
      </c>
      <c r="AJ128" s="103">
        <f ca="1">IF(AND(Energy!$F$11=$A$3,Main!$B$43=$A128),Summary!AJ25,AJ128)</f>
        <v>0.35805654333786424</v>
      </c>
      <c r="AK128" s="103">
        <f ca="1">IF(AND(Energy!$F$11=$A$3,Main!$B$43=$A128),Summary!AK25,AK128)</f>
        <v>2.0250186841530109E-2</v>
      </c>
      <c r="AL128" s="103">
        <f ca="1">IF(AND(Energy!$F$11=$A$3,Main!$B$43=$A128),Summary!AL25,AL128)</f>
        <v>-0.30733322801455421</v>
      </c>
      <c r="AM128" s="103">
        <f ca="1">IF(AND(Energy!$F$11=$A$3,Main!$B$43=$A128),Summary!AM25,AM128)</f>
        <v>0.34375</v>
      </c>
    </row>
    <row r="129" spans="1:39">
      <c r="A129">
        <f t="shared" si="8"/>
        <v>7</v>
      </c>
      <c r="D129" s="1">
        <f>IF(AND(Energy!$F$11=$A$3,Main!$B$43=A129),Main!C26,D129)</f>
        <v>1.8947368421052633</v>
      </c>
      <c r="E129" s="103">
        <f>IF(AND(Energy!$F$11=$A$3,Main!$B$43=A129),Main!B26,E129)</f>
        <v>0.33333333333333326</v>
      </c>
      <c r="F129" s="103">
        <f ca="1">IF(Main!$D$6=1,U129,IF(Main!$D$6=2,N129,IF(Main!$D$6=3,K129,IF(Main!$D$6=4,V129,J129))))</f>
        <v>1917.588425072672</v>
      </c>
      <c r="G129" s="103">
        <f>IF(AND(Energy!$F$11=$A$3,Main!$B$43=A129),Weight!H26,G129)</f>
        <v>10</v>
      </c>
      <c r="H129" s="103">
        <f ca="1">IF(AND(Energy!$F$11=$A$3,Main!$B$43=A129),Weight!U26,H129)</f>
        <v>14.378844052331161</v>
      </c>
      <c r="I129" s="103">
        <f ca="1">IF(AND(Energy!$F$11=$A$3,Main!$B$43=A129),Weight!V26,I129)</f>
        <v>119.96953292078499</v>
      </c>
      <c r="J129" s="103">
        <f ca="1">IF(AND(Energy!$F$11=$A$3,Main!$B$43=A129),Weight!I26,J129)</f>
        <v>95.530330593453826</v>
      </c>
      <c r="K129" s="103">
        <f ca="1">IF(AND(Energy!$F$11=$A$3,Main!$B$43=A129),Weight!W26,K129)</f>
        <v>129.96953292057736</v>
      </c>
      <c r="L129" s="103">
        <f ca="1">IF(AND(Energy!$F$11=$A$3,Main!$B$43=A129),'Aerodynamics-Cruise'!BI26,L129)</f>
        <v>129.96953292099397</v>
      </c>
      <c r="M129" s="103">
        <f ca="1">IF(AND(Energy!$F$11=$A$3,Main!$B$43=A129),'Aerodynamics-Cruise'!BJ26,M129)</f>
        <v>7.6434717968746453</v>
      </c>
      <c r="N129" s="103">
        <f ca="1">IF(AND(Energy!$F$11=$A$3,Main!$B$43=A129),'Aerodynamics-Cruise'!BK26,N129)</f>
        <v>17.003991952209137</v>
      </c>
      <c r="O129" s="103">
        <f t="shared" ca="1" si="5"/>
        <v>193.85261767357852</v>
      </c>
      <c r="P129" s="103">
        <f ca="1">IF(AND(Energy!$F$11=$A$3,Main!$B$43=A129),'Aerodynamics-Cruise'!H26,P129)</f>
        <v>26.646781908866753</v>
      </c>
      <c r="Q129" s="103">
        <f ca="1">IF(AND(Energy!$F$11=$A$3,Main!$B$43=A129),'Aerodynamics-Cruise'!I26,Q129)</f>
        <v>20.920107320777479</v>
      </c>
      <c r="R129" s="103">
        <f ca="1">IF(AND(Energy!$F$11=$A$3,Main!$B$43=$A129),Summary!R26,R129)</f>
        <v>26.646781908910036</v>
      </c>
      <c r="S129" s="103">
        <f ca="1">IF(AND(Energy!$F$11=$A$3,Main!$B$43=A129),'Aerodynamics-Cruise'!W26,S129)</f>
        <v>0.9</v>
      </c>
      <c r="T129" s="103">
        <f ca="1">IF(AND(Energy!$F$11=$A$3,Main!$B$43=A129),'Aerodynamics-Cruise'!BL26,T129)</f>
        <v>203.67392599789255</v>
      </c>
      <c r="U129" s="103">
        <f ca="1">IF(AND(Energy!$F$11=$A$3,Main!$B$43=A129),'Propulsion-Cruise'!M26,U129)</f>
        <v>340.88322226642504</v>
      </c>
      <c r="V129" s="103">
        <f ca="1">IF(AND(Energy!$F$11=$A$3,Main!$B$43=A129),Endurance!AP26,V129)</f>
        <v>1917.5884250690747</v>
      </c>
      <c r="W129" s="103">
        <f ca="1">IF(AND(Energy!$F$11=$A$3,Main!$B$43=$A129),Summary!W26,W129)</f>
        <v>1710.7939137843919</v>
      </c>
      <c r="X129" s="13">
        <f ca="1">IF(AND(Energy!$F$11=$A$3,Main!$B$43=A129),Energy!D26,X129)</f>
        <v>3609.6334554505465</v>
      </c>
      <c r="Y129" s="102">
        <f ca="1">IF(AND(Energy!$F$11=$A$3,Main!$B$43=A129),'Aerodynamics-Cruise'!V26,Y129)</f>
        <v>366509.13131888147</v>
      </c>
      <c r="Z129" s="102">
        <f ca="1">IF(AND(Energy!$F$11=$A$3,Main!$B$43=$A129),Summary!Z26,Z129)</f>
        <v>298754.65815877123</v>
      </c>
      <c r="AA129" s="102">
        <f ca="1">IF(AND(Energy!$F$11=$A$3,Main!$B$43=$A129),Summary!AA26,AA129)</f>
        <v>366509.13131947682</v>
      </c>
      <c r="AB129" s="103">
        <f ca="1">IF(AND(Energy!$F$11=$A$3,Main!$B$43=$A129),Summary!AB26,AB129)</f>
        <v>51.613857590643704</v>
      </c>
      <c r="AC129" s="103">
        <f ca="1">IF(AND(Energy!$F$11=$A$3,Main!$B$43=$A129),Summary!AC26,AC129)</f>
        <v>-0.21382804520662768</v>
      </c>
      <c r="AD129" s="103">
        <f ca="1">IF(AND(Energy!$F$11=$A$3,Main!$B$43=$A129),Summary!AD26,AD129)</f>
        <v>1</v>
      </c>
      <c r="AE129" s="103">
        <f>IF(AND(Energy!$F$11=$A$3,Main!$B$43=$A129),Summary!AE26,AE129)</f>
        <v>0.63157894736842091</v>
      </c>
      <c r="AF129" s="103">
        <f>IF(AND(Energy!$F$11=$A$3,Main!$B$43=$A129),Summary!AF26,AF129)</f>
        <v>5.6842105263157912</v>
      </c>
      <c r="AG129" s="103">
        <f ca="1">IF(AND(Energy!$F$11=$A$3,Main!$B$43=$A129),Summary!AG26,AG129)</f>
        <v>28.766516646955697</v>
      </c>
      <c r="AH129" s="103">
        <f ca="1">IF(AND(Energy!$F$11=$A$3,Main!$B$43=$A129),Summary!AH26,AH129)</f>
        <v>47</v>
      </c>
      <c r="AI129" s="103">
        <f ca="1">IF(AND(Energy!$F$11=$A$3,Main!$B$43=$A129),Summary!AI26,AI129)</f>
        <v>3.1799316842824408</v>
      </c>
      <c r="AJ129" s="103">
        <f ca="1">IF(AND(Energy!$F$11=$A$3,Main!$B$43=$A129),Summary!AJ26,AJ129)</f>
        <v>0.352777287077363</v>
      </c>
      <c r="AK129" s="103">
        <f ca="1">IF(AND(Energy!$F$11=$A$3,Main!$B$43=$A129),Summary!AK26,AK129)</f>
        <v>1.9763922950445052E-2</v>
      </c>
      <c r="AL129" s="103">
        <f ca="1">IF(AND(Energy!$F$11=$A$3,Main!$B$43=$A129),Summary!AL26,AL129)</f>
        <v>-0.31192395160626263</v>
      </c>
      <c r="AM129" s="103">
        <f ca="1">IF(AND(Energy!$F$11=$A$3,Main!$B$43=$A129),Summary!AM26,AM129)</f>
        <v>0.34375</v>
      </c>
    </row>
    <row r="130" spans="1:39">
      <c r="A130">
        <f t="shared" si="8"/>
        <v>7</v>
      </c>
      <c r="D130" s="1">
        <f>IF(AND(Energy!$F$11=$A$3,Main!$B$43=A130),Main!C27,D130)</f>
        <v>1.9736842105263159</v>
      </c>
      <c r="E130" s="103">
        <f>IF(AND(Energy!$F$11=$A$3,Main!$B$43=A130),Main!B27,E130)</f>
        <v>0.33333333333333326</v>
      </c>
      <c r="F130" s="103">
        <f ca="1">IF(Main!$D$6=1,U130,IF(Main!$D$6=2,N130,IF(Main!$D$6=3,K130,IF(Main!$D$6=4,V130,J130))))</f>
        <v>1941.2625052635854</v>
      </c>
      <c r="G130" s="103">
        <f>IF(AND(Energy!$F$11=$A$3,Main!$B$43=A130),Weight!H27,G130)</f>
        <v>10</v>
      </c>
      <c r="H130" s="103">
        <f ca="1">IF(AND(Energy!$F$11=$A$3,Main!$B$43=A130),Weight!U27,H130)</f>
        <v>14.768727993481406</v>
      </c>
      <c r="I130" s="103">
        <f ca="1">IF(AND(Energy!$F$11=$A$3,Main!$B$43=A130),Weight!V27,I130)</f>
        <v>121.61371211454065</v>
      </c>
      <c r="J130" s="103">
        <f ca="1">IF(AND(Energy!$F$11=$A$3,Main!$B$43=A130),Weight!I27,J130)</f>
        <v>96.784625846059242</v>
      </c>
      <c r="K130" s="103">
        <f ca="1">IF(AND(Energy!$F$11=$A$3,Main!$B$43=A130),Weight!W27,K130)</f>
        <v>131.61371211431475</v>
      </c>
      <c r="L130" s="103">
        <f ca="1">IF(AND(Energy!$F$11=$A$3,Main!$B$43=A130),'Aerodynamics-Cruise'!BI27,L130)</f>
        <v>131.61371211476813</v>
      </c>
      <c r="M130" s="103">
        <f ca="1">IF(AND(Energy!$F$11=$A$3,Main!$B$43=A130),'Aerodynamics-Cruise'!BJ27,M130)</f>
        <v>7.540855818595543</v>
      </c>
      <c r="N130" s="103">
        <f ca="1">IF(AND(Energy!$F$11=$A$3,Main!$B$43=A130),'Aerodynamics-Cruise'!BK27,N130)</f>
        <v>17.453418455530251</v>
      </c>
      <c r="O130" s="103">
        <f t="shared" ca="1" si="5"/>
        <v>200.23088664452544</v>
      </c>
      <c r="P130" s="103">
        <f ca="1">IF(AND(Energy!$F$11=$A$3,Main!$B$43=A130),'Aerodynamics-Cruise'!H27,P130)</f>
        <v>26.272229755698174</v>
      </c>
      <c r="Q130" s="103">
        <f ca="1">IF(AND(Energy!$F$11=$A$3,Main!$B$43=A130),'Aerodynamics-Cruise'!I27,Q130)</f>
        <v>20.628708852181202</v>
      </c>
      <c r="R130" s="103">
        <f ca="1">IF(AND(Energy!$F$11=$A$3,Main!$B$43=$A130),Summary!R27,R130)</f>
        <v>26.272229755744029</v>
      </c>
      <c r="S130" s="103">
        <f ca="1">IF(AND(Energy!$F$11=$A$3,Main!$B$43=A130),'Aerodynamics-Cruise'!W27,S130)</f>
        <v>0.9</v>
      </c>
      <c r="T130" s="103">
        <f ca="1">IF(AND(Energy!$F$11=$A$3,Main!$B$43=A130),'Aerodynamics-Cruise'!BL27,T130)</f>
        <v>198.11509662073553</v>
      </c>
      <c r="U130" s="103">
        <f ca="1">IF(AND(Energy!$F$11=$A$3,Main!$B$43=A130),'Propulsion-Cruise'!M27,U130)</f>
        <v>345.10044605700836</v>
      </c>
      <c r="V130" s="103">
        <f ca="1">IF(AND(Energy!$F$11=$A$3,Main!$B$43=A130),Endurance!AP27,V130)</f>
        <v>1941.262505259675</v>
      </c>
      <c r="W130" s="103">
        <f ca="1">IF(AND(Energy!$F$11=$A$3,Main!$B$43=$A130),Summary!W27,W130)</f>
        <v>1734.3420685103595</v>
      </c>
      <c r="X130" s="13">
        <f ca="1">IF(AND(Energy!$F$11=$A$3,Main!$B$43=A130),Energy!D27,X130)</f>
        <v>3652.1509570396684</v>
      </c>
      <c r="Y130" s="102">
        <f ca="1">IF(AND(Energy!$F$11=$A$3,Main!$B$43=A130),'Aerodynamics-Cruise'!V27,Y130)</f>
        <v>361357.4103808364</v>
      </c>
      <c r="Z130" s="102">
        <f ca="1">IF(AND(Energy!$F$11=$A$3,Main!$B$43=$A130),Summary!Z27,Z130)</f>
        <v>294593.00969140412</v>
      </c>
      <c r="AA130" s="102">
        <f ca="1">IF(AND(Energy!$F$11=$A$3,Main!$B$43=$A130),Summary!AA27,AA130)</f>
        <v>361357.41038146702</v>
      </c>
      <c r="AB130" s="103">
        <f ca="1">IF(AND(Energy!$F$11=$A$3,Main!$B$43=$A130),Summary!AB27,AB130)</f>
        <v>50.661628579273106</v>
      </c>
      <c r="AC130" s="103">
        <f ca="1">IF(AND(Energy!$F$11=$A$3,Main!$B$43=$A130),Summary!AC27,AC130)</f>
        <v>-0.15165289691889974</v>
      </c>
      <c r="AD130" s="103">
        <f ca="1">IF(AND(Energy!$F$11=$A$3,Main!$B$43=$A130),Summary!AD27,AD130)</f>
        <v>1</v>
      </c>
      <c r="AE130" s="103">
        <f>IF(AND(Energy!$F$11=$A$3,Main!$B$43=$A130),Summary!AE27,AE130)</f>
        <v>0.6578947368421052</v>
      </c>
      <c r="AF130" s="103">
        <f>IF(AND(Energy!$F$11=$A$3,Main!$B$43=$A130),Summary!AF27,AF130)</f>
        <v>5.9210526315789487</v>
      </c>
      <c r="AG130" s="103">
        <f ca="1">IF(AND(Energy!$F$11=$A$3,Main!$B$43=$A130),Summary!AG27,AG130)</f>
        <v>29.122400511139944</v>
      </c>
      <c r="AH130" s="103">
        <f ca="1">IF(AND(Energy!$F$11=$A$3,Main!$B$43=$A130),Summary!AH27,AH130)</f>
        <v>47</v>
      </c>
      <c r="AI130" s="103">
        <f ca="1">IF(AND(Energy!$F$11=$A$3,Main!$B$43=$A130),Summary!AI27,AI130)</f>
        <v>3.1791121251125691</v>
      </c>
      <c r="AJ130" s="103">
        <f ca="1">IF(AND(Energy!$F$11=$A$3,Main!$B$43=$A130),Summary!AJ27,AJ130)</f>
        <v>0.34790144440808285</v>
      </c>
      <c r="AK130" s="103">
        <f ca="1">IF(AND(Energy!$F$11=$A$3,Main!$B$43=$A130),Summary!AK27,AK130)</f>
        <v>1.9330962529173684E-2</v>
      </c>
      <c r="AL130" s="103">
        <f ca="1">IF(AND(Energy!$F$11=$A$3,Main!$B$43=$A130),Summary!AL27,AL130)</f>
        <v>-0.31628794058621723</v>
      </c>
      <c r="AM130" s="103">
        <f ca="1">IF(AND(Energy!$F$11=$A$3,Main!$B$43=$A130),Summary!AM27,AM130)</f>
        <v>0.34375</v>
      </c>
    </row>
    <row r="131" spans="1:39">
      <c r="A131">
        <f t="shared" si="8"/>
        <v>7</v>
      </c>
      <c r="D131" s="1">
        <f>IF(AND(Energy!$F$11=$A$3,Main!$B$43=A131),Main!C28,D131)</f>
        <v>2.0526315789473686</v>
      </c>
      <c r="E131" s="103">
        <f>IF(AND(Energy!$F$11=$A$3,Main!$B$43=A131),Main!B28,E131)</f>
        <v>0.33333333333333326</v>
      </c>
      <c r="F131" s="103">
        <f ca="1">IF(Main!$D$6=1,U131,IF(Main!$D$6=2,N131,IF(Main!$D$6=3,K131,IF(Main!$D$6=4,V131,J131))))</f>
        <v>1951.8198188226502</v>
      </c>
      <c r="G131" s="103">
        <f>IF(AND(Energy!$F$11=$A$3,Main!$B$43=A131),Weight!H28,G131)</f>
        <v>10</v>
      </c>
      <c r="H131" s="103">
        <f ca="1">IF(AND(Energy!$F$11=$A$3,Main!$B$43=A131),Weight!U28,H131)</f>
        <v>15.124613703568272</v>
      </c>
      <c r="I131" s="103">
        <f ca="1">IF(AND(Energy!$F$11=$A$3,Main!$B$43=A131),Weight!V28,I131)</f>
        <v>122.52501256898603</v>
      </c>
      <c r="J131" s="103">
        <f ca="1">IF(AND(Energy!$F$11=$A$3,Main!$B$43=A131),Weight!I28,J131)</f>
        <v>97.340040590417757</v>
      </c>
      <c r="K131" s="103">
        <f ca="1">IF(AND(Energy!$F$11=$A$3,Main!$B$43=A131),Weight!W28,K131)</f>
        <v>132.52501256805863</v>
      </c>
      <c r="L131" s="103">
        <f ca="1">IF(AND(Energy!$F$11=$A$3,Main!$B$43=A131),'Aerodynamics-Cruise'!BI28,L131)</f>
        <v>132.52501256992099</v>
      </c>
      <c r="M131" s="103">
        <f ca="1">IF(AND(Energy!$F$11=$A$3,Main!$B$43=A131),'Aerodynamics-Cruise'!BJ28,M131)</f>
        <v>7.4114407994288793</v>
      </c>
      <c r="N131" s="103">
        <f ca="1">IF(AND(Energy!$F$11=$A$3,Main!$B$43=A131),'Aerodynamics-Cruise'!BK28,N131)</f>
        <v>17.881140274389466</v>
      </c>
      <c r="O131" s="103">
        <f t="shared" ca="1" si="5"/>
        <v>205.84680813380572</v>
      </c>
      <c r="P131" s="103">
        <f ca="1">IF(AND(Energy!$F$11=$A$3,Main!$B$43=A131),'Aerodynamics-Cruise'!H28,P131)</f>
        <v>25.850372382859632</v>
      </c>
      <c r="Q131" s="103">
        <f ca="1">IF(AND(Energy!$F$11=$A$3,Main!$B$43=A131),'Aerodynamics-Cruise'!I28,Q131)</f>
        <v>20.300306672919298</v>
      </c>
      <c r="R131" s="103">
        <f ca="1">IF(AND(Energy!$F$11=$A$3,Main!$B$43=$A131),Summary!R28,R131)</f>
        <v>25.850372383044267</v>
      </c>
      <c r="S131" s="103">
        <f ca="1">IF(AND(Energy!$F$11=$A$3,Main!$B$43=A131),'Aerodynamics-Cruise'!W28,S131)</f>
        <v>0.9</v>
      </c>
      <c r="T131" s="103">
        <f ca="1">IF(AND(Energy!$F$11=$A$3,Main!$B$43=A131),'Aerodynamics-Cruise'!BL28,T131)</f>
        <v>191.5885045587554</v>
      </c>
      <c r="U131" s="103">
        <f ca="1">IF(AND(Energy!$F$11=$A$3,Main!$B$43=A131),'Propulsion-Cruise'!M28,U131)</f>
        <v>342.3989551550377</v>
      </c>
      <c r="V131" s="103">
        <f ca="1">IF(AND(Energy!$F$11=$A$3,Main!$B$43=A131),Endurance!AP28,V131)</f>
        <v>1951.8198188066813</v>
      </c>
      <c r="W131" s="103">
        <f ca="1">IF(AND(Energy!$F$11=$A$3,Main!$B$43=$A131),Summary!W28,W131)</f>
        <v>1744.7694318285294</v>
      </c>
      <c r="X131" s="13">
        <f ca="1">IF(AND(Energy!$F$11=$A$3,Main!$B$43=A131),Energy!D28,X131)</f>
        <v>3670.9781408303825</v>
      </c>
      <c r="Y131" s="102">
        <f ca="1">IF(AND(Energy!$F$11=$A$3,Main!$B$43=A131),'Aerodynamics-Cruise'!V28,Y131)</f>
        <v>355555.03695396968</v>
      </c>
      <c r="Z131" s="102">
        <f ca="1">IF(AND(Energy!$F$11=$A$3,Main!$B$43=$A131),Summary!Z28,Z131)</f>
        <v>289902.90741634183</v>
      </c>
      <c r="AA131" s="102">
        <f ca="1">IF(AND(Energy!$F$11=$A$3,Main!$B$43=$A131),Summary!AA28,AA131)</f>
        <v>355555.03695650923</v>
      </c>
      <c r="AB131" s="103">
        <f ca="1">IF(AND(Energy!$F$11=$A$3,Main!$B$43=$A131),Summary!AB28,AB131)</f>
        <v>49.223752657821706</v>
      </c>
      <c r="AC131" s="103">
        <f ca="1">IF(AND(Energy!$F$11=$A$3,Main!$B$43=$A131),Summary!AC28,AC131)</f>
        <v>-8.2682102785507833E-2</v>
      </c>
      <c r="AD131" s="103">
        <f ca="1">IF(AND(Energy!$F$11=$A$3,Main!$B$43=$A131),Summary!AD28,AD131)</f>
        <v>0.99387971403889719</v>
      </c>
      <c r="AE131" s="103">
        <f>IF(AND(Energy!$F$11=$A$3,Main!$B$43=$A131),Summary!AE28,AE131)</f>
        <v>0.68421052631578938</v>
      </c>
      <c r="AF131" s="103">
        <f>IF(AND(Energy!$F$11=$A$3,Main!$B$43=$A131),Summary!AF28,AF131)</f>
        <v>6.1578947368421071</v>
      </c>
      <c r="AG131" s="103">
        <f ca="1">IF(AND(Energy!$F$11=$A$3,Main!$B$43=$A131),Summary!AG28,AG131)</f>
        <v>29.072357738453498</v>
      </c>
      <c r="AH131" s="103">
        <f ca="1">IF(AND(Energy!$F$11=$A$3,Main!$B$43=$A131),Summary!AH28,AH131)</f>
        <v>47</v>
      </c>
      <c r="AI131" s="103">
        <f ca="1">IF(AND(Energy!$F$11=$A$3,Main!$B$43=$A131),Summary!AI28,AI131)</f>
        <v>3.1782238406376933</v>
      </c>
      <c r="AJ131" s="103">
        <f ca="1">IF(AND(Energy!$F$11=$A$3,Main!$B$43=$A131),Summary!AJ28,AJ131)</f>
        <v>0.34362005646231264</v>
      </c>
      <c r="AK131" s="103">
        <f ca="1">IF(AND(Energy!$F$11=$A$3,Main!$B$43=$A131),Summary!AK28,AK131)</f>
        <v>1.8943126121086139E-2</v>
      </c>
      <c r="AL131" s="103">
        <f ca="1">IF(AND(Energy!$F$11=$A$3,Main!$B$43=$A131),Summary!AL28,AL131)</f>
        <v>-0.32022188545918978</v>
      </c>
      <c r="AM131" s="103">
        <f ca="1">IF(AND(Energy!$F$11=$A$3,Main!$B$43=$A131),Summary!AM28,AM131)</f>
        <v>0.34375</v>
      </c>
    </row>
    <row r="132" spans="1:39">
      <c r="A132">
        <f t="shared" si="8"/>
        <v>7</v>
      </c>
      <c r="D132" s="1">
        <f>IF(AND(Energy!$F$11=$A$3,Main!$B$43=A132),Main!C29,D132)</f>
        <v>2.1315789473684212</v>
      </c>
      <c r="E132" s="103">
        <f>IF(AND(Energy!$F$11=$A$3,Main!$B$43=A132),Main!B29,E132)</f>
        <v>0.33333333333333326</v>
      </c>
      <c r="F132" s="103">
        <f ca="1">IF(Main!$D$6=1,U132,IF(Main!$D$6=2,N132,IF(Main!$D$6=3,K132,IF(Main!$D$6=4,V132,J132))))</f>
        <v>1940.7950193182328</v>
      </c>
      <c r="G132" s="103">
        <f>IF(AND(Energy!$F$11=$A$3,Main!$B$43=A132),Weight!H29,G132)</f>
        <v>10</v>
      </c>
      <c r="H132" s="103">
        <f ca="1">IF(AND(Energy!$F$11=$A$3,Main!$B$43=A132),Weight!U29,H132)</f>
        <v>15.416722860522214</v>
      </c>
      <c r="I132" s="103">
        <f ca="1">IF(AND(Energy!$F$11=$A$3,Main!$B$43=A132),Weight!V29,I132)</f>
        <v>122.22241873640721</v>
      </c>
      <c r="J132" s="103">
        <f ca="1">IF(AND(Energy!$F$11=$A$3,Main!$B$43=A132),Weight!I29,J132)</f>
        <v>96.745337600884994</v>
      </c>
      <c r="K132" s="103">
        <f ca="1">IF(AND(Energy!$F$11=$A$3,Main!$B$43=A132),Weight!W29,K132)</f>
        <v>132.22241873545346</v>
      </c>
      <c r="L132" s="103">
        <f ca="1">IF(AND(Energy!$F$11=$A$3,Main!$B$43=A132),'Aerodynamics-Cruise'!BI29,L132)</f>
        <v>132.22241873736857</v>
      </c>
      <c r="M132" s="103">
        <f ca="1">IF(AND(Energy!$F$11=$A$3,Main!$B$43=A132),'Aerodynamics-Cruise'!BJ29,M132)</f>
        <v>7.2326719010489109</v>
      </c>
      <c r="N132" s="103">
        <f ca="1">IF(AND(Energy!$F$11=$A$3,Main!$B$43=A132),'Aerodynamics-Cruise'!BK29,N132)</f>
        <v>18.281268740836033</v>
      </c>
      <c r="O132" s="103">
        <f t="shared" ca="1" si="5"/>
        <v>210.21266674716153</v>
      </c>
      <c r="P132" s="103">
        <f ca="1">IF(AND(Energy!$F$11=$A$3,Main!$B$43=A132),'Aerodynamics-Cruise'!H29,P132)</f>
        <v>25.337550160719807</v>
      </c>
      <c r="Q132" s="103">
        <f ca="1">IF(AND(Energy!$F$11=$A$3,Main!$B$43=A132),'Aerodynamics-Cruise'!I29,Q132)</f>
        <v>19.900844140940418</v>
      </c>
      <c r="R132" s="103">
        <f ca="1">IF(AND(Energy!$F$11=$A$3,Main!$B$43=$A132),Summary!R29,R132)</f>
        <v>25.337550160906257</v>
      </c>
      <c r="S132" s="103">
        <f ca="1">IF(AND(Energy!$F$11=$A$3,Main!$B$43=A132),'Aerodynamics-Cruise'!W29,S132)</f>
        <v>0.9</v>
      </c>
      <c r="T132" s="103">
        <f ca="1">IF(AND(Energy!$F$11=$A$3,Main!$B$43=A132),'Aerodynamics-Cruise'!BL29,T132)</f>
        <v>183.25818708885546</v>
      </c>
      <c r="U132" s="103">
        <f ca="1">IF(AND(Energy!$F$11=$A$3,Main!$B$43=A132),'Propulsion-Cruise'!M29,U132)</f>
        <v>328.0650685706737</v>
      </c>
      <c r="V132" s="103">
        <f ca="1">IF(AND(Energy!$F$11=$A$3,Main!$B$43=A132),Endurance!AP29,V132)</f>
        <v>1940.7950193018301</v>
      </c>
      <c r="W132" s="103">
        <f ca="1">IF(AND(Energy!$F$11=$A$3,Main!$B$43=$A132),Summary!W29,W132)</f>
        <v>1733.6044704799842</v>
      </c>
      <c r="X132" s="13">
        <f ca="1">IF(AND(Energy!$F$11=$A$3,Main!$B$43=A132),Energy!D29,X132)</f>
        <v>3650.8191828407553</v>
      </c>
      <c r="Y132" s="102">
        <f ca="1">IF(AND(Energy!$F$11=$A$3,Main!$B$43=A132),'Aerodynamics-Cruise'!V29,Y132)</f>
        <v>348501.50126623455</v>
      </c>
      <c r="Z132" s="102">
        <f ca="1">IF(AND(Energy!$F$11=$A$3,Main!$B$43=$A132),Summary!Z29,Z132)</f>
        <v>284197.97549928707</v>
      </c>
      <c r="AA132" s="102">
        <f ca="1">IF(AND(Energy!$F$11=$A$3,Main!$B$43=$A132),Summary!AA29,AA132)</f>
        <v>348501.50126879907</v>
      </c>
      <c r="AB132" s="103">
        <f ca="1">IF(AND(Energy!$F$11=$A$3,Main!$B$43=$A132),Summary!AB29,AB132)</f>
        <v>46.987457218790411</v>
      </c>
      <c r="AC132" s="103">
        <f ca="1">IF(AND(Energy!$F$11=$A$3,Main!$B$43=$A132),Summary!AC29,AC132)</f>
        <v>2.0391533209601818E-3</v>
      </c>
      <c r="AD132" s="103">
        <f ca="1">IF(AND(Energy!$F$11=$A$3,Main!$B$43=$A132),Summary!AD29,AD132)</f>
        <v>0.97703834859053484</v>
      </c>
      <c r="AE132" s="103">
        <f>IF(AND(Energy!$F$11=$A$3,Main!$B$43=$A132),Summary!AE29,AE132)</f>
        <v>0.71052631578947356</v>
      </c>
      <c r="AF132" s="103">
        <f>IF(AND(Energy!$F$11=$A$3,Main!$B$43=$A132),Summary!AF29,AF132)</f>
        <v>6.3947368421052664</v>
      </c>
      <c r="AG132" s="103">
        <f ca="1">IF(AND(Energy!$F$11=$A$3,Main!$B$43=$A132),Summary!AG29,AG132)</f>
        <v>28.335444512732877</v>
      </c>
      <c r="AH132" s="103">
        <f ca="1">IF(AND(Energy!$F$11=$A$3,Main!$B$43=$A132),Summary!AH29,AH132)</f>
        <v>47</v>
      </c>
      <c r="AI132" s="103">
        <f ca="1">IF(AND(Energy!$F$11=$A$3,Main!$B$43=$A132),Summary!AI29,AI132)</f>
        <v>3.1771836390460328</v>
      </c>
      <c r="AJ132" s="103">
        <f ca="1">IF(AND(Energy!$F$11=$A$3,Main!$B$43=$A132),Summary!AJ29,AJ132)</f>
        <v>0.34006121713764698</v>
      </c>
      <c r="AK132" s="103">
        <f ca="1">IF(AND(Energy!$F$11=$A$3,Main!$B$43=$A132),Summary!AK29,AK132)</f>
        <v>1.8593794943497555E-2</v>
      </c>
      <c r="AL132" s="103">
        <f ca="1">IF(AND(Energy!$F$11=$A$3,Main!$B$43=$A132),Summary!AL29,AL132)</f>
        <v>-0.32356685418466152</v>
      </c>
      <c r="AM132" s="103">
        <f ca="1">IF(AND(Energy!$F$11=$A$3,Main!$B$43=$A132),Summary!AM29,AM132)</f>
        <v>0.34375</v>
      </c>
    </row>
    <row r="133" spans="1:39">
      <c r="A133">
        <f t="shared" si="8"/>
        <v>7</v>
      </c>
      <c r="D133" s="1">
        <f>IF(AND(Energy!$F$11=$A$3,Main!$B$43=A133),Main!C30,D133)</f>
        <v>2.2105263157894739</v>
      </c>
      <c r="E133" s="103">
        <f>IF(AND(Energy!$F$11=$A$3,Main!$B$43=A133),Main!B30,E133)</f>
        <v>0.33333333333333326</v>
      </c>
      <c r="F133" s="103">
        <f ca="1">IF(Main!$D$6=1,U133,IF(Main!$D$6=2,N133,IF(Main!$D$6=3,K133,IF(Main!$D$6=4,V133,J133))))</f>
        <v>1931.024893800952</v>
      </c>
      <c r="G133" s="103">
        <f>IF(AND(Energy!$F$11=$A$3,Main!$B$43=A133),Weight!H30,G133)</f>
        <v>10</v>
      </c>
      <c r="H133" s="103">
        <f ca="1">IF(AND(Energy!$F$11=$A$3,Main!$B$43=A133),Weight!U30,H133)</f>
        <v>15.716563898319222</v>
      </c>
      <c r="I133" s="103">
        <f ca="1">IF(AND(Energy!$F$11=$A$3,Main!$B$43=A133),Weight!V30,I133)</f>
        <v>121.99460630550439</v>
      </c>
      <c r="J133" s="103">
        <f ca="1">IF(AND(Energy!$F$11=$A$3,Main!$B$43=A133),Weight!I30,J133)</f>
        <v>96.21768413218517</v>
      </c>
      <c r="K133" s="103">
        <f ca="1">IF(AND(Energy!$F$11=$A$3,Main!$B$43=A133),Weight!W30,K133)</f>
        <v>131.99460630452538</v>
      </c>
      <c r="L133" s="103">
        <f ca="1">IF(AND(Energy!$F$11=$A$3,Main!$B$43=A133),'Aerodynamics-Cruise'!BI30,L133)</f>
        <v>131.99460630649111</v>
      </c>
      <c r="M133" s="103">
        <f ca="1">IF(AND(Energy!$F$11=$A$3,Main!$B$43=A133),'Aerodynamics-Cruise'!BJ30,M133)</f>
        <v>7.070954097241656</v>
      </c>
      <c r="N133" s="103">
        <f ca="1">IF(AND(Energy!$F$11=$A$3,Main!$B$43=A133),'Aerodynamics-Cruise'!BK30,N133)</f>
        <v>18.667156439041452</v>
      </c>
      <c r="O133" s="103">
        <f t="shared" ref="O133:O196" ca="1" si="9">L133^(3/2)/M133</f>
        <v>214.46491740009861</v>
      </c>
      <c r="P133" s="103">
        <f ca="1">IF(AND(Energy!$F$11=$A$3,Main!$B$43=A133),'Aerodynamics-Cruise'!H30,P133)</f>
        <v>24.858990723279437</v>
      </c>
      <c r="Q133" s="103">
        <f ca="1">IF(AND(Energy!$F$11=$A$3,Main!$B$43=A133),'Aerodynamics-Cruise'!I30,Q133)</f>
        <v>19.52798658614757</v>
      </c>
      <c r="R133" s="103">
        <f ca="1">IF(AND(Energy!$F$11=$A$3,Main!$B$43=$A133),Summary!R30,R133)</f>
        <v>24.858990723467461</v>
      </c>
      <c r="S133" s="103">
        <f ca="1">IF(AND(Energy!$F$11=$A$3,Main!$B$43=A133),'Aerodynamics-Cruise'!W30,S133)</f>
        <v>0.9</v>
      </c>
      <c r="T133" s="103">
        <f ca="1">IF(AND(Energy!$F$11=$A$3,Main!$B$43=A133),'Aerodynamics-Cruise'!BL30,T133)</f>
        <v>175.77678230806504</v>
      </c>
      <c r="U133" s="103">
        <f ca="1">IF(AND(Energy!$F$11=$A$3,Main!$B$43=A133),'Propulsion-Cruise'!M30,U133)</f>
        <v>315.21082261284903</v>
      </c>
      <c r="V133" s="103">
        <f ca="1">IF(AND(Energy!$F$11=$A$3,Main!$B$43=A133),Endurance!AP30,V133)</f>
        <v>1931.0248937841338</v>
      </c>
      <c r="W133" s="103">
        <f ca="1">IF(AND(Energy!$F$11=$A$3,Main!$B$43=$A133),Summary!W30,W133)</f>
        <v>1723.6982976724057</v>
      </c>
      <c r="X133" s="13">
        <f ca="1">IF(AND(Energy!$F$11=$A$3,Main!$B$43=A133),Energy!D30,X133)</f>
        <v>3632.9330374945048</v>
      </c>
      <c r="Y133" s="102">
        <f ca="1">IF(AND(Energy!$F$11=$A$3,Main!$B$43=A133),'Aerodynamics-Cruise'!V30,Y133)</f>
        <v>341919.22786824655</v>
      </c>
      <c r="Z133" s="102">
        <f ca="1">IF(AND(Energy!$F$11=$A$3,Main!$B$43=$A133),Summary!Z30,Z133)</f>
        <v>278873.01138237474</v>
      </c>
      <c r="AA133" s="102">
        <f ca="1">IF(AND(Energy!$F$11=$A$3,Main!$B$43=$A133),Summary!AA30,AA133)</f>
        <v>341919.22787083266</v>
      </c>
      <c r="AB133" s="103">
        <f ca="1">IF(AND(Energy!$F$11=$A$3,Main!$B$43=$A133),Summary!AB30,AB133)</f>
        <v>44.97992427710092</v>
      </c>
      <c r="AC133" s="103">
        <f ca="1">IF(AND(Energy!$F$11=$A$3,Main!$B$43=$A133),Summary!AC30,AC133)</f>
        <v>7.7149405888954331E-2</v>
      </c>
      <c r="AD133" s="103">
        <f ca="1">IF(AND(Energy!$F$11=$A$3,Main!$B$43=$A133),Summary!AD30,AD133)</f>
        <v>0.96148549537759376</v>
      </c>
      <c r="AE133" s="103">
        <f>IF(AND(Energy!$F$11=$A$3,Main!$B$43=$A133),Summary!AE30,AE133)</f>
        <v>0.73684210526315785</v>
      </c>
      <c r="AF133" s="103">
        <f>IF(AND(Energy!$F$11=$A$3,Main!$B$43=$A133),Summary!AF30,AF133)</f>
        <v>6.631578947368423</v>
      </c>
      <c r="AG133" s="103">
        <f ca="1">IF(AND(Energy!$F$11=$A$3,Main!$B$43=$A133),Summary!AG30,AG133)</f>
        <v>27.66559614975343</v>
      </c>
      <c r="AH133" s="103">
        <f ca="1">IF(AND(Energy!$F$11=$A$3,Main!$B$43=$A133),Summary!AH30,AH133)</f>
        <v>47</v>
      </c>
      <c r="AI133" s="103">
        <f ca="1">IF(AND(Energy!$F$11=$A$3,Main!$B$43=$A133),Summary!AI30,AI133)</f>
        <v>3.1762020355440868</v>
      </c>
      <c r="AJ133" s="103">
        <f ca="1">IF(AND(Energy!$F$11=$A$3,Main!$B$43=$A133),Summary!AJ30,AJ133)</f>
        <v>0.33673284858628677</v>
      </c>
      <c r="AK133" s="103">
        <f ca="1">IF(AND(Energy!$F$11=$A$3,Main!$B$43=$A133),Summary!AK30,AK133)</f>
        <v>1.8277562238412138E-2</v>
      </c>
      <c r="AL133" s="103">
        <f ca="1">IF(AND(Energy!$F$11=$A$3,Main!$B$43=$A133),Summary!AL30,AL133)</f>
        <v>-0.32675940672351028</v>
      </c>
      <c r="AM133" s="103">
        <f ca="1">IF(AND(Energy!$F$11=$A$3,Main!$B$43=$A133),Summary!AM30,AM133)</f>
        <v>0.34375</v>
      </c>
    </row>
    <row r="134" spans="1:39">
      <c r="A134">
        <f t="shared" si="8"/>
        <v>7</v>
      </c>
      <c r="D134" s="1">
        <f>IF(AND(Energy!$F$11=$A$3,Main!$B$43=A134),Main!C31,D134)</f>
        <v>2.2894736842105265</v>
      </c>
      <c r="E134" s="103">
        <f>IF(AND(Energy!$F$11=$A$3,Main!$B$43=A134),Main!B31,E134)</f>
        <v>0.33333333333333326</v>
      </c>
      <c r="F134" s="103">
        <f ca="1">IF(Main!$D$6=1,U134,IF(Main!$D$6=2,N134,IF(Main!$D$6=3,K134,IF(Main!$D$6=4,V134,J134))))</f>
        <v>1922.3219846807006</v>
      </c>
      <c r="G134" s="103">
        <f>IF(AND(Energy!$F$11=$A$3,Main!$B$43=A134),Weight!H31,G134)</f>
        <v>10</v>
      </c>
      <c r="H134" s="103">
        <f ca="1">IF(AND(Energy!$F$11=$A$3,Main!$B$43=A134),Weight!U31,H134)</f>
        <v>16.023675886546343</v>
      </c>
      <c r="I134" s="103">
        <f ca="1">IF(AND(Energy!$F$11=$A$3,Main!$B$43=A134),Weight!V31,I134)</f>
        <v>121.83112185491365</v>
      </c>
      <c r="J134" s="103">
        <f ca="1">IF(AND(Energy!$F$11=$A$3,Main!$B$43=A134),Weight!I31,J134)</f>
        <v>95.747087693367305</v>
      </c>
      <c r="K134" s="103">
        <f ca="1">IF(AND(Energy!$F$11=$A$3,Main!$B$43=A134),Weight!W31,K134)</f>
        <v>131.83112185391033</v>
      </c>
      <c r="L134" s="103">
        <f ca="1">IF(AND(Energy!$F$11=$A$3,Main!$B$43=A134),'Aerodynamics-Cruise'!BI31,L134)</f>
        <v>131.83112185592466</v>
      </c>
      <c r="M134" s="103">
        <f ca="1">IF(AND(Energy!$F$11=$A$3,Main!$B$43=A134),'Aerodynamics-Cruise'!BJ31,M134)</f>
        <v>6.9241502873566816</v>
      </c>
      <c r="N134" s="103">
        <f ca="1">IF(AND(Energy!$F$11=$A$3,Main!$B$43=A134),'Aerodynamics-Cruise'!BK31,N134)</f>
        <v>19.039321271903191</v>
      </c>
      <c r="O134" s="103">
        <f t="shared" ca="1" si="9"/>
        <v>218.60517373349634</v>
      </c>
      <c r="P134" s="103">
        <f ca="1">IF(AND(Energy!$F$11=$A$3,Main!$B$43=A134),'Aerodynamics-Cruise'!H31,P134)</f>
        <v>24.411011139810388</v>
      </c>
      <c r="Q134" s="103">
        <f ca="1">IF(AND(Energy!$F$11=$A$3,Main!$B$43=A134),'Aerodynamics-Cruise'!I31,Q134)</f>
        <v>19.17888083682233</v>
      </c>
      <c r="R134" s="103">
        <f ca="1">IF(AND(Energy!$F$11=$A$3,Main!$B$43=$A134),Summary!R31,R134)</f>
        <v>25.272738494934266</v>
      </c>
      <c r="S134" s="103">
        <f ca="1">IF(AND(Energy!$F$11=$A$3,Main!$B$43=A134),'Aerodynamics-Cruise'!W31,S134)</f>
        <v>0.9</v>
      </c>
      <c r="T134" s="103">
        <f ca="1">IF(AND(Energy!$F$11=$A$3,Main!$B$43=A134),'Aerodynamics-Cruise'!BL31,T134)</f>
        <v>169.02550979838526</v>
      </c>
      <c r="U134" s="103">
        <f ca="1">IF(AND(Energy!$F$11=$A$3,Main!$B$43=A134),'Propulsion-Cruise'!M31,U134)</f>
        <v>303.6280002552229</v>
      </c>
      <c r="V134" s="103">
        <f ca="1">IF(AND(Energy!$F$11=$A$3,Main!$B$43=A134),Endurance!AP31,V134)</f>
        <v>1922.3219846634868</v>
      </c>
      <c r="W134" s="103">
        <f ca="1">IF(AND(Energy!$F$11=$A$3,Main!$B$43=$A134),Summary!W31,W134)</f>
        <v>1714.8633142559702</v>
      </c>
      <c r="X134" s="13">
        <f ca="1">IF(AND(Energy!$F$11=$A$3,Main!$B$43=A134),Energy!D31,X134)</f>
        <v>3616.9809841044471</v>
      </c>
      <c r="Y134" s="102">
        <f ca="1">IF(AND(Energy!$F$11=$A$3,Main!$B$43=A134),'Aerodynamics-Cruise'!V31,Y134)</f>
        <v>335757.56044636539</v>
      </c>
      <c r="Z134" s="102">
        <f ca="1">IF(AND(Energy!$F$11=$A$3,Main!$B$43=$A134),Summary!Z31,Z134)</f>
        <v>273887.26589319156</v>
      </c>
      <c r="AA134" s="102">
        <f ca="1">IF(AND(Energy!$F$11=$A$3,Main!$B$43=$A134),Summary!AA31,AA134)</f>
        <v>347610.05901224585</v>
      </c>
      <c r="AB134" s="103">
        <f ca="1">IF(AND(Energy!$F$11=$A$3,Main!$B$43=$A134),Summary!AB31,AB134)</f>
        <v>43.167824986214228</v>
      </c>
      <c r="AC134" s="103">
        <f ca="1">IF(AND(Energy!$F$11=$A$3,Main!$B$43=$A134),Summary!AC31,AC134)</f>
        <v>0.14397298175268636</v>
      </c>
      <c r="AD134" s="103">
        <f ca="1">IF(AND(Energy!$F$11=$A$3,Main!$B$43=$A134),Summary!AD31,AD134)</f>
        <v>0.94707755469844024</v>
      </c>
      <c r="AE134" s="103">
        <f>IF(AND(Energy!$F$11=$A$3,Main!$B$43=$A134),Summary!AE31,AE134)</f>
        <v>0.76315789473684204</v>
      </c>
      <c r="AF134" s="103">
        <f>IF(AND(Energy!$F$11=$A$3,Main!$B$43=$A134),Summary!AF31,AF134)</f>
        <v>6.8684210526315805</v>
      </c>
      <c r="AG134" s="103">
        <f ca="1">IF(AND(Energy!$F$11=$A$3,Main!$B$43=$A134),Summary!AG31,AG134)</f>
        <v>27.054401118821339</v>
      </c>
      <c r="AH134" s="103">
        <f ca="1">IF(AND(Energy!$F$11=$A$3,Main!$B$43=$A134),Summary!AH31,AH134)</f>
        <v>47</v>
      </c>
      <c r="AI134" s="103">
        <f ca="1">IF(AND(Energy!$F$11=$A$3,Main!$B$43=$A134),Summary!AI31,AI134)</f>
        <v>3.1752731250228621</v>
      </c>
      <c r="AJ134" s="103">
        <f ca="1">IF(AND(Energy!$F$11=$A$3,Main!$B$43=$A134),Summary!AJ31,AJ134)</f>
        <v>0.33361510434790553</v>
      </c>
      <c r="AK134" s="103">
        <f ca="1">IF(AND(Energy!$F$11=$A$3,Main!$B$43=$A134),Summary!AK31,AK134)</f>
        <v>1.7989972639883216E-2</v>
      </c>
      <c r="AL134" s="103">
        <f ca="1">IF(AND(Energy!$F$11=$A$3,Main!$B$43=$A134),Summary!AL31,AL134)</f>
        <v>-0.3298079010906152</v>
      </c>
      <c r="AM134" s="103">
        <f ca="1">IF(AND(Energy!$F$11=$A$3,Main!$B$43=$A134),Summary!AM31,AM134)</f>
        <v>0.34375</v>
      </c>
    </row>
    <row r="135" spans="1:39">
      <c r="A135">
        <f t="shared" si="8"/>
        <v>7</v>
      </c>
      <c r="D135" s="1">
        <f>IF(AND(Energy!$F$11=$A$3,Main!$B$43=A135),Main!C32,D135)</f>
        <v>2.3684210526315792</v>
      </c>
      <c r="E135" s="103">
        <f>IF(AND(Energy!$F$11=$A$3,Main!$B$43=A135),Main!B32,E135)</f>
        <v>0.33333333333333326</v>
      </c>
      <c r="F135" s="103">
        <f ca="1">IF(Main!$D$6=1,U135,IF(Main!$D$6=2,N135,IF(Main!$D$6=3,K135,IF(Main!$D$6=4,V135,J135))))</f>
        <v>1914.5345911960394</v>
      </c>
      <c r="G135" s="103">
        <f>IF(AND(Energy!$F$11=$A$3,Main!$B$43=A135),Weight!H32,G135)</f>
        <v>10</v>
      </c>
      <c r="H135" s="103">
        <f ca="1">IF(AND(Energy!$F$11=$A$3,Main!$B$43=A135),Weight!U32,H135)</f>
        <v>16.33767874810853</v>
      </c>
      <c r="I135" s="103">
        <f ca="1">IF(AND(Energy!$F$11=$A$3,Main!$B$43=A135),Weight!V32,I135)</f>
        <v>121.72349764200382</v>
      </c>
      <c r="J135" s="103">
        <f ca="1">IF(AND(Energy!$F$11=$A$3,Main!$B$43=A135),Weight!I32,J135)</f>
        <v>95.325460618895292</v>
      </c>
      <c r="K135" s="103">
        <f ca="1">IF(AND(Energy!$F$11=$A$3,Main!$B$43=A135),Weight!W32,K135)</f>
        <v>131.72349764097771</v>
      </c>
      <c r="L135" s="103">
        <f ca="1">IF(AND(Energy!$F$11=$A$3,Main!$B$43=A135),'Aerodynamics-Cruise'!BI32,L135)</f>
        <v>131.7234976430376</v>
      </c>
      <c r="M135" s="103">
        <f ca="1">IF(AND(Energy!$F$11=$A$3,Main!$B$43=A135),'Aerodynamics-Cruise'!BJ32,M135)</f>
        <v>6.7904786277143527</v>
      </c>
      <c r="N135" s="103">
        <f ca="1">IF(AND(Energy!$F$11=$A$3,Main!$B$43=A135),'Aerodynamics-Cruise'!BK32,N135)</f>
        <v>19.398264078974826</v>
      </c>
      <c r="O135" s="103">
        <f t="shared" ca="1" si="9"/>
        <v>222.63554051457339</v>
      </c>
      <c r="P135" s="103">
        <f ca="1">IF(AND(Energy!$F$11=$A$3,Main!$B$43=A135),'Aerodynamics-Cruise'!H32,P135)</f>
        <v>23.990482001725344</v>
      </c>
      <c r="Q135" s="103">
        <f ca="1">IF(AND(Energy!$F$11=$A$3,Main!$B$43=A135),'Aerodynamics-Cruise'!I32,Q135)</f>
        <v>18.851101890046259</v>
      </c>
      <c r="R135" s="103">
        <f ca="1">IF(AND(Energy!$F$11=$A$3,Main!$B$43=$A135),Summary!R32,R135)</f>
        <v>25.81753184746562</v>
      </c>
      <c r="S135" s="103">
        <f ca="1">IF(AND(Energy!$F$11=$A$3,Main!$B$43=A135),'Aerodynamics-Cruise'!W32,S135)</f>
        <v>0.9</v>
      </c>
      <c r="T135" s="103">
        <f ca="1">IF(AND(Energy!$F$11=$A$3,Main!$B$43=A135),'Aerodynamics-Cruise'!BL32,T135)</f>
        <v>162.90685530128178</v>
      </c>
      <c r="U135" s="103">
        <f ca="1">IF(AND(Energy!$F$11=$A$3,Main!$B$43=A135),'Propulsion-Cruise'!M32,U135)</f>
        <v>293.14588953447145</v>
      </c>
      <c r="V135" s="103">
        <f ca="1">IF(AND(Energy!$F$11=$A$3,Main!$B$43=A135),Endurance!AP32,V135)</f>
        <v>1914.5345911784559</v>
      </c>
      <c r="W135" s="103">
        <f ca="1">IF(AND(Energy!$F$11=$A$3,Main!$B$43=$A135),Summary!W32,W135)</f>
        <v>1706.9476822969789</v>
      </c>
      <c r="X135" s="13">
        <f ca="1">IF(AND(Energy!$F$11=$A$3,Main!$B$43=A135),Energy!D32,X135)</f>
        <v>3602.6888708458373</v>
      </c>
      <c r="Y135" s="102">
        <f ca="1">IF(AND(Energy!$F$11=$A$3,Main!$B$43=A135),'Aerodynamics-Cruise'!V32,Y135)</f>
        <v>329973.45602351421</v>
      </c>
      <c r="Z135" s="102">
        <f ca="1">IF(AND(Energy!$F$11=$A$3,Main!$B$43=$A135),Summary!Z32,Z135)</f>
        <v>269206.10505613778</v>
      </c>
      <c r="AA135" s="102">
        <f ca="1">IF(AND(Energy!$F$11=$A$3,Main!$B$43=$A135),Summary!AA32,AA135)</f>
        <v>355103.33677717269</v>
      </c>
      <c r="AB135" s="103">
        <f ca="1">IF(AND(Energy!$F$11=$A$3,Main!$B$43=$A135),Summary!AB32,AB135)</f>
        <v>41.52410987122461</v>
      </c>
      <c r="AC135" s="103">
        <f ca="1">IF(AND(Energy!$F$11=$A$3,Main!$B$43=$A135),Summary!AC32,AC135)</f>
        <v>0.20360478339854196</v>
      </c>
      <c r="AD135" s="103">
        <f ca="1">IF(AND(Energy!$F$11=$A$3,Main!$B$43=$A135),Summary!AD32,AD135)</f>
        <v>0.93369302160100331</v>
      </c>
      <c r="AE135" s="103">
        <f>IF(AND(Energy!$F$11=$A$3,Main!$B$43=$A135),Summary!AE32,AE135)</f>
        <v>0.78947368421052622</v>
      </c>
      <c r="AF135" s="103">
        <f>IF(AND(Energy!$F$11=$A$3,Main!$B$43=$A135),Summary!AF32,AF135)</f>
        <v>7.1052631578947389</v>
      </c>
      <c r="AG135" s="103">
        <f ca="1">IF(AND(Energy!$F$11=$A$3,Main!$B$43=$A135),Summary!AG32,AG135)</f>
        <v>26.494842713370744</v>
      </c>
      <c r="AH135" s="103">
        <f ca="1">IF(AND(Energy!$F$11=$A$3,Main!$B$43=$A135),Summary!AH32,AH135)</f>
        <v>47</v>
      </c>
      <c r="AI135" s="103">
        <f ca="1">IF(AND(Energy!$F$11=$A$3,Main!$B$43=$A135),Summary!AI32,AI135)</f>
        <v>3.1743918615759816</v>
      </c>
      <c r="AJ135" s="103">
        <f ca="1">IF(AND(Energy!$F$11=$A$3,Main!$B$43=$A135),Summary!AJ32,AJ135)</f>
        <v>0.33069017362429531</v>
      </c>
      <c r="AK135" s="103">
        <f ca="1">IF(AND(Energy!$F$11=$A$3,Main!$B$43=$A135),Summary!AK32,AK135)</f>
        <v>1.7727325021640358E-2</v>
      </c>
      <c r="AL135" s="103">
        <f ca="1">IF(AND(Energy!$F$11=$A$3,Main!$B$43=$A135),Summary!AL32,AL135)</f>
        <v>-0.33272028705543799</v>
      </c>
      <c r="AM135" s="103">
        <f ca="1">IF(AND(Energy!$F$11=$A$3,Main!$B$43=$A135),Summary!AM32,AM135)</f>
        <v>0.34375</v>
      </c>
    </row>
    <row r="136" spans="1:39">
      <c r="A136">
        <f t="shared" si="8"/>
        <v>7</v>
      </c>
      <c r="D136" s="1">
        <f>IF(AND(Energy!$F$11=$A$3,Main!$B$43=A136),Main!C33,D136)</f>
        <v>2.4473684210526319</v>
      </c>
      <c r="E136" s="103">
        <f>IF(AND(Energy!$F$11=$A$3,Main!$B$43=A136),Main!B33,E136)</f>
        <v>0.33333333333333326</v>
      </c>
      <c r="F136" s="103">
        <f ca="1">IF(Main!$D$6=1,U136,IF(Main!$D$6=2,N136,IF(Main!$D$6=3,K136,IF(Main!$D$6=4,V136,J136))))</f>
        <v>1907.5386383109562</v>
      </c>
      <c r="G136" s="103">
        <f>IF(AND(Energy!$F$11=$A$3,Main!$B$43=A136),Weight!H33,G136)</f>
        <v>10</v>
      </c>
      <c r="H136" s="103">
        <f ca="1">IF(AND(Energy!$F$11=$A$3,Main!$B$43=A136),Weight!U33,H136)</f>
        <v>16.658255827899268</v>
      </c>
      <c r="I136" s="103">
        <f ca="1">IF(AND(Energy!$F$11=$A$3,Main!$B$43=A136),Weight!V33,I136)</f>
        <v>121.66480106818827</v>
      </c>
      <c r="J136" s="103">
        <f ca="1">IF(AND(Energy!$F$11=$A$3,Main!$B$43=A136),Weight!I33,J136)</f>
        <v>94.946186965289002</v>
      </c>
      <c r="K136" s="103">
        <f ca="1">IF(AND(Energy!$F$11=$A$3,Main!$B$43=A136),Weight!W33,K136)</f>
        <v>131.66480106713556</v>
      </c>
      <c r="L136" s="103">
        <f ca="1">IF(AND(Energy!$F$11=$A$3,Main!$B$43=A136),'Aerodynamics-Cruise'!BI33,L136)</f>
        <v>131.66480106924882</v>
      </c>
      <c r="M136" s="103">
        <f ca="1">IF(AND(Energy!$F$11=$A$3,Main!$B$43=A136),'Aerodynamics-Cruise'!BJ33,M136)</f>
        <v>6.6684398389235664</v>
      </c>
      <c r="N136" s="103">
        <f ca="1">IF(AND(Energy!$F$11=$A$3,Main!$B$43=A136),'Aerodynamics-Cruise'!BK33,N136)</f>
        <v>19.744468608792673</v>
      </c>
      <c r="O136" s="103">
        <f t="shared" ca="1" si="9"/>
        <v>226.55846499164778</v>
      </c>
      <c r="P136" s="103">
        <f ca="1">IF(AND(Energy!$F$11=$A$3,Main!$B$43=A136),'Aerodynamics-Cruise'!H33,P136)</f>
        <v>23.594721425716866</v>
      </c>
      <c r="Q136" s="103">
        <f ca="1">IF(AND(Energy!$F$11=$A$3,Main!$B$43=A136),'Aerodynamics-Cruise'!I33,Q136)</f>
        <v>18.542570992423428</v>
      </c>
      <c r="R136" s="103">
        <f ca="1">IF(AND(Energy!$F$11=$A$3,Main!$B$43=$A136),Summary!R33,R136)</f>
        <v>26.185424695057158</v>
      </c>
      <c r="S136" s="103">
        <f ca="1">IF(AND(Energy!$F$11=$A$3,Main!$B$43=A136),'Aerodynamics-Cruise'!W33,S136)</f>
        <v>0.9</v>
      </c>
      <c r="T136" s="103">
        <f ca="1">IF(AND(Energy!$F$11=$A$3,Main!$B$43=A136),'Aerodynamics-Cruise'!BL33,T136)</f>
        <v>157.3399803435538</v>
      </c>
      <c r="U136" s="103">
        <f ca="1">IF(AND(Energy!$F$11=$A$3,Main!$B$43=A136),'Propulsion-Cruise'!M33,U136)</f>
        <v>283.62314525468543</v>
      </c>
      <c r="V136" s="103">
        <f ca="1">IF(AND(Energy!$F$11=$A$3,Main!$B$43=A136),Endurance!AP33,V136)</f>
        <v>1907.5386382929396</v>
      </c>
      <c r="W136" s="103">
        <f ca="1">IF(AND(Energy!$F$11=$A$3,Main!$B$43=$A136),Summary!W33,W136)</f>
        <v>1699.8271939897868</v>
      </c>
      <c r="X136" s="13">
        <f ca="1">IF(AND(Energy!$F$11=$A$3,Main!$B$43=A136),Energy!D33,X136)</f>
        <v>3589.8324336253072</v>
      </c>
      <c r="Y136" s="102">
        <f ca="1">IF(AND(Energy!$F$11=$A$3,Main!$B$43=A136),'Aerodynamics-Cruise'!V33,Y136)</f>
        <v>324530.0270413878</v>
      </c>
      <c r="Z136" s="102">
        <f ca="1">IF(AND(Energy!$F$11=$A$3,Main!$B$43=$A136),Summary!Z33,Z136)</f>
        <v>264799.84009686852</v>
      </c>
      <c r="AA136" s="102">
        <f ca="1">IF(AND(Energy!$F$11=$A$3,Main!$B$43=$A136),Summary!AA33,AA136)</f>
        <v>360163.46330390859</v>
      </c>
      <c r="AB136" s="103">
        <f ca="1">IF(AND(Energy!$F$11=$A$3,Main!$B$43=$A136),Summary!AB33,AB136)</f>
        <v>40.026579828843587</v>
      </c>
      <c r="AC136" s="103">
        <f ca="1">IF(AND(Energy!$F$11=$A$3,Main!$B$43=$A136),Summary!AC33,AC136)</f>
        <v>0.25695785861049747</v>
      </c>
      <c r="AD136" s="103">
        <f ca="1">IF(AND(Energy!$F$11=$A$3,Main!$B$43=$A136),Summary!AD33,AD136)</f>
        <v>0.92122818689683839</v>
      </c>
      <c r="AE136" s="103">
        <f>IF(AND(Energy!$F$11=$A$3,Main!$B$43=$A136),Summary!AE33,AE136)</f>
        <v>0.8157894736842104</v>
      </c>
      <c r="AF136" s="103">
        <f>IF(AND(Energy!$F$11=$A$3,Main!$B$43=$A136),Summary!AF33,AF136)</f>
        <v>7.3421052631578974</v>
      </c>
      <c r="AG136" s="103">
        <f ca="1">IF(AND(Energy!$F$11=$A$3,Main!$B$43=$A136),Summary!AG33,AG136)</f>
        <v>25.981014235239989</v>
      </c>
      <c r="AH136" s="103">
        <f ca="1">IF(AND(Energy!$F$11=$A$3,Main!$B$43=$A136),Summary!AH33,AH136)</f>
        <v>47</v>
      </c>
      <c r="AI136" s="103">
        <f ca="1">IF(AND(Energy!$F$11=$A$3,Main!$B$43=$A136),Summary!AI33,AI136)</f>
        <v>3.1735538998761981</v>
      </c>
      <c r="AJ136" s="103">
        <f ca="1">IF(AND(Energy!$F$11=$A$3,Main!$B$43=$A136),Summary!AJ33,AJ136)</f>
        <v>0.32794205410472455</v>
      </c>
      <c r="AK136" s="103">
        <f ca="1">IF(AND(Energy!$F$11=$A$3,Main!$B$43=$A136),Summary!AK33,AK136)</f>
        <v>1.7486521721083469E-2</v>
      </c>
      <c r="AL136" s="103">
        <f ca="1">IF(AND(Energy!$F$11=$A$3,Main!$B$43=$A136),Summary!AL33,AL136)</f>
        <v>-0.33550409664813946</v>
      </c>
      <c r="AM136" s="103">
        <f ca="1">IF(AND(Energy!$F$11=$A$3,Main!$B$43=$A136),Summary!AM33,AM136)</f>
        <v>0.34375</v>
      </c>
    </row>
    <row r="137" spans="1:39">
      <c r="A137">
        <f t="shared" si="8"/>
        <v>7</v>
      </c>
      <c r="D137" s="1">
        <f>IF(AND(Energy!$F$11=$A$3,Main!$B$43=A137),Main!C34,D137)</f>
        <v>2.5263157894736845</v>
      </c>
      <c r="E137" s="103">
        <f>IF(AND(Energy!$F$11=$A$3,Main!$B$43=A137),Main!B34,E137)</f>
        <v>0.33333333333333326</v>
      </c>
      <c r="F137" s="103">
        <f ca="1">IF(Main!$D$6=1,U137,IF(Main!$D$6=2,N137,IF(Main!$D$6=3,K137,IF(Main!$D$6=4,V137,J137))))</f>
        <v>1901.2103179530427</v>
      </c>
      <c r="G137" s="103">
        <f>IF(AND(Energy!$F$11=$A$3,Main!$B$43=A137),Weight!H34,G137)</f>
        <v>10</v>
      </c>
      <c r="H137" s="103">
        <f ca="1">IF(AND(Energy!$F$11=$A$3,Main!$B$43=A137),Weight!U34,H137)</f>
        <v>16.985063575430246</v>
      </c>
      <c r="I137" s="103">
        <f ca="1">IF(AND(Energy!$F$11=$A$3,Main!$B$43=A137),Weight!V34,I137)</f>
        <v>121.64808624958647</v>
      </c>
      <c r="J137" s="103">
        <f ca="1">IF(AND(Energy!$F$11=$A$3,Main!$B$43=A137),Weight!I34,J137)</f>
        <v>94.602664399156225</v>
      </c>
      <c r="K137" s="103">
        <f ca="1">IF(AND(Energy!$F$11=$A$3,Main!$B$43=A137),Weight!W34,K137)</f>
        <v>131.64808624850315</v>
      </c>
      <c r="L137" s="103">
        <f ca="1">IF(AND(Energy!$F$11=$A$3,Main!$B$43=A137),'Aerodynamics-Cruise'!BI34,L137)</f>
        <v>131.64808625067786</v>
      </c>
      <c r="M137" s="103">
        <f ca="1">IF(AND(Energy!$F$11=$A$3,Main!$B$43=A137),'Aerodynamics-Cruise'!BJ34,M137)</f>
        <v>6.5567071055434125</v>
      </c>
      <c r="N137" s="103">
        <f ca="1">IF(AND(Energy!$F$11=$A$3,Main!$B$43=A137),'Aerodynamics-Cruise'!BK34,N137)</f>
        <v>20.078384489582444</v>
      </c>
      <c r="O137" s="103">
        <f t="shared" ca="1" si="9"/>
        <v>230.37536779092045</v>
      </c>
      <c r="P137" s="103">
        <f ca="1">IF(AND(Energy!$F$11=$A$3,Main!$B$43=A137),'Aerodynamics-Cruise'!H34,P137)</f>
        <v>23.221306277971916</v>
      </c>
      <c r="Q137" s="103">
        <f ca="1">IF(AND(Energy!$F$11=$A$3,Main!$B$43=A137),'Aerodynamics-Cruise'!I34,Q137)</f>
        <v>18.251408915267429</v>
      </c>
      <c r="R137" s="103">
        <f ca="1">IF(AND(Energy!$F$11=$A$3,Main!$B$43=$A137),Summary!R34,R137)</f>
        <v>26.46159793226753</v>
      </c>
      <c r="S137" s="103">
        <f ca="1">IF(AND(Energy!$F$11=$A$3,Main!$B$43=A137),'Aerodynamics-Cruise'!W34,S137)</f>
        <v>0.9</v>
      </c>
      <c r="T137" s="103">
        <f ca="1">IF(AND(Energy!$F$11=$A$3,Main!$B$43=A137),'Aerodynamics-Cruise'!BL34,T137)</f>
        <v>152.25530387277831</v>
      </c>
      <c r="U137" s="103">
        <f ca="1">IF(AND(Energy!$F$11=$A$3,Main!$B$43=A137),'Propulsion-Cruise'!M34,U137)</f>
        <v>274.9382688323771</v>
      </c>
      <c r="V137" s="103">
        <f ca="1">IF(AND(Energy!$F$11=$A$3,Main!$B$43=A137),Endurance!AP34,V137)</f>
        <v>1901.2103179345254</v>
      </c>
      <c r="W137" s="103">
        <f ca="1">IF(AND(Energy!$F$11=$A$3,Main!$B$43=$A137),Summary!W34,W137)</f>
        <v>1693.37789704488</v>
      </c>
      <c r="X137" s="13">
        <f ca="1">IF(AND(Energy!$F$11=$A$3,Main!$B$43=A137),Energy!D34,X137)</f>
        <v>3578.1878696979129</v>
      </c>
      <c r="Y137" s="102">
        <f ca="1">IF(AND(Energy!$F$11=$A$3,Main!$B$43=A137),'Aerodynamics-Cruise'!V34,Y137)</f>
        <v>319393.94487246464</v>
      </c>
      <c r="Z137" s="102">
        <f ca="1">IF(AND(Energy!$F$11=$A$3,Main!$B$43=$A137),Summary!Z34,Z137)</f>
        <v>260641.63195734477</v>
      </c>
      <c r="AA137" s="102">
        <f ca="1">IF(AND(Energy!$F$11=$A$3,Main!$B$43=$A137),Summary!AA34,AA137)</f>
        <v>363962.0463226639</v>
      </c>
      <c r="AB137" s="103">
        <f ca="1">IF(AND(Energy!$F$11=$A$3,Main!$B$43=$A137),Summary!AB34,AB137)</f>
        <v>38.656083306337599</v>
      </c>
      <c r="AC137" s="103">
        <f ca="1">IF(AND(Energy!$F$11=$A$3,Main!$B$43=$A137),Summary!AC34,AC137)</f>
        <v>0.30482096429372307</v>
      </c>
      <c r="AD137" s="103">
        <f ca="1">IF(AND(Energy!$F$11=$A$3,Main!$B$43=$A137),Summary!AD34,AD137)</f>
        <v>0.90958956142527903</v>
      </c>
      <c r="AE137" s="103">
        <f>IF(AND(Energy!$F$11=$A$3,Main!$B$43=$A137),Summary!AE34,AE137)</f>
        <v>0.84210526315789469</v>
      </c>
      <c r="AF137" s="103">
        <f>IF(AND(Energy!$F$11=$A$3,Main!$B$43=$A137),Summary!AF34,AF137)</f>
        <v>7.5789473684210549</v>
      </c>
      <c r="AG137" s="103">
        <f ca="1">IF(AND(Energy!$F$11=$A$3,Main!$B$43=$A137),Summary!AG34,AG137)</f>
        <v>25.507704417152389</v>
      </c>
      <c r="AH137" s="103">
        <f ca="1">IF(AND(Energy!$F$11=$A$3,Main!$B$43=$A137),Summary!AH34,AH137)</f>
        <v>47</v>
      </c>
      <c r="AI137" s="103">
        <f ca="1">IF(AND(Energy!$F$11=$A$3,Main!$B$43=$A137),Summary!AI34,AI137)</f>
        <v>3.1727552678468505</v>
      </c>
      <c r="AJ137" s="103">
        <f ca="1">IF(AND(Energy!$F$11=$A$3,Main!$B$43=$A137),Summary!AJ34,AJ137)</f>
        <v>0.32535676823777848</v>
      </c>
      <c r="AK137" s="103">
        <f ca="1">IF(AND(Energy!$F$11=$A$3,Main!$B$43=$A137),Summary!AK34,AK137)</f>
        <v>1.7264952049669213E-2</v>
      </c>
      <c r="AL137" s="103">
        <f ca="1">IF(AND(Energy!$F$11=$A$3,Main!$B$43=$A137),Summary!AL34,AL137)</f>
        <v>-0.33816600949220377</v>
      </c>
      <c r="AM137" s="103">
        <f ca="1">IF(AND(Energy!$F$11=$A$3,Main!$B$43=$A137),Summary!AM34,AM137)</f>
        <v>0.34375</v>
      </c>
    </row>
    <row r="138" spans="1:39">
      <c r="A138">
        <f t="shared" si="8"/>
        <v>7</v>
      </c>
      <c r="D138" s="1">
        <f>IF(AND(Energy!$F$11=$A$3,Main!$B$43=A138),Main!C35,D138)</f>
        <v>2.6052631578947372</v>
      </c>
      <c r="E138" s="103">
        <f>IF(AND(Energy!$F$11=$A$3,Main!$B$43=A138),Main!B35,E138)</f>
        <v>0.33333333333333326</v>
      </c>
      <c r="F138" s="103">
        <f ca="1">IF(Main!$D$6=1,U138,IF(Main!$D$6=2,N138,IF(Main!$D$6=3,K138,IF(Main!$D$6=4,V138,J138))))</f>
        <v>1895.3836695307116</v>
      </c>
      <c r="G138" s="103">
        <f>IF(AND(Energy!$F$11=$A$3,Main!$B$43=A138),Weight!H35,G138)</f>
        <v>10</v>
      </c>
      <c r="H138" s="103">
        <f ca="1">IF(AND(Energy!$F$11=$A$3,Main!$B$43=A138),Weight!U35,H138)</f>
        <v>17.317573760430506</v>
      </c>
      <c r="I138" s="103">
        <f ca="1">IF(AND(Energy!$F$11=$A$3,Main!$B$43=A138),Weight!V35,I138)</f>
        <v>121.66397514989566</v>
      </c>
      <c r="J138" s="103">
        <f ca="1">IF(AND(Energy!$F$11=$A$3,Main!$B$43=A138),Weight!I35,J138)</f>
        <v>94.286043114465159</v>
      </c>
      <c r="K138" s="103">
        <f ca="1">IF(AND(Energy!$F$11=$A$3,Main!$B$43=A138),Weight!W35,K138)</f>
        <v>131.66397514878656</v>
      </c>
      <c r="L138" s="103">
        <f ca="1">IF(AND(Energy!$F$11=$A$3,Main!$B$43=A138),'Aerodynamics-Cruise'!BI35,L138)</f>
        <v>131.66397515101301</v>
      </c>
      <c r="M138" s="103">
        <f ca="1">IF(AND(Energy!$F$11=$A$3,Main!$B$43=A138),'Aerodynamics-Cruise'!BJ35,M138)</f>
        <v>6.4539924348214148</v>
      </c>
      <c r="N138" s="103">
        <f ca="1">IF(AND(Energy!$F$11=$A$3,Main!$B$43=A138),'Aerodynamics-Cruise'!BK35,N138)</f>
        <v>20.400391924949044</v>
      </c>
      <c r="O138" s="103">
        <f t="shared" ca="1" si="9"/>
        <v>234.08414148945928</v>
      </c>
      <c r="P138" s="103">
        <f ca="1">IF(AND(Energy!$F$11=$A$3,Main!$B$43=A138),'Aerodynamics-Cruise'!H35,P138)</f>
        <v>22.867828371672989</v>
      </c>
      <c r="Q138" s="103">
        <f ca="1">IF(AND(Energy!$F$11=$A$3,Main!$B$43=A138),'Aerodynamics-Cruise'!I35,Q138)</f>
        <v>17.975746070747679</v>
      </c>
      <c r="R138" s="103">
        <f ca="1">IF(AND(Energy!$F$11=$A$3,Main!$B$43=$A138),Summary!R35,R138)</f>
        <v>26.65013237561713</v>
      </c>
      <c r="S138" s="103">
        <f ca="1">IF(AND(Energy!$F$11=$A$3,Main!$B$43=A138),'Aerodynamics-Cruise'!W35,S138)</f>
        <v>0.9</v>
      </c>
      <c r="T138" s="103">
        <f ca="1">IF(AND(Energy!$F$11=$A$3,Main!$B$43=A138),'Aerodynamics-Cruise'!BL35,T138)</f>
        <v>147.58879131157198</v>
      </c>
      <c r="U138" s="103">
        <f ca="1">IF(AND(Energy!$F$11=$A$3,Main!$B$43=A138),'Propulsion-Cruise'!M35,U138)</f>
        <v>266.97961279681891</v>
      </c>
      <c r="V138" s="103">
        <f ca="1">IF(AND(Energy!$F$11=$A$3,Main!$B$43=A138),Endurance!AP35,V138)</f>
        <v>1895.3836695117782</v>
      </c>
      <c r="W138" s="103">
        <f ca="1">IF(AND(Energy!$F$11=$A$3,Main!$B$43=$A138),Summary!W35,W138)</f>
        <v>1687.4336450936694</v>
      </c>
      <c r="X138" s="13">
        <f ca="1">IF(AND(Energy!$F$11=$A$3,Main!$B$43=A138),Energy!D35,X138)</f>
        <v>3567.4551925645392</v>
      </c>
      <c r="Y138" s="102">
        <f ca="1">IF(AND(Energy!$F$11=$A$3,Main!$B$43=A138),'Aerodynamics-Cruise'!V35,Y138)</f>
        <v>314532.08647541265</v>
      </c>
      <c r="Z138" s="102">
        <f ca="1">IF(AND(Energy!$F$11=$A$3,Main!$B$43=$A138),Summary!Z35,Z138)</f>
        <v>256704.77946346562</v>
      </c>
      <c r="AA138" s="102">
        <f ca="1">IF(AND(Energy!$F$11=$A$3,Main!$B$43=$A138),Summary!AA35,AA138)</f>
        <v>366555.21480702626</v>
      </c>
      <c r="AB138" s="103">
        <f ca="1">IF(AND(Energy!$F$11=$A$3,Main!$B$43=$A138),Summary!AB35,AB138)</f>
        <v>37.394563630893067</v>
      </c>
      <c r="AC138" s="103">
        <f ca="1">IF(AND(Energy!$F$11=$A$3,Main!$B$43=$A138),Summary!AC35,AC138)</f>
        <v>0.34792156823620513</v>
      </c>
      <c r="AD138" s="103">
        <f ca="1">IF(AND(Energy!$F$11=$A$3,Main!$B$43=$A138),Summary!AD35,AD138)</f>
        <v>0.89868409380996639</v>
      </c>
      <c r="AE138" s="103">
        <f>IF(AND(Energy!$F$11=$A$3,Main!$B$43=$A138),Summary!AE35,AE138)</f>
        <v>0.86842105263157887</v>
      </c>
      <c r="AF138" s="103">
        <f>IF(AND(Energy!$F$11=$A$3,Main!$B$43=$A138),Summary!AF35,AF138)</f>
        <v>7.8157894736842133</v>
      </c>
      <c r="AG138" s="103">
        <f ca="1">IF(AND(Energy!$F$11=$A$3,Main!$B$43=$A138),Summary!AG35,AG138)</f>
        <v>25.069905304724482</v>
      </c>
      <c r="AH138" s="103">
        <f ca="1">IF(AND(Energy!$F$11=$A$3,Main!$B$43=$A138),Summary!AH35,AH138)</f>
        <v>47</v>
      </c>
      <c r="AI138" s="103">
        <f ca="1">IF(AND(Energy!$F$11=$A$3,Main!$B$43=$A138),Summary!AI35,AI138)</f>
        <v>3.1719919062025048</v>
      </c>
      <c r="AJ138" s="103">
        <f ca="1">IF(AND(Energy!$F$11=$A$3,Main!$B$43=$A138),Summary!AJ35,AJ138)</f>
        <v>0.32292292936739403</v>
      </c>
      <c r="AK138" s="103">
        <f ca="1">IF(AND(Energy!$F$11=$A$3,Main!$B$43=$A138),Summary!AK35,AK138)</f>
        <v>1.7060401434545801E-2</v>
      </c>
      <c r="AL138" s="103">
        <f ca="1">IF(AND(Energy!$F$11=$A$3,Main!$B$43=$A138),Summary!AL35,AL138)</f>
        <v>-0.34071104056664281</v>
      </c>
      <c r="AM138" s="103">
        <f ca="1">IF(AND(Energy!$F$11=$A$3,Main!$B$43=$A138),Summary!AM35,AM138)</f>
        <v>0.34375</v>
      </c>
    </row>
    <row r="139" spans="1:39">
      <c r="A139">
        <f t="shared" si="8"/>
        <v>7</v>
      </c>
      <c r="D139" s="1">
        <f>IF(AND(Energy!$F$11=$A$3,Main!$B$43=A139),Main!C36,D139)</f>
        <v>2.6842105263157898</v>
      </c>
      <c r="E139" s="103">
        <f>IF(AND(Energy!$F$11=$A$3,Main!$B$43=A139),Main!B36,E139)</f>
        <v>0.33333333333333326</v>
      </c>
      <c r="F139" s="103">
        <f ca="1">IF(Main!$D$6=1,U139,IF(Main!$D$6=2,N139,IF(Main!$D$6=3,K139,IF(Main!$D$6=4,V139,J139))))</f>
        <v>1890.103628518043</v>
      </c>
      <c r="G139" s="103">
        <f>IF(AND(Energy!$F$11=$A$3,Main!$B$43=A139),Weight!H36,G139)</f>
        <v>10</v>
      </c>
      <c r="H139" s="103">
        <f ca="1">IF(AND(Energy!$F$11=$A$3,Main!$B$43=A139),Weight!U36,H139)</f>
        <v>17.656010351910766</v>
      </c>
      <c r="I139" s="103">
        <f ca="1">IF(AND(Energy!$F$11=$A$3,Main!$B$43=A139),Weight!V36,I139)</f>
        <v>121.71508343743108</v>
      </c>
      <c r="J139" s="103">
        <f ca="1">IF(AND(Energy!$F$11=$A$3,Main!$B$43=A139),Weight!I36,J139)</f>
        <v>93.998714810520312</v>
      </c>
      <c r="K139" s="103">
        <f ca="1">IF(AND(Energy!$F$11=$A$3,Main!$B$43=A139),Weight!W36,K139)</f>
        <v>131.71508343629725</v>
      </c>
      <c r="L139" s="103">
        <f ca="1">IF(AND(Energy!$F$11=$A$3,Main!$B$43=A139),'Aerodynamics-Cruise'!BI36,L139)</f>
        <v>131.71508343857323</v>
      </c>
      <c r="M139" s="103">
        <f ca="1">IF(AND(Energy!$F$11=$A$3,Main!$B$43=A139),'Aerodynamics-Cruise'!BJ36,M139)</f>
        <v>6.3596631127441468</v>
      </c>
      <c r="N139" s="103">
        <f ca="1">IF(AND(Energy!$F$11=$A$3,Main!$B$43=A139),'Aerodynamics-Cruise'!BK36,N139)</f>
        <v>20.711015835827688</v>
      </c>
      <c r="O139" s="103">
        <f t="shared" ca="1" si="9"/>
        <v>237.69451295281755</v>
      </c>
      <c r="P139" s="103">
        <f ca="1">IF(AND(Energy!$F$11=$A$3,Main!$B$43=A139),'Aerodynamics-Cruise'!H36,P139)</f>
        <v>22.533115808238001</v>
      </c>
      <c r="Q139" s="103">
        <f ca="1">IF(AND(Energy!$F$11=$A$3,Main!$B$43=A139),'Aerodynamics-Cruise'!I36,Q139)</f>
        <v>17.714676263252194</v>
      </c>
      <c r="R139" s="103">
        <f ca="1">IF(AND(Energy!$F$11=$A$3,Main!$B$43=$A139),Summary!R36,R139)</f>
        <v>26.669668141824815</v>
      </c>
      <c r="S139" s="103">
        <f ca="1">IF(AND(Energy!$F$11=$A$3,Main!$B$43=A139),'Aerodynamics-Cruise'!W36,S139)</f>
        <v>0.9</v>
      </c>
      <c r="T139" s="103">
        <f ca="1">IF(AND(Energy!$F$11=$A$3,Main!$B$43=A139),'Aerodynamics-Cruise'!BL36,T139)</f>
        <v>143.30302542084323</v>
      </c>
      <c r="U139" s="103">
        <f ca="1">IF(AND(Energy!$F$11=$A$3,Main!$B$43=A139),'Propulsion-Cruise'!M36,U139)</f>
        <v>259.68185977899549</v>
      </c>
      <c r="V139" s="103">
        <f ca="1">IF(AND(Energy!$F$11=$A$3,Main!$B$43=A139),Endurance!AP36,V139)</f>
        <v>1890.1036284987135</v>
      </c>
      <c r="W139" s="103">
        <f ca="1">IF(AND(Energy!$F$11=$A$3,Main!$B$43=$A139),Summary!W36,W139)</f>
        <v>1682.0393399286177</v>
      </c>
      <c r="X139" s="13">
        <f ca="1">IF(AND(Energy!$F$11=$A$3,Main!$B$43=A139),Energy!D36,X139)</f>
        <v>3557.7154749061392</v>
      </c>
      <c r="Y139" s="102">
        <f ca="1">IF(AND(Energy!$F$11=$A$3,Main!$B$43=A139),'Aerodynamics-Cruise'!V36,Y139)</f>
        <v>309928.33314843953</v>
      </c>
      <c r="Z139" s="102">
        <f ca="1">IF(AND(Energy!$F$11=$A$3,Main!$B$43=$A139),Summary!Z36,Z139)</f>
        <v>252976.34010709351</v>
      </c>
      <c r="AA139" s="102">
        <f ca="1">IF(AND(Energy!$F$11=$A$3,Main!$B$43=$A139),Summary!AA36,AA139)</f>
        <v>366823.91654845665</v>
      </c>
      <c r="AB139" s="103">
        <f ca="1">IF(AND(Energy!$F$11=$A$3,Main!$B$43=$A139),Summary!AB36,AB139)</f>
        <v>36.233196136146056</v>
      </c>
      <c r="AC139" s="103">
        <f ca="1">IF(AND(Energy!$F$11=$A$3,Main!$B$43=$A139),Summary!AC36,AC139)</f>
        <v>0.38669638565185616</v>
      </c>
      <c r="AD139" s="103">
        <f ca="1">IF(AND(Energy!$F$11=$A$3,Main!$B$43=$A139),Summary!AD36,AD139)</f>
        <v>0.88846794387596928</v>
      </c>
      <c r="AE139" s="103">
        <f>IF(AND(Energy!$F$11=$A$3,Main!$B$43=$A139),Summary!AE36,AE139)</f>
        <v>0.89473684210526305</v>
      </c>
      <c r="AF139" s="103">
        <f>IF(AND(Energy!$F$11=$A$3,Main!$B$43=$A139),Summary!AF36,AF139)</f>
        <v>8.0526315789473717</v>
      </c>
      <c r="AG139" s="103">
        <f ca="1">IF(AND(Energy!$F$11=$A$3,Main!$B$43=$A139),Summary!AG36,AG139)</f>
        <v>24.665021563469821</v>
      </c>
      <c r="AH139" s="103">
        <f ca="1">IF(AND(Energy!$F$11=$A$3,Main!$B$43=$A139),Summary!AH36,AH139)</f>
        <v>47</v>
      </c>
      <c r="AI139" s="103">
        <f ca="1">IF(AND(Energy!$F$11=$A$3,Main!$B$43=$A139),Summary!AI36,AI139)</f>
        <v>3.1712620387002599</v>
      </c>
      <c r="AJ139" s="103">
        <f ca="1">IF(AND(Energy!$F$11=$A$3,Main!$B$43=$A139),Summary!AJ36,AJ139)</f>
        <v>0.32062649933659459</v>
      </c>
      <c r="AK139" s="103">
        <f ca="1">IF(AND(Energy!$F$11=$A$3,Main!$B$43=$A139),Summary!AK36,AK139)</f>
        <v>1.6870979920576692E-2</v>
      </c>
      <c r="AL139" s="103">
        <f ca="1">IF(AND(Energy!$F$11=$A$3,Main!$B$43=$A139),Summary!AL36,AL139)</f>
        <v>-0.34314790731950845</v>
      </c>
      <c r="AM139" s="103">
        <f ca="1">IF(AND(Energy!$F$11=$A$3,Main!$B$43=$A139),Summary!AM36,AM139)</f>
        <v>0.34375</v>
      </c>
    </row>
    <row r="140" spans="1:39">
      <c r="A140">
        <f t="shared" si="8"/>
        <v>7</v>
      </c>
      <c r="D140" s="1">
        <f>IF(AND(Energy!$F$11=$A$3,Main!$B$43=A140),Main!C37,D140)</f>
        <v>2.7631578947368425</v>
      </c>
      <c r="E140" s="103">
        <f>IF(AND(Energy!$F$11=$A$3,Main!$B$43=A140),Main!B37,E140)</f>
        <v>0.33333333333333326</v>
      </c>
      <c r="F140" s="103">
        <f ca="1">IF(Main!$D$6=1,U140,IF(Main!$D$6=2,N140,IF(Main!$D$6=3,K140,IF(Main!$D$6=4,V140,J140))))</f>
        <v>1885.3075393233294</v>
      </c>
      <c r="G140" s="103">
        <f>IF(AND(Energy!$F$11=$A$3,Main!$B$43=A140),Weight!H37,G140)</f>
        <v>10</v>
      </c>
      <c r="H140" s="103">
        <f ca="1">IF(AND(Energy!$F$11=$A$3,Main!$B$43=A140),Weight!U37,H140)</f>
        <v>18.000202945947677</v>
      </c>
      <c r="I140" s="103">
        <f ca="1">IF(AND(Energy!$F$11=$A$3,Main!$B$43=A140),Weight!V37,I140)</f>
        <v>121.79789717184198</v>
      </c>
      <c r="J140" s="103">
        <f ca="1">IF(AND(Energy!$F$11=$A$3,Main!$B$43=A140),Weight!I37,J140)</f>
        <v>93.737335950894305</v>
      </c>
      <c r="K140" s="103">
        <f ca="1">IF(AND(Energy!$F$11=$A$3,Main!$B$43=A140),Weight!W37,K140)</f>
        <v>131.79789717068391</v>
      </c>
      <c r="L140" s="103">
        <f ca="1">IF(AND(Energy!$F$11=$A$3,Main!$B$43=A140),'Aerodynamics-Cruise'!BI37,L140)</f>
        <v>131.79789717300858</v>
      </c>
      <c r="M140" s="103">
        <f ca="1">IF(AND(Energy!$F$11=$A$3,Main!$B$43=A140),'Aerodynamics-Cruise'!BJ37,M140)</f>
        <v>6.2729020212602444</v>
      </c>
      <c r="N140" s="103">
        <f ca="1">IF(AND(Energy!$F$11=$A$3,Main!$B$43=A140),'Aerodynamics-Cruise'!BK37,N140)</f>
        <v>21.010673644561404</v>
      </c>
      <c r="O140" s="103">
        <f t="shared" ca="1" si="9"/>
        <v>241.20939399771746</v>
      </c>
      <c r="P140" s="103">
        <f ca="1">IF(AND(Energy!$F$11=$A$3,Main!$B$43=A140),'Aerodynamics-Cruise'!H37,P140)</f>
        <v>22.215604931199326</v>
      </c>
      <c r="Q140" s="103">
        <f ca="1">IF(AND(Energy!$F$11=$A$3,Main!$B$43=A140),'Aerodynamics-Cruise'!I37,Q140)</f>
        <v>17.466986276209166</v>
      </c>
      <c r="R140" s="103">
        <f ca="1">IF(AND(Energy!$F$11=$A$3,Main!$B$43=$A140),Summary!R37,R140)</f>
        <v>26.668804211361664</v>
      </c>
      <c r="S140" s="103">
        <f ca="1">IF(AND(Energy!$F$11=$A$3,Main!$B$43=A140),'Aerodynamics-Cruise'!W37,S140)</f>
        <v>0.9</v>
      </c>
      <c r="T140" s="103">
        <f ca="1">IF(AND(Energy!$F$11=$A$3,Main!$B$43=A140),'Aerodynamics-Cruise'!BL37,T140)</f>
        <v>139.35631307643931</v>
      </c>
      <c r="U140" s="103">
        <f ca="1">IF(AND(Energy!$F$11=$A$3,Main!$B$43=A140),'Propulsion-Cruise'!M37,U140)</f>
        <v>252.9724106949962</v>
      </c>
      <c r="V140" s="103">
        <f ca="1">IF(AND(Energy!$F$11=$A$3,Main!$B$43=A140),Endurance!AP37,V140)</f>
        <v>1885.3075393036122</v>
      </c>
      <c r="W140" s="103">
        <f ca="1">IF(AND(Energy!$F$11=$A$3,Main!$B$43=$A140),Summary!W37,W140)</f>
        <v>1677.1322099550873</v>
      </c>
      <c r="X140" s="13">
        <f ca="1">IF(AND(Energy!$F$11=$A$3,Main!$B$43=A140),Energy!D37,X140)</f>
        <v>3548.8553791213035</v>
      </c>
      <c r="Y140" s="102">
        <f ca="1">IF(AND(Energy!$F$11=$A$3,Main!$B$43=A140),'Aerodynamics-Cruise'!V37,Y140)</f>
        <v>305561.17781517137</v>
      </c>
      <c r="Z140" s="102">
        <f ca="1">IF(AND(Energy!$F$11=$A$3,Main!$B$43=$A140),Summary!Z37,Z140)</f>
        <v>249438.98683847676</v>
      </c>
      <c r="AA140" s="102">
        <f ca="1">IF(AND(Energy!$F$11=$A$3,Main!$B$43=$A140),Summary!AA37,AA140)</f>
        <v>366812.03374757461</v>
      </c>
      <c r="AB140" s="103">
        <f ca="1">IF(AND(Energy!$F$11=$A$3,Main!$B$43=$A140),Summary!AB37,AB140)</f>
        <v>35.160818022798516</v>
      </c>
      <c r="AC140" s="103">
        <f ca="1">IF(AND(Energy!$F$11=$A$3,Main!$B$43=$A140),Summary!AC37,AC140)</f>
        <v>0.42162369893416685</v>
      </c>
      <c r="AD140" s="103">
        <f ca="1">IF(AND(Energy!$F$11=$A$3,Main!$B$43=$A140),Summary!AD37,AD140)</f>
        <v>0.87888150977843837</v>
      </c>
      <c r="AE140" s="103">
        <f>IF(AND(Energy!$F$11=$A$3,Main!$B$43=$A140),Summary!AE37,AE140)</f>
        <v>0.92105263157894723</v>
      </c>
      <c r="AF140" s="103">
        <f>IF(AND(Energy!$F$11=$A$3,Main!$B$43=$A140),Summary!AF37,AF140)</f>
        <v>8.2894736842105292</v>
      </c>
      <c r="AG140" s="103">
        <f ca="1">IF(AND(Energy!$F$11=$A$3,Main!$B$43=$A140),Summary!AG37,AG140)</f>
        <v>24.289830337422195</v>
      </c>
      <c r="AH140" s="103">
        <f ca="1">IF(AND(Energy!$F$11=$A$3,Main!$B$43=$A140),Summary!AH37,AH140)</f>
        <v>47</v>
      </c>
      <c r="AI140" s="103">
        <f ca="1">IF(AND(Energy!$F$11=$A$3,Main!$B$43=$A140),Summary!AI37,AI140)</f>
        <v>3.1705630972493255</v>
      </c>
      <c r="AJ140" s="103">
        <f ca="1">IF(AND(Energy!$F$11=$A$3,Main!$B$43=$A140),Summary!AJ37,AJ140)</f>
        <v>0.31845692573760426</v>
      </c>
      <c r="AK140" s="103">
        <f ca="1">IF(AND(Energy!$F$11=$A$3,Main!$B$43=$A140),Summary!AK37,AK140)</f>
        <v>1.6695065438430325E-2</v>
      </c>
      <c r="AL140" s="103">
        <f ca="1">IF(AND(Energy!$F$11=$A$3,Main!$B$43=$A140),Summary!AL37,AL140)</f>
        <v>-0.34548252988254824</v>
      </c>
      <c r="AM140" s="103">
        <f ca="1">IF(AND(Energy!$F$11=$A$3,Main!$B$43=$A140),Summary!AM37,AM140)</f>
        <v>0.34375</v>
      </c>
    </row>
    <row r="141" spans="1:39">
      <c r="A141">
        <f t="shared" si="8"/>
        <v>7</v>
      </c>
      <c r="D141" s="1">
        <f>IF(AND(Energy!$F$11=$A$3,Main!$B$43=A141),Main!C38,D141)</f>
        <v>2.8421052631578951</v>
      </c>
      <c r="E141" s="103">
        <f>IF(AND(Energy!$F$11=$A$3,Main!$B$43=A141),Main!B38,E141)</f>
        <v>0.33333333333333326</v>
      </c>
      <c r="F141" s="103">
        <f ca="1">IF(Main!$D$6=1,U141,IF(Main!$D$6=2,N141,IF(Main!$D$6=3,K141,IF(Main!$D$6=4,V141,J141))))</f>
        <v>1880.9421163761315</v>
      </c>
      <c r="G141" s="103">
        <f>IF(AND(Energy!$F$11=$A$3,Main!$B$43=A141),Weight!H38,G141)</f>
        <v>10</v>
      </c>
      <c r="H141" s="103">
        <f ca="1">IF(AND(Energy!$F$11=$A$3,Main!$B$43=A141),Weight!U38,H141)</f>
        <v>18.350004457882292</v>
      </c>
      <c r="I141" s="103">
        <f ca="1">IF(AND(Energy!$F$11=$A$3,Main!$B$43=A141),Weight!V38,I141)</f>
        <v>121.90942506193599</v>
      </c>
      <c r="J141" s="103">
        <f ca="1">IF(AND(Energy!$F$11=$A$3,Main!$B$43=A141),Weight!I38,J141)</f>
        <v>93.4990623290537</v>
      </c>
      <c r="K141" s="103">
        <f ca="1">IF(AND(Energy!$F$11=$A$3,Main!$B$43=A141),Weight!W38,K141)</f>
        <v>131.9094250607543</v>
      </c>
      <c r="L141" s="103">
        <f ca="1">IF(AND(Energy!$F$11=$A$3,Main!$B$43=A141),'Aerodynamics-Cruise'!BI38,L141)</f>
        <v>131.90942506312632</v>
      </c>
      <c r="M141" s="103">
        <f ca="1">IF(AND(Energy!$F$11=$A$3,Main!$B$43=A141),'Aerodynamics-Cruise'!BJ38,M141)</f>
        <v>6.1929984409669618</v>
      </c>
      <c r="N141" s="103">
        <f ca="1">IF(AND(Energy!$F$11=$A$3,Main!$B$43=A141),'Aerodynamics-Cruise'!BK38,N141)</f>
        <v>21.299767200091569</v>
      </c>
      <c r="O141" s="103">
        <f t="shared" ca="1" si="9"/>
        <v>244.63172092320818</v>
      </c>
      <c r="P141" s="103">
        <f ca="1">IF(AND(Energy!$F$11=$A$3,Main!$B$43=A141),'Aerodynamics-Cruise'!H38,P141)</f>
        <v>21.913913889377955</v>
      </c>
      <c r="Q141" s="103">
        <f ca="1">IF(AND(Energy!$F$11=$A$3,Main!$B$43=A141),'Aerodynamics-Cruise'!I38,Q141)</f>
        <v>17.231603717842379</v>
      </c>
      <c r="R141" s="103">
        <f ca="1">IF(AND(Energy!$F$11=$A$3,Main!$B$43=$A141),Summary!R38,R141)</f>
        <v>26.651513055261361</v>
      </c>
      <c r="S141" s="103">
        <f ca="1">IF(AND(Energy!$F$11=$A$3,Main!$B$43=A141),'Aerodynamics-Cruise'!W38,S141)</f>
        <v>0.9</v>
      </c>
      <c r="T141" s="103">
        <f ca="1">IF(AND(Energy!$F$11=$A$3,Main!$B$43=A141),'Aerodynamics-Cruise'!BL38,T141)</f>
        <v>135.71283455240192</v>
      </c>
      <c r="U141" s="103">
        <f ca="1">IF(AND(Energy!$F$11=$A$3,Main!$B$43=A141),'Propulsion-Cruise'!M38,U141)</f>
        <v>246.78894735585047</v>
      </c>
      <c r="V141" s="103">
        <f ca="1">IF(AND(Energy!$F$11=$A$3,Main!$B$43=A141),Endurance!AP38,V141)</f>
        <v>1880.9421163560398</v>
      </c>
      <c r="W141" s="103">
        <f ca="1">IF(AND(Energy!$F$11=$A$3,Main!$B$43=$A141),Summary!W38,W141)</f>
        <v>1672.6588580041289</v>
      </c>
      <c r="X141" s="13">
        <f ca="1">IF(AND(Energy!$F$11=$A$3,Main!$B$43=A141),Energy!D38,X141)</f>
        <v>3540.778493654977</v>
      </c>
      <c r="Y141" s="102">
        <f ca="1">IF(AND(Energy!$F$11=$A$3,Main!$B$43=A141),'Aerodynamics-Cruise'!V38,Y141)</f>
        <v>301411.6140125778</v>
      </c>
      <c r="Z141" s="102">
        <f ca="1">IF(AND(Energy!$F$11=$A$3,Main!$B$43=$A141),Summary!Z38,Z141)</f>
        <v>246077.40387818252</v>
      </c>
      <c r="AA141" s="102">
        <f ca="1">IF(AND(Energy!$F$11=$A$3,Main!$B$43=$A141),Summary!AA38,AA141)</f>
        <v>366574.20515635883</v>
      </c>
      <c r="AB141" s="103">
        <f ca="1">IF(AND(Energy!$F$11=$A$3,Main!$B$43=$A141),Summary!AB38,AB141)</f>
        <v>34.16789030018068</v>
      </c>
      <c r="AC141" s="103">
        <f ca="1">IF(AND(Energy!$F$11=$A$3,Main!$B$43=$A141),Summary!AC38,AC141)</f>
        <v>0.45311603580588716</v>
      </c>
      <c r="AD141" s="103">
        <f ca="1">IF(AND(Energy!$F$11=$A$3,Main!$B$43=$A141),Summary!AD38,AD141)</f>
        <v>0.86987229912149955</v>
      </c>
      <c r="AE141" s="103">
        <f>IF(AND(Energy!$F$11=$A$3,Main!$B$43=$A141),Summary!AE38,AE141)</f>
        <v>0.94736842105263153</v>
      </c>
      <c r="AF141" s="103">
        <f>IF(AND(Energy!$F$11=$A$3,Main!$B$43=$A141),Summary!AF38,AF141)</f>
        <v>8.5263157894736867</v>
      </c>
      <c r="AG141" s="103">
        <f ca="1">IF(AND(Energy!$F$11=$A$3,Main!$B$43=$A141),Summary!AG38,AG141)</f>
        <v>23.941527426496698</v>
      </c>
      <c r="AH141" s="103">
        <f ca="1">IF(AND(Energy!$F$11=$A$3,Main!$B$43=$A141),Summary!AH38,AH141)</f>
        <v>47</v>
      </c>
      <c r="AI141" s="103">
        <f ca="1">IF(AND(Energy!$F$11=$A$3,Main!$B$43=$A141),Summary!AI38,AI141)</f>
        <v>3.1698928045328518</v>
      </c>
      <c r="AJ141" s="103">
        <f ca="1">IF(AND(Energy!$F$11=$A$3,Main!$B$43=$A141),Summary!AJ38,AJ141)</f>
        <v>0.31640464575784932</v>
      </c>
      <c r="AK141" s="103">
        <f ca="1">IF(AND(Energy!$F$11=$A$3,Main!$B$43=$A141),Summary!AK38,AK141)</f>
        <v>1.6531258437377776E-2</v>
      </c>
      <c r="AL141" s="103">
        <f ca="1">IF(AND(Energy!$F$11=$A$3,Main!$B$43=$A141),Summary!AL38,AL141)</f>
        <v>-0.34772047705830811</v>
      </c>
      <c r="AM141" s="103">
        <f ca="1">IF(AND(Energy!$F$11=$A$3,Main!$B$43=$A141),Summary!AM38,AM141)</f>
        <v>0.34375</v>
      </c>
    </row>
    <row r="142" spans="1:39">
      <c r="A142">
        <f t="shared" si="8"/>
        <v>7</v>
      </c>
      <c r="D142" s="1">
        <f>IF(AND(Energy!$F$11=$A$3,Main!$B$43=A142),Main!C39,D142)</f>
        <v>2.9210526315789478</v>
      </c>
      <c r="E142" s="103">
        <f>IF(AND(Energy!$F$11=$A$3,Main!$B$43=A142),Main!B39,E142)</f>
        <v>0.33333333333333326</v>
      </c>
      <c r="F142" s="103">
        <f ca="1">IF(Main!$D$6=1,U142,IF(Main!$D$6=2,N142,IF(Main!$D$6=3,K142,IF(Main!$D$6=4,V142,J142))))</f>
        <v>1876.9617628462152</v>
      </c>
      <c r="G142" s="103">
        <f>IF(AND(Energy!$F$11=$A$3,Main!$B$43=A142),Weight!H39,G142)</f>
        <v>10</v>
      </c>
      <c r="H142" s="103">
        <f ca="1">IF(AND(Energy!$F$11=$A$3,Main!$B$43=A142),Weight!U39,H142)</f>
        <v>18.705287293859811</v>
      </c>
      <c r="I142" s="103">
        <f ca="1">IF(AND(Energy!$F$11=$A$3,Main!$B$43=A142),Weight!V39,I142)</f>
        <v>122.04710507840423</v>
      </c>
      <c r="J142" s="103">
        <f ca="1">IF(AND(Energy!$F$11=$A$3,Main!$B$43=A142),Weight!I39,J142)</f>
        <v>93.281459509544419</v>
      </c>
      <c r="K142" s="103">
        <f ca="1">IF(AND(Energy!$F$11=$A$3,Main!$B$43=A142),Weight!W39,K142)</f>
        <v>132.04710507719955</v>
      </c>
      <c r="L142" s="103">
        <f ca="1">IF(AND(Energy!$F$11=$A$3,Main!$B$43=A142),'Aerodynamics-Cruise'!BI39,L142)</f>
        <v>132.04710507961775</v>
      </c>
      <c r="M142" s="103">
        <f ca="1">IF(AND(Energy!$F$11=$A$3,Main!$B$43=A142),'Aerodynamics-Cruise'!BJ39,M142)</f>
        <v>6.1193309982709154</v>
      </c>
      <c r="N142" s="103">
        <f ca="1">IF(AND(Energy!$F$11=$A$3,Main!$B$43=A142),'Aerodynamics-Cruise'!BK39,N142)</f>
        <v>21.578683211764346</v>
      </c>
      <c r="O142" s="103">
        <f t="shared" ca="1" si="9"/>
        <v>247.96442712063347</v>
      </c>
      <c r="P142" s="103">
        <f ca="1">IF(AND(Energy!$F$11=$A$3,Main!$B$43=A142),'Aerodynamics-Cruise'!H39,P142)</f>
        <v>21.626815672280991</v>
      </c>
      <c r="Q142" s="103">
        <f ca="1">IF(AND(Energy!$F$11=$A$3,Main!$B$43=A142),'Aerodynamics-Cruise'!I39,Q142)</f>
        <v>17.00757615964843</v>
      </c>
      <c r="R142" s="103">
        <f ca="1">IF(AND(Energy!$F$11=$A$3,Main!$B$43=$A142),Summary!R39,R142)</f>
        <v>26.620857504710564</v>
      </c>
      <c r="S142" s="103">
        <f ca="1">IF(AND(Energy!$F$11=$A$3,Main!$B$43=A142),'Aerodynamics-Cruise'!W39,S142)</f>
        <v>0.9</v>
      </c>
      <c r="T142" s="103">
        <f ca="1">IF(AND(Energy!$F$11=$A$3,Main!$B$43=A142),'Aerodynamics-Cruise'!BL39,T142)</f>
        <v>132.34164353728031</v>
      </c>
      <c r="U142" s="103">
        <f ca="1">IF(AND(Energy!$F$11=$A$3,Main!$B$43=A142),'Propulsion-Cruise'!M39,U142)</f>
        <v>241.07767372733406</v>
      </c>
      <c r="V142" s="103">
        <f ca="1">IF(AND(Energy!$F$11=$A$3,Main!$B$43=A142),Endurance!AP39,V142)</f>
        <v>1876.9617628257597</v>
      </c>
      <c r="W142" s="103">
        <f ca="1">IF(AND(Energy!$F$11=$A$3,Main!$B$43=$A142),Summary!W39,W142)</f>
        <v>1668.573579954144</v>
      </c>
      <c r="X142" s="13">
        <f ca="1">IF(AND(Energy!$F$11=$A$3,Main!$B$43=A142),Energy!D39,X142)</f>
        <v>3533.402297176498</v>
      </c>
      <c r="Y142" s="102">
        <f ca="1">IF(AND(Energy!$F$11=$A$3,Main!$B$43=A142),'Aerodynamics-Cruise'!V39,Y142)</f>
        <v>297462.76501042506</v>
      </c>
      <c r="Z142" s="102">
        <f ca="1">IF(AND(Energy!$F$11=$A$3,Main!$B$43=$A142),Summary!Z39,Z142)</f>
        <v>242877.98876878142</v>
      </c>
      <c r="AA142" s="102">
        <f ca="1">IF(AND(Energy!$F$11=$A$3,Main!$B$43=$A142),Summary!AA39,AA142)</f>
        <v>366152.55802309891</v>
      </c>
      <c r="AB142" s="103">
        <f ca="1">IF(AND(Energy!$F$11=$A$3,Main!$B$43=$A142),Summary!AB39,AB142)</f>
        <v>33.24621017358983</v>
      </c>
      <c r="AC142" s="103">
        <f ca="1">IF(AND(Energy!$F$11=$A$3,Main!$B$43=$A142),Summary!AC39,AC142)</f>
        <v>0.48153111978454011</v>
      </c>
      <c r="AD142" s="103">
        <f ca="1">IF(AND(Energy!$F$11=$A$3,Main!$B$43=$A142),Summary!AD39,AD142)</f>
        <v>0.86139385606442442</v>
      </c>
      <c r="AE142" s="103">
        <f>IF(AND(Energy!$F$11=$A$3,Main!$B$43=$A142),Summary!AE39,AE142)</f>
        <v>0.97368421052631571</v>
      </c>
      <c r="AF142" s="103">
        <f>IF(AND(Energy!$F$11=$A$3,Main!$B$43=$A142),Summary!AF39,AF142)</f>
        <v>8.763157894736846</v>
      </c>
      <c r="AG142" s="103">
        <f ca="1">IF(AND(Energy!$F$11=$A$3,Main!$B$43=$A142),Summary!AG39,AG142)</f>
        <v>23.617660312359508</v>
      </c>
      <c r="AH142" s="103">
        <f ca="1">IF(AND(Energy!$F$11=$A$3,Main!$B$43=$A142),Summary!AH39,AH142)</f>
        <v>47</v>
      </c>
      <c r="AI142" s="103">
        <f ca="1">IF(AND(Energy!$F$11=$A$3,Main!$B$43=$A142),Summary!AI39,AI142)</f>
        <v>3.1692491316467288</v>
      </c>
      <c r="AJ142" s="103">
        <f ca="1">IF(AND(Energy!$F$11=$A$3,Main!$B$43=$A142),Summary!AJ39,AJ142)</f>
        <v>0.31446097894560193</v>
      </c>
      <c r="AK142" s="103">
        <f ca="1">IF(AND(Energy!$F$11=$A$3,Main!$B$43=$A142),Summary!AK39,AK142)</f>
        <v>1.6378345339837751E-2</v>
      </c>
      <c r="AL142" s="103">
        <f ca="1">IF(AND(Energy!$F$11=$A$3,Main!$B$43=$A142),Summary!AL39,AL142)</f>
        <v>-0.34986698406091055</v>
      </c>
      <c r="AM142" s="103">
        <f ca="1">IF(AND(Energy!$F$11=$A$3,Main!$B$43=$A142),Summary!AM39,AM142)</f>
        <v>0.34375</v>
      </c>
    </row>
    <row r="143" spans="1:39">
      <c r="A143">
        <f t="shared" si="8"/>
        <v>7</v>
      </c>
      <c r="D143" s="1">
        <f>IF(AND(Energy!$F$11=$A$3,Main!$B$43=A143),Main!C40,D143)</f>
        <v>3</v>
      </c>
      <c r="E143" s="103">
        <f>IF(AND(Energy!$F$11=$A$3,Main!$B$43=A143),Main!B40,E143)</f>
        <v>0.33333333333333326</v>
      </c>
      <c r="F143" s="103">
        <f ca="1">IF(Main!$D$6=1,U143,IF(Main!$D$6=2,N143,IF(Main!$D$6=3,K143,IF(Main!$D$6=4,V143,J143))))</f>
        <v>1478.5637439615391</v>
      </c>
      <c r="G143" s="103">
        <f>IF(AND(Energy!$F$11=$A$3,Main!$B$43=A143),Weight!H40,G143)</f>
        <v>10</v>
      </c>
      <c r="H143" s="103">
        <f ca="1">IF(AND(Energy!$F$11=$A$3,Main!$B$43=A143),Weight!U40,H143)</f>
        <v>17.381810212025215</v>
      </c>
      <c r="I143" s="103">
        <f ca="1">IF(AND(Energy!$F$11=$A$3,Main!$B$43=A143),Weight!V40,I143)</f>
        <v>99.480166729827189</v>
      </c>
      <c r="J143" s="103">
        <f ca="1">IF(AND(Energy!$F$11=$A$3,Main!$B$43=A143),Weight!I40,J143)</f>
        <v>72.037998242801976</v>
      </c>
      <c r="K143" s="103">
        <f ca="1">IF(AND(Energy!$F$11=$A$3,Main!$B$43=A143),Weight!W40,K143)</f>
        <v>109.47797499660557</v>
      </c>
      <c r="L143" s="103">
        <f ca="1">IF(AND(Energy!$F$11=$A$3,Main!$B$43=A143),'Aerodynamics-Cruise'!BI40,L143)</f>
        <v>109.4823661580773</v>
      </c>
      <c r="M143" s="103">
        <f ca="1">IF(AND(Energy!$F$11=$A$3,Main!$B$43=A143),'Aerodynamics-Cruise'!BJ40,M143)</f>
        <v>5.1151851622742646</v>
      </c>
      <c r="N143" s="103">
        <f ca="1">IF(AND(Energy!$F$11=$A$3,Main!$B$43=A143),'Aerodynamics-Cruise'!BK40,N143)</f>
        <v>21.403402356875837</v>
      </c>
      <c r="O143" s="103">
        <f t="shared" ca="1" si="9"/>
        <v>223.95197831455593</v>
      </c>
      <c r="P143" s="103">
        <f ca="1">IF(AND(Energy!$F$11=$A$3,Main!$B$43=A143),'Aerodynamics-Cruise'!H40,P143)</f>
        <v>19.43145462796252</v>
      </c>
      <c r="Q143" s="103">
        <f ca="1">IF(AND(Energy!$F$11=$A$3,Main!$B$43=A143),'Aerodynamics-Cruise'!I40,Q143)</f>
        <v>15.29262925344913</v>
      </c>
      <c r="R143" s="103">
        <f ca="1">IF(AND(Energy!$F$11=$A$3,Main!$B$43=$A143),Summary!R40,R143)</f>
        <v>27.017858035551438</v>
      </c>
      <c r="S143" s="103">
        <f ca="1">IF(AND(Energy!$F$11=$A$3,Main!$B$43=A143),'Aerodynamics-Cruise'!W40,S143)</f>
        <v>0.9</v>
      </c>
      <c r="T143" s="103">
        <f ca="1">IF(AND(Energy!$F$11=$A$3,Main!$B$43=A143),'Aerodynamics-Cruise'!BL40,T143)</f>
        <v>99.395488394359475</v>
      </c>
      <c r="U143" s="103">
        <f ca="1">IF(AND(Energy!$F$11=$A$3,Main!$B$43=A143),'Propulsion-Cruise'!M40,U143)</f>
        <v>184.02858008731991</v>
      </c>
      <c r="V143" s="103">
        <f ca="1">IF(AND(Energy!$F$11=$A$3,Main!$B$43=A143),Endurance!AP40,V143)</f>
        <v>1478.5263015537014</v>
      </c>
      <c r="W143" s="103">
        <f ca="1">IF(AND(Energy!$F$11=$A$3,Main!$B$43=$A143),Summary!W40,W143)</f>
        <v>1269.6734748019255</v>
      </c>
      <c r="X143" s="13">
        <f ca="1">IF(AND(Energy!$F$11=$A$3,Main!$B$43=A143),Energy!D40,X143)</f>
        <v>2813.233674300559</v>
      </c>
      <c r="Y143" s="102">
        <f ca="1">IF(AND(Energy!$F$11=$A$3,Main!$B$43=A143),'Aerodynamics-Cruise'!V40,Y143)</f>
        <v>267267.00358466222</v>
      </c>
      <c r="Z143" s="102">
        <f ca="1">IF(AND(Energy!$F$11=$A$3,Main!$B$43=$A143),Summary!Z40,Z143)</f>
        <v>218386.42392976361</v>
      </c>
      <c r="AA143" s="102">
        <f ca="1">IF(AND(Energy!$F$11=$A$3,Main!$B$43=$A143),Summary!AA40,AA143)</f>
        <v>371613.04177641874</v>
      </c>
      <c r="AB143" s="103">
        <f ca="1">IF(AND(Energy!$F$11=$A$3,Main!$B$43=$A143),Summary!AB40,AB143)</f>
        <v>21.868639937711155</v>
      </c>
      <c r="AC143" s="103">
        <f ca="1">IF(AND(Energy!$F$11=$A$3,Main!$B$43=$A143),Summary!AC40,AC143)</f>
        <v>0.90653306043160642</v>
      </c>
      <c r="AD143" s="103">
        <f ca="1">IF(AND(Energy!$F$11=$A$3,Main!$B$43=$A143),Summary!AD40,AD143)</f>
        <v>0.77653607458473251</v>
      </c>
      <c r="AE143" s="103">
        <f>IF(AND(Energy!$F$11=$A$3,Main!$B$43=$A143),Summary!AE40,AE143)</f>
        <v>0.99999999999999978</v>
      </c>
      <c r="AF143" s="103">
        <f>IF(AND(Energy!$F$11=$A$3,Main!$B$43=$A143),Summary!AF40,AF143)</f>
        <v>9.0000000000000018</v>
      </c>
      <c r="AG143" s="103">
        <f ca="1">IF(AND(Energy!$F$11=$A$3,Main!$B$43=$A143),Summary!AG40,AG143)</f>
        <v>19.999061684172595</v>
      </c>
      <c r="AH143" s="103">
        <f ca="1">IF(AND(Energy!$F$11=$A$3,Main!$B$43=$A143),Summary!AH40,AH143)</f>
        <v>47</v>
      </c>
      <c r="AI143" s="103">
        <f ca="1">IF(AND(Energy!$F$11=$A$3,Main!$B$43=$A143),Summary!AI40,AI143)</f>
        <v>3.1646720007136961</v>
      </c>
      <c r="AJ143" s="103">
        <f ca="1">IF(AND(Energy!$F$11=$A$3,Main!$B$43=$A143),Summary!AJ40,AJ143)</f>
        <v>0.32103197307949699</v>
      </c>
      <c r="AK143" s="103">
        <f ca="1">IF(AND(Energy!$F$11=$A$3,Main!$B$43=$A143),Summary!AK40,AK143)</f>
        <v>1.6235268898875287E-2</v>
      </c>
      <c r="AL143" s="103">
        <f ca="1">IF(AND(Energy!$F$11=$A$3,Main!$B$43=$A143),Summary!AL40,AL143)</f>
        <v>-0.3427048178863647</v>
      </c>
      <c r="AM143" s="103">
        <f ca="1">IF(AND(Energy!$F$11=$A$3,Main!$B$43=$A143),Summary!AM40,AM143)</f>
        <v>0.34375</v>
      </c>
    </row>
    <row r="144" spans="1:39">
      <c r="A144" s="7">
        <f>A124+1</f>
        <v>8</v>
      </c>
      <c r="D144" s="1">
        <f ca="1">IF(AND(Energy!$F$11=$A$3,Main!$B$43=A144),Main!C21,D144)</f>
        <v>3.5</v>
      </c>
      <c r="E144" s="103">
        <f ca="1">IF(AND(Energy!$F$11=$A$3,Main!$B$43=A144),Main!B21,E144)</f>
        <v>0.35555555555555546</v>
      </c>
      <c r="F144" s="103">
        <f ca="1">IF(Main!$D$6=1,U144,IF(Main!$D$6=2,N144,IF(Main!$D$6=3,K144,IF(Main!$D$6=4,V144,J144))))</f>
        <v>385.04477893136556</v>
      </c>
      <c r="G144" s="103">
        <f ca="1">IF(AND(Energy!$F$11=$A$3,Main!$B$43=A144),Weight!H21,G144)</f>
        <v>10</v>
      </c>
      <c r="H144" s="103">
        <f ca="1">IF(AND(Energy!$F$11=$A$3,Main!$B$43=A144),Weight!U21,H144)</f>
        <v>11.949350309373497</v>
      </c>
      <c r="I144" s="103">
        <f ca="1">IF(AND(Energy!$F$11=$A$3,Main!$B$43=A144),Weight!V21,I144)</f>
        <v>31.264712087663156</v>
      </c>
      <c r="J144" s="103">
        <f ca="1">IF(AND(Energy!$F$11=$A$3,Main!$B$43=A144),Weight!I21,J144)</f>
        <v>9.2550035032896609</v>
      </c>
      <c r="K144" s="103">
        <f ca="1">IF(AND(Energy!$F$11=$A$3,Main!$B$43=A144),Weight!W21,K144)</f>
        <v>41.264712065700152</v>
      </c>
      <c r="L144" s="103">
        <f ca="1">IF(AND(Energy!$F$11=$A$3,Main!$B$43=A144),'Aerodynamics-Cruise'!BI21,L144)</f>
        <v>41.2647120996902</v>
      </c>
      <c r="M144" s="103">
        <f ca="1">IF(AND(Energy!$F$11=$A$3,Main!$B$43=A144),'Aerodynamics-Cruise'!BJ21,M144)</f>
        <v>2.2978773627899836</v>
      </c>
      <c r="N144" s="103">
        <f ca="1">IF(AND(Energy!$F$11=$A$3,Main!$B$43=A144),'Aerodynamics-Cruise'!BK21,N144)</f>
        <v>17.957752127201587</v>
      </c>
      <c r="O144" s="103">
        <f t="shared" ca="1" si="9"/>
        <v>115.35631714774038</v>
      </c>
      <c r="P144" s="103">
        <f ca="1">IF(AND(Energy!$F$11=$A$3,Main!$B$43=A144),'Aerodynamics-Cruise'!H21,P144)</f>
        <v>7.8078490227257511</v>
      </c>
      <c r="Q144" s="103">
        <f ca="1">IF(AND(Energy!$F$11=$A$3,Main!$B$43=A144),'Aerodynamics-Cruise'!I21,Q144)</f>
        <v>6.5022159053318136</v>
      </c>
      <c r="R144" s="103">
        <f ca="1">IF(AND(Energy!$F$11=$A$3,Main!$B$43=$A144),Summary!R21,R144)</f>
        <v>23.80213900666865</v>
      </c>
      <c r="S144" s="103">
        <f ca="1">IF(AND(Energy!$F$11=$A$3,Main!$B$43=A144),'Aerodynamics-Cruise'!W21,S144)</f>
        <v>1</v>
      </c>
      <c r="T144" s="103">
        <f ca="1">IF(AND(Energy!$F$11=$A$3,Main!$B$43=A144),'Aerodynamics-Cruise'!BL21,T144)</f>
        <v>17.941479521403398</v>
      </c>
      <c r="U144" s="103">
        <f ca="1">IF(AND(Energy!$F$11=$A$3,Main!$B$43=A144),'Propulsion-Cruise'!M21,U144)</f>
        <v>40.671212983204136</v>
      </c>
      <c r="V144" s="103">
        <f ca="1">IF(AND(Energy!$F$11=$A$3,Main!$B$43=A144),Endurance!AP21,V144)</f>
        <v>385.04477893136556</v>
      </c>
      <c r="W144" s="103">
        <f ca="1">IF(AND(Energy!$F$11=$A$3,Main!$B$43=$A144),Summary!W21,W144)</f>
        <v>42.438156209208515</v>
      </c>
      <c r="X144" s="13">
        <f ca="1">IF(AND(Energy!$F$11=$A$3,Main!$B$43=A144),Energy!D21,X144)</f>
        <v>960.32445018855265</v>
      </c>
      <c r="Y144" s="102">
        <f ca="1">IF(AND(Energy!$F$11=$A$3,Main!$B$43=A144),'Aerodynamics-Cruise'!V21,Y144)</f>
        <v>176069.50902560909</v>
      </c>
      <c r="Z144" s="102">
        <f ca="1">IF(AND(Energy!$F$11=$A$3,Main!$B$43=$A144),Summary!Z21,Z144)</f>
        <v>128671.0660212689</v>
      </c>
      <c r="AA144" s="102">
        <f ca="1">IF(AND(Energy!$F$11=$A$3,Main!$B$43=$A144),Summary!AA21,AA144)</f>
        <v>536745.89716905309</v>
      </c>
      <c r="AB144" s="103">
        <f ca="1">IF(AND(Energy!$F$11=$A$3,Main!$B$43=$A144),Summary!AB21,AB144)</f>
        <v>2.3569722775171629</v>
      </c>
      <c r="AC144" s="103">
        <f ca="1">IF(AND(Energy!$F$11=$A$3,Main!$B$43=$A144),Summary!AC21,AC144)</f>
        <v>3.2266533644265398</v>
      </c>
      <c r="AD144" s="103">
        <f ca="1">IF(AND(Energy!$F$11=$A$3,Main!$B$43=$A144),Summary!AD21,AD144)</f>
        <v>0.38715749084393442</v>
      </c>
      <c r="AE144" s="103">
        <f ca="1">IF(AND(Energy!$F$11=$A$3,Main!$B$43=$A144),Summary!AE21,AE144)</f>
        <v>1.244444444444444</v>
      </c>
      <c r="AF144" s="103">
        <f ca="1">IF(AND(Energy!$F$11=$A$3,Main!$B$43=$A144),Summary!AF21,AF144)</f>
        <v>9.8437500000000036</v>
      </c>
      <c r="AG144" s="103">
        <f ca="1">IF(AND(Energy!$F$11=$A$3,Main!$B$43=$A144),Summary!AG21,AG144)</f>
        <v>9.4861262578771086</v>
      </c>
      <c r="AH144" s="103">
        <f ca="1">IF(AND(Energy!$F$11=$A$3,Main!$B$43=$A144),Summary!AH21,AH144)</f>
        <v>47</v>
      </c>
      <c r="AI144" s="103">
        <f ca="1">IF(AND(Energy!$F$11=$A$3,Main!$B$43=$A144),Summary!AI21,AI144)</f>
        <v>2.8261558858988818</v>
      </c>
      <c r="AJ144" s="103">
        <f ca="1">IF(AND(Energy!$F$11=$A$3,Main!$B$43=$A144),Summary!AJ21,AJ144)</f>
        <v>0.31367405371852514</v>
      </c>
      <c r="AK144" s="103">
        <f ca="1">IF(AND(Energy!$F$11=$A$3,Main!$B$43=$A144),Summary!AK21,AK144)</f>
        <v>0.01</v>
      </c>
      <c r="AL144" s="103">
        <f ca="1">IF(AND(Energy!$F$11=$A$3,Main!$B$43=$A144),Summary!AL21,AL144)</f>
        <v>-0.33481670056711643</v>
      </c>
      <c r="AM144" s="103">
        <f ca="1">IF(AND(Energy!$F$11=$A$3,Main!$B$43=$A144),Summary!AM21,AM144)</f>
        <v>0.6875</v>
      </c>
    </row>
    <row r="145" spans="1:39">
      <c r="A145">
        <f>A144</f>
        <v>8</v>
      </c>
      <c r="D145" s="1">
        <f ca="1">IF(AND(Energy!$F$11=$A$3,Main!$B$43=A145),Main!C22,D145)</f>
        <v>3.6578947368421053</v>
      </c>
      <c r="E145" s="103">
        <f ca="1">IF(AND(Energy!$F$11=$A$3,Main!$B$43=A145),Main!B22,E145)</f>
        <v>0.35555555555555546</v>
      </c>
      <c r="F145" s="103">
        <f ca="1">IF(Main!$D$6=1,U145,IF(Main!$D$6=2,N145,IF(Main!$D$6=3,K145,IF(Main!$D$6=4,V145,J145))))</f>
        <v>381.86149220378263</v>
      </c>
      <c r="G145" s="103">
        <f ca="1">IF(AND(Energy!$F$11=$A$3,Main!$B$43=A145),Weight!H22,G145)</f>
        <v>10</v>
      </c>
      <c r="H145" s="103">
        <f ca="1">IF(AND(Energy!$F$11=$A$3,Main!$B$43=A145),Weight!U22,H145)</f>
        <v>12.462329316286848</v>
      </c>
      <c r="I145" s="103">
        <f ca="1">IF(AND(Energy!$F$11=$A$3,Main!$B$43=A145),Weight!V22,I145)</f>
        <v>31.833841352954558</v>
      </c>
      <c r="J145" s="103">
        <f ca="1">IF(AND(Energy!$F$11=$A$3,Main!$B$43=A145),Weight!I22,J145)</f>
        <v>9.3111537616677129</v>
      </c>
      <c r="K145" s="103">
        <f ca="1">IF(AND(Energy!$F$11=$A$3,Main!$B$43=A145),Weight!W22,K145)</f>
        <v>41.833841330743475</v>
      </c>
      <c r="L145" s="103">
        <f ca="1">IF(AND(Energy!$F$11=$A$3,Main!$B$43=A145),'Aerodynamics-Cruise'!BI22,L145)</f>
        <v>41.833841363358239</v>
      </c>
      <c r="M145" s="103">
        <f ca="1">IF(AND(Energy!$F$11=$A$3,Main!$B$43=A145),'Aerodynamics-Cruise'!BJ22,M145)</f>
        <v>2.2921933202501084</v>
      </c>
      <c r="N145" s="103">
        <f ca="1">IF(AND(Energy!$F$11=$A$3,Main!$B$43=A145),'Aerodynamics-Cruise'!BK22,N145)</f>
        <v>18.25057293107966</v>
      </c>
      <c r="O145" s="103">
        <f t="shared" ca="1" si="9"/>
        <v>118.04303720022529</v>
      </c>
      <c r="P145" s="103">
        <f ca="1">IF(AND(Energy!$F$11=$A$3,Main!$B$43=A145),'Aerodynamics-Cruise'!H22,P145)</f>
        <v>7.6898492169668184</v>
      </c>
      <c r="Q145" s="103">
        <f ca="1">IF(AND(Energy!$F$11=$A$3,Main!$B$43=A145),'Aerodynamics-Cruise'!I22,Q145)</f>
        <v>6.4047213290948415</v>
      </c>
      <c r="R145" s="103">
        <f ca="1">IF(AND(Energy!$F$11=$A$3,Main!$B$43=$A145),Summary!R22,R145)</f>
        <v>23.516411482532103</v>
      </c>
      <c r="S145" s="103">
        <f ca="1">IF(AND(Energy!$F$11=$A$3,Main!$B$43=A145),'Aerodynamics-Cruise'!W22,S145)</f>
        <v>1</v>
      </c>
      <c r="T145" s="103">
        <f ca="1">IF(AND(Energy!$F$11=$A$3,Main!$B$43=A145),'Aerodynamics-Cruise'!BL22,T145)</f>
        <v>17.626621008861868</v>
      </c>
      <c r="U145" s="103">
        <f ca="1">IF(AND(Energy!$F$11=$A$3,Main!$B$43=A145),'Propulsion-Cruise'!M22,U145)</f>
        <v>40.170694525327697</v>
      </c>
      <c r="V145" s="103">
        <f ca="1">IF(AND(Energy!$F$11=$A$3,Main!$B$43=A145),Endurance!AP22,V145)</f>
        <v>381.86149220378263</v>
      </c>
      <c r="W145" s="103">
        <f ca="1">IF(AND(Energy!$F$11=$A$3,Main!$B$43=$A145),Summary!W22,W145)</f>
        <v>43.492321663277799</v>
      </c>
      <c r="X145" s="13">
        <f ca="1">IF(AND(Energy!$F$11=$A$3,Main!$B$43=A145),Energy!D22,X145)</f>
        <v>962.22780467983569</v>
      </c>
      <c r="Y145" s="102">
        <f ca="1">IF(AND(Energy!$F$11=$A$3,Main!$B$43=A145),'Aerodynamics-Cruise'!V22,Y145)</f>
        <v>173408.57541833509</v>
      </c>
      <c r="Z145" s="102">
        <f ca="1">IF(AND(Energy!$F$11=$A$3,Main!$B$43=$A145),Summary!Z22,Z145)</f>
        <v>126741.65948548188</v>
      </c>
      <c r="AA145" s="102">
        <f ca="1">IF(AND(Energy!$F$11=$A$3,Main!$B$43=$A145),Summary!AA22,AA145)</f>
        <v>530302.64951615955</v>
      </c>
      <c r="AB145" s="103">
        <f ca="1">IF(AND(Energy!$F$11=$A$3,Main!$B$43=$A145),Summary!AB22,AB145)</f>
        <v>2.3160528932010225</v>
      </c>
      <c r="AC145" s="103">
        <f ca="1">IF(AND(Energy!$F$11=$A$3,Main!$B$43=$A145),Summary!AC22,AC145)</f>
        <v>3.1453587146602353</v>
      </c>
      <c r="AD145" s="103">
        <f ca="1">IF(AND(Energy!$F$11=$A$3,Main!$B$43=$A145),Summary!AD22,AD145)</f>
        <v>0.38459099872449926</v>
      </c>
      <c r="AE145" s="103">
        <f ca="1">IF(AND(Energy!$F$11=$A$3,Main!$B$43=$A145),Summary!AE22,AE145)</f>
        <v>1.3005847953216372</v>
      </c>
      <c r="AF145" s="103">
        <f ca="1">IF(AND(Energy!$F$11=$A$3,Main!$B$43=$A145),Summary!AF22,AF145)</f>
        <v>10.287828947368423</v>
      </c>
      <c r="AG145" s="103">
        <f ca="1">IF(AND(Energy!$F$11=$A$3,Main!$B$43=$A145),Summary!AG22,AG145)</f>
        <v>9.4293307439417902</v>
      </c>
      <c r="AH145" s="103">
        <f ca="1">IF(AND(Energy!$F$11=$A$3,Main!$B$43=$A145),Summary!AH22,AH145)</f>
        <v>47</v>
      </c>
      <c r="AI145" s="103">
        <f ca="1">IF(AND(Energy!$F$11=$A$3,Main!$B$43=$A145),Summary!AI22,AI145)</f>
        <v>2.8254735311924994</v>
      </c>
      <c r="AJ145" s="103">
        <f ca="1">IF(AND(Energy!$F$11=$A$3,Main!$B$43=$A145),Summary!AJ22,AJ145)</f>
        <v>0.31189831454061062</v>
      </c>
      <c r="AK145" s="103">
        <f ca="1">IF(AND(Energy!$F$11=$A$3,Main!$B$43=$A145),Summary!AK22,AK145)</f>
        <v>0.01</v>
      </c>
      <c r="AL145" s="103">
        <f ca="1">IF(AND(Energy!$F$11=$A$3,Main!$B$43=$A145),Summary!AL22,AL145)</f>
        <v>-0.33671810327778612</v>
      </c>
      <c r="AM145" s="103">
        <f ca="1">IF(AND(Energy!$F$11=$A$3,Main!$B$43=$A145),Summary!AM22,AM145)</f>
        <v>0.6875</v>
      </c>
    </row>
    <row r="146" spans="1:39">
      <c r="A146">
        <f t="shared" ref="A146:A163" si="10">A145</f>
        <v>8</v>
      </c>
      <c r="D146" s="1">
        <f ca="1">IF(AND(Energy!$F$11=$A$3,Main!$B$43=A146),Main!C23,D146)</f>
        <v>3.8157894736842106</v>
      </c>
      <c r="E146" s="103">
        <f ca="1">IF(AND(Energy!$F$11=$A$3,Main!$B$43=A146),Main!B23,E146)</f>
        <v>0.35555555555555546</v>
      </c>
      <c r="F146" s="103">
        <f ca="1">IF(Main!$D$6=1,U146,IF(Main!$D$6=2,N146,IF(Main!$D$6=3,K146,IF(Main!$D$6=4,V146,J146))))</f>
        <v>379.49158487938524</v>
      </c>
      <c r="G146" s="103">
        <f ca="1">IF(AND(Energy!$F$11=$A$3,Main!$B$43=A146),Weight!H23,G146)</f>
        <v>10</v>
      </c>
      <c r="H146" s="103">
        <f ca="1">IF(AND(Energy!$F$11=$A$3,Main!$B$43=A146),Weight!U23,H146)</f>
        <v>12.98965781897698</v>
      </c>
      <c r="I146" s="103">
        <f ca="1">IF(AND(Energy!$F$11=$A$3,Main!$B$43=A146),Weight!V23,I146)</f>
        <v>32.419669207428861</v>
      </c>
      <c r="J146" s="103">
        <f ca="1">IF(AND(Energy!$F$11=$A$3,Main!$B$43=A146),Weight!I23,J146)</f>
        <v>9.3696531134518803</v>
      </c>
      <c r="K146" s="103">
        <f ca="1">IF(AND(Energy!$F$11=$A$3,Main!$B$43=A146),Weight!W23,K146)</f>
        <v>42.41966918698256</v>
      </c>
      <c r="L146" s="103">
        <f ca="1">IF(AND(Energy!$F$11=$A$3,Main!$B$43=A146),'Aerodynamics-Cruise'!BI23,L146)</f>
        <v>42.419669214099251</v>
      </c>
      <c r="M146" s="103">
        <f ca="1">IF(AND(Energy!$F$11=$A$3,Main!$B$43=A146),'Aerodynamics-Cruise'!BJ23,M146)</f>
        <v>2.28984900534951</v>
      </c>
      <c r="N146" s="103">
        <f ca="1">IF(AND(Energy!$F$11=$A$3,Main!$B$43=A146),'Aerodynamics-Cruise'!BK23,N146)</f>
        <v>18.525094499680577</v>
      </c>
      <c r="O146" s="103">
        <f t="shared" ca="1" si="9"/>
        <v>120.65465186027807</v>
      </c>
      <c r="P146" s="103">
        <f ca="1">IF(AND(Energy!$F$11=$A$3,Main!$B$43=A146),'Aerodynamics-Cruise'!H23,P146)</f>
        <v>7.5815021426260101</v>
      </c>
      <c r="Q146" s="103">
        <f ca="1">IF(AND(Energy!$F$11=$A$3,Main!$B$43=A146),'Aerodynamics-Cruise'!I23,Q146)</f>
        <v>6.3151873256583988</v>
      </c>
      <c r="R146" s="103">
        <f ca="1">IF(AND(Energy!$F$11=$A$3,Main!$B$43=$A146),Summary!R23,R146)</f>
        <v>23.241972962941144</v>
      </c>
      <c r="S146" s="103">
        <f ca="1">IF(AND(Energy!$F$11=$A$3,Main!$B$43=A146),'Aerodynamics-Cruise'!W23,S146)</f>
        <v>1</v>
      </c>
      <c r="T146" s="103">
        <f ca="1">IF(AND(Energy!$F$11=$A$3,Main!$B$43=A146),'Aerodynamics-Cruise'!BL23,T146)</f>
        <v>17.360495140347346</v>
      </c>
      <c r="U146" s="103">
        <f ca="1">IF(AND(Energy!$F$11=$A$3,Main!$B$43=A146),'Propulsion-Cruise'!M23,U146)</f>
        <v>39.761844533536291</v>
      </c>
      <c r="V146" s="103">
        <f ca="1">IF(AND(Energy!$F$11=$A$3,Main!$B$43=A146),Endurance!AP23,V146)</f>
        <v>379.49158487938524</v>
      </c>
      <c r="W146" s="103">
        <f ca="1">IF(AND(Energy!$F$11=$A$3,Main!$B$43=$A146),Summary!W23,W146)</f>
        <v>44.59058907781148</v>
      </c>
      <c r="X146" s="13">
        <f ca="1">IF(AND(Energy!$F$11=$A$3,Main!$B$43=A146),Energy!D23,X146)</f>
        <v>964.2107876657833</v>
      </c>
      <c r="Y146" s="102">
        <f ca="1">IF(AND(Energy!$F$11=$A$3,Main!$B$43=A146),'Aerodynamics-Cruise'!V23,Y146)</f>
        <v>170965.3140120217</v>
      </c>
      <c r="Z146" s="102">
        <f ca="1">IF(AND(Energy!$F$11=$A$3,Main!$B$43=$A146),Summary!Z23,Z146)</f>
        <v>124969.79379938284</v>
      </c>
      <c r="AA146" s="102">
        <f ca="1">IF(AND(Energy!$F$11=$A$3,Main!$B$43=$A146),Summary!AA23,AA146)</f>
        <v>524113.97255001281</v>
      </c>
      <c r="AB146" s="103">
        <f ca="1">IF(AND(Energy!$F$11=$A$3,Main!$B$43=$A146),Summary!AB23,AB146)</f>
        <v>2.2812434151159442</v>
      </c>
      <c r="AC146" s="103">
        <f ca="1">IF(AND(Energy!$F$11=$A$3,Main!$B$43=$A146),Summary!AC23,AC146)</f>
        <v>3.067281220973324</v>
      </c>
      <c r="AD146" s="103">
        <f ca="1">IF(AND(Energy!$F$11=$A$3,Main!$B$43=$A146),Summary!AD23,AD146)</f>
        <v>0.38240526180929019</v>
      </c>
      <c r="AE146" s="103">
        <f ca="1">IF(AND(Energy!$F$11=$A$3,Main!$B$43=$A146),Summary!AE23,AE146)</f>
        <v>1.3567251461988301</v>
      </c>
      <c r="AF146" s="103">
        <f ca="1">IF(AND(Energy!$F$11=$A$3,Main!$B$43=$A146),Summary!AF23,AF146)</f>
        <v>10.731907894736844</v>
      </c>
      <c r="AG146" s="103">
        <f ca="1">IF(AND(Energy!$F$11=$A$3,Main!$B$43=$A146),Summary!AG23,AG146)</f>
        <v>9.3843059051448456</v>
      </c>
      <c r="AH146" s="103">
        <f ca="1">IF(AND(Energy!$F$11=$A$3,Main!$B$43=$A146),Summary!AH23,AH146)</f>
        <v>47</v>
      </c>
      <c r="AI146" s="103">
        <f ca="1">IF(AND(Energy!$F$11=$A$3,Main!$B$43=$A146),Summary!AI23,AI146)</f>
        <v>2.8248417305319808</v>
      </c>
      <c r="AJ146" s="103">
        <f ca="1">IF(AND(Energy!$F$11=$A$3,Main!$B$43=$A146),Summary!AJ23,AJ146)</f>
        <v>0.3102443494308435</v>
      </c>
      <c r="AK146" s="103">
        <f ca="1">IF(AND(Energy!$F$11=$A$3,Main!$B$43=$A146),Summary!AK23,AK146)</f>
        <v>0.01</v>
      </c>
      <c r="AL146" s="103">
        <f ca="1">IF(AND(Energy!$F$11=$A$3,Main!$B$43=$A146),Summary!AL23,AL146)</f>
        <v>-0.33850885534983294</v>
      </c>
      <c r="AM146" s="103">
        <f ca="1">IF(AND(Energy!$F$11=$A$3,Main!$B$43=$A146),Summary!AM23,AM146)</f>
        <v>0.6875</v>
      </c>
    </row>
    <row r="147" spans="1:39">
      <c r="A147">
        <f t="shared" si="10"/>
        <v>8</v>
      </c>
      <c r="D147" s="1">
        <f ca="1">IF(AND(Energy!$F$11=$A$3,Main!$B$43=A147),Main!C24,D147)</f>
        <v>3.9736842105263159</v>
      </c>
      <c r="E147" s="103">
        <f ca="1">IF(AND(Energy!$F$11=$A$3,Main!$B$43=A147),Main!B24,E147)</f>
        <v>0.35555555555555546</v>
      </c>
      <c r="F147" s="103">
        <f ca="1">IF(Main!$D$6=1,U147,IF(Main!$D$6=2,N147,IF(Main!$D$6=3,K147,IF(Main!$D$6=4,V147,J147))))</f>
        <v>377.84295090084402</v>
      </c>
      <c r="G147" s="103">
        <f ca="1">IF(AND(Energy!$F$11=$A$3,Main!$B$43=A147),Weight!H24,G147)</f>
        <v>10</v>
      </c>
      <c r="H147" s="103">
        <f ca="1">IF(AND(Energy!$F$11=$A$3,Main!$B$43=A147),Weight!U24,H147)</f>
        <v>13.531424051371591</v>
      </c>
      <c r="I147" s="103">
        <f ca="1">IF(AND(Energy!$F$11=$A$3,Main!$B$43=A147),Weight!V24,I147)</f>
        <v>33.022015702338869</v>
      </c>
      <c r="J147" s="103">
        <f ca="1">IF(AND(Energy!$F$11=$A$3,Main!$B$43=A147),Weight!I24,J147)</f>
        <v>9.4302333759672798</v>
      </c>
      <c r="K147" s="103">
        <f ca="1">IF(AND(Energy!$F$11=$A$3,Main!$B$43=A147),Weight!W24,K147)</f>
        <v>43.022015685685844</v>
      </c>
      <c r="L147" s="103">
        <f ca="1">IF(AND(Energy!$F$11=$A$3,Main!$B$43=A147),'Aerodynamics-Cruise'!BI24,L147)</f>
        <v>43.022015703169558</v>
      </c>
      <c r="M147" s="103">
        <f ca="1">IF(AND(Energy!$F$11=$A$3,Main!$B$43=A147),'Aerodynamics-Cruise'!BJ24,M147)</f>
        <v>2.2905013417376319</v>
      </c>
      <c r="N147" s="103">
        <f ca="1">IF(AND(Energy!$F$11=$A$3,Main!$B$43=A147),'Aerodynamics-Cruise'!BK24,N147)</f>
        <v>18.782794368735001</v>
      </c>
      <c r="O147" s="103">
        <f t="shared" ca="1" si="9"/>
        <v>123.19854568464056</v>
      </c>
      <c r="P147" s="103">
        <f ca="1">IF(AND(Energy!$F$11=$A$3,Main!$B$43=A147),'Aerodynamics-Cruise'!H24,P147)</f>
        <v>7.4818229929479232</v>
      </c>
      <c r="Q147" s="103">
        <f ca="1">IF(AND(Energy!$F$11=$A$3,Main!$B$43=A147),'Aerodynamics-Cruise'!I24,Q147)</f>
        <v>6.2328037793988988</v>
      </c>
      <c r="R147" s="103">
        <f ca="1">IF(AND(Energy!$F$11=$A$3,Main!$B$43=$A147),Summary!R24,R147)</f>
        <v>22.978122756559809</v>
      </c>
      <c r="S147" s="103">
        <f ca="1">IF(AND(Energy!$F$11=$A$3,Main!$B$43=A147),'Aerodynamics-Cruise'!W24,S147)</f>
        <v>1</v>
      </c>
      <c r="T147" s="103">
        <f ca="1">IF(AND(Energy!$F$11=$A$3,Main!$B$43=A147),'Aerodynamics-Cruise'!BL24,T147)</f>
        <v>17.137125603990683</v>
      </c>
      <c r="U147" s="103">
        <f ca="1">IF(AND(Energy!$F$11=$A$3,Main!$B$43=A147),'Propulsion-Cruise'!M24,U147)</f>
        <v>39.433945797906894</v>
      </c>
      <c r="V147" s="103">
        <f ca="1">IF(AND(Energy!$F$11=$A$3,Main!$B$43=A147),Endurance!AP24,V147)</f>
        <v>377.84295090084402</v>
      </c>
      <c r="W147" s="103">
        <f ca="1">IF(AND(Energy!$F$11=$A$3,Main!$B$43=$A147),Summary!W24,W147)</f>
        <v>45.727923589340136</v>
      </c>
      <c r="X147" s="13">
        <f ca="1">IF(AND(Energy!$F$11=$A$3,Main!$B$43=A147),Energy!D24,X147)</f>
        <v>966.26430841917431</v>
      </c>
      <c r="Y147" s="102">
        <f ca="1">IF(AND(Energy!$F$11=$A$3,Main!$B$43=A147),'Aerodynamics-Cruise'!V24,Y147)</f>
        <v>168717.51709729808</v>
      </c>
      <c r="Z147" s="102">
        <f ca="1">IF(AND(Energy!$F$11=$A$3,Main!$B$43=$A147),Summary!Z24,Z147)</f>
        <v>123339.43638014019</v>
      </c>
      <c r="AA147" s="102">
        <f ca="1">IF(AND(Energy!$F$11=$A$3,Main!$B$43=$A147),Summary!AA24,AA147)</f>
        <v>518164.06545541465</v>
      </c>
      <c r="AB147" s="103">
        <f ca="1">IF(AND(Energy!$F$11=$A$3,Main!$B$43=$A147),Summary!AB24,AB147)</f>
        <v>2.2518588068730478</v>
      </c>
      <c r="AC147" s="103">
        <f ca="1">IF(AND(Energy!$F$11=$A$3,Main!$B$43=$A147),Summary!AC24,AC147)</f>
        <v>2.9922221539588132</v>
      </c>
      <c r="AD147" s="103">
        <f ca="1">IF(AND(Energy!$F$11=$A$3,Main!$B$43=$A147),Summary!AD24,AD147)</f>
        <v>0.38056152093032664</v>
      </c>
      <c r="AE147" s="103">
        <f ca="1">IF(AND(Energy!$F$11=$A$3,Main!$B$43=$A147),Summary!AE24,AE147)</f>
        <v>1.412865497076023</v>
      </c>
      <c r="AF147" s="103">
        <f ca="1">IF(AND(Energy!$F$11=$A$3,Main!$B$43=$A147),Summary!AF24,AF147)</f>
        <v>11.175986842105265</v>
      </c>
      <c r="AG147" s="103">
        <f ca="1">IF(AND(Energy!$F$11=$A$3,Main!$B$43=$A147),Summary!AG24,AG147)</f>
        <v>9.3497723711014178</v>
      </c>
      <c r="AH147" s="103">
        <f ca="1">IF(AND(Energy!$F$11=$A$3,Main!$B$43=$A147),Summary!AH24,AH147)</f>
        <v>47</v>
      </c>
      <c r="AI147" s="103">
        <f ca="1">IF(AND(Energy!$F$11=$A$3,Main!$B$43=$A147),Summary!AI24,AI147)</f>
        <v>2.8242557402665551</v>
      </c>
      <c r="AJ147" s="103">
        <f ca="1">IF(AND(Energy!$F$11=$A$3,Main!$B$43=$A147),Summary!AJ24,AJ147)</f>
        <v>0.30869813253228978</v>
      </c>
      <c r="AK147" s="103">
        <f ca="1">IF(AND(Energy!$F$11=$A$3,Main!$B$43=$A147),Summary!AK24,AK147)</f>
        <v>0.01</v>
      </c>
      <c r="AL147" s="103">
        <f ca="1">IF(AND(Energy!$F$11=$A$3,Main!$B$43=$A147),Summary!AL24,AL147)</f>
        <v>-0.34020044443244984</v>
      </c>
      <c r="AM147" s="103">
        <f ca="1">IF(AND(Energy!$F$11=$A$3,Main!$B$43=$A147),Summary!AM24,AM147)</f>
        <v>0.6875</v>
      </c>
    </row>
    <row r="148" spans="1:39">
      <c r="A148">
        <f t="shared" si="10"/>
        <v>8</v>
      </c>
      <c r="D148" s="1">
        <f ca="1">IF(AND(Energy!$F$11=$A$3,Main!$B$43=A148),Main!C25,D148)</f>
        <v>4.1315789473684212</v>
      </c>
      <c r="E148" s="103">
        <f ca="1">IF(AND(Energy!$F$11=$A$3,Main!$B$43=A148),Main!B25,E148)</f>
        <v>0.35555555555555546</v>
      </c>
      <c r="F148" s="103">
        <f ca="1">IF(Main!$D$6=1,U148,IF(Main!$D$6=2,N148,IF(Main!$D$6=3,K148,IF(Main!$D$6=4,V148,J148))))</f>
        <v>376.84092395358795</v>
      </c>
      <c r="G148" s="103">
        <f ca="1">IF(AND(Energy!$F$11=$A$3,Main!$B$43=A148),Weight!H25,G148)</f>
        <v>10</v>
      </c>
      <c r="H148" s="103">
        <f ca="1">IF(AND(Energy!$F$11=$A$3,Main!$B$43=A148),Weight!U25,H148)</f>
        <v>14.087737099964844</v>
      </c>
      <c r="I148" s="103">
        <f ca="1">IF(AND(Energy!$F$11=$A$3,Main!$B$43=A148),Weight!V25,I148)</f>
        <v>33.640807191192437</v>
      </c>
      <c r="J148" s="103">
        <f ca="1">IF(AND(Energy!$F$11=$A$3,Main!$B$43=A148),Weight!I25,J148)</f>
        <v>9.4927118162275939</v>
      </c>
      <c r="K148" s="103">
        <f ca="1">IF(AND(Energy!$F$11=$A$3,Main!$B$43=A148),Weight!W25,K148)</f>
        <v>43.640807159494393</v>
      </c>
      <c r="L148" s="103">
        <f ca="1">IF(AND(Energy!$F$11=$A$3,Main!$B$43=A148),'Aerodynamics-Cruise'!BI25,L148)</f>
        <v>43.640807205233337</v>
      </c>
      <c r="M148" s="103">
        <f ca="1">IF(AND(Energy!$F$11=$A$3,Main!$B$43=A148),'Aerodynamics-Cruise'!BJ25,M148)</f>
        <v>2.2938722302425116</v>
      </c>
      <c r="N148" s="103">
        <f ca="1">IF(AND(Energy!$F$11=$A$3,Main!$B$43=A148),'Aerodynamics-Cruise'!BK25,N148)</f>
        <v>19.024951185105703</v>
      </c>
      <c r="O148" s="103">
        <f t="shared" ca="1" si="9"/>
        <v>125.68109000487613</v>
      </c>
      <c r="P148" s="103">
        <f ca="1">IF(AND(Energy!$F$11=$A$3,Main!$B$43=A148),'Aerodynamics-Cruise'!H25,P148)</f>
        <v>7.3899674801540787</v>
      </c>
      <c r="Q148" s="103">
        <f ca="1">IF(AND(Energy!$F$11=$A$3,Main!$B$43=A148),'Aerodynamics-Cruise'!I25,Q148)</f>
        <v>6.1568759310476135</v>
      </c>
      <c r="R148" s="103">
        <f ca="1">IF(AND(Energy!$F$11=$A$3,Main!$B$43=$A148),Summary!R25,R148)</f>
        <v>22.72422473115461</v>
      </c>
      <c r="S148" s="103">
        <f ca="1">IF(AND(Energy!$F$11=$A$3,Main!$B$43=A148),'Aerodynamics-Cruise'!W25,S148)</f>
        <v>1</v>
      </c>
      <c r="T148" s="103">
        <f ca="1">IF(AND(Energy!$F$11=$A$3,Main!$B$43=A148),'Aerodynamics-Cruise'!BL25,T148)</f>
        <v>16.951641185120671</v>
      </c>
      <c r="U148" s="103">
        <f ca="1">IF(AND(Energy!$F$11=$A$3,Main!$B$43=A148),'Propulsion-Cruise'!M25,U148)</f>
        <v>39.178291831650135</v>
      </c>
      <c r="V148" s="103">
        <f ca="1">IF(AND(Energy!$F$11=$A$3,Main!$B$43=A148),Endurance!AP25,V148)</f>
        <v>376.84092395358795</v>
      </c>
      <c r="W148" s="103">
        <f ca="1">IF(AND(Energy!$F$11=$A$3,Main!$B$43=$A148),Summary!W25,W148)</f>
        <v>46.900893925695527</v>
      </c>
      <c r="X148" s="13">
        <f ca="1">IF(AND(Energy!$F$11=$A$3,Main!$B$43=A148),Energy!D25,X148)</f>
        <v>968.38217216324244</v>
      </c>
      <c r="Y148" s="102">
        <f ca="1">IF(AND(Energy!$F$11=$A$3,Main!$B$43=A148),'Aerodynamics-Cruise'!V25,Y148)</f>
        <v>166646.14571295978</v>
      </c>
      <c r="Z148" s="102">
        <f ca="1">IF(AND(Energy!$F$11=$A$3,Main!$B$43=$A148),Summary!Z25,Z148)</f>
        <v>121836.83763587408</v>
      </c>
      <c r="AA148" s="102">
        <f ca="1">IF(AND(Energy!$F$11=$A$3,Main!$B$43=$A148),Summary!AA25,AA148)</f>
        <v>512438.58324571134</v>
      </c>
      <c r="AB148" s="103">
        <f ca="1">IF(AND(Energy!$F$11=$A$3,Main!$B$43=$A148),Summary!AB25,AB148)</f>
        <v>2.2273325112157436</v>
      </c>
      <c r="AC148" s="103">
        <f ca="1">IF(AND(Energy!$F$11=$A$3,Main!$B$43=$A148),Summary!AC25,AC148)</f>
        <v>2.919993128102353</v>
      </c>
      <c r="AD148" s="103">
        <f ca="1">IF(AND(Energy!$F$11=$A$3,Main!$B$43=$A148),Summary!AD25,AD148)</f>
        <v>0.37902720007951807</v>
      </c>
      <c r="AE148" s="103">
        <f ca="1">IF(AND(Energy!$F$11=$A$3,Main!$B$43=$A148),Summary!AE25,AE148)</f>
        <v>1.469005847953216</v>
      </c>
      <c r="AF148" s="103">
        <f ca="1">IF(AND(Energy!$F$11=$A$3,Main!$B$43=$A148),Summary!AF25,AF148)</f>
        <v>11.620065789473689</v>
      </c>
      <c r="AG148" s="103">
        <f ca="1">IF(AND(Energy!$F$11=$A$3,Main!$B$43=$A148),Summary!AG25,AG148)</f>
        <v>9.324681983895891</v>
      </c>
      <c r="AH148" s="103">
        <f ca="1">IF(AND(Energy!$F$11=$A$3,Main!$B$43=$A148),Summary!AH25,AH148)</f>
        <v>47</v>
      </c>
      <c r="AI148" s="103">
        <f ca="1">IF(AND(Energy!$F$11=$A$3,Main!$B$43=$A148),Summary!AI25,AI148)</f>
        <v>2.823711493390753</v>
      </c>
      <c r="AJ148" s="103">
        <f ca="1">IF(AND(Energy!$F$11=$A$3,Main!$B$43=$A148),Summary!AJ25,AJ148)</f>
        <v>0.30734772034876151</v>
      </c>
      <c r="AK148" s="103">
        <f ca="1">IF(AND(Energy!$F$11=$A$3,Main!$B$43=$A148),Summary!AK25,AK148)</f>
        <v>0.01</v>
      </c>
      <c r="AL148" s="103">
        <f ca="1">IF(AND(Energy!$F$11=$A$3,Main!$B$43=$A148),Summary!AL25,AL148)</f>
        <v>-0.34169051964851194</v>
      </c>
      <c r="AM148" s="103">
        <f ca="1">IF(AND(Energy!$F$11=$A$3,Main!$B$43=$A148),Summary!AM25,AM148)</f>
        <v>0.6875</v>
      </c>
    </row>
    <row r="149" spans="1:39">
      <c r="A149">
        <f t="shared" si="10"/>
        <v>8</v>
      </c>
      <c r="D149" s="1">
        <f ca="1">IF(AND(Energy!$F$11=$A$3,Main!$B$43=A149),Main!C26,D149)</f>
        <v>4.2894736842105265</v>
      </c>
      <c r="E149" s="103">
        <f ca="1">IF(AND(Energy!$F$11=$A$3,Main!$B$43=A149),Main!B26,E149)</f>
        <v>0.35555555555555546</v>
      </c>
      <c r="F149" s="103">
        <f ca="1">IF(Main!$D$6=1,U149,IF(Main!$D$6=2,N149,IF(Main!$D$6=3,K149,IF(Main!$D$6=4,V149,J149))))</f>
        <v>376.40899734457776</v>
      </c>
      <c r="G149" s="103">
        <f ca="1">IF(AND(Energy!$F$11=$A$3,Main!$B$43=A149),Weight!H26,G149)</f>
        <v>10</v>
      </c>
      <c r="H149" s="103">
        <f ca="1">IF(AND(Energy!$F$11=$A$3,Main!$B$43=A149),Weight!U26,H149)</f>
        <v>14.658719111755222</v>
      </c>
      <c r="I149" s="103">
        <f ca="1">IF(AND(Energy!$F$11=$A$3,Main!$B$43=A149),Weight!V26,I149)</f>
        <v>34.276022752035679</v>
      </c>
      <c r="J149" s="103">
        <f ca="1">IF(AND(Energy!$F$11=$A$3,Main!$B$43=A149),Weight!I26,J149)</f>
        <v>9.556945365280459</v>
      </c>
      <c r="K149" s="103">
        <f ca="1">IF(AND(Energy!$F$11=$A$3,Main!$B$43=A149),Weight!W26,K149)</f>
        <v>44.276022708157122</v>
      </c>
      <c r="L149" s="103">
        <f ca="1">IF(AND(Energy!$F$11=$A$3,Main!$B$43=A149),'Aerodynamics-Cruise'!BI26,L149)</f>
        <v>44.27602277635912</v>
      </c>
      <c r="M149" s="103">
        <f ca="1">IF(AND(Energy!$F$11=$A$3,Main!$B$43=A149),'Aerodynamics-Cruise'!BJ26,M149)</f>
        <v>2.2996267647499207</v>
      </c>
      <c r="N149" s="103">
        <f ca="1">IF(AND(Energy!$F$11=$A$3,Main!$B$43=A149),'Aerodynamics-Cruise'!BK26,N149)</f>
        <v>19.253569081317437</v>
      </c>
      <c r="O149" s="103">
        <f t="shared" ca="1" si="9"/>
        <v>128.11369250008838</v>
      </c>
      <c r="P149" s="103">
        <f ca="1">IF(AND(Energy!$F$11=$A$3,Main!$B$43=A149),'Aerodynamics-Cruise'!H26,P149)</f>
        <v>7.3052043645597813</v>
      </c>
      <c r="Q149" s="103">
        <f ca="1">IF(AND(Energy!$F$11=$A$3,Main!$B$43=A149),'Aerodynamics-Cruise'!I26,Q149)</f>
        <v>6.086801846676777</v>
      </c>
      <c r="R149" s="103">
        <f ca="1">IF(AND(Energy!$F$11=$A$3,Main!$B$43=$A149),Summary!R26,R149)</f>
        <v>22.479555875704627</v>
      </c>
      <c r="S149" s="103">
        <f ca="1">IF(AND(Energy!$F$11=$A$3,Main!$B$43=A149),'Aerodynamics-Cruise'!W26,S149)</f>
        <v>1</v>
      </c>
      <c r="T149" s="103">
        <f ca="1">IF(AND(Energy!$F$11=$A$3,Main!$B$43=A149),'Aerodynamics-Cruise'!BL26,T149)</f>
        <v>16.799243478709609</v>
      </c>
      <c r="U149" s="103">
        <f ca="1">IF(AND(Energy!$F$11=$A$3,Main!$B$43=A149),'Propulsion-Cruise'!M26,U149)</f>
        <v>38.985983390458145</v>
      </c>
      <c r="V149" s="103">
        <f ca="1">IF(AND(Energy!$F$11=$A$3,Main!$B$43=A149),Endurance!AP26,V149)</f>
        <v>376.40899734457776</v>
      </c>
      <c r="W149" s="103">
        <f ca="1">IF(AND(Energy!$F$11=$A$3,Main!$B$43=$A149),Summary!W26,W149)</f>
        <v>48.106814782210485</v>
      </c>
      <c r="X149" s="13">
        <f ca="1">IF(AND(Energy!$F$11=$A$3,Main!$B$43=A149),Energy!D26,X149)</f>
        <v>970.55952982560382</v>
      </c>
      <c r="Y149" s="102">
        <f ca="1">IF(AND(Energy!$F$11=$A$3,Main!$B$43=A149),'Aerodynamics-Cruise'!V26,Y149)</f>
        <v>164734.71016871068</v>
      </c>
      <c r="Z149" s="102">
        <f ca="1">IF(AND(Energy!$F$11=$A$3,Main!$B$43=$A149),Summary!Z26,Z149)</f>
        <v>120450.08505671543</v>
      </c>
      <c r="AA149" s="102">
        <f ca="1">IF(AND(Energy!$F$11=$A$3,Main!$B$43=$A149),Summary!AA26,AA149)</f>
        <v>506921.22178962402</v>
      </c>
      <c r="AB149" s="103">
        <f ca="1">IF(AND(Energy!$F$11=$A$3,Main!$B$43=$A149),Summary!AB26,AB149)</f>
        <v>2.2071867712601771</v>
      </c>
      <c r="AC149" s="103">
        <f ca="1">IF(AND(Energy!$F$11=$A$3,Main!$B$43=$A149),Summary!AC26,AC149)</f>
        <v>2.8504363096404357</v>
      </c>
      <c r="AD149" s="103">
        <f ca="1">IF(AND(Energy!$F$11=$A$3,Main!$B$43=$A149),Summary!AD26,AD149)</f>
        <v>0.37776873397901745</v>
      </c>
      <c r="AE149" s="103">
        <f ca="1">IF(AND(Energy!$F$11=$A$3,Main!$B$43=$A149),Summary!AE26,AE149)</f>
        <v>1.5251461988304089</v>
      </c>
      <c r="AF149" s="103">
        <f ca="1">IF(AND(Energy!$F$11=$A$3,Main!$B$43=$A149),Summary!AF26,AF149)</f>
        <v>12.06414473684211</v>
      </c>
      <c r="AG149" s="103">
        <f ca="1">IF(AND(Energy!$F$11=$A$3,Main!$B$43=$A149),Summary!AG26,AG149)</f>
        <v>9.3078983318370643</v>
      </c>
      <c r="AH149" s="103">
        <f ca="1">IF(AND(Energy!$F$11=$A$3,Main!$B$43=$A149),Summary!AH26,AH149)</f>
        <v>47</v>
      </c>
      <c r="AI149" s="103">
        <f ca="1">IF(AND(Energy!$F$11=$A$3,Main!$B$43=$A149),Summary!AI26,AI149)</f>
        <v>2.8232054507839717</v>
      </c>
      <c r="AJ149" s="103">
        <f ca="1">IF(AND(Energy!$F$11=$A$3,Main!$B$43=$A149),Summary!AJ26,AJ149)</f>
        <v>0.30641679346055462</v>
      </c>
      <c r="AK149" s="103">
        <f ca="1">IF(AND(Energy!$F$11=$A$3,Main!$B$43=$A149),Summary!AK26,AK149)</f>
        <v>0.01</v>
      </c>
      <c r="AL149" s="103">
        <f ca="1">IF(AND(Energy!$F$11=$A$3,Main!$B$43=$A149),Summary!AL26,AL149)</f>
        <v>-0.34272433162328608</v>
      </c>
      <c r="AM149" s="103">
        <f ca="1">IF(AND(Energy!$F$11=$A$3,Main!$B$43=$A149),Summary!AM26,AM149)</f>
        <v>0.6875</v>
      </c>
    </row>
    <row r="150" spans="1:39">
      <c r="A150">
        <f t="shared" si="10"/>
        <v>8</v>
      </c>
      <c r="D150" s="1">
        <f ca="1">IF(AND(Energy!$F$11=$A$3,Main!$B$43=A150),Main!C27,D150)</f>
        <v>4.4473684210526319</v>
      </c>
      <c r="E150" s="103">
        <f ca="1">IF(AND(Energy!$F$11=$A$3,Main!$B$43=A150),Main!B27,E150)</f>
        <v>0.35555555555555546</v>
      </c>
      <c r="F150" s="103">
        <f ca="1">IF(Main!$D$6=1,U150,IF(Main!$D$6=2,N150,IF(Main!$D$6=3,K150,IF(Main!$D$6=4,V150,J150))))</f>
        <v>376.4307605626002</v>
      </c>
      <c r="G150" s="103">
        <f ca="1">IF(AND(Energy!$F$11=$A$3,Main!$B$43=A150),Weight!H27,G150)</f>
        <v>10</v>
      </c>
      <c r="H150" s="103">
        <f ca="1">IF(AND(Energy!$F$11=$A$3,Main!$B$43=A150),Weight!U27,H150)</f>
        <v>15.244492398468573</v>
      </c>
      <c r="I150" s="103">
        <f ca="1">IF(AND(Energy!$F$11=$A$3,Main!$B$43=A150),Weight!V27,I150)</f>
        <v>34.927614999434219</v>
      </c>
      <c r="J150" s="103">
        <f ca="1">IF(AND(Energy!$F$11=$A$3,Main!$B$43=A150),Weight!I27,J150)</f>
        <v>9.6227643259656475</v>
      </c>
      <c r="K150" s="103">
        <f ca="1">IF(AND(Energy!$F$11=$A$3,Main!$B$43=A150),Weight!W27,K150)</f>
        <v>44.927614968711957</v>
      </c>
      <c r="L150" s="103">
        <f ca="1">IF(AND(Energy!$F$11=$A$3,Main!$B$43=A150),'Aerodynamics-Cruise'!BI27,L150)</f>
        <v>44.927615008367844</v>
      </c>
      <c r="M150" s="103">
        <f ca="1">IF(AND(Energy!$F$11=$A$3,Main!$B$43=A150),'Aerodynamics-Cruise'!BJ27,M150)</f>
        <v>2.3071111261634067</v>
      </c>
      <c r="N150" s="103">
        <f ca="1">IF(AND(Energy!$F$11=$A$3,Main!$B$43=A150),'Aerodynamics-Cruise'!BK27,N150)</f>
        <v>19.473537489752342</v>
      </c>
      <c r="O150" s="103">
        <f t="shared" ca="1" si="9"/>
        <v>130.52735371068215</v>
      </c>
      <c r="P150" s="103">
        <f ca="1">IF(AND(Energy!$F$11=$A$3,Main!$B$43=A150),'Aerodynamics-Cruise'!H27,P150)</f>
        <v>7.2268910790054655</v>
      </c>
      <c r="Q150" s="103">
        <f ca="1">IF(AND(Energy!$F$11=$A$3,Main!$B$43=A150),'Aerodynamics-Cruise'!I27,Q150)</f>
        <v>6.0220523976110778</v>
      </c>
      <c r="R150" s="103">
        <f ca="1">IF(AND(Energy!$F$11=$A$3,Main!$B$43=$A150),Summary!R27,R150)</f>
        <v>22.243103466217178</v>
      </c>
      <c r="S150" s="103">
        <f ca="1">IF(AND(Energy!$F$11=$A$3,Main!$B$43=A150),'Aerodynamics-Cruise'!W27,S150)</f>
        <v>1</v>
      </c>
      <c r="T150" s="103">
        <f ca="1">IF(AND(Energy!$F$11=$A$3,Main!$B$43=A150),'Aerodynamics-Cruise'!BL27,T150)</f>
        <v>16.673240815944578</v>
      </c>
      <c r="U150" s="103">
        <f ca="1">IF(AND(Energy!$F$11=$A$3,Main!$B$43=A150),'Propulsion-Cruise'!M27,U150)</f>
        <v>38.843578885271235</v>
      </c>
      <c r="V150" s="103">
        <f ca="1">IF(AND(Energy!$F$11=$A$3,Main!$B$43=A150),Endurance!AP27,V150)</f>
        <v>376.4307605626002</v>
      </c>
      <c r="W150" s="103">
        <f ca="1">IF(AND(Energy!$F$11=$A$3,Main!$B$43=$A150),Summary!W27,W150)</f>
        <v>49.342500947045295</v>
      </c>
      <c r="X150" s="13">
        <f ca="1">IF(AND(Energy!$F$11=$A$3,Main!$B$43=A150),Energy!D27,X150)</f>
        <v>972.79062971357735</v>
      </c>
      <c r="Y150" s="102">
        <f ca="1">IF(AND(Energy!$F$11=$A$3,Main!$B$43=A150),'Aerodynamics-Cruise'!V27,Y150)</f>
        <v>162968.72036824227</v>
      </c>
      <c r="Z150" s="102">
        <f ca="1">IF(AND(Energy!$F$11=$A$3,Main!$B$43=$A150),Summary!Z27,Z150)</f>
        <v>119168.70700317883</v>
      </c>
      <c r="AA150" s="102">
        <f ca="1">IF(AND(Energy!$F$11=$A$3,Main!$B$43=$A150),Summary!AA27,AA150)</f>
        <v>501589.14383509371</v>
      </c>
      <c r="AB150" s="103">
        <f ca="1">IF(AND(Energy!$F$11=$A$3,Main!$B$43=$A150),Summary!AB27,AB150)</f>
        <v>2.1910021246952871</v>
      </c>
      <c r="AC150" s="103">
        <f ca="1">IF(AND(Energy!$F$11=$A$3,Main!$B$43=$A150),Summary!AC27,AC150)</f>
        <v>2.7834651758602411</v>
      </c>
      <c r="AD150" s="103">
        <f ca="1">IF(AND(Energy!$F$11=$A$3,Main!$B$43=$A150),Summary!AD27,AD150)</f>
        <v>0.37673682336059644</v>
      </c>
      <c r="AE150" s="103">
        <f ca="1">IF(AND(Energy!$F$11=$A$3,Main!$B$43=$A150),Summary!AE27,AE150)</f>
        <v>1.5812865497076021</v>
      </c>
      <c r="AF150" s="103">
        <f ca="1">IF(AND(Energy!$F$11=$A$3,Main!$B$43=$A150),Summary!AF27,AF150)</f>
        <v>12.508223684210529</v>
      </c>
      <c r="AG150" s="103">
        <f ca="1">IF(AND(Energy!$F$11=$A$3,Main!$B$43=$A150),Summary!AG27,AG150)</f>
        <v>9.2975510085770683</v>
      </c>
      <c r="AH150" s="103">
        <f ca="1">IF(AND(Energy!$F$11=$A$3,Main!$B$43=$A150),Summary!AH27,AH150)</f>
        <v>47</v>
      </c>
      <c r="AI150" s="103">
        <f ca="1">IF(AND(Energy!$F$11=$A$3,Main!$B$43=$A150),Summary!AI27,AI150)</f>
        <v>2.8227344879382481</v>
      </c>
      <c r="AJ150" s="103">
        <f ca="1">IF(AND(Energy!$F$11=$A$3,Main!$B$43=$A150),Summary!AJ27,AJ150)</f>
        <v>0.30739619412879526</v>
      </c>
      <c r="AK150" s="103">
        <f ca="1">IF(AND(Energy!$F$11=$A$3,Main!$B$43=$A150),Summary!AK27,AK150)</f>
        <v>0.01</v>
      </c>
      <c r="AL150" s="103">
        <f ca="1">IF(AND(Energy!$F$11=$A$3,Main!$B$43=$A150),Summary!AL27,AL150)</f>
        <v>-0.34162962959303816</v>
      </c>
      <c r="AM150" s="103">
        <f ca="1">IF(AND(Energy!$F$11=$A$3,Main!$B$43=$A150),Summary!AM27,AM150)</f>
        <v>0.6875</v>
      </c>
    </row>
    <row r="151" spans="1:39">
      <c r="A151">
        <f t="shared" si="10"/>
        <v>8</v>
      </c>
      <c r="D151" s="1">
        <f ca="1">IF(AND(Energy!$F$11=$A$3,Main!$B$43=A151),Main!C28,D151)</f>
        <v>4.6052631578947372</v>
      </c>
      <c r="E151" s="103">
        <f ca="1">IF(AND(Energy!$F$11=$A$3,Main!$B$43=A151),Main!B28,E151)</f>
        <v>0.35555555555555546</v>
      </c>
      <c r="F151" s="103">
        <f ca="1">IF(Main!$D$6=1,U151,IF(Main!$D$6=2,N151,IF(Main!$D$6=3,K151,IF(Main!$D$6=4,V151,J151))))</f>
        <v>376.93660727765223</v>
      </c>
      <c r="G151" s="103">
        <f ca="1">IF(AND(Energy!$F$11=$A$3,Main!$B$43=A151),Weight!H28,G151)</f>
        <v>10</v>
      </c>
      <c r="H151" s="103">
        <f ca="1">IF(AND(Energy!$F$11=$A$3,Main!$B$43=A151),Weight!U28,H151)</f>
        <v>15.8452310021719</v>
      </c>
      <c r="I151" s="103">
        <f ca="1">IF(AND(Energy!$F$11=$A$3,Main!$B$43=A151),Weight!V28,I151)</f>
        <v>35.595821623378676</v>
      </c>
      <c r="J151" s="103">
        <f ca="1">IF(AND(Energy!$F$11=$A$3,Main!$B$43=A151),Weight!I28,J151)</f>
        <v>9.6902323462067752</v>
      </c>
      <c r="K151" s="103">
        <f ca="1">IF(AND(Energy!$F$11=$A$3,Main!$B$43=A151),Weight!W28,K151)</f>
        <v>45.595821607610439</v>
      </c>
      <c r="L151" s="103">
        <f ca="1">IF(AND(Energy!$F$11=$A$3,Main!$B$43=A151),'Aerodynamics-Cruise'!BI28,L151)</f>
        <v>45.595821615113501</v>
      </c>
      <c r="M151" s="103">
        <f ca="1">IF(AND(Energy!$F$11=$A$3,Main!$B$43=A151),'Aerodynamics-Cruise'!BJ28,M151)</f>
        <v>2.3166746842976127</v>
      </c>
      <c r="N151" s="103">
        <f ca="1">IF(AND(Energy!$F$11=$A$3,Main!$B$43=A151),'Aerodynamics-Cruise'!BK28,N151)</f>
        <v>19.681581503074781</v>
      </c>
      <c r="O151" s="103">
        <f t="shared" ca="1" si="9"/>
        <v>132.89924568060624</v>
      </c>
      <c r="P151" s="103">
        <f ca="1">IF(AND(Energy!$F$11=$A$3,Main!$B$43=A151),'Aerodynamics-Cruise'!H28,P151)</f>
        <v>7.1544843458864245</v>
      </c>
      <c r="Q151" s="103">
        <f ca="1">IF(AND(Energy!$F$11=$A$3,Main!$B$43=A151),'Aerodynamics-Cruise'!I28,Q151)</f>
        <v>5.9621801609722205</v>
      </c>
      <c r="R151" s="103">
        <f ca="1">IF(AND(Energy!$F$11=$A$3,Main!$B$43=$A151),Summary!R28,R151)</f>
        <v>22.015123452136027</v>
      </c>
      <c r="S151" s="103">
        <f ca="1">IF(AND(Energy!$F$11=$A$3,Main!$B$43=A151),'Aerodynamics-Cruise'!W28,S151)</f>
        <v>1</v>
      </c>
      <c r="T151" s="103">
        <f ca="1">IF(AND(Energy!$F$11=$A$3,Main!$B$43=A151),'Aerodynamics-Cruise'!BL28,T151)</f>
        <v>16.574612763318644</v>
      </c>
      <c r="U151" s="103">
        <f ca="1">IF(AND(Energy!$F$11=$A$3,Main!$B$43=A151),'Propulsion-Cruise'!M28,U151)</f>
        <v>38.75441705316323</v>
      </c>
      <c r="V151" s="103">
        <f ca="1">IF(AND(Energy!$F$11=$A$3,Main!$B$43=A151),Endurance!AP28,V151)</f>
        <v>376.93660727765223</v>
      </c>
      <c r="W151" s="103">
        <f ca="1">IF(AND(Energy!$F$11=$A$3,Main!$B$43=$A151),Summary!W28,W151)</f>
        <v>50.609146624254187</v>
      </c>
      <c r="X151" s="13">
        <f ca="1">IF(AND(Energy!$F$11=$A$3,Main!$B$43=A151),Energy!D28,X151)</f>
        <v>975.077628678476</v>
      </c>
      <c r="Y151" s="102">
        <f ca="1">IF(AND(Energy!$F$11=$A$3,Main!$B$43=A151),'Aerodynamics-Cruise'!V28,Y151)</f>
        <v>161335.92522667238</v>
      </c>
      <c r="Z151" s="102">
        <f ca="1">IF(AND(Energy!$F$11=$A$3,Main!$B$43=$A151),Summary!Z28,Z151)</f>
        <v>117983.84882933342</v>
      </c>
      <c r="AA151" s="102">
        <f ca="1">IF(AND(Energy!$F$11=$A$3,Main!$B$43=$A151),Summary!AA28,AA151)</f>
        <v>496448.12112447445</v>
      </c>
      <c r="AB151" s="103">
        <f ca="1">IF(AND(Energy!$F$11=$A$3,Main!$B$43=$A151),Summary!AB28,AB151)</f>
        <v>2.1784707297633701</v>
      </c>
      <c r="AC151" s="103">
        <f ca="1">IF(AND(Energy!$F$11=$A$3,Main!$B$43=$A151),Summary!AC28,AC151)</f>
        <v>2.718836659673622</v>
      </c>
      <c r="AD151" s="103">
        <f ca="1">IF(AND(Energy!$F$11=$A$3,Main!$B$43=$A151),Summary!AD28,AD151)</f>
        <v>0.37593921382116668</v>
      </c>
      <c r="AE151" s="103">
        <f ca="1">IF(AND(Energy!$F$11=$A$3,Main!$B$43=$A151),Summary!AE28,AE151)</f>
        <v>1.637426900584795</v>
      </c>
      <c r="AF151" s="103">
        <f ca="1">IF(AND(Energy!$F$11=$A$3,Main!$B$43=$A151),Summary!AF28,AF151)</f>
        <v>12.952302631578952</v>
      </c>
      <c r="AG151" s="103">
        <f ca="1">IF(AND(Energy!$F$11=$A$3,Main!$B$43=$A151),Summary!AG28,AG151)</f>
        <v>9.2942802920266949</v>
      </c>
      <c r="AH151" s="103">
        <f ca="1">IF(AND(Energy!$F$11=$A$3,Main!$B$43=$A151),Summary!AH28,AH151)</f>
        <v>47</v>
      </c>
      <c r="AI151" s="103">
        <f ca="1">IF(AND(Energy!$F$11=$A$3,Main!$B$43=$A151),Summary!AI28,AI151)</f>
        <v>2.8222959705179247</v>
      </c>
      <c r="AJ151" s="103">
        <f ca="1">IF(AND(Energy!$F$11=$A$3,Main!$B$43=$A151),Summary!AJ28,AJ151)</f>
        <v>0.30829536823261927</v>
      </c>
      <c r="AK151" s="103">
        <f ca="1">IF(AND(Energy!$F$11=$A$3,Main!$B$43=$A151),Summary!AK28,AK151)</f>
        <v>0.01</v>
      </c>
      <c r="AL151" s="103">
        <f ca="1">IF(AND(Energy!$F$11=$A$3,Main!$B$43=$A151),Summary!AL28,AL151)</f>
        <v>-0.34063075760993955</v>
      </c>
      <c r="AM151" s="103">
        <f ca="1">IF(AND(Energy!$F$11=$A$3,Main!$B$43=$A151),Summary!AM28,AM151)</f>
        <v>0.6875</v>
      </c>
    </row>
    <row r="152" spans="1:39">
      <c r="A152">
        <f t="shared" si="10"/>
        <v>8</v>
      </c>
      <c r="D152" s="1">
        <f ca="1">IF(AND(Energy!$F$11=$A$3,Main!$B$43=A152),Main!C29,D152)</f>
        <v>4.7631578947368425</v>
      </c>
      <c r="E152" s="103">
        <f ca="1">IF(AND(Energy!$F$11=$A$3,Main!$B$43=A152),Main!B29,E152)</f>
        <v>0.35555555555555546</v>
      </c>
      <c r="F152" s="103">
        <f ca="1">IF(Main!$D$6=1,U152,IF(Main!$D$6=2,N152,IF(Main!$D$6=3,K152,IF(Main!$D$6=4,V152,J152))))</f>
        <v>377.88948301204499</v>
      </c>
      <c r="G152" s="103">
        <f ca="1">IF(AND(Energy!$F$11=$A$3,Main!$B$43=A152),Weight!H29,G152)</f>
        <v>10</v>
      </c>
      <c r="H152" s="103">
        <f ca="1">IF(AND(Energy!$F$11=$A$3,Main!$B$43=A152),Weight!U29,H152)</f>
        <v>16.461100110101182</v>
      </c>
      <c r="I152" s="103">
        <f ca="1">IF(AND(Energy!$F$11=$A$3,Main!$B$43=A152),Weight!V29,I152)</f>
        <v>36.280788703187199</v>
      </c>
      <c r="J152" s="103">
        <f ca="1">IF(AND(Energy!$F$11=$A$3,Main!$B$43=A152),Weight!I29,J152)</f>
        <v>9.7593303180860183</v>
      </c>
      <c r="K152" s="103">
        <f ca="1">IF(AND(Energy!$F$11=$A$3,Main!$B$43=A152),Weight!W29,K152)</f>
        <v>46.280788704053251</v>
      </c>
      <c r="L152" s="103">
        <f ca="1">IF(AND(Energy!$F$11=$A$3,Main!$B$43=A152),'Aerodynamics-Cruise'!BI29,L152)</f>
        <v>46.280788676045134</v>
      </c>
      <c r="M152" s="103">
        <f ca="1">IF(AND(Energy!$F$11=$A$3,Main!$B$43=A152),'Aerodynamics-Cruise'!BJ29,M152)</f>
        <v>2.3281724010002653</v>
      </c>
      <c r="N152" s="103">
        <f ca="1">IF(AND(Energy!$F$11=$A$3,Main!$B$43=A152),'Aerodynamics-Cruise'!BK29,N152)</f>
        <v>19.878591746969111</v>
      </c>
      <c r="O152" s="103">
        <f t="shared" ca="1" si="9"/>
        <v>135.23402996099233</v>
      </c>
      <c r="P152" s="103">
        <f ca="1">IF(AND(Energy!$F$11=$A$3,Main!$B$43=A152),'Aerodynamics-Cruise'!H29,P152)</f>
        <v>7.087497122219129</v>
      </c>
      <c r="Q152" s="103">
        <f ca="1">IF(AND(Energy!$F$11=$A$3,Main!$B$43=A152),'Aerodynamics-Cruise'!I29,Q152)</f>
        <v>5.9067838837107569</v>
      </c>
      <c r="R152" s="103">
        <f ca="1">IF(AND(Energy!$F$11=$A$3,Main!$B$43=$A152),Summary!R29,R152)</f>
        <v>21.795130824896383</v>
      </c>
      <c r="S152" s="103">
        <f ca="1">IF(AND(Energy!$F$11=$A$3,Main!$B$43=A152),'Aerodynamics-Cruise'!W29,S152)</f>
        <v>1</v>
      </c>
      <c r="T152" s="103">
        <f ca="1">IF(AND(Energy!$F$11=$A$3,Main!$B$43=A152),'Aerodynamics-Cruise'!BL29,T152)</f>
        <v>16.500915192119379</v>
      </c>
      <c r="U152" s="103">
        <f ca="1">IF(AND(Energy!$F$11=$A$3,Main!$B$43=A152),'Propulsion-Cruise'!M29,U152)</f>
        <v>38.714134627709065</v>
      </c>
      <c r="V152" s="103">
        <f ca="1">IF(AND(Energy!$F$11=$A$3,Main!$B$43=A152),Endurance!AP29,V152)</f>
        <v>377.88948301204499</v>
      </c>
      <c r="W152" s="103">
        <f ca="1">IF(AND(Energy!$F$11=$A$3,Main!$B$43=$A152),Summary!W29,W152)</f>
        <v>51.906393078579228</v>
      </c>
      <c r="X152" s="13">
        <f ca="1">IF(AND(Energy!$F$11=$A$3,Main!$B$43=A152),Energy!D29,X152)</f>
        <v>977.419879006374</v>
      </c>
      <c r="Y152" s="102">
        <f ca="1">IF(AND(Energy!$F$11=$A$3,Main!$B$43=A152),'Aerodynamics-Cruise'!V29,Y152)</f>
        <v>159825.34176792976</v>
      </c>
      <c r="Z152" s="102">
        <f ca="1">IF(AND(Energy!$F$11=$A$3,Main!$B$43=$A152),Summary!Z29,Z152)</f>
        <v>116887.5696249684</v>
      </c>
      <c r="AA152" s="102">
        <f ca="1">IF(AND(Energy!$F$11=$A$3,Main!$B$43=$A152),Summary!AA29,AA152)</f>
        <v>491487.21655849239</v>
      </c>
      <c r="AB152" s="103">
        <f ca="1">IF(AND(Energy!$F$11=$A$3,Main!$B$43=$A152),Summary!AB29,AB152)</f>
        <v>2.1693083942884885</v>
      </c>
      <c r="AC152" s="103">
        <f ca="1">IF(AND(Energy!$F$11=$A$3,Main!$B$43=$A152),Summary!AC29,AC152)</f>
        <v>2.6564123367054799</v>
      </c>
      <c r="AD152" s="103">
        <f ca="1">IF(AND(Energy!$F$11=$A$3,Main!$B$43=$A152),Summary!AD29,AD152)</f>
        <v>0.37535750622163405</v>
      </c>
      <c r="AE152" s="103">
        <f ca="1">IF(AND(Energy!$F$11=$A$3,Main!$B$43=$A152),Summary!AE29,AE152)</f>
        <v>1.6935672514619879</v>
      </c>
      <c r="AF152" s="103">
        <f ca="1">IF(AND(Energy!$F$11=$A$3,Main!$B$43=$A152),Summary!AF29,AF152)</f>
        <v>13.396381578947373</v>
      </c>
      <c r="AG152" s="103">
        <f ca="1">IF(AND(Energy!$F$11=$A$3,Main!$B$43=$A152),Summary!AG29,AG152)</f>
        <v>9.297532498247703</v>
      </c>
      <c r="AH152" s="103">
        <f ca="1">IF(AND(Energy!$F$11=$A$3,Main!$B$43=$A152),Summary!AH29,AH152)</f>
        <v>47</v>
      </c>
      <c r="AI152" s="103">
        <f ca="1">IF(AND(Energy!$F$11=$A$3,Main!$B$43=$A152),Summary!AI29,AI152)</f>
        <v>2.8218875168760094</v>
      </c>
      <c r="AJ152" s="103">
        <f ca="1">IF(AND(Energy!$F$11=$A$3,Main!$B$43=$A152),Summary!AJ29,AJ152)</f>
        <v>0.30912028612738141</v>
      </c>
      <c r="AK152" s="103">
        <f ca="1">IF(AND(Energy!$F$11=$A$3,Main!$B$43=$A152),Summary!AK29,AK152)</f>
        <v>0.01</v>
      </c>
      <c r="AL152" s="103">
        <f ca="1">IF(AND(Energy!$F$11=$A$3,Main!$B$43=$A152),Summary!AL29,AL152)</f>
        <v>-0.33971950845830706</v>
      </c>
      <c r="AM152" s="103">
        <f ca="1">IF(AND(Energy!$F$11=$A$3,Main!$B$43=$A152),Summary!AM29,AM152)</f>
        <v>0.6875</v>
      </c>
    </row>
    <row r="153" spans="1:39">
      <c r="A153">
        <f t="shared" si="10"/>
        <v>8</v>
      </c>
      <c r="D153" s="1">
        <f ca="1">IF(AND(Energy!$F$11=$A$3,Main!$B$43=A153),Main!C30,D153)</f>
        <v>4.9210526315789478</v>
      </c>
      <c r="E153" s="103">
        <f ca="1">IF(AND(Energy!$F$11=$A$3,Main!$B$43=A153),Main!B30,E153)</f>
        <v>0.35555555555555546</v>
      </c>
      <c r="F153" s="103">
        <f ca="1">IF(Main!$D$6=1,U153,IF(Main!$D$6=2,N153,IF(Main!$D$6=3,K153,IF(Main!$D$6=4,V153,J153))))</f>
        <v>379.2580757741548</v>
      </c>
      <c r="G153" s="103">
        <f ca="1">IF(AND(Energy!$F$11=$A$3,Main!$B$43=A153),Weight!H30,G153)</f>
        <v>10</v>
      </c>
      <c r="H153" s="103">
        <f ca="1">IF(AND(Energy!$F$11=$A$3,Main!$B$43=A153),Weight!U30,H153)</f>
        <v>17.092275471629598</v>
      </c>
      <c r="I153" s="103">
        <f ca="1">IF(AND(Energy!$F$11=$A$3,Main!$B$43=A153),Weight!V30,I153)</f>
        <v>36.982693720912351</v>
      </c>
      <c r="J153" s="103">
        <f ca="1">IF(AND(Energy!$F$11=$A$3,Main!$B$43=A153),Weight!I30,J153)</f>
        <v>9.8300599742827526</v>
      </c>
      <c r="K153" s="103">
        <f ca="1">IF(AND(Energy!$F$11=$A$3,Main!$B$43=A153),Weight!W30,K153)</f>
        <v>46.982693739975772</v>
      </c>
      <c r="L153" s="103">
        <f ca="1">IF(AND(Energy!$F$11=$A$3,Main!$B$43=A153),'Aerodynamics-Cruise'!BI30,L153)</f>
        <v>46.982693673344798</v>
      </c>
      <c r="M153" s="103">
        <f ca="1">IF(AND(Energy!$F$11=$A$3,Main!$B$43=A153),'Aerodynamics-Cruise'!BJ30,M153)</f>
        <v>2.3414804584489781</v>
      </c>
      <c r="N153" s="103">
        <f ca="1">IF(AND(Energy!$F$11=$A$3,Main!$B$43=A153),'Aerodynamics-Cruise'!BK30,N153)</f>
        <v>20.06537936450114</v>
      </c>
      <c r="O153" s="103">
        <f t="shared" ca="1" si="9"/>
        <v>137.53598162386641</v>
      </c>
      <c r="P153" s="103">
        <f ca="1">IF(AND(Energy!$F$11=$A$3,Main!$B$43=A153),'Aerodynamics-Cruise'!H30,P153)</f>
        <v>7.0254993877140297</v>
      </c>
      <c r="Q153" s="103">
        <f ca="1">IF(AND(Energy!$F$11=$A$3,Main!$B$43=A153),'Aerodynamics-Cruise'!I30,Q153)</f>
        <v>5.8555092025689355</v>
      </c>
      <c r="R153" s="103">
        <f ca="1">IF(AND(Energy!$F$11=$A$3,Main!$B$43=$A153),Summary!R30,R153)</f>
        <v>21.582677496630705</v>
      </c>
      <c r="S153" s="103">
        <f ca="1">IF(AND(Energy!$F$11=$A$3,Main!$B$43=A153),'Aerodynamics-Cruise'!W30,S153)</f>
        <v>1</v>
      </c>
      <c r="T153" s="103">
        <f ca="1">IF(AND(Energy!$F$11=$A$3,Main!$B$43=A153),'Aerodynamics-Cruise'!BL30,T153)</f>
        <v>16.450069527177661</v>
      </c>
      <c r="U153" s="103">
        <f ca="1">IF(AND(Energy!$F$11=$A$3,Main!$B$43=A153),'Propulsion-Cruise'!M30,U153)</f>
        <v>38.719030504011023</v>
      </c>
      <c r="V153" s="103">
        <f ca="1">IF(AND(Energy!$F$11=$A$3,Main!$B$43=A153),Endurance!AP30,V153)</f>
        <v>379.2580757741548</v>
      </c>
      <c r="W153" s="103">
        <f ca="1">IF(AND(Energy!$F$11=$A$3,Main!$B$43=$A153),Summary!W30,W153)</f>
        <v>53.234272836388008</v>
      </c>
      <c r="X153" s="13">
        <f ca="1">IF(AND(Energy!$F$11=$A$3,Main!$B$43=A153),Energy!D30,X153)</f>
        <v>979.81743942796834</v>
      </c>
      <c r="Y153" s="102">
        <f ca="1">IF(AND(Energy!$F$11=$A$3,Main!$B$43=A153),'Aerodynamics-Cruise'!V30,Y153)</f>
        <v>158427.27289604957</v>
      </c>
      <c r="Z153" s="102">
        <f ca="1">IF(AND(Energy!$F$11=$A$3,Main!$B$43=$A153),Summary!Z30,Z153)</f>
        <v>115872.85645415107</v>
      </c>
      <c r="AA153" s="102">
        <f ca="1">IF(AND(Energy!$F$11=$A$3,Main!$B$43=$A153),Summary!AA30,AA153)</f>
        <v>486696.32561148284</v>
      </c>
      <c r="AB153" s="103">
        <f ca="1">IF(AND(Energy!$F$11=$A$3,Main!$B$43=$A153),Summary!AB30,AB153)</f>
        <v>2.1632734018846951</v>
      </c>
      <c r="AC153" s="103">
        <f ca="1">IF(AND(Energy!$F$11=$A$3,Main!$B$43=$A153),Summary!AC30,AC153)</f>
        <v>2.5960644561590129</v>
      </c>
      <c r="AD153" s="103">
        <f ca="1">IF(AND(Energy!$F$11=$A$3,Main!$B$43=$A153),Summary!AD30,AD153)</f>
        <v>0.37497558777321355</v>
      </c>
      <c r="AE153" s="103">
        <f ca="1">IF(AND(Energy!$F$11=$A$3,Main!$B$43=$A153),Summary!AE30,AE153)</f>
        <v>1.7497076023391809</v>
      </c>
      <c r="AF153" s="103">
        <f ca="1">IF(AND(Energy!$F$11=$A$3,Main!$B$43=$A153),Summary!AF30,AF153)</f>
        <v>13.840460526315795</v>
      </c>
      <c r="AG153" s="103">
        <f ca="1">IF(AND(Energy!$F$11=$A$3,Main!$B$43=$A153),Summary!AG30,AG153)</f>
        <v>9.306831784480158</v>
      </c>
      <c r="AH153" s="103">
        <f ca="1">IF(AND(Energy!$F$11=$A$3,Main!$B$43=$A153),Summary!AH30,AH153)</f>
        <v>47</v>
      </c>
      <c r="AI153" s="103">
        <f ca="1">IF(AND(Energy!$F$11=$A$3,Main!$B$43=$A153),Summary!AI30,AI153)</f>
        <v>2.8215070125209927</v>
      </c>
      <c r="AJ153" s="103">
        <f ca="1">IF(AND(Energy!$F$11=$A$3,Main!$B$43=$A153),Summary!AJ30,AJ153)</f>
        <v>0.30987621358012801</v>
      </c>
      <c r="AK153" s="103">
        <f ca="1">IF(AND(Energy!$F$11=$A$3,Main!$B$43=$A153),Summary!AK30,AK153)</f>
        <v>0.01</v>
      </c>
      <c r="AL153" s="103">
        <f ca="1">IF(AND(Energy!$F$11=$A$3,Main!$B$43=$A153),Summary!AL30,AL153)</f>
        <v>-0.3388887415588176</v>
      </c>
      <c r="AM153" s="103">
        <f ca="1">IF(AND(Energy!$F$11=$A$3,Main!$B$43=$A153),Summary!AM30,AM153)</f>
        <v>0.6875</v>
      </c>
    </row>
    <row r="154" spans="1:39">
      <c r="A154">
        <f t="shared" si="10"/>
        <v>8</v>
      </c>
      <c r="D154" s="1">
        <f ca="1">IF(AND(Energy!$F$11=$A$3,Main!$B$43=A154),Main!C31,D154)</f>
        <v>5.0789473684210531</v>
      </c>
      <c r="E154" s="103">
        <f ca="1">IF(AND(Energy!$F$11=$A$3,Main!$B$43=A154),Main!B31,E154)</f>
        <v>0.35555555555555546</v>
      </c>
      <c r="F154" s="103">
        <f ca="1">IF(Main!$D$6=1,U154,IF(Main!$D$6=2,N154,IF(Main!$D$6=3,K154,IF(Main!$D$6=4,V154,J154))))</f>
        <v>381.01586221464805</v>
      </c>
      <c r="G154" s="103">
        <f ca="1">IF(AND(Energy!$F$11=$A$3,Main!$B$43=A154),Weight!H31,G154)</f>
        <v>10</v>
      </c>
      <c r="H154" s="103">
        <f ca="1">IF(AND(Energy!$F$11=$A$3,Main!$B$43=A154),Weight!U31,H154)</f>
        <v>17.738942485606223</v>
      </c>
      <c r="I154" s="103">
        <f ca="1">IF(AND(Energy!$F$11=$A$3,Main!$B$43=A154),Weight!V31,I154)</f>
        <v>37.701740318007531</v>
      </c>
      <c r="J154" s="103">
        <f ca="1">IF(AND(Energy!$F$11=$A$3,Main!$B$43=A154),Weight!I31,J154)</f>
        <v>9.9024395574013067</v>
      </c>
      <c r="K154" s="103">
        <f ca="1">IF(AND(Energy!$F$11=$A$3,Main!$B$43=A154),Weight!W31,K154)</f>
        <v>47.701740356715028</v>
      </c>
      <c r="L154" s="103">
        <f ca="1">IF(AND(Energy!$F$11=$A$3,Main!$B$43=A154),'Aerodynamics-Cruise'!BI31,L154)</f>
        <v>47.701740248593488</v>
      </c>
      <c r="M154" s="103">
        <f ca="1">IF(AND(Energy!$F$11=$A$3,Main!$B$43=A154),'Aerodynamics-Cruise'!BJ31,M154)</f>
        <v>2.3564928823392806</v>
      </c>
      <c r="N154" s="103">
        <f ca="1">IF(AND(Energy!$F$11=$A$3,Main!$B$43=A154),'Aerodynamics-Cruise'!BK31,N154)</f>
        <v>20.242683780669928</v>
      </c>
      <c r="O154" s="103">
        <f t="shared" ca="1" si="9"/>
        <v>139.80902352875015</v>
      </c>
      <c r="P154" s="103">
        <f ca="1">IF(AND(Energy!$F$11=$A$3,Main!$B$43=A154),'Aerodynamics-Cruise'!H31,P154)</f>
        <v>6.9681097822456435</v>
      </c>
      <c r="Q154" s="103">
        <f ca="1">IF(AND(Energy!$F$11=$A$3,Main!$B$43=A154),'Aerodynamics-Cruise'!I31,Q154)</f>
        <v>5.8080417787467393</v>
      </c>
      <c r="R154" s="103">
        <f ca="1">IF(AND(Energy!$F$11=$A$3,Main!$B$43=$A154),Summary!R31,R154)</f>
        <v>21.334654710229049</v>
      </c>
      <c r="S154" s="103">
        <f ca="1">IF(AND(Energy!$F$11=$A$3,Main!$B$43=A154),'Aerodynamics-Cruise'!W31,S154)</f>
        <v>1</v>
      </c>
      <c r="T154" s="103">
        <f ca="1">IF(AND(Energy!$F$11=$A$3,Main!$B$43=A154),'Aerodynamics-Cruise'!BL31,T154)</f>
        <v>16.420301105220574</v>
      </c>
      <c r="U154" s="103">
        <f ca="1">IF(AND(Energy!$F$11=$A$3,Main!$B$43=A154),'Propulsion-Cruise'!M31,U154)</f>
        <v>38.76595551752731</v>
      </c>
      <c r="V154" s="103">
        <f ca="1">IF(AND(Energy!$F$11=$A$3,Main!$B$43=A154),Endurance!AP31,V154)</f>
        <v>381.01586221464805</v>
      </c>
      <c r="W154" s="103">
        <f ca="1">IF(AND(Energy!$F$11=$A$3,Main!$B$43=$A154),Summary!W31,W154)</f>
        <v>54.593128381607002</v>
      </c>
      <c r="X154" s="13">
        <f ca="1">IF(AND(Energy!$F$11=$A$3,Main!$B$43=A154),Energy!D31,X154)</f>
        <v>982.27092831954371</v>
      </c>
      <c r="Y154" s="102">
        <f ca="1">IF(AND(Energy!$F$11=$A$3,Main!$B$43=A154),'Aerodynamics-Cruise'!V31,Y154)</f>
        <v>157133.11881743182</v>
      </c>
      <c r="Z154" s="102">
        <f ca="1">IF(AND(Energy!$F$11=$A$3,Main!$B$43=$A154),Summary!Z31,Z154)</f>
        <v>114933.48848502758</v>
      </c>
      <c r="AA154" s="102">
        <f ca="1">IF(AND(Energy!$F$11=$A$3,Main!$B$43=$A154),Summary!AA31,AA154)</f>
        <v>481103.33193271194</v>
      </c>
      <c r="AB154" s="103">
        <f ca="1">IF(AND(Energy!$F$11=$A$3,Main!$B$43=$A154),Summary!AB31,AB154)</f>
        <v>2.1601596288122606</v>
      </c>
      <c r="AC154" s="103">
        <f ca="1">IF(AND(Energy!$F$11=$A$3,Main!$B$43=$A154),Summary!AC31,AC154)</f>
        <v>2.5376751464236018</v>
      </c>
      <c r="AD154" s="103">
        <f ca="1">IF(AND(Energy!$F$11=$A$3,Main!$B$43=$A154),Summary!AD31,AD154)</f>
        <v>0.37477928941592797</v>
      </c>
      <c r="AE154" s="103">
        <f ca="1">IF(AND(Energy!$F$11=$A$3,Main!$B$43=$A154),Summary!AE31,AE154)</f>
        <v>1.805847953216374</v>
      </c>
      <c r="AF154" s="103">
        <f ca="1">IF(AND(Energy!$F$11=$A$3,Main!$B$43=$A154),Summary!AF31,AF154)</f>
        <v>14.284539473684216</v>
      </c>
      <c r="AG154" s="103">
        <f ca="1">IF(AND(Energy!$F$11=$A$3,Main!$B$43=$A154),Summary!AG31,AG154)</f>
        <v>9.3217677018090956</v>
      </c>
      <c r="AH154" s="103">
        <f ca="1">IF(AND(Energy!$F$11=$A$3,Main!$B$43=$A154),Summary!AH31,AH154)</f>
        <v>47</v>
      </c>
      <c r="AI154" s="103">
        <f ca="1">IF(AND(Energy!$F$11=$A$3,Main!$B$43=$A154),Summary!AI31,AI154)</f>
        <v>2.8211525705380534</v>
      </c>
      <c r="AJ154" s="103">
        <f ca="1">IF(AND(Energy!$F$11=$A$3,Main!$B$43=$A154),Summary!AJ31,AJ154)</f>
        <v>0.31056782030098312</v>
      </c>
      <c r="AK154" s="103">
        <f ca="1">IF(AND(Energy!$F$11=$A$3,Main!$B$43=$A154),Summary!AK31,AK154)</f>
        <v>0.01</v>
      </c>
      <c r="AL154" s="103">
        <f ca="1">IF(AND(Energy!$F$11=$A$3,Main!$B$43=$A154),Summary!AL31,AL154)</f>
        <v>-0.33813220853915626</v>
      </c>
      <c r="AM154" s="103">
        <f ca="1">IF(AND(Energy!$F$11=$A$3,Main!$B$43=$A154),Summary!AM31,AM154)</f>
        <v>0.6875</v>
      </c>
    </row>
    <row r="155" spans="1:39">
      <c r="A155">
        <f t="shared" si="10"/>
        <v>8</v>
      </c>
      <c r="D155" s="1">
        <f ca="1">IF(AND(Energy!$F$11=$A$3,Main!$B$43=A155),Main!C32,D155)</f>
        <v>5.2368421052631584</v>
      </c>
      <c r="E155" s="103">
        <f ca="1">IF(AND(Energy!$F$11=$A$3,Main!$B$43=A155),Main!B32,E155)</f>
        <v>0.35555555555555546</v>
      </c>
      <c r="F155" s="103">
        <f ca="1">IF(Main!$D$6=1,U155,IF(Main!$D$6=2,N155,IF(Main!$D$6=3,K155,IF(Main!$D$6=4,V155,J155))))</f>
        <v>383.14034282473625</v>
      </c>
      <c r="G155" s="103">
        <f ca="1">IF(AND(Energy!$F$11=$A$3,Main!$B$43=A155),Weight!H32,G155)</f>
        <v>10</v>
      </c>
      <c r="H155" s="103">
        <f ca="1">IF(AND(Energy!$F$11=$A$3,Main!$B$43=A155),Weight!U32,H155)</f>
        <v>18.401295460419725</v>
      </c>
      <c r="I155" s="103">
        <f ca="1">IF(AND(Energy!$F$11=$A$3,Main!$B$43=A155),Weight!V32,I155)</f>
        <v>38.438154362471899</v>
      </c>
      <c r="J155" s="103">
        <f ca="1">IF(AND(Energy!$F$11=$A$3,Main!$B$43=A155),Weight!I32,J155)</f>
        <v>9.976500627052177</v>
      </c>
      <c r="K155" s="103">
        <f ca="1">IF(AND(Energy!$F$11=$A$3,Main!$B$43=A155),Weight!W32,K155)</f>
        <v>48.438154422155037</v>
      </c>
      <c r="L155" s="103">
        <f ca="1">IF(AND(Energy!$F$11=$A$3,Main!$B$43=A155),'Aerodynamics-Cruise'!BI32,L155)</f>
        <v>48.438154269915842</v>
      </c>
      <c r="M155" s="103">
        <f ca="1">IF(AND(Energy!$F$11=$A$3,Main!$B$43=A155),'Aerodynamics-Cruise'!BJ32,M155)</f>
        <v>2.3731188081675216</v>
      </c>
      <c r="N155" s="103">
        <f ca="1">IF(AND(Energy!$F$11=$A$3,Main!$B$43=A155),'Aerodynamics-Cruise'!BK32,N155)</f>
        <v>20.411179627082763</v>
      </c>
      <c r="O155" s="103">
        <f t="shared" ca="1" si="9"/>
        <v>142.05675757041297</v>
      </c>
      <c r="P155" s="103">
        <f ca="1">IF(AND(Energy!$F$11=$A$3,Main!$B$43=A155),'Aerodynamics-Cruise'!H32,P155)</f>
        <v>6.9149887132488574</v>
      </c>
      <c r="Q155" s="103">
        <f ca="1">IF(AND(Energy!$F$11=$A$3,Main!$B$43=A155),'Aerodynamics-Cruise'!I32,Q155)</f>
        <v>5.7641016375978005</v>
      </c>
      <c r="R155" s="103">
        <f ca="1">IF(AND(Energy!$F$11=$A$3,Main!$B$43=$A155),Summary!R32,R155)</f>
        <v>21.092781447112301</v>
      </c>
      <c r="S155" s="103">
        <f ca="1">IF(AND(Energy!$F$11=$A$3,Main!$B$43=A155),'Aerodynamics-Cruise'!W32,S155)</f>
        <v>1</v>
      </c>
      <c r="T155" s="103">
        <f ca="1">IF(AND(Energy!$F$11=$A$3,Main!$B$43=A155),'Aerodynamics-Cruise'!BL32,T155)</f>
        <v>16.410089773676994</v>
      </c>
      <c r="U155" s="103">
        <f ca="1">IF(AND(Energy!$F$11=$A$3,Main!$B$43=A155),'Propulsion-Cruise'!M32,U155)</f>
        <v>38.852224057468597</v>
      </c>
      <c r="V155" s="103">
        <f ca="1">IF(AND(Energy!$F$11=$A$3,Main!$B$43=A155),Endurance!AP32,V155)</f>
        <v>383.14034282473625</v>
      </c>
      <c r="W155" s="103">
        <f ca="1">IF(AND(Energy!$F$11=$A$3,Main!$B$43=$A155),Summary!W32,W155)</f>
        <v>55.983552211844788</v>
      </c>
      <c r="X155" s="13">
        <f ca="1">IF(AND(Energy!$F$11=$A$3,Main!$B$43=A155),Energy!D32,X155)</f>
        <v>984.78141547095186</v>
      </c>
      <c r="Y155" s="102">
        <f ca="1">IF(AND(Energy!$F$11=$A$3,Main!$B$43=A155),'Aerodynamics-Cruise'!V32,Y155)</f>
        <v>155935.22161040892</v>
      </c>
      <c r="Z155" s="102">
        <f ca="1">IF(AND(Energy!$F$11=$A$3,Main!$B$43=$A155),Summary!Z32,Z155)</f>
        <v>114063.92496832131</v>
      </c>
      <c r="AA155" s="102">
        <f ca="1">IF(AND(Energy!$F$11=$A$3,Main!$B$43=$A155),Summary!AA32,AA155)</f>
        <v>475649.01198371779</v>
      </c>
      <c r="AB155" s="103">
        <f ca="1">IF(AND(Energy!$F$11=$A$3,Main!$B$43=$A155),Summary!AB32,AB155)</f>
        <v>2.1597910110802059</v>
      </c>
      <c r="AC155" s="103">
        <f ca="1">IF(AND(Energy!$F$11=$A$3,Main!$B$43=$A155),Summary!AC32,AC155)</f>
        <v>2.4811356242526532</v>
      </c>
      <c r="AD155" s="103">
        <f ca="1">IF(AND(Energy!$F$11=$A$3,Main!$B$43=$A155),Summary!AD32,AD155)</f>
        <v>0.37475610464189457</v>
      </c>
      <c r="AE155" s="103">
        <f ca="1">IF(AND(Energy!$F$11=$A$3,Main!$B$43=$A155),Summary!AE32,AE155)</f>
        <v>1.861988304093567</v>
      </c>
      <c r="AF155" s="103">
        <f ca="1">IF(AND(Energy!$F$11=$A$3,Main!$B$43=$A155),Summary!AF32,AF155)</f>
        <v>14.728618421052637</v>
      </c>
      <c r="AG155" s="103">
        <f ca="1">IF(AND(Energy!$F$11=$A$3,Main!$B$43=$A155),Summary!AG32,AG155)</f>
        <v>9.3419851110133827</v>
      </c>
      <c r="AH155" s="103">
        <f ca="1">IF(AND(Energy!$F$11=$A$3,Main!$B$43=$A155),Summary!AH32,AH155)</f>
        <v>47</v>
      </c>
      <c r="AI155" s="103">
        <f ca="1">IF(AND(Energy!$F$11=$A$3,Main!$B$43=$A155),Summary!AI32,AI155)</f>
        <v>2.8208224991549118</v>
      </c>
      <c r="AJ155" s="103">
        <f ca="1">IF(AND(Energy!$F$11=$A$3,Main!$B$43=$A155),Summary!AJ32,AJ155)</f>
        <v>0.31119926853346186</v>
      </c>
      <c r="AK155" s="103">
        <f ca="1">IF(AND(Energy!$F$11=$A$3,Main!$B$43=$A155),Summary!AK32,AK155)</f>
        <v>0.01</v>
      </c>
      <c r="AL155" s="103">
        <f ca="1">IF(AND(Energy!$F$11=$A$3,Main!$B$43=$A155),Summary!AL32,AL155)</f>
        <v>-0.33744441257087715</v>
      </c>
      <c r="AM155" s="103">
        <f ca="1">IF(AND(Energy!$F$11=$A$3,Main!$B$43=$A155),Summary!AM32,AM155)</f>
        <v>0.6875</v>
      </c>
    </row>
    <row r="156" spans="1:39">
      <c r="A156">
        <f t="shared" si="10"/>
        <v>8</v>
      </c>
      <c r="D156" s="1">
        <f ca="1">IF(AND(Energy!$F$11=$A$3,Main!$B$43=A156),Main!C33,D156)</f>
        <v>5.3947368421052637</v>
      </c>
      <c r="E156" s="103">
        <f ca="1">IF(AND(Energy!$F$11=$A$3,Main!$B$43=A156),Main!B33,E156)</f>
        <v>0.35555555555555546</v>
      </c>
      <c r="F156" s="103">
        <f ca="1">IF(Main!$D$6=1,U156,IF(Main!$D$6=2,N156,IF(Main!$D$6=3,K156,IF(Main!$D$6=4,V156,J156))))</f>
        <v>385.61242400276467</v>
      </c>
      <c r="G156" s="103">
        <f ca="1">IF(AND(Energy!$F$11=$A$3,Main!$B$43=A156),Weight!H33,G156)</f>
        <v>10</v>
      </c>
      <c r="H156" s="103">
        <f ca="1">IF(AND(Energy!$F$11=$A$3,Main!$B$43=A156),Weight!U33,H156)</f>
        <v>19.079537009567595</v>
      </c>
      <c r="I156" s="103">
        <f ca="1">IF(AND(Energy!$F$11=$A$3,Main!$B$43=A156),Weight!V33,I156)</f>
        <v>39.192180983644114</v>
      </c>
      <c r="J156" s="103">
        <f ca="1">IF(AND(Energy!$F$11=$A$3,Main!$B$43=A156),Weight!I33,J156)</f>
        <v>10.052285699076519</v>
      </c>
      <c r="K156" s="103">
        <f ca="1">IF(AND(Energy!$F$11=$A$3,Main!$B$43=A156),Weight!W33,K156)</f>
        <v>49.192181065520607</v>
      </c>
      <c r="L156" s="103">
        <f ca="1">IF(AND(Energy!$F$11=$A$3,Main!$B$43=A156),'Aerodynamics-Cruise'!BI33,L156)</f>
        <v>49.192180866773867</v>
      </c>
      <c r="M156" s="103">
        <f ca="1">IF(AND(Energy!$F$11=$A$3,Main!$B$43=A156),'Aerodynamics-Cruise'!BJ33,M156)</f>
        <v>2.3912802518444756</v>
      </c>
      <c r="N156" s="103">
        <f ca="1">IF(AND(Energy!$F$11=$A$3,Main!$B$43=A156),'Aerodynamics-Cruise'!BK33,N156)</f>
        <v>20.571482923772848</v>
      </c>
      <c r="O156" s="103">
        <f t="shared" ca="1" si="9"/>
        <v>144.28249308006906</v>
      </c>
      <c r="P156" s="103">
        <f ca="1">IF(AND(Energy!$F$11=$A$3,Main!$B$43=A156),'Aerodynamics-Cruise'!H33,P156)</f>
        <v>6.8658326339102764</v>
      </c>
      <c r="Q156" s="103">
        <f ca="1">IF(AND(Energy!$F$11=$A$3,Main!$B$43=A156),'Aerodynamics-Cruise'!I33,Q156)</f>
        <v>5.7234384684383475</v>
      </c>
      <c r="R156" s="103">
        <f ca="1">IF(AND(Energy!$F$11=$A$3,Main!$B$43=$A156),Summary!R33,R156)</f>
        <v>20.859412992258118</v>
      </c>
      <c r="S156" s="103">
        <f ca="1">IF(AND(Energy!$F$11=$A$3,Main!$B$43=A156),'Aerodynamics-Cruise'!W33,S156)</f>
        <v>1</v>
      </c>
      <c r="T156" s="103">
        <f ca="1">IF(AND(Energy!$F$11=$A$3,Main!$B$43=A156),'Aerodynamics-Cruise'!BL33,T156)</f>
        <v>16.418129989938986</v>
      </c>
      <c r="U156" s="103">
        <f ca="1">IF(AND(Energy!$F$11=$A$3,Main!$B$43=A156),'Propulsion-Cruise'!M33,U156)</f>
        <v>38.975542642988827</v>
      </c>
      <c r="V156" s="103">
        <f ca="1">IF(AND(Energy!$F$11=$A$3,Main!$B$43=A156),Endurance!AP33,V156)</f>
        <v>385.61242400276467</v>
      </c>
      <c r="W156" s="103">
        <f ca="1">IF(AND(Energy!$F$11=$A$3,Main!$B$43=$A156),Summary!W33,W156)</f>
        <v>57.406342517177286</v>
      </c>
      <c r="X156" s="13">
        <f ca="1">IF(AND(Energy!$F$11=$A$3,Main!$B$43=A156),Energy!D33,X156)</f>
        <v>987.35034206118246</v>
      </c>
      <c r="Y156" s="102">
        <f ca="1">IF(AND(Energy!$F$11=$A$3,Main!$B$43=A156),'Aerodynamics-Cruise'!V33,Y156)</f>
        <v>154826.7361966187</v>
      </c>
      <c r="Z156" s="102">
        <f ca="1">IF(AND(Energy!$F$11=$A$3,Main!$B$43=$A156),Summary!Z33,Z156)</f>
        <v>113259.2122173488</v>
      </c>
      <c r="AA156" s="102">
        <f ca="1">IF(AND(Energy!$F$11=$A$3,Main!$B$43=$A156),Summary!AA33,AA156)</f>
        <v>470386.478198978</v>
      </c>
      <c r="AB156" s="103">
        <f ca="1">IF(AND(Energy!$F$11=$A$3,Main!$B$43=$A156),Summary!AB33,AB156)</f>
        <v>2.1620170611064591</v>
      </c>
      <c r="AC156" s="103">
        <f ca="1">IF(AND(Energy!$F$11=$A$3,Main!$B$43=$A156),Summary!AC33,AC156)</f>
        <v>2.4263454335846042</v>
      </c>
      <c r="AD156" s="103">
        <f ca="1">IF(AND(Energy!$F$11=$A$3,Main!$B$43=$A156),Summary!AD33,AD156)</f>
        <v>0.37489495708638287</v>
      </c>
      <c r="AE156" s="103">
        <f ca="1">IF(AND(Energy!$F$11=$A$3,Main!$B$43=$A156),Summary!AE33,AE156)</f>
        <v>1.9181286549707599</v>
      </c>
      <c r="AF156" s="103">
        <f ca="1">IF(AND(Energy!$F$11=$A$3,Main!$B$43=$A156),Summary!AF33,AF156)</f>
        <v>15.172697368421058</v>
      </c>
      <c r="AG156" s="103">
        <f ca="1">IF(AND(Energy!$F$11=$A$3,Main!$B$43=$A156),Summary!AG33,AG156)</f>
        <v>9.3671759523090579</v>
      </c>
      <c r="AH156" s="103">
        <f ca="1">IF(AND(Energy!$F$11=$A$3,Main!$B$43=$A156),Summary!AH33,AH156)</f>
        <v>47</v>
      </c>
      <c r="AI156" s="103">
        <f ca="1">IF(AND(Energy!$F$11=$A$3,Main!$B$43=$A156),Summary!AI33,AI156)</f>
        <v>2.820515274955596</v>
      </c>
      <c r="AJ156" s="103">
        <f ca="1">IF(AND(Energy!$F$11=$A$3,Main!$B$43=$A156),Summary!AJ33,AJ156)</f>
        <v>0.31177428587830291</v>
      </c>
      <c r="AK156" s="103">
        <f ca="1">IF(AND(Energy!$F$11=$A$3,Main!$B$43=$A156),Summary!AK33,AK156)</f>
        <v>0.01</v>
      </c>
      <c r="AL156" s="103">
        <f ca="1">IF(AND(Energy!$F$11=$A$3,Main!$B$43=$A156),Summary!AL33,AL156)</f>
        <v>-0.33682049403883119</v>
      </c>
      <c r="AM156" s="103">
        <f ca="1">IF(AND(Energy!$F$11=$A$3,Main!$B$43=$A156),Summary!AM33,AM156)</f>
        <v>0.6875</v>
      </c>
    </row>
    <row r="157" spans="1:39">
      <c r="A157">
        <f t="shared" si="10"/>
        <v>8</v>
      </c>
      <c r="D157" s="1">
        <f ca="1">IF(AND(Energy!$F$11=$A$3,Main!$B$43=A157),Main!C34,D157)</f>
        <v>5.552631578947369</v>
      </c>
      <c r="E157" s="103">
        <f ca="1">IF(AND(Energy!$F$11=$A$3,Main!$B$43=A157),Main!B34,E157)</f>
        <v>0.35555555555555546</v>
      </c>
      <c r="F157" s="103">
        <f ca="1">IF(Main!$D$6=1,U157,IF(Main!$D$6=2,N157,IF(Main!$D$6=3,K157,IF(Main!$D$6=4,V157,J157))))</f>
        <v>388.41591530290538</v>
      </c>
      <c r="G157" s="103">
        <f ca="1">IF(AND(Energy!$F$11=$A$3,Main!$B$43=A157),Weight!H34,G157)</f>
        <v>10</v>
      </c>
      <c r="H157" s="103">
        <f ca="1">IF(AND(Energy!$F$11=$A$3,Main!$B$43=A157),Weight!U34,H157)</f>
        <v>19.773877555379265</v>
      </c>
      <c r="I157" s="103">
        <f ca="1">IF(AND(Energy!$F$11=$A$3,Main!$B$43=A157),Weight!V34,I157)</f>
        <v>39.964082331042995</v>
      </c>
      <c r="J157" s="103">
        <f ca="1">IF(AND(Energy!$F$11=$A$3,Main!$B$43=A157),Weight!I34,J157)</f>
        <v>10.129846500663733</v>
      </c>
      <c r="K157" s="103">
        <f ca="1">IF(AND(Energy!$F$11=$A$3,Main!$B$43=A157),Weight!W34,K157)</f>
        <v>49.964082436218121</v>
      </c>
      <c r="L157" s="103">
        <f ca="1">IF(AND(Energy!$F$11=$A$3,Main!$B$43=A157),'Aerodynamics-Cruise'!BI34,L157)</f>
        <v>49.964082188807751</v>
      </c>
      <c r="M157" s="103">
        <f ca="1">IF(AND(Energy!$F$11=$A$3,Main!$B$43=A157),'Aerodynamics-Cruise'!BJ34,M157)</f>
        <v>2.4109102794436135</v>
      </c>
      <c r="N157" s="103">
        <f ca="1">IF(AND(Energy!$F$11=$A$3,Main!$B$43=A157),'Aerodynamics-Cruise'!BK34,N157)</f>
        <v>20.724156603761461</v>
      </c>
      <c r="O157" s="103">
        <f t="shared" ca="1" si="9"/>
        <v>146.48927258395958</v>
      </c>
      <c r="P157" s="103">
        <f ca="1">IF(AND(Energy!$F$11=$A$3,Main!$B$43=A157),'Aerodynamics-Cruise'!H34,P157)</f>
        <v>6.8203692619779979</v>
      </c>
      <c r="Q157" s="103">
        <f ca="1">IF(AND(Energy!$F$11=$A$3,Main!$B$43=A157),'Aerodynamics-Cruise'!I34,Q157)</f>
        <v>5.6858276959500156</v>
      </c>
      <c r="R157" s="103">
        <f ca="1">IF(AND(Energy!$F$11=$A$3,Main!$B$43=$A157),Summary!R34,R157)</f>
        <v>20.634646099147581</v>
      </c>
      <c r="S157" s="103">
        <f ca="1">IF(AND(Energy!$F$11=$A$3,Main!$B$43=A157),'Aerodynamics-Cruise'!W34,S157)</f>
        <v>1</v>
      </c>
      <c r="T157" s="103">
        <f ca="1">IF(AND(Energy!$F$11=$A$3,Main!$B$43=A157),'Aerodynamics-Cruise'!BL34,T157)</f>
        <v>16.443298363304006</v>
      </c>
      <c r="U157" s="103">
        <f ca="1">IF(AND(Energy!$F$11=$A$3,Main!$B$43=A157),'Propulsion-Cruise'!M34,U157)</f>
        <v>39.133951801579151</v>
      </c>
      <c r="V157" s="103">
        <f ca="1">IF(AND(Energy!$F$11=$A$3,Main!$B$43=A157),Endurance!AP34,V157)</f>
        <v>388.41591530290538</v>
      </c>
      <c r="W157" s="103">
        <f ca="1">IF(AND(Energy!$F$11=$A$3,Main!$B$43=$A157),Summary!W34,W157)</f>
        <v>58.862470421711002</v>
      </c>
      <c r="X157" s="13">
        <f ca="1">IF(AND(Energy!$F$11=$A$3,Main!$B$43=A157),Energy!D34,X157)</f>
        <v>989.97946151117731</v>
      </c>
      <c r="Y157" s="102">
        <f ca="1">IF(AND(Energy!$F$11=$A$3,Main!$B$43=A157),'Aerodynamics-Cruise'!V34,Y157)</f>
        <v>153801.52252362549</v>
      </c>
      <c r="Z157" s="102">
        <f ca="1">IF(AND(Energy!$F$11=$A$3,Main!$B$43=$A157),Summary!Z34,Z157)</f>
        <v>112514.90585855188</v>
      </c>
      <c r="AA157" s="102">
        <f ca="1">IF(AND(Energy!$F$11=$A$3,Main!$B$43=$A157),Summary!AA34,AA157)</f>
        <v>465317.91240063886</v>
      </c>
      <c r="AB157" s="103">
        <f ca="1">IF(AND(Energy!$F$11=$A$3,Main!$B$43=$A157),Summary!AB34,AB157)</f>
        <v>2.1667092084645723</v>
      </c>
      <c r="AC157" s="103">
        <f ca="1">IF(AND(Energy!$F$11=$A$3,Main!$B$43=$A157),Summary!AC34,AC157)</f>
        <v>2.3732117282394931</v>
      </c>
      <c r="AD157" s="103">
        <f ca="1">IF(AND(Energy!$F$11=$A$3,Main!$B$43=$A157),Summary!AD34,AD157)</f>
        <v>0.37518600716561756</v>
      </c>
      <c r="AE157" s="103">
        <f ca="1">IF(AND(Energy!$F$11=$A$3,Main!$B$43=$A157),Summary!AE34,AE157)</f>
        <v>1.9742690058479528</v>
      </c>
      <c r="AF157" s="103">
        <f ca="1">IF(AND(Energy!$F$11=$A$3,Main!$B$43=$A157),Summary!AF34,AF157)</f>
        <v>15.61677631578948</v>
      </c>
      <c r="AG157" s="103">
        <f ca="1">IF(AND(Energy!$F$11=$A$3,Main!$B$43=$A157),Summary!AG34,AG157)</f>
        <v>9.3970724825999916</v>
      </c>
      <c r="AH157" s="103">
        <f ca="1">IF(AND(Energy!$F$11=$A$3,Main!$B$43=$A157),Summary!AH34,AH157)</f>
        <v>47</v>
      </c>
      <c r="AI157" s="103">
        <f ca="1">IF(AND(Energy!$F$11=$A$3,Main!$B$43=$A157),Summary!AI34,AI157)</f>
        <v>2.8202295205994274</v>
      </c>
      <c r="AJ157" s="103">
        <f ca="1">IF(AND(Energy!$F$11=$A$3,Main!$B$43=$A157),Summary!AJ34,AJ157)</f>
        <v>0.31229622554826258</v>
      </c>
      <c r="AK157" s="103">
        <f ca="1">IF(AND(Energy!$F$11=$A$3,Main!$B$43=$A157),Summary!AK34,AK157)</f>
        <v>0.01</v>
      </c>
      <c r="AL157" s="103">
        <f ca="1">IF(AND(Energy!$F$11=$A$3,Main!$B$43=$A157),Summary!AL34,AL157)</f>
        <v>-0.33625613693320111</v>
      </c>
      <c r="AM157" s="103">
        <f ca="1">IF(AND(Energy!$F$11=$A$3,Main!$B$43=$A157),Summary!AM34,AM157)</f>
        <v>0.6875</v>
      </c>
    </row>
    <row r="158" spans="1:39">
      <c r="A158">
        <f t="shared" si="10"/>
        <v>8</v>
      </c>
      <c r="D158" s="1">
        <f ca="1">IF(AND(Energy!$F$11=$A$3,Main!$B$43=A158),Main!C35,D158)</f>
        <v>5.7105263157894743</v>
      </c>
      <c r="E158" s="103">
        <f ca="1">IF(AND(Energy!$F$11=$A$3,Main!$B$43=A158),Main!B35,E158)</f>
        <v>0.35555555555555546</v>
      </c>
      <c r="F158" s="103">
        <f ca="1">IF(Main!$D$6=1,U158,IF(Main!$D$6=2,N158,IF(Main!$D$6=3,K158,IF(Main!$D$6=4,V158,J158))))</f>
        <v>391.53711781100236</v>
      </c>
      <c r="G158" s="103">
        <f ca="1">IF(AND(Energy!$F$11=$A$3,Main!$B$43=A158),Weight!H35,G158)</f>
        <v>10</v>
      </c>
      <c r="H158" s="103">
        <f ca="1">IF(AND(Energy!$F$11=$A$3,Main!$B$43=A158),Weight!U35,H158)</f>
        <v>20.484534920571694</v>
      </c>
      <c r="I158" s="103">
        <f ca="1">IF(AND(Energy!$F$11=$A$3,Main!$B$43=A158),Weight!V35,I158)</f>
        <v>40.754135882297113</v>
      </c>
      <c r="J158" s="103">
        <f ca="1">IF(AND(Energy!$F$11=$A$3,Main!$B$43=A158),Weight!I35,J158)</f>
        <v>10.209242686725421</v>
      </c>
      <c r="K158" s="103">
        <f ca="1">IF(AND(Energy!$F$11=$A$3,Main!$B$43=A158),Weight!W35,K158)</f>
        <v>50.754136011764807</v>
      </c>
      <c r="L158" s="103">
        <f ca="1">IF(AND(Energy!$F$11=$A$3,Main!$B$43=A158),'Aerodynamics-Cruise'!BI35,L158)</f>
        <v>50.754135713765727</v>
      </c>
      <c r="M158" s="103">
        <f ca="1">IF(AND(Energy!$F$11=$A$3,Main!$B$43=A158),'Aerodynamics-Cruise'!BJ35,M158)</f>
        <v>2.4319514955196366</v>
      </c>
      <c r="N158" s="103">
        <f ca="1">IF(AND(Energy!$F$11=$A$3,Main!$B$43=A158),'Aerodynamics-Cruise'!BK35,N158)</f>
        <v>20.869715455785048</v>
      </c>
      <c r="O158" s="103">
        <f t="shared" ca="1" si="9"/>
        <v>148.67989513456018</v>
      </c>
      <c r="P158" s="103">
        <f ca="1">IF(AND(Energy!$F$11=$A$3,Main!$B$43=A158),'Aerodynamics-Cruise'!H35,P158)</f>
        <v>6.7783535602904363</v>
      </c>
      <c r="Q158" s="103">
        <f ca="1">IF(AND(Energy!$F$11=$A$3,Main!$B$43=A158),'Aerodynamics-Cruise'!I35,Q158)</f>
        <v>5.6510671766092067</v>
      </c>
      <c r="R158" s="103">
        <f ca="1">IF(AND(Energy!$F$11=$A$3,Main!$B$43=$A158),Summary!R35,R158)</f>
        <v>20.418335620071243</v>
      </c>
      <c r="S158" s="103">
        <f ca="1">IF(AND(Energy!$F$11=$A$3,Main!$B$43=A158),'Aerodynamics-Cruise'!W35,S158)</f>
        <v>1</v>
      </c>
      <c r="T158" s="103">
        <f ca="1">IF(AND(Energy!$F$11=$A$3,Main!$B$43=A158),'Aerodynamics-Cruise'!BL35,T158)</f>
        <v>16.484627078109181</v>
      </c>
      <c r="U158" s="103">
        <f ca="1">IF(AND(Energy!$F$11=$A$3,Main!$B$43=A158),'Propulsion-Cruise'!M35,U158)</f>
        <v>39.325778470499735</v>
      </c>
      <c r="V158" s="103">
        <f ca="1">IF(AND(Energy!$F$11=$A$3,Main!$B$43=A158),Endurance!AP35,V158)</f>
        <v>391.53711781100236</v>
      </c>
      <c r="W158" s="103">
        <f ca="1">IF(AND(Energy!$F$11=$A$3,Main!$B$43=$A158),Summary!W35,W158)</f>
        <v>60.353055884774498</v>
      </c>
      <c r="X158" s="13">
        <f ca="1">IF(AND(Energy!$F$11=$A$3,Main!$B$43=A158),Energy!D35,X158)</f>
        <v>992.67079597208863</v>
      </c>
      <c r="Y158" s="102">
        <f ca="1">IF(AND(Energy!$F$11=$A$3,Main!$B$43=A158),'Aerodynamics-Cruise'!V35,Y158)</f>
        <v>152854.05492455134</v>
      </c>
      <c r="Z158" s="102">
        <f ca="1">IF(AND(Energy!$F$11=$A$3,Main!$B$43=$A158),Summary!Z35,Z158)</f>
        <v>111827.00545182615</v>
      </c>
      <c r="AA158" s="102">
        <f ca="1">IF(AND(Energy!$F$11=$A$3,Main!$B$43=$A158),Summary!AA35,AA158)</f>
        <v>460440.04146112502</v>
      </c>
      <c r="AB158" s="103">
        <f ca="1">IF(AND(Energy!$F$11=$A$3,Main!$B$43=$A158),Summary!AB35,AB158)</f>
        <v>2.173757793740291</v>
      </c>
      <c r="AC158" s="103">
        <f ca="1">IF(AND(Energy!$F$11=$A$3,Main!$B$43=$A158),Summary!AC35,AC158)</f>
        <v>2.3216486052874887</v>
      </c>
      <c r="AD158" s="103">
        <f ca="1">IF(AND(Energy!$F$11=$A$3,Main!$B$43=$A158),Summary!AD35,AD158)</f>
        <v>0.37562049023154342</v>
      </c>
      <c r="AE158" s="103">
        <f ca="1">IF(AND(Energy!$F$11=$A$3,Main!$B$43=$A158),Summary!AE35,AE158)</f>
        <v>2.030409356725146</v>
      </c>
      <c r="AF158" s="103">
        <f ca="1">IF(AND(Energy!$F$11=$A$3,Main!$B$43=$A158),Summary!AF35,AF158)</f>
        <v>16.060855263157897</v>
      </c>
      <c r="AG158" s="103">
        <f ca="1">IF(AND(Energy!$F$11=$A$3,Main!$B$43=$A158),Summary!AG35,AG158)</f>
        <v>9.4314416841072521</v>
      </c>
      <c r="AH158" s="103">
        <f ca="1">IF(AND(Energy!$F$11=$A$3,Main!$B$43=$A158),Summary!AH35,AH158)</f>
        <v>47</v>
      </c>
      <c r="AI158" s="103">
        <f ca="1">IF(AND(Energy!$F$11=$A$3,Main!$B$43=$A158),Summary!AI35,AI158)</f>
        <v>2.8199639861640629</v>
      </c>
      <c r="AJ158" s="103">
        <f ca="1">IF(AND(Energy!$F$11=$A$3,Main!$B$43=$A158),Summary!AJ35,AJ158)</f>
        <v>0.31276811652682646</v>
      </c>
      <c r="AK158" s="103">
        <f ca="1">IF(AND(Energy!$F$11=$A$3,Main!$B$43=$A158),Summary!AK35,AK158)</f>
        <v>0.01</v>
      </c>
      <c r="AL158" s="103">
        <f ca="1">IF(AND(Energy!$F$11=$A$3,Main!$B$43=$A158),Summary!AL35,AL158)</f>
        <v>-0.33574749168632084</v>
      </c>
      <c r="AM158" s="103">
        <f ca="1">IF(AND(Energy!$F$11=$A$3,Main!$B$43=$A158),Summary!AM35,AM158)</f>
        <v>0.6875</v>
      </c>
    </row>
    <row r="159" spans="1:39">
      <c r="A159">
        <f t="shared" si="10"/>
        <v>8</v>
      </c>
      <c r="D159" s="1">
        <f ca="1">IF(AND(Energy!$F$11=$A$3,Main!$B$43=A159),Main!C36,D159)</f>
        <v>5.8684210526315796</v>
      </c>
      <c r="E159" s="103">
        <f ca="1">IF(AND(Energy!$F$11=$A$3,Main!$B$43=A159),Main!B36,E159)</f>
        <v>0.35555555555555546</v>
      </c>
      <c r="F159" s="103">
        <f ca="1">IF(Main!$D$6=1,U159,IF(Main!$D$6=2,N159,IF(Main!$D$6=3,K159,IF(Main!$D$6=4,V159,J159))))</f>
        <v>394.9644852108438</v>
      </c>
      <c r="G159" s="103">
        <f ca="1">IF(AND(Energy!$F$11=$A$3,Main!$B$43=A159),Weight!H36,G159)</f>
        <v>10</v>
      </c>
      <c r="H159" s="103">
        <f ca="1">IF(AND(Energy!$F$11=$A$3,Main!$B$43=A159),Weight!U36,H159)</f>
        <v>21.211733992406174</v>
      </c>
      <c r="I159" s="103">
        <f ca="1">IF(AND(Energy!$F$11=$A$3,Main!$B$43=A159),Weight!V36,I159)</f>
        <v>41.562633173325509</v>
      </c>
      <c r="J159" s="103">
        <f ca="1">IF(AND(Energy!$F$11=$A$3,Main!$B$43=A159),Weight!I36,J159)</f>
        <v>10.290540905919334</v>
      </c>
      <c r="K159" s="103">
        <f ca="1">IF(AND(Energy!$F$11=$A$3,Main!$B$43=A159),Weight!W36,K159)</f>
        <v>51.56263332796923</v>
      </c>
      <c r="L159" s="103">
        <f ca="1">IF(AND(Energy!$F$11=$A$3,Main!$B$43=A159),'Aerodynamics-Cruise'!BI36,L159)</f>
        <v>51.56263297768529</v>
      </c>
      <c r="M159" s="103">
        <f ca="1">IF(AND(Energy!$F$11=$A$3,Main!$B$43=A159),'Aerodynamics-Cruise'!BJ36,M159)</f>
        <v>2.4543547877180543</v>
      </c>
      <c r="N159" s="103">
        <f ca="1">IF(AND(Energy!$F$11=$A$3,Main!$B$43=A159),'Aerodynamics-Cruise'!BK36,N159)</f>
        <v>21.008630551586165</v>
      </c>
      <c r="O159" s="103">
        <f t="shared" ca="1" si="9"/>
        <v>150.85693742866499</v>
      </c>
      <c r="P159" s="103">
        <f ca="1">IF(AND(Energy!$F$11=$A$3,Main!$B$43=A159),'Aerodynamics-Cruise'!H36,P159)</f>
        <v>6.7395643386955308</v>
      </c>
      <c r="Q159" s="103">
        <f ca="1">IF(AND(Energy!$F$11=$A$3,Main!$B$43=A159),'Aerodynamics-Cruise'!I36,Q159)</f>
        <v>5.6189744051411834</v>
      </c>
      <c r="R159" s="103">
        <f ca="1">IF(AND(Energy!$F$11=$A$3,Main!$B$43=$A159),Summary!R36,R159)</f>
        <v>20.209824415264091</v>
      </c>
      <c r="S159" s="103">
        <f ca="1">IF(AND(Energy!$F$11=$A$3,Main!$B$43=A159),'Aerodynamics-Cruise'!W36,S159)</f>
        <v>1</v>
      </c>
      <c r="T159" s="103">
        <f ca="1">IF(AND(Energy!$F$11=$A$3,Main!$B$43=A159),'Aerodynamics-Cruise'!BL36,T159)</f>
        <v>16.54128200181124</v>
      </c>
      <c r="U159" s="103">
        <f ca="1">IF(AND(Energy!$F$11=$A$3,Main!$B$43=A159),'Propulsion-Cruise'!M36,U159)</f>
        <v>39.549596791053382</v>
      </c>
      <c r="V159" s="103">
        <f ca="1">IF(AND(Energy!$F$11=$A$3,Main!$B$43=A159),Endurance!AP36,V159)</f>
        <v>394.9644852108438</v>
      </c>
      <c r="W159" s="103">
        <f ca="1">IF(AND(Energy!$F$11=$A$3,Main!$B$43=$A159),Summary!W36,W159)</f>
        <v>61.879350166438662</v>
      </c>
      <c r="X159" s="13">
        <f ca="1">IF(AND(Energy!$F$11=$A$3,Main!$B$43=A159),Energy!D36,X159)</f>
        <v>995.42660466580242</v>
      </c>
      <c r="Y159" s="102">
        <f ca="1">IF(AND(Energy!$F$11=$A$3,Main!$B$43=A159),'Aerodynamics-Cruise'!V36,Y159)</f>
        <v>151979.34549025999</v>
      </c>
      <c r="Z159" s="102">
        <f ca="1">IF(AND(Energy!$F$11=$A$3,Main!$B$43=$A159),Summary!Z36,Z159)</f>
        <v>111191.89920464433</v>
      </c>
      <c r="AA159" s="102">
        <f ca="1">IF(AND(Energy!$F$11=$A$3,Main!$B$43=$A159),Summary!AA36,AA159)</f>
        <v>455738.04666718404</v>
      </c>
      <c r="AB159" s="103">
        <f ca="1">IF(AND(Energy!$F$11=$A$3,Main!$B$43=$A159),Summary!AB36,AB159)</f>
        <v>2.1830695845078218</v>
      </c>
      <c r="AC159" s="103">
        <f ca="1">IF(AND(Energy!$F$11=$A$3,Main!$B$43=$A159),Summary!AC36,AC159)</f>
        <v>2.2715764912750016</v>
      </c>
      <c r="AD159" s="103">
        <f ca="1">IF(AND(Energy!$F$11=$A$3,Main!$B$43=$A159),Summary!AD36,AD159)</f>
        <v>0.37619058035694919</v>
      </c>
      <c r="AE159" s="103">
        <f ca="1">IF(AND(Energy!$F$11=$A$3,Main!$B$43=$A159),Summary!AE36,AE159)</f>
        <v>2.0865497076023387</v>
      </c>
      <c r="AF159" s="103">
        <f ca="1">IF(AND(Energy!$F$11=$A$3,Main!$B$43=$A159),Summary!AF36,AF159)</f>
        <v>16.504934210526322</v>
      </c>
      <c r="AG159" s="103">
        <f ca="1">IF(AND(Energy!$F$11=$A$3,Main!$B$43=$A159),Summary!AG36,AG159)</f>
        <v>9.4700806153003079</v>
      </c>
      <c r="AH159" s="103">
        <f ca="1">IF(AND(Energy!$F$11=$A$3,Main!$B$43=$A159),Summary!AH36,AH159)</f>
        <v>47</v>
      </c>
      <c r="AI159" s="103">
        <f ca="1">IF(AND(Energy!$F$11=$A$3,Main!$B$43=$A159),Summary!AI36,AI159)</f>
        <v>2.8197175334266307</v>
      </c>
      <c r="AJ159" s="103">
        <f ca="1">IF(AND(Energy!$F$11=$A$3,Main!$B$43=$A159),Summary!AJ36,AJ159)</f>
        <v>0.31319270556015927</v>
      </c>
      <c r="AK159" s="103">
        <f ca="1">IF(AND(Energy!$F$11=$A$3,Main!$B$43=$A159),Summary!AK36,AK159)</f>
        <v>0.01</v>
      </c>
      <c r="AL159" s="103">
        <f ca="1">IF(AND(Energy!$F$11=$A$3,Main!$B$43=$A159),Summary!AL36,AL159)</f>
        <v>-0.33529111116141769</v>
      </c>
      <c r="AM159" s="103">
        <f ca="1">IF(AND(Energy!$F$11=$A$3,Main!$B$43=$A159),Summary!AM36,AM159)</f>
        <v>0.6875</v>
      </c>
    </row>
    <row r="160" spans="1:39">
      <c r="A160">
        <f t="shared" si="10"/>
        <v>8</v>
      </c>
      <c r="D160" s="1">
        <f ca="1">IF(AND(Energy!$F$11=$A$3,Main!$B$43=A160),Main!C37,D160)</f>
        <v>6.026315789473685</v>
      </c>
      <c r="E160" s="103">
        <f ca="1">IF(AND(Energy!$F$11=$A$3,Main!$B$43=A160),Main!B37,E160)</f>
        <v>0.35555555555555546</v>
      </c>
      <c r="F160" s="103">
        <f ca="1">IF(Main!$D$6=1,U160,IF(Main!$D$6=2,N160,IF(Main!$D$6=3,K160,IF(Main!$D$6=4,V160,J160))))</f>
        <v>398.68834328544631</v>
      </c>
      <c r="G160" s="103">
        <f ca="1">IF(AND(Energy!$F$11=$A$3,Main!$B$43=A160),Weight!H37,G160)</f>
        <v>10</v>
      </c>
      <c r="H160" s="103">
        <f ca="1">IF(AND(Energy!$F$11=$A$3,Main!$B$43=A160),Weight!U37,H160)</f>
        <v>21.955706447958033</v>
      </c>
      <c r="I160" s="103">
        <f ca="1">IF(AND(Energy!$F$11=$A$3,Main!$B$43=A160),Weight!V37,I160)</f>
        <v>42.389878858092061</v>
      </c>
      <c r="J160" s="103">
        <f ca="1">IF(AND(Energy!$F$11=$A$3,Main!$B$43=A160),Weight!I37,J160)</f>
        <v>10.37381413513403</v>
      </c>
      <c r="K160" s="103">
        <f ca="1">IF(AND(Energy!$F$11=$A$3,Main!$B$43=A160),Weight!W37,K160)</f>
        <v>52.38987903868518</v>
      </c>
      <c r="L160" s="103">
        <f ca="1">IF(AND(Energy!$F$11=$A$3,Main!$B$43=A160),'Aerodynamics-Cruise'!BI37,L160)</f>
        <v>52.389878634647914</v>
      </c>
      <c r="M160" s="103">
        <f ca="1">IF(AND(Energy!$F$11=$A$3,Main!$B$43=A160),'Aerodynamics-Cruise'!BJ37,M160)</f>
        <v>2.4780782791163389</v>
      </c>
      <c r="N160" s="103">
        <f ca="1">IF(AND(Energy!$F$11=$A$3,Main!$B$43=A160),'Aerodynamics-Cruise'!BK37,N160)</f>
        <v>21.141333216208846</v>
      </c>
      <c r="O160" s="103">
        <f t="shared" ca="1" si="9"/>
        <v>153.02277291844359</v>
      </c>
      <c r="P160" s="103">
        <f ca="1">IF(AND(Energy!$F$11=$A$3,Main!$B$43=A160),'Aerodynamics-Cruise'!H37,P160)</f>
        <v>6.7038013663509508</v>
      </c>
      <c r="Q160" s="103">
        <f ca="1">IF(AND(Energy!$F$11=$A$3,Main!$B$43=A160),'Aerodynamics-Cruise'!I37,Q160)</f>
        <v>5.5893841399983586</v>
      </c>
      <c r="R160" s="103">
        <f ca="1">IF(AND(Energy!$F$11=$A$3,Main!$B$43=$A160),Summary!R37,R160)</f>
        <v>20.00880722915101</v>
      </c>
      <c r="S160" s="103">
        <f ca="1">IF(AND(Energy!$F$11=$A$3,Main!$B$43=A160),'Aerodynamics-Cruise'!W37,S160)</f>
        <v>1</v>
      </c>
      <c r="T160" s="103">
        <f ca="1">IF(AND(Energy!$F$11=$A$3,Main!$B$43=A160),'Aerodynamics-Cruise'!BL37,T160)</f>
        <v>16.612544553464726</v>
      </c>
      <c r="U160" s="103">
        <f ca="1">IF(AND(Energy!$F$11=$A$3,Main!$B$43=A160),'Propulsion-Cruise'!M37,U160)</f>
        <v>39.804195648514174</v>
      </c>
      <c r="V160" s="103">
        <f ca="1">IF(AND(Energy!$F$11=$A$3,Main!$B$43=A160),Endurance!AP37,V160)</f>
        <v>398.68834328544631</v>
      </c>
      <c r="W160" s="103">
        <f ca="1">IF(AND(Energy!$F$11=$A$3,Main!$B$43=$A160),Summary!W37,W160)</f>
        <v>63.442723333118494</v>
      </c>
      <c r="X160" s="13">
        <f ca="1">IF(AND(Energy!$F$11=$A$3,Main!$B$43=A160),Energy!D37,X160)</f>
        <v>998.24936132561038</v>
      </c>
      <c r="Y160" s="102">
        <f ca="1">IF(AND(Energy!$F$11=$A$3,Main!$B$43=A160),'Aerodynamics-Cruise'!V37,Y160)</f>
        <v>151172.87895079708</v>
      </c>
      <c r="Z160" s="102">
        <f ca="1">IF(AND(Energy!$F$11=$A$3,Main!$B$43=$A160),Summary!Z37,Z160)</f>
        <v>110606.31697898515</v>
      </c>
      <c r="AA160" s="102">
        <f ca="1">IF(AND(Energy!$F$11=$A$3,Main!$B$43=$A160),Summary!AA37,AA160)</f>
        <v>451205.0444073269</v>
      </c>
      <c r="AB160" s="103">
        <f ca="1">IF(AND(Energy!$F$11=$A$3,Main!$B$43=$A160),Summary!AB37,AB160)</f>
        <v>2.1945657121233819</v>
      </c>
      <c r="AC160" s="103">
        <f ca="1">IF(AND(Energy!$F$11=$A$3,Main!$B$43=$A160),Summary!AC37,AC160)</f>
        <v>2.2229215806986242</v>
      </c>
      <c r="AD160" s="103">
        <f ca="1">IF(AND(Energy!$F$11=$A$3,Main!$B$43=$A160),Summary!AD37,AD160)</f>
        <v>0.37688927510968506</v>
      </c>
      <c r="AE160" s="103">
        <f ca="1">IF(AND(Energy!$F$11=$A$3,Main!$B$43=$A160),Summary!AE37,AE160)</f>
        <v>2.1426900584795319</v>
      </c>
      <c r="AF160" s="103">
        <f ca="1">IF(AND(Energy!$F$11=$A$3,Main!$B$43=$A160),Summary!AF37,AF160)</f>
        <v>16.949013157894743</v>
      </c>
      <c r="AG160" s="103">
        <f ca="1">IF(AND(Energy!$F$11=$A$3,Main!$B$43=$A160),Summary!AG37,AG160)</f>
        <v>9.5128125253978979</v>
      </c>
      <c r="AH160" s="103">
        <f ca="1">IF(AND(Energy!$F$11=$A$3,Main!$B$43=$A160),Summary!AH37,AH160)</f>
        <v>47</v>
      </c>
      <c r="AI160" s="103">
        <f ca="1">IF(AND(Energy!$F$11=$A$3,Main!$B$43=$A160),Summary!AI37,AI160)</f>
        <v>2.8194891225444105</v>
      </c>
      <c r="AJ160" s="103">
        <f ca="1">IF(AND(Energy!$F$11=$A$3,Main!$B$43=$A160),Summary!AJ37,AJ160)</f>
        <v>0.31357249249944352</v>
      </c>
      <c r="AK160" s="103">
        <f ca="1">IF(AND(Energy!$F$11=$A$3,Main!$B$43=$A160),Summary!AK37,AK160)</f>
        <v>0.01</v>
      </c>
      <c r="AL160" s="103">
        <f ca="1">IF(AND(Energy!$F$11=$A$3,Main!$B$43=$A160),Summary!AL37,AL160)</f>
        <v>-0.33488389723656131</v>
      </c>
      <c r="AM160" s="103">
        <f ca="1">IF(AND(Energy!$F$11=$A$3,Main!$B$43=$A160),Summary!AM37,AM160)</f>
        <v>0.6875</v>
      </c>
    </row>
    <row r="161" spans="1:39">
      <c r="A161">
        <f t="shared" si="10"/>
        <v>8</v>
      </c>
      <c r="D161" s="1">
        <f ca="1">IF(AND(Energy!$F$11=$A$3,Main!$B$43=A161),Main!C38,D161)</f>
        <v>6.1842105263157903</v>
      </c>
      <c r="E161" s="103">
        <f ca="1">IF(AND(Energy!$F$11=$A$3,Main!$B$43=A161),Main!B38,E161)</f>
        <v>0.35555555555555546</v>
      </c>
      <c r="F161" s="103">
        <f ca="1">IF(Main!$D$6=1,U161,IF(Main!$D$6=2,N161,IF(Main!$D$6=3,K161,IF(Main!$D$6=4,V161,J161))))</f>
        <v>402.70065674126386</v>
      </c>
      <c r="G161" s="103">
        <f ca="1">IF(AND(Energy!$F$11=$A$3,Main!$B$43=A161),Weight!H38,G161)</f>
        <v>10</v>
      </c>
      <c r="H161" s="103">
        <f ca="1">IF(AND(Energy!$F$11=$A$3,Main!$B$43=A161),Weight!U38,H161)</f>
        <v>22.716690531807821</v>
      </c>
      <c r="I161" s="103">
        <f ca="1">IF(AND(Energy!$F$11=$A$3,Main!$B$43=A161),Weight!V38,I161)</f>
        <v>43.23619002980368</v>
      </c>
      <c r="J161" s="103">
        <f ca="1">IF(AND(Energy!$F$11=$A$3,Main!$B$43=A161),Weight!I38,J161)</f>
        <v>10.459141222995859</v>
      </c>
      <c r="K161" s="103">
        <f ca="1">IF(AND(Energy!$F$11=$A$3,Main!$B$43=A161),Weight!W38,K161)</f>
        <v>53.236190237009509</v>
      </c>
      <c r="L161" s="103">
        <f ca="1">IF(AND(Energy!$F$11=$A$3,Main!$B$43=A161),'Aerodynamics-Cruise'!BI38,L161)</f>
        <v>53.236189777977962</v>
      </c>
      <c r="M161" s="103">
        <f ca="1">IF(AND(Energy!$F$11=$A$3,Main!$B$43=A161),'Aerodynamics-Cruise'!BJ38,M161)</f>
        <v>2.5030864501344885</v>
      </c>
      <c r="N161" s="103">
        <f ca="1">IF(AND(Energy!$F$11=$A$3,Main!$B$43=A161),'Aerodynamics-Cruise'!BK38,N161)</f>
        <v>21.268218592736833</v>
      </c>
      <c r="O161" s="103">
        <f t="shared" ca="1" si="9"/>
        <v>155.17958910948676</v>
      </c>
      <c r="P161" s="103">
        <f ca="1">IF(AND(Energy!$F$11=$A$3,Main!$B$43=A161),'Aerodynamics-Cruise'!H38,P161)</f>
        <v>6.6708829059000481</v>
      </c>
      <c r="Q161" s="103">
        <f ca="1">IF(AND(Energy!$F$11=$A$3,Main!$B$43=A161),'Aerodynamics-Cruise'!I38,Q161)</f>
        <v>5.5621463752898839</v>
      </c>
      <c r="R161" s="103">
        <f ca="1">IF(AND(Energy!$F$11=$A$3,Main!$B$43=$A161),Summary!R38,R161)</f>
        <v>19.81485096132225</v>
      </c>
      <c r="S161" s="103">
        <f ca="1">IF(AND(Energy!$F$11=$A$3,Main!$B$43=A161),'Aerodynamics-Cruise'!W38,S161)</f>
        <v>1</v>
      </c>
      <c r="T161" s="103">
        <f ca="1">IF(AND(Energy!$F$11=$A$3,Main!$B$43=A161),'Aerodynamics-Cruise'!BL38,T161)</f>
        <v>16.697796612192192</v>
      </c>
      <c r="U161" s="103">
        <f ca="1">IF(AND(Energy!$F$11=$A$3,Main!$B$43=A161),'Propulsion-Cruise'!M38,U161)</f>
        <v>40.0885516736342</v>
      </c>
      <c r="V161" s="103">
        <f ca="1">IF(AND(Energy!$F$11=$A$3,Main!$B$43=A161),Endurance!AP38,V161)</f>
        <v>402.70065674126386</v>
      </c>
      <c r="W161" s="103">
        <f ca="1">IF(AND(Energy!$F$11=$A$3,Main!$B$43=$A161),Summary!W38,W161)</f>
        <v>65.04465568735985</v>
      </c>
      <c r="X161" s="13">
        <f ca="1">IF(AND(Energy!$F$11=$A$3,Main!$B$43=A161),Energy!D38,X161)</f>
        <v>1001.1417387222209</v>
      </c>
      <c r="Y161" s="102">
        <f ca="1">IF(AND(Energy!$F$11=$A$3,Main!$B$43=A161),'Aerodynamics-Cruise'!V38,Y161)</f>
        <v>150430.55707026384</v>
      </c>
      <c r="Z161" s="102">
        <f ca="1">IF(AND(Energy!$F$11=$A$3,Main!$B$43=$A161),Summary!Z38,Z161)</f>
        <v>110067.2901547837</v>
      </c>
      <c r="AA161" s="102">
        <f ca="1">IF(AND(Energy!$F$11=$A$3,Main!$B$43=$A161),Summary!AA38,AA161)</f>
        <v>446831.26812788652</v>
      </c>
      <c r="AB161" s="103">
        <f ca="1">IF(AND(Energy!$F$11=$A$3,Main!$B$43=$A161),Summary!AB38,AB161)</f>
        <v>2.2081799503162944</v>
      </c>
      <c r="AC161" s="103">
        <f ca="1">IF(AND(Energy!$F$11=$A$3,Main!$B$43=$A161),Summary!AC38,AC161)</f>
        <v>2.1756153244878282</v>
      </c>
      <c r="AD161" s="103">
        <f ca="1">IF(AND(Energy!$F$11=$A$3,Main!$B$43=$A161),Summary!AD38,AD161)</f>
        <v>0.3777102976277974</v>
      </c>
      <c r="AE161" s="103">
        <f ca="1">IF(AND(Energy!$F$11=$A$3,Main!$B$43=$A161),Summary!AE38,AE161)</f>
        <v>2.198830409356725</v>
      </c>
      <c r="AF161" s="103">
        <f ca="1">IF(AND(Energy!$F$11=$A$3,Main!$B$43=$A161),Summary!AF38,AF161)</f>
        <v>17.393092105263165</v>
      </c>
      <c r="AG161" s="103">
        <f ca="1">IF(AND(Energy!$F$11=$A$3,Main!$B$43=$A161),Summary!AG38,AG161)</f>
        <v>9.5594835918788661</v>
      </c>
      <c r="AH161" s="103">
        <f ca="1">IF(AND(Energy!$F$11=$A$3,Main!$B$43=$A161),Summary!AH38,AH161)</f>
        <v>47</v>
      </c>
      <c r="AI161" s="103">
        <f ca="1">IF(AND(Energy!$F$11=$A$3,Main!$B$43=$A161),Summary!AI38,AI161)</f>
        <v>2.8192778007086572</v>
      </c>
      <c r="AJ161" s="103">
        <f ca="1">IF(AND(Energy!$F$11=$A$3,Main!$B$43=$A161),Summary!AJ38,AJ161)</f>
        <v>0.31390976019535416</v>
      </c>
      <c r="AK161" s="103">
        <f ca="1">IF(AND(Energy!$F$11=$A$3,Main!$B$43=$A161),Summary!AK38,AK161)</f>
        <v>0.01</v>
      </c>
      <c r="AL161" s="103">
        <f ca="1">IF(AND(Energy!$F$11=$A$3,Main!$B$43=$A161),Summary!AL38,AL161)</f>
        <v>-0.33452305598271248</v>
      </c>
      <c r="AM161" s="103">
        <f ca="1">IF(AND(Energy!$F$11=$A$3,Main!$B$43=$A161),Summary!AM38,AM161)</f>
        <v>0.6875</v>
      </c>
    </row>
    <row r="162" spans="1:39">
      <c r="A162">
        <f t="shared" si="10"/>
        <v>8</v>
      </c>
      <c r="D162" s="1">
        <f ca="1">IF(AND(Energy!$F$11=$A$3,Main!$B$43=A162),Main!C39,D162)</f>
        <v>6.3421052631578956</v>
      </c>
      <c r="E162" s="103">
        <f ca="1">IF(AND(Energy!$F$11=$A$3,Main!$B$43=A162),Main!B39,E162)</f>
        <v>0.35555555555555546</v>
      </c>
      <c r="F162" s="103">
        <f ca="1">IF(Main!$D$6=1,U162,IF(Main!$D$6=2,N162,IF(Main!$D$6=3,K162,IF(Main!$D$6=4,V162,J162))))</f>
        <v>406.99483462861281</v>
      </c>
      <c r="G162" s="103">
        <f ca="1">IF(AND(Energy!$F$11=$A$3,Main!$B$43=A162),Weight!H39,G162)</f>
        <v>10</v>
      </c>
      <c r="H162" s="103">
        <f ca="1">IF(AND(Energy!$F$11=$A$3,Main!$B$43=A162),Weight!U39,H162)</f>
        <v>23.494930879588033</v>
      </c>
      <c r="I162" s="103">
        <f ca="1">IF(AND(Energy!$F$11=$A$3,Main!$B$43=A162),Weight!V39,I162)</f>
        <v>44.101895753277788</v>
      </c>
      <c r="J162" s="103">
        <f ca="1">IF(AND(Energy!$F$11=$A$3,Main!$B$43=A162),Weight!I39,J162)</f>
        <v>10.546606598689756</v>
      </c>
      <c r="K162" s="103">
        <f ca="1">IF(AND(Energy!$F$11=$A$3,Main!$B$43=A162),Weight!W39,K162)</f>
        <v>54.101895987648966</v>
      </c>
      <c r="L162" s="103">
        <f ca="1">IF(AND(Energy!$F$11=$A$3,Main!$B$43=A162),'Aerodynamics-Cruise'!BI39,L162)</f>
        <v>54.1018954726107</v>
      </c>
      <c r="M162" s="103">
        <f ca="1">IF(AND(Energy!$F$11=$A$3,Main!$B$43=A162),'Aerodynamics-Cruise'!BJ39,M162)</f>
        <v>2.5293493998051266</v>
      </c>
      <c r="N162" s="103">
        <f ca="1">IF(AND(Energy!$F$11=$A$3,Main!$B$43=A162),'Aerodynamics-Cruise'!BK39,N162)</f>
        <v>21.389648846766278</v>
      </c>
      <c r="O162" s="103">
        <f t="shared" ca="1" si="9"/>
        <v>157.3294032259038</v>
      </c>
      <c r="P162" s="103">
        <f ca="1">IF(AND(Energy!$F$11=$A$3,Main!$B$43=A162),'Aerodynamics-Cruise'!H39,P162)</f>
        <v>6.6406435984470136</v>
      </c>
      <c r="Q162" s="103">
        <f ca="1">IF(AND(Energy!$F$11=$A$3,Main!$B$43=A162),'Aerodynamics-Cruise'!I39,Q162)</f>
        <v>5.5371246008651545</v>
      </c>
      <c r="R162" s="103">
        <f ca="1">IF(AND(Energy!$F$11=$A$3,Main!$B$43=$A162),Summary!R39,R162)</f>
        <v>19.627555053219943</v>
      </c>
      <c r="S162" s="103">
        <f ca="1">IF(AND(Energy!$F$11=$A$3,Main!$B$43=A162),'Aerodynamics-Cruise'!W39,S162)</f>
        <v>1</v>
      </c>
      <c r="T162" s="103">
        <f ca="1">IF(AND(Energy!$F$11=$A$3,Main!$B$43=A162),'Aerodynamics-Cruise'!BL39,T162)</f>
        <v>16.796507900051711</v>
      </c>
      <c r="U162" s="103">
        <f ca="1">IF(AND(Energy!$F$11=$A$3,Main!$B$43=A162),'Propulsion-Cruise'!M39,U162)</f>
        <v>40.401806697196072</v>
      </c>
      <c r="V162" s="103">
        <f ca="1">IF(AND(Energy!$F$11=$A$3,Main!$B$43=A162),Endurance!AP39,V162)</f>
        <v>406.99483462861281</v>
      </c>
      <c r="W162" s="103">
        <f ca="1">IF(AND(Energy!$F$11=$A$3,Main!$B$43=$A162),Summary!W39,W162)</f>
        <v>66.686732301227352</v>
      </c>
      <c r="X162" s="13">
        <f ca="1">IF(AND(Energy!$F$11=$A$3,Main!$B$43=A162),Energy!D39,X162)</f>
        <v>1004.1065987934944</v>
      </c>
      <c r="Y162" s="102">
        <f ca="1">IF(AND(Energy!$F$11=$A$3,Main!$B$43=A162),'Aerodynamics-Cruise'!V39,Y162)</f>
        <v>149748.65095232619</v>
      </c>
      <c r="Z162" s="102">
        <f ca="1">IF(AND(Energy!$F$11=$A$3,Main!$B$43=$A162),Summary!Z39,Z162)</f>
        <v>109572.11719614515</v>
      </c>
      <c r="AA162" s="102">
        <f ca="1">IF(AND(Energy!$F$11=$A$3,Main!$B$43=$A162),Summary!AA39,AA162)</f>
        <v>442607.68510443222</v>
      </c>
      <c r="AB162" s="103">
        <f ca="1">IF(AND(Energy!$F$11=$A$3,Main!$B$43=$A162),Summary!AB39,AB162)</f>
        <v>2.2238572734530861</v>
      </c>
      <c r="AC162" s="103">
        <f ca="1">IF(AND(Energy!$F$11=$A$3,Main!$B$43=$A162),Summary!AC39,AC162)</f>
        <v>2.1295939653738594</v>
      </c>
      <c r="AD162" s="103">
        <f ca="1">IF(AND(Energy!$F$11=$A$3,Main!$B$43=$A162),Summary!AD39,AD162)</f>
        <v>0.37864801304348794</v>
      </c>
      <c r="AE162" s="103">
        <f ca="1">IF(AND(Energy!$F$11=$A$3,Main!$B$43=$A162),Summary!AE39,AE162)</f>
        <v>2.2549707602339177</v>
      </c>
      <c r="AF162" s="103">
        <f ca="1">IF(AND(Energy!$F$11=$A$3,Main!$B$43=$A162),Summary!AF39,AF162)</f>
        <v>17.837171052631586</v>
      </c>
      <c r="AG162" s="103">
        <f ca="1">IF(AND(Energy!$F$11=$A$3,Main!$B$43=$A162),Summary!AG39,AG162)</f>
        <v>9.6099601696534549</v>
      </c>
      <c r="AH162" s="103">
        <f ca="1">IF(AND(Energy!$F$11=$A$3,Main!$B$43=$A162),Summary!AH39,AH162)</f>
        <v>47</v>
      </c>
      <c r="AI162" s="103">
        <f ca="1">IF(AND(Energy!$F$11=$A$3,Main!$B$43=$A162),Summary!AI39,AI162)</f>
        <v>2.8190826924314996</v>
      </c>
      <c r="AJ162" s="103">
        <f ca="1">IF(AND(Energy!$F$11=$A$3,Main!$B$43=$A162),Summary!AJ39,AJ162)</f>
        <v>0.31420659990305183</v>
      </c>
      <c r="AK162" s="103">
        <f ca="1">IF(AND(Energy!$F$11=$A$3,Main!$B$43=$A162),Summary!AK39,AK162)</f>
        <v>0.01</v>
      </c>
      <c r="AL162" s="103">
        <f ca="1">IF(AND(Energy!$F$11=$A$3,Main!$B$43=$A162),Summary!AL39,AL162)</f>
        <v>-0.33420605985790147</v>
      </c>
      <c r="AM162" s="103">
        <f ca="1">IF(AND(Energy!$F$11=$A$3,Main!$B$43=$A162),Summary!AM39,AM162)</f>
        <v>0.6875</v>
      </c>
    </row>
    <row r="163" spans="1:39">
      <c r="A163">
        <f t="shared" si="10"/>
        <v>8</v>
      </c>
      <c r="D163" s="1">
        <f ca="1">IF(AND(Energy!$F$11=$A$3,Main!$B$43=A163),Main!C40,D163)</f>
        <v>6.5</v>
      </c>
      <c r="E163" s="103">
        <f ca="1">IF(AND(Energy!$F$11=$A$3,Main!$B$43=A163),Main!B40,E163)</f>
        <v>0.35555555555555546</v>
      </c>
      <c r="F163" s="103">
        <f ca="1">IF(Main!$D$6=1,U163,IF(Main!$D$6=2,N163,IF(Main!$D$6=3,K163,IF(Main!$D$6=4,V163,J163))))</f>
        <v>411.56556745785281</v>
      </c>
      <c r="G163" s="103">
        <f ca="1">IF(AND(Energy!$F$11=$A$3,Main!$B$43=A163),Weight!H40,G163)</f>
        <v>10</v>
      </c>
      <c r="H163" s="103">
        <f ca="1">IF(AND(Energy!$F$11=$A$3,Main!$B$43=A163),Weight!U40,H163)</f>
        <v>24.290678382460499</v>
      </c>
      <c r="I163" s="103">
        <f ca="1">IF(AND(Energy!$F$11=$A$3,Main!$B$43=A163),Weight!V40,I163)</f>
        <v>44.98733677134976</v>
      </c>
      <c r="J163" s="103">
        <f ca="1">IF(AND(Energy!$F$11=$A$3,Main!$B$43=A163),Weight!I40,J163)</f>
        <v>10.636300113889265</v>
      </c>
      <c r="K163" s="103">
        <f ca="1">IF(AND(Energy!$F$11=$A$3,Main!$B$43=A163),Weight!W40,K163)</f>
        <v>54.987337033327101</v>
      </c>
      <c r="L163" s="103">
        <f ca="1">IF(AND(Energy!$F$11=$A$3,Main!$B$43=A163),'Aerodynamics-Cruise'!BI40,L163)</f>
        <v>54.987336461500334</v>
      </c>
      <c r="M163" s="103">
        <f ca="1">IF(AND(Energy!$F$11=$A$3,Main!$B$43=A163),'Aerodynamics-Cruise'!BJ40,M163)</f>
        <v>2.5568422223288234</v>
      </c>
      <c r="N163" s="103">
        <f ca="1">IF(AND(Energy!$F$11=$A$3,Main!$B$43=A163),'Aerodynamics-Cruise'!BK40,N163)</f>
        <v>21.505956050513262</v>
      </c>
      <c r="O163" s="103">
        <f t="shared" ca="1" si="9"/>
        <v>159.47407640799085</v>
      </c>
      <c r="P163" s="103">
        <f ca="1">IF(AND(Energy!$F$11=$A$3,Main!$B$43=A163),'Aerodynamics-Cruise'!H40,P163)</f>
        <v>6.6129326418658438</v>
      </c>
      <c r="Q163" s="103">
        <f ca="1">IF(AND(Energy!$F$11=$A$3,Main!$B$43=A163),'Aerodynamics-Cruise'!I40,Q163)</f>
        <v>5.5141943034056364</v>
      </c>
      <c r="R163" s="103">
        <f ca="1">IF(AND(Energy!$F$11=$A$3,Main!$B$43=$A163),Summary!R40,R163)</f>
        <v>19.446555714445761</v>
      </c>
      <c r="S163" s="103">
        <f ca="1">IF(AND(Energy!$F$11=$A$3,Main!$B$43=A163),'Aerodynamics-Cruise'!W40,S163)</f>
        <v>1</v>
      </c>
      <c r="T163" s="103">
        <f ca="1">IF(AND(Energy!$F$11=$A$3,Main!$B$43=A163),'Aerodynamics-Cruise'!BL40,T163)</f>
        <v>16.90822539213908</v>
      </c>
      <c r="U163" s="103">
        <f ca="1">IF(AND(Energy!$F$11=$A$3,Main!$B$43=A163),'Propulsion-Cruise'!M40,U163)</f>
        <v>40.74324886002254</v>
      </c>
      <c r="V163" s="103">
        <f ca="1">IF(AND(Energy!$F$11=$A$3,Main!$B$43=A163),Endurance!AP40,V163)</f>
        <v>411.56556745785281</v>
      </c>
      <c r="W163" s="103">
        <f ca="1">IF(AND(Energy!$F$11=$A$3,Main!$B$43=$A163),Summary!W40,W163)</f>
        <v>68.370640048685061</v>
      </c>
      <c r="X163" s="13">
        <f ca="1">IF(AND(Energy!$F$11=$A$3,Main!$B$43=A163),Energy!D40,X163)</f>
        <v>1007.1469872862514</v>
      </c>
      <c r="Y163" s="102">
        <f ca="1">IF(AND(Energy!$F$11=$A$3,Main!$B$43=A163),'Aerodynamics-Cruise'!V40,Y163)</f>
        <v>149123.75996049537</v>
      </c>
      <c r="Z163" s="102">
        <f ca="1">IF(AND(Energy!$F$11=$A$3,Main!$B$43=$A163),Summary!Z40,Z163)</f>
        <v>109118.33398727131</v>
      </c>
      <c r="AA163" s="102">
        <f ca="1">IF(AND(Energy!$F$11=$A$3,Main!$B$43=$A163),Summary!AA40,AA163)</f>
        <v>438526.09174636746</v>
      </c>
      <c r="AB163" s="103">
        <f ca="1">IF(AND(Energy!$F$11=$A$3,Main!$B$43=$A163),Summary!AB40,AB163)</f>
        <v>2.2415526452825247</v>
      </c>
      <c r="AC163" s="103">
        <f ca="1">IF(AND(Energy!$F$11=$A$3,Main!$B$43=$A163),Summary!AC40,AC163)</f>
        <v>2.0847981166115548</v>
      </c>
      <c r="AD163" s="103">
        <f ca="1">IF(AND(Energy!$F$11=$A$3,Main!$B$43=$A163),Summary!AD40,AD163)</f>
        <v>0.37969735687710338</v>
      </c>
      <c r="AE163" s="103">
        <f ca="1">IF(AND(Energy!$F$11=$A$3,Main!$B$43=$A163),Summary!AE40,AE163)</f>
        <v>2.3111111111111104</v>
      </c>
      <c r="AF163" s="103">
        <f ca="1">IF(AND(Energy!$F$11=$A$3,Main!$B$43=$A163),Summary!AF40,AF163)</f>
        <v>18.281250000000004</v>
      </c>
      <c r="AG163" s="103">
        <f ca="1">IF(AND(Energy!$F$11=$A$3,Main!$B$43=$A163),Summary!AG40,AG163)</f>
        <v>9.6641264630890333</v>
      </c>
      <c r="AH163" s="103">
        <f ca="1">IF(AND(Energy!$F$11=$A$3,Main!$B$43=$A163),Summary!AH40,AH163)</f>
        <v>47</v>
      </c>
      <c r="AI163" s="103">
        <f ca="1">IF(AND(Energy!$F$11=$A$3,Main!$B$43=$A163),Summary!AI40,AI163)</f>
        <v>2.818902991192699</v>
      </c>
      <c r="AJ163" s="103">
        <f ca="1">IF(AND(Energy!$F$11=$A$3,Main!$B$43=$A163),Summary!AJ40,AJ163)</f>
        <v>0.31446493296684258</v>
      </c>
      <c r="AK163" s="103">
        <f ca="1">IF(AND(Energy!$F$11=$A$3,Main!$B$43=$A163),Summary!AK40,AK163)</f>
        <v>0.01</v>
      </c>
      <c r="AL163" s="103">
        <f ca="1">IF(AND(Energy!$F$11=$A$3,Main!$B$43=$A163),Summary!AL40,AL163)</f>
        <v>-0.333930615664496</v>
      </c>
      <c r="AM163" s="103">
        <f ca="1">IF(AND(Energy!$F$11=$A$3,Main!$B$43=$A163),Summary!AM40,AM163)</f>
        <v>0.6875</v>
      </c>
    </row>
    <row r="164" spans="1:39">
      <c r="A164" s="7">
        <f>A144+1</f>
        <v>9</v>
      </c>
      <c r="D164" s="1">
        <f ca="1">IF(AND(Energy!$F$11=$A$3,Main!$B$43=A164),Main!C21,D164)</f>
        <v>3.5</v>
      </c>
      <c r="E164" s="103">
        <f ca="1">IF(AND(Energy!$F$11=$A$3,Main!$B$43=A164),Main!B21,E164)</f>
        <v>0.37777777777777766</v>
      </c>
      <c r="F164" s="103">
        <f ca="1">IF(Main!$D$6=1,U164,IF(Main!$D$6=2,N164,IF(Main!$D$6=3,K164,IF(Main!$D$6=4,V164,J164))))</f>
        <v>393.8106353392385</v>
      </c>
      <c r="G164" s="103">
        <f ca="1">IF(AND(Energy!$F$11=$A$3,Main!$B$43=A164),Weight!H21,G164)</f>
        <v>10</v>
      </c>
      <c r="H164" s="103">
        <f ca="1">IF(AND(Energy!$F$11=$A$3,Main!$B$43=A164),Weight!U21,H164)</f>
        <v>12.548730803911571</v>
      </c>
      <c r="I164" s="103">
        <f ca="1">IF(AND(Energy!$F$11=$A$3,Main!$B$43=A164),Weight!V21,I164)</f>
        <v>31.959752064035769</v>
      </c>
      <c r="J164" s="103">
        <f ca="1">IF(AND(Energy!$F$11=$A$3,Main!$B$43=A164),Weight!I21,J164)</f>
        <v>9.3506629851241989</v>
      </c>
      <c r="K164" s="103">
        <f ca="1">IF(AND(Energy!$F$11=$A$3,Main!$B$43=A164),Weight!W21,K164)</f>
        <v>41.959752112642377</v>
      </c>
      <c r="L164" s="103">
        <f ca="1">IF(AND(Energy!$F$11=$A$3,Main!$B$43=A164),'Aerodynamics-Cruise'!BI21,L164)</f>
        <v>41.959751999060309</v>
      </c>
      <c r="M164" s="103">
        <f ca="1">IF(AND(Energy!$F$11=$A$3,Main!$B$43=A164),'Aerodynamics-Cruise'!BJ21,M164)</f>
        <v>2.3816219968331609</v>
      </c>
      <c r="N164" s="103">
        <f ca="1">IF(AND(Energy!$F$11=$A$3,Main!$B$43=A164),'Aerodynamics-Cruise'!BK21,N164)</f>
        <v>17.618140937081588</v>
      </c>
      <c r="O164" s="103">
        <f t="shared" ca="1" si="9"/>
        <v>114.12388202516142</v>
      </c>
      <c r="P164" s="103">
        <f ca="1">IF(AND(Energy!$F$11=$A$3,Main!$B$43=A164),'Aerodynamics-Cruise'!H21,P164)</f>
        <v>7.6435942721445009</v>
      </c>
      <c r="Q164" s="103">
        <f ca="1">IF(AND(Energy!$F$11=$A$3,Main!$B$43=A164),'Aerodynamics-Cruise'!I21,Q164)</f>
        <v>6.3592388970505525</v>
      </c>
      <c r="R164" s="103">
        <f ca="1">IF(AND(Energy!$F$11=$A$3,Main!$B$43=$A164),Summary!R21,R164)</f>
        <v>23.370283170582457</v>
      </c>
      <c r="S164" s="103">
        <f ca="1">IF(AND(Energy!$F$11=$A$3,Main!$B$43=A164),'Aerodynamics-Cruise'!W21,S164)</f>
        <v>1</v>
      </c>
      <c r="T164" s="103">
        <f ca="1">IF(AND(Energy!$F$11=$A$3,Main!$B$43=A164),'Aerodynamics-Cruise'!BL21,T164)</f>
        <v>18.204152253407297</v>
      </c>
      <c r="U164" s="103">
        <f ca="1">IF(AND(Energy!$F$11=$A$3,Main!$B$43=A164),'Propulsion-Cruise'!M21,U164)</f>
        <v>41.497438596950623</v>
      </c>
      <c r="V164" s="103">
        <f ca="1">IF(AND(Energy!$F$11=$A$3,Main!$B$43=A164),Endurance!AP21,V164)</f>
        <v>393.8106353392385</v>
      </c>
      <c r="W164" s="103">
        <f ca="1">IF(AND(Energy!$F$11=$A$3,Main!$B$43=$A164),Summary!W21,W164)</f>
        <v>44.234070066966304</v>
      </c>
      <c r="X164" s="13">
        <f ca="1">IF(AND(Energy!$F$11=$A$3,Main!$B$43=A164),Energy!D21,X164)</f>
        <v>963.56707112079516</v>
      </c>
      <c r="Y164" s="102">
        <f ca="1">IF(AND(Energy!$F$11=$A$3,Main!$B$43=A164),'Aerodynamics-Cruise'!V21,Y164)</f>
        <v>183138.35599195736</v>
      </c>
      <c r="Z164" s="102">
        <f ca="1">IF(AND(Energy!$F$11=$A$3,Main!$B$43=$A164),Summary!Z21,Z164)</f>
        <v>133707.72769249661</v>
      </c>
      <c r="AA164" s="102">
        <f ca="1">IF(AND(Energy!$F$11=$A$3,Main!$B$43=$A164),Summary!AA21,AA164)</f>
        <v>559945.37210387248</v>
      </c>
      <c r="AB164" s="103">
        <f ca="1">IF(AND(Energy!$F$11=$A$3,Main!$B$43=$A164),Summary!AB21,AB164)</f>
        <v>2.290461924949613</v>
      </c>
      <c r="AC164" s="103">
        <f ca="1">IF(AND(Energy!$F$11=$A$3,Main!$B$43=$A164),Summary!AC21,AC164)</f>
        <v>3.1044507655780098</v>
      </c>
      <c r="AD164" s="103">
        <f ca="1">IF(AND(Energy!$F$11=$A$3,Main!$B$43=$A164),Summary!AD21,AD164)</f>
        <v>0.38994641408883685</v>
      </c>
      <c r="AE164" s="103">
        <f ca="1">IF(AND(Energy!$F$11=$A$3,Main!$B$43=$A164),Summary!AE21,AE164)</f>
        <v>1.3222222222222217</v>
      </c>
      <c r="AF164" s="103">
        <f ca="1">IF(AND(Energy!$F$11=$A$3,Main!$B$43=$A164),Summary!AF21,AF164)</f>
        <v>9.2647058823529438</v>
      </c>
      <c r="AG164" s="103">
        <f ca="1">IF(AND(Energy!$F$11=$A$3,Main!$B$43=$A164),Summary!AG21,AG164)</f>
        <v>9.6346506945288137</v>
      </c>
      <c r="AH164" s="103">
        <f ca="1">IF(AND(Energy!$F$11=$A$3,Main!$B$43=$A164),Summary!AH21,AH164)</f>
        <v>47</v>
      </c>
      <c r="AI164" s="103">
        <f ca="1">IF(AND(Energy!$F$11=$A$3,Main!$B$43=$A164),Summary!AI21,AI164)</f>
        <v>2.8316595734423893</v>
      </c>
      <c r="AJ164" s="103">
        <f ca="1">IF(AND(Energy!$F$11=$A$3,Main!$B$43=$A164),Summary!AJ21,AJ164)</f>
        <v>0.31880948708707857</v>
      </c>
      <c r="AK164" s="103">
        <f ca="1">IF(AND(Energy!$F$11=$A$3,Main!$B$43=$A164),Summary!AK21,AK164)</f>
        <v>0.01</v>
      </c>
      <c r="AL164" s="103">
        <f ca="1">IF(AND(Energy!$F$11=$A$3,Main!$B$43=$A164),Summary!AL21,AL164)</f>
        <v>-0.32943029614528901</v>
      </c>
      <c r="AM164" s="103">
        <f ca="1">IF(AND(Energy!$F$11=$A$3,Main!$B$43=$A164),Summary!AM21,AM164)</f>
        <v>0.6875</v>
      </c>
    </row>
    <row r="165" spans="1:39">
      <c r="A165">
        <f>A164</f>
        <v>9</v>
      </c>
      <c r="D165" s="1">
        <f ca="1">IF(AND(Energy!$F$11=$A$3,Main!$B$43=A165),Main!C22,D165)</f>
        <v>3.6578947368421053</v>
      </c>
      <c r="E165" s="103">
        <f ca="1">IF(AND(Energy!$F$11=$A$3,Main!$B$43=A165),Main!B22,E165)</f>
        <v>0.37777777777777766</v>
      </c>
      <c r="F165" s="103">
        <f ca="1">IF(Main!$D$6=1,U165,IF(Main!$D$6=2,N165,IF(Main!$D$6=3,K165,IF(Main!$D$6=4,V165,J165))))</f>
        <v>390.66668553929833</v>
      </c>
      <c r="G165" s="103">
        <f ca="1">IF(AND(Energy!$F$11=$A$3,Main!$B$43=A165),Weight!H22,G165)</f>
        <v>10</v>
      </c>
      <c r="H165" s="103">
        <f ca="1">IF(AND(Energy!$F$11=$A$3,Main!$B$43=A165),Weight!U22,H165)</f>
        <v>13.098144271696377</v>
      </c>
      <c r="I165" s="103">
        <f ca="1">IF(AND(Energy!$F$11=$A$3,Main!$B$43=A165),Weight!V22,I165)</f>
        <v>32.569002449607936</v>
      </c>
      <c r="J165" s="103">
        <f ca="1">IF(AND(Energy!$F$11=$A$3,Main!$B$43=A165),Weight!I22,J165)</f>
        <v>9.4104999029115604</v>
      </c>
      <c r="K165" s="103">
        <f ca="1">IF(AND(Energy!$F$11=$A$3,Main!$B$43=A165),Weight!W22,K165)</f>
        <v>42.56900250783621</v>
      </c>
      <c r="L165" s="103">
        <f ca="1">IF(AND(Energy!$F$11=$A$3,Main!$B$43=A165),'Aerodynamics-Cruise'!BI22,L165)</f>
        <v>42.569002372788532</v>
      </c>
      <c r="M165" s="103">
        <f ca="1">IF(AND(Energy!$F$11=$A$3,Main!$B$43=A165),'Aerodynamics-Cruise'!BJ22,M165)</f>
        <v>2.3749279473742972</v>
      </c>
      <c r="N165" s="103">
        <f ca="1">IF(AND(Energy!$F$11=$A$3,Main!$B$43=A165),'Aerodynamics-Cruise'!BK22,N165)</f>
        <v>17.924334260267774</v>
      </c>
      <c r="O165" s="103">
        <f t="shared" ca="1" si="9"/>
        <v>116.94718443519298</v>
      </c>
      <c r="P165" s="103">
        <f ca="1">IF(AND(Energy!$F$11=$A$3,Main!$B$43=A165),'Aerodynamics-Cruise'!H22,P165)</f>
        <v>7.5307650247082032</v>
      </c>
      <c r="Q165" s="103">
        <f ca="1">IF(AND(Energy!$F$11=$A$3,Main!$B$43=A165),'Aerodynamics-Cruise'!I22,Q165)</f>
        <v>6.2661203485293306</v>
      </c>
      <c r="R165" s="103">
        <f ca="1">IF(AND(Energy!$F$11=$A$3,Main!$B$43=$A165),Summary!R22,R165)</f>
        <v>23.085433814818863</v>
      </c>
      <c r="S165" s="103">
        <f ca="1">IF(AND(Energy!$F$11=$A$3,Main!$B$43=A165),'Aerodynamics-Cruise'!W22,S165)</f>
        <v>1</v>
      </c>
      <c r="T165" s="103">
        <f ca="1">IF(AND(Energy!$F$11=$A$3,Main!$B$43=A165),'Aerodynamics-Cruise'!BL22,T165)</f>
        <v>17.885024322288402</v>
      </c>
      <c r="U165" s="103">
        <f ca="1">IF(AND(Energy!$F$11=$A$3,Main!$B$43=A165),'Propulsion-Cruise'!M22,U165)</f>
        <v>40.991616743364077</v>
      </c>
      <c r="V165" s="103">
        <f ca="1">IF(AND(Energy!$F$11=$A$3,Main!$B$43=A165),Endurance!AP22,V165)</f>
        <v>390.66668553929833</v>
      </c>
      <c r="W165" s="103">
        <f ca="1">IF(AND(Energy!$F$11=$A$3,Main!$B$43=$A165),Summary!W22,W165)</f>
        <v>45.357449171107824</v>
      </c>
      <c r="X165" s="13">
        <f ca="1">IF(AND(Energy!$F$11=$A$3,Main!$B$43=A165),Energy!D22,X165)</f>
        <v>965.59539447358156</v>
      </c>
      <c r="Y165" s="102">
        <f ca="1">IF(AND(Energy!$F$11=$A$3,Main!$B$43=A165),'Aerodynamics-Cruise'!V22,Y165)</f>
        <v>180434.99914862038</v>
      </c>
      <c r="Z165" s="102">
        <f ca="1">IF(AND(Energy!$F$11=$A$3,Main!$B$43=$A165),Summary!Z22,Z165)</f>
        <v>131749.73180713074</v>
      </c>
      <c r="AA165" s="102">
        <f ca="1">IF(AND(Energy!$F$11=$A$3,Main!$B$43=$A165),Summary!AA22,AA165)</f>
        <v>553120.46213840973</v>
      </c>
      <c r="AB165" s="103">
        <f ca="1">IF(AND(Energy!$F$11=$A$3,Main!$B$43=$A165),Summary!AB22,AB165)</f>
        <v>2.253943701641961</v>
      </c>
      <c r="AC165" s="103">
        <f ca="1">IF(AND(Energy!$F$11=$A$3,Main!$B$43=$A165),Summary!AC22,AC165)</f>
        <v>3.0249620815388121</v>
      </c>
      <c r="AD165" s="103">
        <f ca="1">IF(AND(Energy!$F$11=$A$3,Main!$B$43=$A165),Summary!AD22,AD165)</f>
        <v>0.38742443591581482</v>
      </c>
      <c r="AE165" s="103">
        <f ca="1">IF(AND(Energy!$F$11=$A$3,Main!$B$43=$A165),Summary!AE22,AE165)</f>
        <v>1.3818713450292393</v>
      </c>
      <c r="AF165" s="103">
        <f ca="1">IF(AND(Energy!$F$11=$A$3,Main!$B$43=$A165),Summary!AF22,AF165)</f>
        <v>9.6826625386996934</v>
      </c>
      <c r="AG165" s="103">
        <f ca="1">IF(AND(Energy!$F$11=$A$3,Main!$B$43=$A165),Summary!AG22,AG165)</f>
        <v>9.5763194813155721</v>
      </c>
      <c r="AH165" s="103">
        <f ca="1">IF(AND(Energy!$F$11=$A$3,Main!$B$43=$A165),Summary!AH22,AH165)</f>
        <v>47</v>
      </c>
      <c r="AI165" s="103">
        <f ca="1">IF(AND(Energy!$F$11=$A$3,Main!$B$43=$A165),Summary!AI22,AI165)</f>
        <v>2.8309799834082114</v>
      </c>
      <c r="AJ165" s="103">
        <f ca="1">IF(AND(Energy!$F$11=$A$3,Main!$B$43=$A165),Summary!AJ22,AJ165)</f>
        <v>0.31675004918209593</v>
      </c>
      <c r="AK165" s="103">
        <f ca="1">IF(AND(Energy!$F$11=$A$3,Main!$B$43=$A165),Summary!AK22,AK165)</f>
        <v>0.01</v>
      </c>
      <c r="AL165" s="103">
        <f ca="1">IF(AND(Energy!$F$11=$A$3,Main!$B$43=$A165),Summary!AL22,AL165)</f>
        <v>-0.33156694106162826</v>
      </c>
      <c r="AM165" s="103">
        <f ca="1">IF(AND(Energy!$F$11=$A$3,Main!$B$43=$A165),Summary!AM22,AM165)</f>
        <v>0.6875</v>
      </c>
    </row>
    <row r="166" spans="1:39">
      <c r="A166">
        <f t="shared" ref="A166:A183" si="11">A165</f>
        <v>9</v>
      </c>
      <c r="D166" s="1">
        <f ca="1">IF(AND(Energy!$F$11=$A$3,Main!$B$43=A166),Main!C23,D166)</f>
        <v>3.8157894736842106</v>
      </c>
      <c r="E166" s="103">
        <f ca="1">IF(AND(Energy!$F$11=$A$3,Main!$B$43=A166),Main!B23,E166)</f>
        <v>0.37777777777777766</v>
      </c>
      <c r="F166" s="103">
        <f ca="1">IF(Main!$D$6=1,U166,IF(Main!$D$6=2,N166,IF(Main!$D$6=3,K166,IF(Main!$D$6=4,V166,J166))))</f>
        <v>388.36856930801582</v>
      </c>
      <c r="G166" s="103">
        <f ca="1">IF(AND(Energy!$F$11=$A$3,Main!$B$43=A166),Weight!H23,G166)</f>
        <v>10</v>
      </c>
      <c r="H166" s="103">
        <f ca="1">IF(AND(Energy!$F$11=$A$3,Main!$B$43=A166),Weight!U23,H166)</f>
        <v>13.66323179323151</v>
      </c>
      <c r="I166" s="103">
        <f ca="1">IF(AND(Energy!$F$11=$A$3,Main!$B$43=A166),Weight!V23,I166)</f>
        <v>33.196603816572534</v>
      </c>
      <c r="J166" s="103">
        <f ca="1">IF(AND(Energy!$F$11=$A$3,Main!$B$43=A166),Weight!I23,J166)</f>
        <v>9.4730137483410246</v>
      </c>
      <c r="K166" s="103">
        <f ca="1">IF(AND(Energy!$F$11=$A$3,Main!$B$43=A166),Weight!W23,K166)</f>
        <v>43.196603887488145</v>
      </c>
      <c r="L166" s="103">
        <f ca="1">IF(AND(Energy!$F$11=$A$3,Main!$B$43=A166),'Aerodynamics-Cruise'!BI23,L166)</f>
        <v>43.19660372480287</v>
      </c>
      <c r="M166" s="103">
        <f ca="1">IF(AND(Energy!$F$11=$A$3,Main!$B$43=A166),'Aerodynamics-Cruise'!BJ23,M166)</f>
        <v>2.371802647979659</v>
      </c>
      <c r="N166" s="103">
        <f ca="1">IF(AND(Energy!$F$11=$A$3,Main!$B$43=A166),'Aerodynamics-Cruise'!BK23,N166)</f>
        <v>18.212562399151739</v>
      </c>
      <c r="O166" s="103">
        <f t="shared" ca="1" si="9"/>
        <v>119.70046951965502</v>
      </c>
      <c r="P166" s="103">
        <f ca="1">IF(AND(Energy!$F$11=$A$3,Main!$B$43=A166),'Aerodynamics-Cruise'!H23,P166)</f>
        <v>7.4273545780993402</v>
      </c>
      <c r="Q166" s="103">
        <f ca="1">IF(AND(Energy!$F$11=$A$3,Main!$B$43=A166),'Aerodynamics-Cruise'!I23,Q166)</f>
        <v>6.1807607684812709</v>
      </c>
      <c r="R166" s="103">
        <f ca="1">IF(AND(Energy!$F$11=$A$3,Main!$B$43=$A166),Summary!R23,R166)</f>
        <v>22.812070964557211</v>
      </c>
      <c r="S166" s="103">
        <f ca="1">IF(AND(Energy!$F$11=$A$3,Main!$B$43=A166),'Aerodynamics-Cruise'!W23,S166)</f>
        <v>1</v>
      </c>
      <c r="T166" s="103">
        <f ca="1">IF(AND(Energy!$F$11=$A$3,Main!$B$43=A166),'Aerodynamics-Cruise'!BL23,T166)</f>
        <v>17.616219255819857</v>
      </c>
      <c r="U166" s="103">
        <f ca="1">IF(AND(Energy!$F$11=$A$3,Main!$B$43=A166),'Propulsion-Cruise'!M23,U166)</f>
        <v>40.580918901585157</v>
      </c>
      <c r="V166" s="103">
        <f ca="1">IF(AND(Energy!$F$11=$A$3,Main!$B$43=A166),Endurance!AP23,V166)</f>
        <v>388.36856930801582</v>
      </c>
      <c r="W166" s="103">
        <f ca="1">IF(AND(Energy!$F$11=$A$3,Main!$B$43=$A166),Summary!W23,W166)</f>
        <v>46.531085034638778</v>
      </c>
      <c r="X166" s="13">
        <f ca="1">IF(AND(Energy!$F$11=$A$3,Main!$B$43=A166),Energy!D23,X166)</f>
        <v>967.7144591203637</v>
      </c>
      <c r="Y166" s="102">
        <f ca="1">IF(AND(Energy!$F$11=$A$3,Main!$B$43=A166),'Aerodynamics-Cruise'!V23,Y166)</f>
        <v>177957.31410804222</v>
      </c>
      <c r="Z166" s="102">
        <f ca="1">IF(AND(Energy!$F$11=$A$3,Main!$B$43=$A166),Summary!Z23,Z166)</f>
        <v>129954.88519686543</v>
      </c>
      <c r="AA166" s="102">
        <f ca="1">IF(AND(Energy!$F$11=$A$3,Main!$B$43=$A166),Summary!AA23,AA166)</f>
        <v>546570.76559464633</v>
      </c>
      <c r="AB166" s="103">
        <f ca="1">IF(AND(Energy!$F$11=$A$3,Main!$B$43=$A166),Summary!AB23,AB166)</f>
        <v>2.2233240123906688</v>
      </c>
      <c r="AC166" s="103">
        <f ca="1">IF(AND(Energy!$F$11=$A$3,Main!$B$43=$A166),Summary!AC23,AC166)</f>
        <v>2.9485918070303594</v>
      </c>
      <c r="AD166" s="103">
        <f ca="1">IF(AND(Energy!$F$11=$A$3,Main!$B$43=$A166),Summary!AD23,AD166)</f>
        <v>0.38528898726347338</v>
      </c>
      <c r="AE166" s="103">
        <f ca="1">IF(AND(Energy!$F$11=$A$3,Main!$B$43=$A166),Summary!AE23,AE166)</f>
        <v>1.441520467836257</v>
      </c>
      <c r="AF166" s="103">
        <f ca="1">IF(AND(Energy!$F$11=$A$3,Main!$B$43=$A166),Summary!AF23,AF166)</f>
        <v>10.100619195046443</v>
      </c>
      <c r="AG166" s="103">
        <f ca="1">IF(AND(Energy!$F$11=$A$3,Main!$B$43=$A166),Summary!AG23,AG166)</f>
        <v>9.5302632457416205</v>
      </c>
      <c r="AH166" s="103">
        <f ca="1">IF(AND(Energy!$F$11=$A$3,Main!$B$43=$A166),Summary!AH23,AH166)</f>
        <v>47</v>
      </c>
      <c r="AI166" s="103">
        <f ca="1">IF(AND(Energy!$F$11=$A$3,Main!$B$43=$A166),Summary!AI23,AI166)</f>
        <v>2.8303524165451193</v>
      </c>
      <c r="AJ166" s="103">
        <f ca="1">IF(AND(Energy!$F$11=$A$3,Main!$B$43=$A166),Summary!AJ23,AJ166)</f>
        <v>0.3148237769707557</v>
      </c>
      <c r="AK166" s="103">
        <f ca="1">IF(AND(Energy!$F$11=$A$3,Main!$B$43=$A166),Summary!AK23,AK166)</f>
        <v>0.01</v>
      </c>
      <c r="AL166" s="103">
        <f ca="1">IF(AND(Energy!$F$11=$A$3,Main!$B$43=$A166),Summary!AL23,AL166)</f>
        <v>-0.33359097652248698</v>
      </c>
      <c r="AM166" s="103">
        <f ca="1">IF(AND(Energy!$F$11=$A$3,Main!$B$43=$A166),Summary!AM23,AM166)</f>
        <v>0.6875</v>
      </c>
    </row>
    <row r="167" spans="1:39">
      <c r="A167">
        <f t="shared" si="11"/>
        <v>9</v>
      </c>
      <c r="D167" s="1">
        <f ca="1">IF(AND(Energy!$F$11=$A$3,Main!$B$43=A167),Main!C24,D167)</f>
        <v>3.9736842105263159</v>
      </c>
      <c r="E167" s="103">
        <f ca="1">IF(AND(Energy!$F$11=$A$3,Main!$B$43=A167),Main!B24,E167)</f>
        <v>0.37777777777777766</v>
      </c>
      <c r="F167" s="103">
        <f ca="1">IF(Main!$D$6=1,U167,IF(Main!$D$6=2,N167,IF(Main!$D$6=3,K167,IF(Main!$D$6=4,V167,J167))))</f>
        <v>386.82105757349791</v>
      </c>
      <c r="G167" s="103">
        <f ca="1">IF(AND(Energy!$F$11=$A$3,Main!$B$43=A167),Weight!H24,G167)</f>
        <v>10</v>
      </c>
      <c r="H167" s="103">
        <f ca="1">IF(AND(Energy!$F$11=$A$3,Main!$B$43=A167),Weight!U24,H167)</f>
        <v>14.244104667725651</v>
      </c>
      <c r="I167" s="103">
        <f ca="1">IF(AND(Energy!$F$11=$A$3,Main!$B$43=A167),Weight!V24,I167)</f>
        <v>33.842373387667521</v>
      </c>
      <c r="J167" s="103">
        <f ca="1">IF(AND(Energy!$F$11=$A$3,Main!$B$43=A167),Weight!I24,J167)</f>
        <v>9.5379104449418719</v>
      </c>
      <c r="K167" s="103">
        <f ca="1">IF(AND(Energy!$F$11=$A$3,Main!$B$43=A167),Weight!W24,K167)</f>
        <v>43.84237347410091</v>
      </c>
      <c r="L167" s="103">
        <f ca="1">IF(AND(Energy!$F$11=$A$3,Main!$B$43=A167),'Aerodynamics-Cruise'!BI24,L167)</f>
        <v>43.842373278097838</v>
      </c>
      <c r="M167" s="103">
        <f ca="1">IF(AND(Energy!$F$11=$A$3,Main!$B$43=A167),'Aerodynamics-Cruise'!BJ24,M167)</f>
        <v>2.3718796304699463</v>
      </c>
      <c r="N167" s="103">
        <f ca="1">IF(AND(Energy!$F$11=$A$3,Main!$B$43=A167),'Aerodynamics-Cruise'!BK24,N167)</f>
        <v>18.484231963074468</v>
      </c>
      <c r="O167" s="103">
        <f t="shared" ca="1" si="9"/>
        <v>122.39070533767571</v>
      </c>
      <c r="P167" s="103">
        <f ca="1">IF(AND(Energy!$F$11=$A$3,Main!$B$43=A167),'Aerodynamics-Cruise'!H24,P167)</f>
        <v>7.3324010478168669</v>
      </c>
      <c r="Q167" s="103">
        <f ca="1">IF(AND(Energy!$F$11=$A$3,Main!$B$43=A167),'Aerodynamics-Cruise'!I24,Q167)</f>
        <v>6.1023698858425304</v>
      </c>
      <c r="R167" s="103">
        <f ca="1">IF(AND(Energy!$F$11=$A$3,Main!$B$43=$A167),Summary!R24,R167)</f>
        <v>22.549462340062121</v>
      </c>
      <c r="S167" s="103">
        <f ca="1">IF(AND(Energy!$F$11=$A$3,Main!$B$43=A167),'Aerodynamics-Cruise'!W24,S167)</f>
        <v>1</v>
      </c>
      <c r="T167" s="103">
        <f ca="1">IF(AND(Energy!$F$11=$A$3,Main!$B$43=A167),'Aerodynamics-Cruise'!BL24,T167)</f>
        <v>17.391572687753317</v>
      </c>
      <c r="U167" s="103">
        <f ca="1">IF(AND(Energy!$F$11=$A$3,Main!$B$43=A167),'Propulsion-Cruise'!M24,U167)</f>
        <v>40.254256153184066</v>
      </c>
      <c r="V167" s="103">
        <f ca="1">IF(AND(Energy!$F$11=$A$3,Main!$B$43=A167),Endurance!AP24,V167)</f>
        <v>386.82105757349791</v>
      </c>
      <c r="W167" s="103">
        <f ca="1">IF(AND(Energy!$F$11=$A$3,Main!$B$43=$A167),Summary!W24,W167)</f>
        <v>47.749456655622907</v>
      </c>
      <c r="X167" s="13">
        <f ca="1">IF(AND(Energy!$F$11=$A$3,Main!$B$43=A167),Energy!D24,X167)</f>
        <v>969.91429659110543</v>
      </c>
      <c r="Y167" s="102">
        <f ca="1">IF(AND(Energy!$F$11=$A$3,Main!$B$43=A167),'Aerodynamics-Cruise'!V24,Y167)</f>
        <v>175682.2543897448</v>
      </c>
      <c r="Z167" s="102">
        <f ca="1">IF(AND(Energy!$F$11=$A$3,Main!$B$43=$A167),Summary!Z24,Z167)</f>
        <v>128306.57037805436</v>
      </c>
      <c r="AA167" s="102">
        <f ca="1">IF(AND(Energy!$F$11=$A$3,Main!$B$43=$A167),Summary!AA24,AA167)</f>
        <v>540278.7372573223</v>
      </c>
      <c r="AB167" s="103">
        <f ca="1">IF(AND(Energy!$F$11=$A$3,Main!$B$43=$A167),Summary!AB24,AB167)</f>
        <v>2.1979517203537764</v>
      </c>
      <c r="AC167" s="103">
        <f ca="1">IF(AND(Energy!$F$11=$A$3,Main!$B$43=$A167),Summary!AC24,AC167)</f>
        <v>2.8751523809882782</v>
      </c>
      <c r="AD167" s="103">
        <f ca="1">IF(AND(Energy!$F$11=$A$3,Main!$B$43=$A167),Summary!AD24,AD167)</f>
        <v>0.38350078067411381</v>
      </c>
      <c r="AE167" s="103">
        <f ca="1">IF(AND(Energy!$F$11=$A$3,Main!$B$43=$A167),Summary!AE24,AE167)</f>
        <v>1.5011695906432745</v>
      </c>
      <c r="AF167" s="103">
        <f ca="1">IF(AND(Energy!$F$11=$A$3,Main!$B$43=$A167),Summary!AF24,AF167)</f>
        <v>10.518575851393191</v>
      </c>
      <c r="AG167" s="103">
        <f ca="1">IF(AND(Energy!$F$11=$A$3,Main!$B$43=$A167),Summary!AG24,AG167)</f>
        <v>9.4951514566379949</v>
      </c>
      <c r="AH167" s="103">
        <f ca="1">IF(AND(Energy!$F$11=$A$3,Main!$B$43=$A167),Summary!AH24,AH167)</f>
        <v>47</v>
      </c>
      <c r="AI167" s="103">
        <f ca="1">IF(AND(Energy!$F$11=$A$3,Main!$B$43=$A167),Summary!AI24,AI167)</f>
        <v>2.8297719187410402</v>
      </c>
      <c r="AJ167" s="103">
        <f ca="1">IF(AND(Energy!$F$11=$A$3,Main!$B$43=$A167),Summary!AJ24,AJ167)</f>
        <v>0.31301616325382547</v>
      </c>
      <c r="AK167" s="103">
        <f ca="1">IF(AND(Energy!$F$11=$A$3,Main!$B$43=$A167),Summary!AK24,AK167)</f>
        <v>0.01</v>
      </c>
      <c r="AL167" s="103">
        <f ca="1">IF(AND(Energy!$F$11=$A$3,Main!$B$43=$A167),Summary!AL24,AL167)</f>
        <v>-0.33551320218928954</v>
      </c>
      <c r="AM167" s="103">
        <f ca="1">IF(AND(Energy!$F$11=$A$3,Main!$B$43=$A167),Summary!AM24,AM167)</f>
        <v>0.6875</v>
      </c>
    </row>
    <row r="168" spans="1:39">
      <c r="A168">
        <f t="shared" si="11"/>
        <v>9</v>
      </c>
      <c r="D168" s="1">
        <f ca="1">IF(AND(Energy!$F$11=$A$3,Main!$B$43=A168),Main!C25,D168)</f>
        <v>4.1315789473684212</v>
      </c>
      <c r="E168" s="103">
        <f ca="1">IF(AND(Energy!$F$11=$A$3,Main!$B$43=A168),Main!B25,E168)</f>
        <v>0.37777777777777766</v>
      </c>
      <c r="F168" s="103">
        <f ca="1">IF(Main!$D$6=1,U168,IF(Main!$D$6=2,N168,IF(Main!$D$6=3,K168,IF(Main!$D$6=4,V168,J168))))</f>
        <v>385.94594865271193</v>
      </c>
      <c r="G168" s="103">
        <f ca="1">IF(AND(Energy!$F$11=$A$3,Main!$B$43=A168),Weight!H25,G168)</f>
        <v>10</v>
      </c>
      <c r="H168" s="103">
        <f ca="1">IF(AND(Energy!$F$11=$A$3,Main!$B$43=A168),Weight!U25,H168)</f>
        <v>14.84089667638068</v>
      </c>
      <c r="I168" s="103">
        <f ca="1">IF(AND(Energy!$F$11=$A$3,Main!$B$43=A168),Weight!V25,I168)</f>
        <v>34.506243132760815</v>
      </c>
      <c r="J168" s="103">
        <f ca="1">IF(AND(Energy!$F$11=$A$3,Main!$B$43=A168),Weight!I25,J168)</f>
        <v>9.6049881813801345</v>
      </c>
      <c r="K168" s="103">
        <f ca="1">IF(AND(Energy!$F$11=$A$3,Main!$B$43=A168),Weight!W25,K168)</f>
        <v>44.506243235910851</v>
      </c>
      <c r="L168" s="103">
        <f ca="1">IF(AND(Energy!$F$11=$A$3,Main!$B$43=A168),'Aerodynamics-Cruise'!BI25,L168)</f>
        <v>44.50624300420548</v>
      </c>
      <c r="M168" s="103">
        <f ca="1">IF(AND(Energy!$F$11=$A$3,Main!$B$43=A168),'Aerodynamics-Cruise'!BJ25,M168)</f>
        <v>2.3748543904056878</v>
      </c>
      <c r="N168" s="103">
        <f ca="1">IF(AND(Energy!$F$11=$A$3,Main!$B$43=A168),'Aerodynamics-Cruise'!BK25,N168)</f>
        <v>18.740619712942753</v>
      </c>
      <c r="O168" s="103">
        <f t="shared" ca="1" si="9"/>
        <v>125.02429532770837</v>
      </c>
      <c r="P168" s="103">
        <f ca="1">IF(AND(Energy!$F$11=$A$3,Main!$B$43=A168),'Aerodynamics-Cruise'!H25,P168)</f>
        <v>7.2450802388107132</v>
      </c>
      <c r="Q168" s="103">
        <f ca="1">IF(AND(Energy!$F$11=$A$3,Main!$B$43=A168),'Aerodynamics-Cruise'!I25,Q168)</f>
        <v>6.0302703071766448</v>
      </c>
      <c r="R168" s="103">
        <f ca="1">IF(AND(Energy!$F$11=$A$3,Main!$B$43=$A168),Summary!R25,R168)</f>
        <v>22.296936284248904</v>
      </c>
      <c r="S168" s="103">
        <f ca="1">IF(AND(Energy!$F$11=$A$3,Main!$B$43=A168),'Aerodynamics-Cruise'!W25,S168)</f>
        <v>1</v>
      </c>
      <c r="T168" s="103">
        <f ca="1">IF(AND(Energy!$F$11=$A$3,Main!$B$43=A168),'Aerodynamics-Cruise'!BL25,T168)</f>
        <v>17.20601061398111</v>
      </c>
      <c r="U168" s="103">
        <f ca="1">IF(AND(Energy!$F$11=$A$3,Main!$B$43=A168),'Propulsion-Cruise'!M25,U168)</f>
        <v>40.002504534422172</v>
      </c>
      <c r="V168" s="103">
        <f ca="1">IF(AND(Energy!$F$11=$A$3,Main!$B$43=A168),Endurance!AP25,V168)</f>
        <v>385.94594865271193</v>
      </c>
      <c r="W168" s="103">
        <f ca="1">IF(AND(Energy!$F$11=$A$3,Main!$B$43=$A168),Summary!W25,W168)</f>
        <v>49.008775176484306</v>
      </c>
      <c r="X168" s="13">
        <f ca="1">IF(AND(Energy!$F$11=$A$3,Main!$B$43=A168),Energy!D25,X168)</f>
        <v>972.18806593682598</v>
      </c>
      <c r="Y168" s="102">
        <f ca="1">IF(AND(Energy!$F$11=$A$3,Main!$B$43=A168),'Aerodynamics-Cruise'!V25,Y168)</f>
        <v>173590.07251353594</v>
      </c>
      <c r="Z168" s="102">
        <f ca="1">IF(AND(Energy!$F$11=$A$3,Main!$B$43=$A168),Summary!Z25,Z168)</f>
        <v>126790.54344570838</v>
      </c>
      <c r="AA168" s="102">
        <f ca="1">IF(AND(Energy!$F$11=$A$3,Main!$B$43=$A168),Summary!AA25,AA168)</f>
        <v>534228.28441273537</v>
      </c>
      <c r="AB168" s="103">
        <f ca="1">IF(AND(Energy!$F$11=$A$3,Main!$B$43=$A168),Summary!AB25,AB168)</f>
        <v>2.1772894016445399</v>
      </c>
      <c r="AC168" s="103">
        <f ca="1">IF(AND(Energy!$F$11=$A$3,Main!$B$43=$A168),Summary!AC25,AC168)</f>
        <v>2.804466114087071</v>
      </c>
      <c r="AD168" s="103">
        <f ca="1">IF(AND(Energy!$F$11=$A$3,Main!$B$43=$A168),Summary!AD25,AD168)</f>
        <v>0.38202642149572785</v>
      </c>
      <c r="AE168" s="103">
        <f ca="1">IF(AND(Energy!$F$11=$A$3,Main!$B$43=$A168),Summary!AE25,AE168)</f>
        <v>1.560818713450292</v>
      </c>
      <c r="AF168" s="103">
        <f ca="1">IF(AND(Energy!$F$11=$A$3,Main!$B$43=$A168),Summary!AF25,AF168)</f>
        <v>10.936532507739942</v>
      </c>
      <c r="AG168" s="103">
        <f ca="1">IF(AND(Energy!$F$11=$A$3,Main!$B$43=$A168),Summary!AG25,AG168)</f>
        <v>9.4698745916533742</v>
      </c>
      <c r="AH168" s="103">
        <f ca="1">IF(AND(Energy!$F$11=$A$3,Main!$B$43=$A168),Summary!AH25,AH168)</f>
        <v>47</v>
      </c>
      <c r="AI168" s="103">
        <f ca="1">IF(AND(Energy!$F$11=$A$3,Main!$B$43=$A168),Summary!AI25,AI168)</f>
        <v>2.8292342461959654</v>
      </c>
      <c r="AJ168" s="103">
        <f ca="1">IF(AND(Energy!$F$11=$A$3,Main!$B$43=$A168),Summary!AJ25,AJ168)</f>
        <v>0.31131999697511914</v>
      </c>
      <c r="AK168" s="103">
        <f ca="1">IF(AND(Energy!$F$11=$A$3,Main!$B$43=$A168),Summary!AK25,AK168)</f>
        <v>0.01</v>
      </c>
      <c r="AL168" s="103">
        <f ca="1">IF(AND(Energy!$F$11=$A$3,Main!$B$43=$A168),Summary!AL25,AL168)</f>
        <v>-0.3373373302967943</v>
      </c>
      <c r="AM168" s="103">
        <f ca="1">IF(AND(Energy!$F$11=$A$3,Main!$B$43=$A168),Summary!AM25,AM168)</f>
        <v>0.6875</v>
      </c>
    </row>
    <row r="169" spans="1:39">
      <c r="A169">
        <f t="shared" si="11"/>
        <v>9</v>
      </c>
      <c r="D169" s="1">
        <f ca="1">IF(AND(Energy!$F$11=$A$3,Main!$B$43=A169),Main!C26,D169)</f>
        <v>4.2894736842105265</v>
      </c>
      <c r="E169" s="103">
        <f ca="1">IF(AND(Energy!$F$11=$A$3,Main!$B$43=A169),Main!B26,E169)</f>
        <v>0.37777777777777766</v>
      </c>
      <c r="F169" s="103">
        <f ca="1">IF(Main!$D$6=1,U169,IF(Main!$D$6=2,N169,IF(Main!$D$6=3,K169,IF(Main!$D$6=4,V169,J169))))</f>
        <v>385.67862880439202</v>
      </c>
      <c r="G169" s="103">
        <f ca="1">IF(AND(Energy!$F$11=$A$3,Main!$B$43=A169),Weight!H26,G169)</f>
        <v>10</v>
      </c>
      <c r="H169" s="103">
        <f ca="1">IF(AND(Energy!$F$11=$A$3,Main!$B$43=A169),Weight!U26,H169)</f>
        <v>15.45376065015239</v>
      </c>
      <c r="I169" s="103">
        <f ca="1">IF(AND(Energy!$F$11=$A$3,Main!$B$43=A169),Weight!V26,I169)</f>
        <v>35.188231958712073</v>
      </c>
      <c r="J169" s="103">
        <f ca="1">IF(AND(Energy!$F$11=$A$3,Main!$B$43=A169),Weight!I26,J169)</f>
        <v>9.674113033559685</v>
      </c>
      <c r="K169" s="103">
        <f ca="1">IF(AND(Energy!$F$11=$A$3,Main!$B$43=A169),Weight!W26,K169)</f>
        <v>45.188232075951184</v>
      </c>
      <c r="L169" s="103">
        <f ca="1">IF(AND(Energy!$F$11=$A$3,Main!$B$43=A169),'Aerodynamics-Cruise'!BI26,L169)</f>
        <v>45.188231813856632</v>
      </c>
      <c r="M169" s="103">
        <f ca="1">IF(AND(Energy!$F$11=$A$3,Main!$B$43=A169),'Aerodynamics-Cruise'!BJ26,M169)</f>
        <v>2.3804726095910058</v>
      </c>
      <c r="N169" s="103">
        <f ca="1">IF(AND(Energy!$F$11=$A$3,Main!$B$43=A169),'Aerodynamics-Cruise'!BK26,N169)</f>
        <v>18.98288248803691</v>
      </c>
      <c r="O169" s="103">
        <f t="shared" ca="1" si="9"/>
        <v>127.6070983198873</v>
      </c>
      <c r="P169" s="103">
        <f ca="1">IF(AND(Energy!$F$11=$A$3,Main!$B$43=A169),'Aerodynamics-Cruise'!H26,P169)</f>
        <v>7.1646808742312995</v>
      </c>
      <c r="Q169" s="103">
        <f ca="1">IF(AND(Energy!$F$11=$A$3,Main!$B$43=A169),'Aerodynamics-Cruise'!I26,Q169)</f>
        <v>5.9638772462932259</v>
      </c>
      <c r="R169" s="103">
        <f ca="1">IF(AND(Energy!$F$11=$A$3,Main!$B$43=$A169),Summary!R26,R169)</f>
        <v>22.05387619514136</v>
      </c>
      <c r="S169" s="103">
        <f ca="1">IF(AND(Energy!$F$11=$A$3,Main!$B$43=A169),'Aerodynamics-Cruise'!W26,S169)</f>
        <v>1</v>
      </c>
      <c r="T169" s="103">
        <f ca="1">IF(AND(Energy!$F$11=$A$3,Main!$B$43=A169),'Aerodynamics-Cruise'!BL26,T169)</f>
        <v>17.055326577568149</v>
      </c>
      <c r="U169" s="103">
        <f ca="1">IF(AND(Energy!$F$11=$A$3,Main!$B$43=A169),'Propulsion-Cruise'!M26,U169)</f>
        <v>39.818107798807858</v>
      </c>
      <c r="V169" s="103">
        <f ca="1">IF(AND(Energy!$F$11=$A$3,Main!$B$43=A169),Endurance!AP26,V169)</f>
        <v>385.67862880439202</v>
      </c>
      <c r="W169" s="103">
        <f ca="1">IF(AND(Energy!$F$11=$A$3,Main!$B$43=$A169),Summary!W26,W169)</f>
        <v>50.306526189289031</v>
      </c>
      <c r="X169" s="13">
        <f ca="1">IF(AND(Energy!$F$11=$A$3,Main!$B$43=A169),Energy!D26,X169)</f>
        <v>974.53122735776424</v>
      </c>
      <c r="Y169" s="102">
        <f ca="1">IF(AND(Energy!$F$11=$A$3,Main!$B$43=A169),'Aerodynamics-Cruise'!V26,Y169)</f>
        <v>171663.7264873567</v>
      </c>
      <c r="Z169" s="102">
        <f ca="1">IF(AND(Energy!$F$11=$A$3,Main!$B$43=$A169),Summary!Z26,Z169)</f>
        <v>125394.50782467023</v>
      </c>
      <c r="AA169" s="102">
        <f ca="1">IF(AND(Energy!$F$11=$A$3,Main!$B$43=$A169),Summary!AA26,AA169)</f>
        <v>528404.63345200405</v>
      </c>
      <c r="AB169" s="103">
        <f ca="1">IF(AND(Energy!$F$11=$A$3,Main!$B$43=$A169),Summary!AB26,AB169)</f>
        <v>2.1608902145586812</v>
      </c>
      <c r="AC169" s="103">
        <f ca="1">IF(AND(Energy!$F$11=$A$3,Main!$B$43=$A169),Summary!AC26,AC169)</f>
        <v>2.7363662971536682</v>
      </c>
      <c r="AD169" s="103">
        <f ca="1">IF(AND(Energy!$F$11=$A$3,Main!$B$43=$A169),Summary!AD26,AD169)</f>
        <v>0.38083734356246174</v>
      </c>
      <c r="AE169" s="103">
        <f ca="1">IF(AND(Energy!$F$11=$A$3,Main!$B$43=$A169),Summary!AE26,AE169)</f>
        <v>1.6204678362573095</v>
      </c>
      <c r="AF169" s="103">
        <f ca="1">IF(AND(Energy!$F$11=$A$3,Main!$B$43=$A169),Summary!AF26,AF169)</f>
        <v>11.354489164086692</v>
      </c>
      <c r="AG169" s="103">
        <f ca="1">IF(AND(Energy!$F$11=$A$3,Main!$B$43=$A169),Summary!AG26,AG169)</f>
        <v>9.4535018102110087</v>
      </c>
      <c r="AH169" s="103">
        <f ca="1">IF(AND(Energy!$F$11=$A$3,Main!$B$43=$A169),Summary!AH26,AH169)</f>
        <v>47</v>
      </c>
      <c r="AI169" s="103">
        <f ca="1">IF(AND(Energy!$F$11=$A$3,Main!$B$43=$A169),Summary!AI26,AI169)</f>
        <v>2.8287357337535726</v>
      </c>
      <c r="AJ169" s="103">
        <f ca="1">IF(AND(Energy!$F$11=$A$3,Main!$B$43=$A169),Summary!AJ26,AJ169)</f>
        <v>0.30973745553605564</v>
      </c>
      <c r="AK169" s="103">
        <f ca="1">IF(AND(Energy!$F$11=$A$3,Main!$B$43=$A169),Summary!AK26,AK169)</f>
        <v>0.01</v>
      </c>
      <c r="AL169" s="103">
        <f ca="1">IF(AND(Energy!$F$11=$A$3,Main!$B$43=$A169),Summary!AL26,AL169)</f>
        <v>-0.3390571937448853</v>
      </c>
      <c r="AM169" s="103">
        <f ca="1">IF(AND(Energy!$F$11=$A$3,Main!$B$43=$A169),Summary!AM26,AM169)</f>
        <v>0.6875</v>
      </c>
    </row>
    <row r="170" spans="1:39">
      <c r="A170">
        <f t="shared" si="11"/>
        <v>9</v>
      </c>
      <c r="D170" s="1">
        <f ca="1">IF(AND(Energy!$F$11=$A$3,Main!$B$43=A170),Main!C27,D170)</f>
        <v>4.4473684210526319</v>
      </c>
      <c r="E170" s="103">
        <f ca="1">IF(AND(Energy!$F$11=$A$3,Main!$B$43=A170),Main!B27,E170)</f>
        <v>0.37777777777777766</v>
      </c>
      <c r="F170" s="103">
        <f ca="1">IF(Main!$D$6=1,U170,IF(Main!$D$6=2,N170,IF(Main!$D$6=3,K170,IF(Main!$D$6=4,V170,J170))))</f>
        <v>385.96625243741067</v>
      </c>
      <c r="G170" s="103">
        <f ca="1">IF(AND(Energy!$F$11=$A$3,Main!$B$43=A170),Weight!H27,G170)</f>
        <v>10</v>
      </c>
      <c r="H170" s="103">
        <f ca="1">IF(AND(Energy!$F$11=$A$3,Main!$B$43=A170),Weight!U27,H170)</f>
        <v>16.082866224993214</v>
      </c>
      <c r="I170" s="103">
        <f ca="1">IF(AND(Energy!$F$11=$A$3,Main!$B$43=A170),Weight!V27,I170)</f>
        <v>35.888427732688278</v>
      </c>
      <c r="J170" s="103">
        <f ca="1">IF(AND(Energy!$F$11=$A$3,Main!$B$43=A170),Weight!I27,J170)</f>
        <v>9.7452032326950651</v>
      </c>
      <c r="K170" s="103">
        <f ca="1">IF(AND(Energy!$F$11=$A$3,Main!$B$43=A170),Weight!W27,K170)</f>
        <v>45.888427837979265</v>
      </c>
      <c r="L170" s="103">
        <f ca="1">IF(AND(Energy!$F$11=$A$3,Main!$B$43=A170),'Aerodynamics-Cruise'!BI27,L170)</f>
        <v>45.888427597830962</v>
      </c>
      <c r="M170" s="103">
        <f ca="1">IF(AND(Energy!$F$11=$A$3,Main!$B$43=A170),'Aerodynamics-Cruise'!BJ27,M170)</f>
        <v>2.3885263947486615</v>
      </c>
      <c r="N170" s="103">
        <f ca="1">IF(AND(Energy!$F$11=$A$3,Main!$B$43=A170),'Aerodynamics-Cruise'!BK27,N170)</f>
        <v>19.212024492892272</v>
      </c>
      <c r="O170" s="103">
        <f t="shared" ca="1" si="9"/>
        <v>130.14417056228527</v>
      </c>
      <c r="P170" s="103">
        <f ca="1">IF(AND(Energy!$F$11=$A$3,Main!$B$43=A170),'Aerodynamics-Cruise'!H27,P170)</f>
        <v>7.0905853044080382</v>
      </c>
      <c r="Q170" s="103">
        <f ca="1">IF(AND(Energy!$F$11=$A$3,Main!$B$43=A170),'Aerodynamics-Cruise'!I27,Q170)</f>
        <v>5.9026827329792457</v>
      </c>
      <c r="R170" s="103">
        <f ca="1">IF(AND(Energy!$F$11=$A$3,Main!$B$43=$A170),Summary!R27,R170)</f>
        <v>21.819720140429645</v>
      </c>
      <c r="S170" s="103">
        <f ca="1">IF(AND(Energy!$F$11=$A$3,Main!$B$43=A170),'Aerodynamics-Cruise'!W27,S170)</f>
        <v>1</v>
      </c>
      <c r="T170" s="103">
        <f ca="1">IF(AND(Energy!$F$11=$A$3,Main!$B$43=A170),'Aerodynamics-Cruise'!BL27,T170)</f>
        <v>16.936050153795573</v>
      </c>
      <c r="U170" s="103">
        <f ca="1">IF(AND(Energy!$F$11=$A$3,Main!$B$43=A170),'Propulsion-Cruise'!M27,U170)</f>
        <v>39.694865164399133</v>
      </c>
      <c r="V170" s="103">
        <f ca="1">IF(AND(Energy!$F$11=$A$3,Main!$B$43=A170),Endurance!AP27,V170)</f>
        <v>385.96625243741067</v>
      </c>
      <c r="W170" s="103">
        <f ca="1">IF(AND(Energy!$F$11=$A$3,Main!$B$43=$A170),Summary!W27,W170)</f>
        <v>51.641173860627909</v>
      </c>
      <c r="X170" s="13">
        <f ca="1">IF(AND(Energy!$F$11=$A$3,Main!$B$43=A170),Energy!D27,X170)</f>
        <v>976.9410084551962</v>
      </c>
      <c r="Y170" s="102">
        <f ca="1">IF(AND(Energy!$F$11=$A$3,Main!$B$43=A170),'Aerodynamics-Cruise'!V27,Y170)</f>
        <v>169888.41759986494</v>
      </c>
      <c r="Z170" s="102">
        <f ca="1">IF(AND(Energy!$F$11=$A$3,Main!$B$43=$A170),Summary!Z27,Z170)</f>
        <v>124107.78220907603</v>
      </c>
      <c r="AA170" s="102">
        <f ca="1">IF(AND(Energy!$F$11=$A$3,Main!$B$43=$A170),Summary!AA27,AA170)</f>
        <v>522794.32063598442</v>
      </c>
      <c r="AB170" s="103">
        <f ca="1">IF(AND(Energy!$F$11=$A$3,Main!$B$43=$A170),Summary!AB27,AB170)</f>
        <v>2.1483806475994229</v>
      </c>
      <c r="AC170" s="103">
        <f ca="1">IF(AND(Energy!$F$11=$A$3,Main!$B$43=$A170),Summary!AC27,AC170)</f>
        <v>2.670696607788551</v>
      </c>
      <c r="AD170" s="103">
        <f ca="1">IF(AND(Energy!$F$11=$A$3,Main!$B$43=$A170),Summary!AD27,AD170)</f>
        <v>0.37990926504540257</v>
      </c>
      <c r="AE170" s="103">
        <f ca="1">IF(AND(Energy!$F$11=$A$3,Main!$B$43=$A170),Summary!AE27,AE170)</f>
        <v>1.680116959064327</v>
      </c>
      <c r="AF170" s="103">
        <f ca="1">IF(AND(Energy!$F$11=$A$3,Main!$B$43=$A170),Summary!AF27,AF170)</f>
        <v>11.772445820433441</v>
      </c>
      <c r="AG170" s="103">
        <f ca="1">IF(AND(Energy!$F$11=$A$3,Main!$B$43=$A170),Summary!AG27,AG170)</f>
        <v>9.4452625398431724</v>
      </c>
      <c r="AH170" s="103">
        <f ca="1">IF(AND(Energy!$F$11=$A$3,Main!$B$43=$A170),Summary!AH27,AH170)</f>
        <v>47</v>
      </c>
      <c r="AI170" s="103">
        <f ca="1">IF(AND(Energy!$F$11=$A$3,Main!$B$43=$A170),Summary!AI27,AI170)</f>
        <v>2.8282731964678653</v>
      </c>
      <c r="AJ170" s="103">
        <f ca="1">IF(AND(Energy!$F$11=$A$3,Main!$B$43=$A170),Summary!AJ27,AJ170)</f>
        <v>0.30834224204779676</v>
      </c>
      <c r="AK170" s="103">
        <f ca="1">IF(AND(Energy!$F$11=$A$3,Main!$B$43=$A170),Summary!AK27,AK170)</f>
        <v>0.01</v>
      </c>
      <c r="AL170" s="103">
        <f ca="1">IF(AND(Energy!$F$11=$A$3,Main!$B$43=$A170),Summary!AL27,AL170)</f>
        <v>-0.34058690104412082</v>
      </c>
      <c r="AM170" s="103">
        <f ca="1">IF(AND(Energy!$F$11=$A$3,Main!$B$43=$A170),Summary!AM27,AM170)</f>
        <v>0.6875</v>
      </c>
    </row>
    <row r="171" spans="1:39">
      <c r="A171">
        <f t="shared" si="11"/>
        <v>9</v>
      </c>
      <c r="D171" s="1">
        <f ca="1">IF(AND(Energy!$F$11=$A$3,Main!$B$43=A171),Main!C28,D171)</f>
        <v>4.6052631578947372</v>
      </c>
      <c r="E171" s="103">
        <f ca="1">IF(AND(Energy!$F$11=$A$3,Main!$B$43=A171),Main!B28,E171)</f>
        <v>0.37777777777777766</v>
      </c>
      <c r="F171" s="103">
        <f ca="1">IF(Main!$D$6=1,U171,IF(Main!$D$6=2,N171,IF(Main!$D$6=3,K171,IF(Main!$D$6=4,V171,J171))))</f>
        <v>386.72575492935943</v>
      </c>
      <c r="G171" s="103">
        <f ca="1">IF(AND(Energy!$F$11=$A$3,Main!$B$43=A171),Weight!H28,G171)</f>
        <v>10</v>
      </c>
      <c r="H171" s="103">
        <f ca="1">IF(AND(Energy!$F$11=$A$3,Main!$B$43=A171),Weight!U28,H171)</f>
        <v>16.728383371808828</v>
      </c>
      <c r="I171" s="103">
        <f ca="1">IF(AND(Energy!$F$11=$A$3,Main!$B$43=A171),Weight!V28,I171)</f>
        <v>36.606891266818316</v>
      </c>
      <c r="J171" s="103">
        <f ca="1">IF(AND(Energy!$F$11=$A$3,Main!$B$43=A171),Weight!I28,J171)</f>
        <v>9.8181496200094891</v>
      </c>
      <c r="K171" s="103">
        <f ca="1">IF(AND(Energy!$F$11=$A$3,Main!$B$43=A171),Weight!W28,K171)</f>
        <v>46.606891377732865</v>
      </c>
      <c r="L171" s="103">
        <f ca="1">IF(AND(Energy!$F$11=$A$3,Main!$B$43=A171),'Aerodynamics-Cruise'!BI28,L171)</f>
        <v>46.606891124299032</v>
      </c>
      <c r="M171" s="103">
        <f ca="1">IF(AND(Energy!$F$11=$A$3,Main!$B$43=A171),'Aerodynamics-Cruise'!BJ28,M171)</f>
        <v>2.3985663380359252</v>
      </c>
      <c r="N171" s="103">
        <f ca="1">IF(AND(Energy!$F$11=$A$3,Main!$B$43=A171),'Aerodynamics-Cruise'!BK28,N171)</f>
        <v>19.431145340955322</v>
      </c>
      <c r="O171" s="103">
        <f t="shared" ca="1" si="9"/>
        <v>132.65495222308408</v>
      </c>
      <c r="P171" s="103">
        <f ca="1">IF(AND(Energy!$F$11=$A$3,Main!$B$43=A171),'Aerodynamics-Cruise'!H28,P171)</f>
        <v>7.0222478992157118</v>
      </c>
      <c r="Q171" s="103">
        <f ca="1">IF(AND(Energy!$F$11=$A$3,Main!$B$43=A171),'Aerodynamics-Cruise'!I28,Q171)</f>
        <v>5.8462378692221693</v>
      </c>
      <c r="R171" s="103">
        <f ca="1">IF(AND(Energy!$F$11=$A$3,Main!$B$43=$A171),Summary!R28,R171)</f>
        <v>21.593464104282429</v>
      </c>
      <c r="S171" s="103">
        <f ca="1">IF(AND(Energy!$F$11=$A$3,Main!$B$43=A171),'Aerodynamics-Cruise'!W28,S171)</f>
        <v>1</v>
      </c>
      <c r="T171" s="103">
        <f ca="1">IF(AND(Energy!$F$11=$A$3,Main!$B$43=A171),'Aerodynamics-Cruise'!BL28,T171)</f>
        <v>16.843327428402297</v>
      </c>
      <c r="U171" s="103">
        <f ca="1">IF(AND(Energy!$F$11=$A$3,Main!$B$43=A171),'Propulsion-Cruise'!M28,U171)</f>
        <v>39.623143386097688</v>
      </c>
      <c r="V171" s="103">
        <f ca="1">IF(AND(Energy!$F$11=$A$3,Main!$B$43=A171),Endurance!AP28,V171)</f>
        <v>386.72575492935943</v>
      </c>
      <c r="W171" s="103">
        <f ca="1">IF(AND(Energy!$F$11=$A$3,Main!$B$43=$A171),Summary!W28,W171)</f>
        <v>53.010670167167945</v>
      </c>
      <c r="X171" s="13">
        <f ca="1">IF(AND(Energy!$F$11=$A$3,Main!$B$43=A171),Energy!D28,X171)</f>
        <v>979.41371021803934</v>
      </c>
      <c r="Y171" s="102">
        <f ca="1">IF(AND(Energy!$F$11=$A$3,Main!$B$43=A171),'Aerodynamics-Cruise'!V28,Y171)</f>
        <v>168251.07270764746</v>
      </c>
      <c r="Z171" s="102">
        <f ca="1">IF(AND(Energy!$F$11=$A$3,Main!$B$43=$A171),Summary!Z28,Z171)</f>
        <v>122920.92745247815</v>
      </c>
      <c r="AA171" s="102">
        <f ca="1">IF(AND(Energy!$F$11=$A$3,Main!$B$43=$A171),Summary!AA28,AA171)</f>
        <v>517373.2900294459</v>
      </c>
      <c r="AB171" s="103">
        <f ca="1">IF(AND(Energy!$F$11=$A$3,Main!$B$43=$A171),Summary!AB28,AB171)</f>
        <v>2.1394321657136888</v>
      </c>
      <c r="AC171" s="103">
        <f ca="1">IF(AND(Energy!$F$11=$A$3,Main!$B$43=$A171),Summary!AC28,AC171)</f>
        <v>2.6073560396611168</v>
      </c>
      <c r="AD171" s="103">
        <f ca="1">IF(AND(Energy!$F$11=$A$3,Main!$B$43=$A171),Summary!AD28,AD171)</f>
        <v>0.37920599344554778</v>
      </c>
      <c r="AE171" s="103">
        <f ca="1">IF(AND(Energy!$F$11=$A$3,Main!$B$43=$A171),Summary!AE28,AE171)</f>
        <v>1.7397660818713445</v>
      </c>
      <c r="AF171" s="103">
        <f ca="1">IF(AND(Energy!$F$11=$A$3,Main!$B$43=$A171),Summary!AF28,AF171)</f>
        <v>12.190402476780193</v>
      </c>
      <c r="AG171" s="103">
        <f ca="1">IF(AND(Energy!$F$11=$A$3,Main!$B$43=$A171),Summary!AG28,AG171)</f>
        <v>9.443833161277265</v>
      </c>
      <c r="AH171" s="103">
        <f ca="1">IF(AND(Energy!$F$11=$A$3,Main!$B$43=$A171),Summary!AH28,AH171)</f>
        <v>47</v>
      </c>
      <c r="AI171" s="103">
        <f ca="1">IF(AND(Energy!$F$11=$A$3,Main!$B$43=$A171),Summary!AI28,AI171)</f>
        <v>2.8278437979211128</v>
      </c>
      <c r="AJ171" s="103">
        <f ca="1">IF(AND(Energy!$F$11=$A$3,Main!$B$43=$A171),Summary!AJ28,AJ171)</f>
        <v>0.30797379852862411</v>
      </c>
      <c r="AK171" s="103">
        <f ca="1">IF(AND(Energy!$F$11=$A$3,Main!$B$43=$A171),Summary!AK28,AK171)</f>
        <v>0.01</v>
      </c>
      <c r="AL171" s="103">
        <f ca="1">IF(AND(Energy!$F$11=$A$3,Main!$B$43=$A171),Summary!AL28,AL171)</f>
        <v>-0.34099085560426368</v>
      </c>
      <c r="AM171" s="103">
        <f ca="1">IF(AND(Energy!$F$11=$A$3,Main!$B$43=$A171),Summary!AM28,AM171)</f>
        <v>0.6875</v>
      </c>
    </row>
    <row r="172" spans="1:39">
      <c r="A172">
        <f t="shared" si="11"/>
        <v>9</v>
      </c>
      <c r="D172" s="1">
        <f ca="1">IF(AND(Energy!$F$11=$A$3,Main!$B$43=A172),Main!C29,D172)</f>
        <v>4.7631578947368425</v>
      </c>
      <c r="E172" s="103">
        <f ca="1">IF(AND(Energy!$F$11=$A$3,Main!$B$43=A172),Main!B29,E172)</f>
        <v>0.37777777777777766</v>
      </c>
      <c r="F172" s="103">
        <f ca="1">IF(Main!$D$6=1,U172,IF(Main!$D$6=2,N172,IF(Main!$D$6=3,K172,IF(Main!$D$6=4,V172,J172))))</f>
        <v>387.91009665497626</v>
      </c>
      <c r="G172" s="103">
        <f ca="1">IF(AND(Energy!$F$11=$A$3,Main!$B$43=A172),Weight!H29,G172)</f>
        <v>10</v>
      </c>
      <c r="H172" s="103">
        <f ca="1">IF(AND(Energy!$F$11=$A$3,Main!$B$43=A172),Weight!U29,H172)</f>
        <v>17.390503591603554</v>
      </c>
      <c r="I172" s="103">
        <f ca="1">IF(AND(Energy!$F$11=$A$3,Main!$B$43=A172),Weight!V29,I172)</f>
        <v>37.343780612691894</v>
      </c>
      <c r="J172" s="103">
        <f ca="1">IF(AND(Energy!$F$11=$A$3,Main!$B$43=A172),Weight!I29,J172)</f>
        <v>9.8929187460883394</v>
      </c>
      <c r="K172" s="103">
        <f ca="1">IF(AND(Energy!$F$11=$A$3,Main!$B$43=A172),Weight!W29,K172)</f>
        <v>47.343780749470966</v>
      </c>
      <c r="L172" s="103">
        <f ca="1">IF(AND(Energy!$F$11=$A$3,Main!$B$43=A172),'Aerodynamics-Cruise'!BI29,L172)</f>
        <v>47.343780442171699</v>
      </c>
      <c r="M172" s="103">
        <f ca="1">IF(AND(Energy!$F$11=$A$3,Main!$B$43=A172),'Aerodynamics-Cruise'!BJ29,M172)</f>
        <v>2.4103712297985647</v>
      </c>
      <c r="N172" s="103">
        <f ca="1">IF(AND(Energy!$F$11=$A$3,Main!$B$43=A172),'Aerodynamics-Cruise'!BK29,N172)</f>
        <v>19.641696622029556</v>
      </c>
      <c r="O172" s="103">
        <f t="shared" ca="1" si="9"/>
        <v>135.14826219793147</v>
      </c>
      <c r="P172" s="103">
        <f ca="1">IF(AND(Energy!$F$11=$A$3,Main!$B$43=A172),'Aerodynamics-Cruise'!H29,P172)</f>
        <v>6.9591933187705806</v>
      </c>
      <c r="Q172" s="103">
        <f ca="1">IF(AND(Energy!$F$11=$A$3,Main!$B$43=A172),'Aerodynamics-Cruise'!I29,Q172)</f>
        <v>5.7941514907049116</v>
      </c>
      <c r="R172" s="103">
        <f ca="1">IF(AND(Energy!$F$11=$A$3,Main!$B$43=$A172),Summary!R29,R172)</f>
        <v>21.33133415598035</v>
      </c>
      <c r="S172" s="103">
        <f ca="1">IF(AND(Energy!$F$11=$A$3,Main!$B$43=A172),'Aerodynamics-Cruise'!W29,S172)</f>
        <v>1</v>
      </c>
      <c r="T172" s="103">
        <f ca="1">IF(AND(Energy!$F$11=$A$3,Main!$B$43=A172),'Aerodynamics-Cruise'!BL29,T172)</f>
        <v>16.774239358170998</v>
      </c>
      <c r="U172" s="103">
        <f ca="1">IF(AND(Energy!$F$11=$A$3,Main!$B$43=A172),'Propulsion-Cruise'!M29,U172)</f>
        <v>39.597431724272568</v>
      </c>
      <c r="V172" s="103">
        <f ca="1">IF(AND(Energy!$F$11=$A$3,Main!$B$43=A172),Endurance!AP29,V172)</f>
        <v>387.91009665497626</v>
      </c>
      <c r="W172" s="103">
        <f ca="1">IF(AND(Energy!$F$11=$A$3,Main!$B$43=$A172),Summary!W29,W172)</f>
        <v>54.414387202436188</v>
      </c>
      <c r="X172" s="13">
        <f ca="1">IF(AND(Energy!$F$11=$A$3,Main!$B$43=A172),Energy!D29,X172)</f>
        <v>981.94819886024652</v>
      </c>
      <c r="Y172" s="102">
        <f ca="1">IF(AND(Energy!$F$11=$A$3,Main!$B$43=A172),'Aerodynamics-Cruise'!V29,Y172)</f>
        <v>166740.30280158803</v>
      </c>
      <c r="Z172" s="102">
        <f ca="1">IF(AND(Energy!$F$11=$A$3,Main!$B$43=$A172),Summary!Z29,Z172)</f>
        <v>121825.71841032511</v>
      </c>
      <c r="AA172" s="102">
        <f ca="1">IF(AND(Energy!$F$11=$A$3,Main!$B$43=$A172),Summary!AA29,AA172)</f>
        <v>511092.73063826433</v>
      </c>
      <c r="AB172" s="103">
        <f ca="1">IF(AND(Energy!$F$11=$A$3,Main!$B$43=$A172),Summary!AB29,AB172)</f>
        <v>2.1337760762468707</v>
      </c>
      <c r="AC172" s="103">
        <f ca="1">IF(AND(Energy!$F$11=$A$3,Main!$B$43=$A172),Summary!AC29,AC172)</f>
        <v>2.5462186645381539</v>
      </c>
      <c r="AD172" s="103">
        <f ca="1">IF(AND(Energy!$F$11=$A$3,Main!$B$43=$A172),Summary!AD29,AD172)</f>
        <v>0.37870538754983063</v>
      </c>
      <c r="AE172" s="103">
        <f ca="1">IF(AND(Energy!$F$11=$A$3,Main!$B$43=$A172),Summary!AE29,AE172)</f>
        <v>1.7994152046783622</v>
      </c>
      <c r="AF172" s="103">
        <f ca="1">IF(AND(Energy!$F$11=$A$3,Main!$B$43=$A172),Summary!AF29,AF172)</f>
        <v>12.608359133126941</v>
      </c>
      <c r="AG172" s="103">
        <f ca="1">IF(AND(Energy!$F$11=$A$3,Main!$B$43=$A172),Summary!AG29,AG172)</f>
        <v>9.4484840333887536</v>
      </c>
      <c r="AH172" s="103">
        <f ca="1">IF(AND(Energy!$F$11=$A$3,Main!$B$43=$A172),Summary!AH29,AH172)</f>
        <v>47</v>
      </c>
      <c r="AI172" s="103">
        <f ca="1">IF(AND(Energy!$F$11=$A$3,Main!$B$43=$A172),Summary!AI29,AI172)</f>
        <v>2.8274450655096035</v>
      </c>
      <c r="AJ172" s="103">
        <f ca="1">IF(AND(Energy!$F$11=$A$3,Main!$B$43=$A172),Summary!AJ29,AJ172)</f>
        <v>0.3087177049588658</v>
      </c>
      <c r="AK172" s="103">
        <f ca="1">IF(AND(Energy!$F$11=$A$3,Main!$B$43=$A172),Summary!AK29,AK172)</f>
        <v>0.01</v>
      </c>
      <c r="AL172" s="103">
        <f ca="1">IF(AND(Energy!$F$11=$A$3,Main!$B$43=$A172),Summary!AL29,AL172)</f>
        <v>-0.34016668188651666</v>
      </c>
      <c r="AM172" s="103">
        <f ca="1">IF(AND(Energy!$F$11=$A$3,Main!$B$43=$A172),Summary!AM29,AM172)</f>
        <v>0.6875</v>
      </c>
    </row>
    <row r="173" spans="1:39">
      <c r="A173">
        <f t="shared" si="11"/>
        <v>9</v>
      </c>
      <c r="D173" s="1">
        <f ca="1">IF(AND(Energy!$F$11=$A$3,Main!$B$43=A173),Main!C30,D173)</f>
        <v>4.9210526315789478</v>
      </c>
      <c r="E173" s="103">
        <f ca="1">IF(AND(Energy!$F$11=$A$3,Main!$B$43=A173),Main!B30,E173)</f>
        <v>0.37777777777777766</v>
      </c>
      <c r="F173" s="103">
        <f ca="1">IF(Main!$D$6=1,U173,IF(Main!$D$6=2,N173,IF(Main!$D$6=3,K173,IF(Main!$D$6=4,V173,J173))))</f>
        <v>389.53017623133314</v>
      </c>
      <c r="G173" s="103">
        <f ca="1">IF(AND(Energy!$F$11=$A$3,Main!$B$43=A173),Weight!H30,G173)</f>
        <v>10</v>
      </c>
      <c r="H173" s="103">
        <f ca="1">IF(AND(Energy!$F$11=$A$3,Main!$B$43=A173),Weight!U30,H173)</f>
        <v>18.06944900647493</v>
      </c>
      <c r="I173" s="103">
        <f ca="1">IF(AND(Energy!$F$11=$A$3,Main!$B$43=A173),Weight!V30,I173)</f>
        <v>38.09939403739358</v>
      </c>
      <c r="J173" s="103">
        <f ca="1">IF(AND(Energy!$F$11=$A$3,Main!$B$43=A173),Weight!I30,J173)</f>
        <v>9.9695867559186517</v>
      </c>
      <c r="K173" s="103">
        <f ca="1">IF(AND(Energy!$F$11=$A$3,Main!$B$43=A173),Weight!W30,K173)</f>
        <v>48.09939420125999</v>
      </c>
      <c r="L173" s="103">
        <f ca="1">IF(AND(Energy!$F$11=$A$3,Main!$B$43=A173),'Aerodynamics-Cruise'!BI30,L173)</f>
        <v>48.099393837719859</v>
      </c>
      <c r="M173" s="103">
        <f ca="1">IF(AND(Energy!$F$11=$A$3,Main!$B$43=A173),'Aerodynamics-Cruise'!BJ30,M173)</f>
        <v>2.4241115040402974</v>
      </c>
      <c r="N173" s="103">
        <f ca="1">IF(AND(Energy!$F$11=$A$3,Main!$B$43=A173),'Aerodynamics-Cruise'!BK30,N173)</f>
        <v>19.842071520865268</v>
      </c>
      <c r="O173" s="103">
        <f t="shared" ca="1" si="9"/>
        <v>137.61216020716759</v>
      </c>
      <c r="P173" s="103">
        <f ca="1">IF(AND(Energy!$F$11=$A$3,Main!$B$43=A173),'Aerodynamics-Cruise'!H30,P173)</f>
        <v>6.9010095784697976</v>
      </c>
      <c r="Q173" s="103">
        <f ca="1">IF(AND(Energy!$F$11=$A$3,Main!$B$43=A173),'Aerodynamics-Cruise'!I30,Q173)</f>
        <v>5.7460845071982423</v>
      </c>
      <c r="R173" s="103">
        <f ca="1">IF(AND(Energy!$F$11=$A$3,Main!$B$43=$A173),Summary!R30,R173)</f>
        <v>21.074156271429274</v>
      </c>
      <c r="S173" s="103">
        <f ca="1">IF(AND(Energy!$F$11=$A$3,Main!$B$43=A173),'Aerodynamics-Cruise'!W30,S173)</f>
        <v>1</v>
      </c>
      <c r="T173" s="103">
        <f ca="1">IF(AND(Energy!$F$11=$A$3,Main!$B$43=A173),'Aerodynamics-Cruise'!BL30,T173)</f>
        <v>16.728816708660919</v>
      </c>
      <c r="U173" s="103">
        <f ca="1">IF(AND(Energy!$F$11=$A$3,Main!$B$43=A173),'Propulsion-Cruise'!M30,U173)</f>
        <v>39.61883106965778</v>
      </c>
      <c r="V173" s="103">
        <f ca="1">IF(AND(Energy!$F$11=$A$3,Main!$B$43=A173),Endurance!AP30,V173)</f>
        <v>389.53017623133314</v>
      </c>
      <c r="W173" s="103">
        <f ca="1">IF(AND(Energy!$F$11=$A$3,Main!$B$43=$A173),Summary!W30,W173)</f>
        <v>55.853753939331959</v>
      </c>
      <c r="X173" s="13">
        <f ca="1">IF(AND(Energy!$F$11=$A$3,Main!$B$43=A173),Energy!D30,X173)</f>
        <v>984.54705498767964</v>
      </c>
      <c r="Y173" s="102">
        <f ca="1">IF(AND(Energy!$F$11=$A$3,Main!$B$43=A173),'Aerodynamics-Cruise'!V30,Y173)</f>
        <v>165346.23684717432</v>
      </c>
      <c r="Z173" s="102">
        <f ca="1">IF(AND(Energy!$F$11=$A$3,Main!$B$43=$A173),Summary!Z30,Z173)</f>
        <v>120815.02492657439</v>
      </c>
      <c r="AA173" s="102">
        <f ca="1">IF(AND(Energy!$F$11=$A$3,Main!$B$43=$A173),Summary!AA30,AA173)</f>
        <v>504930.82129336137</v>
      </c>
      <c r="AB173" s="103">
        <f ca="1">IF(AND(Energy!$F$11=$A$3,Main!$B$43=$A173),Summary!AB30,AB173)</f>
        <v>2.1312033653824152</v>
      </c>
      <c r="AC173" s="103">
        <f ca="1">IF(AND(Energy!$F$11=$A$3,Main!$B$43=$A173),Summary!AC30,AC173)</f>
        <v>2.4871116968933475</v>
      </c>
      <c r="AD173" s="103">
        <f ca="1">IF(AND(Energy!$F$11=$A$3,Main!$B$43=$A173),Summary!AD30,AD173)</f>
        <v>0.37840797225836015</v>
      </c>
      <c r="AE173" s="103">
        <f ca="1">IF(AND(Energy!$F$11=$A$3,Main!$B$43=$A173),Summary!AE30,AE173)</f>
        <v>1.8590643274853798</v>
      </c>
      <c r="AF173" s="103">
        <f ca="1">IF(AND(Energy!$F$11=$A$3,Main!$B$43=$A173),Summary!AF30,AF173)</f>
        <v>13.026315789473689</v>
      </c>
      <c r="AG173" s="103">
        <f ca="1">IF(AND(Energy!$F$11=$A$3,Main!$B$43=$A173),Summary!AG30,AG173)</f>
        <v>9.4594586591164127</v>
      </c>
      <c r="AH173" s="103">
        <f ca="1">IF(AND(Energy!$F$11=$A$3,Main!$B$43=$A173),Summary!AH30,AH173)</f>
        <v>47</v>
      </c>
      <c r="AI173" s="103">
        <f ca="1">IF(AND(Energy!$F$11=$A$3,Main!$B$43=$A173),Summary!AI30,AI173)</f>
        <v>2.8270748536413768</v>
      </c>
      <c r="AJ173" s="103">
        <f ca="1">IF(AND(Energy!$F$11=$A$3,Main!$B$43=$A173),Summary!AJ30,AJ173)</f>
        <v>0.30939404504777257</v>
      </c>
      <c r="AK173" s="103">
        <f ca="1">IF(AND(Energy!$F$11=$A$3,Main!$B$43=$A173),Summary!AK30,AK173)</f>
        <v>0.01</v>
      </c>
      <c r="AL173" s="103">
        <f ca="1">IF(AND(Energy!$F$11=$A$3,Main!$B$43=$A173),Summary!AL30,AL173)</f>
        <v>-0.33942079698763117</v>
      </c>
      <c r="AM173" s="103">
        <f ca="1">IF(AND(Energy!$F$11=$A$3,Main!$B$43=$A173),Summary!AM30,AM173)</f>
        <v>0.6875</v>
      </c>
    </row>
    <row r="174" spans="1:39">
      <c r="A174">
        <f t="shared" si="11"/>
        <v>9</v>
      </c>
      <c r="D174" s="1">
        <f ca="1">IF(AND(Energy!$F$11=$A$3,Main!$B$43=A174),Main!C31,D174)</f>
        <v>5.0789473684210531</v>
      </c>
      <c r="E174" s="103">
        <f ca="1">IF(AND(Energy!$F$11=$A$3,Main!$B$43=A174),Main!B31,E174)</f>
        <v>0.37777777777777766</v>
      </c>
      <c r="F174" s="103">
        <f ca="1">IF(Main!$D$6=1,U174,IF(Main!$D$6=2,N174,IF(Main!$D$6=3,K174,IF(Main!$D$6=4,V174,J174))))</f>
        <v>391.558914505318</v>
      </c>
      <c r="G174" s="103">
        <f ca="1">IF(AND(Energy!$F$11=$A$3,Main!$B$43=A174),Weight!H31,G174)</f>
        <v>10</v>
      </c>
      <c r="H174" s="103">
        <f ca="1">IF(AND(Energy!$F$11=$A$3,Main!$B$43=A174),Weight!U31,H174)</f>
        <v>18.765437481035061</v>
      </c>
      <c r="I174" s="103">
        <f ca="1">IF(AND(Energy!$F$11=$A$3,Main!$B$43=A174),Weight!V31,I174)</f>
        <v>38.873972192828056</v>
      </c>
      <c r="J174" s="103">
        <f ca="1">IF(AND(Energy!$F$11=$A$3,Main!$B$43=A174),Weight!I31,J174)</f>
        <v>10.048176436792996</v>
      </c>
      <c r="K174" s="103">
        <f ca="1">IF(AND(Energy!$F$11=$A$3,Main!$B$43=A174),Weight!W31,K174)</f>
        <v>48.873972384846205</v>
      </c>
      <c r="L174" s="103">
        <f ca="1">IF(AND(Energy!$F$11=$A$3,Main!$B$43=A174),'Aerodynamics-Cruise'!BI31,L174)</f>
        <v>48.873971963016025</v>
      </c>
      <c r="M174" s="103">
        <f ca="1">IF(AND(Energy!$F$11=$A$3,Main!$B$43=A174),'Aerodynamics-Cruise'!BJ31,M174)</f>
        <v>2.4396743101857599</v>
      </c>
      <c r="N174" s="103">
        <f ca="1">IF(AND(Energy!$F$11=$A$3,Main!$B$43=A174),'Aerodynamics-Cruise'!BK31,N174)</f>
        <v>20.032990370462482</v>
      </c>
      <c r="O174" s="103">
        <f t="shared" ca="1" si="9"/>
        <v>140.05047945489468</v>
      </c>
      <c r="P174" s="103">
        <f ca="1">IF(AND(Energy!$F$11=$A$3,Main!$B$43=A174),'Aerodynamics-Cruise'!H31,P174)</f>
        <v>6.8473254970698711</v>
      </c>
      <c r="Q174" s="103">
        <f ca="1">IF(AND(Energy!$F$11=$A$3,Main!$B$43=A174),'Aerodynamics-Cruise'!I31,Q174)</f>
        <v>5.7017313140747232</v>
      </c>
      <c r="R174" s="103">
        <f ca="1">IF(AND(Energy!$F$11=$A$3,Main!$B$43=$A174),Summary!R31,R174)</f>
        <v>20.826267003703201</v>
      </c>
      <c r="S174" s="103">
        <f ca="1">IF(AND(Energy!$F$11=$A$3,Main!$B$43=A174),'Aerodynamics-Cruise'!W31,S174)</f>
        <v>1</v>
      </c>
      <c r="T174" s="103">
        <f ca="1">IF(AND(Energy!$F$11=$A$3,Main!$B$43=A174),'Aerodynamics-Cruise'!BL31,T174)</f>
        <v>16.705244108681303</v>
      </c>
      <c r="U174" s="103">
        <f ca="1">IF(AND(Energy!$F$11=$A$3,Main!$B$43=A174),'Propulsion-Cruise'!M31,U174)</f>
        <v>39.684114531480404</v>
      </c>
      <c r="V174" s="103">
        <f ca="1">IF(AND(Energy!$F$11=$A$3,Main!$B$43=A174),Endurance!AP31,V174)</f>
        <v>391.558914505318</v>
      </c>
      <c r="W174" s="103">
        <f ca="1">IF(AND(Energy!$F$11=$A$3,Main!$B$43=$A174),Summary!W31,W174)</f>
        <v>57.3291981826778</v>
      </c>
      <c r="X174" s="13">
        <f ca="1">IF(AND(Energy!$F$11=$A$3,Main!$B$43=A174),Energy!D31,X174)</f>
        <v>987.21105102928834</v>
      </c>
      <c r="Y174" s="102">
        <f ca="1">IF(AND(Energy!$F$11=$A$3,Main!$B$43=A174),'Aerodynamics-Cruise'!V31,Y174)</f>
        <v>164059.98144683859</v>
      </c>
      <c r="Z174" s="102">
        <f ca="1">IF(AND(Energy!$F$11=$A$3,Main!$B$43=$A174),Summary!Z31,Z174)</f>
        <v>119882.42097170977</v>
      </c>
      <c r="AA174" s="102">
        <f ca="1">IF(AND(Energy!$F$11=$A$3,Main!$B$43=$A174),Summary!AA31,AA174)</f>
        <v>498991.46457935491</v>
      </c>
      <c r="AB174" s="103">
        <f ca="1">IF(AND(Energy!$F$11=$A$3,Main!$B$43=$A174),Summary!AB31,AB174)</f>
        <v>2.131523044401884</v>
      </c>
      <c r="AC174" s="103">
        <f ca="1">IF(AND(Energy!$F$11=$A$3,Main!$B$43=$A174),Summary!AC31,AC174)</f>
        <v>2.4299214129270053</v>
      </c>
      <c r="AD174" s="103">
        <f ca="1">IF(AND(Energy!$F$11=$A$3,Main!$B$43=$A174),Summary!AD31,AD174)</f>
        <v>0.37829942726418803</v>
      </c>
      <c r="AE174" s="103">
        <f ca="1">IF(AND(Energy!$F$11=$A$3,Main!$B$43=$A174),Summary!AE31,AE174)</f>
        <v>1.9187134502923973</v>
      </c>
      <c r="AF174" s="103">
        <f ca="1">IF(AND(Energy!$F$11=$A$3,Main!$B$43=$A174),Summary!AF31,AF174)</f>
        <v>13.444272445820438</v>
      </c>
      <c r="AG174" s="103">
        <f ca="1">IF(AND(Energy!$F$11=$A$3,Main!$B$43=$A174),Summary!AG31,AG174)</f>
        <v>9.47633196550915</v>
      </c>
      <c r="AH174" s="103">
        <f ca="1">IF(AND(Energy!$F$11=$A$3,Main!$B$43=$A174),Summary!AH31,AH174)</f>
        <v>47</v>
      </c>
      <c r="AI174" s="103">
        <f ca="1">IF(AND(Energy!$F$11=$A$3,Main!$B$43=$A174),Summary!AI31,AI174)</f>
        <v>2.826731213683439</v>
      </c>
      <c r="AJ174" s="103">
        <f ca="1">IF(AND(Energy!$F$11=$A$3,Main!$B$43=$A174),Summary!AJ31,AJ174)</f>
        <v>0.31000751232131385</v>
      </c>
      <c r="AK174" s="103">
        <f ca="1">IF(AND(Energy!$F$11=$A$3,Main!$B$43=$A174),Summary!AK31,AK174)</f>
        <v>0.01</v>
      </c>
      <c r="AL174" s="103">
        <f ca="1">IF(AND(Energy!$F$11=$A$3,Main!$B$43=$A174),Summary!AL31,AL174)</f>
        <v>-0.33874704688340829</v>
      </c>
      <c r="AM174" s="103">
        <f ca="1">IF(AND(Energy!$F$11=$A$3,Main!$B$43=$A174),Summary!AM31,AM174)</f>
        <v>0.6875</v>
      </c>
    </row>
    <row r="175" spans="1:39">
      <c r="A175">
        <f t="shared" si="11"/>
        <v>9</v>
      </c>
      <c r="D175" s="1">
        <f ca="1">IF(AND(Energy!$F$11=$A$3,Main!$B$43=A175),Main!C32,D175)</f>
        <v>5.2368421052631584</v>
      </c>
      <c r="E175" s="103">
        <f ca="1">IF(AND(Energy!$F$11=$A$3,Main!$B$43=A175),Main!B32,E175)</f>
        <v>0.37777777777777766</v>
      </c>
      <c r="F175" s="103">
        <f ca="1">IF(Main!$D$6=1,U175,IF(Main!$D$6=2,N175,IF(Main!$D$6=3,K175,IF(Main!$D$6=4,V175,J175))))</f>
        <v>393.97339614961822</v>
      </c>
      <c r="G175" s="103">
        <f ca="1">IF(AND(Energy!$F$11=$A$3,Main!$B$43=A175),Weight!H32,G175)</f>
        <v>10</v>
      </c>
      <c r="H175" s="103">
        <f ca="1">IF(AND(Energy!$F$11=$A$3,Main!$B$43=A175),Weight!U32,H175)</f>
        <v>19.478696659345346</v>
      </c>
      <c r="I175" s="103">
        <f ca="1">IF(AND(Energy!$F$11=$A$3,Main!$B$43=A175),Weight!V32,I175)</f>
        <v>39.667780428574495</v>
      </c>
      <c r="J175" s="103">
        <f ca="1">IF(AND(Energy!$F$11=$A$3,Main!$B$43=A175),Weight!I32,J175)</f>
        <v>10.128725494229153</v>
      </c>
      <c r="K175" s="103">
        <f ca="1">IF(AND(Energy!$F$11=$A$3,Main!$B$43=A175),Weight!W32,K175)</f>
        <v>49.667780649653501</v>
      </c>
      <c r="L175" s="103">
        <f ca="1">IF(AND(Energy!$F$11=$A$3,Main!$B$43=A175),'Aerodynamics-Cruise'!BI32,L175)</f>
        <v>49.667780167803357</v>
      </c>
      <c r="M175" s="103">
        <f ca="1">IF(AND(Energy!$F$11=$A$3,Main!$B$43=A175),'Aerodynamics-Cruise'!BJ32,M175)</f>
        <v>2.4569628840098683</v>
      </c>
      <c r="N175" s="103">
        <f ca="1">IF(AND(Energy!$F$11=$A$3,Main!$B$43=A175),'Aerodynamics-Cruise'!BK32,N175)</f>
        <v>20.215112117096137</v>
      </c>
      <c r="O175" s="103">
        <f t="shared" ca="1" si="9"/>
        <v>142.4667540485132</v>
      </c>
      <c r="P175" s="103">
        <f ca="1">IF(AND(Energy!$F$11=$A$3,Main!$B$43=A175),'Aerodynamics-Cruise'!H32,P175)</f>
        <v>6.7978106419636397</v>
      </c>
      <c r="Q175" s="103">
        <f ca="1">IF(AND(Energy!$F$11=$A$3,Main!$B$43=A175),'Aerodynamics-Cruise'!I32,Q175)</f>
        <v>5.660819791369839</v>
      </c>
      <c r="R175" s="103">
        <f ca="1">IF(AND(Energy!$F$11=$A$3,Main!$B$43=$A175),Summary!R32,R175)</f>
        <v>20.588374435805093</v>
      </c>
      <c r="S175" s="103">
        <f ca="1">IF(AND(Energy!$F$11=$A$3,Main!$B$43=A175),'Aerodynamics-Cruise'!W32,S175)</f>
        <v>1</v>
      </c>
      <c r="T175" s="103">
        <f ca="1">IF(AND(Energy!$F$11=$A$3,Main!$B$43=A175),'Aerodynamics-Cruise'!BL32,T175)</f>
        <v>16.701968439831958</v>
      </c>
      <c r="U175" s="103">
        <f ca="1">IF(AND(Energy!$F$11=$A$3,Main!$B$43=A175),'Propulsion-Cruise'!M32,U175)</f>
        <v>39.790534729846954</v>
      </c>
      <c r="V175" s="103">
        <f ca="1">IF(AND(Energy!$F$11=$A$3,Main!$B$43=A175),Endurance!AP32,V175)</f>
        <v>393.97339614961822</v>
      </c>
      <c r="W175" s="103">
        <f ca="1">IF(AND(Energy!$F$11=$A$3,Main!$B$43=$A175),Summary!W32,W175)</f>
        <v>58.841427812373325</v>
      </c>
      <c r="X175" s="13">
        <f ca="1">IF(AND(Energy!$F$11=$A$3,Main!$B$43=A175),Energy!D32,X175)</f>
        <v>989.9414651050281</v>
      </c>
      <c r="Y175" s="102">
        <f ca="1">IF(AND(Energy!$F$11=$A$3,Main!$B$43=A175),'Aerodynamics-Cruise'!V32,Y175)</f>
        <v>162873.6195288098</v>
      </c>
      <c r="Z175" s="102">
        <f ca="1">IF(AND(Energy!$F$11=$A$3,Main!$B$43=$A175),Summary!Z32,Z175)</f>
        <v>119022.1846165649</v>
      </c>
      <c r="AA175" s="102">
        <f ca="1">IF(AND(Energy!$F$11=$A$3,Main!$B$43=$A175),Summary!AA32,AA175)</f>
        <v>493291.62596464233</v>
      </c>
      <c r="AB175" s="103">
        <f ca="1">IF(AND(Energy!$F$11=$A$3,Main!$B$43=$A175),Summary!AB32,AB175)</f>
        <v>2.1345729695818334</v>
      </c>
      <c r="AC175" s="103">
        <f ca="1">IF(AND(Energy!$F$11=$A$3,Main!$B$43=$A175),Summary!AC32,AC175)</f>
        <v>2.3745427331996325</v>
      </c>
      <c r="AD175" s="103">
        <f ca="1">IF(AND(Energy!$F$11=$A$3,Main!$B$43=$A175),Summary!AD32,AD175)</f>
        <v>0.37836711393132855</v>
      </c>
      <c r="AE175" s="103">
        <f ca="1">IF(AND(Energy!$F$11=$A$3,Main!$B$43=$A175),Summary!AE32,AE175)</f>
        <v>1.9783625730994148</v>
      </c>
      <c r="AF175" s="103">
        <f ca="1">IF(AND(Energy!$F$11=$A$3,Main!$B$43=$A175),Summary!AF32,AF175)</f>
        <v>13.862229102167188</v>
      </c>
      <c r="AG175" s="103">
        <f ca="1">IF(AND(Energy!$F$11=$A$3,Main!$B$43=$A175),Summary!AG32,AG175)</f>
        <v>9.4987362981429477</v>
      </c>
      <c r="AH175" s="103">
        <f ca="1">IF(AND(Energy!$F$11=$A$3,Main!$B$43=$A175),Summary!AH32,AH175)</f>
        <v>47</v>
      </c>
      <c r="AI175" s="103">
        <f ca="1">IF(AND(Energy!$F$11=$A$3,Main!$B$43=$A175),Summary!AI32,AI175)</f>
        <v>2.8264124004427584</v>
      </c>
      <c r="AJ175" s="103">
        <f ca="1">IF(AND(Energy!$F$11=$A$3,Main!$B$43=$A175),Summary!AJ32,AJ175)</f>
        <v>0.31056228312024398</v>
      </c>
      <c r="AK175" s="103">
        <f ca="1">IF(AND(Energy!$F$11=$A$3,Main!$B$43=$A175),Summary!AK32,AK175)</f>
        <v>0.01</v>
      </c>
      <c r="AL175" s="103">
        <f ca="1">IF(AND(Energy!$F$11=$A$3,Main!$B$43=$A175),Summary!AL32,AL175)</f>
        <v>-0.33814002610211891</v>
      </c>
      <c r="AM175" s="103">
        <f ca="1">IF(AND(Energy!$F$11=$A$3,Main!$B$43=$A175),Summary!AM32,AM175)</f>
        <v>0.6875</v>
      </c>
    </row>
    <row r="176" spans="1:39">
      <c r="A176">
        <f t="shared" si="11"/>
        <v>9</v>
      </c>
      <c r="D176" s="1">
        <f ca="1">IF(AND(Energy!$F$11=$A$3,Main!$B$43=A176),Main!C33,D176)</f>
        <v>5.3947368421052637</v>
      </c>
      <c r="E176" s="103">
        <f ca="1">IF(AND(Energy!$F$11=$A$3,Main!$B$43=A176),Main!B33,E176)</f>
        <v>0.37777777777777766</v>
      </c>
      <c r="F176" s="103">
        <f ca="1">IF(Main!$D$6=1,U176,IF(Main!$D$6=2,N176,IF(Main!$D$6=3,K176,IF(Main!$D$6=4,V176,J176))))</f>
        <v>396.75422980647335</v>
      </c>
      <c r="G176" s="103">
        <f ca="1">IF(AND(Energy!$F$11=$A$3,Main!$B$43=A176),Weight!H33,G176)</f>
        <v>10</v>
      </c>
      <c r="H176" s="103">
        <f ca="1">IF(AND(Energy!$F$11=$A$3,Main!$B$43=A176),Weight!U33,H176)</f>
        <v>20.209463314767817</v>
      </c>
      <c r="I176" s="103">
        <f ca="1">IF(AND(Energy!$F$11=$A$3,Main!$B$43=A176),Weight!V33,I176)</f>
        <v>40.481105569099434</v>
      </c>
      <c r="J176" s="103">
        <f ca="1">IF(AND(Energy!$F$11=$A$3,Main!$B$43=A176),Weight!I33,J176)</f>
        <v>10.211283979331617</v>
      </c>
      <c r="K176" s="103">
        <f ca="1">IF(AND(Energy!$F$11=$A$3,Main!$B$43=A176),Weight!W33,K176)</f>
        <v>50.481105819995626</v>
      </c>
      <c r="L176" s="103">
        <f ca="1">IF(AND(Energy!$F$11=$A$3,Main!$B$43=A176),'Aerodynamics-Cruise'!BI33,L176)</f>
        <v>50.481105276709215</v>
      </c>
      <c r="M176" s="103">
        <f ca="1">IF(AND(Energy!$F$11=$A$3,Main!$B$43=A176),'Aerodynamics-Cruise'!BJ33,M176)</f>
        <v>2.4758941676688049</v>
      </c>
      <c r="N176" s="103">
        <f ca="1">IF(AND(Energy!$F$11=$A$3,Main!$B$43=A176),'Aerodynamics-Cruise'!BK33,N176)</f>
        <v>20.389040022756728</v>
      </c>
      <c r="O176" s="103">
        <f t="shared" ca="1" si="9"/>
        <v>144.86424454566878</v>
      </c>
      <c r="P176" s="103">
        <f ca="1">IF(AND(Energy!$F$11=$A$3,Main!$B$43=A176),'Aerodynamics-Cruise'!H33,P176)</f>
        <v>6.7521697329507173</v>
      </c>
      <c r="Q176" s="103">
        <f ca="1">IF(AND(Energy!$F$11=$A$3,Main!$B$43=A176),'Aerodynamics-Cruise'!I33,Q176)</f>
        <v>5.6231067128364183</v>
      </c>
      <c r="R176" s="103">
        <f ca="1">IF(AND(Energy!$F$11=$A$3,Main!$B$43=$A176),Summary!R33,R176)</f>
        <v>20.35985017623614</v>
      </c>
      <c r="S176" s="103">
        <f ca="1">IF(AND(Energy!$F$11=$A$3,Main!$B$43=A176),'Aerodynamics-Cruise'!W33,S176)</f>
        <v>1</v>
      </c>
      <c r="T176" s="103">
        <f ca="1">IF(AND(Energy!$F$11=$A$3,Main!$B$43=A176),'Aerodynamics-Cruise'!BL33,T176)</f>
        <v>16.717657660922512</v>
      </c>
      <c r="U176" s="103">
        <f ca="1">IF(AND(Energy!$F$11=$A$3,Main!$B$43=A176),'Propulsion-Cruise'!M33,U176)</f>
        <v>39.935749841025618</v>
      </c>
      <c r="V176" s="103">
        <f ca="1">IF(AND(Energy!$F$11=$A$3,Main!$B$43=A176),Endurance!AP33,V176)</f>
        <v>396.75422980647335</v>
      </c>
      <c r="W176" s="103">
        <f ca="1">IF(AND(Energy!$F$11=$A$3,Main!$B$43=$A176),Summary!W33,W176)</f>
        <v>60.39138248464144</v>
      </c>
      <c r="X176" s="13">
        <f ca="1">IF(AND(Energy!$F$11=$A$3,Main!$B$43=A176),Energy!D33,X176)</f>
        <v>992.73999381978047</v>
      </c>
      <c r="Y176" s="102">
        <f ca="1">IF(AND(Energy!$F$11=$A$3,Main!$B$43=A176),'Aerodynamics-Cruise'!V33,Y176)</f>
        <v>161780.07626303675</v>
      </c>
      <c r="Z176" s="102">
        <f ca="1">IF(AND(Energy!$F$11=$A$3,Main!$B$43=$A176),Summary!Z33,Z176)</f>
        <v>118229.20149487394</v>
      </c>
      <c r="AA176" s="102">
        <f ca="1">IF(AND(Energy!$F$11=$A$3,Main!$B$43=$A176),Summary!AA33,AA176)</f>
        <v>487816.24936671683</v>
      </c>
      <c r="AB176" s="103">
        <f ca="1">IF(AND(Energy!$F$11=$A$3,Main!$B$43=$A176),Summary!AB33,AB176)</f>
        <v>2.1402155616186467</v>
      </c>
      <c r="AC176" s="103">
        <f ca="1">IF(AND(Energy!$F$11=$A$3,Main!$B$43=$A176),Summary!AC33,AC176)</f>
        <v>2.3208785202998659</v>
      </c>
      <c r="AD176" s="103">
        <f ca="1">IF(AND(Energy!$F$11=$A$3,Main!$B$43=$A176),Summary!AD33,AD176)</f>
        <v>0.37859983961547616</v>
      </c>
      <c r="AE176" s="103">
        <f ca="1">IF(AND(Energy!$F$11=$A$3,Main!$B$43=$A176),Summary!AE33,AE176)</f>
        <v>2.0380116959064325</v>
      </c>
      <c r="AF176" s="103">
        <f ca="1">IF(AND(Energy!$F$11=$A$3,Main!$B$43=$A176),Summary!AF33,AF176)</f>
        <v>14.280185758513936</v>
      </c>
      <c r="AG176" s="103">
        <f ca="1">IF(AND(Energy!$F$11=$A$3,Main!$B$43=$A176),Summary!AG33,AG176)</f>
        <v>9.5263528647638314</v>
      </c>
      <c r="AH176" s="103">
        <f ca="1">IF(AND(Energy!$F$11=$A$3,Main!$B$43=$A176),Summary!AH33,AH176)</f>
        <v>47</v>
      </c>
      <c r="AI176" s="103">
        <f ca="1">IF(AND(Energy!$F$11=$A$3,Main!$B$43=$A176),Summary!AI33,AI176)</f>
        <v>2.8261168439715032</v>
      </c>
      <c r="AJ176" s="103">
        <f ca="1">IF(AND(Energy!$F$11=$A$3,Main!$B$43=$A176),Summary!AJ33,AJ176)</f>
        <v>0.31106209166854071</v>
      </c>
      <c r="AK176" s="103">
        <f ca="1">IF(AND(Energy!$F$11=$A$3,Main!$B$43=$A176),Summary!AK33,AK176)</f>
        <v>0.01</v>
      </c>
      <c r="AL176" s="103">
        <f ca="1">IF(AND(Energy!$F$11=$A$3,Main!$B$43=$A176),Summary!AL33,AL176)</f>
        <v>-0.33759496268299011</v>
      </c>
      <c r="AM176" s="103">
        <f ca="1">IF(AND(Energy!$F$11=$A$3,Main!$B$43=$A176),Summary!AM33,AM176)</f>
        <v>0.6875</v>
      </c>
    </row>
    <row r="177" spans="1:39">
      <c r="A177">
        <f t="shared" si="11"/>
        <v>9</v>
      </c>
      <c r="D177" s="1">
        <f ca="1">IF(AND(Energy!$F$11=$A$3,Main!$B$43=A177),Main!C34,D177)</f>
        <v>5.552631578947369</v>
      </c>
      <c r="E177" s="103">
        <f ca="1">IF(AND(Energy!$F$11=$A$3,Main!$B$43=A177),Main!B34,E177)</f>
        <v>0.37777777777777766</v>
      </c>
      <c r="F177" s="103">
        <f ca="1">IF(Main!$D$6=1,U177,IF(Main!$D$6=2,N177,IF(Main!$D$6=3,K177,IF(Main!$D$6=4,V177,J177))))</f>
        <v>399.88502786922061</v>
      </c>
      <c r="G177" s="103">
        <f ca="1">IF(AND(Energy!$F$11=$A$3,Main!$B$43=A177),Weight!H34,G177)</f>
        <v>10</v>
      </c>
      <c r="H177" s="103">
        <f ca="1">IF(AND(Energy!$F$11=$A$3,Main!$B$43=A177),Weight!U34,H177)</f>
        <v>20.957982818911351</v>
      </c>
      <c r="I177" s="103">
        <f ca="1">IF(AND(Energy!$F$11=$A$3,Main!$B$43=A177),Weight!V34,I177)</f>
        <v>41.314253485026271</v>
      </c>
      <c r="J177" s="103">
        <f ca="1">IF(AND(Energy!$F$11=$A$3,Main!$B$43=A177),Weight!I34,J177)</f>
        <v>10.295912391114921</v>
      </c>
      <c r="K177" s="103">
        <f ca="1">IF(AND(Energy!$F$11=$A$3,Main!$B$43=A177),Weight!W34,K177)</f>
        <v>51.314253766345061</v>
      </c>
      <c r="L177" s="103">
        <f ca="1">IF(AND(Energy!$F$11=$A$3,Main!$B$43=A177),'Aerodynamics-Cruise'!BI34,L177)</f>
        <v>51.314253160515406</v>
      </c>
      <c r="M177" s="103">
        <f ca="1">IF(AND(Energy!$F$11=$A$3,Main!$B$43=A177),'Aerodynamics-Cruise'!BJ34,M177)</f>
        <v>2.4963968565499925</v>
      </c>
      <c r="N177" s="103">
        <f ca="1">IF(AND(Energy!$F$11=$A$3,Main!$B$43=A177),'Aerodynamics-Cruise'!BK34,N177)</f>
        <v>20.555326780627116</v>
      </c>
      <c r="O177" s="103">
        <f t="shared" ca="1" si="9"/>
        <v>147.24596128882902</v>
      </c>
      <c r="P177" s="103">
        <f ca="1">IF(AND(Energy!$F$11=$A$3,Main!$B$43=A177),'Aerodynamics-Cruise'!H34,P177)</f>
        <v>6.710137969226988</v>
      </c>
      <c r="Q177" s="103">
        <f ca="1">IF(AND(Energy!$F$11=$A$3,Main!$B$43=A177),'Aerodynamics-Cruise'!I34,Q177)</f>
        <v>5.5883739112535968</v>
      </c>
      <c r="R177" s="103">
        <f ca="1">IF(AND(Energy!$F$11=$A$3,Main!$B$43=$A177),Summary!R34,R177)</f>
        <v>20.140154822504233</v>
      </c>
      <c r="S177" s="103">
        <f ca="1">IF(AND(Energy!$F$11=$A$3,Main!$B$43=A177),'Aerodynamics-Cruise'!W34,S177)</f>
        <v>1</v>
      </c>
      <c r="T177" s="103">
        <f ca="1">IF(AND(Energy!$F$11=$A$3,Main!$B$43=A177),'Aerodynamics-Cruise'!BL34,T177)</f>
        <v>16.751167333395003</v>
      </c>
      <c r="U177" s="103">
        <f ca="1">IF(AND(Energy!$F$11=$A$3,Main!$B$43=A177),'Propulsion-Cruise'!M34,U177)</f>
        <v>40.117763454557519</v>
      </c>
      <c r="V177" s="103">
        <f ca="1">IF(AND(Energy!$F$11=$A$3,Main!$B$43=A177),Endurance!AP34,V177)</f>
        <v>399.88502786922061</v>
      </c>
      <c r="W177" s="103">
        <f ca="1">IF(AND(Energy!$F$11=$A$3,Main!$B$43=$A177),Summary!W34,W177)</f>
        <v>61.980198005011125</v>
      </c>
      <c r="X177" s="13">
        <f ca="1">IF(AND(Energy!$F$11=$A$3,Main!$B$43=A177),Energy!D34,X177)</f>
        <v>995.60868793680299</v>
      </c>
      <c r="Y177" s="102">
        <f ca="1">IF(AND(Energy!$F$11=$A$3,Main!$B$43=A177),'Aerodynamics-Cruise'!V34,Y177)</f>
        <v>160773.00709717866</v>
      </c>
      <c r="Z177" s="102">
        <f ca="1">IF(AND(Energy!$F$11=$A$3,Main!$B$43=$A177),Summary!Z34,Z177)</f>
        <v>117498.88416834899</v>
      </c>
      <c r="AA177" s="102">
        <f ca="1">IF(AND(Energy!$F$11=$A$3,Main!$B$43=$A177),Summary!AA34,AA177)</f>
        <v>482552.41085449228</v>
      </c>
      <c r="AB177" s="103">
        <f ca="1">IF(AND(Energy!$F$11=$A$3,Main!$B$43=$A177),Summary!AB34,AB177)</f>
        <v>2.1483343175907144</v>
      </c>
      <c r="AC177" s="103">
        <f ca="1">IF(AND(Energy!$F$11=$A$3,Main!$B$43=$A177),Summary!AC34,AC177)</f>
        <v>2.2688389103372275</v>
      </c>
      <c r="AD177" s="103">
        <f ca="1">IF(AND(Energy!$F$11=$A$3,Main!$B$43=$A177),Summary!AD34,AD177)</f>
        <v>0.37898766169926323</v>
      </c>
      <c r="AE177" s="103">
        <f ca="1">IF(AND(Energy!$F$11=$A$3,Main!$B$43=$A177),Summary!AE34,AE177)</f>
        <v>2.0976608187134498</v>
      </c>
      <c r="AF177" s="103">
        <f ca="1">IF(AND(Energy!$F$11=$A$3,Main!$B$43=$A177),Summary!AF34,AF177)</f>
        <v>14.698142414860687</v>
      </c>
      <c r="AG177" s="103">
        <f ca="1">IF(AND(Energy!$F$11=$A$3,Main!$B$43=$A177),Summary!AG34,AG177)</f>
        <v>9.5589047073337916</v>
      </c>
      <c r="AH177" s="103">
        <f ca="1">IF(AND(Energy!$F$11=$A$3,Main!$B$43=$A177),Summary!AH34,AH177)</f>
        <v>47</v>
      </c>
      <c r="AI177" s="103">
        <f ca="1">IF(AND(Energy!$F$11=$A$3,Main!$B$43=$A177),Summary!AI34,AI177)</f>
        <v>2.825843126156264</v>
      </c>
      <c r="AJ177" s="103">
        <f ca="1">IF(AND(Energy!$F$11=$A$3,Main!$B$43=$A177),Summary!AJ34,AJ177)</f>
        <v>0.31151029213290982</v>
      </c>
      <c r="AK177" s="103">
        <f ca="1">IF(AND(Energy!$F$11=$A$3,Main!$B$43=$A177),Summary!AK34,AK177)</f>
        <v>0.01</v>
      </c>
      <c r="AL177" s="103">
        <f ca="1">IF(AND(Energy!$F$11=$A$3,Main!$B$43=$A177),Summary!AL34,AL177)</f>
        <v>-0.33710762408800149</v>
      </c>
      <c r="AM177" s="103">
        <f ca="1">IF(AND(Energy!$F$11=$A$3,Main!$B$43=$A177),Summary!AM34,AM177)</f>
        <v>0.6875</v>
      </c>
    </row>
    <row r="178" spans="1:39">
      <c r="A178">
        <f t="shared" si="11"/>
        <v>9</v>
      </c>
      <c r="D178" s="1">
        <f ca="1">IF(AND(Energy!$F$11=$A$3,Main!$B$43=A178),Main!C35,D178)</f>
        <v>5.7105263157894743</v>
      </c>
      <c r="E178" s="103">
        <f ca="1">IF(AND(Energy!$F$11=$A$3,Main!$B$43=A178),Main!B35,E178)</f>
        <v>0.37777777777777766</v>
      </c>
      <c r="F178" s="103">
        <f ca="1">IF(Main!$D$6=1,U178,IF(Main!$D$6=2,N178,IF(Main!$D$6=3,K178,IF(Main!$D$6=4,V178,J178))))</f>
        <v>403.3519808453957</v>
      </c>
      <c r="G178" s="103">
        <f ca="1">IF(AND(Energy!$F$11=$A$3,Main!$B$43=A178),Weight!H35,G178)</f>
        <v>10</v>
      </c>
      <c r="H178" s="103">
        <f ca="1">IF(AND(Energy!$F$11=$A$3,Main!$B$43=A178),Weight!U35,H178)</f>
        <v>21.724508707358524</v>
      </c>
      <c r="I178" s="103">
        <f ca="1">IF(AND(Energy!$F$11=$A$3,Main!$B$43=A178),Weight!V35,I178)</f>
        <v>42.16754726732573</v>
      </c>
      <c r="J178" s="103">
        <f ca="1">IF(AND(Energy!$F$11=$A$3,Main!$B$43=A178),Weight!I35,J178)</f>
        <v>10.38268028496721</v>
      </c>
      <c r="K178" s="103">
        <f ca="1">IF(AND(Energy!$F$11=$A$3,Main!$B$43=A178),Weight!W35,K178)</f>
        <v>52.167547579522598</v>
      </c>
      <c r="L178" s="103">
        <f ca="1">IF(AND(Energy!$F$11=$A$3,Main!$B$43=A178),'Aerodynamics-Cruise'!BI35,L178)</f>
        <v>52.167546910349763</v>
      </c>
      <c r="M178" s="103">
        <f ca="1">IF(AND(Energy!$F$11=$A$3,Main!$B$43=A178),'Aerodynamics-Cruise'!BJ35,M178)</f>
        <v>2.51840978655401</v>
      </c>
      <c r="N178" s="103">
        <f ca="1">IF(AND(Energy!$F$11=$A$3,Main!$B$43=A178),'Aerodynamics-Cruise'!BK35,N178)</f>
        <v>20.714479108553515</v>
      </c>
      <c r="O178" s="103">
        <f t="shared" ca="1" si="9"/>
        <v>149.61468567841672</v>
      </c>
      <c r="P178" s="103">
        <f ca="1">IF(AND(Energy!$F$11=$A$3,Main!$B$43=A178),'Aerodynamics-Cruise'!H35,P178)</f>
        <v>6.6714771033516165</v>
      </c>
      <c r="Q178" s="103">
        <f ca="1">IF(AND(Energy!$F$11=$A$3,Main!$B$43=A178),'Aerodynamics-Cruise'!I35,Q178)</f>
        <v>5.5564250558146755</v>
      </c>
      <c r="R178" s="103">
        <f ca="1">IF(AND(Energy!$F$11=$A$3,Main!$B$43=$A178),Summary!R35,R178)</f>
        <v>19.928775575627263</v>
      </c>
      <c r="S178" s="103">
        <f ca="1">IF(AND(Energy!$F$11=$A$3,Main!$B$43=A178),'Aerodynamics-Cruise'!W35,S178)</f>
        <v>1</v>
      </c>
      <c r="T178" s="103">
        <f ca="1">IF(AND(Energy!$F$11=$A$3,Main!$B$43=A178),'Aerodynamics-Cruise'!BL35,T178)</f>
        <v>16.801513227851711</v>
      </c>
      <c r="U178" s="103">
        <f ca="1">IF(AND(Energy!$F$11=$A$3,Main!$B$43=A178),'Propulsion-Cruise'!M35,U178)</f>
        <v>40.33487534860366</v>
      </c>
      <c r="V178" s="103">
        <f ca="1">IF(AND(Energy!$F$11=$A$3,Main!$B$43=A178),Endurance!AP35,V178)</f>
        <v>403.3519808453957</v>
      </c>
      <c r="W178" s="103">
        <f ca="1">IF(AND(Energy!$F$11=$A$3,Main!$B$43=$A178),Summary!W35,W178)</f>
        <v>63.609180203578568</v>
      </c>
      <c r="X178" s="13">
        <f ca="1">IF(AND(Energy!$F$11=$A$3,Main!$B$43=A178),Energy!D35,X178)</f>
        <v>998.54990520807542</v>
      </c>
      <c r="Y178" s="102">
        <f ca="1">IF(AND(Energy!$F$11=$A$3,Main!$B$43=A178),'Aerodynamics-Cruise'!V35,Y178)</f>
        <v>159846.70368996568</v>
      </c>
      <c r="Z178" s="102">
        <f ca="1">IF(AND(Energy!$F$11=$A$3,Main!$B$43=$A178),Summary!Z35,Z178)</f>
        <v>116827.10436253012</v>
      </c>
      <c r="AA178" s="102">
        <f ca="1">IF(AND(Energy!$F$11=$A$3,Main!$B$43=$A178),Summary!AA35,AA178)</f>
        <v>477487.82390945492</v>
      </c>
      <c r="AB178" s="103">
        <f ca="1">IF(AND(Energy!$F$11=$A$3,Main!$B$43=$A178),Summary!AB35,AB178)</f>
        <v>2.1588309503867178</v>
      </c>
      <c r="AC178" s="103">
        <f ca="1">IF(AND(Energy!$F$11=$A$3,Main!$B$43=$A178),Summary!AC35,AC178)</f>
        <v>2.2183406872029892</v>
      </c>
      <c r="AD178" s="103">
        <f ca="1">IF(AND(Energy!$F$11=$A$3,Main!$B$43=$A178),Summary!AD35,AD178)</f>
        <v>0.37952172365608422</v>
      </c>
      <c r="AE178" s="103">
        <f ca="1">IF(AND(Energy!$F$11=$A$3,Main!$B$43=$A178),Summary!AE35,AE178)</f>
        <v>2.1573099415204675</v>
      </c>
      <c r="AF178" s="103">
        <f ca="1">IF(AND(Energy!$F$11=$A$3,Main!$B$43=$A178),Summary!AF35,AF178)</f>
        <v>15.116099071207435</v>
      </c>
      <c r="AG178" s="103">
        <f ca="1">IF(AND(Energy!$F$11=$A$3,Main!$B$43=$A178),Summary!AG35,AG178)</f>
        <v>9.5961508932844435</v>
      </c>
      <c r="AH178" s="103">
        <f ca="1">IF(AND(Energy!$F$11=$A$3,Main!$B$43=$A178),Summary!AH35,AH178)</f>
        <v>47</v>
      </c>
      <c r="AI178" s="103">
        <f ca="1">IF(AND(Energy!$F$11=$A$3,Main!$B$43=$A178),Summary!AI35,AI178)</f>
        <v>2.8255899611488164</v>
      </c>
      <c r="AJ178" s="103">
        <f ca="1">IF(AND(Energy!$F$11=$A$3,Main!$B$43=$A178),Summary!AJ35,AJ178)</f>
        <v>0.31190991022409775</v>
      </c>
      <c r="AK178" s="103">
        <f ca="1">IF(AND(Energy!$F$11=$A$3,Main!$B$43=$A178),Summary!AK35,AK178)</f>
        <v>0.01</v>
      </c>
      <c r="AL178" s="103">
        <f ca="1">IF(AND(Energy!$F$11=$A$3,Main!$B$43=$A178),Summary!AL35,AL178)</f>
        <v>-0.33667423974277594</v>
      </c>
      <c r="AM178" s="103">
        <f ca="1">IF(AND(Energy!$F$11=$A$3,Main!$B$43=$A178),Summary!AM35,AM178)</f>
        <v>0.6875</v>
      </c>
    </row>
    <row r="179" spans="1:39">
      <c r="A179">
        <f t="shared" si="11"/>
        <v>9</v>
      </c>
      <c r="D179" s="1">
        <f ca="1">IF(AND(Energy!$F$11=$A$3,Main!$B$43=A179),Main!C36,D179)</f>
        <v>5.8684210526315796</v>
      </c>
      <c r="E179" s="103">
        <f ca="1">IF(AND(Energy!$F$11=$A$3,Main!$B$43=A179),Main!B36,E179)</f>
        <v>0.37777777777777766</v>
      </c>
      <c r="F179" s="103">
        <f ca="1">IF(Main!$D$6=1,U179,IF(Main!$D$6=2,N179,IF(Main!$D$6=3,K179,IF(Main!$D$6=4,V179,J179))))</f>
        <v>407.14350711671972</v>
      </c>
      <c r="G179" s="103">
        <f ca="1">IF(AND(Energy!$F$11=$A$3,Main!$B$43=A179),Weight!H36,G179)</f>
        <v>10</v>
      </c>
      <c r="H179" s="103">
        <f ca="1">IF(AND(Energy!$F$11=$A$3,Main!$B$43=A179),Weight!U36,H179)</f>
        <v>22.509302325515399</v>
      </c>
      <c r="I179" s="103">
        <f ca="1">IF(AND(Energy!$F$11=$A$3,Main!$B$43=A179),Weight!V36,I179)</f>
        <v>43.041325865974763</v>
      </c>
      <c r="J179" s="103">
        <f ca="1">IF(AND(Energy!$F$11=$A$3,Main!$B$43=A179),Weight!I36,J179)</f>
        <v>10.471665265459364</v>
      </c>
      <c r="K179" s="103">
        <f ca="1">IF(AND(Energy!$F$11=$A$3,Main!$B$43=A179),Weight!W36,K179)</f>
        <v>53.041326209355404</v>
      </c>
      <c r="L179" s="103">
        <f ca="1">IF(AND(Energy!$F$11=$A$3,Main!$B$43=A179),'Aerodynamics-Cruise'!BI36,L179)</f>
        <v>53.041325476345875</v>
      </c>
      <c r="M179" s="103">
        <f ca="1">IF(AND(Energy!$F$11=$A$3,Main!$B$43=A179),'Aerodynamics-Cruise'!BJ36,M179)</f>
        <v>2.5418805950894408</v>
      </c>
      <c r="N179" s="103">
        <f ca="1">IF(AND(Energy!$F$11=$A$3,Main!$B$43=A179),'Aerodynamics-Cruise'!BK36,N179)</f>
        <v>20.866961878073393</v>
      </c>
      <c r="O179" s="103">
        <f t="shared" ca="1" si="9"/>
        <v>151.97298954527201</v>
      </c>
      <c r="P179" s="103">
        <f ca="1">IF(AND(Energy!$F$11=$A$3,Main!$B$43=A179),'Aerodynamics-Cruise'!H36,P179)</f>
        <v>6.635972124111845</v>
      </c>
      <c r="Q179" s="103">
        <f ca="1">IF(AND(Energy!$F$11=$A$3,Main!$B$43=A179),'Aerodynamics-Cruise'!I36,Q179)</f>
        <v>5.5270829286010175</v>
      </c>
      <c r="R179" s="103">
        <f ca="1">IF(AND(Energy!$F$11=$A$3,Main!$B$43=$A179),Summary!R36,R179)</f>
        <v>19.725191305204728</v>
      </c>
      <c r="S179" s="103">
        <f ca="1">IF(AND(Energy!$F$11=$A$3,Main!$B$43=A179),'Aerodynamics-Cruise'!W36,S179)</f>
        <v>1</v>
      </c>
      <c r="T179" s="103">
        <f ca="1">IF(AND(Energy!$F$11=$A$3,Main!$B$43=A179),'Aerodynamics-Cruise'!BL36,T179)</f>
        <v>16.867848771834357</v>
      </c>
      <c r="U179" s="103">
        <f ca="1">IF(AND(Energy!$F$11=$A$3,Main!$B$43=A179),'Propulsion-Cruise'!M36,U179)</f>
        <v>40.585640967798241</v>
      </c>
      <c r="V179" s="103">
        <f ca="1">IF(AND(Energy!$F$11=$A$3,Main!$B$43=A179),Endurance!AP36,V179)</f>
        <v>407.14350711671972</v>
      </c>
      <c r="W179" s="103">
        <f ca="1">IF(AND(Energy!$F$11=$A$3,Main!$B$43=$A179),Summary!W36,W179)</f>
        <v>65.279786025973692</v>
      </c>
      <c r="X179" s="13">
        <f ca="1">IF(AND(Energy!$F$11=$A$3,Main!$B$43=A179),Energy!D36,X179)</f>
        <v>1001.5662762330045</v>
      </c>
      <c r="Y179" s="102">
        <f ca="1">IF(AND(Energy!$F$11=$A$3,Main!$B$43=A179),'Aerodynamics-Cruise'!V36,Y179)</f>
        <v>158996.01443357792</v>
      </c>
      <c r="Z179" s="102">
        <f ca="1">IF(AND(Energy!$F$11=$A$3,Main!$B$43=$A179),Summary!Z36,Z179)</f>
        <v>116210.13569737623</v>
      </c>
      <c r="AA179" s="102">
        <f ca="1">IF(AND(Energy!$F$11=$A$3,Main!$B$43=$A179),Summary!AA36,AA179)</f>
        <v>472610.00239466311</v>
      </c>
      <c r="AB179" s="103">
        <f ca="1">IF(AND(Energy!$F$11=$A$3,Main!$B$43=$A179),Summary!AB36,AB179)</f>
        <v>2.1716230293547087</v>
      </c>
      <c r="AC179" s="103">
        <f ca="1">IF(AND(Energy!$F$11=$A$3,Main!$B$43=$A179),Summary!AC36,AC179)</f>
        <v>2.1693067033807814</v>
      </c>
      <c r="AD179" s="103">
        <f ca="1">IF(AND(Energy!$F$11=$A$3,Main!$B$43=$A179),Summary!AD36,AD179)</f>
        <v>0.38019411714090129</v>
      </c>
      <c r="AE179" s="103">
        <f ca="1">IF(AND(Energy!$F$11=$A$3,Main!$B$43=$A179),Summary!AE36,AE179)</f>
        <v>2.2169590643274848</v>
      </c>
      <c r="AF179" s="103">
        <f ca="1">IF(AND(Energy!$F$11=$A$3,Main!$B$43=$A179),Summary!AF36,AF179)</f>
        <v>15.534055727554188</v>
      </c>
      <c r="AG179" s="103">
        <f ca="1">IF(AND(Energy!$F$11=$A$3,Main!$B$43=$A179),Summary!AG36,AG179)</f>
        <v>9.6378816870176003</v>
      </c>
      <c r="AH179" s="103">
        <f ca="1">IF(AND(Energy!$F$11=$A$3,Main!$B$43=$A179),Summary!AH36,AH179)</f>
        <v>47</v>
      </c>
      <c r="AI179" s="103">
        <f ca="1">IF(AND(Energy!$F$11=$A$3,Main!$B$43=$A179),Summary!AI36,AI179)</f>
        <v>2.8253561789061501</v>
      </c>
      <c r="AJ179" s="103">
        <f ca="1">IF(AND(Energy!$F$11=$A$3,Main!$B$43=$A179),Summary!AJ36,AJ179)</f>
        <v>0.31226368633653995</v>
      </c>
      <c r="AK179" s="103">
        <f ca="1">IF(AND(Energy!$F$11=$A$3,Main!$B$43=$A179),Summary!AK36,AK179)</f>
        <v>0.01</v>
      </c>
      <c r="AL179" s="103">
        <f ca="1">IF(AND(Energy!$F$11=$A$3,Main!$B$43=$A179),Summary!AL36,AL179)</f>
        <v>-0.33629143687236168</v>
      </c>
      <c r="AM179" s="103">
        <f ca="1">IF(AND(Energy!$F$11=$A$3,Main!$B$43=$A179),Summary!AM36,AM179)</f>
        <v>0.6875</v>
      </c>
    </row>
    <row r="180" spans="1:39">
      <c r="A180">
        <f t="shared" si="11"/>
        <v>9</v>
      </c>
      <c r="D180" s="1">
        <f ca="1">IF(AND(Energy!$F$11=$A$3,Main!$B$43=A180),Main!C37,D180)</f>
        <v>6.026315789473685</v>
      </c>
      <c r="E180" s="103">
        <f ca="1">IF(AND(Energy!$F$11=$A$3,Main!$B$43=A180),Main!B37,E180)</f>
        <v>0.37777777777777766</v>
      </c>
      <c r="F180" s="103">
        <f ca="1">IF(Main!$D$6=1,U180,IF(Main!$D$6=2,N180,IF(Main!$D$6=3,K180,IF(Main!$D$6=4,V180,J180))))</f>
        <v>411.24996327604936</v>
      </c>
      <c r="G180" s="103">
        <f ca="1">IF(AND(Energy!$F$11=$A$3,Main!$B$43=A180),Weight!H37,G180)</f>
        <v>10</v>
      </c>
      <c r="H180" s="103">
        <f ca="1">IF(AND(Energy!$F$11=$A$3,Main!$B$43=A180),Weight!U37,H180)</f>
        <v>23.312632542083392</v>
      </c>
      <c r="I180" s="103">
        <f ca="1">IF(AND(Energy!$F$11=$A$3,Main!$B$43=A180),Weight!V37,I180)</f>
        <v>43.935943092031884</v>
      </c>
      <c r="J180" s="103">
        <f ca="1">IF(AND(Energy!$F$11=$A$3,Main!$B$43=A180),Weight!I37,J180)</f>
        <v>10.562952274948493</v>
      </c>
      <c r="K180" s="103">
        <f ca="1">IF(AND(Energy!$F$11=$A$3,Main!$B$43=A180),Weight!W37,K180)</f>
        <v>53.935943466751347</v>
      </c>
      <c r="L180" s="103">
        <f ca="1">IF(AND(Energy!$F$11=$A$3,Main!$B$43=A180),'Aerodynamics-Cruise'!BI37,L180)</f>
        <v>53.935942669719552</v>
      </c>
      <c r="M180" s="103">
        <f ca="1">IF(AND(Energy!$F$11=$A$3,Main!$B$43=A180),'Aerodynamics-Cruise'!BJ37,M180)</f>
        <v>2.5667646038024672</v>
      </c>
      <c r="N180" s="103">
        <f ca="1">IF(AND(Energy!$F$11=$A$3,Main!$B$43=A180),'Aerodynamics-Cruise'!BK37,N180)</f>
        <v>21.013201829968178</v>
      </c>
      <c r="O180" s="103">
        <f t="shared" ca="1" si="9"/>
        <v>154.32325278392571</v>
      </c>
      <c r="P180" s="103">
        <f ca="1">IF(AND(Energy!$F$11=$A$3,Main!$B$43=A180),'Aerodynamics-Cruise'!H37,P180)</f>
        <v>6.6034284391720037</v>
      </c>
      <c r="Q180" s="103">
        <f ca="1">IF(AND(Energy!$F$11=$A$3,Main!$B$43=A180),'Aerodynamics-Cruise'!I37,Q180)</f>
        <v>5.5001871108251823</v>
      </c>
      <c r="R180" s="103">
        <f ca="1">IF(AND(Energy!$F$11=$A$3,Main!$B$43=$A180),Summary!R37,R180)</f>
        <v>19.528955450691694</v>
      </c>
      <c r="S180" s="103">
        <f ca="1">IF(AND(Energy!$F$11=$A$3,Main!$B$43=A180),'Aerodynamics-Cruise'!W37,S180)</f>
        <v>1</v>
      </c>
      <c r="T180" s="103">
        <f ca="1">IF(AND(Energy!$F$11=$A$3,Main!$B$43=A180),'Aerodynamics-Cruise'!BL37,T180)</f>
        <v>16.949446381409274</v>
      </c>
      <c r="U180" s="103">
        <f ca="1">IF(AND(Energy!$F$11=$A$3,Main!$B$43=A180),'Propulsion-Cruise'!M37,U180)</f>
        <v>40.868837891810607</v>
      </c>
      <c r="V180" s="103">
        <f ca="1">IF(AND(Energy!$F$11=$A$3,Main!$B$43=A180),Endurance!AP37,V180)</f>
        <v>411.24996327604936</v>
      </c>
      <c r="W180" s="103">
        <f ca="1">IF(AND(Energy!$F$11=$A$3,Main!$B$43=$A180),Summary!W37,W180)</f>
        <v>66.993610177571895</v>
      </c>
      <c r="X180" s="13">
        <f ca="1">IF(AND(Energy!$F$11=$A$3,Main!$B$43=A180),Energy!D37,X180)</f>
        <v>1004.6606803438251</v>
      </c>
      <c r="Y180" s="102">
        <f ca="1">IF(AND(Energy!$F$11=$A$3,Main!$B$43=A180),'Aerodynamics-Cruise'!V37,Y180)</f>
        <v>158216.27695071301</v>
      </c>
      <c r="Z180" s="102">
        <f ca="1">IF(AND(Energy!$F$11=$A$3,Main!$B$43=$A180),Summary!Z37,Z180)</f>
        <v>115644.60503443227</v>
      </c>
      <c r="AA180" s="102">
        <f ca="1">IF(AND(Energy!$F$11=$A$3,Main!$B$43=$A180),Summary!AA37,AA180)</f>
        <v>467908.24684581568</v>
      </c>
      <c r="AB180" s="103">
        <f ca="1">IF(AND(Energy!$F$11=$A$3,Main!$B$43=$A180),Summary!AB37,AB180)</f>
        <v>2.186642024700773</v>
      </c>
      <c r="AC180" s="103">
        <f ca="1">IF(AND(Energy!$F$11=$A$3,Main!$B$43=$A180),Summary!AC37,AC180)</f>
        <v>2.1216653479060805</v>
      </c>
      <c r="AD180" s="103">
        <f ca="1">IF(AND(Energy!$F$11=$A$3,Main!$B$43=$A180),Summary!AD37,AD180)</f>
        <v>0.38099776538115349</v>
      </c>
      <c r="AE180" s="103">
        <f ca="1">IF(AND(Energy!$F$11=$A$3,Main!$B$43=$A180),Summary!AE37,AE180)</f>
        <v>2.2766081871345025</v>
      </c>
      <c r="AF180" s="103">
        <f ca="1">IF(AND(Energy!$F$11=$A$3,Main!$B$43=$A180),Summary!AF37,AF180)</f>
        <v>15.952012383900936</v>
      </c>
      <c r="AG180" s="103">
        <f ca="1">IF(AND(Energy!$F$11=$A$3,Main!$B$43=$A180),Summary!AG37,AG180)</f>
        <v>9.6839145153632007</v>
      </c>
      <c r="AH180" s="103">
        <f ca="1">IF(AND(Energy!$F$11=$A$3,Main!$B$43=$A180),Summary!AH37,AH180)</f>
        <v>47</v>
      </c>
      <c r="AI180" s="103">
        <f ca="1">IF(AND(Energy!$F$11=$A$3,Main!$B$43=$A180),Summary!AI37,AI180)</f>
        <v>2.8251407112655929</v>
      </c>
      <c r="AJ180" s="103">
        <f ca="1">IF(AND(Energy!$F$11=$A$3,Main!$B$43=$A180),Summary!AJ37,AJ180)</f>
        <v>0.31257411179981154</v>
      </c>
      <c r="AK180" s="103">
        <f ca="1">IF(AND(Energy!$F$11=$A$3,Main!$B$43=$A180),Summary!AK37,AK180)</f>
        <v>0.01</v>
      </c>
      <c r="AL180" s="103">
        <f ca="1">IF(AND(Energy!$F$11=$A$3,Main!$B$43=$A180),Summary!AL37,AL180)</f>
        <v>-0.33595618704054403</v>
      </c>
      <c r="AM180" s="103">
        <f ca="1">IF(AND(Energy!$F$11=$A$3,Main!$B$43=$A180),Summary!AM37,AM180)</f>
        <v>0.6875</v>
      </c>
    </row>
    <row r="181" spans="1:39">
      <c r="A181">
        <f t="shared" si="11"/>
        <v>9</v>
      </c>
      <c r="D181" s="1">
        <f ca="1">IF(AND(Energy!$F$11=$A$3,Main!$B$43=A181),Main!C38,D181)</f>
        <v>6.1842105263157903</v>
      </c>
      <c r="E181" s="103">
        <f ca="1">IF(AND(Energy!$F$11=$A$3,Main!$B$43=A181),Main!B38,E181)</f>
        <v>0.37777777777777766</v>
      </c>
      <c r="F181" s="103">
        <f ca="1">IF(Main!$D$6=1,U181,IF(Main!$D$6=2,N181,IF(Main!$D$6=3,K181,IF(Main!$D$6=4,V181,J181))))</f>
        <v>415.6634034992602</v>
      </c>
      <c r="G181" s="103">
        <f ca="1">IF(AND(Energy!$F$11=$A$3,Main!$B$43=A181),Weight!H38,G181)</f>
        <v>10</v>
      </c>
      <c r="H181" s="103">
        <f ca="1">IF(AND(Energy!$F$11=$A$3,Main!$B$43=A181),Weight!U38,H181)</f>
        <v>24.134775520758204</v>
      </c>
      <c r="I181" s="103">
        <f ca="1">IF(AND(Energy!$F$11=$A$3,Main!$B$43=A181),Weight!V38,I181)</f>
        <v>44.851766908961331</v>
      </c>
      <c r="J181" s="103">
        <f ca="1">IF(AND(Energy!$F$11=$A$3,Main!$B$43=A181),Weight!I38,J181)</f>
        <v>10.656633113203128</v>
      </c>
      <c r="K181" s="103">
        <f ca="1">IF(AND(Energy!$F$11=$A$3,Main!$B$43=A181),Weight!W38,K181)</f>
        <v>54.851767315022279</v>
      </c>
      <c r="L181" s="103">
        <f ca="1">IF(AND(Energy!$F$11=$A$3,Main!$B$43=A181),'Aerodynamics-Cruise'!BI38,L181)</f>
        <v>54.85176645409404</v>
      </c>
      <c r="M181" s="103">
        <f ca="1">IF(AND(Energy!$F$11=$A$3,Main!$B$43=A181),'Aerodynamics-Cruise'!BJ38,M181)</f>
        <v>2.5930238822221368</v>
      </c>
      <c r="N181" s="103">
        <f ca="1">IF(AND(Energy!$F$11=$A$3,Main!$B$43=A181),'Aerodynamics-Cruise'!BK38,N181)</f>
        <v>21.153590921456484</v>
      </c>
      <c r="O181" s="103">
        <f t="shared" ca="1" si="9"/>
        <v>156.66767940340668</v>
      </c>
      <c r="P181" s="103">
        <f ca="1">IF(AND(Energy!$F$11=$A$3,Main!$B$43=A181),'Aerodynamics-Cruise'!H38,P181)</f>
        <v>6.573669470597225</v>
      </c>
      <c r="Q181" s="103">
        <f ca="1">IF(AND(Energy!$F$11=$A$3,Main!$B$43=A181),'Aerodynamics-Cruise'!I38,Q181)</f>
        <v>5.4755920076808415</v>
      </c>
      <c r="R181" s="103">
        <f ca="1">IF(AND(Energy!$F$11=$A$3,Main!$B$43=$A181),Summary!R38,R181)</f>
        <v>19.339642881743544</v>
      </c>
      <c r="S181" s="103">
        <f ca="1">IF(AND(Energy!$F$11=$A$3,Main!$B$43=A181),'Aerodynamics-Cruise'!W38,S181)</f>
        <v>1</v>
      </c>
      <c r="T181" s="103">
        <f ca="1">IF(AND(Energy!$F$11=$A$3,Main!$B$43=A181),'Aerodynamics-Cruise'!BL38,T181)</f>
        <v>17.045681931093156</v>
      </c>
      <c r="U181" s="103">
        <f ca="1">IF(AND(Energy!$F$11=$A$3,Main!$B$43=A181),'Propulsion-Cruise'!M38,U181)</f>
        <v>41.183437961271402</v>
      </c>
      <c r="V181" s="103">
        <f ca="1">IF(AND(Energy!$F$11=$A$3,Main!$B$43=A181),Endurance!AP38,V181)</f>
        <v>415.6634034992602</v>
      </c>
      <c r="W181" s="103">
        <f ca="1">IF(AND(Energy!$F$11=$A$3,Main!$B$43=$A181),Summary!W38,W181)</f>
        <v>68.752376104908095</v>
      </c>
      <c r="X181" s="13">
        <f ca="1">IF(AND(Energy!$F$11=$A$3,Main!$B$43=A181),Energy!D38,X181)</f>
        <v>1007.8362293220617</v>
      </c>
      <c r="Y181" s="102">
        <f ca="1">IF(AND(Energy!$F$11=$A$3,Main!$B$43=A181),'Aerodynamics-Cruise'!V38,Y181)</f>
        <v>157503.26048401452</v>
      </c>
      <c r="Z181" s="102">
        <f ca="1">IF(AND(Energy!$F$11=$A$3,Main!$B$43=$A181),Summary!Z38,Z181)</f>
        <v>115127.45094416472</v>
      </c>
      <c r="AA181" s="102">
        <f ca="1">IF(AND(Energy!$F$11=$A$3,Main!$B$43=$A181),Summary!AA38,AA181)</f>
        <v>463372.37126014684</v>
      </c>
      <c r="AB181" s="103">
        <f ca="1">IF(AND(Energy!$F$11=$A$3,Main!$B$43=$A181),Summary!AB38,AB181)</f>
        <v>2.2038316797284385</v>
      </c>
      <c r="AC181" s="103">
        <f ca="1">IF(AND(Energy!$F$11=$A$3,Main!$B$43=$A181),Summary!AC38,AC181)</f>
        <v>2.0753500601663379</v>
      </c>
      <c r="AD181" s="103">
        <f ca="1">IF(AND(Energy!$F$11=$A$3,Main!$B$43=$A181),Summary!AD38,AD181)</f>
        <v>0.38192632411516869</v>
      </c>
      <c r="AE181" s="103">
        <f ca="1">IF(AND(Energy!$F$11=$A$3,Main!$B$43=$A181),Summary!AE38,AE181)</f>
        <v>2.3362573099415198</v>
      </c>
      <c r="AF181" s="103">
        <f ca="1">IF(AND(Energy!$F$11=$A$3,Main!$B$43=$A181),Summary!AF38,AF181)</f>
        <v>16.369969040247689</v>
      </c>
      <c r="AG181" s="103">
        <f ca="1">IF(AND(Energy!$F$11=$A$3,Main!$B$43=$A181),Summary!AG38,AG181)</f>
        <v>9.7340905806008031</v>
      </c>
      <c r="AH181" s="103">
        <f ca="1">IF(AND(Energy!$F$11=$A$3,Main!$B$43=$A181),Summary!AH38,AH181)</f>
        <v>47</v>
      </c>
      <c r="AI181" s="103">
        <f ca="1">IF(AND(Energy!$F$11=$A$3,Main!$B$43=$A181),Summary!AI38,AI181)</f>
        <v>2.8249425801013817</v>
      </c>
      <c r="AJ181" s="103">
        <f ca="1">IF(AND(Energy!$F$11=$A$3,Main!$B$43=$A181),Summary!AJ38,AJ181)</f>
        <v>0.3128434594899952</v>
      </c>
      <c r="AK181" s="103">
        <f ca="1">IF(AND(Energy!$F$11=$A$3,Main!$B$43=$A181),Summary!AK38,AK181)</f>
        <v>0.01</v>
      </c>
      <c r="AL181" s="103">
        <f ca="1">IF(AND(Energy!$F$11=$A$3,Main!$B$43=$A181),Summary!AL38,AL181)</f>
        <v>-0.33566576136356363</v>
      </c>
      <c r="AM181" s="103">
        <f ca="1">IF(AND(Energy!$F$11=$A$3,Main!$B$43=$A181),Summary!AM38,AM181)</f>
        <v>0.6875</v>
      </c>
    </row>
    <row r="182" spans="1:39">
      <c r="A182">
        <f t="shared" si="11"/>
        <v>9</v>
      </c>
      <c r="D182" s="1">
        <f ca="1">IF(AND(Energy!$F$11=$A$3,Main!$B$43=A182),Main!C39,D182)</f>
        <v>6.3421052631578956</v>
      </c>
      <c r="E182" s="103">
        <f ca="1">IF(AND(Energy!$F$11=$A$3,Main!$B$43=A182),Main!B39,E182)</f>
        <v>0.37777777777777766</v>
      </c>
      <c r="F182" s="103">
        <f ca="1">IF(Main!$D$6=1,U182,IF(Main!$D$6=2,N182,IF(Main!$D$6=3,K182,IF(Main!$D$6=4,V182,J182))))</f>
        <v>420.3773788952023</v>
      </c>
      <c r="G182" s="103">
        <f ca="1">IF(AND(Energy!$F$11=$A$3,Main!$B$43=A182),Weight!H39,G182)</f>
        <v>10</v>
      </c>
      <c r="H182" s="103">
        <f ca="1">IF(AND(Energy!$F$11=$A$3,Main!$B$43=A182),Weight!U39,H182)</f>
        <v>24.976014543120563</v>
      </c>
      <c r="I182" s="103">
        <f ca="1">IF(AND(Energy!$F$11=$A$3,Main!$B$43=A182),Weight!V39,I182)</f>
        <v>45.789178958603948</v>
      </c>
      <c r="J182" s="103">
        <f ca="1">IF(AND(Energy!$F$11=$A$3,Main!$B$43=A182),Weight!I39,J182)</f>
        <v>10.752806140483386</v>
      </c>
      <c r="K182" s="103">
        <f ca="1">IF(AND(Energy!$F$11=$A$3,Main!$B$43=A182),Weight!W39,K182)</f>
        <v>55.789179395853807</v>
      </c>
      <c r="L182" s="103">
        <f ca="1">IF(AND(Energy!$F$11=$A$3,Main!$B$43=A182),'Aerodynamics-Cruise'!BI39,L182)</f>
        <v>55.789178471471928</v>
      </c>
      <c r="M182" s="103">
        <f ca="1">IF(AND(Energy!$F$11=$A$3,Main!$B$43=A182),'Aerodynamics-Cruise'!BJ39,M182)</f>
        <v>2.6206264600300337</v>
      </c>
      <c r="N182" s="103">
        <f ca="1">IF(AND(Energy!$F$11=$A$3,Main!$B$43=A182),'Aerodynamics-Cruise'!BK39,N182)</f>
        <v>21.288489344960883</v>
      </c>
      <c r="O182" s="103">
        <f t="shared" ca="1" si="9"/>
        <v>159.00831214442132</v>
      </c>
      <c r="P182" s="103">
        <f ca="1">IF(AND(Energy!$F$11=$A$3,Main!$B$43=A182),'Aerodynamics-Cruise'!H39,P182)</f>
        <v>6.5465345935184338</v>
      </c>
      <c r="Q182" s="103">
        <f ca="1">IF(AND(Energy!$F$11=$A$3,Main!$B$43=A182),'Aerodynamics-Cruise'!I39,Q182)</f>
        <v>5.453165154684684</v>
      </c>
      <c r="R182" s="103">
        <f ca="1">IF(AND(Energy!$F$11=$A$3,Main!$B$43=$A182),Summary!R39,R182)</f>
        <v>19.15686264365084</v>
      </c>
      <c r="S182" s="103">
        <f ca="1">IF(AND(Energy!$F$11=$A$3,Main!$B$43=A182),'Aerodynamics-Cruise'!W39,S182)</f>
        <v>1</v>
      </c>
      <c r="T182" s="103">
        <f ca="1">IF(AND(Energy!$F$11=$A$3,Main!$B$43=A182),'Aerodynamics-Cruise'!BL39,T182)</f>
        <v>17.156021777276369</v>
      </c>
      <c r="U182" s="103">
        <f ca="1">IF(AND(Energy!$F$11=$A$3,Main!$B$43=A182),'Propulsion-Cruise'!M39,U182)</f>
        <v>41.528584014643378</v>
      </c>
      <c r="V182" s="103">
        <f ca="1">IF(AND(Energy!$F$11=$A$3,Main!$B$43=A182),Endurance!AP39,V182)</f>
        <v>420.3773788952023</v>
      </c>
      <c r="W182" s="103">
        <f ca="1">IF(AND(Energy!$F$11=$A$3,Main!$B$43=$A182),Summary!W39,W182)</f>
        <v>70.557930421276012</v>
      </c>
      <c r="X182" s="13">
        <f ca="1">IF(AND(Energy!$F$11=$A$3,Main!$B$43=A182),Energy!D39,X182)</f>
        <v>1011.096257333659</v>
      </c>
      <c r="Y182" s="102">
        <f ca="1">IF(AND(Energy!$F$11=$A$3,Main!$B$43=A182),'Aerodynamics-Cruise'!V39,Y182)</f>
        <v>156853.11650706854</v>
      </c>
      <c r="Z182" s="102">
        <f ca="1">IF(AND(Energy!$F$11=$A$3,Main!$B$43=$A182),Summary!Z39,Z182)</f>
        <v>114655.88809245294</v>
      </c>
      <c r="AA182" s="102">
        <f ca="1">IF(AND(Energy!$F$11=$A$3,Main!$B$43=$A182),Summary!AA39,AA182)</f>
        <v>458993.00847343984</v>
      </c>
      <c r="AB182" s="103">
        <f ca="1">IF(AND(Energy!$F$11=$A$3,Main!$B$43=$A182),Summary!AB39,AB182)</f>
        <v>2.2231466513362852</v>
      </c>
      <c r="AC182" s="103">
        <f ca="1">IF(AND(Energy!$F$11=$A$3,Main!$B$43=$A182),Summary!AC39,AC182)</f>
        <v>2.0302988871462389</v>
      </c>
      <c r="AD182" s="103">
        <f ca="1">IF(AND(Energy!$F$11=$A$3,Main!$B$43=$A182),Summary!AD39,AD182)</f>
        <v>0.38297409707704011</v>
      </c>
      <c r="AE182" s="103">
        <f ca="1">IF(AND(Energy!$F$11=$A$3,Main!$B$43=$A182),Summary!AE39,AE182)</f>
        <v>2.3959064327485375</v>
      </c>
      <c r="AF182" s="103">
        <f ca="1">IF(AND(Energy!$F$11=$A$3,Main!$B$43=$A182),Summary!AF39,AF182)</f>
        <v>16.787925696594435</v>
      </c>
      <c r="AG182" s="103">
        <f ca="1">IF(AND(Energy!$F$11=$A$3,Main!$B$43=$A182),Summary!AG39,AG182)</f>
        <v>9.7882720051511587</v>
      </c>
      <c r="AH182" s="103">
        <f ca="1">IF(AND(Energy!$F$11=$A$3,Main!$B$43=$A182),Summary!AH39,AH182)</f>
        <v>47</v>
      </c>
      <c r="AI182" s="103">
        <f ca="1">IF(AND(Energy!$F$11=$A$3,Main!$B$43=$A182),Summary!AI39,AI182)</f>
        <v>2.8247608872012773</v>
      </c>
      <c r="AJ182" s="103">
        <f ca="1">IF(AND(Energy!$F$11=$A$3,Main!$B$43=$A182),Summary!AJ39,AJ182)</f>
        <v>0.31307380979714111</v>
      </c>
      <c r="AK182" s="103">
        <f ca="1">IF(AND(Energy!$F$11=$A$3,Main!$B$43=$A182),Summary!AK39,AK182)</f>
        <v>0.01</v>
      </c>
      <c r="AL182" s="103">
        <f ca="1">IF(AND(Energy!$F$11=$A$3,Main!$B$43=$A182),Summary!AL39,AL182)</f>
        <v>-0.33541769279807504</v>
      </c>
      <c r="AM182" s="103">
        <f ca="1">IF(AND(Energy!$F$11=$A$3,Main!$B$43=$A182),Summary!AM39,AM182)</f>
        <v>0.6875</v>
      </c>
    </row>
    <row r="183" spans="1:39">
      <c r="A183">
        <f t="shared" si="11"/>
        <v>9</v>
      </c>
      <c r="D183" s="1">
        <f ca="1">IF(AND(Energy!$F$11=$A$3,Main!$B$43=A183),Main!C40,D183)</f>
        <v>6.5</v>
      </c>
      <c r="E183" s="103">
        <f ca="1">IF(AND(Energy!$F$11=$A$3,Main!$B$43=A183),Main!B40,E183)</f>
        <v>0.37777777777777766</v>
      </c>
      <c r="F183" s="103">
        <f ca="1">IF(Main!$D$6=1,U183,IF(Main!$D$6=2,N183,IF(Main!$D$6=3,K183,IF(Main!$D$6=4,V183,J183))))</f>
        <v>425.38676967802115</v>
      </c>
      <c r="G183" s="103">
        <f ca="1">IF(AND(Energy!$F$11=$A$3,Main!$B$43=A183),Weight!H40,G183)</f>
        <v>10</v>
      </c>
      <c r="H183" s="103">
        <f ca="1">IF(AND(Energy!$F$11=$A$3,Main!$B$43=A183),Weight!U40,H183)</f>
        <v>25.836639877510109</v>
      </c>
      <c r="I183" s="103">
        <f ca="1">IF(AND(Energy!$F$11=$A$3,Main!$B$43=A183),Weight!V40,I183)</f>
        <v>46.748574281615277</v>
      </c>
      <c r="J183" s="103">
        <f ca="1">IF(AND(Energy!$F$11=$A$3,Main!$B$43=A183),Weight!I40,J183)</f>
        <v>10.851576129105169</v>
      </c>
      <c r="K183" s="103">
        <f ca="1">IF(AND(Energy!$F$11=$A$3,Main!$B$43=A183),Weight!W40,K183)</f>
        <v>56.748574749742488</v>
      </c>
      <c r="L183" s="103">
        <f ca="1">IF(AND(Energy!$F$11=$A$3,Main!$B$43=A183),'Aerodynamics-Cruise'!BI40,L183)</f>
        <v>56.748573762674269</v>
      </c>
      <c r="M183" s="103">
        <f ca="1">IF(AND(Energy!$F$11=$A$3,Main!$B$43=A183),'Aerodynamics-Cruise'!BJ40,M183)</f>
        <v>2.6495456622370726</v>
      </c>
      <c r="N183" s="103">
        <f ca="1">IF(AND(Energy!$F$11=$A$3,Main!$B$43=A183),'Aerodynamics-Cruise'!BK40,N183)</f>
        <v>21.418228253805651</v>
      </c>
      <c r="O183" s="103">
        <f t="shared" ca="1" si="9"/>
        <v>161.34704580227549</v>
      </c>
      <c r="P183" s="103">
        <f ca="1">IF(AND(Energy!$F$11=$A$3,Main!$B$43=A183),'Aerodynamics-Cruise'!H40,P183)</f>
        <v>6.5218773616051786</v>
      </c>
      <c r="Q183" s="103">
        <f ca="1">IF(AND(Energy!$F$11=$A$3,Main!$B$43=A183),'Aerodynamics-Cruise'!I40,Q183)</f>
        <v>5.4327857593580129</v>
      </c>
      <c r="R183" s="103">
        <f ca="1">IF(AND(Energy!$F$11=$A$3,Main!$B$43=$A183),Summary!R40,R183)</f>
        <v>18.980255309716284</v>
      </c>
      <c r="S183" s="103">
        <f ca="1">IF(AND(Energy!$F$11=$A$3,Main!$B$43=A183),'Aerodynamics-Cruise'!W40,S183)</f>
        <v>1</v>
      </c>
      <c r="T183" s="103">
        <f ca="1">IF(AND(Energy!$F$11=$A$3,Main!$B$43=A183),'Aerodynamics-Cruise'!BL40,T183)</f>
        <v>17.280011873083165</v>
      </c>
      <c r="U183" s="103">
        <f ca="1">IF(AND(Energy!$F$11=$A$3,Main!$B$43=A183),'Propulsion-Cruise'!M40,U183)</f>
        <v>41.903570409097355</v>
      </c>
      <c r="V183" s="103">
        <f ca="1">IF(AND(Energy!$F$11=$A$3,Main!$B$43=A183),Endurance!AP40,V183)</f>
        <v>425.38676967802115</v>
      </c>
      <c r="W183" s="103">
        <f ca="1">IF(AND(Energy!$F$11=$A$3,Main!$B$43=$A183),Summary!W40,W183)</f>
        <v>72.412240119967038</v>
      </c>
      <c r="X183" s="13">
        <f ca="1">IF(AND(Energy!$F$11=$A$3,Main!$B$43=A183),Energy!D40,X183)</f>
        <v>1014.4443158973517</v>
      </c>
      <c r="Y183" s="102">
        <f ca="1">IF(AND(Energy!$F$11=$A$3,Main!$B$43=A183),'Aerodynamics-Cruise'!V40,Y183)</f>
        <v>156262.33620723465</v>
      </c>
      <c r="Z183" s="102">
        <f ca="1">IF(AND(Energy!$F$11=$A$3,Main!$B$43=$A183),Summary!Z40,Z183)</f>
        <v>114227.37657574765</v>
      </c>
      <c r="AA183" s="102">
        <f ca="1">IF(AND(Energy!$F$11=$A$3,Main!$B$43=$A183),Summary!AA40,AA183)</f>
        <v>454761.54672372789</v>
      </c>
      <c r="AB183" s="103">
        <f ca="1">IF(AND(Energy!$F$11=$A$3,Main!$B$43=$A183),Summary!AB40,AB183)</f>
        <v>2.2445513716738765</v>
      </c>
      <c r="AC183" s="103">
        <f ca="1">IF(AND(Energy!$F$11=$A$3,Main!$B$43=$A183),Summary!AC40,AC183)</f>
        <v>1.9864540811601175</v>
      </c>
      <c r="AD183" s="103">
        <f ca="1">IF(AND(Energy!$F$11=$A$3,Main!$B$43=$A183),Summary!AD40,AD183)</f>
        <v>0.38413596361167629</v>
      </c>
      <c r="AE183" s="103">
        <f ca="1">IF(AND(Energy!$F$11=$A$3,Main!$B$43=$A183),Summary!AE40,AE183)</f>
        <v>2.4555555555555548</v>
      </c>
      <c r="AF183" s="103">
        <f ca="1">IF(AND(Energy!$F$11=$A$3,Main!$B$43=$A183),Summary!AF40,AF183)</f>
        <v>17.205882352941181</v>
      </c>
      <c r="AG183" s="103">
        <f ca="1">IF(AND(Energy!$F$11=$A$3,Main!$B$43=$A183),Summary!AG40,AG183)</f>
        <v>9.8463394155651489</v>
      </c>
      <c r="AH183" s="103">
        <f ca="1">IF(AND(Energy!$F$11=$A$3,Main!$B$43=$A183),Summary!AH40,AH183)</f>
        <v>47</v>
      </c>
      <c r="AI183" s="103">
        <f ca="1">IF(AND(Energy!$F$11=$A$3,Main!$B$43=$A183),Summary!AI40,AI183)</f>
        <v>2.8245948055733936</v>
      </c>
      <c r="AJ183" s="103">
        <f ca="1">IF(AND(Energy!$F$11=$A$3,Main!$B$43=$A183),Summary!AJ40,AJ183)</f>
        <v>0.31326707274855281</v>
      </c>
      <c r="AK183" s="103">
        <f ca="1">IF(AND(Energy!$F$11=$A$3,Main!$B$43=$A183),Summary!AK40,AK183)</f>
        <v>0.01</v>
      </c>
      <c r="AL183" s="103">
        <f ca="1">IF(AND(Energy!$F$11=$A$3,Main!$B$43=$A183),Summary!AL40,AL183)</f>
        <v>-0.33520974423304772</v>
      </c>
      <c r="AM183" s="103">
        <f ca="1">IF(AND(Energy!$F$11=$A$3,Main!$B$43=$A183),Summary!AM40,AM183)</f>
        <v>0.6875</v>
      </c>
    </row>
    <row r="184" spans="1:39">
      <c r="A184" s="7">
        <f>A164+1</f>
        <v>10</v>
      </c>
      <c r="D184" s="1">
        <f ca="1">IF(AND(Energy!$F$11=$A$3,Main!$B$43=A184),Main!C21,D184)</f>
        <v>3.5</v>
      </c>
      <c r="E184" s="103">
        <f ca="1">IF(AND(Energy!$F$11=$A$3,Main!$B$43=A184),Main!B21,E184)</f>
        <v>0.4</v>
      </c>
      <c r="F184" s="103">
        <f ca="1">IF(Main!$D$6=1,U184,IF(Main!$D$6=2,N184,IF(Main!$D$6=3,K184,IF(Main!$D$6=4,V184,J184))))</f>
        <v>428.21457716289444</v>
      </c>
      <c r="G184" s="103">
        <f ca="1">IF(AND(Energy!$F$11=$A$3,Main!$B$43=A184),Weight!H21,G184)</f>
        <v>10</v>
      </c>
      <c r="H184" s="103">
        <f ca="1">IF(AND(Energy!$F$11=$A$3,Main!$B$43=A184),Weight!U21,H184)</f>
        <v>13.150279173484851</v>
      </c>
      <c r="I184" s="103">
        <f ca="1">IF(AND(Energy!$F$11=$A$3,Main!$B$43=A184),Weight!V21,I184)</f>
        <v>32.769999809615967</v>
      </c>
      <c r="J184" s="103">
        <f ca="1">IF(AND(Energy!$F$11=$A$3,Main!$B$43=A184),Weight!I21,J184)</f>
        <v>9.559362361131118</v>
      </c>
      <c r="K184" s="103">
        <f ca="1">IF(AND(Energy!$F$11=$A$3,Main!$B$43=A184),Weight!W21,K184)</f>
        <v>42.779665452909335</v>
      </c>
      <c r="L184" s="103">
        <f ca="1">IF(AND(Energy!$F$11=$A$3,Main!$B$43=A184),'Aerodynamics-Cruise'!BI21,L184)</f>
        <v>42.76295689527808</v>
      </c>
      <c r="M184" s="103">
        <f ca="1">IF(AND(Energy!$F$11=$A$3,Main!$B$43=A184),'Aerodynamics-Cruise'!BJ21,M184)</f>
        <v>2.4750593139433539</v>
      </c>
      <c r="N184" s="103">
        <f ca="1">IF(AND(Energy!$F$11=$A$3,Main!$B$43=A184),'Aerodynamics-Cruise'!BK21,N184)</f>
        <v>17.277548321517433</v>
      </c>
      <c r="O184" s="103">
        <f t="shared" ca="1" si="9"/>
        <v>112.983748652363</v>
      </c>
      <c r="P184" s="103">
        <f ca="1">IF(AND(Energy!$F$11=$A$3,Main!$B$43=A184),'Aerodynamics-Cruise'!H21,P184)</f>
        <v>7.5042650930891295</v>
      </c>
      <c r="Q184" s="103">
        <f ca="1">IF(AND(Energy!$F$11=$A$3,Main!$B$43=A184),'Aerodynamics-Cruise'!I21,Q184)</f>
        <v>6.237279665655123</v>
      </c>
      <c r="R184" s="103">
        <f ca="1">IF(AND(Energy!$F$11=$A$3,Main!$B$43=$A184),Summary!R21,R184)</f>
        <v>22.766633243412791</v>
      </c>
      <c r="S184" s="103">
        <f ca="1">IF(AND(Energy!$F$11=$A$3,Main!$B$43=A184),'Aerodynamics-Cruise'!W21,S184)</f>
        <v>1</v>
      </c>
      <c r="T184" s="103">
        <f ca="1">IF(AND(Energy!$F$11=$A$3,Main!$B$43=A184),'Aerodynamics-Cruise'!BL21,T184)</f>
        <v>18.573501212950241</v>
      </c>
      <c r="U184" s="103">
        <f ca="1">IF(AND(Energy!$F$11=$A$3,Main!$B$43=A184),'Propulsion-Cruise'!M21,U184)</f>
        <v>44.629833051155209</v>
      </c>
      <c r="V184" s="103">
        <f ca="1">IF(AND(Energy!$F$11=$A$3,Main!$B$43=A184),Endurance!AP21,V184)</f>
        <v>428.21457716289444</v>
      </c>
      <c r="W184" s="103">
        <f ca="1">IF(AND(Energy!$F$11=$A$3,Main!$B$43=$A184),Summary!W21,W184)</f>
        <v>48.348405793907077</v>
      </c>
      <c r="X184" s="13">
        <f ca="1">IF(AND(Energy!$F$11=$A$3,Main!$B$43=A184),Energy!D21,X184)</f>
        <v>970.83114445138472</v>
      </c>
      <c r="Y184" s="102">
        <f ca="1">IF(AND(Energy!$F$11=$A$3,Main!$B$43=A184),'Aerodynamics-Cruise'!V21,Y184)</f>
        <v>190376.5428902439</v>
      </c>
      <c r="Z184" s="102">
        <f ca="1">IF(AND(Energy!$F$11=$A$3,Main!$B$43=$A184),Summary!Z21,Z184)</f>
        <v>138858.68947126871</v>
      </c>
      <c r="AA184" s="102">
        <f ca="1">IF(AND(Energy!$F$11=$A$3,Main!$B$43=$A184),Summary!AA21,AA184)</f>
        <v>577569.27245581092</v>
      </c>
      <c r="AB184" s="103">
        <f ca="1">IF(AND(Energy!$F$11=$A$3,Main!$B$43=$A184),Summary!AB21,AB184)</f>
        <v>2.2411248834758086</v>
      </c>
      <c r="AC184" s="103">
        <f ca="1">IF(AND(Energy!$F$11=$A$3,Main!$B$43=$A184),Summary!AC21,AC184)</f>
        <v>3.0059105114555011</v>
      </c>
      <c r="AD184" s="103">
        <f ca="1">IF(AND(Energy!$F$11=$A$3,Main!$B$43=$A184),Summary!AD21,AD184)</f>
        <v>0.39265780453388344</v>
      </c>
      <c r="AE184" s="103">
        <f ca="1">IF(AND(Energy!$F$11=$A$3,Main!$B$43=$A184),Summary!AE21,AE184)</f>
        <v>1.4000000000000001</v>
      </c>
      <c r="AF184" s="103">
        <f ca="1">IF(AND(Energy!$F$11=$A$3,Main!$B$43=$A184),Summary!AF21,AF184)</f>
        <v>8.75</v>
      </c>
      <c r="AG184" s="103">
        <f ca="1">IF(AND(Energy!$F$11=$A$3,Main!$B$43=$A184),Summary!AG21,AG184)</f>
        <v>10.504073031509225</v>
      </c>
      <c r="AH184" s="103">
        <f ca="1">IF(AND(Energy!$F$11=$A$3,Main!$B$43=$A184),Summary!AH21,AH184)</f>
        <v>47</v>
      </c>
      <c r="AI184" s="103">
        <f ca="1">IF(AND(Energy!$F$11=$A$3,Main!$B$43=$A184),Summary!AI21,AI184)</f>
        <v>2.8348015441286174</v>
      </c>
      <c r="AJ184" s="103">
        <f ca="1">IF(AND(Energy!$F$11=$A$3,Main!$B$43=$A184),Summary!AJ21,AJ184)</f>
        <v>0.32591610709781954</v>
      </c>
      <c r="AK184" s="103">
        <f ca="1">IF(AND(Energy!$F$11=$A$3,Main!$B$43=$A184),Summary!AK21,AK184)</f>
        <v>0.01</v>
      </c>
      <c r="AL184" s="103">
        <f ca="1">IF(AND(Energy!$F$11=$A$3,Main!$B$43=$A184),Summary!AL21,AL184)</f>
        <v>-0.32223876849814759</v>
      </c>
      <c r="AM184" s="103">
        <f ca="1">IF(AND(Energy!$F$11=$A$3,Main!$B$43=$A184),Summary!AM21,AM184)</f>
        <v>0.6875</v>
      </c>
    </row>
    <row r="185" spans="1:39">
      <c r="A185">
        <f>A184</f>
        <v>10</v>
      </c>
      <c r="D185" s="1">
        <f ca="1">IF(AND(Energy!$F$11=$A$3,Main!$B$43=A185),Main!C22,D185)</f>
        <v>3.6578947368421053</v>
      </c>
      <c r="E185" s="103">
        <f ca="1">IF(AND(Energy!$F$11=$A$3,Main!$B$43=A185),Main!B22,E185)</f>
        <v>0.4</v>
      </c>
      <c r="F185" s="103">
        <f ca="1">IF(Main!$D$6=1,U185,IF(Main!$D$6=2,N185,IF(Main!$D$6=3,K185,IF(Main!$D$6=4,V185,J185))))</f>
        <v>420.07057799029474</v>
      </c>
      <c r="G185" s="103">
        <f ca="1">IF(AND(Energy!$F$11=$A$3,Main!$B$43=A185),Weight!H22,G185)</f>
        <v>10</v>
      </c>
      <c r="H185" s="103">
        <f ca="1">IF(AND(Energy!$F$11=$A$3,Main!$B$43=A185),Weight!U22,H185)</f>
        <v>13.708006762633001</v>
      </c>
      <c r="I185" s="103">
        <f ca="1">IF(AND(Energy!$F$11=$A$3,Main!$B$43=A185),Weight!V22,I185)</f>
        <v>33.359377691876126</v>
      </c>
      <c r="J185" s="103">
        <f ca="1">IF(AND(Energy!$F$11=$A$3,Main!$B$43=A185),Weight!I22,J185)</f>
        <v>9.5910126542431264</v>
      </c>
      <c r="K185" s="103">
        <f ca="1">IF(AND(Energy!$F$11=$A$3,Main!$B$43=A185),Weight!W22,K185)</f>
        <v>43.377123516877695</v>
      </c>
      <c r="L185" s="103">
        <f ca="1">IF(AND(Energy!$F$11=$A$3,Main!$B$43=A185),'Aerodynamics-Cruise'!BI22,L185)</f>
        <v>43.344029227735113</v>
      </c>
      <c r="M185" s="103">
        <f ca="1">IF(AND(Energy!$F$11=$A$3,Main!$B$43=A185),'Aerodynamics-Cruise'!BJ22,M185)</f>
        <v>2.4642233697907279</v>
      </c>
      <c r="N185" s="103">
        <f ca="1">IF(AND(Energy!$F$11=$A$3,Main!$B$43=A185),'Aerodynamics-Cruise'!BK22,N185)</f>
        <v>17.589326421904712</v>
      </c>
      <c r="O185" s="103">
        <f t="shared" ca="1" si="9"/>
        <v>115.80141039104319</v>
      </c>
      <c r="P185" s="103">
        <f ca="1">IF(AND(Energy!$F$11=$A$3,Main!$B$43=A185),'Aerodynamics-Cruise'!H22,P185)</f>
        <v>7.3900832475258547</v>
      </c>
      <c r="Q185" s="103">
        <f ca="1">IF(AND(Energy!$F$11=$A$3,Main!$B$43=A185),'Aerodynamics-Cruise'!I22,Q185)</f>
        <v>6.143156438615291</v>
      </c>
      <c r="R185" s="103">
        <f ca="1">IF(AND(Energy!$F$11=$A$3,Main!$B$43=$A185),Summary!R22,R185)</f>
        <v>22.47945475904023</v>
      </c>
      <c r="S185" s="103">
        <f ca="1">IF(AND(Energy!$F$11=$A$3,Main!$B$43=A185),'Aerodynamics-Cruise'!W22,S185)</f>
        <v>1</v>
      </c>
      <c r="T185" s="103">
        <f ca="1">IF(AND(Energy!$F$11=$A$3,Main!$B$43=A185),'Aerodynamics-Cruise'!BL22,T185)</f>
        <v>18.210815843252167</v>
      </c>
      <c r="U185" s="103">
        <f ca="1">IF(AND(Energy!$F$11=$A$3,Main!$B$43=A185),'Propulsion-Cruise'!M22,U185)</f>
        <v>43.624190278520892</v>
      </c>
      <c r="V185" s="103">
        <f ca="1">IF(AND(Energy!$F$11=$A$3,Main!$B$43=A185),Endurance!AP22,V185)</f>
        <v>420.07057799029474</v>
      </c>
      <c r="W185" s="103">
        <f ca="1">IF(AND(Energy!$F$11=$A$3,Main!$B$43=$A185),Summary!W22,W185)</f>
        <v>49.161414227100735</v>
      </c>
      <c r="X185" s="13">
        <f ca="1">IF(AND(Energy!$F$11=$A$3,Main!$B$43=A185),Energy!D22,X185)</f>
        <v>972.10811066992403</v>
      </c>
      <c r="Y185" s="102">
        <f ca="1">IF(AND(Energy!$F$11=$A$3,Main!$B$43=A185),'Aerodynamics-Cruise'!V22,Y185)</f>
        <v>187479.8508425199</v>
      </c>
      <c r="Z185" s="102">
        <f ca="1">IF(AND(Energy!$F$11=$A$3,Main!$B$43=$A185),Summary!Z22,Z185)</f>
        <v>136763.13041410843</v>
      </c>
      <c r="AA185" s="102">
        <f ca="1">IF(AND(Energy!$F$11=$A$3,Main!$B$43=$A185),Summary!AA22,AA185)</f>
        <v>570283.80927332595</v>
      </c>
      <c r="AB185" s="103">
        <f ca="1">IF(AND(Energy!$F$11=$A$3,Main!$B$43=$A185),Summary!AB22,AB185)</f>
        <v>2.2021934813564599</v>
      </c>
      <c r="AC185" s="103">
        <f ca="1">IF(AND(Energy!$F$11=$A$3,Main!$B$43=$A185),Summary!AC22,AC185)</f>
        <v>2.9295233733554027</v>
      </c>
      <c r="AD185" s="103">
        <f ca="1">IF(AND(Energy!$F$11=$A$3,Main!$B$43=$A185),Summary!AD22,AD185)</f>
        <v>0.39038739219617125</v>
      </c>
      <c r="AE185" s="103">
        <f ca="1">IF(AND(Energy!$F$11=$A$3,Main!$B$43=$A185),Summary!AE22,AE185)</f>
        <v>1.4631578947368422</v>
      </c>
      <c r="AF185" s="103">
        <f ca="1">IF(AND(Energy!$F$11=$A$3,Main!$B$43=$A185),Summary!AF22,AF185)</f>
        <v>9.1447368421052619</v>
      </c>
      <c r="AG185" s="103">
        <f ca="1">IF(AND(Energy!$F$11=$A$3,Main!$B$43=$A185),Summary!AG22,AG185)</f>
        <v>10.307835064083591</v>
      </c>
      <c r="AH185" s="103">
        <f ca="1">IF(AND(Energy!$F$11=$A$3,Main!$B$43=$A185),Summary!AH22,AH185)</f>
        <v>47</v>
      </c>
      <c r="AI185" s="103">
        <f ca="1">IF(AND(Energy!$F$11=$A$3,Main!$B$43=$A185),Summary!AI22,AI185)</f>
        <v>2.8324320617332996</v>
      </c>
      <c r="AJ185" s="103">
        <f ca="1">IF(AND(Energy!$F$11=$A$3,Main!$B$43=$A185),Summary!AJ22,AJ185)</f>
        <v>0.32726010267301625</v>
      </c>
      <c r="AK185" s="103">
        <f ca="1">IF(AND(Energy!$F$11=$A$3,Main!$B$43=$A185),Summary!AK22,AK185)</f>
        <v>0.01</v>
      </c>
      <c r="AL185" s="103">
        <f ca="1">IF(AND(Energy!$F$11=$A$3,Main!$B$43=$A185),Summary!AL22,AL185)</f>
        <v>-0.32087505037138425</v>
      </c>
      <c r="AM185" s="103">
        <f ca="1">IF(AND(Energy!$F$11=$A$3,Main!$B$43=$A185),Summary!AM22,AM185)</f>
        <v>0.6875</v>
      </c>
    </row>
    <row r="186" spans="1:39">
      <c r="A186">
        <f t="shared" ref="A186:A203" si="12">A185</f>
        <v>10</v>
      </c>
      <c r="D186" s="1">
        <f ca="1">IF(AND(Energy!$F$11=$A$3,Main!$B$43=A186),Main!C23,D186)</f>
        <v>3.8157894736842106</v>
      </c>
      <c r="E186" s="103">
        <f ca="1">IF(AND(Energy!$F$11=$A$3,Main!$B$43=A186),Main!B23,E186)</f>
        <v>0.4</v>
      </c>
      <c r="F186" s="103">
        <f ca="1">IF(Main!$D$6=1,U186,IF(Main!$D$6=2,N186,IF(Main!$D$6=3,K186,IF(Main!$D$6=4,V186,J186))))</f>
        <v>414.06194822347345</v>
      </c>
      <c r="G186" s="103">
        <f ca="1">IF(AND(Energy!$F$11=$A$3,Main!$B$43=A186),Weight!H23,G186)</f>
        <v>10</v>
      </c>
      <c r="H186" s="103">
        <f ca="1">IF(AND(Energy!$F$11=$A$3,Main!$B$43=A186),Weight!U23,H186)</f>
        <v>14.288181097555707</v>
      </c>
      <c r="I186" s="103">
        <f ca="1">IF(AND(Energy!$F$11=$A$3,Main!$B$43=A186),Weight!V23,I186)</f>
        <v>33.983055630065799</v>
      </c>
      <c r="J186" s="103">
        <f ca="1">IF(AND(Energy!$F$11=$A$3,Main!$B$43=A186),Weight!I23,J186)</f>
        <v>9.6345162575100947</v>
      </c>
      <c r="K186" s="103">
        <f ca="1">IF(AND(Energy!$F$11=$A$3,Main!$B$43=A186),Weight!W23,K186)</f>
        <v>44.007304227368557</v>
      </c>
      <c r="L186" s="103">
        <f ca="1">IF(AND(Energy!$F$11=$A$3,Main!$B$43=A186),'Aerodynamics-Cruise'!BI23,L186)</f>
        <v>43.961076719249363</v>
      </c>
      <c r="M186" s="103">
        <f ca="1">IF(AND(Energy!$F$11=$A$3,Main!$B$43=A186),'Aerodynamics-Cruise'!BJ23,M186)</f>
        <v>2.4581082154317579</v>
      </c>
      <c r="N186" s="103">
        <f ca="1">IF(AND(Energy!$F$11=$A$3,Main!$B$43=A186),'Aerodynamics-Cruise'!BK23,N186)</f>
        <v>17.884109594226206</v>
      </c>
      <c r="O186" s="103">
        <f t="shared" ca="1" si="9"/>
        <v>118.57727972664942</v>
      </c>
      <c r="P186" s="103">
        <f ca="1">IF(AND(Energy!$F$11=$A$3,Main!$B$43=A186),'Aerodynamics-Cruise'!H23,P186)</f>
        <v>7.2867712248928198</v>
      </c>
      <c r="Q186" s="103">
        <f ca="1">IF(AND(Energy!$F$11=$A$3,Main!$B$43=A186),'Aerodynamics-Cruise'!I23,Q186)</f>
        <v>6.0579776707924315</v>
      </c>
      <c r="R186" s="103">
        <f ca="1">IF(AND(Energy!$F$11=$A$3,Main!$B$43=$A186),Summary!R23,R186)</f>
        <v>22.205167561991793</v>
      </c>
      <c r="S186" s="103">
        <f ca="1">IF(AND(Energy!$F$11=$A$3,Main!$B$43=A186),'Aerodynamics-Cruise'!W23,S186)</f>
        <v>1</v>
      </c>
      <c r="T186" s="103">
        <f ca="1">IF(AND(Energy!$F$11=$A$3,Main!$B$43=A186),'Aerodynamics-Cruise'!BL23,T186)</f>
        <v>17.911672211880774</v>
      </c>
      <c r="U186" s="103">
        <f ca="1">IF(AND(Energy!$F$11=$A$3,Main!$B$43=A186),'Propulsion-Cruise'!M23,U186)</f>
        <v>42.843070860901797</v>
      </c>
      <c r="V186" s="103">
        <f ca="1">IF(AND(Energy!$F$11=$A$3,Main!$B$43=A186),Endurance!AP23,V186)</f>
        <v>414.06194822347345</v>
      </c>
      <c r="W186" s="103">
        <f ca="1">IF(AND(Energy!$F$11=$A$3,Main!$B$43=$A186),Summary!W23,W186)</f>
        <v>50.154081604032299</v>
      </c>
      <c r="X186" s="13">
        <f ca="1">IF(AND(Energy!$F$11=$A$3,Main!$B$43=A186),Energy!D23,X186)</f>
        <v>973.74656757279809</v>
      </c>
      <c r="Y186" s="102">
        <f ca="1">IF(AND(Energy!$F$11=$A$3,Main!$B$43=A186),'Aerodynamics-Cruise'!V23,Y186)</f>
        <v>184858.91655196709</v>
      </c>
      <c r="Z186" s="102">
        <f ca="1">IF(AND(Energy!$F$11=$A$3,Main!$B$43=$A186),Summary!Z23,Z186)</f>
        <v>134866.71349616215</v>
      </c>
      <c r="AA186" s="102">
        <f ca="1">IF(AND(Energy!$F$11=$A$3,Main!$B$43=$A186),Summary!AA23,AA186)</f>
        <v>563325.38660496566</v>
      </c>
      <c r="AB186" s="103">
        <f ca="1">IF(AND(Energy!$F$11=$A$3,Main!$B$43=$A186),Summary!AB23,AB186)</f>
        <v>2.170767530881681</v>
      </c>
      <c r="AC186" s="103">
        <f ca="1">IF(AND(Energy!$F$11=$A$3,Main!$B$43=$A186),Summary!AC23,AC186)</f>
        <v>2.8555519867106449</v>
      </c>
      <c r="AD186" s="103">
        <f ca="1">IF(AND(Energy!$F$11=$A$3,Main!$B$43=$A186),Summary!AD23,AD186)</f>
        <v>0.3885724522381741</v>
      </c>
      <c r="AE186" s="103">
        <f ca="1">IF(AND(Energy!$F$11=$A$3,Main!$B$43=$A186),Summary!AE23,AE186)</f>
        <v>1.5263157894736843</v>
      </c>
      <c r="AF186" s="103">
        <f ca="1">IF(AND(Energy!$F$11=$A$3,Main!$B$43=$A186),Summary!AF23,AF186)</f>
        <v>9.5394736842105257</v>
      </c>
      <c r="AG186" s="103">
        <f ca="1">IF(AND(Energy!$F$11=$A$3,Main!$B$43=$A186),Summary!AG23,AG186)</f>
        <v>10.154441330292109</v>
      </c>
      <c r="AH186" s="103">
        <f ca="1">IF(AND(Energy!$F$11=$A$3,Main!$B$43=$A186),Summary!AH23,AH186)</f>
        <v>47</v>
      </c>
      <c r="AI186" s="103">
        <f ca="1">IF(AND(Energy!$F$11=$A$3,Main!$B$43=$A186),Summary!AI23,AI186)</f>
        <v>2.8305018866270375</v>
      </c>
      <c r="AJ186" s="103">
        <f ca="1">IF(AND(Energy!$F$11=$A$3,Main!$B$43=$A186),Summary!AJ23,AJ186)</f>
        <v>0.32840062092359795</v>
      </c>
      <c r="AK186" s="103">
        <f ca="1">IF(AND(Energy!$F$11=$A$3,Main!$B$43=$A186),Summary!AK23,AK186)</f>
        <v>0.01</v>
      </c>
      <c r="AL186" s="103">
        <f ca="1">IF(AND(Energy!$F$11=$A$3,Main!$B$43=$A186),Summary!AL23,AL186)</f>
        <v>-0.31972394250299729</v>
      </c>
      <c r="AM186" s="103">
        <f ca="1">IF(AND(Energy!$F$11=$A$3,Main!$B$43=$A186),Summary!AM23,AM186)</f>
        <v>0.6875</v>
      </c>
    </row>
    <row r="187" spans="1:39">
      <c r="A187">
        <f t="shared" si="12"/>
        <v>10</v>
      </c>
      <c r="D187" s="1">
        <f ca="1">IF(AND(Energy!$F$11=$A$3,Main!$B$43=A187),Main!C24,D187)</f>
        <v>3.9736842105263159</v>
      </c>
      <c r="E187" s="103">
        <f ca="1">IF(AND(Energy!$F$11=$A$3,Main!$B$43=A187),Main!B24,E187)</f>
        <v>0.4</v>
      </c>
      <c r="F187" s="103">
        <f ca="1">IF(Main!$D$6=1,U187,IF(Main!$D$6=2,N187,IF(Main!$D$6=3,K187,IF(Main!$D$6=4,V187,J187))))</f>
        <v>409.69352803792367</v>
      </c>
      <c r="G187" s="103">
        <f ca="1">IF(AND(Energy!$F$11=$A$3,Main!$B$43=A187),Weight!H24,G187)</f>
        <v>10</v>
      </c>
      <c r="H187" s="103">
        <f ca="1">IF(AND(Energy!$F$11=$A$3,Main!$B$43=A187),Weight!U24,H187)</f>
        <v>14.889004648901835</v>
      </c>
      <c r="I187" s="103">
        <f ca="1">IF(AND(Energy!$F$11=$A$3,Main!$B$43=A187),Weight!V24,I187)</f>
        <v>34.6357361302274</v>
      </c>
      <c r="J187" s="103">
        <f ca="1">IF(AND(Energy!$F$11=$A$3,Main!$B$43=A187),Weight!I24,J187)</f>
        <v>9.6863732063255661</v>
      </c>
      <c r="K187" s="103">
        <f ca="1">IF(AND(Energy!$F$11=$A$3,Main!$B$43=A187),Weight!W24,K187)</f>
        <v>44.665456828737767</v>
      </c>
      <c r="L187" s="103">
        <f ca="1">IF(AND(Energy!$F$11=$A$3,Main!$B$43=A187),'Aerodynamics-Cruise'!BI24,L187)</f>
        <v>44.608226666130903</v>
      </c>
      <c r="M187" s="103">
        <f ca="1">IF(AND(Energy!$F$11=$A$3,Main!$B$43=A187),'Aerodynamics-Cruise'!BJ24,M187)</f>
        <v>2.4559906031901564</v>
      </c>
      <c r="N187" s="103">
        <f ca="1">IF(AND(Energy!$F$11=$A$3,Main!$B$43=A187),'Aerodynamics-Cruise'!BK24,N187)</f>
        <v>18.163028233165065</v>
      </c>
      <c r="O187" s="103">
        <f t="shared" ca="1" si="9"/>
        <v>121.30975830500662</v>
      </c>
      <c r="P187" s="103">
        <f ca="1">IF(AND(Energy!$F$11=$A$3,Main!$B$43=A187),'Aerodynamics-Cruise'!H24,P187)</f>
        <v>7.1927944123686354</v>
      </c>
      <c r="Q187" s="103">
        <f ca="1">IF(AND(Energy!$F$11=$A$3,Main!$B$43=A187),'Aerodynamics-Cruise'!I24,Q187)</f>
        <v>5.9804827663818356</v>
      </c>
      <c r="R187" s="103">
        <f ca="1">IF(AND(Energy!$F$11=$A$3,Main!$B$43=$A187),Summary!R24,R187)</f>
        <v>21.942697977892795</v>
      </c>
      <c r="S187" s="103">
        <f ca="1">IF(AND(Energy!$F$11=$A$3,Main!$B$43=A187),'Aerodynamics-Cruise'!W24,S187)</f>
        <v>1</v>
      </c>
      <c r="T187" s="103">
        <f ca="1">IF(AND(Energy!$F$11=$A$3,Main!$B$43=A187),'Aerodynamics-Cruise'!BL24,T187)</f>
        <v>17.66543548745603</v>
      </c>
      <c r="U187" s="103">
        <f ca="1">IF(AND(Energy!$F$11=$A$3,Main!$B$43=A187),'Propulsion-Cruise'!M24,U187)</f>
        <v>42.234274244064871</v>
      </c>
      <c r="V187" s="103">
        <f ca="1">IF(AND(Energy!$F$11=$A$3,Main!$B$43=A187),Endurance!AP24,V187)</f>
        <v>409.69352803792367</v>
      </c>
      <c r="W187" s="103">
        <f ca="1">IF(AND(Energy!$F$11=$A$3,Main!$B$43=$A187),Summary!W24,W187)</f>
        <v>51.275048404786219</v>
      </c>
      <c r="X187" s="13">
        <f ca="1">IF(AND(Energy!$F$11=$A$3,Main!$B$43=A187),Energy!D24,X187)</f>
        <v>975.6414082689721</v>
      </c>
      <c r="Y187" s="102">
        <f ca="1">IF(AND(Energy!$F$11=$A$3,Main!$B$43=A187),'Aerodynamics-Cruise'!V24,Y187)</f>
        <v>182474.80825378408</v>
      </c>
      <c r="Z187" s="102">
        <f ca="1">IF(AND(Energy!$F$11=$A$3,Main!$B$43=$A187),Summary!Z24,Z187)</f>
        <v>133141.3719941751</v>
      </c>
      <c r="AA187" s="102">
        <f ca="1">IF(AND(Energy!$F$11=$A$3,Main!$B$43=$A187),Summary!AA24,AA187)</f>
        <v>556666.76628508593</v>
      </c>
      <c r="AB187" s="103">
        <f ca="1">IF(AND(Energy!$F$11=$A$3,Main!$B$43=$A187),Summary!AB24,AB187)</f>
        <v>2.1455653096725094</v>
      </c>
      <c r="AC187" s="103">
        <f ca="1">IF(AND(Energy!$F$11=$A$3,Main!$B$43=$A187),Summary!AC24,AC187)</f>
        <v>2.7840645602275864</v>
      </c>
      <c r="AD187" s="103">
        <f ca="1">IF(AND(Energy!$F$11=$A$3,Main!$B$43=$A187),Summary!AD24,AD187)</f>
        <v>0.38711968079337994</v>
      </c>
      <c r="AE187" s="103">
        <f ca="1">IF(AND(Energy!$F$11=$A$3,Main!$B$43=$A187),Summary!AE24,AE187)</f>
        <v>1.5894736842105264</v>
      </c>
      <c r="AF187" s="103">
        <f ca="1">IF(AND(Energy!$F$11=$A$3,Main!$B$43=$A187),Summary!AF24,AF187)</f>
        <v>9.9342105263157894</v>
      </c>
      <c r="AG187" s="103">
        <f ca="1">IF(AND(Energy!$F$11=$A$3,Main!$B$43=$A187),Summary!AG24,AG187)</f>
        <v>10.03400301953636</v>
      </c>
      <c r="AH187" s="103">
        <f ca="1">IF(AND(Energy!$F$11=$A$3,Main!$B$43=$A187),Summary!AH24,AH187)</f>
        <v>47</v>
      </c>
      <c r="AI187" s="103">
        <f ca="1">IF(AND(Energy!$F$11=$A$3,Main!$B$43=$A187),Summary!AI24,AI187)</f>
        <v>2.828874446242748</v>
      </c>
      <c r="AJ187" s="103">
        <f ca="1">IF(AND(Energy!$F$11=$A$3,Main!$B$43=$A187),Summary!AJ24,AJ187)</f>
        <v>0.32936994965188288</v>
      </c>
      <c r="AK187" s="103">
        <f ca="1">IF(AND(Energy!$F$11=$A$3,Main!$B$43=$A187),Summary!AK24,AK187)</f>
        <v>0.01</v>
      </c>
      <c r="AL187" s="103">
        <f ca="1">IF(AND(Energy!$F$11=$A$3,Main!$B$43=$A187),Summary!AL24,AL187)</f>
        <v>-0.3187494370557859</v>
      </c>
      <c r="AM187" s="103">
        <f ca="1">IF(AND(Energy!$F$11=$A$3,Main!$B$43=$A187),Summary!AM24,AM187)</f>
        <v>0.6875</v>
      </c>
    </row>
    <row r="188" spans="1:39">
      <c r="A188">
        <f t="shared" si="12"/>
        <v>10</v>
      </c>
      <c r="D188" s="1">
        <f ca="1">IF(AND(Energy!$F$11=$A$3,Main!$B$43=A188),Main!C25,D188)</f>
        <v>4.1315789473684212</v>
      </c>
      <c r="E188" s="103">
        <f ca="1">IF(AND(Energy!$F$11=$A$3,Main!$B$43=A188),Main!B25,E188)</f>
        <v>0.4</v>
      </c>
      <c r="F188" s="103">
        <f ca="1">IF(Main!$D$6=1,U188,IF(Main!$D$6=2,N188,IF(Main!$D$6=3,K188,IF(Main!$D$6=4,V188,J188))))</f>
        <v>406.63219023326587</v>
      </c>
      <c r="G188" s="103">
        <f ca="1">IF(AND(Energy!$F$11=$A$3,Main!$B$43=A188),Weight!H25,G188)</f>
        <v>10</v>
      </c>
      <c r="H188" s="103">
        <f ca="1">IF(AND(Energy!$F$11=$A$3,Main!$B$43=A188),Weight!U25,H188)</f>
        <v>15.509451044659613</v>
      </c>
      <c r="I188" s="103">
        <f ca="1">IF(AND(Energy!$F$11=$A$3,Main!$B$43=A188),Weight!V25,I188)</f>
        <v>35.314270845271047</v>
      </c>
      <c r="J188" s="103">
        <f ca="1">IF(AND(Energy!$F$11=$A$3,Main!$B$43=A188),Weight!I25,J188)</f>
        <v>9.7444615256114364</v>
      </c>
      <c r="K188" s="103">
        <f ca="1">IF(AND(Energy!$F$11=$A$3,Main!$B$43=A188),Weight!W25,K188)</f>
        <v>45.348767485915992</v>
      </c>
      <c r="L188" s="103">
        <f ca="1">IF(AND(Energy!$F$11=$A$3,Main!$B$43=A188),'Aerodynamics-Cruise'!BI25,L188)</f>
        <v>45.281980894024713</v>
      </c>
      <c r="M188" s="103">
        <f ca="1">IF(AND(Energy!$F$11=$A$3,Main!$B$43=A188),'Aerodynamics-Cruise'!BJ25,M188)</f>
        <v>2.4573471121246242</v>
      </c>
      <c r="N188" s="103">
        <f ca="1">IF(AND(Energy!$F$11=$A$3,Main!$B$43=A188),'Aerodynamics-Cruise'!BK25,N188)</f>
        <v>18.427181357734145</v>
      </c>
      <c r="O188" s="103">
        <f t="shared" ca="1" si="9"/>
        <v>123.99998102237686</v>
      </c>
      <c r="P188" s="103">
        <f ca="1">IF(AND(Energy!$F$11=$A$3,Main!$B$43=A188),'Aerodynamics-Cruise'!H25,P188)</f>
        <v>7.1069925339352578</v>
      </c>
      <c r="Q188" s="103">
        <f ca="1">IF(AND(Energy!$F$11=$A$3,Main!$B$43=A188),'Aerodynamics-Cruise'!I25,Q188)</f>
        <v>5.909718566378741</v>
      </c>
      <c r="R188" s="103">
        <f ca="1">IF(AND(Energy!$F$11=$A$3,Main!$B$43=$A188),Summary!R25,R188)</f>
        <v>21.691127752999392</v>
      </c>
      <c r="S188" s="103">
        <f ca="1">IF(AND(Energy!$F$11=$A$3,Main!$B$43=A188),'Aerodynamics-Cruise'!W25,S188)</f>
        <v>1</v>
      </c>
      <c r="T188" s="103">
        <f ca="1">IF(AND(Energy!$F$11=$A$3,Main!$B$43=A188),'Aerodynamics-Cruise'!BL25,T188)</f>
        <v>17.464347579157071</v>
      </c>
      <c r="U188" s="103">
        <f ca="1">IF(AND(Energy!$F$11=$A$3,Main!$B$43=A188),'Propulsion-Cruise'!M25,U188)</f>
        <v>41.76268320116651</v>
      </c>
      <c r="V188" s="103">
        <f ca="1">IF(AND(Energy!$F$11=$A$3,Main!$B$43=A188),Endurance!AP25,V188)</f>
        <v>406.63219023326587</v>
      </c>
      <c r="W188" s="103">
        <f ca="1">IF(AND(Energy!$F$11=$A$3,Main!$B$43=$A188),Summary!W25,W188)</f>
        <v>52.493312731458673</v>
      </c>
      <c r="X188" s="13">
        <f ca="1">IF(AND(Energy!$F$11=$A$3,Main!$B$43=A188),Energy!D25,X188)</f>
        <v>977.7290277949927</v>
      </c>
      <c r="Y188" s="102">
        <f ca="1">IF(AND(Energy!$F$11=$A$3,Main!$B$43=A188),'Aerodynamics-Cruise'!V25,Y188)</f>
        <v>180298.09077552249</v>
      </c>
      <c r="Z188" s="102">
        <f ca="1">IF(AND(Energy!$F$11=$A$3,Main!$B$43=$A188),Summary!Z25,Z188)</f>
        <v>131565.8841931615</v>
      </c>
      <c r="AA188" s="102">
        <f ca="1">IF(AND(Energy!$F$11=$A$3,Main!$B$43=$A188),Summary!AA25,AA188)</f>
        <v>550284.65303146001</v>
      </c>
      <c r="AB188" s="103">
        <f ca="1">IF(AND(Energy!$F$11=$A$3,Main!$B$43=$A188),Summary!AB25,AB188)</f>
        <v>2.1256850722987579</v>
      </c>
      <c r="AC188" s="103">
        <f ca="1">IF(AND(Energy!$F$11=$A$3,Main!$B$43=$A188),Summary!AC25,AC188)</f>
        <v>2.7150334136963985</v>
      </c>
      <c r="AD188" s="103">
        <f ca="1">IF(AND(Energy!$F$11=$A$3,Main!$B$43=$A188),Summary!AD25,AD188)</f>
        <v>0.38596808358618107</v>
      </c>
      <c r="AE188" s="103">
        <f ca="1">IF(AND(Energy!$F$11=$A$3,Main!$B$43=$A188),Summary!AE25,AE188)</f>
        <v>1.6526315789473687</v>
      </c>
      <c r="AF188" s="103">
        <f ca="1">IF(AND(Energy!$F$11=$A$3,Main!$B$43=$A188),Summary!AF25,AF188)</f>
        <v>10.328947368421051</v>
      </c>
      <c r="AG188" s="103">
        <f ca="1">IF(AND(Energy!$F$11=$A$3,Main!$B$43=$A188),Summary!AG25,AG188)</f>
        <v>9.9397264826760576</v>
      </c>
      <c r="AH188" s="103">
        <f ca="1">IF(AND(Energy!$F$11=$A$3,Main!$B$43=$A188),Summary!AH25,AH188)</f>
        <v>47</v>
      </c>
      <c r="AI188" s="103">
        <f ca="1">IF(AND(Energy!$F$11=$A$3,Main!$B$43=$A188),Summary!AI25,AI188)</f>
        <v>2.8274654121186944</v>
      </c>
      <c r="AJ188" s="103">
        <f ca="1">IF(AND(Energy!$F$11=$A$3,Main!$B$43=$A188),Summary!AJ25,AJ188)</f>
        <v>0.33019267252299606</v>
      </c>
      <c r="AK188" s="103">
        <f ca="1">IF(AND(Energy!$F$11=$A$3,Main!$B$43=$A188),Summary!AK25,AK188)</f>
        <v>0.01</v>
      </c>
      <c r="AL188" s="103">
        <f ca="1">IF(AND(Energy!$F$11=$A$3,Main!$B$43=$A188),Summary!AL25,AL188)</f>
        <v>-0.31792444206933151</v>
      </c>
      <c r="AM188" s="103">
        <f ca="1">IF(AND(Energy!$F$11=$A$3,Main!$B$43=$A188),Summary!AM25,AM188)</f>
        <v>0.6875</v>
      </c>
    </row>
    <row r="189" spans="1:39">
      <c r="A189">
        <f t="shared" si="12"/>
        <v>10</v>
      </c>
      <c r="D189" s="1">
        <f ca="1">IF(AND(Energy!$F$11=$A$3,Main!$B$43=A189),Main!C26,D189)</f>
        <v>4.2894736842105265</v>
      </c>
      <c r="E189" s="103">
        <f ca="1">IF(AND(Energy!$F$11=$A$3,Main!$B$43=A189),Main!B26,E189)</f>
        <v>0.4</v>
      </c>
      <c r="F189" s="103">
        <f ca="1">IF(Main!$D$6=1,U189,IF(Main!$D$6=2,N189,IF(Main!$D$6=3,K189,IF(Main!$D$6=4,V189,J189))))</f>
        <v>404.64463784818787</v>
      </c>
      <c r="G189" s="103">
        <f ca="1">IF(AND(Energy!$F$11=$A$3,Main!$B$43=A189),Weight!H26,G189)</f>
        <v>10</v>
      </c>
      <c r="H189" s="103">
        <f ca="1">IF(AND(Energy!$F$11=$A$3,Main!$B$43=A189),Weight!U26,H189)</f>
        <v>16.148940243689122</v>
      </c>
      <c r="I189" s="103">
        <f ca="1">IF(AND(Energy!$F$11=$A$3,Main!$B$43=A189),Weight!V26,I189)</f>
        <v>36.016743816834079</v>
      </c>
      <c r="J189" s="103">
        <f ca="1">IF(AND(Energy!$F$11=$A$3,Main!$B$43=A189),Weight!I26,J189)</f>
        <v>9.8074452981449589</v>
      </c>
      <c r="K189" s="103">
        <f ca="1">IF(AND(Energy!$F$11=$A$3,Main!$B$43=A189),Weight!W26,K189)</f>
        <v>46.055533843331489</v>
      </c>
      <c r="L189" s="103">
        <f ca="1">IF(AND(Energy!$F$11=$A$3,Main!$B$43=A189),'Aerodynamics-Cruise'!BI26,L189)</f>
        <v>45.98020204192153</v>
      </c>
      <c r="M189" s="103">
        <f ca="1">IF(AND(Energy!$F$11=$A$3,Main!$B$43=A189),'Aerodynamics-Cruise'!BJ26,M189)</f>
        <v>2.4617818126463336</v>
      </c>
      <c r="N189" s="103">
        <f ca="1">IF(AND(Energy!$F$11=$A$3,Main!$B$43=A189),'Aerodynamics-Cruise'!BK26,N189)</f>
        <v>18.677610585031637</v>
      </c>
      <c r="O189" s="103">
        <f t="shared" ca="1" si="9"/>
        <v>126.65045491373017</v>
      </c>
      <c r="P189" s="103">
        <f ca="1">IF(AND(Energy!$F$11=$A$3,Main!$B$43=A189),'Aerodynamics-Cruise'!H26,P189)</f>
        <v>7.0284494289619266</v>
      </c>
      <c r="Q189" s="103">
        <f ca="1">IF(AND(Energy!$F$11=$A$3,Main!$B$43=A189),'Aerodynamics-Cruise'!I26,Q189)</f>
        <v>5.8449323528648396</v>
      </c>
      <c r="R189" s="103">
        <f ca="1">IF(AND(Energy!$F$11=$A$3,Main!$B$43=$A189),Summary!R26,R189)</f>
        <v>21.449657132857599</v>
      </c>
      <c r="S189" s="103">
        <f ca="1">IF(AND(Energy!$F$11=$A$3,Main!$B$43=A189),'Aerodynamics-Cruise'!W26,S189)</f>
        <v>1</v>
      </c>
      <c r="T189" s="103">
        <f ca="1">IF(AND(Energy!$F$11=$A$3,Main!$B$43=A189),'Aerodynamics-Cruise'!BL26,T189)</f>
        <v>17.302508975322979</v>
      </c>
      <c r="U189" s="103">
        <f ca="1">IF(AND(Energy!$F$11=$A$3,Main!$B$43=A189),'Propulsion-Cruise'!M26,U189)</f>
        <v>41.403678019987517</v>
      </c>
      <c r="V189" s="103">
        <f ca="1">IF(AND(Energy!$F$11=$A$3,Main!$B$43=A189),Endurance!AP26,V189)</f>
        <v>404.64463784818787</v>
      </c>
      <c r="W189" s="103">
        <f ca="1">IF(AND(Energy!$F$11=$A$3,Main!$B$43=$A189),Summary!W26,W189)</f>
        <v>53.789473896535974</v>
      </c>
      <c r="X189" s="13">
        <f ca="1">IF(AND(Energy!$F$11=$A$3,Main!$B$43=A189),Energy!D26,X189)</f>
        <v>979.96948694782759</v>
      </c>
      <c r="Y189" s="102">
        <f ca="1">IF(AND(Energy!$F$11=$A$3,Main!$B$43=A189),'Aerodynamics-Cruise'!V26,Y189)</f>
        <v>178305.52193537602</v>
      </c>
      <c r="Z189" s="102">
        <f ca="1">IF(AND(Energy!$F$11=$A$3,Main!$B$43=$A189),Summary!Z26,Z189)</f>
        <v>130123.49115294601</v>
      </c>
      <c r="AA189" s="102">
        <f ca="1">IF(AND(Energy!$F$11=$A$3,Main!$B$43=$A189),Summary!AA26,AA189)</f>
        <v>544158.75778363703</v>
      </c>
      <c r="AB189" s="103">
        <f ca="1">IF(AND(Energy!$F$11=$A$3,Main!$B$43=$A189),Summary!AB26,AB189)</f>
        <v>2.110461352618084</v>
      </c>
      <c r="AC189" s="103">
        <f ca="1">IF(AND(Energy!$F$11=$A$3,Main!$B$43=$A189),Summary!AC26,AC189)</f>
        <v>2.6483840169060642</v>
      </c>
      <c r="AD189" s="103">
        <f ca="1">IF(AND(Energy!$F$11=$A$3,Main!$B$43=$A189),Summary!AD26,AD189)</f>
        <v>0.38507541729442774</v>
      </c>
      <c r="AE189" s="103">
        <f ca="1">IF(AND(Energy!$F$11=$A$3,Main!$B$43=$A189),Summary!AE26,AE189)</f>
        <v>1.7157894736842108</v>
      </c>
      <c r="AF189" s="103">
        <f ca="1">IF(AND(Energy!$F$11=$A$3,Main!$B$43=$A189),Summary!AF26,AF189)</f>
        <v>10.723684210526315</v>
      </c>
      <c r="AG189" s="103">
        <f ca="1">IF(AND(Energy!$F$11=$A$3,Main!$B$43=$A189),Summary!AG26,AG189)</f>
        <v>9.8667769571076835</v>
      </c>
      <c r="AH189" s="103">
        <f ca="1">IF(AND(Energy!$F$11=$A$3,Main!$B$43=$A189),Summary!AH26,AH189)</f>
        <v>47</v>
      </c>
      <c r="AI189" s="103">
        <f ca="1">IF(AND(Energy!$F$11=$A$3,Main!$B$43=$A189),Summary!AI26,AI189)</f>
        <v>2.8262203277669404</v>
      </c>
      <c r="AJ189" s="103">
        <f ca="1">IF(AND(Energy!$F$11=$A$3,Main!$B$43=$A189),Summary!AJ26,AJ189)</f>
        <v>0.33088791912453863</v>
      </c>
      <c r="AK189" s="103">
        <f ca="1">IF(AND(Energy!$F$11=$A$3,Main!$B$43=$A189),Summary!AK26,AK189)</f>
        <v>0.01</v>
      </c>
      <c r="AL189" s="103">
        <f ca="1">IF(AND(Energy!$F$11=$A$3,Main!$B$43=$A189),Summary!AL26,AL189)</f>
        <v>-0.31722811116963234</v>
      </c>
      <c r="AM189" s="103">
        <f ca="1">IF(AND(Energy!$F$11=$A$3,Main!$B$43=$A189),Summary!AM26,AM189)</f>
        <v>0.6875</v>
      </c>
    </row>
    <row r="190" spans="1:39">
      <c r="A190">
        <f t="shared" si="12"/>
        <v>10</v>
      </c>
      <c r="D190" s="1">
        <f ca="1">IF(AND(Energy!$F$11=$A$3,Main!$B$43=A190),Main!C27,D190)</f>
        <v>4.4473684210526319</v>
      </c>
      <c r="E190" s="103">
        <f ca="1">IF(AND(Energy!$F$11=$A$3,Main!$B$43=A190),Main!B27,E190)</f>
        <v>0.4</v>
      </c>
      <c r="F190" s="103">
        <f ca="1">IF(Main!$D$6=1,U190,IF(Main!$D$6=2,N190,IF(Main!$D$6=3,K190,IF(Main!$D$6=4,V190,J190))))</f>
        <v>403.56203968876861</v>
      </c>
      <c r="G190" s="103">
        <f ca="1">IF(AND(Energy!$F$11=$A$3,Main!$B$43=A190),Weight!H27,G190)</f>
        <v>10</v>
      </c>
      <c r="H190" s="103">
        <f ca="1">IF(AND(Energy!$F$11=$A$3,Main!$B$43=A190),Weight!U27,H190)</f>
        <v>16.807165145375915</v>
      </c>
      <c r="I190" s="103">
        <f ca="1">IF(AND(Energy!$F$11=$A$3,Main!$B$43=A190),Weight!V27,I190)</f>
        <v>36.741985020187968</v>
      </c>
      <c r="J190" s="103">
        <f ca="1">IF(AND(Energy!$F$11=$A$3,Main!$B$43=A190),Weight!I27,J190)</f>
        <v>9.8744615998120544</v>
      </c>
      <c r="K190" s="103">
        <f ca="1">IF(AND(Energy!$F$11=$A$3,Main!$B$43=A190),Weight!W27,K190)</f>
        <v>46.784727101474466</v>
      </c>
      <c r="L190" s="103">
        <f ca="1">IF(AND(Energy!$F$11=$A$3,Main!$B$43=A190),'Aerodynamics-Cruise'!BI27,L190)</f>
        <v>46.701575640061513</v>
      </c>
      <c r="M190" s="103">
        <f ca="1">IF(AND(Energy!$F$11=$A$3,Main!$B$43=A190),'Aerodynamics-Cruise'!BJ27,M190)</f>
        <v>2.4689854022798707</v>
      </c>
      <c r="N190" s="103">
        <f ca="1">IF(AND(Energy!$F$11=$A$3,Main!$B$43=A190),'Aerodynamics-Cruise'!BK27,N190)</f>
        <v>18.9152903038378</v>
      </c>
      <c r="O190" s="103">
        <f t="shared" ca="1" si="9"/>
        <v>129.26435326623115</v>
      </c>
      <c r="P190" s="103">
        <f ca="1">IF(AND(Energy!$F$11=$A$3,Main!$B$43=A190),'Aerodynamics-Cruise'!H27,P190)</f>
        <v>6.9564187218465756</v>
      </c>
      <c r="Q190" s="103">
        <f ca="1">IF(AND(Energy!$F$11=$A$3,Main!$B$43=A190),'Aerodynamics-Cruise'!I27,Q190)</f>
        <v>5.7855107958286052</v>
      </c>
      <c r="R190" s="103">
        <f ca="1">IF(AND(Energy!$F$11=$A$3,Main!$B$43=$A190),Summary!R27,R190)</f>
        <v>21.217580492179845</v>
      </c>
      <c r="S190" s="103">
        <f ca="1">IF(AND(Energy!$F$11=$A$3,Main!$B$43=A190),'Aerodynamics-Cruise'!W27,S190)</f>
        <v>1</v>
      </c>
      <c r="T190" s="103">
        <f ca="1">IF(AND(Energy!$F$11=$A$3,Main!$B$43=A190),'Aerodynamics-Cruise'!BL27,T190)</f>
        <v>17.175296276385591</v>
      </c>
      <c r="U190" s="103">
        <f ca="1">IF(AND(Energy!$F$11=$A$3,Main!$B$43=A190),'Propulsion-Cruise'!M27,U190)</f>
        <v>41.13940458073089</v>
      </c>
      <c r="V190" s="103">
        <f ca="1">IF(AND(Energy!$F$11=$A$3,Main!$B$43=A190),Endurance!AP27,V190)</f>
        <v>403.56203968876861</v>
      </c>
      <c r="W190" s="103">
        <f ca="1">IF(AND(Energy!$F$11=$A$3,Main!$B$43=$A190),Summary!W27,W190)</f>
        <v>55.151111575313031</v>
      </c>
      <c r="X190" s="13">
        <f ca="1">IF(AND(Energy!$F$11=$A$3,Main!$B$43=A190),Energy!D27,X190)</f>
        <v>982.33708813408919</v>
      </c>
      <c r="Y190" s="102">
        <f ca="1">IF(AND(Energy!$F$11=$A$3,Main!$B$43=A190),'Aerodynamics-Cruise'!V27,Y190)</f>
        <v>176478.16684697583</v>
      </c>
      <c r="Z190" s="102">
        <f ca="1">IF(AND(Energy!$F$11=$A$3,Main!$B$43=$A190),Summary!Z27,Z190)</f>
        <v>128800.53737230239</v>
      </c>
      <c r="AA190" s="102">
        <f ca="1">IF(AND(Energy!$F$11=$A$3,Main!$B$43=$A190),Summary!AA27,AA190)</f>
        <v>538271.17945454782</v>
      </c>
      <c r="AB190" s="103">
        <f ca="1">IF(AND(Energy!$F$11=$A$3,Main!$B$43=$A190),Summary!AB27,AB190)</f>
        <v>2.099385438057261</v>
      </c>
      <c r="AC190" s="103">
        <f ca="1">IF(AND(Energy!$F$11=$A$3,Main!$B$43=$A190),Summary!AC27,AC190)</f>
        <v>2.5840198837479993</v>
      </c>
      <c r="AD190" s="103">
        <f ca="1">IF(AND(Energy!$F$11=$A$3,Main!$B$43=$A190),Summary!AD27,AD190)</f>
        <v>0.38441091658472482</v>
      </c>
      <c r="AE190" s="103">
        <f ca="1">IF(AND(Energy!$F$11=$A$3,Main!$B$43=$A190),Summary!AE27,AE190)</f>
        <v>1.7789473684210528</v>
      </c>
      <c r="AF190" s="103">
        <f ca="1">IF(AND(Energy!$F$11=$A$3,Main!$B$43=$A190),Summary!AF27,AF190)</f>
        <v>11.118421052631579</v>
      </c>
      <c r="AG190" s="103">
        <f ca="1">IF(AND(Energy!$F$11=$A$3,Main!$B$43=$A190),Summary!AG27,AG190)</f>
        <v>9.8116110509723331</v>
      </c>
      <c r="AH190" s="103">
        <f ca="1">IF(AND(Energy!$F$11=$A$3,Main!$B$43=$A190),Summary!AH27,AH190)</f>
        <v>47</v>
      </c>
      <c r="AI190" s="103">
        <f ca="1">IF(AND(Energy!$F$11=$A$3,Main!$B$43=$A190),Summary!AI27,AI190)</f>
        <v>2.8251026777982289</v>
      </c>
      <c r="AJ190" s="103">
        <f ca="1">IF(AND(Energy!$F$11=$A$3,Main!$B$43=$A190),Summary!AJ27,AJ190)</f>
        <v>0.33147084963848317</v>
      </c>
      <c r="AK190" s="103">
        <f ca="1">IF(AND(Energy!$F$11=$A$3,Main!$B$43=$A190),Summary!AK27,AK190)</f>
        <v>0.01</v>
      </c>
      <c r="AL190" s="103">
        <f ca="1">IF(AND(Energy!$F$11=$A$3,Main!$B$43=$A190),Summary!AL27,AL190)</f>
        <v>-0.31664410008016269</v>
      </c>
      <c r="AM190" s="103">
        <f ca="1">IF(AND(Energy!$F$11=$A$3,Main!$B$43=$A190),Summary!AM27,AM190)</f>
        <v>0.6875</v>
      </c>
    </row>
    <row r="191" spans="1:39">
      <c r="A191">
        <f t="shared" si="12"/>
        <v>10</v>
      </c>
      <c r="D191" s="1">
        <f ca="1">IF(AND(Energy!$F$11=$A$3,Main!$B$43=A191),Main!C28,D191)</f>
        <v>4.6052631578947372</v>
      </c>
      <c r="E191" s="103">
        <f ca="1">IF(AND(Energy!$F$11=$A$3,Main!$B$43=A191),Main!B28,E191)</f>
        <v>0.4</v>
      </c>
      <c r="F191" s="103">
        <f ca="1">IF(Main!$D$6=1,U191,IF(Main!$D$6=2,N191,IF(Main!$D$6=3,K191,IF(Main!$D$6=4,V191,J191))))</f>
        <v>403.25889282760431</v>
      </c>
      <c r="G191" s="103">
        <f ca="1">IF(AND(Energy!$F$11=$A$3,Main!$B$43=A191),Weight!H28,G191)</f>
        <v>10</v>
      </c>
      <c r="H191" s="103">
        <f ca="1">IF(AND(Energy!$F$11=$A$3,Main!$B$43=A191),Weight!U28,H191)</f>
        <v>17.483993816084649</v>
      </c>
      <c r="I191" s="103">
        <f ca="1">IF(AND(Energy!$F$11=$A$3,Main!$B$43=A191),Weight!V28,I191)</f>
        <v>37.489297304575231</v>
      </c>
      <c r="J191" s="103">
        <f ca="1">IF(AND(Energy!$F$11=$A$3,Main!$B$43=A191),Weight!I28,J191)</f>
        <v>9.944945213490584</v>
      </c>
      <c r="K191" s="103">
        <f ca="1">IF(AND(Energy!$F$11=$A$3,Main!$B$43=A191),Weight!W28,K191)</f>
        <v>47.535746174320643</v>
      </c>
      <c r="L191" s="103">
        <f ca="1">IF(AND(Energy!$F$11=$A$3,Main!$B$43=A191),'Aerodynamics-Cruise'!BI28,L191)</f>
        <v>47.445308227684919</v>
      </c>
      <c r="M191" s="103">
        <f ca="1">IF(AND(Energy!$F$11=$A$3,Main!$B$43=A191),'Aerodynamics-Cruise'!BJ28,M191)</f>
        <v>2.4787104672909033</v>
      </c>
      <c r="N191" s="103">
        <f ca="1">IF(AND(Energy!$F$11=$A$3,Main!$B$43=A191),'Aerodynamics-Cruise'!BK28,N191)</f>
        <v>19.141125538369181</v>
      </c>
      <c r="O191" s="103">
        <f t="shared" ca="1" si="9"/>
        <v>131.84513456362603</v>
      </c>
      <c r="P191" s="103">
        <f ca="1">IF(AND(Energy!$F$11=$A$3,Main!$B$43=A191),'Aerodynamics-Cruise'!H28,P191)</f>
        <v>6.8902782519251708</v>
      </c>
      <c r="Q191" s="103">
        <f ca="1">IF(AND(Energy!$F$11=$A$3,Main!$B$43=A191),'Aerodynamics-Cruise'!I28,Q191)</f>
        <v>5.730942534690521</v>
      </c>
      <c r="R191" s="103">
        <f ca="1">IF(AND(Energy!$F$11=$A$3,Main!$B$43=$A191),Summary!R28,R191)</f>
        <v>20.994269216744947</v>
      </c>
      <c r="S191" s="103">
        <f ca="1">IF(AND(Energy!$F$11=$A$3,Main!$B$43=A191),'Aerodynamics-Cruise'!W28,S191)</f>
        <v>1</v>
      </c>
      <c r="T191" s="103">
        <f ca="1">IF(AND(Energy!$F$11=$A$3,Main!$B$43=A191),'Aerodynamics-Cruise'!BL28,T191)</f>
        <v>17.079004825593788</v>
      </c>
      <c r="U191" s="103">
        <f ca="1">IF(AND(Energy!$F$11=$A$3,Main!$B$43=A191),'Propulsion-Cruise'!M28,U191)</f>
        <v>40.956549989293691</v>
      </c>
      <c r="V191" s="103">
        <f ca="1">IF(AND(Energy!$F$11=$A$3,Main!$B$43=A191),Endurance!AP28,V191)</f>
        <v>403.25889282760431</v>
      </c>
      <c r="W191" s="103">
        <f ca="1">IF(AND(Energy!$F$11=$A$3,Main!$B$43=$A191),Summary!W28,W191)</f>
        <v>56.570202557711085</v>
      </c>
      <c r="X191" s="13">
        <f ca="1">IF(AND(Energy!$F$11=$A$3,Main!$B$43=A191),Energy!D28,X191)</f>
        <v>984.81510211914701</v>
      </c>
      <c r="Y191" s="102">
        <f ca="1">IF(AND(Energy!$F$11=$A$3,Main!$B$43=A191),'Aerodynamics-Cruise'!V28,Y191)</f>
        <v>174800.24184664915</v>
      </c>
      <c r="Z191" s="102">
        <f ca="1">IF(AND(Energy!$F$11=$A$3,Main!$B$43=$A191),Summary!Z28,Z191)</f>
        <v>127585.63767382366</v>
      </c>
      <c r="AA191" s="102">
        <f ca="1">IF(AND(Energy!$F$11=$A$3,Main!$B$43=$A191),Summary!AA28,AA191)</f>
        <v>532605.9706595043</v>
      </c>
      <c r="AB191" s="103">
        <f ca="1">IF(AND(Energy!$F$11=$A$3,Main!$B$43=$A191),Summary!AB28,AB191)</f>
        <v>2.0920582337396771</v>
      </c>
      <c r="AC191" s="103">
        <f ca="1">IF(AND(Energy!$F$11=$A$3,Main!$B$43=$A191),Summary!AC28,AC191)</f>
        <v>2.5218357011272632</v>
      </c>
      <c r="AD191" s="103">
        <f ca="1">IF(AND(Energy!$F$11=$A$3,Main!$B$43=$A191),Summary!AD28,AD191)</f>
        <v>0.38395118997301397</v>
      </c>
      <c r="AE191" s="103">
        <f ca="1">IF(AND(Energy!$F$11=$A$3,Main!$B$43=$A191),Summary!AE28,AE191)</f>
        <v>1.8421052631578949</v>
      </c>
      <c r="AF191" s="103">
        <f ca="1">IF(AND(Energy!$F$11=$A$3,Main!$B$43=$A191),Summary!AF28,AF191)</f>
        <v>11.513157894736844</v>
      </c>
      <c r="AG191" s="103">
        <f ca="1">IF(AND(Energy!$F$11=$A$3,Main!$B$43=$A191),Summary!AG28,AG191)</f>
        <v>9.7715670310083276</v>
      </c>
      <c r="AH191" s="103">
        <f ca="1">IF(AND(Energy!$F$11=$A$3,Main!$B$43=$A191),Summary!AH28,AH191)</f>
        <v>47</v>
      </c>
      <c r="AI191" s="103">
        <f ca="1">IF(AND(Energy!$F$11=$A$3,Main!$B$43=$A191),Summary!AI28,AI191)</f>
        <v>2.8240871810538493</v>
      </c>
      <c r="AJ191" s="103">
        <f ca="1">IF(AND(Energy!$F$11=$A$3,Main!$B$43=$A191),Summary!AJ28,AJ191)</f>
        <v>0.3319536614292678</v>
      </c>
      <c r="AK191" s="103">
        <f ca="1">IF(AND(Energy!$F$11=$A$3,Main!$B$43=$A191),Summary!AK28,AK191)</f>
        <v>0.01</v>
      </c>
      <c r="AL191" s="103">
        <f ca="1">IF(AND(Energy!$F$11=$A$3,Main!$B$43=$A191),Summary!AL28,AL191)</f>
        <v>-0.31615939507675794</v>
      </c>
      <c r="AM191" s="103">
        <f ca="1">IF(AND(Energy!$F$11=$A$3,Main!$B$43=$A191),Summary!AM28,AM191)</f>
        <v>0.6875</v>
      </c>
    </row>
    <row r="192" spans="1:39">
      <c r="A192">
        <f t="shared" si="12"/>
        <v>10</v>
      </c>
      <c r="D192" s="1">
        <f ca="1">IF(AND(Energy!$F$11=$A$3,Main!$B$43=A192),Main!C29,D192)</f>
        <v>4.7631578947368425</v>
      </c>
      <c r="E192" s="103">
        <f ca="1">IF(AND(Energy!$F$11=$A$3,Main!$B$43=A192),Main!B29,E192)</f>
        <v>0.4</v>
      </c>
      <c r="F192" s="103">
        <f ca="1">IF(Main!$D$6=1,U192,IF(Main!$D$6=2,N192,IF(Main!$D$6=3,K192,IF(Main!$D$6=4,V192,J192))))</f>
        <v>403.63983780148476</v>
      </c>
      <c r="G192" s="103">
        <f ca="1">IF(AND(Energy!$F$11=$A$3,Main!$B$43=A192),Weight!H29,G192)</f>
        <v>10</v>
      </c>
      <c r="H192" s="103">
        <f ca="1">IF(AND(Energy!$F$11=$A$3,Main!$B$43=A192),Weight!U29,H192)</f>
        <v>18.179411767722801</v>
      </c>
      <c r="I192" s="103">
        <f ca="1">IF(AND(Energy!$F$11=$A$3,Main!$B$43=A192),Weight!V29,I192)</f>
        <v>38.258295755490238</v>
      </c>
      <c r="J192" s="103">
        <f ca="1">IF(AND(Energy!$F$11=$A$3,Main!$B$43=A192),Weight!I29,J192)</f>
        <v>10.018525712767438</v>
      </c>
      <c r="K192" s="103">
        <f ca="1">IF(AND(Energy!$F$11=$A$3,Main!$B$43=A192),Weight!W29,K192)</f>
        <v>48.308273013174471</v>
      </c>
      <c r="L192" s="103">
        <f ca="1">IF(AND(Energy!$F$11=$A$3,Main!$B$43=A192),'Aerodynamics-Cruise'!BI29,L192)</f>
        <v>48.210949839480662</v>
      </c>
      <c r="M192" s="103">
        <f ca="1">IF(AND(Energy!$F$11=$A$3,Main!$B$43=A192),'Aerodynamics-Cruise'!BJ29,M192)</f>
        <v>2.4907556113878626</v>
      </c>
      <c r="N192" s="103">
        <f ca="1">IF(AND(Energy!$F$11=$A$3,Main!$B$43=A192),'Aerodynamics-Cruise'!BK29,N192)</f>
        <v>19.355953518304936</v>
      </c>
      <c r="O192" s="103">
        <f t="shared" ca="1" si="9"/>
        <v>134.3963315487845</v>
      </c>
      <c r="P192" s="103">
        <f ca="1">IF(AND(Energy!$F$11=$A$3,Main!$B$43=A192),'Aerodynamics-Cruise'!H29,P192)</f>
        <v>6.8295003962767638</v>
      </c>
      <c r="Q192" s="103">
        <f ca="1">IF(AND(Energy!$F$11=$A$3,Main!$B$43=A192),'Aerodynamics-Cruise'!I29,Q192)</f>
        <v>5.6807938164227574</v>
      </c>
      <c r="R192" s="103">
        <f ca="1">IF(AND(Energy!$F$11=$A$3,Main!$B$43=$A192),Summary!R29,R192)</f>
        <v>20.779159240870683</v>
      </c>
      <c r="S192" s="103">
        <f ca="1">IF(AND(Energy!$F$11=$A$3,Main!$B$43=A192),'Aerodynamics-Cruise'!W29,S192)</f>
        <v>1</v>
      </c>
      <c r="T192" s="103">
        <f ca="1">IF(AND(Energy!$F$11=$A$3,Main!$B$43=A192),'Aerodynamics-Cruise'!BL29,T192)</f>
        <v>17.010616435001982</v>
      </c>
      <c r="U192" s="103">
        <f ca="1">IF(AND(Energy!$F$11=$A$3,Main!$B$43=A192),'Propulsion-Cruise'!M29,U192)</f>
        <v>40.844958315540019</v>
      </c>
      <c r="V192" s="103">
        <f ca="1">IF(AND(Energy!$F$11=$A$3,Main!$B$43=A192),Endurance!AP29,V192)</f>
        <v>403.63983780148476</v>
      </c>
      <c r="W192" s="103">
        <f ca="1">IF(AND(Energy!$F$11=$A$3,Main!$B$43=$A192),Summary!W29,W192)</f>
        <v>58.041605439295502</v>
      </c>
      <c r="X192" s="13">
        <f ca="1">IF(AND(Energy!$F$11=$A$3,Main!$B$43=A192),Energy!D29,X192)</f>
        <v>987.39267298785592</v>
      </c>
      <c r="Y192" s="102">
        <f ca="1">IF(AND(Energy!$F$11=$A$3,Main!$B$43=A192),'Aerodynamics-Cruise'!V29,Y192)</f>
        <v>173258.36160933159</v>
      </c>
      <c r="Z192" s="102">
        <f ca="1">IF(AND(Energy!$F$11=$A$3,Main!$B$43=$A192),Summary!Z29,Z192)</f>
        <v>126469.13479096213</v>
      </c>
      <c r="AA192" s="102">
        <f ca="1">IF(AND(Energy!$F$11=$A$3,Main!$B$43=$A192),Summary!AA29,AA192)</f>
        <v>527148.82155294355</v>
      </c>
      <c r="AB192" s="103">
        <f ca="1">IF(AND(Energy!$F$11=$A$3,Main!$B$43=$A192),Summary!AB29,AB192)</f>
        <v>2.0881606572586771</v>
      </c>
      <c r="AC192" s="103">
        <f ca="1">IF(AND(Energy!$F$11=$A$3,Main!$B$43=$A192),Summary!AC29,AC192)</f>
        <v>2.4617244007195276</v>
      </c>
      <c r="AD192" s="103">
        <f ca="1">IF(AND(Energy!$F$11=$A$3,Main!$B$43=$A192),Summary!AD29,AD192)</f>
        <v>0.38367779827838489</v>
      </c>
      <c r="AE192" s="103">
        <f ca="1">IF(AND(Energy!$F$11=$A$3,Main!$B$43=$A192),Summary!AE29,AE192)</f>
        <v>1.905263157894737</v>
      </c>
      <c r="AF192" s="103">
        <f ca="1">IF(AND(Energy!$F$11=$A$3,Main!$B$43=$A192),Summary!AF29,AF192)</f>
        <v>11.907894736842106</v>
      </c>
      <c r="AG192" s="103">
        <f ca="1">IF(AND(Energy!$F$11=$A$3,Main!$B$43=$A192),Summary!AG29,AG192)</f>
        <v>9.7446036590621254</v>
      </c>
      <c r="AH192" s="103">
        <f ca="1">IF(AND(Energy!$F$11=$A$3,Main!$B$43=$A192),Summary!AH29,AH192)</f>
        <v>47</v>
      </c>
      <c r="AI192" s="103">
        <f ca="1">IF(AND(Energy!$F$11=$A$3,Main!$B$43=$A192),Summary!AI29,AI192)</f>
        <v>2.8231558492691149</v>
      </c>
      <c r="AJ192" s="103">
        <f ca="1">IF(AND(Energy!$F$11=$A$3,Main!$B$43=$A192),Summary!AJ29,AJ192)</f>
        <v>0.33234630162459528</v>
      </c>
      <c r="AK192" s="103">
        <f ca="1">IF(AND(Energy!$F$11=$A$3,Main!$B$43=$A192),Summary!AK29,AK192)</f>
        <v>0.01</v>
      </c>
      <c r="AL192" s="103">
        <f ca="1">IF(AND(Energy!$F$11=$A$3,Main!$B$43=$A192),Summary!AL29,AL192)</f>
        <v>-0.31576349262807341</v>
      </c>
      <c r="AM192" s="103">
        <f ca="1">IF(AND(Energy!$F$11=$A$3,Main!$B$43=$A192),Summary!AM29,AM192)</f>
        <v>0.6875</v>
      </c>
    </row>
    <row r="193" spans="1:39">
      <c r="A193">
        <f t="shared" si="12"/>
        <v>10</v>
      </c>
      <c r="D193" s="1">
        <f ca="1">IF(AND(Energy!$F$11=$A$3,Main!$B$43=A193),Main!C30,D193)</f>
        <v>4.9210526315789478</v>
      </c>
      <c r="E193" s="103">
        <f ca="1">IF(AND(Energy!$F$11=$A$3,Main!$B$43=A193),Main!B30,E193)</f>
        <v>0.4</v>
      </c>
      <c r="F193" s="103">
        <f ca="1">IF(Main!$D$6=1,U193,IF(Main!$D$6=2,N193,IF(Main!$D$6=3,K193,IF(Main!$D$6=4,V193,J193))))</f>
        <v>404.54896769077783</v>
      </c>
      <c r="G193" s="103">
        <f ca="1">IF(AND(Energy!$F$11=$A$3,Main!$B$43=A193),Weight!H30,G193)</f>
        <v>10</v>
      </c>
      <c r="H193" s="103">
        <f ca="1">IF(AND(Energy!$F$11=$A$3,Main!$B$43=A193),Weight!U30,H193)</f>
        <v>18.89348965044686</v>
      </c>
      <c r="I193" s="103">
        <f ca="1">IF(AND(Energy!$F$11=$A$3,Main!$B$43=A193),Weight!V30,I193)</f>
        <v>39.048661665948082</v>
      </c>
      <c r="J193" s="103">
        <f ca="1">IF(AND(Energy!$F$11=$A$3,Main!$B$43=A193),Weight!I30,J193)</f>
        <v>10.094813740501223</v>
      </c>
      <c r="K193" s="103">
        <f ca="1">IF(AND(Energy!$F$11=$A$3,Main!$B$43=A193),Weight!W30,K193)</f>
        <v>49.102024263242242</v>
      </c>
      <c r="L193" s="103">
        <f ca="1">IF(AND(Energy!$F$11=$A$3,Main!$B$43=A193),'Aerodynamics-Cruise'!BI30,L193)</f>
        <v>48.998150883499697</v>
      </c>
      <c r="M193" s="103">
        <f ca="1">IF(AND(Energy!$F$11=$A$3,Main!$B$43=A193),'Aerodynamics-Cruise'!BJ30,M193)</f>
        <v>2.5044281486053981</v>
      </c>
      <c r="N193" s="103">
        <f ca="1">IF(AND(Energy!$F$11=$A$3,Main!$B$43=A193),'Aerodynamics-Cruise'!BK30,N193)</f>
        <v>19.564606359653215</v>
      </c>
      <c r="O193" s="103">
        <f t="shared" ca="1" si="9"/>
        <v>136.94966040487586</v>
      </c>
      <c r="P193" s="103">
        <f ca="1">IF(AND(Energy!$F$11=$A$3,Main!$B$43=A193),'Aerodynamics-Cruise'!H30,P193)</f>
        <v>6.7736224379973367</v>
      </c>
      <c r="Q193" s="103">
        <f ca="1">IF(AND(Energy!$F$11=$A$3,Main!$B$43=A193),'Aerodynamics-Cruise'!I30,Q193)</f>
        <v>5.6346841101534633</v>
      </c>
      <c r="R193" s="103">
        <f ca="1">IF(AND(Energy!$F$11=$A$3,Main!$B$43=$A193),Summary!R30,R193)</f>
        <v>20.571034808839748</v>
      </c>
      <c r="S193" s="103">
        <f ca="1">IF(AND(Energy!$F$11=$A$3,Main!$B$43=A193),'Aerodynamics-Cruise'!W30,S193)</f>
        <v>1</v>
      </c>
      <c r="T193" s="103">
        <f ca="1">IF(AND(Energy!$F$11=$A$3,Main!$B$43=A193),'Aerodynamics-Cruise'!BL30,T193)</f>
        <v>16.964050701745652</v>
      </c>
      <c r="U193" s="103">
        <f ca="1">IF(AND(Energy!$F$11=$A$3,Main!$B$43=A193),'Propulsion-Cruise'!M30,U193)</f>
        <v>40.78709256989039</v>
      </c>
      <c r="V193" s="103">
        <f ca="1">IF(AND(Energy!$F$11=$A$3,Main!$B$43=A193),Endurance!AP30,V193)</f>
        <v>404.54896769077783</v>
      </c>
      <c r="W193" s="103">
        <f ca="1">IF(AND(Energy!$F$11=$A$3,Main!$B$43=$A193),Summary!W30,W193)</f>
        <v>59.559016346331461</v>
      </c>
      <c r="X193" s="13">
        <f ca="1">IF(AND(Energy!$F$11=$A$3,Main!$B$43=A193),Energy!D30,X193)</f>
        <v>990.05754218590073</v>
      </c>
      <c r="Y193" s="102">
        <f ca="1">IF(AND(Energy!$F$11=$A$3,Main!$B$43=A193),'Aerodynamics-Cruise'!V30,Y193)</f>
        <v>171840.78741798285</v>
      </c>
      <c r="Z193" s="102">
        <f ca="1">IF(AND(Energy!$F$11=$A$3,Main!$B$43=$A193),Summary!Z30,Z193)</f>
        <v>125442.55644563054</v>
      </c>
      <c r="AA193" s="102">
        <f ca="1">IF(AND(Energy!$F$11=$A$3,Main!$B$43=$A193),Summary!AA30,AA193)</f>
        <v>521868.88949170365</v>
      </c>
      <c r="AB193" s="103">
        <f ca="1">IF(AND(Energy!$F$11=$A$3,Main!$B$43=$A193),Summary!AB30,AB193)</f>
        <v>2.0874082463847232</v>
      </c>
      <c r="AC193" s="103">
        <f ca="1">IF(AND(Energy!$F$11=$A$3,Main!$B$43=$A193),Summary!AC30,AC193)</f>
        <v>2.4036587217350092</v>
      </c>
      <c r="AD193" s="103">
        <f ca="1">IF(AND(Energy!$F$11=$A$3,Main!$B$43=$A193),Summary!AD30,AD193)</f>
        <v>0.38353119034225408</v>
      </c>
      <c r="AE193" s="103">
        <f ca="1">IF(AND(Energy!$F$11=$A$3,Main!$B$43=$A193),Summary!AE30,AE193)</f>
        <v>1.9684210526315793</v>
      </c>
      <c r="AF193" s="103">
        <f ca="1">IF(AND(Energy!$F$11=$A$3,Main!$B$43=$A193),Summary!AF30,AF193)</f>
        <v>12.302631578947368</v>
      </c>
      <c r="AG193" s="103">
        <f ca="1">IF(AND(Energy!$F$11=$A$3,Main!$B$43=$A193),Summary!AG30,AG193)</f>
        <v>9.7280233267213632</v>
      </c>
      <c r="AH193" s="103">
        <f ca="1">IF(AND(Energy!$F$11=$A$3,Main!$B$43=$A193),Summary!AH30,AH193)</f>
        <v>47</v>
      </c>
      <c r="AI193" s="103">
        <f ca="1">IF(AND(Energy!$F$11=$A$3,Main!$B$43=$A193),Summary!AI30,AI193)</f>
        <v>2.8222978404485262</v>
      </c>
      <c r="AJ193" s="103">
        <f ca="1">IF(AND(Energy!$F$11=$A$3,Main!$B$43=$A193),Summary!AJ30,AJ193)</f>
        <v>0.33326710580435864</v>
      </c>
      <c r="AK193" s="103">
        <f ca="1">IF(AND(Energy!$F$11=$A$3,Main!$B$43=$A193),Summary!AK30,AK193)</f>
        <v>0.01</v>
      </c>
      <c r="AL193" s="103">
        <f ca="1">IF(AND(Energy!$F$11=$A$3,Main!$B$43=$A193),Summary!AL30,AL193)</f>
        <v>-0.31488110136615832</v>
      </c>
      <c r="AM193" s="103">
        <f ca="1">IF(AND(Energy!$F$11=$A$3,Main!$B$43=$A193),Summary!AM30,AM193)</f>
        <v>0.6875</v>
      </c>
    </row>
    <row r="194" spans="1:39">
      <c r="A194">
        <f t="shared" si="12"/>
        <v>10</v>
      </c>
      <c r="D194" s="1">
        <f ca="1">IF(AND(Energy!$F$11=$A$3,Main!$B$43=A194),Main!C31,D194)</f>
        <v>5.0789473684210531</v>
      </c>
      <c r="E194" s="103">
        <f ca="1">IF(AND(Energy!$F$11=$A$3,Main!$B$43=A194),Main!B31,E194)</f>
        <v>0.4</v>
      </c>
      <c r="F194" s="103">
        <f ca="1">IF(Main!$D$6=1,U194,IF(Main!$D$6=2,N194,IF(Main!$D$6=3,K194,IF(Main!$D$6=4,V194,J194))))</f>
        <v>405.98229879068168</v>
      </c>
      <c r="G194" s="103">
        <f ca="1">IF(AND(Energy!$F$11=$A$3,Main!$B$43=A194),Weight!H31,G194)</f>
        <v>10</v>
      </c>
      <c r="H194" s="103">
        <f ca="1">IF(AND(Energy!$F$11=$A$3,Main!$B$43=A194),Weight!U31,H194)</f>
        <v>19.62635287531544</v>
      </c>
      <c r="I194" s="103">
        <f ca="1">IF(AND(Energy!$F$11=$A$3,Main!$B$43=A194),Weight!V31,I194)</f>
        <v>39.860471207616136</v>
      </c>
      <c r="J194" s="103">
        <f ca="1">IF(AND(Energy!$F$11=$A$3,Main!$B$43=A194),Weight!I31,J194)</f>
        <v>10.173760057300695</v>
      </c>
      <c r="K194" s="103">
        <f ca="1">IF(AND(Energy!$F$11=$A$3,Main!$B$43=A194),Weight!W31,K194)</f>
        <v>49.917117351357838</v>
      </c>
      <c r="L194" s="103">
        <f ca="1">IF(AND(Energy!$F$11=$A$3,Main!$B$43=A194),'Aerodynamics-Cruise'!BI31,L194)</f>
        <v>49.806949993804785</v>
      </c>
      <c r="M194" s="103">
        <f ca="1">IF(AND(Energy!$F$11=$A$3,Main!$B$43=A194),'Aerodynamics-Cruise'!BJ31,M194)</f>
        <v>2.5199354890066941</v>
      </c>
      <c r="N194" s="103">
        <f ca="1">IF(AND(Energy!$F$11=$A$3,Main!$B$43=A194),'Aerodynamics-Cruise'!BK31,N194)</f>
        <v>19.765168676376572</v>
      </c>
      <c r="O194" s="103">
        <f t="shared" ca="1" si="9"/>
        <v>139.49077876137383</v>
      </c>
      <c r="P194" s="103">
        <f ca="1">IF(AND(Energy!$F$11=$A$3,Main!$B$43=A194),'Aerodynamics-Cruise'!H31,P194)</f>
        <v>6.7222571983854902</v>
      </c>
      <c r="Q194" s="103">
        <f ca="1">IF(AND(Energy!$F$11=$A$3,Main!$B$43=A194),'Aerodynamics-Cruise'!I31,Q194)</f>
        <v>5.5922950124246595</v>
      </c>
      <c r="R194" s="103">
        <f ca="1">IF(AND(Energy!$F$11=$A$3,Main!$B$43=$A194),Summary!R31,R194)</f>
        <v>20.363962217945758</v>
      </c>
      <c r="S194" s="103">
        <f ca="1">IF(AND(Energy!$F$11=$A$3,Main!$B$43=A194),'Aerodynamics-Cruise'!W31,S194)</f>
        <v>1</v>
      </c>
      <c r="T194" s="103">
        <f ca="1">IF(AND(Energy!$F$11=$A$3,Main!$B$43=A194),'Aerodynamics-Cruise'!BL31,T194)</f>
        <v>16.939654480442311</v>
      </c>
      <c r="U194" s="103">
        <f ca="1">IF(AND(Energy!$F$11=$A$3,Main!$B$43=A194),'Propulsion-Cruise'!M31,U194)</f>
        <v>40.783063887198978</v>
      </c>
      <c r="V194" s="103">
        <f ca="1">IF(AND(Energy!$F$11=$A$3,Main!$B$43=A194),Endurance!AP31,V194)</f>
        <v>405.98229879068168</v>
      </c>
      <c r="W194" s="103">
        <f ca="1">IF(AND(Energy!$F$11=$A$3,Main!$B$43=$A194),Summary!W31,W194)</f>
        <v>61.122605905555119</v>
      </c>
      <c r="X194" s="13">
        <f ca="1">IF(AND(Energy!$F$11=$A$3,Main!$B$43=A194),Energy!D31,X194)</f>
        <v>992.80907005882818</v>
      </c>
      <c r="Y194" s="102">
        <f ca="1">IF(AND(Energy!$F$11=$A$3,Main!$B$43=A194),'Aerodynamics-Cruise'!V31,Y194)</f>
        <v>170537.69689269771</v>
      </c>
      <c r="Z194" s="102">
        <f ca="1">IF(AND(Energy!$F$11=$A$3,Main!$B$43=$A194),Summary!Z31,Z194)</f>
        <v>124498.81358369954</v>
      </c>
      <c r="AA194" s="102">
        <f ca="1">IF(AND(Energy!$F$11=$A$3,Main!$B$43=$A194),Summary!AA31,AA194)</f>
        <v>516615.64170625055</v>
      </c>
      <c r="AB194" s="103">
        <f ca="1">IF(AND(Energy!$F$11=$A$3,Main!$B$43=$A194),Summary!AB31,AB194)</f>
        <v>2.0896068096004421</v>
      </c>
      <c r="AC194" s="103">
        <f ca="1">IF(AND(Energy!$F$11=$A$3,Main!$B$43=$A194),Summary!AC31,AC194)</f>
        <v>2.3474822596906622</v>
      </c>
      <c r="AD194" s="103">
        <f ca="1">IF(AND(Energy!$F$11=$A$3,Main!$B$43=$A194),Summary!AD31,AD194)</f>
        <v>0.38352868673876533</v>
      </c>
      <c r="AE194" s="103">
        <f ca="1">IF(AND(Energy!$F$11=$A$3,Main!$B$43=$A194),Summary!AE31,AE194)</f>
        <v>2.0315789473684212</v>
      </c>
      <c r="AF194" s="103">
        <f ca="1">IF(AND(Energy!$F$11=$A$3,Main!$B$43=$A194),Summary!AF31,AF194)</f>
        <v>12.697368421052634</v>
      </c>
      <c r="AG194" s="103">
        <f ca="1">IF(AND(Energy!$F$11=$A$3,Main!$B$43=$A194),Summary!AG31,AG194)</f>
        <v>9.7212832504330979</v>
      </c>
      <c r="AH194" s="103">
        <f ca="1">IF(AND(Energy!$F$11=$A$3,Main!$B$43=$A194),Summary!AH31,AH194)</f>
        <v>47</v>
      </c>
      <c r="AI194" s="103">
        <f ca="1">IF(AND(Energy!$F$11=$A$3,Main!$B$43=$A194),Summary!AI31,AI194)</f>
        <v>2.8215019200237235</v>
      </c>
      <c r="AJ194" s="103">
        <f ca="1">IF(AND(Energy!$F$11=$A$3,Main!$B$43=$A194),Summary!AJ31,AJ194)</f>
        <v>0.33426332807575421</v>
      </c>
      <c r="AK194" s="103">
        <f ca="1">IF(AND(Energy!$F$11=$A$3,Main!$B$43=$A194),Summary!AK31,AK194)</f>
        <v>0.01</v>
      </c>
      <c r="AL194" s="103">
        <f ca="1">IF(AND(Energy!$F$11=$A$3,Main!$B$43=$A194),Summary!AL31,AL194)</f>
        <v>-0.31393675843523366</v>
      </c>
      <c r="AM194" s="103">
        <f ca="1">IF(AND(Energy!$F$11=$A$3,Main!$B$43=$A194),Summary!AM31,AM194)</f>
        <v>0.6875</v>
      </c>
    </row>
    <row r="195" spans="1:39">
      <c r="A195">
        <f t="shared" si="12"/>
        <v>10</v>
      </c>
      <c r="D195" s="1">
        <f ca="1">IF(AND(Energy!$F$11=$A$3,Main!$B$43=A195),Main!C32,D195)</f>
        <v>5.2368421052631584</v>
      </c>
      <c r="E195" s="103">
        <f ca="1">IF(AND(Energy!$F$11=$A$3,Main!$B$43=A195),Main!B32,E195)</f>
        <v>0.4</v>
      </c>
      <c r="F195" s="103">
        <f ca="1">IF(Main!$D$6=1,U195,IF(Main!$D$6=2,N195,IF(Main!$D$6=3,K195,IF(Main!$D$6=4,V195,J195))))</f>
        <v>407.91871549216438</v>
      </c>
      <c r="G195" s="103">
        <f ca="1">IF(AND(Energy!$F$11=$A$3,Main!$B$43=A195),Weight!H32,G195)</f>
        <v>10</v>
      </c>
      <c r="H195" s="103">
        <f ca="1">IF(AND(Energy!$F$11=$A$3,Main!$B$43=A195),Weight!U32,H195)</f>
        <v>20.378172423417002</v>
      </c>
      <c r="I195" s="103">
        <f ca="1">IF(AND(Energy!$F$11=$A$3,Main!$B$43=A195),Weight!V32,I195)</f>
        <v>40.693857169886194</v>
      </c>
      <c r="J195" s="103">
        <f ca="1">IF(AND(Energy!$F$11=$A$3,Main!$B$43=A195),Weight!I32,J195)</f>
        <v>10.255326471469193</v>
      </c>
      <c r="K195" s="103">
        <f ca="1">IF(AND(Energy!$F$11=$A$3,Main!$B$43=A195),Weight!W32,K195)</f>
        <v>50.753712982103146</v>
      </c>
      <c r="L195" s="103">
        <f ca="1">IF(AND(Energy!$F$11=$A$3,Main!$B$43=A195),'Aerodynamics-Cruise'!BI32,L195)</f>
        <v>50.637457280680366</v>
      </c>
      <c r="M195" s="103">
        <f ca="1">IF(AND(Energy!$F$11=$A$3,Main!$B$43=A195),'Aerodynamics-Cruise'!BJ32,M195)</f>
        <v>2.5373198343133709</v>
      </c>
      <c r="N195" s="103">
        <f ca="1">IF(AND(Energy!$F$11=$A$3,Main!$B$43=A195),'Aerodynamics-Cruise'!BK32,N195)</f>
        <v>19.95706516611985</v>
      </c>
      <c r="O195" s="103">
        <f t="shared" ca="1" si="9"/>
        <v>142.01447751796476</v>
      </c>
      <c r="P195" s="103">
        <f ca="1">IF(AND(Energy!$F$11=$A$3,Main!$B$43=A195),'Aerodynamics-Cruise'!H32,P195)</f>
        <v>6.6750625209192505</v>
      </c>
      <c r="Q195" s="103">
        <f ca="1">IF(AND(Energy!$F$11=$A$3,Main!$B$43=A195),'Aerodynamics-Cruise'!I32,Q195)</f>
        <v>5.5533450661825698</v>
      </c>
      <c r="R195" s="103">
        <f ca="1">IF(AND(Energy!$F$11=$A$3,Main!$B$43=$A195),Summary!R32,R195)</f>
        <v>20.157017925313262</v>
      </c>
      <c r="S195" s="103">
        <f ca="1">IF(AND(Energy!$F$11=$A$3,Main!$B$43=A195),'Aerodynamics-Cruise'!W32,S195)</f>
        <v>1</v>
      </c>
      <c r="T195" s="103">
        <f ca="1">IF(AND(Energy!$F$11=$A$3,Main!$B$43=A195),'Aerodynamics-Cruise'!BL32,T195)</f>
        <v>16.936768529610223</v>
      </c>
      <c r="U195" s="103">
        <f ca="1">IF(AND(Energy!$F$11=$A$3,Main!$B$43=A195),'Propulsion-Cruise'!M32,U195)</f>
        <v>40.830804844504989</v>
      </c>
      <c r="V195" s="103">
        <f ca="1">IF(AND(Energy!$F$11=$A$3,Main!$B$43=A195),Endurance!AP32,V195)</f>
        <v>407.91871549216438</v>
      </c>
      <c r="W195" s="103">
        <f ca="1">IF(AND(Energy!$F$11=$A$3,Main!$B$43=$A195),Summary!W32,W195)</f>
        <v>62.73241731161685</v>
      </c>
      <c r="X195" s="13">
        <f ca="1">IF(AND(Energy!$F$11=$A$3,Main!$B$43=A195),Energy!D32,X195)</f>
        <v>995.64667463319427</v>
      </c>
      <c r="Y195" s="102">
        <f ca="1">IF(AND(Energy!$F$11=$A$3,Main!$B$43=A195),'Aerodynamics-Cruise'!V32,Y195)</f>
        <v>169340.40982629103</v>
      </c>
      <c r="Z195" s="102">
        <f ca="1">IF(AND(Energy!$F$11=$A$3,Main!$B$43=$A195),Summary!Z32,Z195)</f>
        <v>123631.63975431192</v>
      </c>
      <c r="AA195" s="102">
        <f ca="1">IF(AND(Energy!$F$11=$A$3,Main!$B$43=$A195),Summary!AA32,AA195)</f>
        <v>511365.64873378421</v>
      </c>
      <c r="AB195" s="103">
        <f ca="1">IF(AND(Energy!$F$11=$A$3,Main!$B$43=$A195),Summary!AB32,AB195)</f>
        <v>2.094589743479117</v>
      </c>
      <c r="AC195" s="103">
        <f ca="1">IF(AND(Energy!$F$11=$A$3,Main!$B$43=$A195),Summary!AC32,AC195)</f>
        <v>2.2930753865018829</v>
      </c>
      <c r="AD195" s="103">
        <f ca="1">IF(AND(Energy!$F$11=$A$3,Main!$B$43=$A195),Summary!AD32,AD195)</f>
        <v>0.38367324160238625</v>
      </c>
      <c r="AE195" s="103">
        <f ca="1">IF(AND(Energy!$F$11=$A$3,Main!$B$43=$A195),Summary!AE32,AE195)</f>
        <v>2.0947368421052635</v>
      </c>
      <c r="AF195" s="103">
        <f ca="1">IF(AND(Energy!$F$11=$A$3,Main!$B$43=$A195),Summary!AF32,AF195)</f>
        <v>13.092105263157896</v>
      </c>
      <c r="AG195" s="103">
        <f ca="1">IF(AND(Energy!$F$11=$A$3,Main!$B$43=$A195),Summary!AG32,AG195)</f>
        <v>9.7237092817994935</v>
      </c>
      <c r="AH195" s="103">
        <f ca="1">IF(AND(Energy!$F$11=$A$3,Main!$B$43=$A195),Summary!AH32,AH195)</f>
        <v>47</v>
      </c>
      <c r="AI195" s="103">
        <f ca="1">IF(AND(Energy!$F$11=$A$3,Main!$B$43=$A195),Summary!AI32,AI195)</f>
        <v>2.8207601017694497</v>
      </c>
      <c r="AJ195" s="103">
        <f ca="1">IF(AND(Energy!$F$11=$A$3,Main!$B$43=$A195),Summary!AJ32,AJ195)</f>
        <v>0.33515250238398081</v>
      </c>
      <c r="AK195" s="103">
        <f ca="1">IF(AND(Energy!$F$11=$A$3,Main!$B$43=$A195),Summary!AK32,AK195)</f>
        <v>0.01</v>
      </c>
      <c r="AL195" s="103">
        <f ca="1">IF(AND(Energy!$F$11=$A$3,Main!$B$43=$A195),Summary!AL32,AL195)</f>
        <v>-0.31309860294298875</v>
      </c>
      <c r="AM195" s="103">
        <f ca="1">IF(AND(Energy!$F$11=$A$3,Main!$B$43=$A195),Summary!AM32,AM195)</f>
        <v>0.6875</v>
      </c>
    </row>
    <row r="196" spans="1:39">
      <c r="A196">
        <f t="shared" si="12"/>
        <v>10</v>
      </c>
      <c r="D196" s="1">
        <f ca="1">IF(AND(Energy!$F$11=$A$3,Main!$B$43=A196),Main!C33,D196)</f>
        <v>5.3947368421052637</v>
      </c>
      <c r="E196" s="103">
        <f ca="1">IF(AND(Energy!$F$11=$A$3,Main!$B$43=A196),Main!B33,E196)</f>
        <v>0.4</v>
      </c>
      <c r="F196" s="103">
        <f ca="1">IF(Main!$D$6=1,U196,IF(Main!$D$6=2,N196,IF(Main!$D$6=3,K196,IF(Main!$D$6=4,V196,J196))))</f>
        <v>410.32172102145057</v>
      </c>
      <c r="G196" s="103">
        <f ca="1">IF(AND(Energy!$F$11=$A$3,Main!$B$43=A196),Weight!H33,G196)</f>
        <v>10</v>
      </c>
      <c r="H196" s="103">
        <f ca="1">IF(AND(Energy!$F$11=$A$3,Main!$B$43=A196),Weight!U33,H196)</f>
        <v>21.14915534604318</v>
      </c>
      <c r="I196" s="103">
        <f ca="1">IF(AND(Energy!$F$11=$A$3,Main!$B$43=A196),Weight!V33,I196)</f>
        <v>41.548992717924719</v>
      </c>
      <c r="J196" s="103">
        <f ca="1">IF(AND(Energy!$F$11=$A$3,Main!$B$43=A196),Weight!I33,J196)</f>
        <v>10.33947909688154</v>
      </c>
      <c r="K196" s="103">
        <f ca="1">IF(AND(Energy!$F$11=$A$3,Main!$B$43=A196),Weight!W33,K196)</f>
        <v>51.612001890050927</v>
      </c>
      <c r="L196" s="103">
        <f ca="1">IF(AND(Energy!$F$11=$A$3,Main!$B$43=A196),'Aerodynamics-Cruise'!BI33,L196)</f>
        <v>51.489834800966371</v>
      </c>
      <c r="M196" s="103">
        <f ca="1">IF(AND(Energy!$F$11=$A$3,Main!$B$43=A196),'Aerodynamics-Cruise'!BJ33,M196)</f>
        <v>2.5564840645010589</v>
      </c>
      <c r="N196" s="103">
        <f ca="1">IF(AND(Energy!$F$11=$A$3,Main!$B$43=A196),'Aerodynamics-Cruise'!BK33,N196)</f>
        <v>20.140878449408792</v>
      </c>
      <c r="O196" s="103">
        <f t="shared" ca="1" si="9"/>
        <v>144.52372867147164</v>
      </c>
      <c r="P196" s="103">
        <f ca="1">IF(AND(Energy!$F$11=$A$3,Main!$B$43=A196),'Aerodynamics-Cruise'!H33,P196)</f>
        <v>6.6317341830114342</v>
      </c>
      <c r="Q196" s="103">
        <f ca="1">IF(AND(Energy!$F$11=$A$3,Main!$B$43=A196),'Aerodynamics-Cruise'!I33,Q196)</f>
        <v>5.5175839517413392</v>
      </c>
      <c r="R196" s="103">
        <f ca="1">IF(AND(Energy!$F$11=$A$3,Main!$B$43=$A196),Summary!R33,R196)</f>
        <v>19.953075868191611</v>
      </c>
      <c r="S196" s="103">
        <f ca="1">IF(AND(Energy!$F$11=$A$3,Main!$B$43=A196),'Aerodynamics-Cruise'!W33,S196)</f>
        <v>1</v>
      </c>
      <c r="T196" s="103">
        <f ca="1">IF(AND(Energy!$F$11=$A$3,Main!$B$43=A196),'Aerodynamics-Cruise'!BL33,T196)</f>
        <v>16.953922758875681</v>
      </c>
      <c r="U196" s="103">
        <f ca="1">IF(AND(Energy!$F$11=$A$3,Main!$B$43=A196),'Propulsion-Cruise'!M33,U196)</f>
        <v>40.92632466576741</v>
      </c>
      <c r="V196" s="103">
        <f ca="1">IF(AND(Energy!$F$11=$A$3,Main!$B$43=A196),Endurance!AP33,V196)</f>
        <v>410.32172102145057</v>
      </c>
      <c r="W196" s="103">
        <f ca="1">IF(AND(Energy!$F$11=$A$3,Main!$B$43=$A196),Summary!W33,W196)</f>
        <v>64.388307146379006</v>
      </c>
      <c r="X196" s="13">
        <f ca="1">IF(AND(Energy!$F$11=$A$3,Main!$B$43=A196),Energy!D33,X196)</f>
        <v>998.5696683521179</v>
      </c>
      <c r="Y196" s="102">
        <f ca="1">IF(AND(Energy!$F$11=$A$3,Main!$B$43=A196),'Aerodynamics-Cruise'!V33,Y196)</f>
        <v>168241.20836182425</v>
      </c>
      <c r="Z196" s="102">
        <f ca="1">IF(AND(Energy!$F$11=$A$3,Main!$B$43=$A196),Summary!Z33,Z196)</f>
        <v>122835.46177126603</v>
      </c>
      <c r="AA196" s="102">
        <f ca="1">IF(AND(Energy!$F$11=$A$3,Main!$B$43=$A196),Summary!AA33,AA196)</f>
        <v>506191.81981074956</v>
      </c>
      <c r="AB196" s="103">
        <f ca="1">IF(AND(Energy!$F$11=$A$3,Main!$B$43=$A196),Summary!AB33,AB196)</f>
        <v>2.1022131849528858</v>
      </c>
      <c r="AC196" s="103">
        <f ca="1">IF(AND(Energy!$F$11=$A$3,Main!$B$43=$A196),Summary!AC33,AC196)</f>
        <v>2.2403477840921786</v>
      </c>
      <c r="AD196" s="103">
        <f ca="1">IF(AND(Energy!$F$11=$A$3,Main!$B$43=$A196),Summary!AD33,AD196)</f>
        <v>0.38395585290925677</v>
      </c>
      <c r="AE196" s="103">
        <f ca="1">IF(AND(Energy!$F$11=$A$3,Main!$B$43=$A196),Summary!AE33,AE196)</f>
        <v>2.1578947368421058</v>
      </c>
      <c r="AF196" s="103">
        <f ca="1">IF(AND(Energy!$F$11=$A$3,Main!$B$43=$A196),Summary!AF33,AF196)</f>
        <v>13.486842105263158</v>
      </c>
      <c r="AG196" s="103">
        <f ca="1">IF(AND(Energy!$F$11=$A$3,Main!$B$43=$A196),Summary!AG33,AG196)</f>
        <v>9.7344900750132748</v>
      </c>
      <c r="AH196" s="103">
        <f ca="1">IF(AND(Energy!$F$11=$A$3,Main!$B$43=$A196),Summary!AH33,AH196)</f>
        <v>47</v>
      </c>
      <c r="AI196" s="103">
        <f ca="1">IF(AND(Energy!$F$11=$A$3,Main!$B$43=$A196),Summary!AI33,AI196)</f>
        <v>2.8200668069273642</v>
      </c>
      <c r="AJ196" s="103">
        <f ca="1">IF(AND(Energy!$F$11=$A$3,Main!$B$43=$A196),Summary!AJ33,AJ196)</f>
        <v>0.33594162307434194</v>
      </c>
      <c r="AK196" s="103">
        <f ca="1">IF(AND(Energy!$F$11=$A$3,Main!$B$43=$A196),Summary!AK33,AK196)</f>
        <v>0.01</v>
      </c>
      <c r="AL196" s="103">
        <f ca="1">IF(AND(Energy!$F$11=$A$3,Main!$B$43=$A196),Summary!AL33,AL196)</f>
        <v>-0.3123584380176474</v>
      </c>
      <c r="AM196" s="103">
        <f ca="1">IF(AND(Energy!$F$11=$A$3,Main!$B$43=$A196),Summary!AM33,AM196)</f>
        <v>0.6875</v>
      </c>
    </row>
    <row r="197" spans="1:39">
      <c r="A197">
        <f t="shared" si="12"/>
        <v>10</v>
      </c>
      <c r="D197" s="1">
        <f ca="1">IF(AND(Energy!$F$11=$A$3,Main!$B$43=A197),Main!C34,D197)</f>
        <v>5.552631578947369</v>
      </c>
      <c r="E197" s="103">
        <f ca="1">IF(AND(Energy!$F$11=$A$3,Main!$B$43=A197),Main!B34,E197)</f>
        <v>0.4</v>
      </c>
      <c r="F197" s="103">
        <f ca="1">IF(Main!$D$6=1,U197,IF(Main!$D$6=2,N197,IF(Main!$D$6=3,K197,IF(Main!$D$6=4,V197,J197))))</f>
        <v>413.16202061670293</v>
      </c>
      <c r="G197" s="103">
        <f ca="1">IF(AND(Energy!$F$11=$A$3,Main!$B$43=A197),Weight!H34,G197)</f>
        <v>10</v>
      </c>
      <c r="H197" s="103">
        <f ca="1">IF(AND(Energy!$F$11=$A$3,Main!$B$43=A197),Weight!U34,H197)</f>
        <v>21.939537354073266</v>
      </c>
      <c r="I197" s="103">
        <f ca="1">IF(AND(Energy!$F$11=$A$3,Main!$B$43=A197),Weight!V34,I197)</f>
        <v>42.426117548225243</v>
      </c>
      <c r="J197" s="103">
        <f ca="1">IF(AND(Energy!$F$11=$A$3,Main!$B$43=A197),Weight!I34,J197)</f>
        <v>10.426221919151978</v>
      </c>
      <c r="K197" s="103">
        <f ca="1">IF(AND(Energy!$F$11=$A$3,Main!$B$43=A197),Weight!W34,K197)</f>
        <v>52.492236265154304</v>
      </c>
      <c r="L197" s="103">
        <f ca="1">IF(AND(Energy!$F$11=$A$3,Main!$B$43=A197),'Aerodynamics-Cruise'!BI34,L197)</f>
        <v>52.364317017984305</v>
      </c>
      <c r="M197" s="103">
        <f ca="1">IF(AND(Energy!$F$11=$A$3,Main!$B$43=A197),'Aerodynamics-Cruise'!BJ34,M197)</f>
        <v>2.5773461662284709</v>
      </c>
      <c r="N197" s="103">
        <f ca="1">IF(AND(Energy!$F$11=$A$3,Main!$B$43=A197),'Aerodynamics-Cruise'!BK34,N197)</f>
        <v>20.317145482483252</v>
      </c>
      <c r="O197" s="103">
        <f t="shared" ref="O197:O242" ca="1" si="13">L197^(3/2)/M197</f>
        <v>147.0213519848306</v>
      </c>
      <c r="P197" s="103">
        <f ca="1">IF(AND(Energy!$F$11=$A$3,Main!$B$43=A197),'Aerodynamics-Cruise'!H34,P197)</f>
        <v>6.5920023884618431</v>
      </c>
      <c r="Q197" s="103">
        <f ca="1">IF(AND(Energy!$F$11=$A$3,Main!$B$43=A197),'Aerodynamics-Cruise'!I34,Q197)</f>
        <v>5.4847896294864391</v>
      </c>
      <c r="R197" s="103">
        <f ca="1">IF(AND(Energy!$F$11=$A$3,Main!$B$43=$A197),Summary!R34,R197)</f>
        <v>19.753861545021874</v>
      </c>
      <c r="S197" s="103">
        <f ca="1">IF(AND(Energy!$F$11=$A$3,Main!$B$43=A197),'Aerodynamics-Cruise'!W34,S197)</f>
        <v>1</v>
      </c>
      <c r="T197" s="103">
        <f ca="1">IF(AND(Energy!$F$11=$A$3,Main!$B$43=A197),'Aerodynamics-Cruise'!BL34,T197)</f>
        <v>16.989872083671056</v>
      </c>
      <c r="U197" s="103">
        <f ca="1">IF(AND(Energy!$F$11=$A$3,Main!$B$43=A197),'Propulsion-Cruise'!M34,U197)</f>
        <v>41.066387750923163</v>
      </c>
      <c r="V197" s="103">
        <f ca="1">IF(AND(Energy!$F$11=$A$3,Main!$B$43=A197),Endurance!AP34,V197)</f>
        <v>413.16202061670293</v>
      </c>
      <c r="W197" s="103">
        <f ca="1">IF(AND(Energy!$F$11=$A$3,Main!$B$43=$A197),Summary!W34,W197)</f>
        <v>66.090704826959154</v>
      </c>
      <c r="X197" s="13">
        <f ca="1">IF(AND(Energy!$F$11=$A$3,Main!$B$43=A197),Energy!D34,X197)</f>
        <v>1001.5785183807228</v>
      </c>
      <c r="Y197" s="102">
        <f ca="1">IF(AND(Energy!$F$11=$A$3,Main!$B$43=A197),'Aerodynamics-Cruise'!V34,Y197)</f>
        <v>167233.2480092319</v>
      </c>
      <c r="Z197" s="102">
        <f ca="1">IF(AND(Energy!$F$11=$A$3,Main!$B$43=$A197),Summary!Z34,Z197)</f>
        <v>122105.33609163694</v>
      </c>
      <c r="AA197" s="102">
        <f ca="1">IF(AND(Energy!$F$11=$A$3,Main!$B$43=$A197),Summary!AA34,AA197)</f>
        <v>501137.92930064467</v>
      </c>
      <c r="AB197" s="103">
        <f ca="1">IF(AND(Energy!$F$11=$A$3,Main!$B$43=$A197),Summary!AB34,AB197)</f>
        <v>2.1123585914409166</v>
      </c>
      <c r="AC197" s="103">
        <f ca="1">IF(AND(Energy!$F$11=$A$3,Main!$B$43=$A197),Summary!AC34,AC197)</f>
        <v>2.1892146421590413</v>
      </c>
      <c r="AD197" s="103">
        <f ca="1">IF(AND(Energy!$F$11=$A$3,Main!$B$43=$A197),Summary!AD34,AD197)</f>
        <v>0.38436865894697997</v>
      </c>
      <c r="AE197" s="103">
        <f ca="1">IF(AND(Energy!$F$11=$A$3,Main!$B$43=$A197),Summary!AE34,AE197)</f>
        <v>2.2210526315789476</v>
      </c>
      <c r="AF197" s="103">
        <f ca="1">IF(AND(Energy!$F$11=$A$3,Main!$B$43=$A197),Summary!AF34,AF197)</f>
        <v>13.881578947368423</v>
      </c>
      <c r="AG197" s="103">
        <f ca="1">IF(AND(Energy!$F$11=$A$3,Main!$B$43=$A197),Summary!AG34,AG197)</f>
        <v>9.7529646380868247</v>
      </c>
      <c r="AH197" s="103">
        <f ca="1">IF(AND(Energy!$F$11=$A$3,Main!$B$43=$A197),Summary!AH34,AH197)</f>
        <v>47</v>
      </c>
      <c r="AI197" s="103">
        <f ca="1">IF(AND(Energy!$F$11=$A$3,Main!$B$43=$A197),Summary!AI34,AI197)</f>
        <v>2.8194177396566298</v>
      </c>
      <c r="AJ197" s="103">
        <f ca="1">IF(AND(Energy!$F$11=$A$3,Main!$B$43=$A197),Summary!AJ34,AJ197)</f>
        <v>0.33663679122579254</v>
      </c>
      <c r="AK197" s="103">
        <f ca="1">IF(AND(Energy!$F$11=$A$3,Main!$B$43=$A197),Summary!AK34,AK197)</f>
        <v>0.01</v>
      </c>
      <c r="AL197" s="103">
        <f ca="1">IF(AND(Energy!$F$11=$A$3,Main!$B$43=$A197),Summary!AL34,AL197)</f>
        <v>-0.31170922350152891</v>
      </c>
      <c r="AM197" s="103">
        <f ca="1">IF(AND(Energy!$F$11=$A$3,Main!$B$43=$A197),Summary!AM34,AM197)</f>
        <v>0.6875</v>
      </c>
    </row>
    <row r="198" spans="1:39">
      <c r="A198">
        <f t="shared" si="12"/>
        <v>10</v>
      </c>
      <c r="D198" s="1">
        <f ca="1">IF(AND(Energy!$F$11=$A$3,Main!$B$43=A198),Main!C35,D198)</f>
        <v>5.7105263157894743</v>
      </c>
      <c r="E198" s="103">
        <f ca="1">IF(AND(Energy!$F$11=$A$3,Main!$B$43=A198),Main!B35,E198)</f>
        <v>0.4</v>
      </c>
      <c r="F198" s="103">
        <f ca="1">IF(Main!$D$6=1,U198,IF(Main!$D$6=2,N198,IF(Main!$D$6=3,K198,IF(Main!$D$6=4,V198,J198))))</f>
        <v>416.41608109688639</v>
      </c>
      <c r="G198" s="103">
        <f ca="1">IF(AND(Energy!$F$11=$A$3,Main!$B$43=A198),Weight!H35,G198)</f>
        <v>10</v>
      </c>
      <c r="H198" s="103">
        <f ca="1">IF(AND(Energy!$F$11=$A$3,Main!$B$43=A198),Weight!U35,H198)</f>
        <v>22.749578375734806</v>
      </c>
      <c r="I198" s="103">
        <f ca="1">IF(AND(Energy!$F$11=$A$3,Main!$B$43=A198),Weight!V35,I198)</f>
        <v>43.325525530935877</v>
      </c>
      <c r="J198" s="103">
        <f ca="1">IF(AND(Energy!$F$11=$A$3,Main!$B$43=A198),Weight!I35,J198)</f>
        <v>10.515588880201074</v>
      </c>
      <c r="K198" s="103">
        <f ca="1">IF(AND(Energy!$F$11=$A$3,Main!$B$43=A198),Weight!W35,K198)</f>
        <v>53.394718577440962</v>
      </c>
      <c r="L198" s="103">
        <f ca="1">IF(AND(Energy!$F$11=$A$3,Main!$B$43=A198),'Aerodynamics-Cruise'!BI35,L198)</f>
        <v>53.261197218227487</v>
      </c>
      <c r="M198" s="103">
        <f ca="1">IF(AND(Energy!$F$11=$A$3,Main!$B$43=A198),'Aerodynamics-Cruise'!BJ35,M198)</f>
        <v>2.5998368585127385</v>
      </c>
      <c r="N198" s="103">
        <f ca="1">IF(AND(Energy!$F$11=$A$3,Main!$B$43=A198),'Aerodynamics-Cruise'!BK35,N198)</f>
        <v>20.486361305261308</v>
      </c>
      <c r="O198" s="103">
        <f t="shared" ca="1" si="13"/>
        <v>149.51001671014151</v>
      </c>
      <c r="P198" s="103">
        <f ca="1">IF(AND(Energy!$F$11=$A$3,Main!$B$43=A198),'Aerodynamics-Cruise'!H35,P198)</f>
        <v>6.5556267105763926</v>
      </c>
      <c r="Q198" s="103">
        <f ca="1">IF(AND(Energy!$F$11=$A$3,Main!$B$43=A198),'Aerodynamics-Cruise'!I35,Q198)</f>
        <v>5.4547641903705379</v>
      </c>
      <c r="R198" s="103">
        <f ca="1">IF(AND(Energy!$F$11=$A$3,Main!$B$43=$A198),Summary!R35,R198)</f>
        <v>19.55964498482663</v>
      </c>
      <c r="S198" s="103">
        <f ca="1">IF(AND(Energy!$F$11=$A$3,Main!$B$43=A198),'Aerodynamics-Cruise'!W35,S198)</f>
        <v>1</v>
      </c>
      <c r="T198" s="103">
        <f ca="1">IF(AND(Energy!$F$11=$A$3,Main!$B$43=A198),'Aerodynamics-Cruise'!BL35,T198)</f>
        <v>17.043559952807126</v>
      </c>
      <c r="U198" s="103">
        <f ca="1">IF(AND(Energy!$F$11=$A$3,Main!$B$43=A198),'Propulsion-Cruise'!M35,U198)</f>
        <v>41.248363027120845</v>
      </c>
      <c r="V198" s="103">
        <f ca="1">IF(AND(Energy!$F$11=$A$3,Main!$B$43=A198),Endurance!AP35,V198)</f>
        <v>416.41608109688639</v>
      </c>
      <c r="W198" s="103">
        <f ca="1">IF(AND(Energy!$F$11=$A$3,Main!$B$43=$A198),Summary!W35,W198)</f>
        <v>67.840496152325144</v>
      </c>
      <c r="X198" s="13">
        <f ca="1">IF(AND(Energy!$F$11=$A$3,Main!$B$43=A198),Energy!D35,X198)</f>
        <v>1004.6746085168928</v>
      </c>
      <c r="Y198" s="102">
        <f ca="1">IF(AND(Energy!$F$11=$A$3,Main!$B$43=A198),'Aerodynamics-Cruise'!V35,Y198)</f>
        <v>166310.42935674338</v>
      </c>
      <c r="Z198" s="102">
        <f ca="1">IF(AND(Energy!$F$11=$A$3,Main!$B$43=$A198),Summary!Z35,Z198)</f>
        <v>121436.85642804716</v>
      </c>
      <c r="AA198" s="102">
        <f ca="1">IF(AND(Energy!$F$11=$A$3,Main!$B$43=$A198),Summary!AA35,AA198)</f>
        <v>496210.82760003227</v>
      </c>
      <c r="AB198" s="103">
        <f ca="1">IF(AND(Energy!$F$11=$A$3,Main!$B$43=$A198),Summary!AB35,AB198)</f>
        <v>2.1249287390055485</v>
      </c>
      <c r="AC198" s="103">
        <f ca="1">IF(AND(Energy!$F$11=$A$3,Main!$B$43=$A198),Summary!AC35,AC198)</f>
        <v>2.1395965141410049</v>
      </c>
      <c r="AD198" s="103">
        <f ca="1">IF(AND(Energy!$F$11=$A$3,Main!$B$43=$A198),Summary!AD35,AD198)</f>
        <v>0.38490472472431181</v>
      </c>
      <c r="AE198" s="103">
        <f ca="1">IF(AND(Energy!$F$11=$A$3,Main!$B$43=$A198),Summary!AE35,AE198)</f>
        <v>2.2842105263157899</v>
      </c>
      <c r="AF198" s="103">
        <f ca="1">IF(AND(Energy!$F$11=$A$3,Main!$B$43=$A198),Summary!AF35,AF198)</f>
        <v>14.276315789473683</v>
      </c>
      <c r="AG198" s="103">
        <f ca="1">IF(AND(Energy!$F$11=$A$3,Main!$B$43=$A198),Summary!AG35,AG198)</f>
        <v>9.7785918356712465</v>
      </c>
      <c r="AH198" s="103">
        <f ca="1">IF(AND(Energy!$F$11=$A$3,Main!$B$43=$A198),Summary!AH35,AH198)</f>
        <v>47</v>
      </c>
      <c r="AI198" s="103">
        <f ca="1">IF(AND(Energy!$F$11=$A$3,Main!$B$43=$A198),Summary!AI35,AI198)</f>
        <v>2.8188095810191056</v>
      </c>
      <c r="AJ198" s="103">
        <f ca="1">IF(AND(Energy!$F$11=$A$3,Main!$B$43=$A198),Summary!AJ35,AJ198)</f>
        <v>0.33724334844569998</v>
      </c>
      <c r="AK198" s="103">
        <f ca="1">IF(AND(Energy!$F$11=$A$3,Main!$B$43=$A198),Summary!AK35,AK198)</f>
        <v>0.01</v>
      </c>
      <c r="AL198" s="103">
        <f ca="1">IF(AND(Energy!$F$11=$A$3,Main!$B$43=$A198),Summary!AL35,AL198)</f>
        <v>-0.3111448905296012</v>
      </c>
      <c r="AM198" s="103">
        <f ca="1">IF(AND(Energy!$F$11=$A$3,Main!$B$43=$A198),Summary!AM35,AM198)</f>
        <v>0.6875</v>
      </c>
    </row>
    <row r="199" spans="1:39">
      <c r="A199">
        <f t="shared" si="12"/>
        <v>10</v>
      </c>
      <c r="D199" s="1">
        <f ca="1">IF(AND(Energy!$F$11=$A$3,Main!$B$43=A199),Main!C36,D199)</f>
        <v>5.8684210526315796</v>
      </c>
      <c r="E199" s="103">
        <f ca="1">IF(AND(Energy!$F$11=$A$3,Main!$B$43=A199),Main!B36,E199)</f>
        <v>0.4</v>
      </c>
      <c r="F199" s="103">
        <f ca="1">IF(Main!$D$6=1,U199,IF(Main!$D$6=2,N199,IF(Main!$D$6=3,K199,IF(Main!$D$6=4,V199,J199))))</f>
        <v>420.06506006900167</v>
      </c>
      <c r="G199" s="103">
        <f ca="1">IF(AND(Energy!$F$11=$A$3,Main!$B$43=A199),Weight!H36,G199)</f>
        <v>10</v>
      </c>
      <c r="H199" s="103">
        <f ca="1">IF(AND(Energy!$F$11=$A$3,Main!$B$43=A199),Weight!U36,H199)</f>
        <v>23.57955955543709</v>
      </c>
      <c r="I199" s="103">
        <f ca="1">IF(AND(Energy!$F$11=$A$3,Main!$B$43=A199),Weight!V36,I199)</f>
        <v>44.247556283028047</v>
      </c>
      <c r="J199" s="103">
        <f ca="1">IF(AND(Energy!$F$11=$A$3,Main!$B$43=A199),Weight!I36,J199)</f>
        <v>10.607638452590958</v>
      </c>
      <c r="K199" s="103">
        <f ca="1">IF(AND(Energy!$F$11=$A$3,Main!$B$43=A199),Weight!W36,K199)</f>
        <v>54.319793957554175</v>
      </c>
      <c r="L199" s="103">
        <f ca="1">IF(AND(Energy!$F$11=$A$3,Main!$B$43=A199),'Aerodynamics-Cruise'!BI36,L199)</f>
        <v>54.180818253757003</v>
      </c>
      <c r="M199" s="103">
        <f ca="1">IF(AND(Energy!$F$11=$A$3,Main!$B$43=A199),'Aerodynamics-Cruise'!BJ36,M199)</f>
        <v>2.6238977226088411</v>
      </c>
      <c r="N199" s="103">
        <f ca="1">IF(AND(Energy!$F$11=$A$3,Main!$B$43=A199),'Aerodynamics-Cruise'!BK36,N199)</f>
        <v>20.648982537279345</v>
      </c>
      <c r="O199" s="103">
        <f t="shared" ca="1" si="13"/>
        <v>151.99224744815388</v>
      </c>
      <c r="P199" s="103">
        <f ca="1">IF(AND(Energy!$F$11=$A$3,Main!$B$43=A199),'Aerodynamics-Cruise'!H36,P199)</f>
        <v>6.5223920138064795</v>
      </c>
      <c r="Q199" s="103">
        <f ca="1">IF(AND(Energy!$F$11=$A$3,Main!$B$43=A199),'Aerodynamics-Cruise'!I36,Q199)</f>
        <v>5.4273305090687209</v>
      </c>
      <c r="R199" s="103">
        <f ca="1">IF(AND(Energy!$F$11=$A$3,Main!$B$43=$A199),Summary!R36,R199)</f>
        <v>19.370842701594217</v>
      </c>
      <c r="S199" s="103">
        <f ca="1">IF(AND(Energy!$F$11=$A$3,Main!$B$43=A199),'Aerodynamics-Cruise'!W36,S199)</f>
        <v>1</v>
      </c>
      <c r="T199" s="103">
        <f ca="1">IF(AND(Energy!$F$11=$A$3,Main!$B$43=A199),'Aerodynamics-Cruise'!BL36,T199)</f>
        <v>17.114089550988915</v>
      </c>
      <c r="U199" s="103">
        <f ca="1">IF(AND(Energy!$F$11=$A$3,Main!$B$43=A199),'Propulsion-Cruise'!M36,U199)</f>
        <v>41.470111819594912</v>
      </c>
      <c r="V199" s="103">
        <f ca="1">IF(AND(Energy!$F$11=$A$3,Main!$B$43=A199),Endurance!AP36,V199)</f>
        <v>420.06506006900167</v>
      </c>
      <c r="W199" s="103">
        <f ca="1">IF(AND(Energy!$F$11=$A$3,Main!$B$43=$A199),Summary!W36,W199)</f>
        <v>69.638943651534021</v>
      </c>
      <c r="X199" s="13">
        <f ca="1">IF(AND(Energy!$F$11=$A$3,Main!$B$43=A199),Energy!D36,X199)</f>
        <v>1007.8600761463315</v>
      </c>
      <c r="Y199" s="102">
        <f ca="1">IF(AND(Energy!$F$11=$A$3,Main!$B$43=A199),'Aerodynamics-Cruise'!V36,Y199)</f>
        <v>165467.29460649472</v>
      </c>
      <c r="Z199" s="102">
        <f ca="1">IF(AND(Energy!$F$11=$A$3,Main!$B$43=$A199),Summary!Z36,Z199)</f>
        <v>120826.07923204232</v>
      </c>
      <c r="AA199" s="102">
        <f ca="1">IF(AND(Energy!$F$11=$A$3,Main!$B$43=$A199),Summary!AA36,AA199)</f>
        <v>491421.0812990024</v>
      </c>
      <c r="AB199" s="103">
        <f ca="1">IF(AND(Energy!$F$11=$A$3,Main!$B$43=$A199),Summary!AB36,AB199)</f>
        <v>2.1398446199563885</v>
      </c>
      <c r="AC199" s="103">
        <f ca="1">IF(AND(Energy!$F$11=$A$3,Main!$B$43=$A199),Summary!AC36,AC199)</f>
        <v>2.0914190665596473</v>
      </c>
      <c r="AD199" s="103">
        <f ca="1">IF(AND(Energy!$F$11=$A$3,Main!$B$43=$A199),Summary!AD36,AD199)</f>
        <v>0.38555788378863698</v>
      </c>
      <c r="AE199" s="103">
        <f ca="1">IF(AND(Energy!$F$11=$A$3,Main!$B$43=$A199),Summary!AE36,AE199)</f>
        <v>2.3473684210526318</v>
      </c>
      <c r="AF199" s="103">
        <f ca="1">IF(AND(Energy!$F$11=$A$3,Main!$B$43=$A199),Summary!AF36,AF199)</f>
        <v>14.67105263157895</v>
      </c>
      <c r="AG199" s="103">
        <f ca="1">IF(AND(Energy!$F$11=$A$3,Main!$B$43=$A199),Summary!AG36,AG199)</f>
        <v>9.8109275983263142</v>
      </c>
      <c r="AH199" s="103">
        <f ca="1">IF(AND(Energy!$F$11=$A$3,Main!$B$43=$A199),Summary!AH36,AH199)</f>
        <v>47</v>
      </c>
      <c r="AI199" s="103">
        <f ca="1">IF(AND(Energy!$F$11=$A$3,Main!$B$43=$A199),Summary!AI36,AI199)</f>
        <v>2.818239774093767</v>
      </c>
      <c r="AJ199" s="103">
        <f ca="1">IF(AND(Energy!$F$11=$A$3,Main!$B$43=$A199),Summary!AJ36,AJ199)</f>
        <v>0.33776598398521979</v>
      </c>
      <c r="AK199" s="103">
        <f ca="1">IF(AND(Energy!$F$11=$A$3,Main!$B$43=$A199),Summary!AK36,AK199)</f>
        <v>0.01</v>
      </c>
      <c r="AL199" s="103">
        <f ca="1">IF(AND(Energy!$F$11=$A$3,Main!$B$43=$A199),Summary!AL36,AL199)</f>
        <v>-0.31066019437699799</v>
      </c>
      <c r="AM199" s="103">
        <f ca="1">IF(AND(Energy!$F$11=$A$3,Main!$B$43=$A199),Summary!AM36,AM199)</f>
        <v>0.6875</v>
      </c>
    </row>
    <row r="200" spans="1:39">
      <c r="A200">
        <f t="shared" si="12"/>
        <v>10</v>
      </c>
      <c r="D200" s="1">
        <f ca="1">IF(AND(Energy!$F$11=$A$3,Main!$B$43=A200),Main!C37,D200)</f>
        <v>6.026315789473685</v>
      </c>
      <c r="E200" s="103">
        <f ca="1">IF(AND(Energy!$F$11=$A$3,Main!$B$43=A200),Main!B37,E200)</f>
        <v>0.4</v>
      </c>
      <c r="F200" s="103">
        <f ca="1">IF(Main!$D$6=1,U200,IF(Main!$D$6=2,N200,IF(Main!$D$6=3,K200,IF(Main!$D$6=4,V200,J200))))</f>
        <v>424.09399997670079</v>
      </c>
      <c r="G200" s="103">
        <f ca="1">IF(AND(Energy!$F$11=$A$3,Main!$B$43=A200),Weight!H37,G200)</f>
        <v>10</v>
      </c>
      <c r="H200" s="103">
        <f ca="1">IF(AND(Energy!$F$11=$A$3,Main!$B$43=A200),Weight!U37,H200)</f>
        <v>24.429781277811752</v>
      </c>
      <c r="I200" s="103">
        <f ca="1">IF(AND(Energy!$F$11=$A$3,Main!$B$43=A200),Weight!V37,I200)</f>
        <v>45.192589503320967</v>
      </c>
      <c r="J200" s="103">
        <f ca="1">IF(AND(Energy!$F$11=$A$3,Main!$B$43=A200),Weight!I37,J200)</f>
        <v>10.702449950509216</v>
      </c>
      <c r="K200" s="103">
        <f ca="1">IF(AND(Energy!$F$11=$A$3,Main!$B$43=A200),Weight!W37,K200)</f>
        <v>55.267845080297036</v>
      </c>
      <c r="L200" s="103">
        <f ca="1">IF(AND(Energy!$F$11=$A$3,Main!$B$43=A200),'Aerodynamics-Cruise'!BI37,L200)</f>
        <v>55.123566319018252</v>
      </c>
      <c r="M200" s="103">
        <f ca="1">IF(AND(Energy!$F$11=$A$3,Main!$B$43=A200),'Aerodynamics-Cruise'!BJ37,M200)</f>
        <v>2.6494797120845575</v>
      </c>
      <c r="N200" s="103">
        <f ca="1">IF(AND(Energy!$F$11=$A$3,Main!$B$43=A200),'Aerodynamics-Cruise'!BK37,N200)</f>
        <v>20.80543061628056</v>
      </c>
      <c r="O200" s="103">
        <f t="shared" ca="1" si="13"/>
        <v>154.47043252127037</v>
      </c>
      <c r="P200" s="103">
        <f ca="1">IF(AND(Energy!$F$11=$A$3,Main!$B$43=A200),'Aerodynamics-Cruise'!H37,P200)</f>
        <v>6.4921051222872528</v>
      </c>
      <c r="Q200" s="103">
        <f ca="1">IF(AND(Energy!$F$11=$A$3,Main!$B$43=A200),'Aerodynamics-Cruise'!I37,Q200)</f>
        <v>5.4023295097835309</v>
      </c>
      <c r="R200" s="103">
        <f ca="1">IF(AND(Energy!$F$11=$A$3,Main!$B$43=$A200),Summary!R37,R200)</f>
        <v>19.187529803253753</v>
      </c>
      <c r="S200" s="103">
        <f ca="1">IF(AND(Energy!$F$11=$A$3,Main!$B$43=A200),'Aerodynamics-Cruise'!W37,S200)</f>
        <v>1</v>
      </c>
      <c r="T200" s="103">
        <f ca="1">IF(AND(Energy!$F$11=$A$3,Main!$B$43=A200),'Aerodynamics-Cruise'!BL37,T200)</f>
        <v>17.200700810220312</v>
      </c>
      <c r="U200" s="103">
        <f ca="1">IF(AND(Energy!$F$11=$A$3,Main!$B$43=A200),'Propulsion-Cruise'!M37,U200)</f>
        <v>41.729903296793104</v>
      </c>
      <c r="V200" s="103">
        <f ca="1">IF(AND(Energy!$F$11=$A$3,Main!$B$43=A200),Endurance!AP37,V200)</f>
        <v>424.09399997670079</v>
      </c>
      <c r="W200" s="103">
        <f ca="1">IF(AND(Energy!$F$11=$A$3,Main!$B$43=$A200),Summary!W37,W200)</f>
        <v>71.487632665451912</v>
      </c>
      <c r="X200" s="13">
        <f ca="1">IF(AND(Energy!$F$11=$A$3,Main!$B$43=A200),Energy!D37,X200)</f>
        <v>1011.1377016090095</v>
      </c>
      <c r="Y200" s="102">
        <f ca="1">IF(AND(Energy!$F$11=$A$3,Main!$B$43=A200),'Aerodynamics-Cruise'!V37,Y200)</f>
        <v>164698.94305830219</v>
      </c>
      <c r="Z200" s="102">
        <f ca="1">IF(AND(Energy!$F$11=$A$3,Main!$B$43=$A200),Summary!Z37,Z200)</f>
        <v>120269.46281802777</v>
      </c>
      <c r="AA200" s="102">
        <f ca="1">IF(AND(Energy!$F$11=$A$3,Main!$B$43=$A200),Summary!AA37,AA200)</f>
        <v>486770.59581903357</v>
      </c>
      <c r="AB200" s="103">
        <f ca="1">IF(AND(Energy!$F$11=$A$3,Main!$B$43=$A200),Summary!AB37,AB200)</f>
        <v>2.1570430110247414</v>
      </c>
      <c r="AC200" s="103">
        <f ca="1">IF(AND(Energy!$F$11=$A$3,Main!$B$43=$A200),Summary!AC37,AC200)</f>
        <v>2.044612774156815</v>
      </c>
      <c r="AD200" s="103">
        <f ca="1">IF(AND(Energy!$F$11=$A$3,Main!$B$43=$A200),Summary!AD37,AD200)</f>
        <v>0.38632261836246579</v>
      </c>
      <c r="AE200" s="103">
        <f ca="1">IF(AND(Energy!$F$11=$A$3,Main!$B$43=$A200),Summary!AE37,AE200)</f>
        <v>2.4105263157894741</v>
      </c>
      <c r="AF200" s="103">
        <f ca="1">IF(AND(Energy!$F$11=$A$3,Main!$B$43=$A200),Summary!AF37,AF200)</f>
        <v>15.065789473684212</v>
      </c>
      <c r="AG200" s="103">
        <f ca="1">IF(AND(Energy!$F$11=$A$3,Main!$B$43=$A200),Summary!AG37,AG200)</f>
        <v>9.849607685962356</v>
      </c>
      <c r="AH200" s="103">
        <f ca="1">IF(AND(Energy!$F$11=$A$3,Main!$B$43=$A200),Summary!AH37,AH200)</f>
        <v>47</v>
      </c>
      <c r="AI200" s="103">
        <f ca="1">IF(AND(Energy!$F$11=$A$3,Main!$B$43=$A200),Summary!AI37,AI200)</f>
        <v>2.8177063713905413</v>
      </c>
      <c r="AJ200" s="103">
        <f ca="1">IF(AND(Energy!$F$11=$A$3,Main!$B$43=$A200),Summary!AJ37,AJ200)</f>
        <v>0.33820882056880575</v>
      </c>
      <c r="AK200" s="103">
        <f ca="1">IF(AND(Energy!$F$11=$A$3,Main!$B$43=$A200),Summary!AK37,AK200)</f>
        <v>0.01</v>
      </c>
      <c r="AL200" s="103">
        <f ca="1">IF(AND(Energy!$F$11=$A$3,Main!$B$43=$A200),Summary!AL37,AL200)</f>
        <v>-0.31025059728843596</v>
      </c>
      <c r="AM200" s="103">
        <f ca="1">IF(AND(Energy!$F$11=$A$3,Main!$B$43=$A200),Summary!AM37,AM200)</f>
        <v>0.6875</v>
      </c>
    </row>
    <row r="201" spans="1:39">
      <c r="A201">
        <f t="shared" si="12"/>
        <v>10</v>
      </c>
      <c r="D201" s="1">
        <f ca="1">IF(AND(Energy!$F$11=$A$3,Main!$B$43=A201),Main!C38,D201)</f>
        <v>6.1842105263157903</v>
      </c>
      <c r="E201" s="103">
        <f ca="1">IF(AND(Energy!$F$11=$A$3,Main!$B$43=A201),Main!B38,E201)</f>
        <v>0.4</v>
      </c>
      <c r="F201" s="103">
        <f ca="1">IF(Main!$D$6=1,U201,IF(Main!$D$6=2,N201,IF(Main!$D$6=3,K201,IF(Main!$D$6=4,V201,J201))))</f>
        <v>428.49121590740384</v>
      </c>
      <c r="G201" s="103">
        <f ca="1">IF(AND(Energy!$F$11=$A$3,Main!$B$43=A201),Weight!H38,G201)</f>
        <v>10</v>
      </c>
      <c r="H201" s="103">
        <f ca="1">IF(AND(Energy!$F$11=$A$3,Main!$B$43=A201),Weight!U38,H201)</f>
        <v>25.300561950504935</v>
      </c>
      <c r="I201" s="103">
        <f ca="1">IF(AND(Energy!$F$11=$A$3,Main!$B$43=A201),Weight!V38,I201)</f>
        <v>46.161041313839178</v>
      </c>
      <c r="J201" s="103">
        <f ca="1">IF(AND(Energy!$F$11=$A$3,Main!$B$43=A201),Weight!I38,J201)</f>
        <v>10.800121088334246</v>
      </c>
      <c r="K201" s="103">
        <f ca="1">IF(AND(Energy!$F$11=$A$3,Main!$B$43=A201),Weight!W38,K201)</f>
        <v>56.23928887060017</v>
      </c>
      <c r="L201" s="103">
        <f ca="1">IF(AND(Energy!$F$11=$A$3,Main!$B$43=A201),'Aerodynamics-Cruise'!BI38,L201)</f>
        <v>56.089866927875754</v>
      </c>
      <c r="M201" s="103">
        <f ca="1">IF(AND(Energy!$F$11=$A$3,Main!$B$43=A201),'Aerodynamics-Cruise'!BJ38,M201)</f>
        <v>2.6765419559293497</v>
      </c>
      <c r="N201" s="103">
        <f ca="1">IF(AND(Energy!$F$11=$A$3,Main!$B$43=A201),'Aerodynamics-Cruise'!BK38,N201)</f>
        <v>20.956094786266934</v>
      </c>
      <c r="O201" s="103">
        <f t="shared" ca="1" si="13"/>
        <v>156.9468338603956</v>
      </c>
      <c r="P201" s="103">
        <f ca="1">IF(AND(Energy!$F$11=$A$3,Main!$B$43=A201),'Aerodynamics-Cruise'!H38,P201)</f>
        <v>6.4645920701161774</v>
      </c>
      <c r="Q201" s="103">
        <f ca="1">IF(AND(Energy!$F$11=$A$3,Main!$B$43=A201),'Aerodynamics-Cruise'!I38,Q201)</f>
        <v>5.3796179092377319</v>
      </c>
      <c r="R201" s="103">
        <f ca="1">IF(AND(Energy!$F$11=$A$3,Main!$B$43=$A201),Summary!R38,R201)</f>
        <v>19.009625512902357</v>
      </c>
      <c r="S201" s="103">
        <f ca="1">IF(AND(Energy!$F$11=$A$3,Main!$B$43=A201),'Aerodynamics-Cruise'!W38,S201)</f>
        <v>1</v>
      </c>
      <c r="T201" s="103">
        <f ca="1">IF(AND(Energy!$F$11=$A$3,Main!$B$43=A201),'Aerodynamics-Cruise'!BL38,T201)</f>
        <v>17.302751903634118</v>
      </c>
      <c r="U201" s="103">
        <f ca="1">IF(AND(Energy!$F$11=$A$3,Main!$B$43=A201),'Propulsion-Cruise'!M38,U201)</f>
        <v>42.026350072673424</v>
      </c>
      <c r="V201" s="103">
        <f ca="1">IF(AND(Energy!$F$11=$A$3,Main!$B$43=A201),Endurance!AP38,V201)</f>
        <v>428.49121590740384</v>
      </c>
      <c r="W201" s="103">
        <f ca="1">IF(AND(Energy!$F$11=$A$3,Main!$B$43=$A201),Summary!W38,W201)</f>
        <v>73.388435974908958</v>
      </c>
      <c r="X201" s="13">
        <f ca="1">IF(AND(Energy!$F$11=$A$3,Main!$B$43=A201),Energy!D38,X201)</f>
        <v>1014.5108352790684</v>
      </c>
      <c r="Y201" s="102">
        <f ca="1">IF(AND(Energy!$F$11=$A$3,Main!$B$43=A201),'Aerodynamics-Cruise'!V38,Y201)</f>
        <v>164000.96135167082</v>
      </c>
      <c r="Z201" s="102">
        <f ca="1">IF(AND(Energy!$F$11=$A$3,Main!$B$43=$A201),Summary!Z38,Z201)</f>
        <v>119763.817111713</v>
      </c>
      <c r="AA201" s="102">
        <f ca="1">IF(AND(Energy!$F$11=$A$3,Main!$B$43=$A201),Summary!AA38,AA201)</f>
        <v>482257.3219218158</v>
      </c>
      <c r="AB201" s="103">
        <f ca="1">IF(AND(Energy!$F$11=$A$3,Main!$B$43=$A201),Summary!AB38,AB201)</f>
        <v>2.1764745535309005</v>
      </c>
      <c r="AC201" s="103">
        <f ca="1">IF(AND(Energy!$F$11=$A$3,Main!$B$43=$A201),Summary!AC38,AC201)</f>
        <v>1.9991125923923272</v>
      </c>
      <c r="AD201" s="103">
        <f ca="1">IF(AND(Energy!$F$11=$A$3,Main!$B$43=$A201),Summary!AD38,AD201)</f>
        <v>0.38719396668213202</v>
      </c>
      <c r="AE201" s="103">
        <f ca="1">IF(AND(Energy!$F$11=$A$3,Main!$B$43=$A201),Summary!AE38,AE201)</f>
        <v>2.4736842105263164</v>
      </c>
      <c r="AF201" s="103">
        <f ca="1">IF(AND(Energy!$F$11=$A$3,Main!$B$43=$A201),Summary!AF38,AF201)</f>
        <v>15.460526315789476</v>
      </c>
      <c r="AG201" s="103">
        <f ca="1">IF(AND(Energy!$F$11=$A$3,Main!$B$43=$A201),Summary!AG38,AG201)</f>
        <v>9.8943345302892585</v>
      </c>
      <c r="AH201" s="103">
        <f ca="1">IF(AND(Energy!$F$11=$A$3,Main!$B$43=$A201),Summary!AH38,AH201)</f>
        <v>47</v>
      </c>
      <c r="AI201" s="103">
        <f ca="1">IF(AND(Energy!$F$11=$A$3,Main!$B$43=$A201),Summary!AI38,AI201)</f>
        <v>2.8172079258142908</v>
      </c>
      <c r="AJ201" s="103">
        <f ca="1">IF(AND(Energy!$F$11=$A$3,Main!$B$43=$A201),Summary!AJ38,AJ201)</f>
        <v>0.33857548359265255</v>
      </c>
      <c r="AK201" s="103">
        <f ca="1">IF(AND(Energy!$F$11=$A$3,Main!$B$43=$A201),Summary!AK38,AK201)</f>
        <v>0.01</v>
      </c>
      <c r="AL201" s="103">
        <f ca="1">IF(AND(Energy!$F$11=$A$3,Main!$B$43=$A201),Summary!AL38,AL201)</f>
        <v>-0.30991217457921388</v>
      </c>
      <c r="AM201" s="103">
        <f ca="1">IF(AND(Energy!$F$11=$A$3,Main!$B$43=$A201),Summary!AM38,AM201)</f>
        <v>0.6875</v>
      </c>
    </row>
    <row r="202" spans="1:39">
      <c r="A202">
        <f t="shared" si="12"/>
        <v>10</v>
      </c>
      <c r="D202" s="1">
        <f ca="1">IF(AND(Energy!$F$11=$A$3,Main!$B$43=A202),Main!C39,D202)</f>
        <v>6.3421052631578956</v>
      </c>
      <c r="E202" s="103">
        <f ca="1">IF(AND(Energy!$F$11=$A$3,Main!$B$43=A202),Main!B39,E202)</f>
        <v>0.4</v>
      </c>
      <c r="F202" s="103">
        <f ca="1">IF(Main!$D$6=1,U202,IF(Main!$D$6=2,N202,IF(Main!$D$6=3,K202,IF(Main!$D$6=4,V202,J202))))</f>
        <v>433.24782811683281</v>
      </c>
      <c r="G202" s="103">
        <f ca="1">IF(AND(Energy!$F$11=$A$3,Main!$B$43=A202),Weight!H39,G202)</f>
        <v>10</v>
      </c>
      <c r="H202" s="103">
        <f ca="1">IF(AND(Energy!$F$11=$A$3,Main!$B$43=A202),Weight!U39,H202)</f>
        <v>26.192237375326329</v>
      </c>
      <c r="I202" s="103">
        <f ca="1">IF(AND(Energy!$F$11=$A$3,Main!$B$43=A202),Weight!V39,I202)</f>
        <v>47.153362116225026</v>
      </c>
      <c r="J202" s="103">
        <f ca="1">IF(AND(Energy!$F$11=$A$3,Main!$B$43=A202),Weight!I39,J202)</f>
        <v>10.900766465898698</v>
      </c>
      <c r="K202" s="103">
        <f ca="1">IF(AND(Energy!$F$11=$A$3,Main!$B$43=A202),Weight!W39,K202)</f>
        <v>57.234574589427702</v>
      </c>
      <c r="L202" s="103">
        <f ca="1">IF(AND(Energy!$F$11=$A$3,Main!$B$43=A202),'Aerodynamics-Cruise'!BI39,L202)</f>
        <v>57.080182548586897</v>
      </c>
      <c r="M202" s="103">
        <f ca="1">IF(AND(Energy!$F$11=$A$3,Main!$B$43=A202),'Aerodynamics-Cruise'!BJ39,M202)</f>
        <v>2.7050507921428482</v>
      </c>
      <c r="N202" s="103">
        <f ca="1">IF(AND(Energy!$F$11=$A$3,Main!$B$43=A202),'Aerodynamics-Cruise'!BK39,N202)</f>
        <v>21.101334849010335</v>
      </c>
      <c r="O202" s="103">
        <f t="shared" ca="1" si="13"/>
        <v>159.42359780379405</v>
      </c>
      <c r="P202" s="103">
        <f ca="1">IF(AND(Energy!$F$11=$A$3,Main!$B$43=A202),'Aerodynamics-Cruise'!H39,P202)</f>
        <v>6.4396958129350201</v>
      </c>
      <c r="Q202" s="103">
        <f ca="1">IF(AND(Energy!$F$11=$A$3,Main!$B$43=A202),'Aerodynamics-Cruise'!I39,Q202)</f>
        <v>5.3590663380880343</v>
      </c>
      <c r="R202" s="103">
        <f ca="1">IF(AND(Energy!$F$11=$A$3,Main!$B$43=$A202),Summary!R39,R202)</f>
        <v>18.837005469396004</v>
      </c>
      <c r="S202" s="103">
        <f ca="1">IF(AND(Energy!$F$11=$A$3,Main!$B$43=A202),'Aerodynamics-Cruise'!W39,S202)</f>
        <v>1</v>
      </c>
      <c r="T202" s="103">
        <f ca="1">IF(AND(Energy!$F$11=$A$3,Main!$B$43=A202),'Aerodynamics-Cruise'!BL39,T202)</f>
        <v>17.419704259938857</v>
      </c>
      <c r="U202" s="103">
        <f ca="1">IF(AND(Energy!$F$11=$A$3,Main!$B$43=A202),'Propulsion-Cruise'!M39,U202)</f>
        <v>42.35835885155992</v>
      </c>
      <c r="V202" s="103">
        <f ca="1">IF(AND(Energy!$F$11=$A$3,Main!$B$43=A202),Endurance!AP39,V202)</f>
        <v>433.24782811683281</v>
      </c>
      <c r="W202" s="103">
        <f ca="1">IF(AND(Energy!$F$11=$A$3,Main!$B$43=$A202),Summary!W39,W202)</f>
        <v>75.343492261594875</v>
      </c>
      <c r="X202" s="13">
        <f ca="1">IF(AND(Energy!$F$11=$A$3,Main!$B$43=A202),Energy!D39,X202)</f>
        <v>1017.9833527159919</v>
      </c>
      <c r="Y202" s="102">
        <f ca="1">IF(AND(Energy!$F$11=$A$3,Main!$B$43=A202),'Aerodynamics-Cruise'!V39,Y202)</f>
        <v>163369.36541066124</v>
      </c>
      <c r="Z202" s="102">
        <f ca="1">IF(AND(Energy!$F$11=$A$3,Main!$B$43=$A202),Summary!Z39,Z202)</f>
        <v>119306.26182403024</v>
      </c>
      <c r="AA202" s="102">
        <f ca="1">IF(AND(Energy!$F$11=$A$3,Main!$B$43=$A202),Summary!AA39,AA202)</f>
        <v>477878.10467553715</v>
      </c>
      <c r="AB202" s="103">
        <f ca="1">IF(AND(Energy!$F$11=$A$3,Main!$B$43=$A202),Summary!AB39,AB202)</f>
        <v>2.1981022335588722</v>
      </c>
      <c r="AC202" s="103">
        <f ca="1">IF(AND(Energy!$F$11=$A$3,Main!$B$43=$A202),Summary!AC39,AC202)</f>
        <v>1.9548576261378454</v>
      </c>
      <c r="AD202" s="103">
        <f ca="1">IF(AND(Energy!$F$11=$A$3,Main!$B$43=$A202),Summary!AD39,AD202)</f>
        <v>0.38816745015426601</v>
      </c>
      <c r="AE202" s="103">
        <f ca="1">IF(AND(Energy!$F$11=$A$3,Main!$B$43=$A202),Summary!AE39,AE202)</f>
        <v>2.5368421052631582</v>
      </c>
      <c r="AF202" s="103">
        <f ca="1">IF(AND(Energy!$F$11=$A$3,Main!$B$43=$A202),Summary!AF39,AF202)</f>
        <v>15.855263157894738</v>
      </c>
      <c r="AG202" s="103">
        <f ca="1">IF(AND(Energy!$F$11=$A$3,Main!$B$43=$A202),Summary!AG39,AG202)</f>
        <v>9.9448671288244501</v>
      </c>
      <c r="AH202" s="103">
        <f ca="1">IF(AND(Energy!$F$11=$A$3,Main!$B$43=$A202),Summary!AH39,AH202)</f>
        <v>47</v>
      </c>
      <c r="AI202" s="103">
        <f ca="1">IF(AND(Energy!$F$11=$A$3,Main!$B$43=$A202),Summary!AI39,AI202)</f>
        <v>2.8167434127905029</v>
      </c>
      <c r="AJ202" s="103">
        <f ca="1">IF(AND(Energy!$F$11=$A$3,Main!$B$43=$A202),Summary!AJ39,AJ202)</f>
        <v>0.33886915704994852</v>
      </c>
      <c r="AK202" s="103">
        <f ca="1">IF(AND(Energy!$F$11=$A$3,Main!$B$43=$A202),Summary!AK39,AK202)</f>
        <v>0.01</v>
      </c>
      <c r="AL202" s="103">
        <f ca="1">IF(AND(Energy!$F$11=$A$3,Main!$B$43=$A202),Summary!AL39,AL202)</f>
        <v>-0.30964153914109038</v>
      </c>
      <c r="AM202" s="103">
        <f ca="1">IF(AND(Energy!$F$11=$A$3,Main!$B$43=$A202),Summary!AM39,AM202)</f>
        <v>0.6875</v>
      </c>
    </row>
    <row r="203" spans="1:39">
      <c r="A203">
        <f t="shared" si="12"/>
        <v>10</v>
      </c>
      <c r="D203" s="1">
        <f ca="1">IF(AND(Energy!$F$11=$A$3,Main!$B$43=A203),Main!C40,D203)</f>
        <v>6.5</v>
      </c>
      <c r="E203" s="103">
        <f ca="1">IF(AND(Energy!$F$11=$A$3,Main!$B$43=A203),Main!B40,E203)</f>
        <v>0.4</v>
      </c>
      <c r="F203" s="103">
        <f ca="1">IF(Main!$D$6=1,U203,IF(Main!$D$6=2,N203,IF(Main!$D$6=3,K203,IF(Main!$D$6=4,V203,J203))))</f>
        <v>438.35740498751971</v>
      </c>
      <c r="G203" s="103">
        <f ca="1">IF(AND(Energy!$F$11=$A$3,Main!$B$43=A203),Weight!H40,G203)</f>
        <v>10</v>
      </c>
      <c r="H203" s="103">
        <f ca="1">IF(AND(Energy!$F$11=$A$3,Main!$B$43=A203),Weight!U40,H203)</f>
        <v>27.105160601396253</v>
      </c>
      <c r="I203" s="103">
        <f ca="1">IF(AND(Energy!$F$11=$A$3,Main!$B$43=A203),Weight!V40,I203)</f>
        <v>48.170035646273469</v>
      </c>
      <c r="J203" s="103">
        <f ca="1">IF(AND(Energy!$F$11=$A$3,Main!$B$43=A203),Weight!I40,J203)</f>
        <v>11.004516769877217</v>
      </c>
      <c r="K203" s="103">
        <f ca="1">IF(AND(Energy!$F$11=$A$3,Main!$B$43=A203),Weight!W40,K203)</f>
        <v>58.254183014408746</v>
      </c>
      <c r="L203" s="103">
        <f ca="1">IF(AND(Energy!$F$11=$A$3,Main!$B$43=A203),'Aerodynamics-Cruise'!BI40,L203)</f>
        <v>58.095011546855829</v>
      </c>
      <c r="M203" s="103">
        <f ca="1">IF(AND(Energy!$F$11=$A$3,Main!$B$43=A203),'Aerodynamics-Cruise'!BJ40,M203)</f>
        <v>2.7349789862336258</v>
      </c>
      <c r="N203" s="103">
        <f ca="1">IF(AND(Energy!$F$11=$A$3,Main!$B$43=A203),'Aerodynamics-Cruise'!BK40,N203)</f>
        <v>21.241483696684341</v>
      </c>
      <c r="O203" s="103">
        <f t="shared" ca="1" si="13"/>
        <v>161.90276646395353</v>
      </c>
      <c r="P203" s="103">
        <f ca="1">IF(AND(Energy!$F$11=$A$3,Main!$B$43=A203),'Aerodynamics-Cruise'!H40,P203)</f>
        <v>6.4172743113317861</v>
      </c>
      <c r="Q203" s="103">
        <f ca="1">IF(AND(Energy!$F$11=$A$3,Main!$B$43=A203),'Aerodynamics-Cruise'!I40,Q203)</f>
        <v>5.3405577673859259</v>
      </c>
      <c r="R203" s="103">
        <f ca="1">IF(AND(Energy!$F$11=$A$3,Main!$B$43=$A203),Summary!R40,R203)</f>
        <v>18.669517792369753</v>
      </c>
      <c r="S203" s="103">
        <f ca="1">IF(AND(Energy!$F$11=$A$3,Main!$B$43=A203),'Aerodynamics-Cruise'!W40,S203)</f>
        <v>1</v>
      </c>
      <c r="T203" s="103">
        <f ca="1">IF(AND(Energy!$F$11=$A$3,Main!$B$43=A203),'Aerodynamics-Cruise'!BL40,T203)</f>
        <v>17.551110390389297</v>
      </c>
      <c r="U203" s="103">
        <f ca="1">IF(AND(Energy!$F$11=$A$3,Main!$B$43=A203),'Propulsion-Cruise'!M40,U203)</f>
        <v>42.725092539792989</v>
      </c>
      <c r="V203" s="103">
        <f ca="1">IF(AND(Energy!$F$11=$A$3,Main!$B$43=A203),Endurance!AP40,V203)</f>
        <v>438.35740498751971</v>
      </c>
      <c r="W203" s="103">
        <f ca="1">IF(AND(Energy!$F$11=$A$3,Main!$B$43=$A203),Summary!W40,W203)</f>
        <v>77.355195312314237</v>
      </c>
      <c r="X203" s="13">
        <f ca="1">IF(AND(Energy!$F$11=$A$3,Main!$B$43=A203),Energy!D40,X203)</f>
        <v>1021.5596315631299</v>
      </c>
      <c r="Y203" s="102">
        <f ca="1">IF(AND(Energy!$F$11=$A$3,Main!$B$43=A203),'Aerodynamics-Cruise'!V40,Y203)</f>
        <v>162800.55182149811</v>
      </c>
      <c r="Z203" s="102">
        <f ca="1">IF(AND(Energy!$F$11=$A$3,Main!$B$43=$A203),Summary!Z40,Z203)</f>
        <v>118894.19141686302</v>
      </c>
      <c r="AA203" s="102">
        <f ca="1">IF(AND(Energy!$F$11=$A$3,Main!$B$43=$A203),Summary!AA40,AA203)</f>
        <v>473629.09101018315</v>
      </c>
      <c r="AB203" s="103">
        <f ca="1">IF(AND(Energy!$F$11=$A$3,Main!$B$43=$A203),Summary!AB40,AB203)</f>
        <v>2.2219001819722211</v>
      </c>
      <c r="AC203" s="103">
        <f ca="1">IF(AND(Energy!$F$11=$A$3,Main!$B$43=$A203),Summary!AC40,AC203)</f>
        <v>1.9117908055171602</v>
      </c>
      <c r="AD203" s="103">
        <f ca="1">IF(AND(Energy!$F$11=$A$3,Main!$B$43=$A203),Summary!AD40,AD203)</f>
        <v>0.38923901533657795</v>
      </c>
      <c r="AE203" s="103">
        <f ca="1">IF(AND(Energy!$F$11=$A$3,Main!$B$43=$A203),Summary!AE40,AE203)</f>
        <v>2.6</v>
      </c>
      <c r="AF203" s="103">
        <f ca="1">IF(AND(Energy!$F$11=$A$3,Main!$B$43=$A203),Summary!AF40,AF203)</f>
        <v>16.25</v>
      </c>
      <c r="AG203" s="103">
        <f ca="1">IF(AND(Energy!$F$11=$A$3,Main!$B$43=$A203),Summary!AG40,AG203)</f>
        <v>10.001013265558369</v>
      </c>
      <c r="AH203" s="103">
        <f ca="1">IF(AND(Energy!$F$11=$A$3,Main!$B$43=$A203),Summary!AH40,AH203)</f>
        <v>47</v>
      </c>
      <c r="AI203" s="103">
        <f ca="1">IF(AND(Energy!$F$11=$A$3,Main!$B$43=$A203),Summary!AI40,AI203)</f>
        <v>2.8163121752731586</v>
      </c>
      <c r="AJ203" s="103">
        <f ca="1">IF(AND(Energy!$F$11=$A$3,Main!$B$43=$A203),Summary!AJ40,AJ203)</f>
        <v>0.33909262869616091</v>
      </c>
      <c r="AK203" s="103">
        <f ca="1">IF(AND(Energy!$F$11=$A$3,Main!$B$43=$A203),Summary!AK40,AK203)</f>
        <v>0.01</v>
      </c>
      <c r="AL203" s="103">
        <f ca="1">IF(AND(Energy!$F$11=$A$3,Main!$B$43=$A203),Summary!AL40,AL203)</f>
        <v>-0.30943578072455524</v>
      </c>
      <c r="AM203" s="103">
        <f ca="1">IF(AND(Energy!$F$11=$A$3,Main!$B$43=$A203),Summary!AM40,AM203)</f>
        <v>0.6875</v>
      </c>
    </row>
    <row r="204" spans="1:39">
      <c r="B204" s="100" t="s">
        <v>603</v>
      </c>
      <c r="C204" s="100"/>
      <c r="D204" s="100" t="s">
        <v>607</v>
      </c>
      <c r="E204" s="103"/>
      <c r="F204" s="100"/>
      <c r="H204" s="100" t="s">
        <v>605</v>
      </c>
      <c r="I204" s="100">
        <v>1</v>
      </c>
      <c r="J204" s="100" t="s">
        <v>606</v>
      </c>
      <c r="K204" s="100">
        <v>1</v>
      </c>
      <c r="L204" s="100"/>
      <c r="M204" s="100"/>
      <c r="N204" s="100"/>
      <c r="O204" s="103"/>
      <c r="P204" s="100"/>
      <c r="R204" s="1"/>
      <c r="W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>
      <c r="C205" s="100"/>
      <c r="D205" s="1">
        <f ca="1">INDEX(D4:D203,MATCH($F$205,$F$4:$F$203,0),0)</f>
        <v>4.9210526315789478</v>
      </c>
      <c r="E205" s="1">
        <f ca="1">INDEX(E4:E203,MATCH($F$205,$F$4:$F$203,0),0)</f>
        <v>0.26666666666666666</v>
      </c>
      <c r="F205" s="107">
        <f ca="1">MIN(F4:F203)</f>
        <v>365.46957002279265</v>
      </c>
      <c r="G205" s="1">
        <f t="shared" ref="G205:W205" ca="1" si="14">INDEX(G4:G203,MATCH($F$205,$F$4:$F$203,0),0)</f>
        <v>10</v>
      </c>
      <c r="H205" s="1">
        <f t="shared" ca="1" si="14"/>
        <v>13.614265033349902</v>
      </c>
      <c r="I205" s="1">
        <f t="shared" ca="1" si="14"/>
        <v>34.35702003854631</v>
      </c>
      <c r="J205" s="1">
        <f t="shared" ca="1" si="14"/>
        <v>10.682396730196409</v>
      </c>
      <c r="K205" s="1">
        <f t="shared" ca="1" si="14"/>
        <v>44.357022696715816</v>
      </c>
      <c r="L205" s="1">
        <f t="shared" ca="1" si="14"/>
        <v>44.357017400303732</v>
      </c>
      <c r="M205" s="1">
        <f t="shared" ca="1" si="14"/>
        <v>2.131336665814898</v>
      </c>
      <c r="N205" s="1">
        <f t="shared" ca="1" si="14"/>
        <v>20.811830487298547</v>
      </c>
      <c r="O205" s="103">
        <f t="shared" ca="1" si="13"/>
        <v>138.60900564444717</v>
      </c>
      <c r="P205" s="1">
        <f t="shared" ca="1" si="14"/>
        <v>7.8609157406863659</v>
      </c>
      <c r="Q205" s="1">
        <f t="shared" ca="1" si="14"/>
        <v>6.5777216629887718</v>
      </c>
      <c r="R205" s="1">
        <f t="shared" ca="1" si="14"/>
        <v>23.593445657862169</v>
      </c>
      <c r="S205" s="1">
        <f t="shared" ca="1" si="14"/>
        <v>1</v>
      </c>
      <c r="T205" s="1">
        <f t="shared" ca="1" si="14"/>
        <v>16.75425794500633</v>
      </c>
      <c r="U205" s="1">
        <f t="shared" ca="1" si="14"/>
        <v>38.080402022141328</v>
      </c>
      <c r="V205" s="1">
        <f t="shared" ca="1" si="14"/>
        <v>365.46957002279265</v>
      </c>
      <c r="W205" s="1">
        <f t="shared" ca="1" si="14"/>
        <v>117.85783130045445</v>
      </c>
      <c r="X205" s="13">
        <f ca="1">INDEX(X4:X203,MATCH($F$205,$F$4:$F$203,0),0)</f>
        <v>733.49878348986704</v>
      </c>
      <c r="Y205" s="81">
        <f ca="1">INDEX(Y4:Y203,MATCH($F$205,$F$4:$F$203,0),0)</f>
        <v>132949.63544945195</v>
      </c>
      <c r="Z205" s="81">
        <f t="shared" ref="Z205:AL205" ca="1" si="15">INDEX(Z4:Z203,MATCH($F$205,$F$4:$F$203,0),0)</f>
        <v>97620.710384297345</v>
      </c>
      <c r="AA205" s="81">
        <f ca="1">INDEX(AA4:AA203,MATCH($F$205,$F$4:$F$203,0),0)</f>
        <v>399029.8462269677</v>
      </c>
      <c r="AB205" s="1">
        <f t="shared" ca="1" si="15"/>
        <v>2.5906128135430087</v>
      </c>
      <c r="AC205" s="1">
        <f t="shared" ca="1" si="15"/>
        <v>3.0576620408459738</v>
      </c>
      <c r="AD205" s="1">
        <f t="shared" ca="1" si="15"/>
        <v>0.37399700771259647</v>
      </c>
      <c r="AE205" s="1">
        <f t="shared" ca="1" si="15"/>
        <v>1.312280701754386</v>
      </c>
      <c r="AF205" s="1">
        <f t="shared" ca="1" si="15"/>
        <v>18.453947368421055</v>
      </c>
      <c r="AG205" s="1">
        <f t="shared" ca="1" si="15"/>
        <v>9.0846489434595838</v>
      </c>
      <c r="AH205" s="1">
        <f t="shared" ca="1" si="15"/>
        <v>47</v>
      </c>
      <c r="AI205" s="1">
        <f t="shared" ca="1" si="15"/>
        <v>2.7993119110007121</v>
      </c>
      <c r="AJ205" s="1">
        <f t="shared" ca="1" si="15"/>
        <v>0.31369441086412181</v>
      </c>
      <c r="AK205" s="1">
        <f t="shared" ca="1" si="15"/>
        <v>0.01</v>
      </c>
      <c r="AL205" s="1">
        <f t="shared" ca="1" si="15"/>
        <v>-0.33475443533562477</v>
      </c>
      <c r="AM205" s="1">
        <f ca="1">INDEX(AM4:AM203,MATCH($F$205,$F$4:$F$203,0),0)</f>
        <v>0.34375</v>
      </c>
    </row>
    <row r="206" spans="1:39">
      <c r="B206" s="100" t="s">
        <v>603</v>
      </c>
      <c r="C206" s="100"/>
      <c r="D206" s="6" t="s">
        <v>612</v>
      </c>
      <c r="E206" s="103"/>
      <c r="F206" s="103"/>
      <c r="G206" s="1"/>
      <c r="H206" s="100" t="s">
        <v>605</v>
      </c>
      <c r="I206" s="100">
        <v>1</v>
      </c>
      <c r="J206" s="100" t="s">
        <v>606</v>
      </c>
      <c r="K206" s="100">
        <v>1</v>
      </c>
      <c r="L206" s="103"/>
      <c r="M206" s="103"/>
      <c r="N206" s="100"/>
      <c r="O206" s="103"/>
      <c r="P206" s="100"/>
      <c r="R206" s="1"/>
      <c r="W206" s="1"/>
      <c r="X206" s="13"/>
      <c r="Y206" s="81"/>
      <c r="Z206" s="81"/>
      <c r="AA206" s="8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>
      <c r="C207" s="100"/>
      <c r="D207" s="1">
        <f t="shared" ref="D207:S207" ca="1" si="16">INDEX(D4:D203,MATCH($T$207,$T$4:$T$203,0),0)</f>
        <v>5.2368421052631584</v>
      </c>
      <c r="E207" s="1">
        <f t="shared" ca="1" si="16"/>
        <v>0.35555555555555546</v>
      </c>
      <c r="F207" s="1">
        <f t="shared" ca="1" si="16"/>
        <v>383.14034282473625</v>
      </c>
      <c r="G207" s="1">
        <f t="shared" ca="1" si="16"/>
        <v>10</v>
      </c>
      <c r="H207" s="1">
        <f t="shared" ca="1" si="16"/>
        <v>18.401295460419725</v>
      </c>
      <c r="I207" s="1">
        <f t="shared" ca="1" si="16"/>
        <v>38.438154362471899</v>
      </c>
      <c r="J207" s="1">
        <f t="shared" ca="1" si="16"/>
        <v>9.976500627052177</v>
      </c>
      <c r="K207" s="1">
        <f t="shared" ca="1" si="16"/>
        <v>48.438154422155037</v>
      </c>
      <c r="L207" s="1">
        <f t="shared" ca="1" si="16"/>
        <v>48.438154269915842</v>
      </c>
      <c r="M207" s="1">
        <f t="shared" ca="1" si="16"/>
        <v>2.3731188081675216</v>
      </c>
      <c r="N207" s="1">
        <f t="shared" ca="1" si="16"/>
        <v>20.411179627082763</v>
      </c>
      <c r="O207" s="103">
        <f t="shared" ca="1" si="13"/>
        <v>142.05675757041297</v>
      </c>
      <c r="P207" s="1">
        <f t="shared" ca="1" si="16"/>
        <v>6.9149887132488574</v>
      </c>
      <c r="Q207" s="1">
        <f t="shared" ca="1" si="16"/>
        <v>5.7641016375978005</v>
      </c>
      <c r="R207" s="1">
        <f t="shared" ca="1" si="16"/>
        <v>21.092781447112301</v>
      </c>
      <c r="S207" s="1">
        <f t="shared" ca="1" si="16"/>
        <v>1</v>
      </c>
      <c r="T207" s="106">
        <f ca="1">MIN(T4:T203)</f>
        <v>16.410089773676994</v>
      </c>
      <c r="U207" s="1">
        <f ca="1">INDEX(U4:U203,MATCH($T$207,$T$4:$T$203,0),0)</f>
        <v>38.852224057468597</v>
      </c>
      <c r="V207" s="1">
        <f ca="1">INDEX(V4:V203,MATCH($T$207,$T$4:$T$203,0),0)</f>
        <v>383.14034282473625</v>
      </c>
      <c r="W207" s="1">
        <f t="shared" ref="W207" ca="1" si="17">INDEX(W4:W203,MATCH($T$207,$T$4:$T$203,0),0)</f>
        <v>55.983552211844788</v>
      </c>
      <c r="X207" s="13">
        <f ca="1">INDEX(X4:X203,MATCH($T$207,$T$4:$T$203,0),0)</f>
        <v>984.78141547095186</v>
      </c>
      <c r="Y207" s="81">
        <f ca="1">INDEX(Y4:Y203,MATCH($T$207,$T$4:$T$203,0),0)</f>
        <v>155935.22161040892</v>
      </c>
      <c r="Z207" s="81">
        <f t="shared" ref="Z207:AL207" ca="1" si="18">INDEX(Z4:Z203,MATCH($T$207,$T$4:$T$203,0),0)</f>
        <v>114063.92496832131</v>
      </c>
      <c r="AA207" s="81">
        <f ca="1">INDEX(AA4:AA203,MATCH($T$207,$T$4:$T$203,0),0)</f>
        <v>475649.01198371779</v>
      </c>
      <c r="AB207" s="1">
        <f t="shared" ca="1" si="18"/>
        <v>2.1597910110802059</v>
      </c>
      <c r="AC207" s="1">
        <f t="shared" ca="1" si="18"/>
        <v>2.4811356242526532</v>
      </c>
      <c r="AD207" s="1">
        <f t="shared" ca="1" si="18"/>
        <v>0.37475610464189457</v>
      </c>
      <c r="AE207" s="1">
        <f t="shared" ca="1" si="18"/>
        <v>1.861988304093567</v>
      </c>
      <c r="AF207" s="1">
        <f t="shared" ca="1" si="18"/>
        <v>14.728618421052637</v>
      </c>
      <c r="AG207" s="1">
        <f t="shared" ca="1" si="18"/>
        <v>9.3419851110133827</v>
      </c>
      <c r="AH207" s="1">
        <f t="shared" ca="1" si="18"/>
        <v>47</v>
      </c>
      <c r="AI207" s="1">
        <f t="shared" ca="1" si="18"/>
        <v>2.8208224991549118</v>
      </c>
      <c r="AJ207" s="1">
        <f t="shared" ca="1" si="18"/>
        <v>0.31119926853346186</v>
      </c>
      <c r="AK207" s="1">
        <f t="shared" ca="1" si="18"/>
        <v>0.01</v>
      </c>
      <c r="AL207" s="1">
        <f t="shared" ca="1" si="18"/>
        <v>-0.33744441257087715</v>
      </c>
      <c r="AM207" s="1">
        <f ca="1">INDEX(AM4:AM203,MATCH($T$207,$T$4:$T$203,0),0)</f>
        <v>0.6875</v>
      </c>
    </row>
    <row r="208" spans="1:39">
      <c r="B208" s="100" t="s">
        <v>603</v>
      </c>
      <c r="C208" s="100"/>
      <c r="D208" s="100" t="s">
        <v>608</v>
      </c>
      <c r="E208" s="103"/>
      <c r="F208" s="103"/>
      <c r="G208" s="1"/>
      <c r="H208" s="100" t="s">
        <v>605</v>
      </c>
      <c r="I208" s="100">
        <v>1</v>
      </c>
      <c r="J208" s="100" t="s">
        <v>606</v>
      </c>
      <c r="K208" s="100">
        <v>1</v>
      </c>
      <c r="L208" s="103"/>
      <c r="M208" s="103"/>
      <c r="N208" s="100"/>
      <c r="O208" s="103"/>
      <c r="P208" s="100"/>
      <c r="R208" s="1"/>
      <c r="W208" s="1"/>
      <c r="X208" s="13"/>
      <c r="Y208" s="81"/>
      <c r="Z208" s="81"/>
      <c r="AA208" s="8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2:39">
      <c r="C209" s="100"/>
      <c r="D209" s="1">
        <f t="shared" ref="D209:M209" ca="1" si="19">INDEX(D4:D203,MATCH($N$209,$N$4:$N$203,0),0)</f>
        <v>6.5</v>
      </c>
      <c r="E209" s="1">
        <f t="shared" ca="1" si="19"/>
        <v>0.31111111111111106</v>
      </c>
      <c r="F209" s="1">
        <f t="shared" ca="1" si="19"/>
        <v>422.95089857304697</v>
      </c>
      <c r="G209" s="1">
        <f t="shared" ca="1" si="19"/>
        <v>10</v>
      </c>
      <c r="H209" s="1">
        <f t="shared" ca="1" si="19"/>
        <v>22.146493003434827</v>
      </c>
      <c r="I209" s="1">
        <f t="shared" ca="1" si="19"/>
        <v>45.850403447303833</v>
      </c>
      <c r="J209" s="1">
        <f t="shared" ca="1" si="19"/>
        <v>13.643552168869007</v>
      </c>
      <c r="K209" s="1">
        <f t="shared" ca="1" si="19"/>
        <v>55.850402866197548</v>
      </c>
      <c r="L209" s="1">
        <f t="shared" ca="1" si="19"/>
        <v>55.850404034149832</v>
      </c>
      <c r="M209" s="1">
        <f t="shared" ca="1" si="19"/>
        <v>2.5544902666307303</v>
      </c>
      <c r="N209" s="106">
        <f ca="1">MAX(N4:N203)</f>
        <v>21.863619824167216</v>
      </c>
      <c r="O209" s="103">
        <f t="shared" ca="1" si="13"/>
        <v>163.39366963396182</v>
      </c>
      <c r="P209" s="1">
        <f t="shared" ref="P209:W209" ca="1" si="20">INDEX(P4:P203,MATCH($N$209,$N$4:$N$203,0),0)</f>
        <v>7.1151010427922508</v>
      </c>
      <c r="Q209" s="1">
        <f t="shared" ca="1" si="20"/>
        <v>5.9434963315387446</v>
      </c>
      <c r="R209" s="1">
        <f t="shared" ca="1" si="20"/>
        <v>20.555704124717746</v>
      </c>
      <c r="S209" s="1">
        <f t="shared" ca="1" si="20"/>
        <v>1</v>
      </c>
      <c r="T209" s="1">
        <f t="shared" ca="1" si="20"/>
        <v>18.175456359906963</v>
      </c>
      <c r="U209" s="1">
        <f t="shared" ca="1" si="20"/>
        <v>42.476431572008984</v>
      </c>
      <c r="V209" s="1">
        <f t="shared" ca="1" si="20"/>
        <v>422.95089857304697</v>
      </c>
      <c r="W209" s="1">
        <f t="shared" ca="1" si="20"/>
        <v>173.45049668571227</v>
      </c>
      <c r="X209" s="13">
        <f ca="1">INDEX(X4:X203,MATCH($N$209,$N$4:$N$203,0),0)</f>
        <v>833.87452315668747</v>
      </c>
      <c r="Y209" s="81">
        <f ca="1">INDEX(Y4:Y203,MATCH($N$209,$N$4:$N$203,0),0)</f>
        <v>140391.8416804061</v>
      </c>
      <c r="Z209" s="81">
        <f t="shared" ref="Z209:AL209" ca="1" si="21">INDEX(Z4:Z203,MATCH($N$209,$N$4:$N$203,0),0)</f>
        <v>102910.66339628342</v>
      </c>
      <c r="AA209" s="81">
        <f ca="1">INDEX(AA4:AA203,MATCH($N$209,$N$4:$N$203,0),0)</f>
        <v>405595.52728068078</v>
      </c>
      <c r="AB209" s="1">
        <f t="shared" ca="1" si="21"/>
        <v>2.6571869956055085</v>
      </c>
      <c r="AC209" s="1">
        <f t="shared" ca="1" si="21"/>
        <v>2.1794515702360719</v>
      </c>
      <c r="AD209" s="1">
        <f t="shared" ca="1" si="21"/>
        <v>0.386665061892699</v>
      </c>
      <c r="AE209" s="1">
        <f t="shared" ca="1" si="21"/>
        <v>2.0222222222222217</v>
      </c>
      <c r="AF209" s="1">
        <f t="shared" ca="1" si="21"/>
        <v>20.892857142857149</v>
      </c>
      <c r="AG209" s="1">
        <f t="shared" ca="1" si="21"/>
        <v>9.8548835001764381</v>
      </c>
      <c r="AH209" s="1">
        <f t="shared" ca="1" si="21"/>
        <v>47</v>
      </c>
      <c r="AI209" s="1">
        <f t="shared" ca="1" si="21"/>
        <v>2.8088867609127295</v>
      </c>
      <c r="AJ209" s="1">
        <f t="shared" ca="1" si="21"/>
        <v>0.31408735894479978</v>
      </c>
      <c r="AK209" s="1">
        <f t="shared" ca="1" si="21"/>
        <v>0.01</v>
      </c>
      <c r="AL209" s="1">
        <f t="shared" ca="1" si="21"/>
        <v>-0.33432861819332887</v>
      </c>
      <c r="AM209" s="1">
        <f ca="1">INDEX(AM4:AM203,MATCH($N$209,$N$4:$N$203,0),0)</f>
        <v>0.34375</v>
      </c>
    </row>
    <row r="210" spans="2:39">
      <c r="B210" s="100" t="s">
        <v>603</v>
      </c>
      <c r="C210" s="100"/>
      <c r="D210" s="100" t="s">
        <v>609</v>
      </c>
      <c r="E210" s="103"/>
      <c r="F210" s="103"/>
      <c r="G210" s="1"/>
      <c r="H210" s="100" t="s">
        <v>605</v>
      </c>
      <c r="I210" s="100">
        <f>COUNT([1]Variáveis!E45:E54)</f>
        <v>10</v>
      </c>
      <c r="J210" s="100" t="s">
        <v>606</v>
      </c>
      <c r="K210" s="100">
        <v>1</v>
      </c>
      <c r="L210" s="103"/>
      <c r="M210" s="103"/>
      <c r="N210" s="100"/>
      <c r="O210" s="103"/>
      <c r="P210" s="100"/>
    </row>
    <row r="211" spans="2:39">
      <c r="C211" s="100"/>
      <c r="D211" s="1">
        <f ca="1">IF(AND([1]Variáveis!$E$43=1,[1]Variáveis!$L$43=1),[1]Variáveis!Z$42,D211)</f>
        <v>0.29210526315789481</v>
      </c>
      <c r="E211" s="1">
        <f ca="1">IF(AND([1]Variáveis!$E$43=1,[1]Variáveis!$L$43=1),[1]Variáveis!AA$42,E211)</f>
        <v>2</v>
      </c>
      <c r="F211" s="1">
        <f ca="1">IF(AND([1]Variáveis!$E$43=1,[1]Variáveis!$L$43=1),[1]Variáveis!AB$42,F211)</f>
        <v>74.900702884866675</v>
      </c>
      <c r="G211" s="1">
        <f ca="1">IF(AND([1]Variáveis!$E$43=1,[1]Variáveis!$L$43=1),[1]Variáveis!AC$42,G211)</f>
        <v>51.46347211476445</v>
      </c>
      <c r="H211" s="1">
        <f ca="1">IF(AND([1]Variáveis!$E$43=1,[1]Variáveis!$L$43=1),[1]Variáveis!AD$42,H211)</f>
        <v>51.463472114764464</v>
      </c>
      <c r="I211" s="1">
        <f ca="1">IF(AND([1]Variáveis!$E$43=1,[1]Variáveis!$L$43=1),[1]Variáveis!AE$42,I211)</f>
        <v>3.5632068843550018</v>
      </c>
      <c r="J211" s="1">
        <f ca="1">IF(AND([1]Variáveis!$E$43=1,[1]Variáveis!$L$43=1),[1]Variáveis!AF$42,J211)</f>
        <v>14.443021072036402</v>
      </c>
      <c r="K211" s="1">
        <f ca="1">IF(AND([1]Variáveis!$E$43=1,[1]Variáveis!$L$43=1),[1]Variáveis!AG$42,K211)</f>
        <v>15.259433367753834</v>
      </c>
      <c r="L211" s="1">
        <f ca="1">IF(AND([1]Variáveis!$E$43=1,[1]Variáveis!$L$43=1),[1]Variáveis!AH$42,L211)</f>
        <v>54.372518027336888</v>
      </c>
      <c r="M211" s="1">
        <f ca="1">IF(AND([1]Variáveis!$E$43=1,[1]Variáveis!$L$43=1),[1]Variáveis!AI$42,M211)</f>
        <v>74.900702884866675</v>
      </c>
      <c r="N211" s="1">
        <f ca="1">IF(AND([1]Variáveis!$E$43=1,[1]Variáveis!$L$43=1),[1]Variáveis!AJ$42,N211)</f>
        <v>0.30499999999999999</v>
      </c>
      <c r="O211" s="103">
        <f t="shared" ca="1" si="13"/>
        <v>5.3528278403221483</v>
      </c>
      <c r="P211" s="1">
        <f ca="1">IF(AND([1]Variáveis!$E$43=1,[1]Variáveis!$L$43=1),[1]Variáveis!AK$42,P211)</f>
        <v>0.65</v>
      </c>
      <c r="Q211" s="1">
        <f ca="1">IF(AND([1]Variáveis!$E$43=1,[1]Variáveis!$L$43=1),[1]Variáveis!AL$42,Q211)</f>
        <v>10.683821635968679</v>
      </c>
      <c r="R211" s="1"/>
    </row>
    <row r="212" spans="2:39">
      <c r="D212" s="1">
        <f ca="1">IF(AND([1]Variáveis!$E$43=2,[1]Variáveis!$L$43=1),[1]Variáveis!Z$42,D212)</f>
        <v>0.29210526315789481</v>
      </c>
      <c r="E212" s="1">
        <f ca="1">IF(AND([1]Variáveis!$E$43=2,[1]Variáveis!$L$43=1),[1]Variáveis!AA$42,E212)</f>
        <v>2.1111111111111112</v>
      </c>
      <c r="F212" s="1">
        <f ca="1">IF(AND([1]Variáveis!$E$43=2,[1]Variáveis!$L$43=1),[1]Variáveis!AB$42,F212)</f>
        <v>73.108349321909856</v>
      </c>
      <c r="G212" s="1">
        <f ca="1">IF(AND([1]Variáveis!$E$43=2,[1]Variáveis!$L$43=1),[1]Variáveis!AC$42,G212)</f>
        <v>52.783184195989953</v>
      </c>
      <c r="H212" s="1">
        <f ca="1">IF(AND([1]Variáveis!$E$43=2,[1]Variáveis!$L$43=1),[1]Variáveis!AD$42,H212)</f>
        <v>52.783184195989961</v>
      </c>
      <c r="I212" s="1">
        <f ca="1">IF(AND([1]Variáveis!$E$43=2,[1]Variáveis!$L$43=1),[1]Variáveis!AE$42,I212)</f>
        <v>3.5234796577228411</v>
      </c>
      <c r="J212" s="1">
        <f ca="1">IF(AND([1]Variáveis!$E$43=2,[1]Variáveis!$L$43=1),[1]Variáveis!AF$42,J212)</f>
        <v>14.980414057535029</v>
      </c>
      <c r="K212" s="1">
        <f ca="1">IF(AND([1]Variáveis!$E$43=2,[1]Variáveis!$L$43=1),[1]Variáveis!AG$42,K212)</f>
        <v>15.041262088454628</v>
      </c>
      <c r="L212" s="1">
        <f ca="1">IF(AND([1]Variáveis!$E$43=2,[1]Variáveis!$L$43=1),[1]Variáveis!AH$42,L212)</f>
        <v>52.997580995147658</v>
      </c>
      <c r="M212" s="1">
        <f ca="1">IF(AND([1]Variáveis!$E$43=2,[1]Variáveis!$L$43=1),[1]Variáveis!AI$42,M212)</f>
        <v>73.108349321909856</v>
      </c>
      <c r="N212" s="1">
        <f ca="1">IF(AND([1]Variáveis!$E$43=2,[1]Variáveis!$L$43=1),[1]Variáveis!AJ$42,N212)</f>
        <v>0.30499999999999999</v>
      </c>
      <c r="O212" s="103">
        <f t="shared" ca="1" si="13"/>
        <v>5.2773645155456723</v>
      </c>
      <c r="P212" s="1">
        <f ca="1">IF(AND([1]Variáveis!$E$43=2,[1]Variáveis!$L$43=1),[1]Variáveis!AK$42,P212)</f>
        <v>0.65</v>
      </c>
      <c r="Q212" s="1">
        <f ca="1">IF(AND([1]Variáveis!$E$43=2,[1]Variáveis!$L$43=1),[1]Variáveis!AL$42,Q212)</f>
        <v>10.53135692961634</v>
      </c>
      <c r="R212" s="1"/>
    </row>
    <row r="213" spans="2:39">
      <c r="D213" s="1">
        <f ca="1">IF(AND([1]Variáveis!$E$43=3,[1]Variáveis!$L$43=1),[1]Variáveis!Z$42,D213)</f>
        <v>0.25263157894736837</v>
      </c>
      <c r="E213" s="1">
        <f ca="1">IF(AND([1]Variáveis!$E$43=3,[1]Variáveis!$L$43=1),[1]Variáveis!AA$42,E213)</f>
        <v>2.2222222222222223</v>
      </c>
      <c r="F213" s="1">
        <f ca="1">IF(AND([1]Variáveis!$E$43=3,[1]Variáveis!$L$43=1),[1]Variáveis!AB$42,F213)</f>
        <v>61.812133314457931</v>
      </c>
      <c r="G213" s="1">
        <f ca="1">IF(AND([1]Variáveis!$E$43=3,[1]Variáveis!$L$43=1),[1]Variáveis!AC$42,G213)</f>
        <v>47.74835104265005</v>
      </c>
      <c r="H213" s="1">
        <f ca="1">IF(AND([1]Variáveis!$E$43=3,[1]Variáveis!$L$43=1),[1]Variáveis!AD$42,H213)</f>
        <v>47.74835104265005</v>
      </c>
      <c r="I213" s="1">
        <f ca="1">IF(AND([1]Variáveis!$E$43=3,[1]Variáveis!$L$43=1),[1]Variáveis!AE$42,I213)</f>
        <v>3.0163642945945788</v>
      </c>
      <c r="J213" s="1">
        <f ca="1">IF(AND([1]Variáveis!$E$43=3,[1]Variáveis!$L$43=1),[1]Variáveis!AF$42,J213)</f>
        <v>15.829769344577054</v>
      </c>
      <c r="K213" s="1">
        <f ca="1">IF(AND([1]Variáveis!$E$43=3,[1]Variáveis!$L$43=1),[1]Variáveis!AG$42,K213)</f>
        <v>14.992342535286813</v>
      </c>
      <c r="L213" s="1">
        <f ca="1">IF(AND([1]Variáveis!$E$43=3,[1]Variáveis!$L$43=1),[1]Variáveis!AH$42,L213)</f>
        <v>45.222366715770704</v>
      </c>
      <c r="M213" s="1">
        <f ca="1">IF(AND([1]Variáveis!$E$43=3,[1]Variáveis!$L$43=1),[1]Variáveis!AI$42,M213)</f>
        <v>61.812133314457931</v>
      </c>
      <c r="N213" s="1">
        <f ca="1">IF(AND([1]Variáveis!$E$43=3,[1]Variáveis!$L$43=1),[1]Variáveis!AJ$42,N213)</f>
        <v>0.30499999999999999</v>
      </c>
      <c r="O213" s="103">
        <f t="shared" ca="1" si="13"/>
        <v>4.9198991276961133</v>
      </c>
      <c r="P213" s="1">
        <f ca="1">IF(AND([1]Variáveis!$E$43=3,[1]Variáveis!$L$43=1),[1]Variáveis!AK$42,P213)</f>
        <v>0.65</v>
      </c>
      <c r="Q213" s="1">
        <f ca="1">IF(AND([1]Variáveis!$E$43=3,[1]Variáveis!$L$43=1),[1]Variáveis!AL$42,Q213)</f>
        <v>10.497923502662442</v>
      </c>
      <c r="R213" s="1"/>
    </row>
    <row r="214" spans="2:39">
      <c r="D214" s="1">
        <f ca="1">IF(AND([1]Variáveis!$E$43=4,[1]Variáveis!$L$43=1),[1]Variáveis!Z$42,D214)</f>
        <v>0.23684210526315785</v>
      </c>
      <c r="E214" s="1">
        <f ca="1">IF(AND([1]Variáveis!$E$43=4,[1]Variáveis!$L$43=1),[1]Variáveis!AA$42,E214)</f>
        <v>2.3333333333333335</v>
      </c>
      <c r="F214" s="1">
        <f ca="1">IF(AND([1]Variáveis!$E$43=4,[1]Variáveis!$L$43=1),[1]Variáveis!AB$42,F214)</f>
        <v>58.295816851970471</v>
      </c>
      <c r="G214" s="1">
        <f ca="1">IF(AND([1]Variáveis!$E$43=4,[1]Variáveis!$L$43=1),[1]Variáveis!AC$42,G214)</f>
        <v>46.831797392795394</v>
      </c>
      <c r="H214" s="1">
        <f ca="1">IF(AND([1]Variáveis!$E$43=4,[1]Variáveis!$L$43=1),[1]Variáveis!AD$42,H214)</f>
        <v>46.831797392795387</v>
      </c>
      <c r="I214" s="1">
        <f ca="1">IF(AND([1]Variáveis!$E$43=4,[1]Variáveis!$L$43=1),[1]Variáveis!AE$42,I214)</f>
        <v>2.8577389899261165</v>
      </c>
      <c r="J214" s="1">
        <f ca="1">IF(AND([1]Variáveis!$E$43=4,[1]Variáveis!$L$43=1),[1]Variáveis!AF$42,J214)</f>
        <v>16.387709849599023</v>
      </c>
      <c r="K214" s="1">
        <f ca="1">IF(AND([1]Variáveis!$E$43=4,[1]Variáveis!$L$43=1),[1]Variáveis!AG$42,K214)</f>
        <v>14.964632349778416</v>
      </c>
      <c r="L214" s="1">
        <f ca="1">IF(AND([1]Variáveis!$E$43=4,[1]Variáveis!$L$43=1),[1]Variáveis!AH$42,L214)</f>
        <v>42.765013335871458</v>
      </c>
      <c r="M214" s="1">
        <f ca="1">IF(AND([1]Variáveis!$E$43=4,[1]Variáveis!$L$43=1),[1]Variáveis!AI$42,M214)</f>
        <v>58.295816851970471</v>
      </c>
      <c r="N214" s="1">
        <f ca="1">IF(AND([1]Variáveis!$E$43=4,[1]Variáveis!$L$43=1),[1]Variáveis!AJ$42,N214)</f>
        <v>0.30499999999999999</v>
      </c>
      <c r="O214" s="103">
        <f t="shared" ca="1" si="13"/>
        <v>4.797285061168723</v>
      </c>
      <c r="P214" s="1">
        <f ca="1">IF(AND([1]Variáveis!$E$43=4,[1]Variáveis!$L$43=1),[1]Variáveis!AK$42,P214)</f>
        <v>0.65</v>
      </c>
      <c r="Q214" s="1">
        <f ca="1">IF(AND([1]Variáveis!$E$43=4,[1]Variáveis!$L$43=1),[1]Variáveis!AL$42,Q214)</f>
        <v>10.478867286320245</v>
      </c>
      <c r="R214" s="1"/>
    </row>
    <row r="215" spans="2:39">
      <c r="D215" s="1">
        <f ca="1">IF(AND([1]Variáveis!$E$43=5,[1]Variáveis!$L$43=1),[1]Variáveis!Z$42,D215)</f>
        <v>0.22105263157894733</v>
      </c>
      <c r="E215" s="1">
        <f ca="1">IF(AND([1]Variáveis!$E$43=5,[1]Variáveis!$L$43=1),[1]Variáveis!AA$42,E215)</f>
        <v>2.4444444444444446</v>
      </c>
      <c r="F215" s="1">
        <f ca="1">IF(AND([1]Variáveis!$E$43=5,[1]Variáveis!$L$43=1),[1]Variáveis!AB$42,F215)</f>
        <v>55.611295440776935</v>
      </c>
      <c r="G215" s="1">
        <f ca="1">IF(AND([1]Variáveis!$E$43=5,[1]Variáveis!$L$43=1),[1]Variáveis!AC$42,G215)</f>
        <v>45.997086922676715</v>
      </c>
      <c r="H215" s="1">
        <f ca="1">IF(AND([1]Variáveis!$E$43=5,[1]Variáveis!$L$43=1),[1]Variáveis!AD$42,H215)</f>
        <v>45.997086922676715</v>
      </c>
      <c r="I215" s="1">
        <f ca="1">IF(AND([1]Variáveis!$E$43=5,[1]Variáveis!$L$43=1),[1]Variáveis!AE$42,I215)</f>
        <v>2.7272071677030159</v>
      </c>
      <c r="J215" s="1">
        <f ca="1">IF(AND([1]Variáveis!$E$43=5,[1]Variáveis!$L$43=1),[1]Variáveis!AF$42,J215)</f>
        <v>16.866003971901282</v>
      </c>
      <c r="K215" s="1">
        <f ca="1">IF(AND([1]Variáveis!$E$43=5,[1]Variáveis!$L$43=1),[1]Variáveis!AG$42,K215)</f>
        <v>14.997849229245631</v>
      </c>
      <c r="L215" s="1">
        <f ca="1">IF(AND([1]Variáveis!$E$43=5,[1]Variáveis!$L$43=1),[1]Variáveis!AH$42,L215)</f>
        <v>40.902241918127835</v>
      </c>
      <c r="M215" s="1">
        <f ca="1">IF(AND([1]Variáveis!$E$43=5,[1]Variáveis!$L$43=1),[1]Variáveis!AI$42,M215)</f>
        <v>55.611295440776935</v>
      </c>
      <c r="N215" s="1">
        <f ca="1">IF(AND([1]Variáveis!$E$43=5,[1]Variáveis!$L$43=1),[1]Variáveis!AJ$42,N215)</f>
        <v>0.30499999999999999</v>
      </c>
      <c r="O215" s="103">
        <f t="shared" ca="1" si="13"/>
        <v>4.7038954200785765</v>
      </c>
      <c r="P215" s="1">
        <f ca="1">IF(AND([1]Variáveis!$E$43=5,[1]Variáveis!$L$43=1),[1]Variáveis!AK$42,P215)</f>
        <v>0.65</v>
      </c>
      <c r="Q215" s="1">
        <f ca="1">IF(AND([1]Variáveis!$E$43=5,[1]Variáveis!$L$43=1),[1]Variáveis!AL$42,Q215)</f>
        <v>10.502410992376557</v>
      </c>
      <c r="R215" s="1"/>
    </row>
    <row r="216" spans="2:39">
      <c r="D216" s="1">
        <f ca="1">IF(AND([1]Variáveis!$E$43=6,[1]Variáveis!$L$43=1),[1]Variáveis!Z$42,D216)</f>
        <v>0.21315789473684207</v>
      </c>
      <c r="E216" s="1">
        <f ca="1">IF(AND([1]Variáveis!$E$43=6,[1]Variáveis!$L$43=1),[1]Variáveis!AA$42,E216)</f>
        <v>2.5555555555555558</v>
      </c>
      <c r="F216" s="1">
        <f ca="1">IF(AND([1]Variáveis!$E$43=6,[1]Variáveis!$L$43=1),[1]Variáveis!AB$42,F216)</f>
        <v>54.336917026825311</v>
      </c>
      <c r="G216" s="1">
        <f ca="1">IF(AND([1]Variáveis!$E$43=6,[1]Variáveis!$L$43=1),[1]Variáveis!AC$42,G216)</f>
        <v>46.198814299955345</v>
      </c>
      <c r="H216" s="1">
        <f ca="1">IF(AND([1]Variáveis!$E$43=6,[1]Variáveis!$L$43=1),[1]Variáveis!AD$42,H216)</f>
        <v>46.198814299955338</v>
      </c>
      <c r="I216" s="1">
        <f ca="1">IF(AND([1]Variáveis!$E$43=6,[1]Variáveis!$L$43=1),[1]Variáveis!AE$42,I216)</f>
        <v>2.6715631350485132</v>
      </c>
      <c r="J216" s="1">
        <f ca="1">IF(AND([1]Variáveis!$E$43=6,[1]Variáveis!$L$43=1),[1]Variáveis!AF$42,J216)</f>
        <v>17.292802739290835</v>
      </c>
      <c r="K216" s="1">
        <f ca="1">IF(AND([1]Variáveis!$E$43=6,[1]Variáveis!$L$43=1),[1]Variáveis!AG$42,K216)</f>
        <v>14.96983479240455</v>
      </c>
      <c r="L216" s="1">
        <f ca="1">IF(AND([1]Variáveis!$E$43=6,[1]Variáveis!$L$43=1),[1]Variáveis!AH$42,L216)</f>
        <v>39.992858769154608</v>
      </c>
      <c r="M216" s="1">
        <f ca="1">IF(AND([1]Variáveis!$E$43=6,[1]Variáveis!$L$43=1),[1]Variáveis!AI$42,M216)</f>
        <v>54.336917026825311</v>
      </c>
      <c r="N216" s="1">
        <f ca="1">IF(AND([1]Variáveis!$E$43=6,[1]Variáveis!$L$43=1),[1]Variáveis!AJ$42,N216)</f>
        <v>0.30499999999999999</v>
      </c>
      <c r="O216" s="103">
        <f t="shared" ca="1" si="13"/>
        <v>4.654560508984261</v>
      </c>
      <c r="P216" s="1">
        <f ca="1">IF(AND([1]Variáveis!$E$43=6,[1]Variáveis!$L$43=1),[1]Variáveis!AK$42,P216)</f>
        <v>0.65</v>
      </c>
      <c r="Q216" s="1">
        <f ca="1">IF(AND([1]Variáveis!$E$43=6,[1]Variáveis!$L$43=1),[1]Variáveis!AL$42,Q216)</f>
        <v>10.482957289473127</v>
      </c>
      <c r="R216" s="1"/>
    </row>
    <row r="217" spans="2:39">
      <c r="D217" s="1">
        <f ca="1">IF(AND([1]Variáveis!$E$43=7,[1]Variáveis!$L$43=1),[1]Variáveis!Z$42,D217)</f>
        <v>0.20526315789473681</v>
      </c>
      <c r="E217" s="1">
        <f ca="1">IF(AND([1]Variáveis!$E$43=7,[1]Variáveis!$L$43=1),[1]Variáveis!AA$42,E217)</f>
        <v>2.666666666666667</v>
      </c>
      <c r="F217" s="1">
        <f ca="1">IF(AND([1]Variáveis!$E$43=7,[1]Variáveis!$L$43=1),[1]Variáveis!AB$42,F217)</f>
        <v>53.337517865067021</v>
      </c>
      <c r="G217" s="1">
        <f ca="1">IF(AND([1]Variáveis!$E$43=7,[1]Variáveis!$L$43=1),[1]Variáveis!AC$42,G217)</f>
        <v>46.401169262385892</v>
      </c>
      <c r="H217" s="1">
        <f ca="1">IF(AND([1]Variáveis!$E$43=7,[1]Variáveis!$L$43=1),[1]Variáveis!AD$42,H217)</f>
        <v>46.401169262385885</v>
      </c>
      <c r="I217" s="1">
        <f ca="1">IF(AND([1]Variáveis!$E$43=7,[1]Variáveis!$L$43=1),[1]Variáveis!AE$42,I217)</f>
        <v>2.6248859904588975</v>
      </c>
      <c r="J217" s="1">
        <f ca="1">IF(AND([1]Variáveis!$E$43=7,[1]Variáveis!$L$43=1),[1]Variáveis!AF$42,J217)</f>
        <v>17.677403678120804</v>
      </c>
      <c r="K217" s="1">
        <f ca="1">IF(AND([1]Variáveis!$E$43=7,[1]Variáveis!$L$43=1),[1]Variáveis!AG$42,K217)</f>
        <v>14.966277479327641</v>
      </c>
      <c r="L217" s="1">
        <f ca="1">IF(AND([1]Variáveis!$E$43=7,[1]Variáveis!$L$43=1),[1]Variáveis!AH$42,L217)</f>
        <v>39.284772084807628</v>
      </c>
      <c r="M217" s="1">
        <f ca="1">IF(AND([1]Variáveis!$E$43=7,[1]Variáveis!$L$43=1),[1]Variáveis!AI$42,M217)</f>
        <v>53.337517865067021</v>
      </c>
      <c r="N217" s="1">
        <f ca="1">IF(AND([1]Variáveis!$E$43=7,[1]Variáveis!$L$43=1),[1]Variáveis!AJ$42,N217)</f>
        <v>0.30499999999999999</v>
      </c>
      <c r="O217" s="103">
        <f t="shared" ca="1" si="13"/>
        <v>4.6164013088407962</v>
      </c>
      <c r="P217" s="1">
        <f ca="1">IF(AND([1]Variáveis!$E$43=7,[1]Variáveis!$L$43=1),[1]Variáveis!AK$42,P217)</f>
        <v>0.65</v>
      </c>
      <c r="Q217" s="1">
        <f ca="1">IF(AND([1]Variáveis!$E$43=7,[1]Variáveis!$L$43=1),[1]Variáveis!AL$42,Q217)</f>
        <v>10.48060538132806</v>
      </c>
      <c r="R217" s="1"/>
    </row>
    <row r="218" spans="2:39">
      <c r="D218" s="1">
        <f ca="1">IF(AND([1]Variáveis!$E$43=8,[1]Variáveis!$L$43=1),[1]Variáveis!Z$42,D218)</f>
        <v>0.19736842105263155</v>
      </c>
      <c r="E218" s="1">
        <f ca="1">IF(AND([1]Variáveis!$E$43=8,[1]Variáveis!$L$43=1),[1]Variáveis!AA$42,E218)</f>
        <v>2.7777777777777781</v>
      </c>
      <c r="F218" s="1">
        <f ca="1">IF(AND([1]Variáveis!$E$43=8,[1]Variáveis!$L$43=1),[1]Variáveis!AB$42,F218)</f>
        <v>52.579106454717142</v>
      </c>
      <c r="G218" s="1">
        <f ca="1">IF(AND([1]Variáveis!$E$43=8,[1]Variáveis!$L$43=1),[1]Variáveis!AC$42,G218)</f>
        <v>46.595082105882923</v>
      </c>
      <c r="H218" s="1">
        <f ca="1">IF(AND([1]Variáveis!$E$43=8,[1]Variáveis!$L$43=1),[1]Variáveis!AD$42,H218)</f>
        <v>46.595082105882923</v>
      </c>
      <c r="I218" s="1">
        <f ca="1">IF(AND([1]Variáveis!$E$43=8,[1]Variáveis!$L$43=1),[1]Variáveis!AE$42,I218)</f>
        <v>2.5860792007471516</v>
      </c>
      <c r="J218" s="1">
        <f ca="1">IF(AND([1]Variáveis!$E$43=8,[1]Variáveis!$L$43=1),[1]Variáveis!AF$42,J218)</f>
        <v>18.01765471545535</v>
      </c>
      <c r="K218" s="1">
        <f ca="1">IF(AND([1]Variáveis!$E$43=8,[1]Variáveis!$L$43=1),[1]Variáveis!AG$42,K218)</f>
        <v>14.985344526386626</v>
      </c>
      <c r="L218" s="1">
        <f ca="1">IF(AND([1]Variáveis!$E$43=8,[1]Variáveis!$L$43=1),[1]Variáveis!AH$42,L218)</f>
        <v>38.753287795718627</v>
      </c>
      <c r="M218" s="1">
        <f ca="1">IF(AND([1]Variáveis!$E$43=8,[1]Variáveis!$L$43=1),[1]Variáveis!AI$42,M218)</f>
        <v>52.579106454717142</v>
      </c>
      <c r="N218" s="1">
        <f ca="1">IF(AND([1]Variáveis!$E$43=8,[1]Variáveis!$L$43=1),[1]Variáveis!AJ$42,N218)</f>
        <v>0.30499999999999999</v>
      </c>
      <c r="O218" s="103">
        <f t="shared" ca="1" si="13"/>
        <v>4.5882770015295993</v>
      </c>
      <c r="P218" s="1">
        <f ca="1">IF(AND([1]Variáveis!$E$43=8,[1]Variáveis!$L$43=1),[1]Variáveis!AK$42,P218)</f>
        <v>0.65</v>
      </c>
      <c r="Q218" s="1">
        <f ca="1">IF(AND([1]Variáveis!$E$43=8,[1]Variáveis!$L$43=1),[1]Variáveis!AL$42,Q218)</f>
        <v>10.494076691270317</v>
      </c>
      <c r="R218" s="1"/>
    </row>
    <row r="219" spans="2:39">
      <c r="D219" s="1">
        <f ca="1">IF(AND([1]Variáveis!$E$43=9,[1]Variáveis!$L$43=1),[1]Variáveis!Z$42,D219)</f>
        <v>0.18947368421052629</v>
      </c>
      <c r="E219" s="1">
        <f ca="1">IF(AND([1]Variáveis!$E$43=9,[1]Variáveis!$L$43=1),[1]Variáveis!AA$42,E219)</f>
        <v>2.8888888888888893</v>
      </c>
      <c r="F219" s="1">
        <f ca="1">IF(AND([1]Variáveis!$E$43=9,[1]Variáveis!$L$43=1),[1]Variáveis!AB$42,F219)</f>
        <v>52.038860817562281</v>
      </c>
      <c r="G219" s="1">
        <f ca="1">IF(AND([1]Variáveis!$E$43=9,[1]Variáveis!$L$43=1),[1]Variáveis!AC$42,G219)</f>
        <v>46.773909369556115</v>
      </c>
      <c r="H219" s="1">
        <f ca="1">IF(AND([1]Variáveis!$E$43=9,[1]Variáveis!$L$43=1),[1]Variáveis!AD$42,H219)</f>
        <v>46.773909369556122</v>
      </c>
      <c r="I219" s="1">
        <f ca="1">IF(AND([1]Variáveis!$E$43=9,[1]Variáveis!$L$43=1),[1]Variáveis!AE$42,I219)</f>
        <v>2.5543735989879512</v>
      </c>
      <c r="J219" s="1">
        <f ca="1">IF(AND([1]Variáveis!$E$43=9,[1]Variáveis!$L$43=1),[1]Variáveis!AF$42,J219)</f>
        <v>18.311303165710786</v>
      </c>
      <c r="K219" s="1">
        <f ca="1">IF(AND([1]Variáveis!$E$43=9,[1]Variáveis!$L$43=1),[1]Variáveis!AG$42,K219)</f>
        <v>15.02595271924211</v>
      </c>
      <c r="L219" s="1">
        <f ca="1">IF(AND([1]Variáveis!$E$43=9,[1]Variáveis!$L$43=1),[1]Variáveis!AH$42,L219)</f>
        <v>38.38189692567326</v>
      </c>
      <c r="M219" s="1">
        <f ca="1">IF(AND([1]Variáveis!$E$43=9,[1]Variáveis!$L$43=1),[1]Variáveis!AI$42,M219)</f>
        <v>52.038860817562281</v>
      </c>
      <c r="N219" s="1">
        <f ca="1">IF(AND([1]Variáveis!$E$43=9,[1]Variáveis!$L$43=1),[1]Variáveis!AJ$42,N219)</f>
        <v>0.30499999999999999</v>
      </c>
      <c r="O219" s="103">
        <f t="shared" ca="1" si="13"/>
        <v>4.5694283448178101</v>
      </c>
      <c r="P219" s="1">
        <f ca="1">IF(AND([1]Variáveis!$E$43=9,[1]Variáveis!$L$43=1),[1]Variáveis!AK$42,P219)</f>
        <v>0.65</v>
      </c>
      <c r="Q219" s="1">
        <f ca="1">IF(AND([1]Variáveis!$E$43=9,[1]Variáveis!$L$43=1),[1]Variáveis!AL$42,Q219)</f>
        <v>10.522616478091582</v>
      </c>
      <c r="R219" s="1"/>
    </row>
    <row r="220" spans="2:39">
      <c r="D220" s="1">
        <f ca="1">IF(AND([1]Variáveis!$E$43=10,[1]Variáveis!$L$43=1),[1]Variáveis!Z$42,D220)</f>
        <v>0.18947368421052629</v>
      </c>
      <c r="E220" s="1">
        <f ca="1">IF(AND([1]Variáveis!$E$43=10,[1]Variáveis!$L$43=1),[1]Variáveis!AA$42,E220)</f>
        <v>3</v>
      </c>
      <c r="F220" s="1">
        <f ca="1">IF(AND([1]Variáveis!$E$43=10,[1]Variáveis!$L$43=1),[1]Variáveis!AB$42,F220)</f>
        <v>52.133128869047965</v>
      </c>
      <c r="G220" s="1">
        <f ca="1">IF(AND([1]Variáveis!$E$43=10,[1]Variáveis!$L$43=1),[1]Variáveis!AC$42,G220)</f>
        <v>48.028389869440218</v>
      </c>
      <c r="H220" s="1">
        <f ca="1">IF(AND([1]Variáveis!$E$43=10,[1]Variáveis!$L$43=1),[1]Variáveis!AD$42,H220)</f>
        <v>48.028389869440204</v>
      </c>
      <c r="I220" s="1">
        <f ca="1">IF(AND([1]Variáveis!$E$43=10,[1]Variáveis!$L$43=1),[1]Variáveis!AE$42,I220)</f>
        <v>2.5707603073017595</v>
      </c>
      <c r="J220" s="1">
        <f ca="1">IF(AND([1]Variáveis!$E$43=10,[1]Variáveis!$L$43=1),[1]Variáveis!AF$42,J220)</f>
        <v>18.682562404991483</v>
      </c>
      <c r="K220" s="1">
        <f ca="1">IF(AND([1]Variáveis!$E$43=10,[1]Variáveis!$L$43=1),[1]Variáveis!AG$42,K220)</f>
        <v>14.94143163460426</v>
      </c>
      <c r="L220" s="1">
        <f ca="1">IF(AND([1]Variáveis!$E$43=10,[1]Variáveis!$L$43=1),[1]Variáveis!AH$42,L220)</f>
        <v>38.410839380503482</v>
      </c>
      <c r="M220" s="1">
        <f ca="1">IF(AND([1]Variáveis!$E$43=10,[1]Variáveis!$L$43=1),[1]Variáveis!AI$42,M220)</f>
        <v>52.133128869047965</v>
      </c>
      <c r="N220" s="1">
        <f ca="1">IF(AND([1]Variáveis!$E$43=10,[1]Variáveis!$L$43=1),[1]Variáveis!AJ$42,N220)</f>
        <v>0.30499999999999999</v>
      </c>
      <c r="O220" s="103">
        <f t="shared" ca="1" si="13"/>
        <v>4.5663259206082936</v>
      </c>
      <c r="P220" s="1">
        <f ca="1">IF(AND([1]Variáveis!$E$43=10,[1]Variáveis!$L$43=1),[1]Variáveis!AK$42,P220)</f>
        <v>0.65</v>
      </c>
      <c r="Q220" s="1">
        <f ca="1">IF(AND([1]Variáveis!$E$43=10,[1]Variáveis!$L$43=1),[1]Variáveis!AL$42,Q220)</f>
        <v>10.463469493721</v>
      </c>
      <c r="R220" s="1"/>
    </row>
    <row r="221" spans="2:39">
      <c r="B221" s="100" t="s">
        <v>603</v>
      </c>
      <c r="C221" s="100"/>
      <c r="D221" s="100" t="s">
        <v>610</v>
      </c>
      <c r="E221" s="103"/>
      <c r="F221" s="103"/>
      <c r="G221" s="1"/>
      <c r="H221" s="100" t="s">
        <v>605</v>
      </c>
      <c r="I221" s="100">
        <f>I210</f>
        <v>10</v>
      </c>
      <c r="J221" s="100" t="s">
        <v>606</v>
      </c>
      <c r="K221" s="100">
        <v>1</v>
      </c>
      <c r="L221" s="103"/>
      <c r="M221" s="103"/>
      <c r="N221" s="100"/>
      <c r="O221" s="103"/>
      <c r="P221" s="100"/>
    </row>
    <row r="222" spans="2:39">
      <c r="C222" s="100"/>
      <c r="D222" s="1">
        <f ca="1">IF(AND([1]Variáveis!$E$43=1,[1]Variáveis!$L$43=1),[1]Variáveis!Z$43,D222)</f>
        <v>0.29210526315789481</v>
      </c>
      <c r="E222" s="1">
        <f ca="1">IF(AND([1]Variáveis!$E$43=1,[1]Variáveis!$L$43=1),[1]Variáveis!AA$43,E222)</f>
        <v>2</v>
      </c>
      <c r="F222" s="1">
        <f ca="1">IF(AND([1]Variáveis!$E$43=1,[1]Variáveis!$L$43=1),[1]Variáveis!AB$43,F222)</f>
        <v>74.900702884866675</v>
      </c>
      <c r="G222" s="1">
        <f ca="1">IF(AND([1]Variáveis!$E$43=1,[1]Variáveis!$L$43=1),[1]Variáveis!AC$43,G222)</f>
        <v>51.46347211476445</v>
      </c>
      <c r="H222" s="1">
        <f ca="1">IF(AND([1]Variáveis!$E$43=1,[1]Variáveis!$L$43=1),[1]Variáveis!AD$43,H222)</f>
        <v>51.463472114764464</v>
      </c>
      <c r="I222" s="1">
        <f ca="1">IF(AND([1]Variáveis!$E$43=1,[1]Variáveis!$L$43=1),[1]Variáveis!AE$43,I222)</f>
        <v>3.5632068843550018</v>
      </c>
      <c r="J222" s="1">
        <f ca="1">IF(AND([1]Variáveis!$E$43=1,[1]Variáveis!$L$43=1),[1]Variáveis!AF$43,J222)</f>
        <v>14.443021072036402</v>
      </c>
      <c r="K222" s="1">
        <f ca="1">IF(AND([1]Variáveis!$E$43=1,[1]Variáveis!$L$43=1),[1]Variáveis!AG$43,K222)</f>
        <v>15.259433367753834</v>
      </c>
      <c r="L222" s="1">
        <f ca="1">IF(AND([1]Variáveis!$E$43=1,[1]Variáveis!$L$43=1),[1]Variáveis!AH$43,L222)</f>
        <v>54.372518027336888</v>
      </c>
      <c r="M222" s="1">
        <f ca="1">IF(AND([1]Variáveis!$E$43=1,[1]Variáveis!$L$43=1),[1]Variáveis!AI$43,M222)</f>
        <v>74.900702884866675</v>
      </c>
      <c r="N222" s="1">
        <f ca="1">IF(AND([1]Variáveis!$E$43=1,[1]Variáveis!$L$43=1),[1]Variáveis!AJ$43,N222)</f>
        <v>0.30499999999999999</v>
      </c>
      <c r="O222" s="103">
        <f t="shared" ca="1" si="13"/>
        <v>5.3528278403221483</v>
      </c>
      <c r="P222" s="1">
        <f ca="1">IF(AND([1]Variáveis!$E$43=1,[1]Variáveis!$L$43=1),[1]Variáveis!AK$43,P222)</f>
        <v>0.65</v>
      </c>
      <c r="Q222" s="1">
        <f ca="1">IF(AND([1]Variáveis!$E$43=1,[1]Variáveis!$L$43=1),[1]Variáveis!AL$43,Q222)</f>
        <v>10.683821635968679</v>
      </c>
      <c r="R222" s="1"/>
    </row>
    <row r="223" spans="2:39">
      <c r="D223" s="1">
        <f ca="1">IF(AND([1]Variáveis!$E$43=2,[1]Variáveis!$L$43=1),[1]Variáveis!Z$43,D223)</f>
        <v>0.29210526315789481</v>
      </c>
      <c r="E223" s="1">
        <f ca="1">IF(AND([1]Variáveis!$E$43=2,[1]Variáveis!$L$43=1),[1]Variáveis!AA$43,E223)</f>
        <v>2.1111111111111112</v>
      </c>
      <c r="F223" s="1">
        <f ca="1">IF(AND([1]Variáveis!$E$43=2,[1]Variáveis!$L$43=1),[1]Variáveis!AB$43,F223)</f>
        <v>73.108349321909856</v>
      </c>
      <c r="G223" s="1">
        <f ca="1">IF(AND([1]Variáveis!$E$43=2,[1]Variáveis!$L$43=1),[1]Variáveis!AC$43,G223)</f>
        <v>52.783184195989953</v>
      </c>
      <c r="H223" s="1">
        <f ca="1">IF(AND([1]Variáveis!$E$43=2,[1]Variáveis!$L$43=1),[1]Variáveis!AD$43,H223)</f>
        <v>52.783184195989961</v>
      </c>
      <c r="I223" s="1">
        <f ca="1">IF(AND([1]Variáveis!$E$43=2,[1]Variáveis!$L$43=1),[1]Variáveis!AE$43,I223)</f>
        <v>3.5234796577228411</v>
      </c>
      <c r="J223" s="1">
        <f ca="1">IF(AND([1]Variáveis!$E$43=2,[1]Variáveis!$L$43=1),[1]Variáveis!AF$43,J223)</f>
        <v>14.980414057535029</v>
      </c>
      <c r="K223" s="1">
        <f ca="1">IF(AND([1]Variáveis!$E$43=2,[1]Variáveis!$L$43=1),[1]Variáveis!AG$43,K223)</f>
        <v>15.041262088454628</v>
      </c>
      <c r="L223" s="1">
        <f ca="1">IF(AND([1]Variáveis!$E$43=2,[1]Variáveis!$L$43=1),[1]Variáveis!AH$43,L223)</f>
        <v>52.997580995147658</v>
      </c>
      <c r="M223" s="1">
        <f ca="1">IF(AND([1]Variáveis!$E$43=2,[1]Variáveis!$L$43=1),[1]Variáveis!AI$43,M223)</f>
        <v>73.108349321909856</v>
      </c>
      <c r="N223" s="1">
        <f ca="1">IF(AND([1]Variáveis!$E$43=2,[1]Variáveis!$L$43=1),[1]Variáveis!AJ$43,N223)</f>
        <v>0.30499999999999999</v>
      </c>
      <c r="O223" s="103">
        <f t="shared" ca="1" si="13"/>
        <v>5.2773645155456723</v>
      </c>
      <c r="P223" s="1">
        <f ca="1">IF(AND([1]Variáveis!$E$43=2,[1]Variáveis!$L$43=1),[1]Variáveis!AK$43,P223)</f>
        <v>0.65</v>
      </c>
      <c r="Q223" s="1">
        <f ca="1">IF(AND([1]Variáveis!$E$43=2,[1]Variáveis!$L$43=1),[1]Variáveis!AL$43,Q223)</f>
        <v>10.53135692961634</v>
      </c>
      <c r="R223" s="1"/>
    </row>
    <row r="224" spans="2:39">
      <c r="D224" s="1">
        <f ca="1">IF(AND([1]Variáveis!$E$43=3,[1]Variáveis!$L$43=1),[1]Variáveis!Z$43,D224)</f>
        <v>0.28421052631578952</v>
      </c>
      <c r="E224" s="1">
        <f ca="1">IF(AND([1]Variáveis!$E$43=3,[1]Variáveis!$L$43=1),[1]Variáveis!AA$43,E224)</f>
        <v>2.2222222222222223</v>
      </c>
      <c r="F224" s="1">
        <f ca="1">IF(AND([1]Variáveis!$E$43=3,[1]Variáveis!$L$43=1),[1]Variáveis!AB$43,F224)</f>
        <v>69.426416282923384</v>
      </c>
      <c r="G224" s="1">
        <f ca="1">IF(AND([1]Variáveis!$E$43=3,[1]Variáveis!$L$43=1),[1]Variáveis!AC$43,G224)</f>
        <v>52.800591365676176</v>
      </c>
      <c r="H224" s="1">
        <f ca="1">IF(AND([1]Variáveis!$E$43=3,[1]Variáveis!$L$43=1),[1]Variáveis!AD$43,H224)</f>
        <v>52.800591365676162</v>
      </c>
      <c r="I224" s="1">
        <f ca="1">IF(AND([1]Variáveis!$E$43=3,[1]Variáveis!$L$43=1),[1]Variáveis!AE$43,I224)</f>
        <v>3.3886131893780691</v>
      </c>
      <c r="J224" s="1">
        <f ca="1">IF(AND([1]Variáveis!$E$43=3,[1]Variáveis!$L$43=1),[1]Variáveis!AF$43,J224)</f>
        <v>15.581770008800252</v>
      </c>
      <c r="K224" s="1">
        <f ca="1">IF(AND([1]Variáveis!$E$43=3,[1]Variáveis!$L$43=1),[1]Variáveis!AG$43,K224)</f>
        <v>14.864563497745099</v>
      </c>
      <c r="L224" s="1">
        <f ca="1">IF(AND([1]Variáveis!$E$43=3,[1]Variáveis!$L$43=1),[1]Variáveis!AH$43,L224)</f>
        <v>50.370255922806848</v>
      </c>
      <c r="M224" s="1">
        <f ca="1">IF(AND([1]Variáveis!$E$43=3,[1]Variáveis!$L$43=1),[1]Variáveis!AI$43,M224)</f>
        <v>69.426416282923384</v>
      </c>
      <c r="N224" s="1">
        <f ca="1">IF(AND([1]Variáveis!$E$43=3,[1]Variáveis!$L$43=1),[1]Variáveis!AJ$43,N224)</f>
        <v>0.30499999999999999</v>
      </c>
      <c r="O224" s="103">
        <f t="shared" ca="1" si="13"/>
        <v>5.1491612005605845</v>
      </c>
      <c r="P224" s="1">
        <f ca="1">IF(AND([1]Variáveis!$E$43=3,[1]Variáveis!$L$43=1),[1]Variáveis!AK$43,P224)</f>
        <v>0.65</v>
      </c>
      <c r="Q224" s="1">
        <f ca="1">IF(AND([1]Variáveis!$E$43=3,[1]Variáveis!$L$43=1),[1]Variáveis!AL$43,Q224)</f>
        <v>10.408001516433762</v>
      </c>
      <c r="R224" s="1"/>
    </row>
    <row r="225" spans="2:18">
      <c r="D225" s="1">
        <f ca="1">IF(AND([1]Variáveis!$E$43=4,[1]Variáveis!$L$43=1),[1]Variáveis!Z$43,D225)</f>
        <v>0.28421052631578952</v>
      </c>
      <c r="E225" s="1">
        <f ca="1">IF(AND([1]Variáveis!$E$43=4,[1]Variáveis!$L$43=1),[1]Variáveis!AA$43,E225)</f>
        <v>2.3333333333333335</v>
      </c>
      <c r="F225" s="1">
        <f ca="1">IF(AND([1]Variáveis!$E$43=4,[1]Variáveis!$L$43=1),[1]Variáveis!AB$43,F225)</f>
        <v>68.728502111860209</v>
      </c>
      <c r="G225" s="1">
        <f ca="1">IF(AND([1]Variáveis!$E$43=4,[1]Variáveis!$L$43=1),[1]Variáveis!AC$43,G225)</f>
        <v>54.395439620748689</v>
      </c>
      <c r="H225" s="1">
        <f ca="1">IF(AND([1]Variáveis!$E$43=4,[1]Variáveis!$L$43=1),[1]Variáveis!AD$43,H225)</f>
        <v>54.395439620748689</v>
      </c>
      <c r="I225" s="1">
        <f ca="1">IF(AND([1]Variáveis!$E$43=4,[1]Variáveis!$L$43=1),[1]Variáveis!AE$43,I225)</f>
        <v>3.3821946831572962</v>
      </c>
      <c r="J225" s="1">
        <f ca="1">IF(AND([1]Variáveis!$E$43=4,[1]Variáveis!$L$43=1),[1]Variáveis!AF$43,J225)</f>
        <v>16.082882482084166</v>
      </c>
      <c r="K225" s="1">
        <f ca="1">IF(AND([1]Variáveis!$E$43=4,[1]Variáveis!$L$43=1),[1]Variáveis!AG$43,K225)</f>
        <v>14.723500776580799</v>
      </c>
      <c r="L225" s="1">
        <f ca="1">IF(AND([1]Variáveis!$E$43=4,[1]Variáveis!$L$43=1),[1]Variáveis!AH$43,L225)</f>
        <v>49.797746044013898</v>
      </c>
      <c r="M225" s="1">
        <f ca="1">IF(AND([1]Variáveis!$E$43=4,[1]Variáveis!$L$43=1),[1]Variáveis!AI$43,M225)</f>
        <v>68.728502111860209</v>
      </c>
      <c r="N225" s="1">
        <f ca="1">IF(AND([1]Variáveis!$E$43=4,[1]Variáveis!$L$43=1),[1]Variáveis!AJ$43,N225)</f>
        <v>0.30499999999999999</v>
      </c>
      <c r="O225" s="103">
        <f t="shared" ca="1" si="13"/>
        <v>5.113021868751372</v>
      </c>
      <c r="P225" s="1">
        <f ca="1">IF(AND([1]Variáveis!$E$43=4,[1]Variáveis!$L$43=1),[1]Variáveis!AK$43,P225)</f>
        <v>0.65</v>
      </c>
      <c r="Q225" s="1">
        <f ca="1">IF(AND([1]Variáveis!$E$43=4,[1]Variáveis!$L$43=1),[1]Variáveis!AL$43,Q225)</f>
        <v>10.309427515414971</v>
      </c>
      <c r="R225" s="1"/>
    </row>
    <row r="226" spans="2:18">
      <c r="D226" s="1">
        <f ca="1">IF(AND([1]Variáveis!$E$43=5,[1]Variáveis!$L$43=1),[1]Variáveis!Z$43,D226)</f>
        <v>0.28421052631578952</v>
      </c>
      <c r="E226" s="1">
        <f ca="1">IF(AND([1]Variáveis!$E$43=5,[1]Variáveis!$L$43=1),[1]Variáveis!AA$43,E226)</f>
        <v>2.4444444444444446</v>
      </c>
      <c r="F226" s="1">
        <f ca="1">IF(AND([1]Variáveis!$E$43=5,[1]Variáveis!$L$43=1),[1]Variáveis!AB$43,F226)</f>
        <v>68.420912581174989</v>
      </c>
      <c r="G226" s="1">
        <f ca="1">IF(AND([1]Variáveis!$E$43=5,[1]Variáveis!$L$43=1),[1]Variáveis!AC$43,G226)</f>
        <v>56.131798907432156</v>
      </c>
      <c r="H226" s="1">
        <f ca="1">IF(AND([1]Variáveis!$E$43=5,[1]Variáveis!$L$43=1),[1]Variáveis!AD$43,H226)</f>
        <v>56.131798907432149</v>
      </c>
      <c r="I226" s="1">
        <f ca="1">IF(AND([1]Variáveis!$E$43=5,[1]Variáveis!$L$43=1),[1]Variáveis!AE$43,I226)</f>
        <v>3.3881882360247895</v>
      </c>
      <c r="J226" s="1">
        <f ca="1">IF(AND([1]Variáveis!$E$43=5,[1]Variáveis!$L$43=1),[1]Variáveis!AF$43,J226)</f>
        <v>16.566906853229941</v>
      </c>
      <c r="K226" s="1">
        <f ca="1">IF(AND([1]Variáveis!$E$43=5,[1]Variáveis!$L$43=1),[1]Variáveis!AG$43,K226)</f>
        <v>14.612530540852971</v>
      </c>
      <c r="L226" s="1">
        <f ca="1">IF(AND([1]Variáveis!$E$43=5,[1]Variáveis!$L$43=1),[1]Variáveis!AH$43,L226)</f>
        <v>49.510004077070988</v>
      </c>
      <c r="M226" s="1">
        <f ca="1">IF(AND([1]Variáveis!$E$43=5,[1]Variáveis!$L$43=1),[1]Variáveis!AI$43,M226)</f>
        <v>68.420912581174989</v>
      </c>
      <c r="N226" s="1">
        <f ca="1">IF(AND([1]Variáveis!$E$43=5,[1]Variáveis!$L$43=1),[1]Variáveis!AJ$43,N226)</f>
        <v>0.30499999999999999</v>
      </c>
      <c r="O226" s="103">
        <f t="shared" ca="1" si="13"/>
        <v>5.0915566562996277</v>
      </c>
      <c r="P226" s="1">
        <f ca="1">IF(AND([1]Variáveis!$E$43=5,[1]Variáveis!$L$43=1),[1]Variáveis!AK$43,P226)</f>
        <v>0.65</v>
      </c>
      <c r="Q226" s="1">
        <f ca="1">IF(AND([1]Variáveis!$E$43=5,[1]Variáveis!$L$43=1),[1]Variáveis!AL$43,Q226)</f>
        <v>10.231895389037019</v>
      </c>
      <c r="R226" s="1"/>
    </row>
    <row r="227" spans="2:18">
      <c r="D227" s="1">
        <f ca="1">IF(AND([1]Variáveis!$E$43=6,[1]Variáveis!$L$43=1),[1]Variáveis!Z$43,D227)</f>
        <v>0.27631578947368424</v>
      </c>
      <c r="E227" s="1">
        <f ca="1">IF(AND([1]Variáveis!$E$43=6,[1]Variáveis!$L$43=1),[1]Variáveis!AA$43,E227)</f>
        <v>2.5555555555555558</v>
      </c>
      <c r="F227" s="1">
        <f ca="1">IF(AND([1]Variáveis!$E$43=6,[1]Variáveis!$L$43=1),[1]Variáveis!AB$43,F227)</f>
        <v>66.056218416797819</v>
      </c>
      <c r="G227" s="1">
        <f ca="1">IF(AND([1]Variáveis!$E$43=6,[1]Variáveis!$L$43=1),[1]Variáveis!AC$43,G227)</f>
        <v>56.357485292392546</v>
      </c>
      <c r="H227" s="1">
        <f ca="1">IF(AND([1]Variáveis!$E$43=6,[1]Variáveis!$L$43=1),[1]Variáveis!AD$43,H227)</f>
        <v>56.357485292392539</v>
      </c>
      <c r="I227" s="1">
        <f ca="1">IF(AND([1]Variáveis!$E$43=6,[1]Variáveis!$L$43=1),[1]Variáveis!AE$43,I227)</f>
        <v>3.2942866620378242</v>
      </c>
      <c r="J227" s="1">
        <f ca="1">IF(AND([1]Variáveis!$E$43=6,[1]Variáveis!$L$43=1),[1]Variáveis!AF$43,J227)</f>
        <v>17.107644559848403</v>
      </c>
      <c r="K227" s="1">
        <f ca="1">IF(AND([1]Variáveis!$E$43=6,[1]Variáveis!$L$43=1),[1]Variáveis!AG$43,K227)</f>
        <v>14.522834927441622</v>
      </c>
      <c r="L227" s="1">
        <f ca="1">IF(AND([1]Variáveis!$E$43=6,[1]Variáveis!$L$43=1),[1]Variáveis!AH$43,L227)</f>
        <v>47.842381396447983</v>
      </c>
      <c r="M227" s="1">
        <f ca="1">IF(AND([1]Variáveis!$E$43=6,[1]Variáveis!$L$43=1),[1]Variáveis!AI$43,M227)</f>
        <v>66.056218416797819</v>
      </c>
      <c r="N227" s="1">
        <f ca="1">IF(AND([1]Variáveis!$E$43=6,[1]Variáveis!$L$43=1),[1]Variáveis!AJ$43,N227)</f>
        <v>0.30499999999999999</v>
      </c>
      <c r="O227" s="103">
        <f t="shared" ca="1" si="13"/>
        <v>5.0096279781753505</v>
      </c>
      <c r="P227" s="1">
        <f ca="1">IF(AND([1]Variáveis!$E$43=6,[1]Variáveis!$L$43=1),[1]Variáveis!AK$43,P227)</f>
        <v>0.65</v>
      </c>
      <c r="Q227" s="1">
        <f ca="1">IF(AND([1]Variáveis!$E$43=6,[1]Variáveis!$L$43=1),[1]Variáveis!AL$43,Q227)</f>
        <v>10.169323539055673</v>
      </c>
      <c r="R227" s="1"/>
    </row>
    <row r="228" spans="2:18">
      <c r="D228" s="1">
        <f ca="1">IF(AND([1]Variáveis!$E$43=7,[1]Variáveis!$L$43=1),[1]Variáveis!Z$43,D228)</f>
        <v>0.27631578947368424</v>
      </c>
      <c r="E228" s="1">
        <f ca="1">IF(AND([1]Variáveis!$E$43=7,[1]Variáveis!$L$43=1),[1]Variáveis!AA$43,E228)</f>
        <v>2.666666666666667</v>
      </c>
      <c r="F228" s="1">
        <f ca="1">IF(AND([1]Variáveis!$E$43=7,[1]Variáveis!$L$43=1),[1]Variáveis!AB$43,F228)</f>
        <v>66.291370807141405</v>
      </c>
      <c r="G228" s="1">
        <f ca="1">IF(AND([1]Variáveis!$E$43=7,[1]Variáveis!$L$43=1),[1]Variáveis!AC$43,G228)</f>
        <v>58.252610576682557</v>
      </c>
      <c r="H228" s="1">
        <f ca="1">IF(AND([1]Variáveis!$E$43=7,[1]Variáveis!$L$43=1),[1]Variáveis!AD$43,H228)</f>
        <v>58.252610576682557</v>
      </c>
      <c r="I228" s="1">
        <f ca="1">IF(AND([1]Variáveis!$E$43=7,[1]Variáveis!$L$43=1),[1]Variáveis!AE$43,I228)</f>
        <v>3.3175767914474208</v>
      </c>
      <c r="J228" s="1">
        <f ca="1">IF(AND([1]Variáveis!$E$43=7,[1]Variáveis!$L$43=1),[1]Variáveis!AF$43,J228)</f>
        <v>17.558782882390375</v>
      </c>
      <c r="K228" s="1">
        <f ca="1">IF(AND([1]Variáveis!$E$43=7,[1]Variáveis!$L$43=1),[1]Variáveis!AG$43,K228)</f>
        <v>14.453943506322227</v>
      </c>
      <c r="L228" s="1">
        <f ca="1">IF(AND([1]Variáveis!$E$43=7,[1]Variáveis!$L$43=1),[1]Variáveis!AH$43,L228)</f>
        <v>47.95206752146678</v>
      </c>
      <c r="M228" s="1">
        <f ca="1">IF(AND([1]Variáveis!$E$43=7,[1]Variáveis!$L$43=1),[1]Variáveis!AI$43,M228)</f>
        <v>66.291370807141405</v>
      </c>
      <c r="N228" s="1">
        <f ca="1">IF(AND([1]Variáveis!$E$43=7,[1]Variáveis!$L$43=1),[1]Variáveis!AJ$43,N228)</f>
        <v>0.30499999999999999</v>
      </c>
      <c r="O228" s="103">
        <f t="shared" ca="1" si="13"/>
        <v>5.0090343050546373</v>
      </c>
      <c r="P228" s="1">
        <f ca="1">IF(AND([1]Variáveis!$E$43=7,[1]Variáveis!$L$43=1),[1]Variáveis!AK$43,P228)</f>
        <v>0.65</v>
      </c>
      <c r="Q228" s="1">
        <f ca="1">IF(AND([1]Variáveis!$E$43=7,[1]Variáveis!$L$43=1),[1]Variáveis!AL$43,Q228)</f>
        <v>10.121205787471226</v>
      </c>
      <c r="R228" s="1"/>
    </row>
    <row r="229" spans="2:18">
      <c r="D229" s="1">
        <f ca="1">IF(AND([1]Variáveis!$E$43=8,[1]Variáveis!$L$43=1),[1]Variáveis!Z$43,D229)</f>
        <v>0.26842105263157895</v>
      </c>
      <c r="E229" s="1">
        <f ca="1">IF(AND([1]Variáveis!$E$43=8,[1]Variáveis!$L$43=1),[1]Variáveis!AA$43,E229)</f>
        <v>2.7777777777777781</v>
      </c>
      <c r="F229" s="1">
        <f ca="1">IF(AND([1]Variáveis!$E$43=8,[1]Variáveis!$L$43=1),[1]Variáveis!AB$43,F229)</f>
        <v>64.477508042465232</v>
      </c>
      <c r="G229" s="1">
        <f ca="1">IF(AND([1]Variáveis!$E$43=8,[1]Variáveis!$L$43=1),[1]Variáveis!AC$43,G229)</f>
        <v>58.526847533424437</v>
      </c>
      <c r="H229" s="1">
        <f ca="1">IF(AND([1]Variáveis!$E$43=8,[1]Variáveis!$L$43=1),[1]Variáveis!AD$43,H229)</f>
        <v>58.52684753342443</v>
      </c>
      <c r="I229" s="1">
        <f ca="1">IF(AND([1]Variáveis!$E$43=8,[1]Variáveis!$L$43=1),[1]Variáveis!AE$43,I229)</f>
        <v>3.241440977522057</v>
      </c>
      <c r="J229" s="1">
        <f ca="1">IF(AND([1]Variáveis!$E$43=8,[1]Variáveis!$L$43=1),[1]Variáveis!AF$43,J229)</f>
        <v>18.055811578641084</v>
      </c>
      <c r="K229" s="1">
        <f ca="1">IF(AND([1]Variáveis!$E$43=8,[1]Variáveis!$L$43=1),[1]Variáveis!AG$43,K229)</f>
        <v>14.402195271737025</v>
      </c>
      <c r="L229" s="1">
        <f ca="1">IF(AND([1]Variáveis!$E$43=8,[1]Variáveis!$L$43=1),[1]Variáveis!AH$43,L229)</f>
        <v>46.683865920082809</v>
      </c>
      <c r="M229" s="1">
        <f ca="1">IF(AND([1]Variáveis!$E$43=8,[1]Variáveis!$L$43=1),[1]Variáveis!AI$43,M229)</f>
        <v>64.477508042465232</v>
      </c>
      <c r="N229" s="1">
        <f ca="1">IF(AND([1]Variáveis!$E$43=8,[1]Variáveis!$L$43=1),[1]Variáveis!AJ$43,N229)</f>
        <v>0.30499999999999999</v>
      </c>
      <c r="O229" s="103">
        <f t="shared" ca="1" si="13"/>
        <v>4.9470007395492246</v>
      </c>
      <c r="P229" s="1">
        <f ca="1">IF(AND([1]Variáveis!$E$43=8,[1]Variáveis!$L$43=1),[1]Variáveis!AK$43,P229)</f>
        <v>0.65</v>
      </c>
      <c r="Q229" s="1">
        <f ca="1">IF(AND([1]Variáveis!$E$43=8,[1]Variáveis!$L$43=1),[1]Variáveis!AL$43,Q229)</f>
        <v>10.085148673815072</v>
      </c>
      <c r="R229" s="1"/>
    </row>
    <row r="230" spans="2:18">
      <c r="D230" s="1">
        <f ca="1">IF(AND([1]Variáveis!$E$43=9,[1]Variáveis!$L$43=1),[1]Variáveis!Z$43,D230)</f>
        <v>0.26842105263157895</v>
      </c>
      <c r="E230" s="1">
        <f ca="1">IF(AND([1]Variáveis!$E$43=9,[1]Variáveis!$L$43=1),[1]Variáveis!AA$43,E230)</f>
        <v>2.8888888888888893</v>
      </c>
      <c r="F230" s="1">
        <f ca="1">IF(AND([1]Variáveis!$E$43=9,[1]Variáveis!$L$43=1),[1]Variáveis!AB$43,F230)</f>
        <v>65.088960850776999</v>
      </c>
      <c r="G230" s="1">
        <f ca="1">IF(AND([1]Variáveis!$E$43=9,[1]Variáveis!$L$43=1),[1]Variáveis!AC$43,G230)</f>
        <v>60.544251828914405</v>
      </c>
      <c r="H230" s="1">
        <f ca="1">IF(AND([1]Variáveis!$E$43=9,[1]Variáveis!$L$43=1),[1]Variáveis!AD$43,H230)</f>
        <v>60.544251828914398</v>
      </c>
      <c r="I230" s="1">
        <f ca="1">IF(AND([1]Variáveis!$E$43=9,[1]Variáveis!$L$43=1),[1]Variáveis!AE$43,I230)</f>
        <v>3.2769294850054802</v>
      </c>
      <c r="J230" s="1">
        <f ca="1">IF(AND([1]Variáveis!$E$43=9,[1]Variáveis!$L$43=1),[1]Variáveis!AF$43,J230)</f>
        <v>18.475909263825109</v>
      </c>
      <c r="K230" s="1">
        <f ca="1">IF(AND([1]Variáveis!$E$43=9,[1]Variáveis!$L$43=1),[1]Variáveis!AG$43,K230)</f>
        <v>14.363723092954052</v>
      </c>
      <c r="L230" s="1">
        <f ca="1">IF(AND([1]Variáveis!$E$43=9,[1]Variáveis!$L$43=1),[1]Variáveis!AH$43,L230)</f>
        <v>47.068907717755245</v>
      </c>
      <c r="M230" s="1">
        <f ca="1">IF(AND([1]Variáveis!$E$43=9,[1]Variáveis!$L$43=1),[1]Variáveis!AI$43,M230)</f>
        <v>65.088960850776999</v>
      </c>
      <c r="N230" s="1">
        <f ca="1">IF(AND([1]Variáveis!$E$43=9,[1]Variáveis!$L$43=1),[1]Variáveis!AJ$43,N230)</f>
        <v>0.30499999999999999</v>
      </c>
      <c r="O230" s="103">
        <f t="shared" ca="1" si="13"/>
        <v>4.9612811900882088</v>
      </c>
      <c r="P230" s="1">
        <f ca="1">IF(AND([1]Variáveis!$E$43=9,[1]Variáveis!$L$43=1),[1]Variáveis!AK$43,P230)</f>
        <v>0.65</v>
      </c>
      <c r="Q230" s="1">
        <f ca="1">IF(AND([1]Variáveis!$E$43=9,[1]Variáveis!$L$43=1),[1]Variáveis!AL$43,Q230)</f>
        <v>10.058298675694186</v>
      </c>
      <c r="R230" s="1"/>
    </row>
    <row r="231" spans="2:18">
      <c r="D231" s="1">
        <f ca="1">IF(AND([1]Variáveis!$E$43=10,[1]Variáveis!$L$43=1),[1]Variáveis!Z$43,D231)</f>
        <v>0.26052631578947366</v>
      </c>
      <c r="E231" s="1">
        <f ca="1">IF(AND([1]Variáveis!$E$43=10,[1]Variáveis!$L$43=1),[1]Variáveis!AA$43,E231)</f>
        <v>3</v>
      </c>
      <c r="F231" s="1">
        <f ca="1">IF(AND([1]Variáveis!$E$43=10,[1]Variáveis!$L$43=1),[1]Variáveis!AB$43,F231)</f>
        <v>63.657135914674988</v>
      </c>
      <c r="G231" s="1">
        <f ca="1">IF(AND([1]Variáveis!$E$43=10,[1]Variáveis!$L$43=1),[1]Variáveis!AC$43,G231)</f>
        <v>60.822276736526689</v>
      </c>
      <c r="H231" s="1">
        <f ca="1">IF(AND([1]Variáveis!$E$43=10,[1]Variáveis!$L$43=1),[1]Variáveis!AD$43,H231)</f>
        <v>60.822276736526689</v>
      </c>
      <c r="I231" s="1">
        <f ca="1">IF(AND([1]Variáveis!$E$43=10,[1]Variáveis!$L$43=1),[1]Variáveis!AE$43,I231)</f>
        <v>3.2132853593374131</v>
      </c>
      <c r="J231" s="1">
        <f ca="1">IF(AND([1]Variáveis!$E$43=10,[1]Variáveis!$L$43=1),[1]Variáveis!AF$43,J231)</f>
        <v>18.928377014442436</v>
      </c>
      <c r="K231" s="1">
        <f ca="1">IF(AND([1]Variáveis!$E$43=10,[1]Variáveis!$L$43=1),[1]Variáveis!AG$43,K231)</f>
        <v>14.339801157861276</v>
      </c>
      <c r="L231" s="1">
        <f ca="1">IF(AND([1]Variáveis!$E$43=10,[1]Variáveis!$L$43=1),[1]Variáveis!AH$43,L231)</f>
        <v>46.077873116365325</v>
      </c>
      <c r="M231" s="1">
        <f ca="1">IF(AND([1]Variáveis!$E$43=10,[1]Variáveis!$L$43=1),[1]Variáveis!AI$43,M231)</f>
        <v>63.657135914674988</v>
      </c>
      <c r="N231" s="1">
        <f ca="1">IF(AND([1]Variáveis!$E$43=10,[1]Variáveis!$L$43=1),[1]Variáveis!AJ$43,N231)</f>
        <v>0.30499999999999999</v>
      </c>
      <c r="O231" s="103">
        <f t="shared" ca="1" si="13"/>
        <v>4.913506580028467</v>
      </c>
      <c r="P231" s="1">
        <f ca="1">IF(AND([1]Variáveis!$E$43=10,[1]Variáveis!$L$43=1),[1]Variáveis!AK$43,P231)</f>
        <v>0.65</v>
      </c>
      <c r="Q231" s="1">
        <f ca="1">IF(AND([1]Variáveis!$E$43=10,[1]Variáveis!$L$43=1),[1]Variáveis!AL$43,Q231)</f>
        <v>10.041687135993426</v>
      </c>
      <c r="R231" s="1"/>
    </row>
    <row r="232" spans="2:18">
      <c r="B232" s="100" t="s">
        <v>603</v>
      </c>
      <c r="C232" s="100"/>
      <c r="D232" s="100" t="s">
        <v>611</v>
      </c>
      <c r="E232" s="103"/>
      <c r="F232" s="103"/>
      <c r="G232" s="1"/>
      <c r="H232" s="100" t="s">
        <v>605</v>
      </c>
      <c r="I232" s="100">
        <f>I221</f>
        <v>10</v>
      </c>
      <c r="J232" s="100" t="s">
        <v>606</v>
      </c>
      <c r="K232" s="100">
        <v>1</v>
      </c>
      <c r="L232" s="103"/>
      <c r="M232" s="103"/>
      <c r="N232" s="100"/>
      <c r="O232" s="103"/>
      <c r="P232" s="100"/>
    </row>
    <row r="233" spans="2:18">
      <c r="C233" s="100"/>
      <c r="D233" s="1">
        <f ca="1">IF(AND([1]Variáveis!$E$43=1,[1]Variáveis!$L$43=1),[1]Variáveis!Z$44,D233)</f>
        <v>0.28421052631578952</v>
      </c>
      <c r="E233" s="1">
        <f ca="1">IF(AND([1]Variáveis!$E$43=1,[1]Variáveis!$L$43=1),[1]Variáveis!AA$44,E233)</f>
        <v>2</v>
      </c>
      <c r="F233" s="1">
        <f ca="1">IF(AND([1]Variáveis!$E$43=1,[1]Variáveis!$L$43=1),[1]Variáveis!AB$44,F233)</f>
        <v>72.366082115107801</v>
      </c>
      <c r="G233" s="1">
        <f ca="1">IF(AND([1]Variáveis!$E$43=1,[1]Variáveis!$L$43=1),[1]Variáveis!AC$44,G233)</f>
        <v>50.099124806018018</v>
      </c>
      <c r="H233" s="1">
        <f ca="1">IF(AND([1]Variáveis!$E$43=1,[1]Variáveis!$L$43=1),[1]Variáveis!AD$44,H233)</f>
        <v>50.099124806018018</v>
      </c>
      <c r="I233" s="1">
        <f ca="1">IF(AND([1]Variáveis!$E$43=1,[1]Variáveis!$L$43=1),[1]Variáveis!AE$44,I233)</f>
        <v>3.4492051493651426</v>
      </c>
      <c r="J233" s="1">
        <f ca="1">IF(AND([1]Variáveis!$E$43=1,[1]Variáveis!$L$43=1),[1]Variáveis!AF$44,J233)</f>
        <v>14.524831848647569</v>
      </c>
      <c r="K233" s="1">
        <f ca="1">IF(AND([1]Variáveis!$E$43=1,[1]Variáveis!$L$43=1),[1]Variáveis!AG$44,K233)</f>
        <v>15.263263243585156</v>
      </c>
      <c r="L233" s="1">
        <f ca="1">IF(AND([1]Variáveis!$E$43=1,[1]Variáveis!$L$43=1),[1]Variáveis!AH$44,L233)</f>
        <v>52.646126175889627</v>
      </c>
      <c r="M233" s="1">
        <f ca="1">IF(AND([1]Variáveis!$E$43=1,[1]Variáveis!$L$43=1),[1]Variáveis!AI$44,M233)</f>
        <v>72.366082115107801</v>
      </c>
      <c r="N233" s="1">
        <f ca="1">IF(AND([1]Variáveis!$E$43=1,[1]Variáveis!$L$43=1),[1]Variáveis!AJ$44,N233)</f>
        <v>0.30499999999999999</v>
      </c>
      <c r="O233" s="103">
        <f t="shared" ca="1" si="13"/>
        <v>5.2785491507427587</v>
      </c>
      <c r="P233" s="1">
        <f ca="1">IF(AND([1]Variáveis!$E$43=1,[1]Variáveis!$L$43=1),[1]Variáveis!AK$44,P233)</f>
        <v>0.65</v>
      </c>
      <c r="Q233" s="1">
        <f ca="1">IF(AND([1]Variáveis!$E$43=1,[1]Variáveis!$L$43=1),[1]Variáveis!AL$44,Q233)</f>
        <v>10.686654487554229</v>
      </c>
      <c r="R233" s="1"/>
    </row>
    <row r="234" spans="2:18">
      <c r="D234" s="1">
        <f ca="1">IF(AND([1]Variáveis!$E$43=2,[1]Variáveis!$L$43=1),[1]Variáveis!Z$44,D234)</f>
        <v>0.27631578947368424</v>
      </c>
      <c r="E234" s="1">
        <f ca="1">IF(AND([1]Variáveis!$E$43=2,[1]Variáveis!$L$43=1),[1]Variáveis!AA$44,E234)</f>
        <v>2.1111111111111112</v>
      </c>
      <c r="F234" s="1">
        <f ca="1">IF(AND([1]Variáveis!$E$43=2,[1]Variáveis!$L$43=1),[1]Variáveis!AB$44,F234)</f>
        <v>68.364558369158672</v>
      </c>
      <c r="G234" s="1">
        <f ca="1">IF(AND([1]Variáveis!$E$43=2,[1]Variáveis!$L$43=1),[1]Variáveis!AC$44,G234)</f>
        <v>50.039050109544505</v>
      </c>
      <c r="H234" s="1">
        <f ca="1">IF(AND([1]Variáveis!$E$43=2,[1]Variáveis!$L$43=1),[1]Variáveis!AD$44,H234)</f>
        <v>50.039050109544505</v>
      </c>
      <c r="I234" s="1">
        <f ca="1">IF(AND([1]Variáveis!$E$43=2,[1]Variáveis!$L$43=1),[1]Variáveis!AE$44,I234)</f>
        <v>3.3055725737772228</v>
      </c>
      <c r="J234" s="1">
        <f ca="1">IF(AND([1]Variáveis!$E$43=2,[1]Variáveis!$L$43=1),[1]Variáveis!AF$44,J234)</f>
        <v>15.137785963768968</v>
      </c>
      <c r="K234" s="1">
        <f ca="1">IF(AND([1]Variáveis!$E$43=2,[1]Variáveis!$L$43=1),[1]Variáveis!AG$44,K234)</f>
        <v>15.05729395939105</v>
      </c>
      <c r="L234" s="1">
        <f ca="1">IF(AND([1]Variáveis!$E$43=2,[1]Variáveis!$L$43=1),[1]Variáveis!AH$44,L234)</f>
        <v>49.772977947464504</v>
      </c>
      <c r="M234" s="1">
        <f ca="1">IF(AND([1]Variáveis!$E$43=2,[1]Variáveis!$L$43=1),[1]Variáveis!AI$44,M234)</f>
        <v>68.364558369158672</v>
      </c>
      <c r="N234" s="1">
        <f ca="1">IF(AND([1]Variáveis!$E$43=2,[1]Variáveis!$L$43=1),[1]Variáveis!AJ$44,N234)</f>
        <v>0.30499999999999999</v>
      </c>
      <c r="O234" s="103">
        <f t="shared" ca="1" si="13"/>
        <v>5.1364069602484879</v>
      </c>
      <c r="P234" s="1">
        <f ca="1">IF(AND([1]Variáveis!$E$43=2,[1]Variáveis!$L$43=1),[1]Variáveis!AK$44,P234)</f>
        <v>0.65</v>
      </c>
      <c r="Q234" s="1">
        <f ca="1">IF(AND([1]Variáveis!$E$43=2,[1]Variáveis!$L$43=1),[1]Variáveis!AL$44,Q234)</f>
        <v>10.542847085549022</v>
      </c>
      <c r="R234" s="1"/>
    </row>
    <row r="235" spans="2:18">
      <c r="D235" s="1">
        <f ca="1">IF(AND([1]Variáveis!$E$43=3,[1]Variáveis!$L$43=1),[1]Variáveis!Z$44,D235)</f>
        <v>0.26842105263157895</v>
      </c>
      <c r="E235" s="1">
        <f ca="1">IF(AND([1]Variáveis!$E$43=3,[1]Variáveis!$L$43=1),[1]Variáveis!AA$44,E235)</f>
        <v>2.2222222222222223</v>
      </c>
      <c r="F235" s="1">
        <f ca="1">IF(AND([1]Variáveis!$E$43=3,[1]Variáveis!$L$43=1),[1]Variáveis!AB$44,F235)</f>
        <v>65.179297291572524</v>
      </c>
      <c r="G235" s="1">
        <f ca="1">IF(AND([1]Variáveis!$E$43=3,[1]Variáveis!$L$43=1),[1]Variáveis!AC$44,G235)</f>
        <v>50.112959658665687</v>
      </c>
      <c r="H235" s="1">
        <f ca="1">IF(AND([1]Variáveis!$E$43=3,[1]Variáveis!$L$43=1),[1]Variáveis!AD$44,H235)</f>
        <v>50.112959658665694</v>
      </c>
      <c r="I235" s="1">
        <f ca="1">IF(AND([1]Variáveis!$E$43=3,[1]Variáveis!$L$43=1),[1]Variáveis!AE$44,I235)</f>
        <v>3.1871403438639314</v>
      </c>
      <c r="J235" s="1">
        <f ca="1">IF(AND([1]Variáveis!$E$43=3,[1]Variáveis!$L$43=1),[1]Variáveis!AF$44,J235)</f>
        <v>15.723486966975297</v>
      </c>
      <c r="K235" s="1">
        <f ca="1">IF(AND([1]Variáveis!$E$43=3,[1]Variáveis!$L$43=1),[1]Variáveis!AG$44,K235)</f>
        <v>14.900812958254297</v>
      </c>
      <c r="L235" s="1">
        <f ca="1">IF(AND([1]Variáveis!$E$43=3,[1]Variáveis!$L$43=1),[1]Variáveis!AH$44,L235)</f>
        <v>47.49098213562273</v>
      </c>
      <c r="M235" s="1">
        <f ca="1">IF(AND([1]Variáveis!$E$43=3,[1]Variáveis!$L$43=1),[1]Variáveis!AI$44,M235)</f>
        <v>65.179297291572524</v>
      </c>
      <c r="N235" s="1">
        <f ca="1">IF(AND([1]Variáveis!$E$43=3,[1]Variáveis!$L$43=1),[1]Variáveis!AJ$44,N235)</f>
        <v>0.30499999999999999</v>
      </c>
      <c r="O235" s="103">
        <f t="shared" ca="1" si="13"/>
        <v>5.0211945951390122</v>
      </c>
      <c r="P235" s="1">
        <f ca="1">IF(AND([1]Variáveis!$E$43=3,[1]Variáveis!$L$43=1),[1]Variáveis!AK$44,P235)</f>
        <v>0.65</v>
      </c>
      <c r="Q235" s="1">
        <f ca="1">IF(AND([1]Variáveis!$E$43=3,[1]Variáveis!$L$43=1),[1]Variáveis!AL$44,Q235)</f>
        <v>10.433614148227488</v>
      </c>
      <c r="R235" s="1"/>
    </row>
    <row r="236" spans="2:18">
      <c r="D236" s="1">
        <f ca="1">IF(AND([1]Variáveis!$E$43=4,[1]Variáveis!$L$43=1),[1]Variáveis!Z$44,D236)</f>
        <v>0.26052631578947366</v>
      </c>
      <c r="E236" s="1">
        <f ca="1">IF(AND([1]Variáveis!$E$43=4,[1]Variáveis!$L$43=1),[1]Variáveis!AA$44,E236)</f>
        <v>2.3333333333333335</v>
      </c>
      <c r="F236" s="1">
        <f ca="1">IF(AND([1]Variáveis!$E$43=4,[1]Variáveis!$L$43=1),[1]Variáveis!AB$44,F236)</f>
        <v>62.601549157528467</v>
      </c>
      <c r="G236" s="1">
        <f ca="1">IF(AND([1]Variáveis!$E$43=4,[1]Variáveis!$L$43=1),[1]Variáveis!AC$44,G236)</f>
        <v>50.271557389396584</v>
      </c>
      <c r="H236" s="1">
        <f ca="1">IF(AND([1]Variáveis!$E$43=4,[1]Variáveis!$L$43=1),[1]Variáveis!AD$44,H236)</f>
        <v>50.271557389396577</v>
      </c>
      <c r="I236" s="1">
        <f ca="1">IF(AND([1]Variáveis!$E$43=4,[1]Variáveis!$L$43=1),[1]Variáveis!AE$44,I236)</f>
        <v>3.087864213231978</v>
      </c>
      <c r="J236" s="1">
        <f ca="1">IF(AND([1]Variáveis!$E$43=4,[1]Variáveis!$L$43=1),[1]Variáveis!AF$44,J236)</f>
        <v>16.280365300383075</v>
      </c>
      <c r="K236" s="1">
        <f ca="1">IF(AND([1]Variáveis!$E$43=4,[1]Variáveis!$L$43=1),[1]Variáveis!AG$44,K236)</f>
        <v>14.783332431453612</v>
      </c>
      <c r="L236" s="1">
        <f ca="1">IF(AND([1]Variáveis!$E$43=4,[1]Variáveis!$L$43=1),[1]Variáveis!AH$44,L236)</f>
        <v>45.648923167397292</v>
      </c>
      <c r="M236" s="1">
        <f ca="1">IF(AND([1]Variáveis!$E$43=4,[1]Variáveis!$L$43=1),[1]Variáveis!AI$44,M236)</f>
        <v>62.601549157528467</v>
      </c>
      <c r="N236" s="1">
        <f ca="1">IF(AND([1]Variáveis!$E$43=4,[1]Variáveis!$L$43=1),[1]Variáveis!AJ$44,N236)</f>
        <v>0.30499999999999999</v>
      </c>
      <c r="O236" s="103">
        <f t="shared" ca="1" si="13"/>
        <v>4.9267522694230212</v>
      </c>
      <c r="P236" s="1">
        <f ca="1">IF(AND([1]Variáveis!$E$43=4,[1]Variáveis!$L$43=1),[1]Variáveis!AK$44,P236)</f>
        <v>0.65</v>
      </c>
      <c r="Q236" s="1">
        <f ca="1">IF(AND([1]Variáveis!$E$43=4,[1]Variáveis!$L$43=1),[1]Variáveis!AL$44,Q236)</f>
        <v>10.351630326753623</v>
      </c>
      <c r="R236" s="1"/>
    </row>
    <row r="237" spans="2:18">
      <c r="D237" s="1">
        <f ca="1">IF(AND([1]Variáveis!$E$43=5,[1]Variáveis!$L$43=1),[1]Variáveis!Z$44,D237)</f>
        <v>0.25263157894736837</v>
      </c>
      <c r="E237" s="1">
        <f ca="1">IF(AND([1]Variáveis!$E$43=5,[1]Variáveis!$L$43=1),[1]Variáveis!AA$44,E237)</f>
        <v>2.4444444444444446</v>
      </c>
      <c r="F237" s="1">
        <f ca="1">IF(AND([1]Variáveis!$E$43=5,[1]Variáveis!$L$43=1),[1]Variáveis!AB$44,F237)</f>
        <v>60.492640063040703</v>
      </c>
      <c r="G237" s="1">
        <f ca="1">IF(AND([1]Variáveis!$E$43=5,[1]Variáveis!$L$43=1),[1]Variáveis!AC$44,G237)</f>
        <v>50.48157309822691</v>
      </c>
      <c r="H237" s="1">
        <f ca="1">IF(AND([1]Variáveis!$E$43=5,[1]Variáveis!$L$43=1),[1]Variáveis!AD$44,H237)</f>
        <v>50.48157309822691</v>
      </c>
      <c r="I237" s="1">
        <f ca="1">IF(AND([1]Variáveis!$E$43=5,[1]Variáveis!$L$43=1),[1]Variáveis!AE$44,I237)</f>
        <v>3.0036352720792268</v>
      </c>
      <c r="J237" s="1">
        <f ca="1">IF(AND([1]Variáveis!$E$43=5,[1]Variáveis!$L$43=1),[1]Variáveis!AF$44,J237)</f>
        <v>16.806825238565569</v>
      </c>
      <c r="K237" s="1">
        <f ca="1">IF(AND([1]Variáveis!$E$43=5,[1]Variáveis!$L$43=1),[1]Variáveis!AG$44,K237)</f>
        <v>14.697656849664892</v>
      </c>
      <c r="L237" s="1">
        <f ca="1">IF(AND([1]Variáveis!$E$43=5,[1]Variáveis!$L$43=1),[1]Variáveis!AH$44,L237)</f>
        <v>44.146400530570318</v>
      </c>
      <c r="M237" s="1">
        <f ca="1">IF(AND([1]Variáveis!$E$43=5,[1]Variáveis!$L$43=1),[1]Variáveis!AI$44,M237)</f>
        <v>60.492640063040703</v>
      </c>
      <c r="N237" s="1">
        <f ca="1">IF(AND([1]Variáveis!$E$43=5,[1]Variáveis!$L$43=1),[1]Variáveis!AJ$44,N237)</f>
        <v>0.30499999999999999</v>
      </c>
      <c r="O237" s="103">
        <f t="shared" ca="1" si="13"/>
        <v>4.8488685424858859</v>
      </c>
      <c r="P237" s="1">
        <f ca="1">IF(AND([1]Variáveis!$E$43=5,[1]Variáveis!$L$43=1),[1]Variáveis!AK$44,P237)</f>
        <v>0.65</v>
      </c>
      <c r="Q237" s="1">
        <f ca="1">IF(AND([1]Variáveis!$E$43=5,[1]Variáveis!$L$43=1),[1]Variáveis!AL$44,Q237)</f>
        <v>10.291870479202119</v>
      </c>
      <c r="R237" s="1"/>
    </row>
    <row r="238" spans="2:18">
      <c r="D238" s="1">
        <f ca="1">IF(AND([1]Variáveis!$E$43=6,[1]Variáveis!$L$43=1),[1]Variáveis!Z$44,D238)</f>
        <v>0.23684210526315785</v>
      </c>
      <c r="E238" s="1">
        <f ca="1">IF(AND([1]Variáveis!$E$43=6,[1]Variáveis!$L$43=1),[1]Variáveis!AA$44,E238)</f>
        <v>2.5555555555555558</v>
      </c>
      <c r="F238" s="1">
        <f ca="1">IF(AND([1]Variáveis!$E$43=6,[1]Variáveis!$L$43=1),[1]Variáveis!AB$44,F238)</f>
        <v>57.404629908691412</v>
      </c>
      <c r="G238" s="1">
        <f ca="1">IF(AND([1]Variáveis!$E$43=6,[1]Variáveis!$L$43=1),[1]Variáveis!AC$44,G238)</f>
        <v>49.49860711491371</v>
      </c>
      <c r="H238" s="1">
        <f ca="1">IF(AND([1]Variáveis!$E$43=6,[1]Variáveis!$L$43=1),[1]Variáveis!AD$44,H238)</f>
        <v>49.49860711491371</v>
      </c>
      <c r="I238" s="1">
        <f ca="1">IF(AND([1]Variáveis!$E$43=6,[1]Variáveis!$L$43=1),[1]Variáveis!AE$44,I238)</f>
        <v>2.8577560737893357</v>
      </c>
      <c r="J238" s="1">
        <f ca="1">IF(AND([1]Variáveis!$E$43=6,[1]Variáveis!$L$43=1),[1]Variáveis!AF$44,J238)</f>
        <v>17.320795000281255</v>
      </c>
      <c r="K238" s="1">
        <f ca="1">IF(AND([1]Variáveis!$E$43=6,[1]Variáveis!$L$43=1),[1]Variáveis!AG$44,K238)</f>
        <v>14.700374467891619</v>
      </c>
      <c r="L238" s="1">
        <f ca="1">IF(AND([1]Variáveis!$E$43=6,[1]Variáveis!$L$43=1),[1]Variáveis!AH$44,L238)</f>
        <v>42.01008442259495</v>
      </c>
      <c r="M238" s="1">
        <f ca="1">IF(AND([1]Variáveis!$E$43=6,[1]Variáveis!$L$43=1),[1]Variáveis!AI$44,M238)</f>
        <v>57.404629908691412</v>
      </c>
      <c r="N238" s="1">
        <f ca="1">IF(AND([1]Variáveis!$E$43=6,[1]Variáveis!$L$43=1),[1]Variáveis!AJ$44,N238)</f>
        <v>0.30499999999999999</v>
      </c>
      <c r="O238" s="103">
        <f t="shared" ca="1" si="13"/>
        <v>4.743330763431211</v>
      </c>
      <c r="P238" s="1">
        <f ca="1">IF(AND([1]Variáveis!$E$43=6,[1]Variáveis!$L$43=1),[1]Variáveis!AK$44,P238)</f>
        <v>0.65</v>
      </c>
      <c r="Q238" s="1">
        <f ca="1">IF(AND([1]Variáveis!$E$43=6,[1]Variáveis!$L$43=1),[1]Variáveis!AL$44,Q238)</f>
        <v>10.294046967021886</v>
      </c>
      <c r="R238" s="1"/>
    </row>
    <row r="239" spans="2:18">
      <c r="D239" s="1">
        <f ca="1">IF(AND([1]Variáveis!$E$43=7,[1]Variáveis!$L$43=1),[1]Variáveis!Z$44,D239)</f>
        <v>0.22894736842105259</v>
      </c>
      <c r="E239" s="1">
        <f ca="1">IF(AND([1]Variáveis!$E$43=7,[1]Variáveis!$L$43=1),[1]Variáveis!AA$44,E239)</f>
        <v>2.666666666666667</v>
      </c>
      <c r="F239" s="1">
        <f ca="1">IF(AND([1]Variáveis!$E$43=7,[1]Variáveis!$L$43=1),[1]Variáveis!AB$44,F239)</f>
        <v>56.086828231393902</v>
      </c>
      <c r="G239" s="1">
        <f ca="1">IF(AND([1]Variáveis!$E$43=7,[1]Variáveis!$L$43=1),[1]Variáveis!AC$44,G239)</f>
        <v>49.737375010373526</v>
      </c>
      <c r="H239" s="1">
        <f ca="1">IF(AND([1]Variáveis!$E$43=7,[1]Variáveis!$L$43=1),[1]Variáveis!AD$44,H239)</f>
        <v>49.737375010373533</v>
      </c>
      <c r="I239" s="1">
        <f ca="1">IF(AND([1]Variáveis!$E$43=7,[1]Variáveis!$L$43=1),[1]Variáveis!AE$44,I239)</f>
        <v>2.7997535378882383</v>
      </c>
      <c r="J239" s="1">
        <f ca="1">IF(AND([1]Variáveis!$E$43=7,[1]Variáveis!$L$43=1),[1]Variáveis!AF$44,J239)</f>
        <v>17.76491192431488</v>
      </c>
      <c r="K239" s="1">
        <f ca="1">IF(AND([1]Variáveis!$E$43=7,[1]Variáveis!$L$43=1),[1]Variáveis!AG$44,K239)</f>
        <v>14.671905054923158</v>
      </c>
      <c r="L239" s="1">
        <f ca="1">IF(AND([1]Variáveis!$E$43=7,[1]Variáveis!$L$43=1),[1]Variáveis!AH$44,L239)</f>
        <v>41.077718085081443</v>
      </c>
      <c r="M239" s="1">
        <f ca="1">IF(AND([1]Variáveis!$E$43=7,[1]Variáveis!$L$43=1),[1]Variáveis!AI$44,M239)</f>
        <v>56.086828231393902</v>
      </c>
      <c r="N239" s="1">
        <f ca="1">IF(AND([1]Variáveis!$E$43=7,[1]Variáveis!$L$43=1),[1]Variáveis!AJ$44,N239)</f>
        <v>0.30499999999999999</v>
      </c>
      <c r="O239" s="103">
        <f t="shared" ca="1" si="13"/>
        <v>4.6940594342003505</v>
      </c>
      <c r="P239" s="1">
        <f ca="1">IF(AND([1]Variáveis!$E$43=7,[1]Variáveis!$L$43=1),[1]Variáveis!AK$44,P239)</f>
        <v>0.65</v>
      </c>
      <c r="Q239" s="1">
        <f ca="1">IF(AND([1]Variáveis!$E$43=7,[1]Variáveis!$L$43=1),[1]Variáveis!AL$44,Q239)</f>
        <v>10.274270895102715</v>
      </c>
      <c r="R239" s="1"/>
    </row>
    <row r="240" spans="2:18">
      <c r="D240" s="1">
        <f ca="1">IF(AND([1]Variáveis!$E$43=8,[1]Variáveis!$L$43=1),[1]Variáveis!Z$44,D240)</f>
        <v>0.22105263157894733</v>
      </c>
      <c r="E240" s="1">
        <f ca="1">IF(AND([1]Variáveis!$E$43=8,[1]Variáveis!$L$43=1),[1]Variáveis!AA$44,E240)</f>
        <v>2.7777777777777781</v>
      </c>
      <c r="F240" s="1">
        <f ca="1">IF(AND([1]Variáveis!$E$43=8,[1]Variáveis!$L$43=1),[1]Variáveis!AB$44,F240)</f>
        <v>55.018150059277282</v>
      </c>
      <c r="G240" s="1">
        <f ca="1">IF(AND([1]Variáveis!$E$43=8,[1]Variáveis!$L$43=1),[1]Variáveis!AC$44,G240)</f>
        <v>49.971721322394714</v>
      </c>
      <c r="H240" s="1">
        <f ca="1">IF(AND([1]Variáveis!$E$43=8,[1]Variáveis!$L$43=1),[1]Variáveis!AD$44,H240)</f>
        <v>49.971721322394707</v>
      </c>
      <c r="I240" s="1">
        <f ca="1">IF(AND([1]Variáveis!$E$43=8,[1]Variáveis!$L$43=1),[1]Variáveis!AE$44,I240)</f>
        <v>2.7500037895111635</v>
      </c>
      <c r="J240" s="1">
        <f ca="1">IF(AND([1]Variáveis!$E$43=8,[1]Variáveis!$L$43=1),[1]Variáveis!AF$44,J240)</f>
        <v>18.17150998591082</v>
      </c>
      <c r="K240" s="1">
        <f ca="1">IF(AND([1]Variáveis!$E$43=8,[1]Variáveis!$L$43=1),[1]Variáveis!AG$44,K240)</f>
        <v>14.66415501514974</v>
      </c>
      <c r="L240" s="1">
        <f ca="1">IF(AND([1]Variáveis!$E$43=8,[1]Variáveis!$L$43=1),[1]Variáveis!AH$44,L240)</f>
        <v>40.326481861640922</v>
      </c>
      <c r="M240" s="1">
        <f ca="1">IF(AND([1]Variáveis!$E$43=8,[1]Variáveis!$L$43=1),[1]Variáveis!AI$44,M240)</f>
        <v>55.018150059277282</v>
      </c>
      <c r="N240" s="1">
        <f ca="1">IF(AND([1]Variáveis!$E$43=8,[1]Variáveis!$L$43=1),[1]Variáveis!AJ$44,N240)</f>
        <v>0.30499999999999999</v>
      </c>
      <c r="O240" s="103">
        <f t="shared" ca="1" si="13"/>
        <v>4.6545694992022835</v>
      </c>
      <c r="P240" s="1">
        <f ca="1">IF(AND([1]Variáveis!$E$43=8,[1]Variáveis!$L$43=1),[1]Variáveis!AK$44,P240)</f>
        <v>0.65</v>
      </c>
      <c r="Q240" s="1">
        <f ca="1">IF(AND([1]Variáveis!$E$43=8,[1]Variáveis!$L$43=1),[1]Variáveis!AL$44,Q240)</f>
        <v>10.268980671061929</v>
      </c>
      <c r="R240" s="1"/>
    </row>
    <row r="241" spans="4:18">
      <c r="D241" s="1">
        <f ca="1">IF(AND([1]Variáveis!$E$43=9,[1]Variáveis!$L$43=1),[1]Variáveis!Z$44,D241)</f>
        <v>0.21315789473684207</v>
      </c>
      <c r="E241" s="1">
        <f ca="1">IF(AND([1]Variáveis!$E$43=9,[1]Variáveis!$L$43=1),[1]Variáveis!AA$44,E241)</f>
        <v>2.8888888888888893</v>
      </c>
      <c r="F241" s="1">
        <f ca="1">IF(AND([1]Variáveis!$E$43=9,[1]Variáveis!$L$43=1),[1]Variáveis!AB$44,F241)</f>
        <v>54.166456761013485</v>
      </c>
      <c r="G241" s="1">
        <f ca="1">IF(AND([1]Variáveis!$E$43=9,[1]Variáveis!$L$43=1),[1]Variáveis!AC$44,G241)</f>
        <v>50.192742759270743</v>
      </c>
      <c r="H241" s="1">
        <f ca="1">IF(AND([1]Variáveis!$E$43=9,[1]Variáveis!$L$43=1),[1]Variáveis!AD$44,H241)</f>
        <v>50.192742759270743</v>
      </c>
      <c r="I241" s="1">
        <f ca="1">IF(AND([1]Variáveis!$E$43=9,[1]Variáveis!$L$43=1),[1]Variáveis!AE$44,I241)</f>
        <v>2.7074621047155367</v>
      </c>
      <c r="J241" s="1">
        <f ca="1">IF(AND([1]Variáveis!$E$43=9,[1]Variáveis!$L$43=1),[1]Variáveis!AF$44,J241)</f>
        <v>18.538668619535237</v>
      </c>
      <c r="K241" s="1">
        <f ca="1">IF(AND([1]Variáveis!$E$43=9,[1]Variáveis!$L$43=1),[1]Variáveis!AG$44,K241)</f>
        <v>14.675430029158761</v>
      </c>
      <c r="L241" s="1">
        <f ca="1">IF(AND([1]Variáveis!$E$43=9,[1]Variáveis!$L$43=1),[1]Variáveis!AH$44,L241)</f>
        <v>39.733170674351769</v>
      </c>
      <c r="M241" s="1">
        <f ca="1">IF(AND([1]Variáveis!$E$43=9,[1]Variáveis!$L$43=1),[1]Variáveis!AI$44,M241)</f>
        <v>54.166456761013485</v>
      </c>
      <c r="N241" s="1">
        <f ca="1">IF(AND([1]Variáveis!$E$43=9,[1]Variáveis!$L$43=1),[1]Variáveis!AJ$44,N241)</f>
        <v>0.30499999999999999</v>
      </c>
      <c r="O241" s="103">
        <f t="shared" ca="1" si="13"/>
        <v>4.6238038956931682</v>
      </c>
      <c r="P241" s="1">
        <f ca="1">IF(AND([1]Variáveis!$E$43=9,[1]Variáveis!$L$43=1),[1]Variáveis!AK$44,P241)</f>
        <v>0.65</v>
      </c>
      <c r="Q241" s="1">
        <f ca="1">IF(AND([1]Variáveis!$E$43=9,[1]Variáveis!$L$43=1),[1]Variáveis!AL$44,Q241)</f>
        <v>10.276994159880967</v>
      </c>
      <c r="R241" s="1"/>
    </row>
    <row r="242" spans="4:18">
      <c r="D242" s="1">
        <f ca="1">IF(AND([1]Variáveis!$E$43=10,[1]Variáveis!$L$43=1),[1]Variáveis!Z$44,D242)</f>
        <v>0.20526315789473681</v>
      </c>
      <c r="E242" s="1">
        <f ca="1">IF(AND([1]Variáveis!$E$43=10,[1]Variáveis!$L$43=1),[1]Variáveis!AA$44,E242)</f>
        <v>3</v>
      </c>
      <c r="F242" s="1">
        <f ca="1">IF(AND([1]Variáveis!$E$43=10,[1]Variáveis!$L$43=1),[1]Variáveis!AB$44,F242)</f>
        <v>53.50902762232608</v>
      </c>
      <c r="G242" s="1">
        <f ca="1">IF(AND([1]Variáveis!$E$43=10,[1]Variáveis!$L$43=1),[1]Variáveis!AC$44,G242)</f>
        <v>50.393660665178245</v>
      </c>
      <c r="H242" s="1">
        <f ca="1">IF(AND([1]Variáveis!$E$43=10,[1]Variáveis!$L$43=1),[1]Variáveis!AD$44,H242)</f>
        <v>50.393660665178245</v>
      </c>
      <c r="I242" s="1">
        <f ca="1">IF(AND([1]Variáveis!$E$43=10,[1]Variáveis!$L$43=1),[1]Variáveis!AE$44,I242)</f>
        <v>2.6713654735997494</v>
      </c>
      <c r="J242" s="1">
        <f ca="1">IF(AND([1]Variáveis!$E$43=10,[1]Variáveis!$L$43=1),[1]Variáveis!AF$44,J242)</f>
        <v>18.864382714833546</v>
      </c>
      <c r="K242" s="1">
        <f ca="1">IF(AND([1]Variáveis!$E$43=10,[1]Variáveis!$L$43=1),[1]Variáveis!AG$44,K242)</f>
        <v>14.704627451671238</v>
      </c>
      <c r="L242" s="1">
        <f ca="1">IF(AND([1]Variáveis!$E$43=10,[1]Variáveis!$L$43=1),[1]Variáveis!AH$44,L242)</f>
        <v>39.281434076541615</v>
      </c>
      <c r="M242" s="1">
        <f ca="1">IF(AND([1]Variáveis!$E$43=10,[1]Variáveis!$L$43=1),[1]Variáveis!AI$44,M242)</f>
        <v>53.50902762232608</v>
      </c>
      <c r="N242" s="1">
        <f ca="1">IF(AND([1]Variáveis!$E$43=10,[1]Variáveis!$L$43=1),[1]Variáveis!AJ$44,N242)</f>
        <v>0.30499999999999999</v>
      </c>
      <c r="O242" s="103">
        <f t="shared" ca="1" si="13"/>
        <v>4.6010181114152733</v>
      </c>
      <c r="P242" s="1">
        <f ca="1">IF(AND([1]Variáveis!$E$43=10,[1]Variáveis!$L$43=1),[1]Variáveis!AK$44,P242)</f>
        <v>0.65</v>
      </c>
      <c r="Q242" s="1">
        <f ca="1">IF(AND([1]Variáveis!$E$43=10,[1]Variáveis!$L$43=1),[1]Variáveis!AL$44,Q242)</f>
        <v>10.297542647713302</v>
      </c>
      <c r="R242" s="1"/>
    </row>
  </sheetData>
  <phoneticPr fontId="32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E43"/>
  <sheetViews>
    <sheetView zoomScale="110" zoomScaleNormal="110" workbookViewId="0">
      <selection activeCell="V21" sqref="V21"/>
    </sheetView>
  </sheetViews>
  <sheetFormatPr defaultRowHeight="12.75"/>
  <sheetData>
    <row r="1" spans="1:25">
      <c r="A1" s="17" t="s">
        <v>277</v>
      </c>
    </row>
    <row r="3" spans="1:25">
      <c r="A3" t="s">
        <v>270</v>
      </c>
      <c r="C3" t="s">
        <v>279</v>
      </c>
      <c r="F3" t="s">
        <v>277</v>
      </c>
      <c r="I3" t="s">
        <v>420</v>
      </c>
      <c r="L3" t="s">
        <v>419</v>
      </c>
      <c r="M3" s="8">
        <v>2</v>
      </c>
    </row>
    <row r="4" spans="1:25">
      <c r="A4" s="17"/>
    </row>
    <row r="5" spans="1:25">
      <c r="C5" t="s">
        <v>367</v>
      </c>
      <c r="I5" t="s">
        <v>430</v>
      </c>
      <c r="L5" t="s">
        <v>429</v>
      </c>
      <c r="O5" s="6"/>
      <c r="P5" s="6"/>
      <c r="Q5" s="6"/>
    </row>
    <row r="6" spans="1:25">
      <c r="A6" s="17"/>
      <c r="C6" s="9" t="s">
        <v>80</v>
      </c>
      <c r="D6" s="12">
        <v>0.36</v>
      </c>
      <c r="E6" s="3" t="s">
        <v>4</v>
      </c>
      <c r="F6" s="9" t="s">
        <v>421</v>
      </c>
      <c r="G6" s="18">
        <v>10</v>
      </c>
      <c r="H6" s="3" t="s">
        <v>35</v>
      </c>
      <c r="I6" s="9" t="s">
        <v>83</v>
      </c>
      <c r="J6" s="12">
        <v>1</v>
      </c>
      <c r="L6" s="9" t="s">
        <v>89</v>
      </c>
      <c r="M6" s="12">
        <f>0.469*0+670/1126</f>
        <v>0.5950266429840142</v>
      </c>
      <c r="N6" s="47" t="s">
        <v>486</v>
      </c>
      <c r="O6" s="58" t="s">
        <v>487</v>
      </c>
      <c r="P6" s="19"/>
      <c r="Q6" s="6"/>
      <c r="R6" s="1">
        <v>0.64</v>
      </c>
      <c r="S6" s="1">
        <f t="shared" ref="S6:S11" si="0">R6/$R$10</f>
        <v>0.46886446886446881</v>
      </c>
    </row>
    <row r="7" spans="1:25">
      <c r="C7" s="9" t="s">
        <v>78</v>
      </c>
      <c r="D7" s="12">
        <v>4.2</v>
      </c>
      <c r="E7" s="3" t="s">
        <v>4</v>
      </c>
      <c r="F7" s="9" t="s">
        <v>311</v>
      </c>
      <c r="G7" s="20">
        <f>Energy!B9</f>
        <v>1.2623833090909089</v>
      </c>
      <c r="H7" s="3" t="s">
        <v>35</v>
      </c>
      <c r="I7" s="9" t="s">
        <v>84</v>
      </c>
      <c r="J7" s="12">
        <v>1</v>
      </c>
      <c r="L7" s="9" t="s">
        <v>90</v>
      </c>
      <c r="M7" s="12">
        <f>0.073*0+120/1126*0.6</f>
        <v>6.3943161634103018E-2</v>
      </c>
      <c r="N7" s="47" t="s">
        <v>486</v>
      </c>
      <c r="O7" s="58" t="s">
        <v>488</v>
      </c>
      <c r="P7" s="16"/>
      <c r="Q7" s="6"/>
      <c r="R7" s="1">
        <v>0.1</v>
      </c>
      <c r="S7" s="1">
        <f t="shared" si="0"/>
        <v>7.326007326007325E-2</v>
      </c>
    </row>
    <row r="8" spans="1:25">
      <c r="C8" s="9" t="s">
        <v>616</v>
      </c>
      <c r="D8" s="12">
        <v>0.12</v>
      </c>
      <c r="F8" t="s">
        <v>423</v>
      </c>
      <c r="G8" s="20">
        <f>Motor!H7+Motor!B11+Propeller!B11+Systems!E21</f>
        <v>10.060358274999999</v>
      </c>
      <c r="H8" t="s">
        <v>35</v>
      </c>
      <c r="L8" s="9" t="s">
        <v>91</v>
      </c>
      <c r="M8" s="12">
        <f>0.037*0+120/1126*0.4</f>
        <v>4.2628774422735348E-2</v>
      </c>
      <c r="N8" s="47" t="s">
        <v>486</v>
      </c>
      <c r="O8" s="58" t="s">
        <v>489</v>
      </c>
      <c r="R8" s="1">
        <v>0.05</v>
      </c>
      <c r="S8" s="1">
        <f t="shared" si="0"/>
        <v>3.6630036630036625E-2</v>
      </c>
    </row>
    <row r="9" spans="1:25">
      <c r="C9" s="47" t="s">
        <v>635</v>
      </c>
      <c r="D9" s="12">
        <v>1.8</v>
      </c>
      <c r="E9" s="46" t="s">
        <v>4</v>
      </c>
      <c r="F9" s="9" t="s">
        <v>424</v>
      </c>
      <c r="G9" s="18">
        <f>(1.8*9.81-G8-G7)*0+(0.64+0.05+0.225+0.5-0.05)*9.81</f>
        <v>13.390650000000001</v>
      </c>
      <c r="H9" s="3" t="s">
        <v>35</v>
      </c>
      <c r="L9" s="9" t="s">
        <v>439</v>
      </c>
      <c r="M9" s="1">
        <f>1-M6-M7-M8</f>
        <v>0.29840142095914746</v>
      </c>
      <c r="N9" s="47" t="s">
        <v>486</v>
      </c>
      <c r="O9" s="58" t="s">
        <v>490</v>
      </c>
      <c r="R9" s="1">
        <f>0.5-0.05+0.225+0.05-(R7+R8)</f>
        <v>0.57500000000000007</v>
      </c>
      <c r="S9" s="1">
        <f t="shared" si="0"/>
        <v>0.42124542124542125</v>
      </c>
    </row>
    <row r="10" spans="1:25">
      <c r="F10" s="9" t="s">
        <v>92</v>
      </c>
      <c r="G10" s="18">
        <f>110*0.5+30*0</f>
        <v>55</v>
      </c>
      <c r="H10" s="3" t="s">
        <v>35</v>
      </c>
      <c r="I10" s="13"/>
      <c r="L10" s="9" t="s">
        <v>615</v>
      </c>
      <c r="M10" s="12">
        <v>1.1000000000000001</v>
      </c>
      <c r="R10" s="1">
        <f>SUM(R6:R9)</f>
        <v>1.3650000000000002</v>
      </c>
      <c r="S10" s="1">
        <f t="shared" si="0"/>
        <v>1</v>
      </c>
    </row>
    <row r="11" spans="1:25">
      <c r="F11" s="9" t="s">
        <v>431</v>
      </c>
      <c r="G11" s="18">
        <v>3</v>
      </c>
      <c r="R11" s="1">
        <f>R10*9.81</f>
        <v>13.390650000000003</v>
      </c>
      <c r="S11" s="1">
        <f t="shared" si="0"/>
        <v>9.81</v>
      </c>
    </row>
    <row r="12" spans="1:25">
      <c r="F12" s="9" t="s">
        <v>304</v>
      </c>
      <c r="G12" s="18">
        <v>3</v>
      </c>
    </row>
    <row r="13" spans="1:25">
      <c r="L13" t="s">
        <v>430</v>
      </c>
      <c r="N13" t="s">
        <v>429</v>
      </c>
    </row>
    <row r="15" spans="1:25">
      <c r="B15" t="s">
        <v>279</v>
      </c>
      <c r="G15" t="s">
        <v>277</v>
      </c>
      <c r="L15" t="s">
        <v>277</v>
      </c>
      <c r="N15" t="s">
        <v>277</v>
      </c>
      <c r="Y15" t="s">
        <v>440</v>
      </c>
    </row>
    <row r="16" spans="1:25">
      <c r="B16" t="s">
        <v>367</v>
      </c>
      <c r="L16" t="s">
        <v>82</v>
      </c>
      <c r="N16" t="s">
        <v>367</v>
      </c>
      <c r="O16" t="s">
        <v>44</v>
      </c>
      <c r="P16" t="s">
        <v>46</v>
      </c>
      <c r="Q16" s="46" t="s">
        <v>393</v>
      </c>
      <c r="R16" t="s">
        <v>82</v>
      </c>
    </row>
    <row r="18" spans="2:31">
      <c r="B18" s="9" t="s">
        <v>37</v>
      </c>
      <c r="C18" s="9" t="s">
        <v>38</v>
      </c>
      <c r="D18" s="9" t="s">
        <v>282</v>
      </c>
      <c r="E18" s="48" t="s">
        <v>636</v>
      </c>
      <c r="G18" s="9" t="s">
        <v>139</v>
      </c>
      <c r="H18" s="9" t="s">
        <v>322</v>
      </c>
      <c r="I18" s="9" t="s">
        <v>422</v>
      </c>
      <c r="J18" s="9" t="s">
        <v>304</v>
      </c>
      <c r="L18" s="9" t="s">
        <v>34</v>
      </c>
      <c r="N18" s="9" t="s">
        <v>86</v>
      </c>
      <c r="O18" s="9" t="s">
        <v>87</v>
      </c>
      <c r="P18" s="9" t="s">
        <v>88</v>
      </c>
      <c r="Q18" s="48" t="s">
        <v>637</v>
      </c>
      <c r="R18" s="9" t="s">
        <v>140</v>
      </c>
      <c r="S18" s="9" t="s">
        <v>34</v>
      </c>
      <c r="U18" s="9" t="s">
        <v>432</v>
      </c>
      <c r="V18" s="9" t="s">
        <v>445</v>
      </c>
      <c r="W18" s="9" t="s">
        <v>34</v>
      </c>
      <c r="X18" s="9"/>
      <c r="Y18" s="9" t="s">
        <v>40</v>
      </c>
      <c r="Z18" s="9" t="s">
        <v>441</v>
      </c>
      <c r="AA18" s="9" t="s">
        <v>31</v>
      </c>
      <c r="AB18" s="9" t="s">
        <v>0</v>
      </c>
      <c r="AC18" s="9" t="s">
        <v>103</v>
      </c>
      <c r="AD18" s="9" t="s">
        <v>443</v>
      </c>
      <c r="AE18" s="9" t="s">
        <v>444</v>
      </c>
    </row>
    <row r="19" spans="2:31">
      <c r="B19" s="9" t="s">
        <v>4</v>
      </c>
      <c r="C19" s="9" t="s">
        <v>4</v>
      </c>
      <c r="D19" s="9" t="s">
        <v>43</v>
      </c>
      <c r="E19" s="48" t="s">
        <v>4</v>
      </c>
      <c r="H19" s="9" t="s">
        <v>35</v>
      </c>
      <c r="I19" s="9" t="s">
        <v>35</v>
      </c>
      <c r="L19" s="9" t="s">
        <v>35</v>
      </c>
      <c r="N19" s="9" t="s">
        <v>35</v>
      </c>
      <c r="O19" s="9" t="s">
        <v>35</v>
      </c>
      <c r="P19" s="9" t="s">
        <v>35</v>
      </c>
      <c r="Q19" s="48" t="s">
        <v>35</v>
      </c>
      <c r="R19" s="9" t="s">
        <v>35</v>
      </c>
      <c r="S19" s="9" t="s">
        <v>35</v>
      </c>
      <c r="U19" s="9" t="s">
        <v>35</v>
      </c>
      <c r="V19" s="9" t="s">
        <v>35</v>
      </c>
      <c r="W19" s="9" t="s">
        <v>35</v>
      </c>
      <c r="X19" s="9"/>
      <c r="Y19" s="9" t="s">
        <v>1</v>
      </c>
      <c r="Z19" s="9" t="s">
        <v>442</v>
      </c>
      <c r="AA19" s="9"/>
      <c r="AB19" s="9"/>
      <c r="AC19" s="9" t="s">
        <v>1</v>
      </c>
    </row>
    <row r="20" spans="2:31">
      <c r="X20" s="6"/>
    </row>
    <row r="21" spans="2:31">
      <c r="B21" s="31">
        <f>'Aerodynamics-Takeoff'!L21</f>
        <v>0.33333333333333326</v>
      </c>
      <c r="C21" s="31">
        <f>'Aerodynamics-Takeoff'!M21</f>
        <v>1.5</v>
      </c>
      <c r="D21" s="1">
        <f>B21*C21</f>
        <v>0.49999999999999989</v>
      </c>
      <c r="E21" s="1">
        <f>MAX(Stability!J21,Stability!P21)*0+'Aerodynamics-Constants'!N21</f>
        <v>2.5499999999999998</v>
      </c>
      <c r="G21" s="31">
        <f>Main!M21</f>
        <v>0.3</v>
      </c>
      <c r="H21" s="32">
        <f>IF(Endurance!$B$10=1,Main!N21,$G$6)</f>
        <v>10</v>
      </c>
      <c r="I21" s="13">
        <f ca="1">Energy!C21</f>
        <v>96.606108186222428</v>
      </c>
      <c r="J21" s="20">
        <f ca="1">MIN(AE21,MAX($G$12,AD21))</f>
        <v>3.1864901509680341</v>
      </c>
      <c r="L21" s="13">
        <f t="shared" ref="L21:L40" ca="1" si="1">H21+I21+$G$8+$M$10*$G$9*(B21/$D$6)^$J$7*(C21/$D$7)^$J$6</f>
        <v>121.53740396122242</v>
      </c>
      <c r="M21" s="13"/>
      <c r="N21" s="13">
        <f ca="1">$M$6*$G$9*($M$10*(B21/$D$6)^(0.8158+1.3*0)*(C21/$D$7)^1.358*('Airfoil 1'!$C$7/$D$8)^(-0.3)*(J21*R21/($G$11*$G$10))^0.49-1)</f>
        <v>-4.6010157039716741</v>
      </c>
      <c r="O21" s="13">
        <f t="shared" ref="O21:O40" ca="1" si="2">$M$7*$G$9*($M$10*(B21/$D$6)^1.794*(C21/$D$7)^0.896*(J21*R21/($G$11*$G$10))^0.414-1)</f>
        <v>-0.37944954337709536</v>
      </c>
      <c r="P21" s="13">
        <f t="shared" ref="P21:P40" ca="1" si="3">$M$8*$G$9*($M$10*(B21/$D$6)^0.873*(C21/$D$7)^1.747*(J21*R21/($G$11*$G$10))^0.376-1)</f>
        <v>-0.43362902018042709</v>
      </c>
      <c r="Q21" s="13">
        <f t="shared" ref="Q21:Q40" ca="1" si="4">$M$9*$G$9*((E21/$D$9)^1*(J21*R21/($G$11*$G$10))^0.5-1)</f>
        <v>4.9597490550927903</v>
      </c>
      <c r="R21" s="30">
        <f ca="1">IF(ISERROR(S21),1,S21)</f>
        <v>129.60277124888214</v>
      </c>
      <c r="S21" s="13">
        <f t="shared" ref="S21:S40" ca="1" si="5">H21+I21+$G$8+$G$9+N21+O21+P21+Q21</f>
        <v>129.60277124878601</v>
      </c>
      <c r="U21" s="13">
        <f ca="1">W21-(H21+I21+$G$8)</f>
        <v>12.936304787756484</v>
      </c>
      <c r="V21" s="13">
        <f t="shared" ref="V21:V40" ca="1" si="6">U21+I21+$G$8</f>
        <v>119.60277124897891</v>
      </c>
      <c r="W21" s="13">
        <f t="shared" ref="W21:W40" ca="1" si="7">IF($M$3=1,L21,IF($M$3=2,R21,IF($M$3=3,(L21+R21)/2,L21)))</f>
        <v>129.60277124888214</v>
      </c>
      <c r="X21" s="19"/>
      <c r="Y21" s="13">
        <f ca="1">1.4*'Aerodynamics-Cruise'!H21</f>
        <v>41.878041726065639</v>
      </c>
      <c r="Z21" s="13">
        <f t="shared" ref="Z21:Z40" ca="1" si="8">W21/D21</f>
        <v>259.20554249776433</v>
      </c>
      <c r="AA21" s="13">
        <f ca="1">2*Z21/('Aerodynamics-Cruise'!B21*ISA!$B$5*B21*'Aerodynamics-Cruise'!BP21)</f>
        <v>64.173172081415785</v>
      </c>
      <c r="AB21" s="1">
        <f ca="1">0.88*AA21/(5.3+AA21)</f>
        <v>0.81286617178593423</v>
      </c>
      <c r="AC21" s="13">
        <f ca="1">AB21*15.24</f>
        <v>12.388080458017638</v>
      </c>
      <c r="AD21" s="13">
        <f ca="1">1+'Aerodynamics-Cruise'!B21*AC21*Y21*'Aerodynamics-Cruise'!BP21/(2*Z21)</f>
        <v>3.4730759539406058</v>
      </c>
      <c r="AE21" s="13">
        <f ca="1">0.5*'Aerodynamics-Cruise'!B21*Y21^2*D21*'Aerodynamics-Cruise'!AG21/W21</f>
        <v>3.1864901509679657</v>
      </c>
    </row>
    <row r="22" spans="2:31">
      <c r="B22" s="31">
        <f>'Aerodynamics-Takeoff'!L22</f>
        <v>0.33333333333333326</v>
      </c>
      <c r="C22" s="31">
        <f>'Aerodynamics-Takeoff'!M22</f>
        <v>1.5789473684210527</v>
      </c>
      <c r="D22" s="1">
        <f t="shared" ref="D22:D40" si="9">B22*C22</f>
        <v>0.52631578947368407</v>
      </c>
      <c r="E22" s="1">
        <f>MAX(Stability!J22,Stability!P22)*0+'Aerodynamics-Constants'!N22</f>
        <v>2.5499999999999998</v>
      </c>
      <c r="G22" s="31">
        <f>Main!M22</f>
        <v>0.3</v>
      </c>
      <c r="H22" s="32">
        <f>IF(Endurance!$B$10=1,Main!N22,$G$6)</f>
        <v>10</v>
      </c>
      <c r="I22" s="13">
        <f ca="1">Energy!C22</f>
        <v>98.602136729572237</v>
      </c>
      <c r="J22" s="20">
        <f t="shared" ref="J22:J40" ca="1" si="10">MIN(AE22,MAX($G$12,AD22))</f>
        <v>3.1853841352175016</v>
      </c>
      <c r="L22" s="13">
        <f t="shared" ca="1" si="1"/>
        <v>123.78979763615118</v>
      </c>
      <c r="M22" s="13"/>
      <c r="N22" s="13">
        <f ca="1">$M$6*$G$9*($M$10*(B22/$D$6)^(0.8158+1.3*0)*(C22/$D$7)^1.358*('Airfoil 1'!$C$7/$D$8)^(-0.3)*(J22*R22/($G$11*$G$10))^0.49-1)</f>
        <v>-4.3262720791755536</v>
      </c>
      <c r="O22" s="13">
        <f t="shared" ca="1" si="2"/>
        <v>-0.3533045339755585</v>
      </c>
      <c r="P22" s="13">
        <f t="shared" ca="1" si="3"/>
        <v>-0.41975165488989885</v>
      </c>
      <c r="Q22" s="13">
        <f t="shared" ca="1" si="4"/>
        <v>5.040428037980945</v>
      </c>
      <c r="R22" s="30">
        <f t="shared" ref="R22:R40" ca="1" si="11">IF(ISERROR(S22),1,S22)</f>
        <v>131.99424477462571</v>
      </c>
      <c r="S22" s="13">
        <f t="shared" ca="1" si="5"/>
        <v>131.99424477451217</v>
      </c>
      <c r="U22" s="13">
        <f t="shared" ref="U22:U40" ca="1" si="12">W22-(H22+I22+$G$8)</f>
        <v>13.331749770167846</v>
      </c>
      <c r="V22" s="13">
        <f t="shared" ca="1" si="6"/>
        <v>121.99424477474008</v>
      </c>
      <c r="W22" s="13">
        <f t="shared" ca="1" si="7"/>
        <v>131.99424477462571</v>
      </c>
      <c r="X22" s="19"/>
      <c r="Y22" s="13">
        <f ca="1">1.4*'Aerodynamics-Cruise'!H22</f>
        <v>41.190127438850013</v>
      </c>
      <c r="Z22" s="13">
        <f t="shared" ca="1" si="8"/>
        <v>250.78906507178891</v>
      </c>
      <c r="AA22" s="13">
        <f ca="1">2*Z22/('Aerodynamics-Cruise'!B22*ISA!$B$5*B22*'Aerodynamics-Cruise'!BP22)</f>
        <v>61.234757565624776</v>
      </c>
      <c r="AB22" s="1">
        <f t="shared" ref="AB22:AB40" ca="1" si="13">0.88*AA22/(5.3+AA22)</f>
        <v>0.80990130015278428</v>
      </c>
      <c r="AC22" s="13">
        <f t="shared" ref="AC22:AC40" ca="1" si="14">AB22*15.24</f>
        <v>12.342895814328433</v>
      </c>
      <c r="AD22" s="13">
        <f ca="1">1+'Aerodynamics-Cruise'!B22*AC22*Y22*'Aerodynamics-Cruise'!BP22/(2*Z22)</f>
        <v>3.5398775254220811</v>
      </c>
      <c r="AE22" s="13">
        <f ca="1">0.5*'Aerodynamics-Cruise'!B22*Y22^2*D22*'Aerodynamics-Cruise'!AG22/W22</f>
        <v>3.1853841352174239</v>
      </c>
    </row>
    <row r="23" spans="2:31">
      <c r="B23" s="31">
        <f>'Aerodynamics-Takeoff'!L23</f>
        <v>0.33333333333333326</v>
      </c>
      <c r="C23" s="31">
        <f>'Aerodynamics-Takeoff'!M23</f>
        <v>1.6578947368421053</v>
      </c>
      <c r="D23" s="1">
        <f t="shared" si="9"/>
        <v>0.55263157894736836</v>
      </c>
      <c r="E23" s="1">
        <f>MAX(Stability!J23,Stability!P23)*0+'Aerodynamics-Constants'!N23</f>
        <v>2.5499999999999998</v>
      </c>
      <c r="G23" s="31">
        <f>Main!M23</f>
        <v>0.3</v>
      </c>
      <c r="H23" s="32">
        <f>IF(Endurance!$B$10=1,Main!N23,$G$6)</f>
        <v>10</v>
      </c>
      <c r="I23" s="13">
        <f ca="1">Energy!C23</f>
        <v>100.45162622577277</v>
      </c>
      <c r="J23" s="20">
        <f t="shared" ca="1" si="10"/>
        <v>3.1843526418468131</v>
      </c>
      <c r="L23" s="13">
        <f t="shared" ca="1" si="1"/>
        <v>125.89565226393066</v>
      </c>
      <c r="M23" s="13"/>
      <c r="N23" s="13">
        <f ca="1">$M$6*$G$9*($M$10*(B23/$D$6)^(0.8158+1.3*0)*(C23/$D$7)^1.358*('Airfoil 1'!$C$7/$D$8)^(-0.3)*(J23*R23/($G$11*$G$10))^0.49-1)</f>
        <v>-4.0451392461815079</v>
      </c>
      <c r="O23" s="13">
        <f t="shared" ca="1" si="2"/>
        <v>-0.32721803415939738</v>
      </c>
      <c r="P23" s="13">
        <f t="shared" ca="1" si="3"/>
        <v>-0.40528280067293637</v>
      </c>
      <c r="Q23" s="13">
        <f t="shared" ca="1" si="4"/>
        <v>5.1155168730915213</v>
      </c>
      <c r="R23" s="30">
        <f t="shared" ca="1" si="11"/>
        <v>134.24051129298209</v>
      </c>
      <c r="S23" s="13">
        <f t="shared" ca="1" si="5"/>
        <v>134.24051129285041</v>
      </c>
      <c r="U23" s="13">
        <f t="shared" ca="1" si="12"/>
        <v>13.728526792341881</v>
      </c>
      <c r="V23" s="13">
        <f t="shared" ca="1" si="6"/>
        <v>124.24051129311465</v>
      </c>
      <c r="W23" s="13">
        <f t="shared" ca="1" si="7"/>
        <v>134.24051129298209</v>
      </c>
      <c r="X23" s="19"/>
      <c r="Y23" s="13">
        <f ca="1">1.4*'Aerodynamics-Cruise'!H23</f>
        <v>40.53598985448312</v>
      </c>
      <c r="Z23" s="13">
        <f t="shared" ca="1" si="8"/>
        <v>242.91140138730094</v>
      </c>
      <c r="AA23" s="13">
        <f ca="1">2*Z23/('Aerodynamics-Cruise'!B23*ISA!$B$5*B23*'Aerodynamics-Cruise'!BP23)</f>
        <v>58.547208244144059</v>
      </c>
      <c r="AB23" s="1">
        <f t="shared" ca="1" si="13"/>
        <v>0.80695060397683438</v>
      </c>
      <c r="AC23" s="13">
        <f t="shared" ca="1" si="14"/>
        <v>12.297927204606957</v>
      </c>
      <c r="AD23" s="13">
        <f ca="1">1+'Aerodynamics-Cruise'!B23*AC23*Y23*'Aerodynamics-Cruise'!BP23/(2*Z23)</f>
        <v>3.6047562492100496</v>
      </c>
      <c r="AE23" s="13">
        <f ca="1">0.5*'Aerodynamics-Cruise'!B23*Y23^2*D23*'Aerodynamics-Cruise'!AG23/W23</f>
        <v>3.1843526418467247</v>
      </c>
    </row>
    <row r="24" spans="2:31">
      <c r="B24" s="31">
        <f>'Aerodynamics-Takeoff'!L24</f>
        <v>0.33333333333333326</v>
      </c>
      <c r="C24" s="31">
        <f>'Aerodynamics-Takeoff'!M24</f>
        <v>1.736842105263158</v>
      </c>
      <c r="D24" s="1">
        <f t="shared" si="9"/>
        <v>0.57894736842105254</v>
      </c>
      <c r="E24" s="1">
        <f>MAX(Stability!J24,Stability!P24)*0+'Aerodynamics-Constants'!N24</f>
        <v>2.5499999999999998</v>
      </c>
      <c r="G24" s="31">
        <f>Main!M24</f>
        <v>0.3</v>
      </c>
      <c r="H24" s="32">
        <f>IF(Endurance!$B$10=1,Main!N24,$G$6)</f>
        <v>10</v>
      </c>
      <c r="I24" s="13">
        <f ca="1">Energy!C24</f>
        <v>92.740930286131501</v>
      </c>
      <c r="J24" s="20">
        <f t="shared" ca="1" si="10"/>
        <v>3.1817098344200683</v>
      </c>
      <c r="L24" s="13">
        <f t="shared" ca="1" si="1"/>
        <v>118.44132145586835</v>
      </c>
      <c r="M24" s="13"/>
      <c r="N24" s="13">
        <f ca="1">$M$6*$G$9*($M$10*(B24/$D$6)^(0.8158+1.3*0)*(C24/$D$7)^1.358*('Airfoil 1'!$C$7/$D$8)^(-0.3)*(J24*R24/($G$11*$G$10))^0.49-1)</f>
        <v>-3.912278777839175</v>
      </c>
      <c r="O24" s="13">
        <f t="shared" ca="1" si="2"/>
        <v>-0.31844419460802287</v>
      </c>
      <c r="P24" s="13">
        <f t="shared" ca="1" si="3"/>
        <v>-0.39533529083001462</v>
      </c>
      <c r="Q24" s="13">
        <f t="shared" ca="1" si="4"/>
        <v>4.8420417597424716</v>
      </c>
      <c r="R24" s="30">
        <f t="shared" ca="1" si="11"/>
        <v>126.40792205776049</v>
      </c>
      <c r="S24" s="13">
        <f t="shared" ca="1" si="5"/>
        <v>126.40792205759676</v>
      </c>
      <c r="U24" s="13">
        <f t="shared" ca="1" si="12"/>
        <v>13.606633496793791</v>
      </c>
      <c r="V24" s="13">
        <f t="shared" ca="1" si="6"/>
        <v>116.40792205792529</v>
      </c>
      <c r="W24" s="13">
        <f t="shared" ca="1" si="7"/>
        <v>126.40792205776049</v>
      </c>
      <c r="X24" s="19"/>
      <c r="Y24" s="13">
        <f ca="1">1.4*'Aerodynamics-Cruise'!H24</f>
        <v>38.429543863992706</v>
      </c>
      <c r="Z24" s="13">
        <f t="shared" ca="1" si="8"/>
        <v>218.34095628158633</v>
      </c>
      <c r="AA24" s="13">
        <f ca="1">2*Z24/('Aerodynamics-Cruise'!B24*ISA!$B$5*B24*'Aerodynamics-Cruise'!BP24)</f>
        <v>51.45946446284669</v>
      </c>
      <c r="AB24" s="1">
        <f t="shared" ca="1" si="13"/>
        <v>0.79782868206846924</v>
      </c>
      <c r="AC24" s="13">
        <f t="shared" ca="1" si="14"/>
        <v>12.158909114723471</v>
      </c>
      <c r="AD24" s="13">
        <f ca="1">1+'Aerodynamics-Cruise'!B24*AC24*Y24*'Aerodynamics-Cruise'!BP24/(2*Z24)</f>
        <v>3.7777628084030774</v>
      </c>
      <c r="AE24" s="13">
        <f ca="1">0.5*'Aerodynamics-Cruise'!B24*Y24^2*D24*'Aerodynamics-Cruise'!AG24/W24</f>
        <v>3.1817098344199515</v>
      </c>
    </row>
    <row r="25" spans="2:31">
      <c r="B25" s="31">
        <f>'Aerodynamics-Takeoff'!L25</f>
        <v>0.33333333333333326</v>
      </c>
      <c r="C25" s="31">
        <f>'Aerodynamics-Takeoff'!M25</f>
        <v>1.8157894736842106</v>
      </c>
      <c r="D25" s="1">
        <f t="shared" si="9"/>
        <v>0.60526315789473673</v>
      </c>
      <c r="E25" s="1">
        <f>MAX(Stability!J25,Stability!P25)*0+'Aerodynamics-Constants'!N25</f>
        <v>2.5499999999999998</v>
      </c>
      <c r="G25" s="31">
        <f>Main!M25</f>
        <v>0.3</v>
      </c>
      <c r="H25" s="32">
        <f>IF(Endurance!$B$10=1,Main!N25,$G$6)</f>
        <v>10</v>
      </c>
      <c r="I25" s="13">
        <f ca="1">Energy!C25</f>
        <v>94.185473821233572</v>
      </c>
      <c r="J25" s="20">
        <f t="shared" ca="1" si="10"/>
        <v>3.1807957508610207</v>
      </c>
      <c r="L25" s="13">
        <f t="shared" ca="1" si="1"/>
        <v>120.14223012254936</v>
      </c>
      <c r="M25" s="13"/>
      <c r="N25" s="13">
        <f ca="1">$M$6*$G$9*($M$10*(B25/$D$6)^(0.8158+1.3*0)*(C25/$D$7)^1.358*('Airfoil 1'!$C$7/$D$8)^(-0.3)*(J25*R25/($G$11*$G$10))^0.49-1)</f>
        <v>-3.6300983302833587</v>
      </c>
      <c r="O25" s="13">
        <f t="shared" ca="1" si="2"/>
        <v>-0.29331996325046755</v>
      </c>
      <c r="P25" s="13">
        <f t="shared" ca="1" si="3"/>
        <v>-0.38015708350048311</v>
      </c>
      <c r="Q25" s="13">
        <f t="shared" ca="1" si="4"/>
        <v>4.9044871643155128</v>
      </c>
      <c r="R25" s="30">
        <f t="shared" ca="1" si="11"/>
        <v>128.23739388369904</v>
      </c>
      <c r="S25" s="13">
        <f t="shared" ca="1" si="5"/>
        <v>128.23739388351478</v>
      </c>
      <c r="U25" s="13">
        <f t="shared" ca="1" si="12"/>
        <v>13.99156178765098</v>
      </c>
      <c r="V25" s="13">
        <f t="shared" ca="1" si="6"/>
        <v>118.23739388388455</v>
      </c>
      <c r="W25" s="13">
        <f t="shared" ca="1" si="7"/>
        <v>128.23739388369904</v>
      </c>
      <c r="X25" s="19"/>
      <c r="Y25" s="13">
        <f ca="1">1.4*'Aerodynamics-Cruise'!H25</f>
        <v>37.85436588617555</v>
      </c>
      <c r="Z25" s="13">
        <f t="shared" ca="1" si="8"/>
        <v>211.8704768513289</v>
      </c>
      <c r="AA25" s="13">
        <f ca="1">2*Z25/('Aerodynamics-Cruise'!B25*ISA!$B$5*B25*'Aerodynamics-Cruise'!BP25)</f>
        <v>49.361143955158276</v>
      </c>
      <c r="AB25" s="1">
        <f t="shared" ca="1" si="13"/>
        <v>0.79467430678314832</v>
      </c>
      <c r="AC25" s="13">
        <f t="shared" ca="1" si="14"/>
        <v>12.11083643537518</v>
      </c>
      <c r="AD25" s="13">
        <f ca="1">1+'Aerodynamics-Cruise'!B25*AC25*Y25*'Aerodynamics-Cruise'!BP25/(2*Z25)</f>
        <v>3.841224018878183</v>
      </c>
      <c r="AE25" s="13">
        <f ca="1">0.5*'Aerodynamics-Cruise'!B25*Y25^2*D25*'Aerodynamics-Cruise'!AG25/W25</f>
        <v>3.1807957508608942</v>
      </c>
    </row>
    <row r="26" spans="2:31">
      <c r="B26" s="31">
        <f>'Aerodynamics-Takeoff'!L26</f>
        <v>0.33333333333333326</v>
      </c>
      <c r="C26" s="31">
        <f>'Aerodynamics-Takeoff'!M26</f>
        <v>1.8947368421052633</v>
      </c>
      <c r="D26" s="1">
        <f t="shared" si="9"/>
        <v>0.63157894736842091</v>
      </c>
      <c r="E26" s="1">
        <f>MAX(Stability!J26,Stability!P26)*0+'Aerodynamics-Constants'!N26</f>
        <v>2.5499999999999998</v>
      </c>
      <c r="G26" s="31">
        <f>Main!M26</f>
        <v>0.3</v>
      </c>
      <c r="H26" s="32">
        <f>IF(Endurance!$B$10=1,Main!N26,$G$6)</f>
        <v>10</v>
      </c>
      <c r="I26" s="13">
        <f ca="1">Energy!C26</f>
        <v>95.530330593260601</v>
      </c>
      <c r="J26" s="20">
        <f t="shared" ca="1" si="10"/>
        <v>3.1799316842823027</v>
      </c>
      <c r="L26" s="13">
        <f t="shared" ca="1" si="1"/>
        <v>121.74345202615534</v>
      </c>
      <c r="M26" s="13"/>
      <c r="N26" s="13">
        <f ca="1">$M$6*$G$9*($M$10*(B26/$D$6)^(0.8158+1.3*0)*(C26/$D$7)^1.358*('Airfoil 1'!$C$7/$D$8)^(-0.3)*(J26*R26/($G$11*$G$10))^0.49-1)</f>
        <v>-3.3423130882220438</v>
      </c>
      <c r="O26" s="13">
        <f t="shared" ca="1" si="2"/>
        <v>-0.26824811487315586</v>
      </c>
      <c r="P26" s="13">
        <f t="shared" ca="1" si="3"/>
        <v>-0.36442246957184643</v>
      </c>
      <c r="Q26" s="13">
        <f t="shared" ca="1" si="4"/>
        <v>4.9631777245728168</v>
      </c>
      <c r="R26" s="30">
        <f t="shared" ca="1" si="11"/>
        <v>129.96953292037119</v>
      </c>
      <c r="S26" s="13">
        <f t="shared" ca="1" si="5"/>
        <v>129.96953292016636</v>
      </c>
      <c r="U26" s="13">
        <f t="shared" ca="1" si="12"/>
        <v>14.378844052316765</v>
      </c>
      <c r="V26" s="13">
        <f t="shared" ca="1" si="6"/>
        <v>119.96953292057736</v>
      </c>
      <c r="W26" s="13">
        <f t="shared" ca="1" si="7"/>
        <v>129.96953292037119</v>
      </c>
      <c r="X26" s="19"/>
      <c r="Y26" s="13">
        <f ca="1">1.4*'Aerodynamics-Cruise'!H26</f>
        <v>37.305494672413452</v>
      </c>
      <c r="Z26" s="13">
        <f t="shared" ca="1" si="8"/>
        <v>205.78509379058778</v>
      </c>
      <c r="AA26" s="13">
        <f ca="1">2*Z26/('Aerodynamics-Cruise'!B26*ISA!$B$5*B26*'Aerodynamics-Cruise'!BP26)</f>
        <v>47.423585418823592</v>
      </c>
      <c r="AB26" s="1">
        <f t="shared" ca="1" si="13"/>
        <v>0.7915386413319524</v>
      </c>
      <c r="AC26" s="13">
        <f t="shared" ca="1" si="14"/>
        <v>12.063048893898955</v>
      </c>
      <c r="AD26" s="13">
        <f ca="1">1+'Aerodynamics-Cruise'!B26*AC26*Y26*'Aerodynamics-Cruise'!BP26/(2*Z26)</f>
        <v>3.9029268013798237</v>
      </c>
      <c r="AE26" s="13">
        <f ca="1">0.5*'Aerodynamics-Cruise'!B26*Y26^2*D26*'Aerodynamics-Cruise'!AG26/W26</f>
        <v>3.1799316842821619</v>
      </c>
    </row>
    <row r="27" spans="2:31">
      <c r="B27" s="31">
        <f>'Aerodynamics-Takeoff'!L27</f>
        <v>0.33333333333333326</v>
      </c>
      <c r="C27" s="31">
        <f>'Aerodynamics-Takeoff'!M27</f>
        <v>1.9736842105263159</v>
      </c>
      <c r="D27" s="1">
        <f t="shared" si="9"/>
        <v>0.6578947368421052</v>
      </c>
      <c r="E27" s="1">
        <f>MAX(Stability!J27,Stability!P27)*0+'Aerodynamics-Constants'!N27</f>
        <v>2.5499999999999998</v>
      </c>
      <c r="G27" s="31">
        <f>Main!M27</f>
        <v>0.3</v>
      </c>
      <c r="H27" s="32">
        <f>IF(Endurance!$B$10=1,Main!N27,$G$6)</f>
        <v>10</v>
      </c>
      <c r="I27" s="13">
        <f ca="1">Energy!C27</f>
        <v>96.784625845849192</v>
      </c>
      <c r="J27" s="20">
        <f t="shared" ca="1" si="10"/>
        <v>3.1791121251124199</v>
      </c>
      <c r="L27" s="13">
        <f t="shared" ca="1" si="1"/>
        <v>123.25411241032288</v>
      </c>
      <c r="M27" s="13"/>
      <c r="N27" s="13">
        <f ca="1">$M$6*$G$9*($M$10*(B27/$D$6)^(0.8158+1.3*0)*(C27/$D$7)^1.358*('Airfoil 1'!$C$7/$D$8)^(-0.3)*(J27*R27/($G$11*$G$10))^0.49-1)</f>
        <v>-3.0490649789263298</v>
      </c>
      <c r="O27" s="13">
        <f t="shared" ca="1" si="2"/>
        <v>-0.24322621066250003</v>
      </c>
      <c r="P27" s="13">
        <f t="shared" ca="1" si="3"/>
        <v>-0.34813629399403101</v>
      </c>
      <c r="Q27" s="13">
        <f t="shared" ca="1" si="4"/>
        <v>5.0185054766011863</v>
      </c>
      <c r="R27" s="30">
        <f t="shared" ca="1" si="11"/>
        <v>131.61371211409033</v>
      </c>
      <c r="S27" s="13">
        <f t="shared" ca="1" si="5"/>
        <v>131.61371211386754</v>
      </c>
      <c r="U27" s="13">
        <f t="shared" ca="1" si="12"/>
        <v>14.768727993465561</v>
      </c>
      <c r="V27" s="13">
        <f t="shared" ca="1" si="6"/>
        <v>121.61371211431475</v>
      </c>
      <c r="W27" s="13">
        <f t="shared" ca="1" si="7"/>
        <v>131.61371211409033</v>
      </c>
      <c r="X27" s="19"/>
      <c r="Y27" s="13">
        <f ca="1">1.4*'Aerodynamics-Cruise'!H27</f>
        <v>36.781121657977444</v>
      </c>
      <c r="Z27" s="13">
        <f t="shared" ca="1" si="8"/>
        <v>200.05284241341732</v>
      </c>
      <c r="AA27" s="13">
        <f ca="1">2*Z27/('Aerodynamics-Cruise'!B27*ISA!$B$5*B27*'Aerodynamics-Cruise'!BP27)</f>
        <v>45.629422474808379</v>
      </c>
      <c r="AB27" s="1">
        <f t="shared" ca="1" si="13"/>
        <v>0.78842228768042699</v>
      </c>
      <c r="AC27" s="13">
        <f t="shared" ca="1" si="14"/>
        <v>12.015555664249707</v>
      </c>
      <c r="AD27" s="13">
        <f ca="1">1+'Aerodynamics-Cruise'!B27*AC27*Y27*'Aerodynamics-Cruise'!BP27/(2*Z27)</f>
        <v>3.9629507723050845</v>
      </c>
      <c r="AE27" s="13">
        <f ca="1">0.5*'Aerodynamics-Cruise'!B27*Y27^2*D27*'Aerodynamics-Cruise'!AG27/W27</f>
        <v>3.1791121251122729</v>
      </c>
    </row>
    <row r="28" spans="2:31">
      <c r="B28" s="31">
        <f>'Aerodynamics-Takeoff'!L28</f>
        <v>0.33333333333333326</v>
      </c>
      <c r="C28" s="31">
        <f>'Aerodynamics-Takeoff'!M28</f>
        <v>2.0526315789473686</v>
      </c>
      <c r="D28" s="1">
        <f t="shared" si="9"/>
        <v>0.68421052631578938</v>
      </c>
      <c r="E28" s="1">
        <f>MAX(Stability!J28,Stability!P28)*0+'Aerodynamics-Constants'!N28</f>
        <v>2.5499999999999998</v>
      </c>
      <c r="G28" s="31">
        <f>Main!M28</f>
        <v>0.3</v>
      </c>
      <c r="H28" s="32">
        <f>IF(Endurance!$B$10=1,Main!N28,$G$6)</f>
        <v>10</v>
      </c>
      <c r="I28" s="13">
        <f ca="1">Energy!C28</f>
        <v>97.340040589559038</v>
      </c>
      <c r="J28" s="20">
        <f t="shared" ca="1" si="10"/>
        <v>3.1782238406369805</v>
      </c>
      <c r="L28" s="13">
        <f t="shared" ca="1" si="1"/>
        <v>124.06589228561167</v>
      </c>
      <c r="M28" s="13"/>
      <c r="N28" s="13">
        <f ca="1">$M$6*$G$9*($M$10*(B28/$D$6)^(0.8158+1.3*0)*(C28/$D$7)^1.358*('Airfoil 1'!$C$7/$D$8)^(-0.3)*(J28*R28/($G$11*$G$10))^0.49-1)</f>
        <v>-2.7631252762799368</v>
      </c>
      <c r="O28" s="13">
        <f t="shared" ca="1" si="2"/>
        <v>-0.21955806964556232</v>
      </c>
      <c r="P28" s="13">
        <f t="shared" ca="1" si="3"/>
        <v>-0.33174853006956778</v>
      </c>
      <c r="Q28" s="13">
        <f t="shared" ca="1" si="4"/>
        <v>5.048395577662494</v>
      </c>
      <c r="R28" s="30">
        <f t="shared" ca="1" si="11"/>
        <v>132.52501256713882</v>
      </c>
      <c r="S28" s="13">
        <f t="shared" ca="1" si="5"/>
        <v>132.52501256622648</v>
      </c>
      <c r="U28" s="13">
        <f t="shared" ca="1" si="12"/>
        <v>15.124613703499591</v>
      </c>
      <c r="V28" s="13">
        <f t="shared" ca="1" si="6"/>
        <v>122.52501256805863</v>
      </c>
      <c r="W28" s="13">
        <f t="shared" ca="1" si="7"/>
        <v>132.52501256713882</v>
      </c>
      <c r="X28" s="19"/>
      <c r="Y28" s="13">
        <f ca="1">1.4*'Aerodynamics-Cruise'!H28</f>
        <v>36.190521336003485</v>
      </c>
      <c r="Z28" s="13">
        <f t="shared" ca="1" si="8"/>
        <v>193.69040298274138</v>
      </c>
      <c r="AA28" s="13">
        <f ca="1">2*Z28/('Aerodynamics-Cruise'!B28*ISA!$B$5*B28*'Aerodynamics-Cruise'!BP28)</f>
        <v>43.718390886907549</v>
      </c>
      <c r="AB28" s="1">
        <f t="shared" ca="1" si="13"/>
        <v>0.7848520378655327</v>
      </c>
      <c r="AC28" s="13">
        <f t="shared" ca="1" si="14"/>
        <v>11.961145057070718</v>
      </c>
      <c r="AD28" s="13">
        <f ca="1">1+'Aerodynamics-Cruise'!B28*AC28*Y28*'Aerodynamics-Cruise'!BP28/(2*Z28)</f>
        <v>4.029033014685715</v>
      </c>
      <c r="AE28" s="13">
        <f ca="1">0.5*'Aerodynamics-Cruise'!B28*Y28^2*D28*'Aerodynamics-Cruise'!AG28/W28</f>
        <v>3.1782238406362726</v>
      </c>
    </row>
    <row r="29" spans="2:31">
      <c r="B29" s="31">
        <f>'Aerodynamics-Takeoff'!L29</f>
        <v>0.33333333333333326</v>
      </c>
      <c r="C29" s="31">
        <f>'Aerodynamics-Takeoff'!M29</f>
        <v>2.1315789473684212</v>
      </c>
      <c r="D29" s="1">
        <f t="shared" si="9"/>
        <v>0.71052631578947356</v>
      </c>
      <c r="E29" s="1">
        <f>MAX(Stability!J29,Stability!P29)*0+'Aerodynamics-Constants'!N29</f>
        <v>2.5499999999999998</v>
      </c>
      <c r="G29" s="31">
        <f>Main!M29</f>
        <v>0.3</v>
      </c>
      <c r="H29" s="32">
        <f>IF(Endurance!$B$10=1,Main!N29,$G$6)</f>
        <v>10</v>
      </c>
      <c r="I29" s="13">
        <f ca="1">Energy!C29</f>
        <v>96.745337600002586</v>
      </c>
      <c r="J29" s="20">
        <f t="shared" ca="1" si="10"/>
        <v>3.1771836390453099</v>
      </c>
      <c r="L29" s="13">
        <f t="shared" ca="1" si="1"/>
        <v>123.72755442763416</v>
      </c>
      <c r="M29" s="13"/>
      <c r="N29" s="13">
        <f ca="1">$M$6*$G$9*($M$10*(B29/$D$6)^(0.8158+1.3*0)*(C29/$D$7)^1.358*('Airfoil 1'!$C$7/$D$8)^(-0.3)*(J29*R29/($G$11*$G$10))^0.49-1)</f>
        <v>-2.4964355977614705</v>
      </c>
      <c r="O29" s="13">
        <f t="shared" ca="1" si="2"/>
        <v>-0.1983724101896446</v>
      </c>
      <c r="P29" s="13">
        <f t="shared" ca="1" si="3"/>
        <v>-0.31570506828996736</v>
      </c>
      <c r="Q29" s="13">
        <f t="shared" ca="1" si="4"/>
        <v>5.0365859348071078</v>
      </c>
      <c r="R29" s="30">
        <f t="shared" ca="1" si="11"/>
        <v>132.2224187345073</v>
      </c>
      <c r="S29" s="13">
        <f t="shared" ca="1" si="5"/>
        <v>132.22241873356859</v>
      </c>
      <c r="U29" s="13">
        <f t="shared" ca="1" si="12"/>
        <v>15.416722860450875</v>
      </c>
      <c r="V29" s="13">
        <f t="shared" ca="1" si="6"/>
        <v>122.22241873545346</v>
      </c>
      <c r="W29" s="13">
        <f t="shared" ca="1" si="7"/>
        <v>132.2224187345073</v>
      </c>
      <c r="X29" s="19"/>
      <c r="Y29" s="13">
        <f ca="1">1.4*'Aerodynamics-Cruise'!H29</f>
        <v>35.472570225007729</v>
      </c>
      <c r="Z29" s="13">
        <f t="shared" ca="1" si="8"/>
        <v>186.09081155226957</v>
      </c>
      <c r="AA29" s="13">
        <f ca="1">2*Z29/('Aerodynamics-Cruise'!B29*ISA!$B$5*B29*'Aerodynamics-Cruise'!BP29)</f>
        <v>41.536702311933539</v>
      </c>
      <c r="AB29" s="1">
        <f t="shared" ca="1" si="13"/>
        <v>0.7804199747254269</v>
      </c>
      <c r="AC29" s="13">
        <f t="shared" ca="1" si="14"/>
        <v>11.893600414815506</v>
      </c>
      <c r="AD29" s="13">
        <f ca="1">1+'Aerodynamics-Cruise'!B29*AC29*Y29*'Aerodynamics-Cruise'!BP29/(2*Z29)</f>
        <v>4.1072383319539671</v>
      </c>
      <c r="AE29" s="13">
        <f ca="1">0.5*'Aerodynamics-Cruise'!B29*Y29^2*D29*'Aerodynamics-Cruise'!AG29/W29</f>
        <v>3.1771836390445958</v>
      </c>
    </row>
    <row r="30" spans="2:31">
      <c r="B30" s="31">
        <f>'Aerodynamics-Takeoff'!L30</f>
        <v>0.33333333333333326</v>
      </c>
      <c r="C30" s="31">
        <f>'Aerodynamics-Takeoff'!M30</f>
        <v>2.2105263157894739</v>
      </c>
      <c r="D30" s="1">
        <f t="shared" si="9"/>
        <v>0.73684210526315785</v>
      </c>
      <c r="E30" s="1">
        <f>MAX(Stability!J30,Stability!P30)*0+'Aerodynamics-Constants'!N30</f>
        <v>2.5499999999999998</v>
      </c>
      <c r="G30" s="31">
        <f>Main!M30</f>
        <v>0.3</v>
      </c>
      <c r="H30" s="32">
        <f>IF(Endurance!$B$10=1,Main!N30,$G$6)</f>
        <v>10</v>
      </c>
      <c r="I30" s="13">
        <f ca="1">Energy!C30</f>
        <v>96.217684131280151</v>
      </c>
      <c r="J30" s="20">
        <f t="shared" ca="1" si="10"/>
        <v>3.176202035543358</v>
      </c>
      <c r="L30" s="13">
        <f t="shared" ca="1" si="1"/>
        <v>123.45626609049067</v>
      </c>
      <c r="M30" s="13"/>
      <c r="N30" s="13">
        <f ca="1">$M$6*$G$9*($M$10*(B30/$D$6)^(0.8158+1.3*0)*(C30/$D$7)^1.358*('Airfoil 1'!$C$7/$D$8)^(-0.3)*(J30*R30/($G$11*$G$10))^0.49-1)</f>
        <v>-2.2251611190590714</v>
      </c>
      <c r="O30" s="13">
        <f t="shared" ca="1" si="2"/>
        <v>-0.1771543439078922</v>
      </c>
      <c r="P30" s="13">
        <f t="shared" ca="1" si="3"/>
        <v>-0.29917786293706056</v>
      </c>
      <c r="Q30" s="13">
        <f t="shared" ca="1" si="4"/>
        <v>5.0274072222138102</v>
      </c>
      <c r="R30" s="30">
        <f t="shared" ca="1" si="11"/>
        <v>131.99460630355392</v>
      </c>
      <c r="S30" s="13">
        <f t="shared" ca="1" si="5"/>
        <v>131.99460630258994</v>
      </c>
      <c r="U30" s="13">
        <f t="shared" ca="1" si="12"/>
        <v>15.716563898245226</v>
      </c>
      <c r="V30" s="13">
        <f t="shared" ca="1" si="6"/>
        <v>121.99460630452538</v>
      </c>
      <c r="W30" s="13">
        <f t="shared" ca="1" si="7"/>
        <v>131.99460630355392</v>
      </c>
      <c r="X30" s="19"/>
      <c r="Y30" s="13">
        <f ca="1">1.4*'Aerodynamics-Cruise'!H30</f>
        <v>34.802587012591211</v>
      </c>
      <c r="Z30" s="13">
        <f t="shared" ca="1" si="8"/>
        <v>179.13553712625176</v>
      </c>
      <c r="AA30" s="13">
        <f ca="1">2*Z30/('Aerodynamics-Cruise'!B30*ISA!$B$5*B30*'Aerodynamics-Cruise'!BP30)</f>
        <v>39.563636935701169</v>
      </c>
      <c r="AB30" s="1">
        <f t="shared" ca="1" si="13"/>
        <v>0.77604052817464464</v>
      </c>
      <c r="AC30" s="13">
        <f t="shared" ca="1" si="14"/>
        <v>11.826857649381585</v>
      </c>
      <c r="AD30" s="13">
        <f ca="1">1+'Aerodynamics-Cruise'!B30*AC30*Y30*'Aerodynamics-Cruise'!BP30/(2*Z30)</f>
        <v>4.1826235267460934</v>
      </c>
      <c r="AE30" s="13">
        <f ca="1">0.5*'Aerodynamics-Cruise'!B30*Y30^2*D30*'Aerodynamics-Cruise'!AG30/W30</f>
        <v>3.176202035542635</v>
      </c>
    </row>
    <row r="31" spans="2:31">
      <c r="B31" s="31">
        <f>'Aerodynamics-Takeoff'!L31</f>
        <v>0.33333333333333326</v>
      </c>
      <c r="C31" s="31">
        <f>'Aerodynamics-Takeoff'!M31</f>
        <v>2.2894736842105265</v>
      </c>
      <c r="D31" s="1">
        <f t="shared" si="9"/>
        <v>0.76315789473684204</v>
      </c>
      <c r="E31" s="1">
        <f>MAX(Stability!J31,Stability!P31)*0+'Aerodynamics-Constants'!N31</f>
        <v>2.5499999999999998</v>
      </c>
      <c r="G31" s="31">
        <f>Main!M31</f>
        <v>0.3</v>
      </c>
      <c r="H31" s="32">
        <f>IF(Endurance!$B$10=1,Main!N31,$G$6)</f>
        <v>10</v>
      </c>
      <c r="I31" s="13">
        <f ca="1">Energy!C31</f>
        <v>95.747087692440758</v>
      </c>
      <c r="J31" s="20">
        <f t="shared" ca="1" si="10"/>
        <v>3.1752731250221276</v>
      </c>
      <c r="L31" s="13">
        <f t="shared" ca="1" si="1"/>
        <v>123.24203478323022</v>
      </c>
      <c r="M31" s="13"/>
      <c r="N31" s="13">
        <f ca="1">$M$6*$G$9*($M$10*(B31/$D$6)^(0.8158+1.3*0)*(C31/$D$7)^1.358*('Airfoil 1'!$C$7/$D$8)^(-0.3)*(J31*R31/($G$11*$G$10))^0.49-1)</f>
        <v>-1.9493954490130259</v>
      </c>
      <c r="O31" s="13">
        <f t="shared" ca="1" si="2"/>
        <v>-0.15590770235274701</v>
      </c>
      <c r="P31" s="13">
        <f t="shared" ca="1" si="3"/>
        <v>-0.28216978982335877</v>
      </c>
      <c r="Q31" s="13">
        <f t="shared" ca="1" si="4"/>
        <v>5.0204988256748733</v>
      </c>
      <c r="R31" s="30">
        <f t="shared" ca="1" si="11"/>
        <v>131.83112185291466</v>
      </c>
      <c r="S31" s="13">
        <f t="shared" ca="1" si="5"/>
        <v>131.8311218519265</v>
      </c>
      <c r="U31" s="13">
        <f t="shared" ca="1" si="12"/>
        <v>16.023675886469576</v>
      </c>
      <c r="V31" s="13">
        <f t="shared" ca="1" si="6"/>
        <v>121.83112185391033</v>
      </c>
      <c r="W31" s="13">
        <f t="shared" ca="1" si="7"/>
        <v>131.83112185291466</v>
      </c>
      <c r="X31" s="19"/>
      <c r="Y31" s="13">
        <f ca="1">1.4*'Aerodynamics-Cruise'!H31</f>
        <v>34.175415595734542</v>
      </c>
      <c r="Z31" s="13">
        <f t="shared" ca="1" si="8"/>
        <v>172.7442286348537</v>
      </c>
      <c r="AA31" s="13">
        <f ca="1">2*Z31/('Aerodynamics-Cruise'!B31*ISA!$B$5*B31*'Aerodynamics-Cruise'!BP31)</f>
        <v>37.771065446039181</v>
      </c>
      <c r="AB31" s="1">
        <f t="shared" ca="1" si="13"/>
        <v>0.77171384659979669</v>
      </c>
      <c r="AC31" s="13">
        <f t="shared" ca="1" si="14"/>
        <v>11.760919022180902</v>
      </c>
      <c r="AD31" s="13">
        <f ca="1">1+'Aerodynamics-Cruise'!B31*AC31*Y31*'Aerodynamics-Cruise'!BP31/(2*Z31)</f>
        <v>4.2553403990709207</v>
      </c>
      <c r="AE31" s="13">
        <f ca="1">0.5*'Aerodynamics-Cruise'!B31*Y31^2*D31*'Aerodynamics-Cruise'!AG31/W31</f>
        <v>3.1752731250213988</v>
      </c>
    </row>
    <row r="32" spans="2:31">
      <c r="B32" s="31">
        <f>'Aerodynamics-Takeoff'!L32</f>
        <v>0.33333333333333326</v>
      </c>
      <c r="C32" s="31">
        <f>'Aerodynamics-Takeoff'!M32</f>
        <v>2.3684210526315792</v>
      </c>
      <c r="D32" s="1">
        <f t="shared" si="9"/>
        <v>0.78947368421052622</v>
      </c>
      <c r="E32" s="1">
        <f>MAX(Stability!J32,Stability!P32)*0+'Aerodynamics-Constants'!N32</f>
        <v>2.5499999999999998</v>
      </c>
      <c r="G32" s="31">
        <f>Main!M32</f>
        <v>0.3</v>
      </c>
      <c r="H32" s="32">
        <f>IF(Endurance!$B$10=1,Main!N32,$G$6)</f>
        <v>10</v>
      </c>
      <c r="I32" s="13">
        <f ca="1">Energy!C32</f>
        <v>95.325460617948707</v>
      </c>
      <c r="J32" s="20">
        <f t="shared" ca="1" si="10"/>
        <v>3.1743918615752391</v>
      </c>
      <c r="L32" s="13">
        <f t="shared" ca="1" si="1"/>
        <v>123.07677284031713</v>
      </c>
      <c r="M32" s="13"/>
      <c r="N32" s="13">
        <f ca="1">$M$6*$G$9*($M$10*(B32/$D$6)^(0.8158+1.3*0)*(C32/$D$7)^1.358*('Airfoil 1'!$C$7/$D$8)^(-0.3)*(J32*R32/($G$11*$G$10))^0.49-1)</f>
        <v>-1.6692197161780733</v>
      </c>
      <c r="O32" s="13">
        <f t="shared" ca="1" si="2"/>
        <v>-0.13463513680312778</v>
      </c>
      <c r="P32" s="13">
        <f t="shared" ca="1" si="3"/>
        <v>-0.26468335581313518</v>
      </c>
      <c r="Q32" s="13">
        <f t="shared" ca="1" si="4"/>
        <v>5.0155669547941013</v>
      </c>
      <c r="R32" s="30">
        <f t="shared" ca="1" si="11"/>
        <v>131.72349763995931</v>
      </c>
      <c r="S32" s="13">
        <f t="shared" ca="1" si="5"/>
        <v>131.72349763894849</v>
      </c>
      <c r="U32" s="13">
        <f t="shared" ca="1" si="12"/>
        <v>16.337678748029006</v>
      </c>
      <c r="V32" s="13">
        <f t="shared" ca="1" si="6"/>
        <v>121.72349764097771</v>
      </c>
      <c r="W32" s="13">
        <f t="shared" ca="1" si="7"/>
        <v>131.72349763995931</v>
      </c>
      <c r="X32" s="19"/>
      <c r="Y32" s="13">
        <f ca="1">1.4*'Aerodynamics-Cruise'!H32</f>
        <v>33.58667480241548</v>
      </c>
      <c r="Z32" s="13">
        <f t="shared" ca="1" si="8"/>
        <v>166.8497636772818</v>
      </c>
      <c r="AA32" s="13">
        <f ca="1">2*Z32/('Aerodynamics-Cruise'!B32*ISA!$B$5*B32*'Aerodynamics-Cruise'!BP32)</f>
        <v>36.135718284093215</v>
      </c>
      <c r="AB32" s="1">
        <f t="shared" ca="1" si="13"/>
        <v>0.7674401073966548</v>
      </c>
      <c r="AC32" s="13">
        <f t="shared" ca="1" si="14"/>
        <v>11.695787236725019</v>
      </c>
      <c r="AD32" s="13">
        <f ca="1">1+'Aerodynamics-Cruise'!B32*AC32*Y32*'Aerodynamics-Cruise'!BP32/(2*Z32)</f>
        <v>4.3255260633420622</v>
      </c>
      <c r="AE32" s="13">
        <f ca="1">0.5*'Aerodynamics-Cruise'!B32*Y32^2*D32*'Aerodynamics-Cruise'!AG32/W32</f>
        <v>3.1743918615745037</v>
      </c>
    </row>
    <row r="33" spans="2:31">
      <c r="B33" s="31">
        <f>'Aerodynamics-Takeoff'!L33</f>
        <v>0.33333333333333326</v>
      </c>
      <c r="C33" s="31">
        <f>'Aerodynamics-Takeoff'!M33</f>
        <v>2.4473684210526319</v>
      </c>
      <c r="D33" s="1">
        <f t="shared" si="9"/>
        <v>0.8157894736842104</v>
      </c>
      <c r="E33" s="1">
        <f>MAX(Stability!J33,Stability!P33)*0+'Aerodynamics-Constants'!N33</f>
        <v>2.5499999999999998</v>
      </c>
      <c r="G33" s="31">
        <f>Main!M33</f>
        <v>0.3</v>
      </c>
      <c r="H33" s="32">
        <f>IF(Endurance!$B$10=1,Main!N33,$G$6)</f>
        <v>10</v>
      </c>
      <c r="I33" s="13">
        <f ca="1">Energy!C33</f>
        <v>94.946186964318969</v>
      </c>
      <c r="J33" s="20">
        <f t="shared" ca="1" si="10"/>
        <v>3.1735538998754413</v>
      </c>
      <c r="L33" s="13">
        <f t="shared" ca="1" si="1"/>
        <v>122.95386431826634</v>
      </c>
      <c r="M33" s="13"/>
      <c r="N33" s="13">
        <f ca="1">$M$6*$G$9*($M$10*(B33/$D$6)^(0.8158+1.3*0)*(C33/$D$7)^1.358*('Airfoil 1'!$C$7/$D$8)^(-0.3)*(J33*R33/($G$11*$G$10))^0.49-1)</f>
        <v>-1.3847047910656287</v>
      </c>
      <c r="O33" s="13">
        <f t="shared" ca="1" si="2"/>
        <v>-0.11333840914956959</v>
      </c>
      <c r="P33" s="13">
        <f t="shared" ca="1" si="3"/>
        <v>-0.24672075299088311</v>
      </c>
      <c r="Q33" s="13">
        <f t="shared" ca="1" si="4"/>
        <v>5.0123697789405393</v>
      </c>
      <c r="R33" s="30">
        <f t="shared" ca="1" si="11"/>
        <v>131.66480106609063</v>
      </c>
      <c r="S33" s="13">
        <f t="shared" ca="1" si="5"/>
        <v>131.66480106505344</v>
      </c>
      <c r="U33" s="13">
        <f t="shared" ca="1" si="12"/>
        <v>16.658255827816589</v>
      </c>
      <c r="V33" s="13">
        <f t="shared" ca="1" si="6"/>
        <v>121.66480106713556</v>
      </c>
      <c r="W33" s="13">
        <f t="shared" ca="1" si="7"/>
        <v>131.66480106609063</v>
      </c>
      <c r="X33" s="19"/>
      <c r="Y33" s="13">
        <f ca="1">1.4*'Aerodynamics-Cruise'!H33</f>
        <v>33.032609996003607</v>
      </c>
      <c r="Z33" s="13">
        <f t="shared" ca="1" si="8"/>
        <v>161.39556259714337</v>
      </c>
      <c r="AA33" s="13">
        <f ca="1">2*Z33/('Aerodynamics-Cruise'!B33*ISA!$B$5*B33*'Aerodynamics-Cruise'!BP33)</f>
        <v>34.638170599060686</v>
      </c>
      <c r="AB33" s="1">
        <f t="shared" ca="1" si="13"/>
        <v>0.76321948827296338</v>
      </c>
      <c r="AC33" s="13">
        <f t="shared" ca="1" si="14"/>
        <v>11.631465001279961</v>
      </c>
      <c r="AD33" s="13">
        <f ca="1">1+'Aerodynamics-Cruise'!B33*AC33*Y33*'Aerodynamics-Cruise'!BP33/(2*Z33)</f>
        <v>4.3933053384716363</v>
      </c>
      <c r="AE33" s="13">
        <f ca="1">0.5*'Aerodynamics-Cruise'!B33*Y33^2*D33*'Aerodynamics-Cruise'!AG33/W33</f>
        <v>3.1735538998746904</v>
      </c>
    </row>
    <row r="34" spans="2:31">
      <c r="B34" s="31">
        <f>'Aerodynamics-Takeoff'!L34</f>
        <v>0.33333333333333326</v>
      </c>
      <c r="C34" s="31">
        <f>'Aerodynamics-Takeoff'!M34</f>
        <v>2.5263157894736845</v>
      </c>
      <c r="D34" s="1">
        <f t="shared" si="9"/>
        <v>0.84210526315789469</v>
      </c>
      <c r="E34" s="1">
        <f>MAX(Stability!J34,Stability!P34)*0+'Aerodynamics-Constants'!N34</f>
        <v>2.5499999999999998</v>
      </c>
      <c r="G34" s="31">
        <f>Main!M34</f>
        <v>0.3</v>
      </c>
      <c r="H34" s="32">
        <f>IF(Endurance!$B$10=1,Main!N34,$G$6)</f>
        <v>10</v>
      </c>
      <c r="I34" s="13">
        <f ca="1">Energy!C34</f>
        <v>94.602664398159263</v>
      </c>
      <c r="J34" s="20">
        <f t="shared" ca="1" si="10"/>
        <v>3.1727552678460751</v>
      </c>
      <c r="L34" s="13">
        <f t="shared" ca="1" si="1"/>
        <v>122.86670688368558</v>
      </c>
      <c r="M34" s="13"/>
      <c r="N34" s="13">
        <f ca="1">$M$6*$G$9*($M$10*(B34/$D$6)^(0.8158+1.3*0)*(C34/$D$7)^1.358*('Airfoil 1'!$C$7/$D$8)^(-0.3)*(J34*R34/($G$11*$G$10))^0.49-1)</f>
        <v>-1.0959442898476681</v>
      </c>
      <c r="O34" s="13">
        <f t="shared" ca="1" si="2"/>
        <v>-9.2021546476409644E-2</v>
      </c>
      <c r="P34" s="13">
        <f t="shared" ca="1" si="3"/>
        <v>-0.22828509819512477</v>
      </c>
      <c r="Q34" s="13">
        <f t="shared" ca="1" si="4"/>
        <v>5.0106645077203842</v>
      </c>
      <c r="R34" s="30">
        <f t="shared" ca="1" si="11"/>
        <v>131.64808624742784</v>
      </c>
      <c r="S34" s="13">
        <f t="shared" ca="1" si="5"/>
        <v>131.64808624636046</v>
      </c>
      <c r="U34" s="13">
        <f t="shared" ca="1" si="12"/>
        <v>16.985063575343887</v>
      </c>
      <c r="V34" s="13">
        <f t="shared" ca="1" si="6"/>
        <v>121.64808624850315</v>
      </c>
      <c r="W34" s="13">
        <f t="shared" ca="1" si="7"/>
        <v>131.64808624742784</v>
      </c>
      <c r="X34" s="19"/>
      <c r="Y34" s="13">
        <f ca="1">1.4*'Aerodynamics-Cruise'!H34</f>
        <v>32.509828789160679</v>
      </c>
      <c r="Z34" s="13">
        <f t="shared" ca="1" si="8"/>
        <v>156.33210241882057</v>
      </c>
      <c r="AA34" s="13">
        <f ca="1">2*Z34/('Aerodynamics-Cruise'!B34*ISA!$B$5*B34*'Aerodynamics-Cruise'!BP34)</f>
        <v>33.261723522626824</v>
      </c>
      <c r="AB34" s="1">
        <f t="shared" ca="1" si="13"/>
        <v>0.75905104922856192</v>
      </c>
      <c r="AC34" s="13">
        <f t="shared" ca="1" si="14"/>
        <v>11.567937990243284</v>
      </c>
      <c r="AD34" s="13">
        <f ca="1">1+'Aerodynamics-Cruise'!B34*AC34*Y34*'Aerodynamics-Cruise'!BP34/(2*Z34)</f>
        <v>4.4588080739641605</v>
      </c>
      <c r="AE34" s="13">
        <f ca="1">0.5*'Aerodynamics-Cruise'!B34*Y34^2*D34*'Aerodynamics-Cruise'!AG34/W34</f>
        <v>3.1727552678453073</v>
      </c>
    </row>
    <row r="35" spans="2:31">
      <c r="B35" s="31">
        <f>'Aerodynamics-Takeoff'!L35</f>
        <v>0.33333333333333326</v>
      </c>
      <c r="C35" s="31">
        <f>'Aerodynamics-Takeoff'!M35</f>
        <v>2.6052631578947372</v>
      </c>
      <c r="D35" s="1">
        <f t="shared" si="9"/>
        <v>0.86842105263157887</v>
      </c>
      <c r="E35" s="1">
        <f>MAX(Stability!J35,Stability!P35)*0+'Aerodynamics-Constants'!N35</f>
        <v>2.5499999999999998</v>
      </c>
      <c r="G35" s="31">
        <f>Main!M35</f>
        <v>0.3</v>
      </c>
      <c r="H35" s="32">
        <f>IF(Endurance!$B$10=1,Main!N35,$G$6)</f>
        <v>10</v>
      </c>
      <c r="I35" s="13">
        <f ca="1">Energy!C35</f>
        <v>94.286043113445729</v>
      </c>
      <c r="J35" s="20">
        <f t="shared" ca="1" si="10"/>
        <v>3.1719919062017143</v>
      </c>
      <c r="L35" s="13">
        <f t="shared" ca="1" si="1"/>
        <v>122.80645073055099</v>
      </c>
      <c r="M35" s="13"/>
      <c r="N35" s="13">
        <f ca="1">$M$6*$G$9*($M$10*(B35/$D$6)^(0.8158+1.3*0)*(C35/$D$7)^1.358*('Airfoil 1'!$C$7/$D$8)^(-0.3)*(J35*R35/($G$11*$G$10))^0.49-1)</f>
        <v>-0.80312078235244866</v>
      </c>
      <c r="O35" s="13">
        <f t="shared" ca="1" si="2"/>
        <v>-7.0696802619339444E-2</v>
      </c>
      <c r="P35" s="13">
        <f t="shared" ca="1" si="3"/>
        <v>-0.20938305038027716</v>
      </c>
      <c r="Q35" s="13">
        <f t="shared" ca="1" si="4"/>
        <v>5.0101243934989563</v>
      </c>
      <c r="R35" s="30">
        <f t="shared" ca="1" si="11"/>
        <v>131.66397514768556</v>
      </c>
      <c r="S35" s="13">
        <f t="shared" ca="1" si="5"/>
        <v>131.66397514659263</v>
      </c>
      <c r="U35" s="13">
        <f t="shared" ca="1" si="12"/>
        <v>17.317573760340835</v>
      </c>
      <c r="V35" s="13">
        <f t="shared" ca="1" si="6"/>
        <v>121.66397514878656</v>
      </c>
      <c r="W35" s="13">
        <f t="shared" ca="1" si="7"/>
        <v>131.66397514768556</v>
      </c>
      <c r="X35" s="19"/>
      <c r="Y35" s="13">
        <f ca="1">1.4*'Aerodynamics-Cruise'!H35</f>
        <v>32.014959720342183</v>
      </c>
      <c r="Z35" s="13">
        <f t="shared" ca="1" si="8"/>
        <v>151.6130622912743</v>
      </c>
      <c r="AA35" s="13">
        <f ca="1">2*Z35/('Aerodynamics-Cruise'!B35*ISA!$B$5*B35*'Aerodynamics-Cruise'!BP35)</f>
        <v>31.991279473220192</v>
      </c>
      <c r="AB35" s="1">
        <f t="shared" ca="1" si="13"/>
        <v>0.75493054499915091</v>
      </c>
      <c r="AC35" s="13">
        <f t="shared" ca="1" si="14"/>
        <v>11.50514150578706</v>
      </c>
      <c r="AD35" s="13">
        <f ca="1">1+'Aerodynamics-Cruise'!B35*AC35*Y35*'Aerodynamics-Cruise'!BP35/(2*Z35)</f>
        <v>4.522199034377425</v>
      </c>
      <c r="AE35" s="13">
        <f ca="1">0.5*'Aerodynamics-Cruise'!B35*Y35^2*D35*'Aerodynamics-Cruise'!AG35/W35</f>
        <v>3.171991906200931</v>
      </c>
    </row>
    <row r="36" spans="2:31">
      <c r="B36" s="31">
        <f>'Aerodynamics-Takeoff'!L36</f>
        <v>0.33333333333333326</v>
      </c>
      <c r="C36" s="31">
        <f>'Aerodynamics-Takeoff'!M36</f>
        <v>2.6842105263157898</v>
      </c>
      <c r="D36" s="1">
        <f t="shared" si="9"/>
        <v>0.89473684210526305</v>
      </c>
      <c r="E36" s="1">
        <f>MAX(Stability!J36,Stability!P36)*0+'Aerodynamics-Constants'!N36</f>
        <v>2.5499999999999998</v>
      </c>
      <c r="G36" s="31">
        <f>Main!M36</f>
        <v>0.3</v>
      </c>
      <c r="H36" s="32">
        <f>IF(Endurance!$B$10=1,Main!N36,$G$6)</f>
        <v>10</v>
      </c>
      <c r="I36" s="13">
        <f ca="1">Energy!C36</f>
        <v>93.99871480947948</v>
      </c>
      <c r="J36" s="20">
        <f t="shared" ca="1" si="10"/>
        <v>3.1712620386994566</v>
      </c>
      <c r="L36" s="13">
        <f t="shared" ca="1" si="1"/>
        <v>122.77548755816369</v>
      </c>
      <c r="M36" s="13"/>
      <c r="N36" s="13">
        <f ca="1">$M$6*$G$9*($M$10*(B36/$D$6)^(0.8158+1.3*0)*(C36/$D$7)^1.358*('Airfoil 1'!$C$7/$D$8)^(-0.3)*(J36*R36/($G$11*$G$10))^0.49-1)</f>
        <v>-0.50611705842236399</v>
      </c>
      <c r="O36" s="13">
        <f t="shared" ca="1" si="2"/>
        <v>-4.9348571418249873E-2</v>
      </c>
      <c r="P36" s="13">
        <f t="shared" ca="1" si="3"/>
        <v>-0.1900097869365085</v>
      </c>
      <c r="Q36" s="13">
        <f t="shared" ca="1" si="4"/>
        <v>5.0108357663519616</v>
      </c>
      <c r="R36" s="30">
        <f t="shared" ca="1" si="11"/>
        <v>131.71508343517169</v>
      </c>
      <c r="S36" s="13">
        <f t="shared" ca="1" si="5"/>
        <v>131.71508343405432</v>
      </c>
      <c r="U36" s="13">
        <f t="shared" ca="1" si="12"/>
        <v>17.65601035181777</v>
      </c>
      <c r="V36" s="13">
        <f t="shared" ca="1" si="6"/>
        <v>121.71508343629725</v>
      </c>
      <c r="W36" s="13">
        <f t="shared" ca="1" si="7"/>
        <v>131.71508343517169</v>
      </c>
      <c r="X36" s="19"/>
      <c r="Y36" s="13">
        <f ca="1">1.4*'Aerodynamics-Cruise'!H36</f>
        <v>31.546362131533201</v>
      </c>
      <c r="Z36" s="13">
        <f t="shared" ca="1" si="8"/>
        <v>147.21097560401543</v>
      </c>
      <c r="AA36" s="13">
        <f ca="1">2*Z36/('Aerodynamics-Cruise'!B36*ISA!$B$5*B36*'Aerodynamics-Cruise'!BP36)</f>
        <v>30.816953085991862</v>
      </c>
      <c r="AB36" s="1">
        <f t="shared" ca="1" si="13"/>
        <v>0.75086396826179247</v>
      </c>
      <c r="AC36" s="13">
        <f t="shared" ca="1" si="14"/>
        <v>11.443166876309718</v>
      </c>
      <c r="AD36" s="13">
        <f ca="1">1+'Aerodynamics-Cruise'!B36*AC36*Y36*'Aerodynamics-Cruise'!BP36/(2*Z36)</f>
        <v>4.5834916568523845</v>
      </c>
      <c r="AE36" s="13">
        <f ca="1">0.5*'Aerodynamics-Cruise'!B36*Y36^2*D36*'Aerodynamics-Cruise'!AG36/W36</f>
        <v>3.1712620386986581</v>
      </c>
    </row>
    <row r="37" spans="2:31">
      <c r="B37" s="31">
        <f>'Aerodynamics-Takeoff'!L37</f>
        <v>0.33333333333333326</v>
      </c>
      <c r="C37" s="31">
        <f>'Aerodynamics-Takeoff'!M37</f>
        <v>2.7631578947368425</v>
      </c>
      <c r="D37" s="1">
        <f t="shared" si="9"/>
        <v>0.92105263157894723</v>
      </c>
      <c r="E37" s="1">
        <f>MAX(Stability!J37,Stability!P37)*0+'Aerodynamics-Constants'!N37</f>
        <v>2.5499999999999998</v>
      </c>
      <c r="G37" s="31">
        <f>Main!M37</f>
        <v>0.3</v>
      </c>
      <c r="H37" s="32">
        <f>IF(Endurance!$B$10=1,Main!N37,$G$6)</f>
        <v>10</v>
      </c>
      <c r="I37" s="13">
        <f ca="1">Energy!C37</f>
        <v>93.737335949832584</v>
      </c>
      <c r="J37" s="20">
        <f t="shared" ca="1" si="10"/>
        <v>3.1705630972485066</v>
      </c>
      <c r="L37" s="13">
        <f t="shared" ca="1" si="1"/>
        <v>122.77047383009574</v>
      </c>
      <c r="M37" s="13"/>
      <c r="N37" s="13">
        <f ca="1">$M$6*$G$9*($M$10*(B37/$D$6)^(0.8158+1.3*0)*(C37/$D$7)^1.358*('Airfoil 1'!$C$7/$D$8)^(-0.3)*(J37*R37/($G$11*$G$10))^0.49-1)</f>
        <v>-0.20497743131009413</v>
      </c>
      <c r="O37" s="13">
        <f t="shared" ca="1" si="2"/>
        <v>-2.7976839918911679E-2</v>
      </c>
      <c r="P37" s="13">
        <f t="shared" ca="1" si="3"/>
        <v>-0.17016660163371866</v>
      </c>
      <c r="Q37" s="13">
        <f t="shared" ca="1" si="4"/>
        <v>5.0126738164229856</v>
      </c>
      <c r="R37" s="30">
        <f t="shared" ca="1" si="11"/>
        <v>131.79789716953417</v>
      </c>
      <c r="S37" s="13">
        <f t="shared" ca="1" si="5"/>
        <v>131.79789716839284</v>
      </c>
      <c r="U37" s="13">
        <f t="shared" ca="1" si="12"/>
        <v>18.000202945851328</v>
      </c>
      <c r="V37" s="13">
        <f t="shared" ca="1" si="6"/>
        <v>121.79789717068391</v>
      </c>
      <c r="W37" s="13">
        <f t="shared" ca="1" si="7"/>
        <v>131.79789716953417</v>
      </c>
      <c r="X37" s="19"/>
      <c r="Y37" s="13">
        <f ca="1">1.4*'Aerodynamics-Cruise'!H37</f>
        <v>31.101846903679053</v>
      </c>
      <c r="Z37" s="13">
        <f t="shared" ca="1" si="8"/>
        <v>143.09485978406568</v>
      </c>
      <c r="AA37" s="13">
        <f ca="1">2*Z37/('Aerodynamics-Cruise'!B37*ISA!$B$5*B37*'Aerodynamics-Cruise'!BP37)</f>
        <v>29.728514556350831</v>
      </c>
      <c r="AB37" s="1">
        <f t="shared" ca="1" si="13"/>
        <v>0.7468513335757655</v>
      </c>
      <c r="AC37" s="13">
        <f t="shared" ca="1" si="14"/>
        <v>11.382014323694666</v>
      </c>
      <c r="AD37" s="13">
        <f ca="1">1+'Aerodynamics-Cruise'!B37*AC37*Y37*'Aerodynamics-Cruise'!BP37/(2*Z37)</f>
        <v>4.6427777633517806</v>
      </c>
      <c r="AE37" s="13">
        <f ca="1">0.5*'Aerodynamics-Cruise'!B37*Y37^2*D37*'Aerodynamics-Cruise'!AG37/W37</f>
        <v>3.1705630972476948</v>
      </c>
    </row>
    <row r="38" spans="2:31">
      <c r="B38" s="31">
        <f>'Aerodynamics-Takeoff'!L38</f>
        <v>0.33333333333333326</v>
      </c>
      <c r="C38" s="31">
        <f>'Aerodynamics-Takeoff'!M38</f>
        <v>2.8421052631578951</v>
      </c>
      <c r="D38" s="1">
        <f t="shared" si="9"/>
        <v>0.94736842105263153</v>
      </c>
      <c r="E38" s="1">
        <f>MAX(Stability!J38,Stability!P38)*0+'Aerodynamics-Constants'!N38</f>
        <v>2.5499999999999998</v>
      </c>
      <c r="G38" s="31">
        <f>Main!M38</f>
        <v>0.3</v>
      </c>
      <c r="H38" s="32">
        <f>IF(Endurance!$B$10=1,Main!N38,$G$6)</f>
        <v>10</v>
      </c>
      <c r="I38" s="13">
        <f ca="1">Energy!C38</f>
        <v>93.499062327971714</v>
      </c>
      <c r="J38" s="20">
        <f t="shared" ca="1" si="10"/>
        <v>3.1698928045320196</v>
      </c>
      <c r="L38" s="13">
        <f t="shared" ca="1" si="1"/>
        <v>122.78856533981381</v>
      </c>
      <c r="M38" s="13"/>
      <c r="N38" s="13">
        <f ca="1">$M$6*$G$9*($M$10*(B38/$D$6)^(0.8158+1.3*0)*(C38/$D$7)^1.358*('Airfoil 1'!$C$7/$D$8)^(-0.3)*(J38*R38/($G$11*$G$10))^0.49-1)</f>
        <v>0.10025859377406576</v>
      </c>
      <c r="O38" s="13">
        <f t="shared" ca="1" si="2"/>
        <v>-6.5813354596626177E-3</v>
      </c>
      <c r="P38" s="13">
        <f t="shared" ca="1" si="3"/>
        <v>-0.14985461296107783</v>
      </c>
      <c r="Q38" s="13">
        <f t="shared" ca="1" si="4"/>
        <v>5.015531810091364</v>
      </c>
      <c r="R38" s="30">
        <f t="shared" ca="1" si="11"/>
        <v>131.90942505958111</v>
      </c>
      <c r="S38" s="13">
        <f t="shared" ca="1" si="5"/>
        <v>131.90942505841642</v>
      </c>
      <c r="U38" s="13">
        <f t="shared" ca="1" si="12"/>
        <v>18.350004457782589</v>
      </c>
      <c r="V38" s="13">
        <f t="shared" ca="1" si="6"/>
        <v>121.9094250607543</v>
      </c>
      <c r="W38" s="13">
        <f t="shared" ca="1" si="7"/>
        <v>131.90942505958111</v>
      </c>
      <c r="X38" s="19"/>
      <c r="Y38" s="13">
        <f ca="1">1.4*'Aerodynamics-Cruise'!H38</f>
        <v>30.679479445129136</v>
      </c>
      <c r="Z38" s="13">
        <f t="shared" ca="1" si="8"/>
        <v>139.23772645178008</v>
      </c>
      <c r="AA38" s="13">
        <f ca="1">2*Z38/('Aerodynamics-Cruise'!B38*ISA!$B$5*B38*'Aerodynamics-Cruise'!BP38)</f>
        <v>28.71713222572696</v>
      </c>
      <c r="AB38" s="1">
        <f t="shared" ca="1" si="13"/>
        <v>0.7428926163131222</v>
      </c>
      <c r="AC38" s="13">
        <f t="shared" ca="1" si="14"/>
        <v>11.321683472611982</v>
      </c>
      <c r="AD38" s="13">
        <f ca="1">1+'Aerodynamics-Cruise'!B38*AC38*Y38*'Aerodynamics-Cruise'!BP38/(2*Z38)</f>
        <v>4.7001429826213394</v>
      </c>
      <c r="AE38" s="13">
        <f ca="1">0.5*'Aerodynamics-Cruise'!B38*Y38^2*D38*'Aerodynamics-Cruise'!AG38/W38</f>
        <v>3.1698928045311958</v>
      </c>
    </row>
    <row r="39" spans="2:31">
      <c r="B39" s="31">
        <f>'Aerodynamics-Takeoff'!L39</f>
        <v>0.33333333333333326</v>
      </c>
      <c r="C39" s="31">
        <f>'Aerodynamics-Takeoff'!M39</f>
        <v>2.9210526315789478</v>
      </c>
      <c r="D39" s="1">
        <f t="shared" si="9"/>
        <v>0.97368421052631571</v>
      </c>
      <c r="E39" s="1">
        <f>MAX(Stability!J39,Stability!P39)*0+'Aerodynamics-Constants'!N39</f>
        <v>2.5499999999999998</v>
      </c>
      <c r="G39" s="31">
        <f>Main!M39</f>
        <v>0.3</v>
      </c>
      <c r="H39" s="32">
        <f>IF(Endurance!$B$10=1,Main!N39,$G$6)</f>
        <v>10</v>
      </c>
      <c r="I39" s="13">
        <f ca="1">Energy!C39</f>
        <v>93.281459508442836</v>
      </c>
      <c r="J39" s="20">
        <f t="shared" ca="1" si="10"/>
        <v>3.1692491316458837</v>
      </c>
      <c r="L39" s="13">
        <f t="shared" ca="1" si="1"/>
        <v>122.82732765186388</v>
      </c>
      <c r="M39" s="13"/>
      <c r="N39" s="13">
        <f ca="1">$M$6*$G$9*($M$10*(B39/$D$6)^(0.8158+1.3*0)*(C39/$D$7)^1.358*('Airfoil 1'!$C$7/$D$8)^(-0.3)*(J39*R39/($G$11*$G$10))^0.49-1)</f>
        <v>0.40955573805202333</v>
      </c>
      <c r="O39" s="13">
        <f t="shared" ca="1" si="2"/>
        <v>1.4838417234463159E-2</v>
      </c>
      <c r="P39" s="13">
        <f t="shared" ca="1" si="3"/>
        <v>-0.12907477999466355</v>
      </c>
      <c r="Q39" s="13">
        <f t="shared" ca="1" si="4"/>
        <v>5.019317916081417</v>
      </c>
      <c r="R39" s="30">
        <f t="shared" ca="1" si="11"/>
        <v>132.04710507600348</v>
      </c>
      <c r="S39" s="13">
        <f t="shared" ca="1" si="5"/>
        <v>132.04710507481607</v>
      </c>
      <c r="U39" s="13">
        <f t="shared" ca="1" si="12"/>
        <v>18.705287293756712</v>
      </c>
      <c r="V39" s="13">
        <f t="shared" ca="1" si="6"/>
        <v>122.04710507719955</v>
      </c>
      <c r="W39" s="13">
        <f t="shared" ca="1" si="7"/>
        <v>132.04710507600348</v>
      </c>
      <c r="X39" s="19"/>
      <c r="Y39" s="13">
        <f ca="1">1.4*'Aerodynamics-Cruise'!H39</f>
        <v>30.277541941193384</v>
      </c>
      <c r="Z39" s="13">
        <f t="shared" ca="1" si="8"/>
        <v>135.61594575373331</v>
      </c>
      <c r="AA39" s="13">
        <f ca="1">2*Z39/('Aerodynamics-Cruise'!B39*ISA!$B$5*B39*'Aerodynamics-Cruise'!BP39)</f>
        <v>27.775141033988518</v>
      </c>
      <c r="AB39" s="1">
        <f t="shared" ca="1" si="13"/>
        <v>0.73898775170127928</v>
      </c>
      <c r="AC39" s="13">
        <f t="shared" ca="1" si="14"/>
        <v>11.262173335927496</v>
      </c>
      <c r="AD39" s="13">
        <f ca="1">1+'Aerodynamics-Cruise'!B39*AC39*Y39*'Aerodynamics-Cruise'!BP39/(2*Z39)</f>
        <v>4.7556674309586171</v>
      </c>
      <c r="AE39" s="13">
        <f ca="1">0.5*'Aerodynamics-Cruise'!B39*Y39^2*D39*'Aerodynamics-Cruise'!AG39/W39</f>
        <v>3.1692491316450488</v>
      </c>
    </row>
    <row r="40" spans="2:31">
      <c r="B40" s="31">
        <f>'Aerodynamics-Takeoff'!L40</f>
        <v>0.33333333333333326</v>
      </c>
      <c r="C40" s="31">
        <f>'Aerodynamics-Takeoff'!M40</f>
        <v>3</v>
      </c>
      <c r="D40" s="1">
        <f t="shared" si="9"/>
        <v>0.99999999999999978</v>
      </c>
      <c r="E40" s="1">
        <f>MAX(Stability!J40,Stability!P40)*0+'Aerodynamics-Constants'!N40</f>
        <v>2.5499999999999998</v>
      </c>
      <c r="G40" s="31">
        <f>Main!M40</f>
        <v>0.3</v>
      </c>
      <c r="H40" s="32">
        <f>IF(Endurance!$B$10=1,Main!N40,$G$6)</f>
        <v>10</v>
      </c>
      <c r="I40" s="13">
        <f ca="1">Energy!C40</f>
        <v>72.035994676904664</v>
      </c>
      <c r="J40" s="20">
        <f t="shared" ca="1" si="10"/>
        <v>3.1646708869157925</v>
      </c>
      <c r="L40" s="13">
        <f t="shared" ca="1" si="1"/>
        <v>101.83822795190466</v>
      </c>
      <c r="M40" s="13"/>
      <c r="N40" s="13">
        <f ca="1">$M$6*$G$9*($M$10*(B40/$D$6)^(0.8158+1.3*0)*(C40/$D$7)^1.358*('Airfoil 1'!$C$7/$D$8)^(-0.3)*(J40*R40/($G$11*$G$10))^0.49-1)</f>
        <v>-4.9344483397542965E-2</v>
      </c>
      <c r="O40" s="13">
        <f t="shared" ca="1" si="2"/>
        <v>-3.1201538024371117E-2</v>
      </c>
      <c r="P40" s="13">
        <f t="shared" ca="1" si="3"/>
        <v>-0.13973594815367774</v>
      </c>
      <c r="Q40" s="13">
        <f t="shared" ca="1" si="4"/>
        <v>4.2068935296823238</v>
      </c>
      <c r="R40" s="30">
        <f t="shared" ca="1" si="11"/>
        <v>109.47579093258359</v>
      </c>
      <c r="S40" s="13">
        <f t="shared" ca="1" si="5"/>
        <v>109.47361451201138</v>
      </c>
      <c r="U40" s="13">
        <f t="shared" ca="1" si="12"/>
        <v>17.381622044700904</v>
      </c>
      <c r="V40" s="13">
        <f t="shared" ca="1" si="6"/>
        <v>99.477974996605568</v>
      </c>
      <c r="W40" s="13">
        <f t="shared" ca="1" si="7"/>
        <v>109.47579093258359</v>
      </c>
      <c r="X40" s="19"/>
      <c r="Y40" s="13">
        <f ca="1">1.4*'Aerodynamics-Cruise'!H40</f>
        <v>27.204036479147526</v>
      </c>
      <c r="Z40" s="13">
        <f t="shared" ca="1" si="8"/>
        <v>109.47579093258362</v>
      </c>
      <c r="AA40" s="13">
        <f ca="1">2*Z40/('Aerodynamics-Cruise'!B40*ISA!$B$5*B40*'Aerodynamics-Cruise'!BP40)</f>
        <v>21.677583464115628</v>
      </c>
      <c r="AB40" s="1">
        <f t="shared" ca="1" si="13"/>
        <v>0.70711572345967</v>
      </c>
      <c r="AC40" s="13">
        <f t="shared" ca="1" si="14"/>
        <v>10.776443625525371</v>
      </c>
      <c r="AD40" s="13">
        <f ca="1">1+'Aerodynamics-Cruise'!B40*AC40*Y40*'Aerodynamics-Cruise'!BP40/(2*Z40)</f>
        <v>5.1371238476052001</v>
      </c>
      <c r="AE40" s="13">
        <f ca="1">0.5*'Aerodynamics-Cruise'!B40*Y40^2*D40*'Aerodynamics-Cruise'!AG40/W40</f>
        <v>3.1646697768826129</v>
      </c>
    </row>
    <row r="41" spans="2:31">
      <c r="S41" s="14"/>
      <c r="T41" s="6"/>
    </row>
    <row r="42" spans="2:31">
      <c r="R42" s="14"/>
      <c r="S42" s="6"/>
    </row>
    <row r="43" spans="2:31">
      <c r="Q43" s="13"/>
      <c r="R43" s="13"/>
    </row>
  </sheetData>
  <phoneticPr fontId="19" type="noConversion"/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C40"/>
  <sheetViews>
    <sheetView topLeftCell="BD1" zoomScaleNormal="100" workbookViewId="0">
      <selection activeCell="BI20" sqref="BI20"/>
    </sheetView>
  </sheetViews>
  <sheetFormatPr defaultRowHeight="12.75"/>
  <sheetData>
    <row r="1" spans="1:57">
      <c r="A1" s="17" t="s">
        <v>446</v>
      </c>
    </row>
    <row r="3" spans="1:57">
      <c r="A3" t="s">
        <v>270</v>
      </c>
      <c r="C3" t="s">
        <v>279</v>
      </c>
    </row>
    <row r="4" spans="1:57">
      <c r="A4" s="17"/>
    </row>
    <row r="5" spans="1:57">
      <c r="A5" s="17"/>
      <c r="C5" t="s">
        <v>44</v>
      </c>
      <c r="F5" t="s">
        <v>46</v>
      </c>
      <c r="I5" t="s">
        <v>393</v>
      </c>
    </row>
    <row r="6" spans="1:57">
      <c r="A6" s="17"/>
      <c r="C6" s="9" t="s">
        <v>93</v>
      </c>
      <c r="D6" s="88">
        <v>0.25</v>
      </c>
      <c r="F6" s="9" t="s">
        <v>551</v>
      </c>
      <c r="G6" s="12">
        <v>0.01</v>
      </c>
      <c r="H6" s="16"/>
      <c r="I6" t="s">
        <v>209</v>
      </c>
      <c r="J6" s="12">
        <f>J7*J8*1</f>
        <v>1.0000000000000002E-2</v>
      </c>
      <c r="K6" t="s">
        <v>212</v>
      </c>
    </row>
    <row r="7" spans="1:57">
      <c r="A7" s="17"/>
      <c r="C7" s="9" t="s">
        <v>178</v>
      </c>
      <c r="D7" s="12">
        <v>0.2</v>
      </c>
      <c r="F7" s="6"/>
      <c r="G7" s="6"/>
      <c r="H7" s="6"/>
      <c r="I7" t="s">
        <v>210</v>
      </c>
      <c r="J7" s="12">
        <v>0.1</v>
      </c>
      <c r="K7" t="s">
        <v>4</v>
      </c>
    </row>
    <row r="8" spans="1:57">
      <c r="A8" s="17"/>
      <c r="C8" s="9" t="s">
        <v>168</v>
      </c>
      <c r="D8" s="12">
        <v>0.5</v>
      </c>
      <c r="F8" s="9" t="s">
        <v>169</v>
      </c>
      <c r="G8" s="12">
        <v>0.5</v>
      </c>
      <c r="H8" s="16"/>
      <c r="I8" t="s">
        <v>211</v>
      </c>
      <c r="J8" s="12">
        <v>0.1</v>
      </c>
      <c r="K8" t="s">
        <v>4</v>
      </c>
    </row>
    <row r="9" spans="1:57">
      <c r="A9" s="17"/>
      <c r="C9" s="9" t="s">
        <v>498</v>
      </c>
      <c r="D9" s="12">
        <v>-15</v>
      </c>
      <c r="E9" t="s">
        <v>303</v>
      </c>
      <c r="I9" t="s">
        <v>215</v>
      </c>
      <c r="J9" s="12">
        <v>0</v>
      </c>
      <c r="K9" t="s">
        <v>4</v>
      </c>
    </row>
    <row r="10" spans="1:57">
      <c r="C10" s="9" t="s">
        <v>292</v>
      </c>
      <c r="D10" s="12">
        <v>0</v>
      </c>
      <c r="E10" t="s">
        <v>303</v>
      </c>
      <c r="AA10" t="s">
        <v>803</v>
      </c>
      <c r="AB10" t="s">
        <v>804</v>
      </c>
      <c r="AC10" t="s">
        <v>90</v>
      </c>
    </row>
    <row r="11" spans="1:57">
      <c r="AA11" s="1">
        <f>(1/'Aerodynamics-Constants'!I21-1/(1+'Aerodynamics-Constants'!I21^1.7))</f>
        <v>0.15026002829684215</v>
      </c>
      <c r="AB11" s="1">
        <f>(10-3*BE21)/7</f>
        <v>1.1714285714285713</v>
      </c>
      <c r="AC11" s="1">
        <f>((1-ABS($D$7*D21/E21))/(2*(G21-'Aerodynamics-Cruise'!$B$6)*D21/E21)^(1/3))</f>
        <v>0.71370520037762253</v>
      </c>
      <c r="AD11" s="1">
        <f>SQRT(COS(RADIANS(BF21)))</f>
        <v>1</v>
      </c>
    </row>
    <row r="15" spans="1:57">
      <c r="B15" t="s">
        <v>277</v>
      </c>
      <c r="D15" t="s">
        <v>279</v>
      </c>
      <c r="U15" t="s">
        <v>278</v>
      </c>
      <c r="AA15" t="s">
        <v>455</v>
      </c>
      <c r="AO15" t="s">
        <v>447</v>
      </c>
      <c r="BE15" t="s">
        <v>547</v>
      </c>
    </row>
    <row r="16" spans="1:57">
      <c r="D16" t="s">
        <v>41</v>
      </c>
      <c r="G16" t="s">
        <v>44</v>
      </c>
      <c r="M16" t="s">
        <v>46</v>
      </c>
      <c r="U16" t="s">
        <v>367</v>
      </c>
      <c r="V16" t="s">
        <v>44</v>
      </c>
      <c r="X16" t="s">
        <v>46</v>
      </c>
      <c r="AA16" t="s">
        <v>193</v>
      </c>
      <c r="AC16" t="s">
        <v>391</v>
      </c>
      <c r="AD16" t="s">
        <v>367</v>
      </c>
      <c r="AH16" t="s">
        <v>44</v>
      </c>
      <c r="AO16" t="s">
        <v>448</v>
      </c>
      <c r="AS16" t="s">
        <v>449</v>
      </c>
      <c r="AX16" t="s">
        <v>450</v>
      </c>
    </row>
    <row r="18" spans="2:81">
      <c r="B18" s="9" t="s">
        <v>139</v>
      </c>
      <c r="D18" s="9" t="s">
        <v>37</v>
      </c>
      <c r="E18" s="9" t="s">
        <v>38</v>
      </c>
      <c r="F18" s="9" t="s">
        <v>42</v>
      </c>
      <c r="G18" s="9" t="s">
        <v>49</v>
      </c>
      <c r="H18" s="9" t="s">
        <v>93</v>
      </c>
      <c r="I18" s="9" t="s">
        <v>457</v>
      </c>
      <c r="J18" s="9" t="s">
        <v>145</v>
      </c>
      <c r="K18" s="9" t="s">
        <v>45</v>
      </c>
      <c r="L18" s="9" t="s">
        <v>176</v>
      </c>
      <c r="M18" s="9" t="s">
        <v>95</v>
      </c>
      <c r="N18" s="9" t="s">
        <v>94</v>
      </c>
      <c r="O18" s="9" t="s">
        <v>550</v>
      </c>
      <c r="P18" s="9" t="s">
        <v>146</v>
      </c>
      <c r="Q18" s="9" t="s">
        <v>47</v>
      </c>
      <c r="R18" s="9" t="s">
        <v>177</v>
      </c>
      <c r="S18" s="9" t="s">
        <v>217</v>
      </c>
      <c r="U18" s="9" t="s">
        <v>8</v>
      </c>
      <c r="V18" s="9" t="s">
        <v>165</v>
      </c>
      <c r="W18" s="9" t="s">
        <v>166</v>
      </c>
      <c r="X18" s="9" t="s">
        <v>171</v>
      </c>
      <c r="Y18" s="9" t="s">
        <v>172</v>
      </c>
      <c r="AA18" s="9" t="s">
        <v>179</v>
      </c>
      <c r="AB18" s="9" t="s">
        <v>68</v>
      </c>
      <c r="AC18" s="9" t="s">
        <v>378</v>
      </c>
      <c r="AD18" s="9" t="s">
        <v>60</v>
      </c>
      <c r="AE18" s="9" t="s">
        <v>451</v>
      </c>
      <c r="AF18" s="9" t="s">
        <v>180</v>
      </c>
      <c r="AG18" s="9" t="s">
        <v>452</v>
      </c>
      <c r="AH18" s="9" t="s">
        <v>64</v>
      </c>
      <c r="AI18" s="9" t="s">
        <v>453</v>
      </c>
      <c r="AJ18" s="9" t="s">
        <v>182</v>
      </c>
      <c r="AK18" s="9" t="s">
        <v>181</v>
      </c>
      <c r="AL18" s="9" t="s">
        <v>454</v>
      </c>
      <c r="AM18" s="9" t="s">
        <v>292</v>
      </c>
      <c r="AO18" s="9" t="s">
        <v>183</v>
      </c>
      <c r="AP18" s="9" t="s">
        <v>184</v>
      </c>
      <c r="AR18" s="9" t="s">
        <v>242</v>
      </c>
      <c r="AS18" s="9" t="s">
        <v>189</v>
      </c>
      <c r="AT18" s="9" t="s">
        <v>185</v>
      </c>
      <c r="AU18" s="9" t="s">
        <v>188</v>
      </c>
      <c r="AW18" s="9" t="s">
        <v>243</v>
      </c>
      <c r="AX18" s="9" t="s">
        <v>190</v>
      </c>
      <c r="AZ18" s="9" t="s">
        <v>139</v>
      </c>
      <c r="BA18" s="9"/>
      <c r="BB18" s="9" t="s">
        <v>191</v>
      </c>
      <c r="BC18" s="9" t="s">
        <v>456</v>
      </c>
      <c r="BE18" s="9" t="s">
        <v>548</v>
      </c>
      <c r="BF18" s="9" t="s">
        <v>549</v>
      </c>
      <c r="BG18" s="9" t="s">
        <v>810</v>
      </c>
      <c r="BH18" s="9" t="s">
        <v>809</v>
      </c>
      <c r="BI18" s="9" t="s">
        <v>207</v>
      </c>
      <c r="BJ18" s="9" t="s">
        <v>208</v>
      </c>
      <c r="BK18" s="9" t="s">
        <v>805</v>
      </c>
      <c r="BL18" s="9" t="s">
        <v>806</v>
      </c>
      <c r="BO18" s="9" t="s">
        <v>244</v>
      </c>
      <c r="BP18" s="9" t="s">
        <v>807</v>
      </c>
      <c r="BS18" s="9" t="s">
        <v>456</v>
      </c>
      <c r="BT18" s="9" t="s">
        <v>213</v>
      </c>
      <c r="BU18" s="9" t="s">
        <v>214</v>
      </c>
      <c r="BV18" s="9" t="s">
        <v>216</v>
      </c>
      <c r="BY18" s="9" t="s">
        <v>245</v>
      </c>
      <c r="BZ18" s="9" t="s">
        <v>808</v>
      </c>
      <c r="CC18" s="9" t="s">
        <v>456</v>
      </c>
    </row>
    <row r="19" spans="2:81">
      <c r="D19" s="9" t="s">
        <v>4</v>
      </c>
      <c r="E19" s="9" t="s">
        <v>4</v>
      </c>
      <c r="F19" s="9" t="s">
        <v>43</v>
      </c>
      <c r="J19" s="9" t="s">
        <v>4</v>
      </c>
      <c r="K19" s="9" t="s">
        <v>43</v>
      </c>
      <c r="L19" s="9" t="s">
        <v>43</v>
      </c>
      <c r="P19" s="9" t="s">
        <v>4</v>
      </c>
      <c r="Q19" s="9" t="s">
        <v>43</v>
      </c>
      <c r="R19" s="9" t="s">
        <v>43</v>
      </c>
      <c r="S19" s="9" t="s">
        <v>4</v>
      </c>
      <c r="U19" s="9" t="s">
        <v>162</v>
      </c>
      <c r="V19" s="9" t="s">
        <v>162</v>
      </c>
      <c r="W19" s="9" t="s">
        <v>162</v>
      </c>
      <c r="X19" s="9" t="s">
        <v>162</v>
      </c>
      <c r="Y19" s="9" t="s">
        <v>162</v>
      </c>
      <c r="AC19" s="9" t="s">
        <v>303</v>
      </c>
      <c r="AE19" s="9" t="s">
        <v>303</v>
      </c>
      <c r="AF19" s="9" t="s">
        <v>303</v>
      </c>
      <c r="AG19" s="9" t="s">
        <v>303</v>
      </c>
      <c r="AI19" s="9" t="s">
        <v>303</v>
      </c>
      <c r="AJ19" s="9" t="s">
        <v>303</v>
      </c>
      <c r="AK19" s="9" t="s">
        <v>303</v>
      </c>
      <c r="AL19" s="9" t="s">
        <v>303</v>
      </c>
      <c r="AM19" s="9" t="s">
        <v>303</v>
      </c>
      <c r="BF19" s="9" t="s">
        <v>303</v>
      </c>
      <c r="BG19" s="9" t="s">
        <v>303</v>
      </c>
      <c r="BH19" t="s">
        <v>303</v>
      </c>
    </row>
    <row r="21" spans="2:81">
      <c r="B21" s="16">
        <f>Weight!G21</f>
        <v>0.3</v>
      </c>
      <c r="D21" s="31">
        <f>'Aerodynamics-Takeoff'!L21</f>
        <v>0.33333333333333326</v>
      </c>
      <c r="E21" s="31">
        <f>'Aerodynamics-Takeoff'!M21</f>
        <v>1.5</v>
      </c>
      <c r="F21" s="16">
        <f>D21*E21</f>
        <v>0.49999999999999989</v>
      </c>
      <c r="G21" s="32">
        <f>Main!D21</f>
        <v>5.6500000000000012</v>
      </c>
      <c r="H21" s="49">
        <f ca="1">IF(ISERROR(I21),0.25,I21)</f>
        <v>0.38052583642890464</v>
      </c>
      <c r="I21" s="49">
        <f ca="1">MAX(0.01,H21+0.05*(1/BC21-1)*H21)</f>
        <v>0.38052583618590091</v>
      </c>
      <c r="J21" s="1">
        <f>(G21-B21)*D21</f>
        <v>1.7833333333333334</v>
      </c>
      <c r="K21" s="1">
        <f ca="1">F21*D21*H21/J21</f>
        <v>3.5563162283075191E-2</v>
      </c>
      <c r="L21" s="1">
        <f ca="1">$D$8*K21</f>
        <v>1.7781581141537595E-2</v>
      </c>
      <c r="M21" s="32">
        <f>Main!F21</f>
        <v>5.9500000000000011</v>
      </c>
      <c r="N21" s="49">
        <f ca="1">MAX($G$6,IF(ISERROR(O21),0.025,O21))</f>
        <v>2.2978567222721902E-2</v>
      </c>
      <c r="O21" s="49">
        <f t="shared" ref="O21:O40" ca="1" si="0">MAX(0.001,N21+0.05*(1/BS21-1)*N21)</f>
        <v>2.2978567222672244E-2</v>
      </c>
      <c r="P21" s="1">
        <f>(M21-B21)*D21</f>
        <v>1.8833333333333333</v>
      </c>
      <c r="Q21" s="1">
        <f ca="1">F21*E21*N21/P21</f>
        <v>9.1507568586060659E-3</v>
      </c>
      <c r="R21" s="1">
        <f ca="1">$G$8*Q21</f>
        <v>4.575378429303033E-3</v>
      </c>
      <c r="S21" s="1">
        <f ca="1">SQRT(Q21*'Aerodynamics-Cruise'!T21)/2</f>
        <v>7.1744691322535581E-2</v>
      </c>
      <c r="U21" s="1">
        <f ca="1">'Aerodynamics-Cruise'!BP21</f>
        <v>3.7460797695237082</v>
      </c>
      <c r="V21" s="1">
        <f>'Aerodynamics-Cruise'!BS21</f>
        <v>3.2467427092400318</v>
      </c>
      <c r="W21" s="1">
        <f>V21*SQRT($D$8)</f>
        <v>2.2957937864716098</v>
      </c>
      <c r="X21" s="1">
        <f>'Aerodynamics-Cruise'!BW21</f>
        <v>3.1789266013735289</v>
      </c>
      <c r="Y21" s="1">
        <f>X21*SQRT($G$8)</f>
        <v>2.2478405567255271</v>
      </c>
      <c r="AA21" s="1">
        <f>4.44*((1/'Aerodynamics-Constants'!I21-1/(1+'Aerodynamics-Constants'!I21^1.7))*(10-3*BE21)/7*((1-ABS($D$7*D21/E21))/(2*(G21-'Aerodynamics-Cruise'!$B$6)*D21/E21)^(1/3))*SQRT(COS(RADIANS(BF21))))^1.19</f>
        <v>0.37608495192257013</v>
      </c>
      <c r="AB21" s="1">
        <f>1-AA21</f>
        <v>0.62391504807742981</v>
      </c>
      <c r="AC21" s="12">
        <f ca="1">(DEGREES(AD21/U21)+AE21-DEGREES(ASIN((40-29)/350)))*0+0</f>
        <v>0</v>
      </c>
      <c r="AD21" s="1">
        <f ca="1">'Aerodynamics-Cruise'!AF21</f>
        <v>0.89881200468089772</v>
      </c>
      <c r="AE21" s="16">
        <f ca="1">'Airfoil-Cruise'!K21</f>
        <v>-10.214023780871239</v>
      </c>
      <c r="AF21" s="16">
        <f ca="1">DEGREES(AD21/U21)-AC21+AE21</f>
        <v>3.5331833295784989</v>
      </c>
      <c r="AG21" s="1">
        <f ca="1">AC21+AF21</f>
        <v>3.5331833295784989</v>
      </c>
      <c r="AH21" s="1">
        <f ca="1">'Aerodynamics-Cruise'!AN21</f>
        <v>-0.28922976880583656</v>
      </c>
      <c r="AI21" s="12">
        <v>0</v>
      </c>
      <c r="AJ21" s="1">
        <f ca="1">AA21*AG21</f>
        <v>1.328777082638156</v>
      </c>
      <c r="AK21" s="16">
        <f ca="1">DEGREES((AH21-W21*RADIANS(AM21))/V21)-AC21+AJ21+AI21</f>
        <v>-3.7753061620726416</v>
      </c>
      <c r="AL21" s="1">
        <f ca="1">AC21+AK21-AJ21</f>
        <v>-5.1040832447107976</v>
      </c>
      <c r="AM21" s="1">
        <f ca="1">IF(ISERROR(AK21),$D$10,AM21+0.5*((-2+1)/(AK21+1)-1)*MAX(1,AM21))*0+$D$10</f>
        <v>0</v>
      </c>
      <c r="AN21" s="1"/>
      <c r="AO21" s="1">
        <f ca="1">(U21*'Aerodynamics-Cruise'!$B$6+K21/F21*G21*V21*AB21)/(U21+K21/F21*V21*AB21)</f>
        <v>0.4500000126477805</v>
      </c>
      <c r="AP21" s="1">
        <f t="shared" ref="AP21:AP40" ca="1" si="1">AO21-B21</f>
        <v>0.15000001264778051</v>
      </c>
      <c r="AQ21" s="9" t="s">
        <v>186</v>
      </c>
      <c r="AR21" s="12">
        <f>MAX(0.15,0.02*(G21-B21))</f>
        <v>0.15</v>
      </c>
      <c r="AS21" s="1">
        <f ca="1">'Aerodynamics-Cruise'!E21/ISA!$B$5/(ISA!E21*F21*(G21-B21)*D21)</f>
        <v>12.099158953499945</v>
      </c>
      <c r="AT21" s="1">
        <f ca="1">(U21*'Aerodynamics-Cruise'!$B$6+K21/F21*G21*V21*(AB21+U21/(2*AS21)))/(U21+K21/F21*V21*(AB21+U21/(2*AS21)))</f>
        <v>0.49735145007331288</v>
      </c>
      <c r="AU21" s="1">
        <f ca="1">AT21-B21</f>
        <v>0.1973514500733129</v>
      </c>
      <c r="AV21" s="9" t="s">
        <v>186</v>
      </c>
      <c r="AW21" s="12">
        <v>0</v>
      </c>
      <c r="AX21" s="1">
        <f ca="1">(-'Aerodynamics-Takeoff'!AM21+'Aerodynamics-Takeoff'!AG21*'Aerodynamics-Takeoff'!$B$6+K21/F21*G21*(V21*RADIANS(AL21-AI21)+W21*RADIANS($D$9)))/('Aerodynamics-Takeoff'!AG21+K21/F21*(V21*RADIANS(AL21-AI21)+W21*RADIANS($D$9)))</f>
        <v>0.11258918477170697</v>
      </c>
      <c r="AY21" s="9" t="s">
        <v>187</v>
      </c>
      <c r="AZ21" s="1">
        <f>B21</f>
        <v>0.3</v>
      </c>
      <c r="BA21" s="9" t="s">
        <v>187</v>
      </c>
      <c r="BB21" s="1">
        <f ca="1">MIN(AO21-AR21,AT21-AW21)</f>
        <v>0.30000001264778053</v>
      </c>
      <c r="BC21" s="1">
        <f ca="1">MIN(AP21-AR21,AU21-AW21,AZ21-AX21)+1</f>
        <v>1.0000000126477806</v>
      </c>
      <c r="BE21" s="12">
        <v>0.6</v>
      </c>
      <c r="BF21" s="12">
        <v>0</v>
      </c>
      <c r="BG21" s="138">
        <f ca="1">IF(ISERROR(BH21),1,BH21)</f>
        <v>2.1502221736865033</v>
      </c>
      <c r="BH21" s="138">
        <f ca="1">MAX(-5,IF(BG21=0,0.1,BG21+0.5*(1/CC21-1)*BG21))</f>
        <v>2.150222173687232</v>
      </c>
      <c r="BI21" s="10">
        <f ca="1">AD21^2*(1/(4*PI()*E21/D21)-(TAN(RADIANS(BF21))/(PI()*E21/D21*(E21/D21+4*COS(RADIANS(BF21))))*(COS(RADIANS(BF21))-E21/D21/2-(E21/D21)^2/(8*COS(RADIANS(BF21)))+6*('Aerodynamics-Takeoff'!$B$6-B21)*D21*SIN(RADIANS(BF21))/(E21/D21))))</f>
        <v>1.4286154770634423E-2</v>
      </c>
      <c r="BJ21" s="10">
        <f t="shared" ref="BJ21:BJ40" si="2">-1.3*$J$6/(F21*E21)*($J$7/$J$8)</f>
        <v>-1.7333333333333343E-2</v>
      </c>
      <c r="BK21" s="10">
        <f ca="1">BI21+BJ21</f>
        <v>-3.0471785626989198E-3</v>
      </c>
      <c r="BL21" s="10">
        <f t="shared" ref="BL21:BL40" ca="1" si="3">Q21/F21*(P21)/E21*X21</f>
        <v>7.3047178605760502E-2</v>
      </c>
      <c r="BM21" s="45">
        <v>0.04</v>
      </c>
      <c r="BN21" s="9" t="s">
        <v>187</v>
      </c>
      <c r="BO21" s="10">
        <f ca="1">BK21+BL21</f>
        <v>7.0000000043061589E-2</v>
      </c>
      <c r="BP21" s="133">
        <f>AVERAGE(BM21,BR21)</f>
        <v>7.0000000000000007E-2</v>
      </c>
      <c r="BQ21" s="9" t="s">
        <v>187</v>
      </c>
      <c r="BR21" s="45">
        <v>0.1</v>
      </c>
      <c r="BS21" s="1">
        <f ca="1">MIN(BO21-BP21)+1</f>
        <v>1.0000000000430616</v>
      </c>
      <c r="BT21" s="10">
        <f t="shared" ref="BT21:BT40" ca="1" si="4">-0.03*AD21*0-U21*RADIANS(BG21)/4*(2*(1+2*BE21)/(3*(1+BE21)))-1.2*SQRT(E21/D21)*$J$9*($J$7+$J$8)/E21^2</f>
        <v>-3.2217302327972382E-2</v>
      </c>
      <c r="BU21" s="10">
        <f ca="1">BT21</f>
        <v>-3.2217302327972382E-2</v>
      </c>
      <c r="BV21" s="10">
        <f t="shared" ref="BV21:BV40" ca="1" si="5">-Q21/F21*(S21-0)/E21*X21</f>
        <v>-2.7826976713552633E-3</v>
      </c>
      <c r="BW21" s="45">
        <v>-0.05</v>
      </c>
      <c r="BX21" s="9" t="s">
        <v>187</v>
      </c>
      <c r="BY21" s="10">
        <f ca="1">BU21+BV21</f>
        <v>-3.4999999999327645E-2</v>
      </c>
      <c r="BZ21" s="133">
        <f>AVERAGE(BW21,CB21)</f>
        <v>-3.5000000000000003E-2</v>
      </c>
      <c r="CA21" s="9" t="s">
        <v>187</v>
      </c>
      <c r="CB21" s="45">
        <v>-0.02</v>
      </c>
      <c r="CC21" s="1">
        <f ca="1">MIN(BZ21-BY21)+1</f>
        <v>0.99999999999932765</v>
      </c>
    </row>
    <row r="22" spans="2:81">
      <c r="B22" s="16">
        <f>Weight!G22</f>
        <v>0.3</v>
      </c>
      <c r="D22" s="31">
        <f>'Aerodynamics-Takeoff'!L22</f>
        <v>0.33333333333333326</v>
      </c>
      <c r="E22" s="31">
        <f>'Aerodynamics-Takeoff'!M22</f>
        <v>1.5789473684210527</v>
      </c>
      <c r="F22" s="16">
        <f>D22*E22</f>
        <v>0.52631578947368407</v>
      </c>
      <c r="G22" s="32">
        <f>Main!D22</f>
        <v>5.6500000000000012</v>
      </c>
      <c r="H22" s="49">
        <f t="shared" ref="H22:H40" ca="1" si="6">IF(ISERROR(I22),0.25,I22)</f>
        <v>0.3730850699632936</v>
      </c>
      <c r="I22" s="49">
        <f ca="1">MAX(0.01,H22+0.05*(1/BC22-1)*H22)</f>
        <v>0.37308506972104205</v>
      </c>
      <c r="J22" s="1">
        <f t="shared" ref="J22:J40" si="7">(G22-B22)*D22</f>
        <v>1.7833333333333334</v>
      </c>
      <c r="K22" s="1">
        <f t="shared" ref="K22:K40" ca="1" si="8">F22*D22*H22/J22</f>
        <v>3.6702908997864575E-2</v>
      </c>
      <c r="L22" s="1">
        <f t="shared" ref="L22:L40" ca="1" si="9">$D$8*K22</f>
        <v>1.8351454498932288E-2</v>
      </c>
      <c r="M22" s="32">
        <f>Main!F22</f>
        <v>5.9500000000000011</v>
      </c>
      <c r="N22" s="49">
        <f t="shared" ref="N22:N40" ca="1" si="10">MAX($G$6,IF(ISERROR(O22),0.025,O22))</f>
        <v>2.2145239865508339E-2</v>
      </c>
      <c r="O22" s="49">
        <f t="shared" ca="1" si="0"/>
        <v>2.2145239865392879E-2</v>
      </c>
      <c r="P22" s="1">
        <f t="shared" ref="P22:P40" si="11">(M22-B22)*D22</f>
        <v>1.8833333333333333</v>
      </c>
      <c r="Q22" s="1">
        <f t="shared" ref="Q22:Q40" ca="1" si="12">F22*E22*N22/P22</f>
        <v>9.7716352702461214E-3</v>
      </c>
      <c r="R22" s="1">
        <f t="shared" ref="R22:R40" ca="1" si="13">$G$8*Q22</f>
        <v>4.8858176351230607E-3</v>
      </c>
      <c r="S22" s="1">
        <f ca="1">SQRT(Q22*'Aerodynamics-Cruise'!T22)/2</f>
        <v>7.606468742571712E-2</v>
      </c>
      <c r="U22" s="1">
        <f ca="1">'Aerodynamics-Cruise'!BP22</f>
        <v>3.798366246985196</v>
      </c>
      <c r="V22" s="1">
        <f>'Aerodynamics-Cruise'!BS22</f>
        <v>3.3156550852903828</v>
      </c>
      <c r="W22" s="1">
        <f t="shared" ref="W22:W40" si="14">V22*SQRT($D$8)</f>
        <v>2.3445221948844903</v>
      </c>
      <c r="X22" s="1">
        <f>'Aerodynamics-Cruise'!BW22</f>
        <v>3.2543523818462479</v>
      </c>
      <c r="Y22" s="1">
        <f t="shared" ref="Y22:Y40" si="15">X22*SQRT($G$8)</f>
        <v>2.3011746375740749</v>
      </c>
      <c r="AA22" s="1">
        <f>4.44*((1/'Aerodynamics-Constants'!I22-1/(1+'Aerodynamics-Constants'!I22^1.7))*(10-3*BE22)/7*((1-ABS($D$7*D22/E22))/(2*(G22-'Aerodynamics-Cruise'!$B$6)*D22/E22)^(1/3))*SQRT(COS(RADIANS(BF22))))^1.19</f>
        <v>0.36817022969203084</v>
      </c>
      <c r="AB22" s="1">
        <f t="shared" ref="AB22:AB40" si="16">1-AA22</f>
        <v>0.63182977030796916</v>
      </c>
      <c r="AC22" s="12">
        <f t="shared" ref="AC22:AC40" ca="1" si="17">(DEGREES(AD22/U22)+AE22-DEGREES(ASIN((40-29)/350)))*0+0</f>
        <v>0</v>
      </c>
      <c r="AD22" s="1">
        <f ca="1">'Aerodynamics-Cruise'!AF22</f>
        <v>0.89891373239271433</v>
      </c>
      <c r="AE22" s="16">
        <f ca="1">'Airfoil-Cruise'!K22</f>
        <v>-10.101512127327881</v>
      </c>
      <c r="AF22" s="16">
        <f t="shared" ref="AF22:AF40" ca="1" si="18">DEGREES(AD22/U22)-AC22+AE22</f>
        <v>3.4579920551174244</v>
      </c>
      <c r="AG22" s="1">
        <f t="shared" ref="AG22:AG40" ca="1" si="19">AC22+AF22</f>
        <v>3.4579920551174244</v>
      </c>
      <c r="AH22" s="1">
        <f ca="1">'Aerodynamics-Cruise'!AN22</f>
        <v>-0.29498450130697684</v>
      </c>
      <c r="AI22" s="12">
        <v>0</v>
      </c>
      <c r="AJ22" s="1">
        <f t="shared" ref="AJ22:AJ40" ca="1" si="20">AA22*AG22</f>
        <v>1.2731297292057999</v>
      </c>
      <c r="AK22" s="16">
        <f t="shared" ref="AK22:AK40" ca="1" si="21">DEGREES((AH22-W22*RADIANS(AM22))/V22)-AC22+AJ22+AI22</f>
        <v>-3.8243145199389756</v>
      </c>
      <c r="AL22" s="1">
        <f t="shared" ref="AL22:AL40" ca="1" si="22">AC22+AK22-AJ22</f>
        <v>-5.0974442491447753</v>
      </c>
      <c r="AM22" s="1">
        <f t="shared" ref="AM22:AM40" ca="1" si="23">IF(ISERROR(AK22),$D$10,AM22+0.5*((-2+1)/(AK22+1)-1)*MAX(1,AM22))*0+$D$10</f>
        <v>0</v>
      </c>
      <c r="AN22" s="1"/>
      <c r="AO22" s="1">
        <f ca="1">(U22*'Aerodynamics-Cruise'!$B$6+K22/F22*G22*V22*AB22)/(U22+K22/F22*V22*AB22)</f>
        <v>0.45000001286009184</v>
      </c>
      <c r="AP22" s="1">
        <f t="shared" ca="1" si="1"/>
        <v>0.15000001286009185</v>
      </c>
      <c r="AQ22" s="9" t="s">
        <v>186</v>
      </c>
      <c r="AR22" s="12">
        <f t="shared" ref="AR22:AR40" si="24">MAX(0.15,0.02*(G22-B22))</f>
        <v>0.15</v>
      </c>
      <c r="AS22" s="1">
        <f ca="1">'Aerodynamics-Cruise'!E22/ISA!$B$5/(ISA!E22*F22*(G22-B22)*D22)</f>
        <v>11.706295833278654</v>
      </c>
      <c r="AT22" s="1">
        <f ca="1">(U22*'Aerodynamics-Cruise'!$B$6+K22/F22*G22*V22*(AB22+U22/(2*AS22)))/(U22+K22/F22*V22*(AB22+U22/(2*AS22)))</f>
        <v>0.49898649075186297</v>
      </c>
      <c r="AU22" s="1">
        <f t="shared" ref="AU22:AU40" ca="1" si="25">AT22-B22</f>
        <v>0.19898649075186298</v>
      </c>
      <c r="AV22" s="9" t="s">
        <v>186</v>
      </c>
      <c r="AW22" s="12">
        <v>0</v>
      </c>
      <c r="AX22" s="1">
        <f ca="1">(-'Aerodynamics-Takeoff'!AM22+'Aerodynamics-Takeoff'!AG22*'Aerodynamics-Takeoff'!$B$6+K22/F22*G22*(V22*RADIANS(AL22-AI22)+W22*RADIANS($D$9)))/('Aerodynamics-Takeoff'!AG22+K22/F22*(V22*RADIANS(AL22-AI22)+W22*RADIANS($D$9)))</f>
        <v>0.11234164539173241</v>
      </c>
      <c r="AY22" s="9" t="s">
        <v>187</v>
      </c>
      <c r="AZ22" s="1">
        <f t="shared" ref="AZ22:AZ40" si="26">B22</f>
        <v>0.3</v>
      </c>
      <c r="BA22" s="9" t="s">
        <v>187</v>
      </c>
      <c r="BB22" s="1">
        <f t="shared" ref="BB22:BB40" ca="1" si="27">MIN(AO22-AR22,AT22-AW22)</f>
        <v>0.30000001286009181</v>
      </c>
      <c r="BC22" s="1">
        <f t="shared" ref="BC22:BC40" ca="1" si="28">MIN(AP22-AR22,AU22-AW22,AZ22-AX22)+1</f>
        <v>1.0000000128600919</v>
      </c>
      <c r="BE22" s="16">
        <f>BE21</f>
        <v>0.6</v>
      </c>
      <c r="BF22" s="16">
        <f>BF21</f>
        <v>0</v>
      </c>
      <c r="BG22" s="138">
        <f t="shared" ref="BG22:BG40" ca="1" si="29">IF(ISERROR(BH22),1,BH22)</f>
        <v>2.1121963147580813</v>
      </c>
      <c r="BH22" s="138">
        <f t="shared" ref="BH22:BH40" ca="1" si="30">MAX(-5,IF(BG22=0,0.1,BG22+0.5*(1/CC22-1)*BG22))</f>
        <v>2.1121963147599301</v>
      </c>
      <c r="BI22" s="10">
        <f ca="1">AD22^2*(1/(4*PI()*E22/D22)-(TAN(RADIANS(BF22))/(PI()*E22/D22*(E22/D22+4*COS(RADIANS(BF22))))*(COS(RADIANS(BF22))-E22/D22/2-(E22/D22)^2/(8*COS(RADIANS(BF22)))+6*('Aerodynamics-Takeoff'!$B$6-B22)*D22*SIN(RADIANS(BF22))/(E22/D22))))</f>
        <v>1.3574919334356476E-2</v>
      </c>
      <c r="BJ22" s="10">
        <f t="shared" si="2"/>
        <v>-1.5643333333333339E-2</v>
      </c>
      <c r="BK22" s="10">
        <f t="shared" ref="BK22:BK40" ca="1" si="31">BI22+BJ22</f>
        <v>-2.0684139989768629E-3</v>
      </c>
      <c r="BL22" s="10">
        <f t="shared" ca="1" si="3"/>
        <v>7.206841410287354E-2</v>
      </c>
      <c r="BM22" s="45">
        <v>0.04</v>
      </c>
      <c r="BN22" s="9" t="s">
        <v>187</v>
      </c>
      <c r="BO22" s="10">
        <f t="shared" ref="BO22:BO40" ca="1" si="32">BK22+BL22</f>
        <v>7.0000000103896676E-2</v>
      </c>
      <c r="BP22" s="42">
        <f>BP21</f>
        <v>7.0000000000000007E-2</v>
      </c>
      <c r="BQ22" s="9" t="s">
        <v>187</v>
      </c>
      <c r="BR22" s="45">
        <v>0.1</v>
      </c>
      <c r="BS22" s="1">
        <f t="shared" ref="BS22:BS40" ca="1" si="33">MIN(BO22-BP22)+1</f>
        <v>1.0000000001038967</v>
      </c>
      <c r="BT22" s="10">
        <f t="shared" ca="1" si="4"/>
        <v>-3.2089277135248846E-2</v>
      </c>
      <c r="BU22" s="10">
        <f t="shared" ref="BU22:BU40" ca="1" si="34">BT22</f>
        <v>-3.2089277135248846E-2</v>
      </c>
      <c r="BV22" s="10">
        <f t="shared" ca="1" si="5"/>
        <v>-2.9107228630100282E-3</v>
      </c>
      <c r="BW22" s="45">
        <f>BW21</f>
        <v>-0.05</v>
      </c>
      <c r="BX22" s="9" t="s">
        <v>187</v>
      </c>
      <c r="BY22" s="10">
        <f t="shared" ref="BY22:BY40" ca="1" si="35">BU22+BV22</f>
        <v>-3.4999999998258875E-2</v>
      </c>
      <c r="BZ22" s="10">
        <f>BZ21</f>
        <v>-3.5000000000000003E-2</v>
      </c>
      <c r="CA22" s="9" t="s">
        <v>187</v>
      </c>
      <c r="CB22" s="45">
        <f>CB21</f>
        <v>-0.02</v>
      </c>
      <c r="CC22" s="1">
        <f t="shared" ref="CC22:CC40" ca="1" si="36">MIN(BZ22-BY22)+1</f>
        <v>0.99999999999825884</v>
      </c>
    </row>
    <row r="23" spans="2:81">
      <c r="B23" s="16">
        <f>Weight!G23</f>
        <v>0.3</v>
      </c>
      <c r="D23" s="31">
        <f>'Aerodynamics-Takeoff'!L23</f>
        <v>0.33333333333333326</v>
      </c>
      <c r="E23" s="31">
        <f>'Aerodynamics-Takeoff'!M23</f>
        <v>1.6578947368421053</v>
      </c>
      <c r="F23" s="16">
        <f t="shared" ref="F23:F40" si="37">D23*E23</f>
        <v>0.55263157894736836</v>
      </c>
      <c r="G23" s="32">
        <f>Main!D23</f>
        <v>5.6500000000000012</v>
      </c>
      <c r="H23" s="49">
        <f t="shared" ca="1" si="6"/>
        <v>0.36629805457554726</v>
      </c>
      <c r="I23" s="49">
        <f t="shared" ref="I23:I40" ca="1" si="38">MAX(0.01,H23+0.05*(1/BC23-1)*H23)</f>
        <v>0.36629805433421248</v>
      </c>
      <c r="J23" s="1">
        <f t="shared" si="7"/>
        <v>1.7833333333333334</v>
      </c>
      <c r="K23" s="1">
        <f t="shared" ca="1" si="8"/>
        <v>3.7836985470174563E-2</v>
      </c>
      <c r="L23" s="1">
        <f t="shared" ca="1" si="9"/>
        <v>1.8918492735087281E-2</v>
      </c>
      <c r="M23" s="32">
        <f>Main!F23</f>
        <v>5.9500000000000011</v>
      </c>
      <c r="N23" s="49">
        <f t="shared" ca="1" si="10"/>
        <v>2.1426157146857194E-2</v>
      </c>
      <c r="O23" s="49">
        <f t="shared" ca="1" si="0"/>
        <v>2.1426157146674198E-2</v>
      </c>
      <c r="P23" s="1">
        <f t="shared" si="11"/>
        <v>1.8833333333333333</v>
      </c>
      <c r="Q23" s="1">
        <f t="shared" ca="1" si="12"/>
        <v>1.0423408147951389E-2</v>
      </c>
      <c r="R23" s="1">
        <f t="shared" ca="1" si="13"/>
        <v>5.2117040739756947E-3</v>
      </c>
      <c r="S23" s="1">
        <f ca="1">SQRT(Q23*'Aerodynamics-Cruise'!T23)/2</f>
        <v>8.0500574939978836E-2</v>
      </c>
      <c r="U23" s="1">
        <f ca="1">'Aerodynamics-Cruise'!BP23</f>
        <v>3.847936998820499</v>
      </c>
      <c r="V23" s="1">
        <f>'Aerodynamics-Cruise'!BS23</f>
        <v>3.3806190262133535</v>
      </c>
      <c r="W23" s="1">
        <f t="shared" si="14"/>
        <v>2.3904586380437252</v>
      </c>
      <c r="X23" s="1">
        <f>'Aerodynamics-Cruise'!BW23</f>
        <v>3.3257449178841254</v>
      </c>
      <c r="Y23" s="1">
        <f t="shared" si="15"/>
        <v>2.3516567839325631</v>
      </c>
      <c r="AA23" s="1">
        <f>4.44*((1/'Aerodynamics-Constants'!I23-1/(1+'Aerodynamics-Constants'!I23^1.7))*(10-3*BE23)/7*((1-ABS($D$7*D23/E23))/(2*(G23-'Aerodynamics-Cruise'!$B$6)*D23/E23)^(1/3))*SQRT(COS(RADIANS(BF23))))^1.19</f>
        <v>0.36059272558983302</v>
      </c>
      <c r="AB23" s="1">
        <f t="shared" si="16"/>
        <v>0.63940727441016698</v>
      </c>
      <c r="AC23" s="12">
        <f t="shared" ca="1" si="17"/>
        <v>0</v>
      </c>
      <c r="AD23" s="1">
        <f ca="1">'Aerodynamics-Cruise'!AF23</f>
        <v>0.89900191947038521</v>
      </c>
      <c r="AE23" s="16">
        <f ca="1">'Airfoil-Cruise'!K23</f>
        <v>-9.9939460525436559</v>
      </c>
      <c r="AF23" s="16">
        <f t="shared" ca="1" si="18"/>
        <v>3.392191967803857</v>
      </c>
      <c r="AG23" s="1">
        <f t="shared" ca="1" si="19"/>
        <v>3.392191967803857</v>
      </c>
      <c r="AH23" s="1">
        <f ca="1">'Aerodynamics-Cruise'!AN23</f>
        <v>-0.30043813386009655</v>
      </c>
      <c r="AI23" s="12">
        <v>0</v>
      </c>
      <c r="AJ23" s="1">
        <f t="shared" ca="1" si="20"/>
        <v>1.2231997473943319</v>
      </c>
      <c r="AK23" s="16">
        <f t="shared" ca="1" si="21"/>
        <v>-3.8687189046317445</v>
      </c>
      <c r="AL23" s="1">
        <f t="shared" ca="1" si="22"/>
        <v>-5.0919186520260764</v>
      </c>
      <c r="AM23" s="1">
        <f t="shared" ca="1" si="23"/>
        <v>0</v>
      </c>
      <c r="AN23" s="1"/>
      <c r="AO23" s="1">
        <f ca="1">(U23*'Aerodynamics-Cruise'!$B$6+K23/F23*G23*V23*AB23)/(U23+K23/F23*V23*AB23)</f>
        <v>0.45000001304880033</v>
      </c>
      <c r="AP23" s="1">
        <f t="shared" ca="1" si="1"/>
        <v>0.15000001304880034</v>
      </c>
      <c r="AQ23" s="9" t="s">
        <v>186</v>
      </c>
      <c r="AR23" s="12">
        <f t="shared" si="24"/>
        <v>0.15</v>
      </c>
      <c r="AS23" s="1">
        <f ca="1">'Aerodynamics-Cruise'!E23/ISA!$B$5/(ISA!E23*F23*(G23-B23)*D23)</f>
        <v>11.338583383223247</v>
      </c>
      <c r="AT23" s="1">
        <f ca="1">(U23*'Aerodynamics-Cruise'!$B$6+K23/F23*G23*V23*(AB23+U23/(2*AS23)))/(U23+K23/F23*V23*(AB23+U23/(2*AS23)))</f>
        <v>0.50061200917921289</v>
      </c>
      <c r="AU23" s="1">
        <f t="shared" ca="1" si="25"/>
        <v>0.2006120091792129</v>
      </c>
      <c r="AV23" s="9" t="s">
        <v>186</v>
      </c>
      <c r="AW23" s="12">
        <v>0</v>
      </c>
      <c r="AX23" s="1">
        <f ca="1">(-'Aerodynamics-Takeoff'!AM23+'Aerodynamics-Takeoff'!AG23*'Aerodynamics-Takeoff'!$B$6+K23/F23*G23*(V23*RADIANS(AL23-AI23)+W23*RADIANS($D$9)))/('Aerodynamics-Takeoff'!AG23+K23/F23*(V23*RADIANS(AL23-AI23)+W23*RADIANS($D$9)))</f>
        <v>0.11213107447986205</v>
      </c>
      <c r="AY23" s="9" t="s">
        <v>187</v>
      </c>
      <c r="AZ23" s="1">
        <f t="shared" si="26"/>
        <v>0.3</v>
      </c>
      <c r="BA23" s="9" t="s">
        <v>187</v>
      </c>
      <c r="BB23" s="1">
        <f t="shared" ca="1" si="27"/>
        <v>0.30000001304880031</v>
      </c>
      <c r="BC23" s="1">
        <f t="shared" ca="1" si="28"/>
        <v>1.0000000130488003</v>
      </c>
      <c r="BE23" s="16">
        <f t="shared" ref="BE23:BE40" si="39">BE22</f>
        <v>0.6</v>
      </c>
      <c r="BF23" s="16">
        <f t="shared" ref="BF23:BF40" si="40">BF22</f>
        <v>0</v>
      </c>
      <c r="BG23" s="138">
        <f t="shared" ca="1" si="29"/>
        <v>2.0762078797092709</v>
      </c>
      <c r="BH23" s="138">
        <f t="shared" ca="1" si="30"/>
        <v>2.0762078797124199</v>
      </c>
      <c r="BI23" s="10">
        <f ca="1">AD23^2*(1/(4*PI()*E23/D23)-(TAN(RADIANS(BF23))/(PI()*E23/D23*(E23/D23+4*COS(RADIANS(BF23))))*(COS(RADIANS(BF23))-E23/D23/2-(E23/D23)^2/(8*COS(RADIANS(BF23)))+6*('Aerodynamics-Takeoff'!$B$6-B23)*D23*SIN(RADIANS(BF23))/(E23/D23))))</f>
        <v>1.2931031403937998E-2</v>
      </c>
      <c r="BJ23" s="10">
        <f t="shared" si="2"/>
        <v>-1.4188964474678763E-2</v>
      </c>
      <c r="BK23" s="10">
        <f t="shared" ca="1" si="31"/>
        <v>-1.2579330707407649E-3</v>
      </c>
      <c r="BL23" s="10">
        <f t="shared" ca="1" si="3"/>
        <v>7.1257933240946952E-2</v>
      </c>
      <c r="BM23" s="45">
        <v>0.04</v>
      </c>
      <c r="BN23" s="9" t="s">
        <v>187</v>
      </c>
      <c r="BO23" s="10">
        <f t="shared" ca="1" si="32"/>
        <v>7.0000000170206189E-2</v>
      </c>
      <c r="BP23" s="42">
        <f t="shared" ref="BP23:BP40" si="41">BP22</f>
        <v>7.0000000000000007E-2</v>
      </c>
      <c r="BQ23" s="9" t="s">
        <v>187</v>
      </c>
      <c r="BR23" s="45">
        <v>0.1</v>
      </c>
      <c r="BS23" s="1">
        <f t="shared" ca="1" si="33"/>
        <v>1.0000000001702061</v>
      </c>
      <c r="BT23" s="10">
        <f t="shared" ca="1" si="4"/>
        <v>-3.1954174548344469E-2</v>
      </c>
      <c r="BU23" s="10">
        <f t="shared" ca="1" si="34"/>
        <v>-3.1954174548344469E-2</v>
      </c>
      <c r="BV23" s="10">
        <f t="shared" ca="1" si="5"/>
        <v>-3.0458254486358544E-3</v>
      </c>
      <c r="BW23" s="45">
        <f t="shared" ref="BW23:BW40" si="42">BW22</f>
        <v>-0.05</v>
      </c>
      <c r="BX23" s="9" t="s">
        <v>187</v>
      </c>
      <c r="BY23" s="10">
        <f t="shared" ca="1" si="35"/>
        <v>-3.4999999996980322E-2</v>
      </c>
      <c r="BZ23" s="10">
        <f t="shared" ref="BZ23:BZ40" si="43">BZ22</f>
        <v>-3.5000000000000003E-2</v>
      </c>
      <c r="CA23" s="9" t="s">
        <v>187</v>
      </c>
      <c r="CB23" s="45">
        <f t="shared" ref="CB23:CB40" si="44">CB22</f>
        <v>-0.02</v>
      </c>
      <c r="CC23" s="1">
        <f t="shared" ca="1" si="36"/>
        <v>0.9999999999969803</v>
      </c>
    </row>
    <row r="24" spans="2:81">
      <c r="B24" s="16">
        <f>Weight!G24</f>
        <v>0.3</v>
      </c>
      <c r="D24" s="31">
        <f>'Aerodynamics-Takeoff'!L24</f>
        <v>0.33333333333333326</v>
      </c>
      <c r="E24" s="31">
        <f>'Aerodynamics-Takeoff'!M24</f>
        <v>1.736842105263158</v>
      </c>
      <c r="F24" s="16">
        <f t="shared" si="37"/>
        <v>0.57894736842105254</v>
      </c>
      <c r="G24" s="32">
        <f>Main!D24</f>
        <v>5.6500000000000012</v>
      </c>
      <c r="H24" s="49">
        <f t="shared" ca="1" si="6"/>
        <v>0.36378799846911575</v>
      </c>
      <c r="I24" s="49">
        <f t="shared" ca="1" si="38"/>
        <v>0.36378799818739277</v>
      </c>
      <c r="J24" s="1">
        <f t="shared" si="7"/>
        <v>1.7833333333333334</v>
      </c>
      <c r="K24" s="1">
        <f t="shared" ca="1" si="8"/>
        <v>3.9367122313431098E-2</v>
      </c>
      <c r="L24" s="1">
        <f t="shared" ca="1" si="9"/>
        <v>1.9683561156715549E-2</v>
      </c>
      <c r="M24" s="32">
        <f>Main!F24</f>
        <v>5.9500000000000011</v>
      </c>
      <c r="N24" s="49">
        <f t="shared" ca="1" si="10"/>
        <v>2.0799966720791683E-2</v>
      </c>
      <c r="O24" s="49">
        <f t="shared" ca="1" si="0"/>
        <v>2.0799966720529275E-2</v>
      </c>
      <c r="P24" s="1">
        <f t="shared" si="11"/>
        <v>1.8833333333333333</v>
      </c>
      <c r="Q24" s="1">
        <f t="shared" ca="1" si="12"/>
        <v>1.1105416987690114E-2</v>
      </c>
      <c r="R24" s="1">
        <f t="shared" ca="1" si="13"/>
        <v>5.5527084938450568E-3</v>
      </c>
      <c r="S24" s="1">
        <f ca="1">SQRT(Q24*'Aerodynamics-Cruise'!T24)/2</f>
        <v>8.5047830264927113E-2</v>
      </c>
      <c r="U24" s="1">
        <f ca="1">'Aerodynamics-Cruise'!BP24</f>
        <v>3.9351037785953449</v>
      </c>
      <c r="V24" s="1">
        <f>'Aerodynamics-Cruise'!BS24</f>
        <v>3.4419654787715577</v>
      </c>
      <c r="W24" s="1">
        <f t="shared" si="14"/>
        <v>2.4338371306493705</v>
      </c>
      <c r="X24" s="1">
        <f>'Aerodynamics-Cruise'!BW24</f>
        <v>3.3934190644503546</v>
      </c>
      <c r="Y24" s="1">
        <f t="shared" si="15"/>
        <v>2.399509631880556</v>
      </c>
      <c r="AA24" s="1">
        <f>4.44*((1/'Aerodynamics-Constants'!I24-1/(1+'Aerodynamics-Constants'!I24^1.7))*(10-3*BE24)/7*((1-ABS($D$7*D24/E24))/(2*(G24-'Aerodynamics-Cruise'!$B$6)*D24/E24)^(1/3))*SQRT(COS(RADIANS(BF24))))^1.19</f>
        <v>0.35333138859032892</v>
      </c>
      <c r="AB24" s="1">
        <f t="shared" si="16"/>
        <v>0.64666861140967113</v>
      </c>
      <c r="AC24" s="12">
        <f t="shared" ca="1" si="17"/>
        <v>0</v>
      </c>
      <c r="AD24" s="1">
        <f ca="1">'Aerodynamics-Cruise'!AF24</f>
        <v>0.89907890285619119</v>
      </c>
      <c r="AE24" s="16">
        <f ca="1">'Airfoil-Cruise'!K24</f>
        <v>-9.6435811822405419</v>
      </c>
      <c r="AF24" s="16">
        <f t="shared" ca="1" si="18"/>
        <v>3.4471603791675971</v>
      </c>
      <c r="AG24" s="1">
        <f t="shared" ca="1" si="19"/>
        <v>3.4471603791675971</v>
      </c>
      <c r="AH24" s="1">
        <f ca="1">'Aerodynamics-Cruise'!AN24</f>
        <v>-0.3025005091817875</v>
      </c>
      <c r="AI24" s="12">
        <v>0</v>
      </c>
      <c r="AJ24" s="1">
        <f t="shared" ca="1" si="20"/>
        <v>1.2179899634648519</v>
      </c>
      <c r="AK24" s="16">
        <f t="shared" ca="1" si="21"/>
        <v>-3.8175057681369209</v>
      </c>
      <c r="AL24" s="1">
        <f t="shared" ca="1" si="22"/>
        <v>-5.035495731601773</v>
      </c>
      <c r="AM24" s="1">
        <f t="shared" ca="1" si="23"/>
        <v>0</v>
      </c>
      <c r="AN24" s="1"/>
      <c r="AO24" s="1">
        <f ca="1">(U24*'Aerodynamics-Cruise'!$B$6+K24/F24*G24*V24*AB24)/(U24+K24/F24*V24*AB24)</f>
        <v>0.45000001533765938</v>
      </c>
      <c r="AP24" s="1">
        <f t="shared" ca="1" si="1"/>
        <v>0.15000001533765939</v>
      </c>
      <c r="AQ24" s="9" t="s">
        <v>186</v>
      </c>
      <c r="AR24" s="12">
        <f t="shared" si="24"/>
        <v>0.15</v>
      </c>
      <c r="AS24" s="1">
        <f ca="1">'Aerodynamics-Cruise'!E24/ISA!$B$5/(ISA!E24*F24*(G24-B24)*D24)</f>
        <v>10.191687687917879</v>
      </c>
      <c r="AT24" s="1">
        <f ca="1">(U24*'Aerodynamics-Cruise'!$B$6+K24/F24*G24*V24*(AB24+U24/(2*AS24)))/(U24+K24/F24*V24*(AB24+U24/(2*AS24)))</f>
        <v>0.50686727589038227</v>
      </c>
      <c r="AU24" s="1">
        <f t="shared" ca="1" si="25"/>
        <v>0.20686727589038229</v>
      </c>
      <c r="AV24" s="9" t="s">
        <v>186</v>
      </c>
      <c r="AW24" s="12">
        <v>0</v>
      </c>
      <c r="AX24" s="1">
        <f ca="1">(-'Aerodynamics-Takeoff'!AM24+'Aerodynamics-Takeoff'!AG24*'Aerodynamics-Takeoff'!$B$6+K24/F24*G24*(V24*RADIANS(AL24-AI24)+W24*RADIANS($D$9)))/('Aerodynamics-Takeoff'!AG24+K24/F24*(V24*RADIANS(AL24-AI24)+W24*RADIANS($D$9)))</f>
        <v>0.1100762292146185</v>
      </c>
      <c r="AY24" s="9" t="s">
        <v>187</v>
      </c>
      <c r="AZ24" s="1">
        <f t="shared" si="26"/>
        <v>0.3</v>
      </c>
      <c r="BA24" s="9" t="s">
        <v>187</v>
      </c>
      <c r="BB24" s="1">
        <f t="shared" ca="1" si="27"/>
        <v>0.30000001533765941</v>
      </c>
      <c r="BC24" s="1">
        <f t="shared" ca="1" si="28"/>
        <v>1.0000000153376594</v>
      </c>
      <c r="BE24" s="16">
        <f t="shared" si="39"/>
        <v>0.6</v>
      </c>
      <c r="BF24" s="16">
        <f t="shared" si="40"/>
        <v>0</v>
      </c>
      <c r="BG24" s="138">
        <f t="shared" ca="1" si="29"/>
        <v>2.021222843671814</v>
      </c>
      <c r="BH24" s="138">
        <f t="shared" ca="1" si="30"/>
        <v>2.0212228436765587</v>
      </c>
      <c r="BI24" s="10">
        <f ca="1">AD24^2*(1/(4*PI()*E24/D24)-(TAN(RADIANS(BF24))/(PI()*E24/D24*(E24/D24+4*COS(RADIANS(BF24))))*(COS(RADIANS(BF24))-E24/D24/2-(E24/D24)^2/(8*COS(RADIANS(BF24)))+6*('Aerodynamics-Takeoff'!$B$6-B24)*D24*SIN(RADIANS(BF24))/(E24/D24))))</f>
        <v>1.2345371296801721E-2</v>
      </c>
      <c r="BJ24" s="10">
        <f t="shared" si="2"/>
        <v>-1.2928374655647386E-2</v>
      </c>
      <c r="BK24" s="10">
        <f t="shared" ca="1" si="31"/>
        <v>-5.8300335884566533E-4</v>
      </c>
      <c r="BL24" s="10">
        <f t="shared" ca="1" si="3"/>
        <v>7.0583003610267425E-2</v>
      </c>
      <c r="BM24" s="45">
        <v>0.04</v>
      </c>
      <c r="BN24" s="9" t="s">
        <v>187</v>
      </c>
      <c r="BO24" s="10">
        <f t="shared" ca="1" si="32"/>
        <v>7.0000000251421765E-2</v>
      </c>
      <c r="BP24" s="42">
        <f t="shared" si="41"/>
        <v>7.0000000000000007E-2</v>
      </c>
      <c r="BQ24" s="9" t="s">
        <v>187</v>
      </c>
      <c r="BR24" s="45">
        <v>0.1</v>
      </c>
      <c r="BS24" s="1">
        <f t="shared" ca="1" si="33"/>
        <v>1.0000000002514218</v>
      </c>
      <c r="BT24" s="10">
        <f t="shared" ca="1" si="4"/>
        <v>-3.1812602839236051E-2</v>
      </c>
      <c r="BU24" s="10">
        <f t="shared" ca="1" si="34"/>
        <v>-3.1812602839236051E-2</v>
      </c>
      <c r="BV24" s="10">
        <f t="shared" ca="1" si="5"/>
        <v>-3.1873971560892533E-3</v>
      </c>
      <c r="BW24" s="45">
        <f t="shared" si="42"/>
        <v>-0.05</v>
      </c>
      <c r="BX24" s="9" t="s">
        <v>187</v>
      </c>
      <c r="BY24" s="10">
        <f t="shared" ca="1" si="35"/>
        <v>-3.4999999995325305E-2</v>
      </c>
      <c r="BZ24" s="10">
        <f t="shared" si="43"/>
        <v>-3.5000000000000003E-2</v>
      </c>
      <c r="CA24" s="9" t="s">
        <v>187</v>
      </c>
      <c r="CB24" s="45">
        <f t="shared" si="44"/>
        <v>-0.02</v>
      </c>
      <c r="CC24" s="1">
        <f t="shared" ca="1" si="36"/>
        <v>0.99999999999532529</v>
      </c>
    </row>
    <row r="25" spans="2:81">
      <c r="B25" s="16">
        <f>Weight!G25</f>
        <v>0.3</v>
      </c>
      <c r="D25" s="31">
        <f>'Aerodynamics-Takeoff'!L25</f>
        <v>0.33333333333333326</v>
      </c>
      <c r="E25" s="31">
        <f>'Aerodynamics-Takeoff'!M25</f>
        <v>1.8157894736842106</v>
      </c>
      <c r="F25" s="16">
        <f t="shared" si="37"/>
        <v>0.60526315789473673</v>
      </c>
      <c r="G25" s="32">
        <f>Main!D25</f>
        <v>5.6500000000000012</v>
      </c>
      <c r="H25" s="49">
        <f t="shared" ca="1" si="6"/>
        <v>0.35805654333786424</v>
      </c>
      <c r="I25" s="49">
        <f t="shared" ca="1" si="38"/>
        <v>0.35805654305852802</v>
      </c>
      <c r="J25" s="1">
        <f t="shared" si="7"/>
        <v>1.7833333333333334</v>
      </c>
      <c r="K25" s="1">
        <f t="shared" ca="1" si="8"/>
        <v>4.0508118528140055E-2</v>
      </c>
      <c r="L25" s="1">
        <f t="shared" ca="1" si="9"/>
        <v>2.0254059264070028E-2</v>
      </c>
      <c r="M25" s="32">
        <f>Main!F25</f>
        <v>5.9500000000000011</v>
      </c>
      <c r="N25" s="49">
        <f t="shared" ca="1" si="10"/>
        <v>2.0250186841530109E-2</v>
      </c>
      <c r="O25" s="49">
        <f t="shared" ca="1" si="0"/>
        <v>2.0250186841186086E-2</v>
      </c>
      <c r="P25" s="1">
        <f t="shared" si="11"/>
        <v>1.8833333333333333</v>
      </c>
      <c r="Q25" s="1">
        <f t="shared" ca="1" si="12"/>
        <v>1.1817118078165963E-2</v>
      </c>
      <c r="R25" s="1">
        <f t="shared" ca="1" si="13"/>
        <v>5.9085590390829815E-3</v>
      </c>
      <c r="S25" s="1">
        <f ca="1">SQRT(Q25*'Aerodynamics-Cruise'!T25)/2</f>
        <v>8.9702421822693446E-2</v>
      </c>
      <c r="T25" s="6"/>
      <c r="U25" s="1">
        <f ca="1">'Aerodynamics-Cruise'!BP25</f>
        <v>3.980810208997366</v>
      </c>
      <c r="V25" s="1">
        <f>'Aerodynamics-Cruise'!BS25</f>
        <v>3.4999890744031426</v>
      </c>
      <c r="W25" s="1">
        <f t="shared" si="14"/>
        <v>2.4748660085892902</v>
      </c>
      <c r="X25" s="1">
        <f>'Aerodynamics-Cruise'!BW25</f>
        <v>3.4576577348594704</v>
      </c>
      <c r="Y25" s="1">
        <f t="shared" si="15"/>
        <v>2.4449332313412491</v>
      </c>
      <c r="AA25" s="1">
        <f>4.44*((1/'Aerodynamics-Constants'!I25-1/(1+'Aerodynamics-Constants'!I25^1.7))*(10-3*BE25)/7*((1-ABS($D$7*D25/E25))/(2*(G25-'Aerodynamics-Cruise'!$B$6)*D25/E25)^(1/3))*SQRT(COS(RADIANS(BF25))))^1.19</f>
        <v>0.34636750017021284</v>
      </c>
      <c r="AB25" s="1">
        <f t="shared" si="16"/>
        <v>0.65363249982978711</v>
      </c>
      <c r="AC25" s="12">
        <f t="shared" ca="1" si="17"/>
        <v>0</v>
      </c>
      <c r="AD25" s="1">
        <f ca="1">'Aerodynamics-Cruise'!AF25</f>
        <v>0.89914653275094825</v>
      </c>
      <c r="AE25" s="16">
        <f ca="1">'Airfoil-Cruise'!K25</f>
        <v>-9.5468153913771374</v>
      </c>
      <c r="AF25" s="16">
        <f t="shared" ca="1" si="18"/>
        <v>3.3945957248856207</v>
      </c>
      <c r="AG25" s="1">
        <f t="shared" ca="1" si="19"/>
        <v>3.3945957248856207</v>
      </c>
      <c r="AH25" s="1">
        <f ca="1">'Aerodynamics-Cruise'!AN25</f>
        <v>-0.30733322801455421</v>
      </c>
      <c r="AI25" s="12">
        <v>0</v>
      </c>
      <c r="AJ25" s="1">
        <f t="shared" ca="1" si="20"/>
        <v>1.1757776353171241</v>
      </c>
      <c r="AK25" s="16">
        <f t="shared" ca="1" si="21"/>
        <v>-3.8553514610983042</v>
      </c>
      <c r="AL25" s="1">
        <f t="shared" ca="1" si="22"/>
        <v>-5.0311290964154285</v>
      </c>
      <c r="AM25" s="1">
        <f t="shared" ca="1" si="23"/>
        <v>0</v>
      </c>
      <c r="AN25" s="1"/>
      <c r="AO25" s="1">
        <f ca="1">(U25*'Aerodynamics-Cruise'!$B$6+K25/F25*G25*V25*AB25)/(U25+K25/F25*V25*AB25)</f>
        <v>0.4500000154511471</v>
      </c>
      <c r="AP25" s="1">
        <f t="shared" ca="1" si="1"/>
        <v>0.15000001545114711</v>
      </c>
      <c r="AQ25" s="9" t="s">
        <v>186</v>
      </c>
      <c r="AR25" s="12">
        <f t="shared" si="24"/>
        <v>0.15</v>
      </c>
      <c r="AS25" s="1">
        <f ca="1">'Aerodynamics-Cruise'!E25/ISA!$B$5/(ISA!E25*F25*(G25-B25)*D25)</f>
        <v>9.8896595816641781</v>
      </c>
      <c r="AT25" s="1">
        <f ca="1">(U25*'Aerodynamics-Cruise'!$B$6+K25/F25*G25*V25*(AB25+U25/(2*AS25)))/(U25+K25/F25*V25*(AB25+U25/(2*AS25)))</f>
        <v>0.50863291588443305</v>
      </c>
      <c r="AU25" s="1">
        <f t="shared" ca="1" si="25"/>
        <v>0.20863291588443306</v>
      </c>
      <c r="AV25" s="9" t="s">
        <v>186</v>
      </c>
      <c r="AW25" s="12">
        <v>0</v>
      </c>
      <c r="AX25" s="1">
        <f ca="1">(-'Aerodynamics-Takeoff'!AM25+'Aerodynamics-Takeoff'!AG25*'Aerodynamics-Takeoff'!$B$6+K25/F25*G25*(V25*RADIANS(AL25-AI25)+W25*RADIANS($D$9)))/('Aerodynamics-Takeoff'!AG25+K25/F25*(V25*RADIANS(AL25-AI25)+W25*RADIANS($D$9)))</f>
        <v>0.10990039284796126</v>
      </c>
      <c r="AY25" s="9" t="s">
        <v>187</v>
      </c>
      <c r="AZ25" s="1">
        <f t="shared" si="26"/>
        <v>0.3</v>
      </c>
      <c r="BA25" s="9" t="s">
        <v>187</v>
      </c>
      <c r="BB25" s="1">
        <f t="shared" ca="1" si="27"/>
        <v>0.30000001545114707</v>
      </c>
      <c r="BC25" s="1">
        <f t="shared" ca="1" si="28"/>
        <v>1.000000015451147</v>
      </c>
      <c r="BE25" s="16">
        <f t="shared" si="39"/>
        <v>0.6</v>
      </c>
      <c r="BF25" s="16">
        <f t="shared" si="40"/>
        <v>0</v>
      </c>
      <c r="BG25" s="138">
        <f t="shared" ca="1" si="29"/>
        <v>1.9887492495988324</v>
      </c>
      <c r="BH25" s="138">
        <f t="shared" ca="1" si="30"/>
        <v>1.9887492496054797</v>
      </c>
      <c r="BI25" s="10">
        <f ca="1">AD25^2*(1/(4*PI()*E25/D25)-(TAN(RADIANS(BF25))/(PI()*E25/D25*(E25/D25+4*COS(RADIANS(BF25))))*(COS(RADIANS(BF25))-E25/D25/2-(E25/D25)^2/(8*COS(RADIANS(BF25)))+6*('Aerodynamics-Takeoff'!$B$6-B25)*D25*SIN(RADIANS(BF25))/(E25/D25))))</f>
        <v>1.1810392609026535E-2</v>
      </c>
      <c r="BJ25" s="10">
        <f t="shared" si="2"/>
        <v>-1.1828607435412733E-2</v>
      </c>
      <c r="BK25" s="10">
        <f t="shared" ca="1" si="31"/>
        <v>-1.8214826386198091E-5</v>
      </c>
      <c r="BL25" s="10">
        <f t="shared" ca="1" si="3"/>
        <v>7.0018215164966049E-2</v>
      </c>
      <c r="BM25" s="45">
        <v>0.04</v>
      </c>
      <c r="BN25" s="9" t="s">
        <v>187</v>
      </c>
      <c r="BO25" s="10">
        <f t="shared" ca="1" si="32"/>
        <v>7.0000000338579851E-2</v>
      </c>
      <c r="BP25" s="42">
        <f t="shared" si="41"/>
        <v>7.0000000000000007E-2</v>
      </c>
      <c r="BQ25" s="9" t="s">
        <v>187</v>
      </c>
      <c r="BR25" s="45">
        <v>0.1</v>
      </c>
      <c r="BS25" s="1">
        <f t="shared" ca="1" si="33"/>
        <v>1.0000000003385798</v>
      </c>
      <c r="BT25" s="10">
        <f t="shared" ca="1" si="4"/>
        <v>-3.1665060096705291E-2</v>
      </c>
      <c r="BU25" s="10">
        <f t="shared" ca="1" si="34"/>
        <v>-3.1665060096705291E-2</v>
      </c>
      <c r="BV25" s="10">
        <f t="shared" ca="1" si="5"/>
        <v>-3.3349398966371125E-3</v>
      </c>
      <c r="BW25" s="45">
        <f t="shared" si="42"/>
        <v>-0.05</v>
      </c>
      <c r="BX25" s="9" t="s">
        <v>187</v>
      </c>
      <c r="BY25" s="10">
        <f t="shared" ca="1" si="35"/>
        <v>-3.4999999993342405E-2</v>
      </c>
      <c r="BZ25" s="10">
        <f t="shared" si="43"/>
        <v>-3.5000000000000003E-2</v>
      </c>
      <c r="CA25" s="9" t="s">
        <v>187</v>
      </c>
      <c r="CB25" s="45">
        <f t="shared" si="44"/>
        <v>-0.02</v>
      </c>
      <c r="CC25" s="1">
        <f t="shared" ca="1" si="36"/>
        <v>0.99999999999334244</v>
      </c>
    </row>
    <row r="26" spans="2:81">
      <c r="B26" s="16">
        <f>Weight!G26</f>
        <v>0.3</v>
      </c>
      <c r="D26" s="31">
        <f>'Aerodynamics-Takeoff'!L26</f>
        <v>0.33333333333333326</v>
      </c>
      <c r="E26" s="31">
        <f>'Aerodynamics-Takeoff'!M26</f>
        <v>1.8947368421052633</v>
      </c>
      <c r="F26" s="16">
        <f t="shared" si="37"/>
        <v>0.63157894736842091</v>
      </c>
      <c r="G26" s="32">
        <f>Main!D26</f>
        <v>5.6500000000000012</v>
      </c>
      <c r="H26" s="49">
        <f t="shared" ca="1" si="6"/>
        <v>0.352777287077363</v>
      </c>
      <c r="I26" s="49">
        <f t="shared" ca="1" si="38"/>
        <v>0.3527772868003905</v>
      </c>
      <c r="J26" s="1">
        <f t="shared" si="7"/>
        <v>1.7833333333333334</v>
      </c>
      <c r="K26" s="1">
        <f t="shared" ca="1" si="8"/>
        <v>4.164611357529123E-2</v>
      </c>
      <c r="L26" s="1">
        <f t="shared" ca="1" si="9"/>
        <v>2.0823056787645615E-2</v>
      </c>
      <c r="M26" s="32">
        <f>Main!F26</f>
        <v>5.9500000000000011</v>
      </c>
      <c r="N26" s="49">
        <f t="shared" ca="1" si="10"/>
        <v>1.9763922950445052E-2</v>
      </c>
      <c r="O26" s="49">
        <f t="shared" ca="1" si="0"/>
        <v>1.9763922950019171E-2</v>
      </c>
      <c r="P26" s="1">
        <f t="shared" si="11"/>
        <v>1.8833333333333333</v>
      </c>
      <c r="Q26" s="1">
        <f t="shared" ca="1" si="12"/>
        <v>1.2558058560918191E-2</v>
      </c>
      <c r="R26" s="1">
        <f t="shared" ca="1" si="13"/>
        <v>6.2790292804590954E-3</v>
      </c>
      <c r="S26" s="1">
        <f ca="1">SQRT(Q26*'Aerodynamics-Cruise'!T26)/2</f>
        <v>9.4460738313638354E-2</v>
      </c>
      <c r="U26" s="1">
        <f ca="1">'Aerodynamics-Cruise'!BP26</f>
        <v>4.0244429212767194</v>
      </c>
      <c r="V26" s="1">
        <f>'Aerodynamics-Cruise'!BS26</f>
        <v>3.5549530075966391</v>
      </c>
      <c r="W26" s="1">
        <f t="shared" si="14"/>
        <v>2.5137313784710957</v>
      </c>
      <c r="X26" s="1">
        <f>'Aerodynamics-Cruise'!BW26</f>
        <v>3.5187158511365184</v>
      </c>
      <c r="Y26" s="1">
        <f t="shared" si="15"/>
        <v>2.4881078394072267</v>
      </c>
      <c r="AA26" s="1">
        <f>4.44*((1/'Aerodynamics-Constants'!I26-1/(1+'Aerodynamics-Constants'!I26^1.7))*(10-3*BE26)/7*((1-ABS($D$7*D26/E26))/(2*(G26-'Aerodynamics-Cruise'!$B$6)*D26/E26)^(1/3))*SQRT(COS(RADIANS(BF26))))^1.19</f>
        <v>0.33968409086236817</v>
      </c>
      <c r="AB26" s="1">
        <f t="shared" si="16"/>
        <v>0.66031590913763183</v>
      </c>
      <c r="AC26" s="12">
        <f t="shared" ca="1" si="17"/>
        <v>0</v>
      </c>
      <c r="AD26" s="1">
        <f ca="1">'Aerodynamics-Cruise'!AF26</f>
        <v>0.89920628981295814</v>
      </c>
      <c r="AE26" s="16">
        <f ca="1">'Airfoil-Cruise'!K26</f>
        <v>-9.4540201936136423</v>
      </c>
      <c r="AF26" s="16">
        <f t="shared" ca="1" si="18"/>
        <v>3.3479318593069021</v>
      </c>
      <c r="AG26" s="1">
        <f t="shared" ca="1" si="19"/>
        <v>3.3479318593069021</v>
      </c>
      <c r="AH26" s="1">
        <f ca="1">'Aerodynamics-Cruise'!AN26</f>
        <v>-0.31192395160626263</v>
      </c>
      <c r="AI26" s="12">
        <v>0</v>
      </c>
      <c r="AJ26" s="1">
        <f t="shared" ca="1" si="20"/>
        <v>1.1372391898978229</v>
      </c>
      <c r="AK26" s="16">
        <f t="shared" ca="1" si="21"/>
        <v>-3.8900919500331312</v>
      </c>
      <c r="AL26" s="1">
        <f t="shared" ca="1" si="22"/>
        <v>-5.0273311399309542</v>
      </c>
      <c r="AM26" s="1">
        <f t="shared" ca="1" si="23"/>
        <v>0</v>
      </c>
      <c r="AN26" s="1"/>
      <c r="AO26" s="1">
        <f ca="1">(U26*'Aerodynamics-Cruise'!$B$6+K26/F26*G26*V26*AB26)/(U26+K26/F26*V26*AB26)</f>
        <v>0.45000001554966207</v>
      </c>
      <c r="AP26" s="1">
        <f t="shared" ca="1" si="1"/>
        <v>0.15000001554966208</v>
      </c>
      <c r="AQ26" s="9" t="s">
        <v>186</v>
      </c>
      <c r="AR26" s="12">
        <f t="shared" si="24"/>
        <v>0.15</v>
      </c>
      <c r="AS26" s="1">
        <f ca="1">'Aerodynamics-Cruise'!E26/ISA!$B$5/(ISA!E26*F26*(G26-B26)*D26)</f>
        <v>9.6056069482426416</v>
      </c>
      <c r="AT26" s="1">
        <f ca="1">(U26*'Aerodynamics-Cruise'!$B$6+K26/F26*G26*V26*(AB26+U26/(2*AS26)))/(U26+K26/F26*V26*(AB26+U26/(2*AS26)))</f>
        <v>0.51039009909862987</v>
      </c>
      <c r="AU26" s="1">
        <f t="shared" ca="1" si="25"/>
        <v>0.21039009909862988</v>
      </c>
      <c r="AV26" s="9" t="s">
        <v>186</v>
      </c>
      <c r="AW26" s="12">
        <v>0</v>
      </c>
      <c r="AX26" s="1">
        <f ca="1">(-'Aerodynamics-Takeoff'!AM26+'Aerodynamics-Takeoff'!AG26*'Aerodynamics-Takeoff'!$B$6+K26/F26*G26*(V26*RADIANS(AL26-AI26)+W26*RADIANS($D$9)))/('Aerodynamics-Takeoff'!AG26+K26/F26*(V26*RADIANS(AL26-AI26)+W26*RADIANS($D$9)))</f>
        <v>0.10974427465102901</v>
      </c>
      <c r="AY26" s="9" t="s">
        <v>187</v>
      </c>
      <c r="AZ26" s="1">
        <f t="shared" si="26"/>
        <v>0.3</v>
      </c>
      <c r="BA26" s="9" t="s">
        <v>187</v>
      </c>
      <c r="BB26" s="1">
        <f t="shared" ca="1" si="27"/>
        <v>0.30000001554966205</v>
      </c>
      <c r="BC26" s="1">
        <f t="shared" ca="1" si="28"/>
        <v>1.000000015549662</v>
      </c>
      <c r="BE26" s="16">
        <f t="shared" si="39"/>
        <v>0.6</v>
      </c>
      <c r="BF26" s="16">
        <f t="shared" si="40"/>
        <v>0</v>
      </c>
      <c r="BG26" s="138">
        <f t="shared" ca="1" si="29"/>
        <v>1.9576760373183724</v>
      </c>
      <c r="BH26" s="138">
        <f t="shared" ca="1" si="30"/>
        <v>1.957676037327138</v>
      </c>
      <c r="BI26" s="10">
        <f ca="1">AD26^2*(1/(4*PI()*E26/D26)-(TAN(RADIANS(BF26))/(PI()*E26/D26*(E26/D26+4*COS(RADIANS(BF26))))*(COS(RADIANS(BF26))-E26/D26/2-(E26/D26)^2/(8*COS(RADIANS(BF26)))+6*('Aerodynamics-Takeoff'!$B$6-B26)*D26*SIN(RADIANS(BF26))/(E26/D26))))</f>
        <v>1.1319797389018098E-2</v>
      </c>
      <c r="BJ26" s="10">
        <f t="shared" si="2"/>
        <v>-1.0863425925925929E-2</v>
      </c>
      <c r="BK26" s="10">
        <f t="shared" ca="1" si="31"/>
        <v>4.5637146309216933E-4</v>
      </c>
      <c r="BL26" s="10">
        <f t="shared" ca="1" si="3"/>
        <v>6.954362896637184E-2</v>
      </c>
      <c r="BM26" s="45">
        <v>0.04</v>
      </c>
      <c r="BN26" s="9" t="s">
        <v>187</v>
      </c>
      <c r="BO26" s="10">
        <f t="shared" ca="1" si="32"/>
        <v>7.0000000429464013E-2</v>
      </c>
      <c r="BP26" s="42">
        <f t="shared" si="41"/>
        <v>7.0000000000000007E-2</v>
      </c>
      <c r="BQ26" s="9" t="s">
        <v>187</v>
      </c>
      <c r="BR26" s="45">
        <v>0.1</v>
      </c>
      <c r="BS26" s="1">
        <f t="shared" ca="1" si="33"/>
        <v>1.000000000429464</v>
      </c>
      <c r="BT26" s="10">
        <f t="shared" ca="1" si="4"/>
        <v>-3.1511959705855831E-2</v>
      </c>
      <c r="BU26" s="10">
        <f t="shared" ca="1" si="34"/>
        <v>-3.1511959705855831E-2</v>
      </c>
      <c r="BV26" s="10">
        <f t="shared" ca="1" si="5"/>
        <v>-3.4880402852247136E-3</v>
      </c>
      <c r="BW26" s="45">
        <f t="shared" si="42"/>
        <v>-0.05</v>
      </c>
      <c r="BX26" s="9" t="s">
        <v>187</v>
      </c>
      <c r="BY26" s="10">
        <f t="shared" ca="1" si="35"/>
        <v>-3.4999999991080548E-2</v>
      </c>
      <c r="BZ26" s="10">
        <f t="shared" si="43"/>
        <v>-3.5000000000000003E-2</v>
      </c>
      <c r="CA26" s="9" t="s">
        <v>187</v>
      </c>
      <c r="CB26" s="45">
        <f t="shared" si="44"/>
        <v>-0.02</v>
      </c>
      <c r="CC26" s="1">
        <f t="shared" ca="1" si="36"/>
        <v>0.99999999999108058</v>
      </c>
    </row>
    <row r="27" spans="2:81">
      <c r="B27" s="16">
        <f>Weight!G27</f>
        <v>0.3</v>
      </c>
      <c r="D27" s="31">
        <f>'Aerodynamics-Takeoff'!L27</f>
        <v>0.33333333333333326</v>
      </c>
      <c r="E27" s="31">
        <f>'Aerodynamics-Takeoff'!M27</f>
        <v>1.9736842105263159</v>
      </c>
      <c r="F27" s="16">
        <f t="shared" si="37"/>
        <v>0.6578947368421052</v>
      </c>
      <c r="G27" s="32">
        <f>Main!D27</f>
        <v>5.6500000000000012</v>
      </c>
      <c r="H27" s="49">
        <f t="shared" ca="1" si="6"/>
        <v>0.34790144440808285</v>
      </c>
      <c r="I27" s="49">
        <f t="shared" ca="1" si="38"/>
        <v>0.34790144412940172</v>
      </c>
      <c r="J27" s="1">
        <f t="shared" si="7"/>
        <v>1.7833333333333334</v>
      </c>
      <c r="K27" s="1">
        <f t="shared" ca="1" si="8"/>
        <v>4.2781781161839977E-2</v>
      </c>
      <c r="L27" s="1">
        <f t="shared" ca="1" si="9"/>
        <v>2.1390890580919988E-2</v>
      </c>
      <c r="M27" s="32">
        <f>Main!F27</f>
        <v>5.9500000000000011</v>
      </c>
      <c r="N27" s="49">
        <f t="shared" ca="1" si="10"/>
        <v>1.9330962529173684E-2</v>
      </c>
      <c r="O27" s="49">
        <f t="shared" ca="1" si="0"/>
        <v>1.9330962528667762E-2</v>
      </c>
      <c r="P27" s="1">
        <f t="shared" si="11"/>
        <v>1.8833333333333333</v>
      </c>
      <c r="Q27" s="1">
        <f t="shared" ca="1" si="12"/>
        <v>1.3327858238742182E-2</v>
      </c>
      <c r="R27" s="1">
        <f t="shared" ca="1" si="13"/>
        <v>6.663929119371091E-3</v>
      </c>
      <c r="S27" s="1">
        <f ca="1">SQRT(Q27*'Aerodynamics-Cruise'!T27)/2</f>
        <v>9.9319528604534496E-2</v>
      </c>
      <c r="U27" s="1">
        <f ca="1">'Aerodynamics-Cruise'!BP27</f>
        <v>4.0661743717040562</v>
      </c>
      <c r="V27" s="1">
        <f>'Aerodynamics-Cruise'!BS27</f>
        <v>3.6070931443035468</v>
      </c>
      <c r="W27" s="1">
        <f t="shared" si="14"/>
        <v>2.5506000227085441</v>
      </c>
      <c r="X27" s="1">
        <f>'Aerodynamics-Cruise'!BW27</f>
        <v>3.5768237222582537</v>
      </c>
      <c r="Y27" s="1">
        <f t="shared" si="15"/>
        <v>2.5291963091177196</v>
      </c>
      <c r="AA27" s="1">
        <f>4.44*((1/'Aerodynamics-Constants'!I27-1/(1+'Aerodynamics-Constants'!I27^1.7))*(10-3*BE27)/7*((1-ABS($D$7*D27/E27))/(2*(G27-'Aerodynamics-Cruise'!$B$6)*D27/E27)^(1/3))*SQRT(COS(RADIANS(BF27))))^1.19</f>
        <v>0.33326557440829507</v>
      </c>
      <c r="AB27" s="1">
        <f t="shared" si="16"/>
        <v>0.66673442559170493</v>
      </c>
      <c r="AC27" s="12">
        <f t="shared" ca="1" si="17"/>
        <v>0</v>
      </c>
      <c r="AD27" s="1">
        <f ca="1">'Aerodynamics-Cruise'!AF27</f>
        <v>0.89925937064373429</v>
      </c>
      <c r="AE27" s="16">
        <f ca="1">'Airfoil-Cruise'!K27</f>
        <v>-9.3649434502216398</v>
      </c>
      <c r="AF27" s="16">
        <f t="shared" ca="1" si="18"/>
        <v>3.3063691683476293</v>
      </c>
      <c r="AG27" s="1">
        <f t="shared" ca="1" si="19"/>
        <v>3.3063691683476293</v>
      </c>
      <c r="AH27" s="1">
        <f ca="1">'Aerodynamics-Cruise'!AN27</f>
        <v>-0.31628794058621723</v>
      </c>
      <c r="AI27" s="12">
        <v>0</v>
      </c>
      <c r="AJ27" s="1">
        <f t="shared" ca="1" si="20"/>
        <v>1.1018990200952496</v>
      </c>
      <c r="AK27" s="16">
        <f t="shared" ca="1" si="21"/>
        <v>-3.9220810606780052</v>
      </c>
      <c r="AL27" s="1">
        <f t="shared" ca="1" si="22"/>
        <v>-5.0239800807732546</v>
      </c>
      <c r="AM27" s="1">
        <f t="shared" ca="1" si="23"/>
        <v>0</v>
      </c>
      <c r="AN27" s="1"/>
      <c r="AO27" s="1">
        <f ca="1">(U27*'Aerodynamics-Cruise'!$B$6+K27/F27*G27*V27*AB27)/(U27+K27/F27*V27*AB27)</f>
        <v>0.45000001586486055</v>
      </c>
      <c r="AP27" s="1">
        <f t="shared" ca="1" si="1"/>
        <v>0.15000001586486056</v>
      </c>
      <c r="AQ27" s="9" t="s">
        <v>186</v>
      </c>
      <c r="AR27" s="12">
        <f t="shared" si="24"/>
        <v>0.15</v>
      </c>
      <c r="AS27" s="1">
        <f ca="1">'Aerodynamics-Cruise'!E27/ISA!$B$5/(ISA!E27*F27*(G27-B27)*D27)</f>
        <v>9.3380377446492737</v>
      </c>
      <c r="AT27" s="1">
        <f ca="1">(U27*'Aerodynamics-Cruise'!$B$6+K27/F27*G27*V27*(AB27+U27/(2*AS27)))/(U27+K27/F27*V27*(AB27+U27/(2*AS27)))</f>
        <v>0.51213927854445274</v>
      </c>
      <c r="AU27" s="1">
        <f t="shared" ca="1" si="25"/>
        <v>0.21213927854445275</v>
      </c>
      <c r="AV27" s="9" t="s">
        <v>186</v>
      </c>
      <c r="AW27" s="12">
        <v>0</v>
      </c>
      <c r="AX27" s="1">
        <f ca="1">(-'Aerodynamics-Takeoff'!AM27+'Aerodynamics-Takeoff'!AG27*'Aerodynamics-Takeoff'!$B$6+K27/F27*G27*(V27*RADIANS(AL27-AI27)+W27*RADIANS($D$9)))/('Aerodynamics-Takeoff'!AG27+K27/F27*(V27*RADIANS(AL27-AI27)+W27*RADIANS($D$9)))</f>
        <v>0.10960377642444638</v>
      </c>
      <c r="AY27" s="9" t="s">
        <v>187</v>
      </c>
      <c r="AZ27" s="1">
        <f t="shared" si="26"/>
        <v>0.3</v>
      </c>
      <c r="BA27" s="9" t="s">
        <v>187</v>
      </c>
      <c r="BB27" s="1">
        <f t="shared" ca="1" si="27"/>
        <v>0.30000001586486058</v>
      </c>
      <c r="BC27" s="1">
        <f t="shared" ca="1" si="28"/>
        <v>1.0000000158648605</v>
      </c>
      <c r="BE27" s="16">
        <f t="shared" si="39"/>
        <v>0.6</v>
      </c>
      <c r="BF27" s="16">
        <f t="shared" si="40"/>
        <v>0</v>
      </c>
      <c r="BG27" s="138">
        <f t="shared" ca="1" si="29"/>
        <v>1.9278501686016698</v>
      </c>
      <c r="BH27" s="138">
        <f t="shared" ca="1" si="30"/>
        <v>1.9278501686127565</v>
      </c>
      <c r="BI27" s="10">
        <f ca="1">AD27^2*(1/(4*PI()*E27/D27)-(TAN(RADIANS(BF27))/(PI()*E27/D27*(E27/D27+4*COS(RADIANS(BF27))))*(COS(RADIANS(BF27))-E27/D27/2-(E27/D27)^2/(8*COS(RADIANS(BF27)))+6*('Aerodynamics-Takeoff'!$B$6-B27)*D27*SIN(RADIANS(BF27))/(E27/D27))))</f>
        <v>1.0868288506513496E-2</v>
      </c>
      <c r="BJ27" s="10">
        <f t="shared" si="2"/>
        <v>-1.0011733333333337E-2</v>
      </c>
      <c r="BK27" s="10">
        <f t="shared" ca="1" si="31"/>
        <v>8.5655517318015961E-4</v>
      </c>
      <c r="BL27" s="10">
        <f t="shared" ca="1" si="3"/>
        <v>6.9143445348433849E-2</v>
      </c>
      <c r="BM27" s="45">
        <v>0.04</v>
      </c>
      <c r="BN27" s="9" t="s">
        <v>187</v>
      </c>
      <c r="BO27" s="10">
        <f t="shared" ca="1" si="32"/>
        <v>7.0000000521614009E-2</v>
      </c>
      <c r="BP27" s="42">
        <f t="shared" si="41"/>
        <v>7.0000000000000007E-2</v>
      </c>
      <c r="BQ27" s="9" t="s">
        <v>187</v>
      </c>
      <c r="BR27" s="45">
        <v>0.1</v>
      </c>
      <c r="BS27" s="1">
        <f t="shared" ca="1" si="33"/>
        <v>1.0000000005216141</v>
      </c>
      <c r="BT27" s="10">
        <f t="shared" ca="1" si="4"/>
        <v>-3.1353648980702635E-2</v>
      </c>
      <c r="BU27" s="10">
        <f t="shared" ca="1" si="34"/>
        <v>-3.1353648980702635E-2</v>
      </c>
      <c r="BV27" s="10">
        <f t="shared" ca="1" si="5"/>
        <v>-3.6463510078406243E-3</v>
      </c>
      <c r="BW27" s="45">
        <f t="shared" si="42"/>
        <v>-0.05</v>
      </c>
      <c r="BX27" s="9" t="s">
        <v>187</v>
      </c>
      <c r="BY27" s="10">
        <f t="shared" ca="1" si="35"/>
        <v>-3.4999999988543258E-2</v>
      </c>
      <c r="BZ27" s="10">
        <f t="shared" si="43"/>
        <v>-3.5000000000000003E-2</v>
      </c>
      <c r="CA27" s="9" t="s">
        <v>187</v>
      </c>
      <c r="CB27" s="45">
        <f t="shared" si="44"/>
        <v>-0.02</v>
      </c>
      <c r="CC27" s="1">
        <f t="shared" ca="1" si="36"/>
        <v>0.99999999998854328</v>
      </c>
    </row>
    <row r="28" spans="2:81">
      <c r="B28" s="16">
        <f>Weight!G28</f>
        <v>0.3</v>
      </c>
      <c r="D28" s="31">
        <f>'Aerodynamics-Takeoff'!L28</f>
        <v>0.33333333333333326</v>
      </c>
      <c r="E28" s="31">
        <f>'Aerodynamics-Takeoff'!M28</f>
        <v>2.0526315789473686</v>
      </c>
      <c r="F28" s="16">
        <f t="shared" si="37"/>
        <v>0.68421052631578938</v>
      </c>
      <c r="G28" s="32">
        <f>Main!D28</f>
        <v>5.6500000000000012</v>
      </c>
      <c r="H28" s="49">
        <f t="shared" ca="1" si="6"/>
        <v>0.34362005646231264</v>
      </c>
      <c r="I28" s="49">
        <f t="shared" ca="1" si="38"/>
        <v>0.34362005619207731</v>
      </c>
      <c r="J28" s="1">
        <f t="shared" si="7"/>
        <v>1.7833333333333334</v>
      </c>
      <c r="K28" s="1">
        <f t="shared" ca="1" si="8"/>
        <v>4.3945506483128997E-2</v>
      </c>
      <c r="L28" s="1">
        <f t="shared" ca="1" si="9"/>
        <v>2.1972753241564499E-2</v>
      </c>
      <c r="M28" s="32">
        <f>Main!F28</f>
        <v>5.9500000000000011</v>
      </c>
      <c r="N28" s="49">
        <f t="shared" ca="1" si="10"/>
        <v>1.8943126121086139E-2</v>
      </c>
      <c r="O28" s="49">
        <f t="shared" ca="1" si="0"/>
        <v>1.8943126120503386E-2</v>
      </c>
      <c r="P28" s="1">
        <f t="shared" si="11"/>
        <v>1.8833333333333333</v>
      </c>
      <c r="Q28" s="1">
        <f t="shared" ca="1" si="12"/>
        <v>1.412619558756258E-2</v>
      </c>
      <c r="R28" s="1">
        <f t="shared" ca="1" si="13"/>
        <v>7.0630977937812898E-3</v>
      </c>
      <c r="S28" s="1">
        <f ca="1">SQRT(Q28*'Aerodynamics-Cruise'!T28)/2</f>
        <v>0.10427585138723024</v>
      </c>
      <c r="U28" s="1">
        <f ca="1">'Aerodynamics-Cruise'!BP28</f>
        <v>4.1089435833566847</v>
      </c>
      <c r="V28" s="1">
        <f>'Aerodynamics-Cruise'!BS28</f>
        <v>3.6566214992242547</v>
      </c>
      <c r="W28" s="1">
        <f t="shared" si="14"/>
        <v>2.5856218583339907</v>
      </c>
      <c r="X28" s="1">
        <f>'Aerodynamics-Cruise'!BW28</f>
        <v>3.632189944665718</v>
      </c>
      <c r="Y28" s="1">
        <f t="shared" si="15"/>
        <v>2.5683461404307204</v>
      </c>
      <c r="AA28" s="1">
        <f>4.44*((1/'Aerodynamics-Constants'!I28-1/(1+'Aerodynamics-Constants'!I28^1.7))*(10-3*BE28)/7*((1-ABS($D$7*D28/E28))/(2*(G28-'Aerodynamics-Cruise'!$B$6)*D28/E28)^(1/3))*SQRT(COS(RADIANS(BF28))))^1.19</f>
        <v>0.32709751167376688</v>
      </c>
      <c r="AB28" s="1">
        <f t="shared" si="16"/>
        <v>0.67290248832623312</v>
      </c>
      <c r="AC28" s="12">
        <f t="shared" ca="1" si="17"/>
        <v>0</v>
      </c>
      <c r="AD28" s="1">
        <f ca="1">'Aerodynamics-Cruise'!AF28</f>
        <v>0.89930675101315616</v>
      </c>
      <c r="AE28" s="16">
        <f ca="1">'Airfoil-Cruise'!K28</f>
        <v>-9.2641111539054677</v>
      </c>
      <c r="AF28" s="16">
        <f t="shared" ca="1" si="18"/>
        <v>3.2759688631054065</v>
      </c>
      <c r="AG28" s="1">
        <f t="shared" ca="1" si="19"/>
        <v>3.2759688631054065</v>
      </c>
      <c r="AH28" s="1">
        <f ca="1">'Aerodynamics-Cruise'!AN28</f>
        <v>-0.32022188545918978</v>
      </c>
      <c r="AI28" s="12">
        <v>0</v>
      </c>
      <c r="AJ28" s="1">
        <f t="shared" ca="1" si="20"/>
        <v>1.0715612634425176</v>
      </c>
      <c r="AK28" s="16">
        <f t="shared" ca="1" si="21"/>
        <v>-3.9460109814358759</v>
      </c>
      <c r="AL28" s="1">
        <f t="shared" ca="1" si="22"/>
        <v>-5.0175722448783935</v>
      </c>
      <c r="AM28" s="1">
        <f t="shared" ca="1" si="23"/>
        <v>0</v>
      </c>
      <c r="AN28" s="1"/>
      <c r="AO28" s="1">
        <f ca="1">(U28*'Aerodynamics-Cruise'!$B$6+K28/F28*G28*V28*AB28)/(U28+K28/F28*V28*AB28)</f>
        <v>0.45000001557558428</v>
      </c>
      <c r="AP28" s="1">
        <f t="shared" ca="1" si="1"/>
        <v>0.15000001557558429</v>
      </c>
      <c r="AQ28" s="9" t="s">
        <v>186</v>
      </c>
      <c r="AR28" s="12">
        <f t="shared" si="24"/>
        <v>0.15</v>
      </c>
      <c r="AS28" s="1">
        <f ca="1">'Aerodynamics-Cruise'!E28/ISA!$B$5/(ISA!E28*F28*(G28-B28)*D28)</f>
        <v>9.0410527140628982</v>
      </c>
      <c r="AT28" s="1">
        <f ca="1">(U28*'Aerodynamics-Cruise'!$B$6+K28/F28*G28*V28*(AB28+U28/(2*AS28)))/(U28+K28/F28*V28*(AB28+U28/(2*AS28)))</f>
        <v>0.51423483007563786</v>
      </c>
      <c r="AU28" s="1">
        <f t="shared" ca="1" si="25"/>
        <v>0.21423483007563787</v>
      </c>
      <c r="AV28" s="9" t="s">
        <v>186</v>
      </c>
      <c r="AW28" s="12">
        <v>0</v>
      </c>
      <c r="AX28" s="1">
        <f ca="1">(-'Aerodynamics-Takeoff'!AM28+'Aerodynamics-Takeoff'!AG28*'Aerodynamics-Takeoff'!$B$6+K28/F28*G28*(V28*RADIANS(AL28-AI28)+W28*RADIANS($D$9)))/('Aerodynamics-Takeoff'!AG28+K28/F28*(V28*RADIANS(AL28-AI28)+W28*RADIANS($D$9)))</f>
        <v>0.109350166122634</v>
      </c>
      <c r="AY28" s="9" t="s">
        <v>187</v>
      </c>
      <c r="AZ28" s="1">
        <f t="shared" si="26"/>
        <v>0.3</v>
      </c>
      <c r="BA28" s="9" t="s">
        <v>187</v>
      </c>
      <c r="BB28" s="1">
        <f t="shared" ca="1" si="27"/>
        <v>0.30000001557558431</v>
      </c>
      <c r="BC28" s="1">
        <f t="shared" ca="1" si="28"/>
        <v>1.0000000155755844</v>
      </c>
      <c r="BE28" s="16">
        <f t="shared" si="39"/>
        <v>0.6</v>
      </c>
      <c r="BF28" s="16">
        <f t="shared" si="40"/>
        <v>0</v>
      </c>
      <c r="BG28" s="138">
        <f t="shared" ca="1" si="29"/>
        <v>1.8978516904190303</v>
      </c>
      <c r="BH28" s="138">
        <f t="shared" ca="1" si="30"/>
        <v>1.8978516904293312</v>
      </c>
      <c r="BI28" s="10">
        <f ca="1">AD28^2*(1/(4*PI()*E28/D28)-(TAN(RADIANS(BF28))/(PI()*E28/D28*(E28/D28+4*COS(RADIANS(BF28))))*(COS(RADIANS(BF28))-E28/D28/2-(E28/D28)^2/(8*COS(RADIANS(BF28)))+6*('Aerodynamics-Takeoff'!$B$6-B28)*D28*SIN(RADIANS(BF28))/(E28/D28))))</f>
        <v>1.0451378652007483E-2</v>
      </c>
      <c r="BJ28" s="10">
        <f t="shared" si="2"/>
        <v>-9.256410256410259E-3</v>
      </c>
      <c r="BK28" s="10">
        <f t="shared" ca="1" si="31"/>
        <v>1.1949683955972245E-3</v>
      </c>
      <c r="BL28" s="10">
        <f t="shared" ca="1" si="3"/>
        <v>6.8805032217543582E-2</v>
      </c>
      <c r="BM28" s="45">
        <v>0.04</v>
      </c>
      <c r="BN28" s="9" t="s">
        <v>187</v>
      </c>
      <c r="BO28" s="10">
        <f t="shared" ca="1" si="32"/>
        <v>7.0000000613140809E-2</v>
      </c>
      <c r="BP28" s="42">
        <f t="shared" si="41"/>
        <v>7.0000000000000007E-2</v>
      </c>
      <c r="BQ28" s="9" t="s">
        <v>187</v>
      </c>
      <c r="BR28" s="45">
        <v>0.1</v>
      </c>
      <c r="BS28" s="1">
        <f t="shared" ca="1" si="33"/>
        <v>1.0000000006131409</v>
      </c>
      <c r="BT28" s="10">
        <f t="shared" ca="1" si="4"/>
        <v>-3.1190423008172499E-2</v>
      </c>
      <c r="BU28" s="10">
        <f t="shared" ca="1" si="34"/>
        <v>-3.1190423008172499E-2</v>
      </c>
      <c r="BV28" s="10">
        <f t="shared" ca="1" si="5"/>
        <v>-3.8095769809965464E-3</v>
      </c>
      <c r="BW28" s="45">
        <f t="shared" si="42"/>
        <v>-0.05</v>
      </c>
      <c r="BX28" s="9" t="s">
        <v>187</v>
      </c>
      <c r="BY28" s="10">
        <f t="shared" ca="1" si="35"/>
        <v>-3.4999999989169042E-2</v>
      </c>
      <c r="BZ28" s="10">
        <f t="shared" si="43"/>
        <v>-3.5000000000000003E-2</v>
      </c>
      <c r="CA28" s="9" t="s">
        <v>187</v>
      </c>
      <c r="CB28" s="45">
        <f t="shared" si="44"/>
        <v>-0.02</v>
      </c>
      <c r="CC28" s="1">
        <f t="shared" ca="1" si="36"/>
        <v>0.999999999989169</v>
      </c>
    </row>
    <row r="29" spans="2:81">
      <c r="B29" s="16">
        <f>Weight!G29</f>
        <v>0.3</v>
      </c>
      <c r="D29" s="31">
        <f>'Aerodynamics-Takeoff'!L29</f>
        <v>0.33333333333333326</v>
      </c>
      <c r="E29" s="31">
        <f>'Aerodynamics-Takeoff'!M29</f>
        <v>2.1315789473684212</v>
      </c>
      <c r="F29" s="16">
        <f t="shared" si="37"/>
        <v>0.71052631578947356</v>
      </c>
      <c r="G29" s="32">
        <f>Main!D29</f>
        <v>5.6500000000000012</v>
      </c>
      <c r="H29" s="49">
        <f t="shared" ca="1" si="6"/>
        <v>0.34006121713764698</v>
      </c>
      <c r="I29" s="49">
        <f t="shared" ca="1" si="38"/>
        <v>0.34006121689397939</v>
      </c>
      <c r="J29" s="1">
        <f t="shared" si="7"/>
        <v>1.7833333333333334</v>
      </c>
      <c r="K29" s="1">
        <f t="shared" ca="1" si="8"/>
        <v>4.5163073599195594E-2</v>
      </c>
      <c r="L29" s="1">
        <f t="shared" ca="1" si="9"/>
        <v>2.2581536799597797E-2</v>
      </c>
      <c r="M29" s="32">
        <f>Main!F29</f>
        <v>5.9500000000000011</v>
      </c>
      <c r="N29" s="49">
        <f t="shared" ca="1" si="10"/>
        <v>1.8593794943497555E-2</v>
      </c>
      <c r="O29" s="49">
        <f t="shared" ca="1" si="0"/>
        <v>1.8593794942842145E-2</v>
      </c>
      <c r="P29" s="1">
        <f t="shared" si="11"/>
        <v>1.8833333333333333</v>
      </c>
      <c r="Q29" s="1">
        <f t="shared" ca="1" si="12"/>
        <v>1.495279687989207E-2</v>
      </c>
      <c r="R29" s="1">
        <f t="shared" ca="1" si="13"/>
        <v>7.4763984399460349E-3</v>
      </c>
      <c r="S29" s="1">
        <f ca="1">SQRT(Q29*'Aerodynamics-Cruise'!T29)/2</f>
        <v>0.10932703296781318</v>
      </c>
      <c r="U29" s="1">
        <f ca="1">'Aerodynamics-Cruise'!BP29</f>
        <v>4.1550778031348141</v>
      </c>
      <c r="V29" s="1">
        <f>'Aerodynamics-Cruise'!BS29</f>
        <v>3.7037291927749938</v>
      </c>
      <c r="W29" s="1">
        <f t="shared" si="14"/>
        <v>2.6189320278897759</v>
      </c>
      <c r="X29" s="1">
        <f>'Aerodynamics-Cruise'!BW29</f>
        <v>3.6850039020501306</v>
      </c>
      <c r="Y29" s="1">
        <f t="shared" si="15"/>
        <v>2.6056912478385357</v>
      </c>
      <c r="AA29" s="1">
        <f>4.44*((1/'Aerodynamics-Constants'!I29-1/(1+'Aerodynamics-Constants'!I29^1.7))*(10-3*BE29)/7*((1-ABS($D$7*D29/E29))/(2*(G29-'Aerodynamics-Cruise'!$B$6)*D29/E29)^(1/3))*SQRT(COS(RADIANS(BF29))))^1.19</f>
        <v>0.3211664524177375</v>
      </c>
      <c r="AB29" s="1">
        <f t="shared" si="16"/>
        <v>0.67883354758226244</v>
      </c>
      <c r="AC29" s="12">
        <f t="shared" ca="1" si="17"/>
        <v>0</v>
      </c>
      <c r="AD29" s="1">
        <f ca="1">'Aerodynamics-Cruise'!AF29</f>
        <v>0.89934923321890603</v>
      </c>
      <c r="AE29" s="16">
        <f ca="1">'Airfoil-Cruise'!K29</f>
        <v>-9.1407992178556157</v>
      </c>
      <c r="AF29" s="16">
        <f t="shared" ca="1" si="18"/>
        <v>3.2606329124630768</v>
      </c>
      <c r="AG29" s="1">
        <f t="shared" ca="1" si="19"/>
        <v>3.2606329124630768</v>
      </c>
      <c r="AH29" s="1">
        <f ca="1">'Aerodynamics-Cruise'!AN29</f>
        <v>-0.32356685418466152</v>
      </c>
      <c r="AI29" s="12">
        <v>0</v>
      </c>
      <c r="AJ29" s="1">
        <f t="shared" ca="1" si="20"/>
        <v>1.0472059051322815</v>
      </c>
      <c r="AK29" s="16">
        <f t="shared" ca="1" si="21"/>
        <v>-3.9582937332513217</v>
      </c>
      <c r="AL29" s="1">
        <f t="shared" ca="1" si="22"/>
        <v>-5.0054996383836032</v>
      </c>
      <c r="AM29" s="1">
        <f t="shared" ca="1" si="23"/>
        <v>0</v>
      </c>
      <c r="AN29" s="1"/>
      <c r="AO29" s="1">
        <f ca="1">(U29*'Aerodynamics-Cruise'!$B$6+K29/F29*G29*V29*AB29)/(U29+K29/F29*V29*AB29)</f>
        <v>0.45000001419125035</v>
      </c>
      <c r="AP29" s="1">
        <f t="shared" ca="1" si="1"/>
        <v>0.15000001419125036</v>
      </c>
      <c r="AQ29" s="9" t="s">
        <v>186</v>
      </c>
      <c r="AR29" s="12">
        <f t="shared" si="24"/>
        <v>0.15</v>
      </c>
      <c r="AS29" s="1">
        <f ca="1">'Aerodynamics-Cruise'!E29/ISA!$B$5/(ISA!E29*F29*(G29-B29)*D29)</f>
        <v>8.686320080596948</v>
      </c>
      <c r="AT29" s="1">
        <f ca="1">(U29*'Aerodynamics-Cruise'!$B$6+K29/F29*G29*V29*(AB29+U29/(2*AS29)))/(U29+K29/F29*V29*(AB29+U29/(2*AS29)))</f>
        <v>0.5169821635533598</v>
      </c>
      <c r="AU29" s="1">
        <f t="shared" ca="1" si="25"/>
        <v>0.21698216355335981</v>
      </c>
      <c r="AV29" s="9" t="s">
        <v>186</v>
      </c>
      <c r="AW29" s="12">
        <v>0</v>
      </c>
      <c r="AX29" s="1">
        <f ca="1">(-'Aerodynamics-Takeoff'!AM29+'Aerodynamics-Takeoff'!AG29*'Aerodynamics-Takeoff'!$B$6+K29/F29*G29*(V29*RADIANS(AL29-AI29)+W29*RADIANS($D$9)))/('Aerodynamics-Takeoff'!AG29+K29/F29*(V29*RADIANS(AL29-AI29)+W29*RADIANS($D$9)))</f>
        <v>0.10888616456027385</v>
      </c>
      <c r="AY29" s="9" t="s">
        <v>187</v>
      </c>
      <c r="AZ29" s="1">
        <f t="shared" si="26"/>
        <v>0.3</v>
      </c>
      <c r="BA29" s="9" t="s">
        <v>187</v>
      </c>
      <c r="BB29" s="1">
        <f t="shared" ca="1" si="27"/>
        <v>0.30000001419125033</v>
      </c>
      <c r="BC29" s="1">
        <f t="shared" ca="1" si="28"/>
        <v>1.0000000141912504</v>
      </c>
      <c r="BE29" s="16">
        <f t="shared" si="39"/>
        <v>0.6</v>
      </c>
      <c r="BF29" s="16">
        <f t="shared" si="40"/>
        <v>0</v>
      </c>
      <c r="BG29" s="138">
        <f t="shared" ca="1" si="29"/>
        <v>1.8666775676250029</v>
      </c>
      <c r="BH29" s="138">
        <f t="shared" ca="1" si="30"/>
        <v>1.8666775676377942</v>
      </c>
      <c r="BI29" s="10">
        <f ca="1">AD29^2*(1/(4*PI()*E29/D29)-(TAN(RADIANS(BF29))/(PI()*E29/D29*(E29/D29+4*COS(RADIANS(BF29))))*(COS(RADIANS(BF29))-E29/D29/2-(E29/D29)^2/(8*COS(RADIANS(BF29)))+6*('Aerodynamics-Takeoff'!$B$6-B29)*D29*SIN(RADIANS(BF29))/(E29/D29))))</f>
        <v>1.0065241427021756E-2</v>
      </c>
      <c r="BJ29" s="10">
        <f t="shared" si="2"/>
        <v>-8.5834476451760438E-3</v>
      </c>
      <c r="BK29" s="10">
        <f t="shared" ca="1" si="31"/>
        <v>1.4817937818457118E-3</v>
      </c>
      <c r="BL29" s="10">
        <f t="shared" ca="1" si="3"/>
        <v>6.851820692070848E-2</v>
      </c>
      <c r="BM29" s="45">
        <v>0.04</v>
      </c>
      <c r="BN29" s="9" t="s">
        <v>187</v>
      </c>
      <c r="BO29" s="10">
        <f t="shared" ca="1" si="32"/>
        <v>7.0000000702554188E-2</v>
      </c>
      <c r="BP29" s="42">
        <f t="shared" si="41"/>
        <v>7.0000000000000007E-2</v>
      </c>
      <c r="BQ29" s="9" t="s">
        <v>187</v>
      </c>
      <c r="BR29" s="45">
        <v>0.1</v>
      </c>
      <c r="BS29" s="1">
        <f t="shared" ca="1" si="33"/>
        <v>1.0000000007025542</v>
      </c>
      <c r="BT29" s="10">
        <f t="shared" ca="1" si="4"/>
        <v>-3.1022535065843085E-2</v>
      </c>
      <c r="BU29" s="10">
        <f t="shared" ca="1" si="34"/>
        <v>-3.1022535065843085E-2</v>
      </c>
      <c r="BV29" s="10">
        <f t="shared" ca="1" si="5"/>
        <v>-3.9774649204862341E-3</v>
      </c>
      <c r="BW29" s="45">
        <f t="shared" si="42"/>
        <v>-0.05</v>
      </c>
      <c r="BX29" s="9" t="s">
        <v>187</v>
      </c>
      <c r="BY29" s="10">
        <f t="shared" ca="1" si="35"/>
        <v>-3.4999999986329321E-2</v>
      </c>
      <c r="BZ29" s="10">
        <f t="shared" si="43"/>
        <v>-3.5000000000000003E-2</v>
      </c>
      <c r="CA29" s="9" t="s">
        <v>187</v>
      </c>
      <c r="CB29" s="45">
        <f t="shared" si="44"/>
        <v>-0.02</v>
      </c>
      <c r="CC29" s="1">
        <f t="shared" ca="1" si="36"/>
        <v>0.99999999998632927</v>
      </c>
    </row>
    <row r="30" spans="2:81">
      <c r="B30" s="16">
        <f>Weight!G30</f>
        <v>0.3</v>
      </c>
      <c r="D30" s="31">
        <f>'Aerodynamics-Takeoff'!L30</f>
        <v>0.33333333333333326</v>
      </c>
      <c r="E30" s="31">
        <f>'Aerodynamics-Takeoff'!M30</f>
        <v>2.2105263157894739</v>
      </c>
      <c r="F30" s="16">
        <f t="shared" si="37"/>
        <v>0.73684210526315785</v>
      </c>
      <c r="G30" s="32">
        <f>Main!D30</f>
        <v>5.6500000000000012</v>
      </c>
      <c r="H30" s="49">
        <f t="shared" ca="1" si="6"/>
        <v>0.33673284858628677</v>
      </c>
      <c r="I30" s="49">
        <f t="shared" ca="1" si="38"/>
        <v>0.33673284836597078</v>
      </c>
      <c r="J30" s="1">
        <f t="shared" si="7"/>
        <v>1.7833333333333334</v>
      </c>
      <c r="K30" s="1">
        <f t="shared" ca="1" si="8"/>
        <v>4.6377372161416755E-2</v>
      </c>
      <c r="L30" s="1">
        <f t="shared" ca="1" si="9"/>
        <v>2.3188686080708378E-2</v>
      </c>
      <c r="M30" s="32">
        <f>Main!F30</f>
        <v>5.9500000000000011</v>
      </c>
      <c r="N30" s="49">
        <f t="shared" ca="1" si="10"/>
        <v>1.8277562238412138E-2</v>
      </c>
      <c r="O30" s="49">
        <f t="shared" ca="1" si="0"/>
        <v>1.8277562237689091E-2</v>
      </c>
      <c r="P30" s="1">
        <f t="shared" si="11"/>
        <v>1.8833333333333333</v>
      </c>
      <c r="Q30" s="1">
        <f t="shared" ca="1" si="12"/>
        <v>1.5807427641290915E-2</v>
      </c>
      <c r="R30" s="1">
        <f t="shared" ca="1" si="13"/>
        <v>7.9037138206454575E-3</v>
      </c>
      <c r="S30" s="1">
        <f ca="1">SQRT(Q30*'Aerodynamics-Cruise'!T30)/2</f>
        <v>0.11447063180027581</v>
      </c>
      <c r="U30" s="1">
        <f ca="1">'Aerodynamics-Cruise'!BP30</f>
        <v>4.1992505412655623</v>
      </c>
      <c r="V30" s="1">
        <f>'Aerodynamics-Cruise'!BS30</f>
        <v>3.7485889767549225</v>
      </c>
      <c r="W30" s="1">
        <f t="shared" si="14"/>
        <v>2.6506526853445473</v>
      </c>
      <c r="X30" s="1">
        <f>'Aerodynamics-Cruise'!BW30</f>
        <v>3.735437927548761</v>
      </c>
      <c r="Y30" s="1">
        <f t="shared" si="15"/>
        <v>2.6413534892711525</v>
      </c>
      <c r="AA30" s="1">
        <f>4.44*((1/'Aerodynamics-Constants'!I30-1/(1+'Aerodynamics-Constants'!I30^1.7))*(10-3*BE30)/7*((1-ABS($D$7*D30/E30))/(2*(G30-'Aerodynamics-Cruise'!$B$6)*D30/E30)^(1/3))*SQRT(COS(RADIANS(BF30))))^1.19</f>
        <v>0.31545982407895917</v>
      </c>
      <c r="AB30" s="1">
        <f t="shared" si="16"/>
        <v>0.68454017592104077</v>
      </c>
      <c r="AC30" s="12">
        <f t="shared" ca="1" si="17"/>
        <v>0</v>
      </c>
      <c r="AD30" s="1">
        <f ca="1">'Aerodynamics-Cruise'!AF30</f>
        <v>0.89938748197855645</v>
      </c>
      <c r="AE30" s="16">
        <f ca="1">'Airfoil-Cruise'!K30</f>
        <v>-9.0249781933346007</v>
      </c>
      <c r="AF30" s="16">
        <f t="shared" ca="1" si="18"/>
        <v>3.2465227228120508</v>
      </c>
      <c r="AG30" s="1">
        <f t="shared" ca="1" si="19"/>
        <v>3.2465227228120508</v>
      </c>
      <c r="AH30" s="1">
        <f ca="1">'Aerodynamics-Cruise'!AN30</f>
        <v>-0.32675940672351028</v>
      </c>
      <c r="AI30" s="12">
        <v>0</v>
      </c>
      <c r="AJ30" s="1">
        <f t="shared" ca="1" si="20"/>
        <v>1.0241474870066332</v>
      </c>
      <c r="AK30" s="16">
        <f t="shared" ca="1" si="21"/>
        <v>-3.9702477474538362</v>
      </c>
      <c r="AL30" s="1">
        <f t="shared" ca="1" si="22"/>
        <v>-4.9943952344604696</v>
      </c>
      <c r="AM30" s="1">
        <f t="shared" ca="1" si="23"/>
        <v>0</v>
      </c>
      <c r="AN30" s="1"/>
      <c r="AO30" s="1">
        <f ca="1">(U30*'Aerodynamics-Cruise'!$B$6+K30/F30*G30*V30*AB30)/(U30+K30/F30*V30*AB30)</f>
        <v>0.45000001295805264</v>
      </c>
      <c r="AP30" s="1">
        <f t="shared" ca="1" si="1"/>
        <v>0.15000001295805265</v>
      </c>
      <c r="AQ30" s="9" t="s">
        <v>186</v>
      </c>
      <c r="AR30" s="12">
        <f t="shared" si="24"/>
        <v>0.15</v>
      </c>
      <c r="AS30" s="1">
        <f ca="1">'Aerodynamics-Cruise'!E30/ISA!$B$5/(ISA!E30*F30*(G30-B30)*D30)</f>
        <v>8.3616627833995647</v>
      </c>
      <c r="AT30" s="1">
        <f ca="1">(U30*'Aerodynamics-Cruise'!$B$6+K30/F30*G30*V30*(AB30+U30/(2*AS30)))/(U30+K30/F30*V30*(AB30+U30/(2*AS30)))</f>
        <v>0.5196994503210316</v>
      </c>
      <c r="AU30" s="1">
        <f t="shared" ca="1" si="25"/>
        <v>0.21969945032103161</v>
      </c>
      <c r="AV30" s="9" t="s">
        <v>186</v>
      </c>
      <c r="AW30" s="12">
        <v>0</v>
      </c>
      <c r="AX30" s="1">
        <f ca="1">(-'Aerodynamics-Takeoff'!AM30+'Aerodynamics-Takeoff'!AG30*'Aerodynamics-Takeoff'!$B$6+K30/F30*G30*(V30*RADIANS(AL30-AI30)+W30*RADIANS($D$9)))/('Aerodynamics-Takeoff'!AG30+K30/F30*(V30*RADIANS(AL30-AI30)+W30*RADIANS($D$9)))</f>
        <v>0.10845586642164097</v>
      </c>
      <c r="AY30" s="9" t="s">
        <v>187</v>
      </c>
      <c r="AZ30" s="1">
        <f t="shared" si="26"/>
        <v>0.3</v>
      </c>
      <c r="BA30" s="9" t="s">
        <v>187</v>
      </c>
      <c r="BB30" s="1">
        <f t="shared" ca="1" si="27"/>
        <v>0.30000001295805268</v>
      </c>
      <c r="BC30" s="1">
        <f t="shared" ca="1" si="28"/>
        <v>1.0000000129580526</v>
      </c>
      <c r="BE30" s="16">
        <f t="shared" si="39"/>
        <v>0.6</v>
      </c>
      <c r="BF30" s="16">
        <f t="shared" si="40"/>
        <v>0</v>
      </c>
      <c r="BG30" s="138">
        <f t="shared" ca="1" si="29"/>
        <v>1.8367812884978025</v>
      </c>
      <c r="BH30" s="138">
        <f t="shared" ca="1" si="30"/>
        <v>1.836781288513152</v>
      </c>
      <c r="BI30" s="10">
        <f ca="1">AD30^2*(1/(4*PI()*E30/D30)-(TAN(RADIANS(BF30))/(PI()*E30/D30*(E30/D30+4*COS(RADIANS(BF30))))*(COS(RADIANS(BF30))-E30/D30/2-(E30/D30)^2/(8*COS(RADIANS(BF30)))+6*('Aerodynamics-Takeoff'!$B$6-B30)*D30*SIN(RADIANS(BF30))/(E30/D30))))</f>
        <v>9.7065940969824106E-3</v>
      </c>
      <c r="BJ30" s="10">
        <f t="shared" si="2"/>
        <v>-7.9812925170068046E-3</v>
      </c>
      <c r="BK30" s="10">
        <f t="shared" ca="1" si="31"/>
        <v>1.725301579975606E-3</v>
      </c>
      <c r="BL30" s="10">
        <f t="shared" ca="1" si="3"/>
        <v>6.8274699208497727E-2</v>
      </c>
      <c r="BM30" s="45">
        <v>0.04</v>
      </c>
      <c r="BN30" s="9" t="s">
        <v>187</v>
      </c>
      <c r="BO30" s="10">
        <f t="shared" ca="1" si="32"/>
        <v>7.0000000788473335E-2</v>
      </c>
      <c r="BP30" s="42">
        <f t="shared" si="41"/>
        <v>7.0000000000000007E-2</v>
      </c>
      <c r="BQ30" s="9" t="s">
        <v>187</v>
      </c>
      <c r="BR30" s="45">
        <v>0.1</v>
      </c>
      <c r="BS30" s="1">
        <f t="shared" ca="1" si="33"/>
        <v>1.0000000007884733</v>
      </c>
      <c r="BT30" s="10">
        <f t="shared" ca="1" si="4"/>
        <v>-3.085020460932866E-2</v>
      </c>
      <c r="BU30" s="10">
        <f t="shared" ca="1" si="34"/>
        <v>-3.085020460932866E-2</v>
      </c>
      <c r="BV30" s="10">
        <f t="shared" ca="1" si="5"/>
        <v>-4.1497953740020493E-3</v>
      </c>
      <c r="BW30" s="45">
        <f t="shared" si="42"/>
        <v>-0.05</v>
      </c>
      <c r="BX30" s="9" t="s">
        <v>187</v>
      </c>
      <c r="BY30" s="10">
        <f t="shared" ca="1" si="35"/>
        <v>-3.4999999983330712E-2</v>
      </c>
      <c r="BZ30" s="10">
        <f t="shared" si="43"/>
        <v>-3.5000000000000003E-2</v>
      </c>
      <c r="CA30" s="9" t="s">
        <v>187</v>
      </c>
      <c r="CB30" s="45">
        <f t="shared" si="44"/>
        <v>-0.02</v>
      </c>
      <c r="CC30" s="1">
        <f t="shared" ca="1" si="36"/>
        <v>0.99999999998333067</v>
      </c>
    </row>
    <row r="31" spans="2:81">
      <c r="B31" s="16">
        <f>Weight!G31</f>
        <v>0.3</v>
      </c>
      <c r="D31" s="31">
        <f>'Aerodynamics-Takeoff'!L31</f>
        <v>0.33333333333333326</v>
      </c>
      <c r="E31" s="31">
        <f>'Aerodynamics-Takeoff'!M31</f>
        <v>2.2894736842105265</v>
      </c>
      <c r="F31" s="16">
        <f t="shared" si="37"/>
        <v>0.76315789473684204</v>
      </c>
      <c r="G31" s="32">
        <f>Main!D31</f>
        <v>5.6500000000000012</v>
      </c>
      <c r="H31" s="49">
        <f t="shared" ca="1" si="6"/>
        <v>0.33361510434790553</v>
      </c>
      <c r="I31" s="49">
        <f t="shared" ca="1" si="38"/>
        <v>0.33361510414793999</v>
      </c>
      <c r="J31" s="1">
        <f t="shared" si="7"/>
        <v>1.7833333333333334</v>
      </c>
      <c r="K31" s="1">
        <f t="shared" ca="1" si="8"/>
        <v>4.7588972090945675E-2</v>
      </c>
      <c r="L31" s="1">
        <f t="shared" ca="1" si="9"/>
        <v>2.3794486045472837E-2</v>
      </c>
      <c r="M31" s="32">
        <f>Main!F31</f>
        <v>5.9500000000000011</v>
      </c>
      <c r="N31" s="49">
        <f t="shared" ca="1" si="10"/>
        <v>1.7989972639883216E-2</v>
      </c>
      <c r="O31" s="49">
        <f t="shared" ca="1" si="0"/>
        <v>1.7989972639097636E-2</v>
      </c>
      <c r="P31" s="1">
        <f t="shared" si="11"/>
        <v>1.8833333333333333</v>
      </c>
      <c r="Q31" s="1">
        <f t="shared" ca="1" si="12"/>
        <v>1.6689885876409686E-2</v>
      </c>
      <c r="R31" s="1">
        <f t="shared" ca="1" si="13"/>
        <v>8.344942938204843E-3</v>
      </c>
      <c r="S31" s="1">
        <f ca="1">SQRT(Q31*'Aerodynamics-Cruise'!T31)/2</f>
        <v>0.11970440860696754</v>
      </c>
      <c r="U31" s="1">
        <f ca="1">'Aerodynamics-Cruise'!BP31</f>
        <v>4.2416082528730383</v>
      </c>
      <c r="V31" s="1">
        <f>'Aerodynamics-Cruise'!BS31</f>
        <v>3.7913574006695518</v>
      </c>
      <c r="W31" s="1">
        <f t="shared" si="14"/>
        <v>2.6808945279152425</v>
      </c>
      <c r="X31" s="1">
        <f>'Aerodynamics-Cruise'!BW31</f>
        <v>3.783649180369149</v>
      </c>
      <c r="Y31" s="1">
        <f t="shared" si="15"/>
        <v>2.6754439930699481</v>
      </c>
      <c r="AA31" s="1">
        <f>4.44*((1/'Aerodynamics-Constants'!I31-1/(1+'Aerodynamics-Constants'!I31^1.7))*(10-3*BE31)/7*((1-ABS($D$7*D31/E31))/(2*(G31-'Aerodynamics-Cruise'!$B$6)*D31/E31)^(1/3))*SQRT(COS(RADIANS(BF31))))^1.19</f>
        <v>0.3099658492053205</v>
      </c>
      <c r="AB31" s="1">
        <f t="shared" si="16"/>
        <v>0.69003415079467945</v>
      </c>
      <c r="AC31" s="12">
        <f t="shared" ca="1" si="17"/>
        <v>0</v>
      </c>
      <c r="AD31" s="1">
        <f ca="1">'Aerodynamics-Cruise'!AF31</f>
        <v>0.89942205192581293</v>
      </c>
      <c r="AE31" s="16">
        <f ca="1">'Airfoil-Cruise'!K31</f>
        <v>-8.9158870013693736</v>
      </c>
      <c r="AF31" s="16">
        <f t="shared" ca="1" si="18"/>
        <v>3.2335347519101063</v>
      </c>
      <c r="AG31" s="1">
        <f t="shared" ca="1" si="19"/>
        <v>3.2335347519101063</v>
      </c>
      <c r="AH31" s="1">
        <f ca="1">'Aerodynamics-Cruise'!AN31</f>
        <v>-0.3298079010906152</v>
      </c>
      <c r="AI31" s="12">
        <v>0</v>
      </c>
      <c r="AJ31" s="1">
        <f t="shared" ca="1" si="20"/>
        <v>1.0022853453107314</v>
      </c>
      <c r="AK31" s="16">
        <f t="shared" ca="1" si="21"/>
        <v>-3.9818400708853838</v>
      </c>
      <c r="AL31" s="1">
        <f t="shared" ca="1" si="22"/>
        <v>-4.9841254161961155</v>
      </c>
      <c r="AM31" s="1">
        <f t="shared" ca="1" si="23"/>
        <v>0</v>
      </c>
      <c r="AN31" s="1"/>
      <c r="AO31" s="1">
        <f ca="1">(U31*'Aerodynamics-Cruise'!$B$6+K31/F31*G31*V31*AB31)/(U31+K31/F31*V31*AB31)</f>
        <v>0.45000001187101385</v>
      </c>
      <c r="AP31" s="1">
        <f t="shared" ca="1" si="1"/>
        <v>0.15000001187101386</v>
      </c>
      <c r="AQ31" s="9" t="s">
        <v>186</v>
      </c>
      <c r="AR31" s="12">
        <f t="shared" si="24"/>
        <v>0.15</v>
      </c>
      <c r="AS31" s="1">
        <f ca="1">'Aerodynamics-Cruise'!E31/ISA!$B$5/(ISA!E31*F31*(G31-B31)*D31)</f>
        <v>8.0633302068140136</v>
      </c>
      <c r="AT31" s="1">
        <f ca="1">(U31*'Aerodynamics-Cruise'!$B$6+K31/F31*G31*V31*(AB31+U31/(2*AS31)))/(U31+K31/F31*V31*(AB31+U31/(2*AS31)))</f>
        <v>0.52238807226874973</v>
      </c>
      <c r="AU31" s="1">
        <f t="shared" ca="1" si="25"/>
        <v>0.22238807226874974</v>
      </c>
      <c r="AV31" s="9" t="s">
        <v>186</v>
      </c>
      <c r="AW31" s="12">
        <v>0</v>
      </c>
      <c r="AX31" s="1">
        <f ca="1">(-'Aerodynamics-Takeoff'!AM31+'Aerodynamics-Takeoff'!AG31*'Aerodynamics-Takeoff'!$B$6+K31/F31*G31*(V31*RADIANS(AL31-AI31)+W31*RADIANS($D$9)))/('Aerodynamics-Takeoff'!AG31+K31/F31*(V31*RADIANS(AL31-AI31)+W31*RADIANS($D$9)))</f>
        <v>0.10805486704253718</v>
      </c>
      <c r="AY31" s="9" t="s">
        <v>187</v>
      </c>
      <c r="AZ31" s="1">
        <f t="shared" si="26"/>
        <v>0.3</v>
      </c>
      <c r="BA31" s="9" t="s">
        <v>187</v>
      </c>
      <c r="BB31" s="1">
        <f t="shared" ca="1" si="27"/>
        <v>0.30000001187101388</v>
      </c>
      <c r="BC31" s="1">
        <f t="shared" ca="1" si="28"/>
        <v>1.0000000118710139</v>
      </c>
      <c r="BE31" s="16">
        <f t="shared" si="39"/>
        <v>0.6</v>
      </c>
      <c r="BF31" s="16">
        <f t="shared" si="40"/>
        <v>0</v>
      </c>
      <c r="BG31" s="138">
        <f t="shared" ca="1" si="29"/>
        <v>1.8080303262988633</v>
      </c>
      <c r="BH31" s="138">
        <f t="shared" ca="1" si="30"/>
        <v>1.8080303263168223</v>
      </c>
      <c r="BI31" s="10">
        <f ca="1">AD31^2*(1/(4*PI()*E31/D31)-(TAN(RADIANS(BF31))/(PI()*E31/D31*(E31/D31+4*COS(RADIANS(BF31))))*(COS(RADIANS(BF31))-E31/D31/2-(E31/D31)^2/(8*COS(RADIANS(BF31)))+6*('Aerodynamics-Takeoff'!$B$6-B31)*D31*SIN(RADIANS(BF31))/(E31/D31))))</f>
        <v>9.3726044277330292E-3</v>
      </c>
      <c r="BJ31" s="10">
        <f t="shared" si="2"/>
        <v>-7.4403487911216823E-3</v>
      </c>
      <c r="BK31" s="10">
        <f t="shared" ca="1" si="31"/>
        <v>1.9322556366113469E-3</v>
      </c>
      <c r="BL31" s="10">
        <f t="shared" ca="1" si="3"/>
        <v>6.8067745233757554E-2</v>
      </c>
      <c r="BM31" s="45">
        <v>0.04</v>
      </c>
      <c r="BN31" s="9" t="s">
        <v>187</v>
      </c>
      <c r="BO31" s="10">
        <f t="shared" ca="1" si="32"/>
        <v>7.0000000870368895E-2</v>
      </c>
      <c r="BP31" s="42">
        <f t="shared" si="41"/>
        <v>7.0000000000000007E-2</v>
      </c>
      <c r="BQ31" s="9" t="s">
        <v>187</v>
      </c>
      <c r="BR31" s="45">
        <v>0.1</v>
      </c>
      <c r="BS31" s="1">
        <f t="shared" ca="1" si="33"/>
        <v>1.0000000008703689</v>
      </c>
      <c r="BT31" s="10">
        <f t="shared" ca="1" si="4"/>
        <v>-3.0673623419967731E-2</v>
      </c>
      <c r="BU31" s="10">
        <f t="shared" ca="1" si="34"/>
        <v>-3.0673623419967731E-2</v>
      </c>
      <c r="BV31" s="10">
        <f t="shared" ca="1" si="5"/>
        <v>-4.3263765602212468E-3</v>
      </c>
      <c r="BW31" s="45">
        <f t="shared" si="42"/>
        <v>-0.05</v>
      </c>
      <c r="BX31" s="9" t="s">
        <v>187</v>
      </c>
      <c r="BY31" s="10">
        <f t="shared" ca="1" si="35"/>
        <v>-3.4999999980188976E-2</v>
      </c>
      <c r="BZ31" s="10">
        <f t="shared" si="43"/>
        <v>-3.5000000000000003E-2</v>
      </c>
      <c r="CA31" s="9" t="s">
        <v>187</v>
      </c>
      <c r="CB31" s="45">
        <f t="shared" si="44"/>
        <v>-0.02</v>
      </c>
      <c r="CC31" s="1">
        <f t="shared" ca="1" si="36"/>
        <v>0.99999999998018896</v>
      </c>
    </row>
    <row r="32" spans="2:81">
      <c r="B32" s="16">
        <f>Weight!G32</f>
        <v>0.3</v>
      </c>
      <c r="D32" s="31">
        <f>'Aerodynamics-Takeoff'!L32</f>
        <v>0.33333333333333326</v>
      </c>
      <c r="E32" s="31">
        <f>'Aerodynamics-Takeoff'!M32</f>
        <v>2.3684210526315792</v>
      </c>
      <c r="F32" s="16">
        <f t="shared" si="37"/>
        <v>0.78947368421052622</v>
      </c>
      <c r="G32" s="32">
        <f>Main!D32</f>
        <v>5.6500000000000012</v>
      </c>
      <c r="H32" s="49">
        <f t="shared" ca="1" si="6"/>
        <v>0.33069017362429531</v>
      </c>
      <c r="I32" s="49">
        <f t="shared" ca="1" si="38"/>
        <v>0.33069017344272622</v>
      </c>
      <c r="J32" s="1">
        <f t="shared" si="7"/>
        <v>1.7833333333333334</v>
      </c>
      <c r="K32" s="1">
        <f t="shared" ca="1" si="8"/>
        <v>4.8798353215587092E-2</v>
      </c>
      <c r="L32" s="1">
        <f t="shared" ca="1" si="9"/>
        <v>2.4399176607793546E-2</v>
      </c>
      <c r="M32" s="32">
        <f>Main!F32</f>
        <v>5.9500000000000011</v>
      </c>
      <c r="N32" s="49">
        <f t="shared" ca="1" si="10"/>
        <v>1.7727325021640358E-2</v>
      </c>
      <c r="O32" s="49">
        <f t="shared" ca="1" si="0"/>
        <v>1.7727325020797442E-2</v>
      </c>
      <c r="P32" s="1">
        <f t="shared" si="11"/>
        <v>1.8833333333333333</v>
      </c>
      <c r="Q32" s="1">
        <f t="shared" ca="1" si="12"/>
        <v>1.759999665080858E-2</v>
      </c>
      <c r="R32" s="1">
        <f t="shared" ca="1" si="13"/>
        <v>8.7999983254042902E-3</v>
      </c>
      <c r="S32" s="1">
        <f ca="1">SQRT(Q32*'Aerodynamics-Cruise'!T32)/2</f>
        <v>0.12502630112403401</v>
      </c>
      <c r="U32" s="1">
        <f ca="1">'Aerodynamics-Cruise'!BP32</f>
        <v>4.282280867160269</v>
      </c>
      <c r="V32" s="1">
        <f>'Aerodynamics-Cruise'!BS32</f>
        <v>3.8321766772122796</v>
      </c>
      <c r="W32" s="1">
        <f t="shared" si="14"/>
        <v>2.7097581151617343</v>
      </c>
      <c r="X32" s="1">
        <f>'Aerodynamics-Cruise'!BW32</f>
        <v>3.8297812798968627</v>
      </c>
      <c r="Y32" s="1">
        <f t="shared" si="15"/>
        <v>2.7080643134763669</v>
      </c>
      <c r="AA32" s="1">
        <f>4.44*((1/'Aerodynamics-Constants'!I32-1/(1+'Aerodynamics-Constants'!I32^1.7))*(10-3*BE32)/7*((1-ABS($D$7*D32/E32))/(2*(G32-'Aerodynamics-Cruise'!$B$6)*D32/E32)^(1/3))*SQRT(COS(RADIANS(BF32))))^1.19</f>
        <v>0.30467348056296617</v>
      </c>
      <c r="AB32" s="1">
        <f t="shared" si="16"/>
        <v>0.69532651943703383</v>
      </c>
      <c r="AC32" s="12">
        <f t="shared" ca="1" si="17"/>
        <v>0</v>
      </c>
      <c r="AD32" s="1">
        <f ca="1">'Aerodynamics-Cruise'!AF32</f>
        <v>0.89945340888609249</v>
      </c>
      <c r="AE32" s="16">
        <f ca="1">'Airfoil-Cruise'!K32</f>
        <v>-8.8128754705039434</v>
      </c>
      <c r="AF32" s="16">
        <f t="shared" ca="1" si="18"/>
        <v>3.2215720112191377</v>
      </c>
      <c r="AG32" s="1">
        <f t="shared" ca="1" si="19"/>
        <v>3.2215720112191377</v>
      </c>
      <c r="AH32" s="1">
        <f ca="1">'Aerodynamics-Cruise'!AN32</f>
        <v>-0.33272028705543799</v>
      </c>
      <c r="AI32" s="12">
        <v>0</v>
      </c>
      <c r="AJ32" s="1">
        <f t="shared" ca="1" si="20"/>
        <v>0.98152755754236976</v>
      </c>
      <c r="AK32" s="16">
        <f t="shared" ca="1" si="21"/>
        <v>-3.9930521167239976</v>
      </c>
      <c r="AL32" s="1">
        <f t="shared" ca="1" si="22"/>
        <v>-4.9745796742663675</v>
      </c>
      <c r="AM32" s="1">
        <f t="shared" ca="1" si="23"/>
        <v>0</v>
      </c>
      <c r="AN32" s="1"/>
      <c r="AO32" s="1">
        <f ca="1">(U32*'Aerodynamics-Cruise'!$B$6+K32/F32*G32*V32*AB32)/(U32+K32/F32*V32*AB32)</f>
        <v>0.45000001087421881</v>
      </c>
      <c r="AP32" s="1">
        <f t="shared" ca="1" si="1"/>
        <v>0.15000001087421883</v>
      </c>
      <c r="AQ32" s="9" t="s">
        <v>186</v>
      </c>
      <c r="AR32" s="12">
        <f t="shared" si="24"/>
        <v>0.15</v>
      </c>
      <c r="AS32" s="1">
        <f ca="1">'Aerodynamics-Cruise'!E32/ISA!$B$5/(ISA!E32*F32*(G32-B32)*D32)</f>
        <v>7.7881892210903159</v>
      </c>
      <c r="AT32" s="1">
        <f ca="1">(U32*'Aerodynamics-Cruise'!$B$6+K32/F32*G32*V32*(AB32+U32/(2*AS32)))/(U32+K32/F32*V32*(AB32+U32/(2*AS32)))</f>
        <v>0.52504916942468194</v>
      </c>
      <c r="AU32" s="1">
        <f t="shared" ca="1" si="25"/>
        <v>0.22504916942468195</v>
      </c>
      <c r="AV32" s="9" t="s">
        <v>186</v>
      </c>
      <c r="AW32" s="12">
        <v>0</v>
      </c>
      <c r="AX32" s="1">
        <f ca="1">(-'Aerodynamics-Takeoff'!AM32+'Aerodynamics-Takeoff'!AG32*'Aerodynamics-Takeoff'!$B$6+K32/F32*G32*(V32*RADIANS(AL32-AI32)+W32*RADIANS($D$9)))/('Aerodynamics-Takeoff'!AG32+K32/F32*(V32*RADIANS(AL32-AI32)+W32*RADIANS($D$9)))</f>
        <v>0.10767949030874863</v>
      </c>
      <c r="AY32" s="9" t="s">
        <v>187</v>
      </c>
      <c r="AZ32" s="1">
        <f t="shared" si="26"/>
        <v>0.3</v>
      </c>
      <c r="BA32" s="9" t="s">
        <v>187</v>
      </c>
      <c r="BB32" s="1">
        <f t="shared" ca="1" si="27"/>
        <v>0.30000001087421879</v>
      </c>
      <c r="BC32" s="1">
        <f t="shared" ca="1" si="28"/>
        <v>1.0000000108742189</v>
      </c>
      <c r="BE32" s="16">
        <f t="shared" si="39"/>
        <v>0.6</v>
      </c>
      <c r="BF32" s="16">
        <f t="shared" si="40"/>
        <v>0</v>
      </c>
      <c r="BG32" s="138">
        <f t="shared" ca="1" si="29"/>
        <v>1.7803099795165187</v>
      </c>
      <c r="BH32" s="138">
        <f t="shared" ca="1" si="30"/>
        <v>1.7803099795371213</v>
      </c>
      <c r="BI32" s="10">
        <f ca="1">AD32^2*(1/(4*PI()*E32/D32)-(TAN(RADIANS(BF32))/(PI()*E32/D32*(E32/D32+4*COS(RADIANS(BF32))))*(COS(RADIANS(BF32))-E32/D32/2-(E32/D32)^2/(8*COS(RADIANS(BF32)))+6*('Aerodynamics-Takeoff'!$B$6-B32)*D32*SIN(RADIANS(BF32))/(E32/D32))))</f>
        <v>9.06081602980904E-3</v>
      </c>
      <c r="BJ32" s="10">
        <f t="shared" si="2"/>
        <v>-6.9525925925925944E-3</v>
      </c>
      <c r="BK32" s="10">
        <f t="shared" ca="1" si="31"/>
        <v>2.1082234372164456E-3</v>
      </c>
      <c r="BL32" s="10">
        <f t="shared" ca="1" si="3"/>
        <v>6.7891777510525483E-2</v>
      </c>
      <c r="BM32" s="45">
        <v>0.04</v>
      </c>
      <c r="BN32" s="9" t="s">
        <v>187</v>
      </c>
      <c r="BO32" s="10">
        <f t="shared" ca="1" si="32"/>
        <v>7.0000000947741933E-2</v>
      </c>
      <c r="BP32" s="42">
        <f t="shared" si="41"/>
        <v>7.0000000000000007E-2</v>
      </c>
      <c r="BQ32" s="9" t="s">
        <v>187</v>
      </c>
      <c r="BR32" s="45">
        <v>0.1</v>
      </c>
      <c r="BS32" s="1">
        <f t="shared" ca="1" si="33"/>
        <v>1.0000000009477419</v>
      </c>
      <c r="BT32" s="10">
        <f t="shared" ca="1" si="4"/>
        <v>-3.0492960427074584E-2</v>
      </c>
      <c r="BU32" s="10">
        <f t="shared" ca="1" si="34"/>
        <v>-3.0492960427074584E-2</v>
      </c>
      <c r="BV32" s="10">
        <f t="shared" ca="1" si="5"/>
        <v>-4.5070395498461313E-3</v>
      </c>
      <c r="BW32" s="45">
        <f t="shared" si="42"/>
        <v>-0.05</v>
      </c>
      <c r="BX32" s="9" t="s">
        <v>187</v>
      </c>
      <c r="BY32" s="10">
        <f t="shared" ca="1" si="35"/>
        <v>-3.4999999976920715E-2</v>
      </c>
      <c r="BZ32" s="10">
        <f t="shared" si="43"/>
        <v>-3.5000000000000003E-2</v>
      </c>
      <c r="CA32" s="9" t="s">
        <v>187</v>
      </c>
      <c r="CB32" s="45">
        <f t="shared" si="44"/>
        <v>-0.02</v>
      </c>
      <c r="CC32" s="1">
        <f t="shared" ca="1" si="36"/>
        <v>0.99999999997692068</v>
      </c>
    </row>
    <row r="33" spans="2:81">
      <c r="B33" s="16">
        <f>Weight!G33</f>
        <v>0.3</v>
      </c>
      <c r="D33" s="31">
        <f>'Aerodynamics-Takeoff'!L33</f>
        <v>0.33333333333333326</v>
      </c>
      <c r="E33" s="31">
        <f>'Aerodynamics-Takeoff'!M33</f>
        <v>2.4473684210526319</v>
      </c>
      <c r="F33" s="16">
        <f t="shared" si="37"/>
        <v>0.8157894736842104</v>
      </c>
      <c r="G33" s="32">
        <f>Main!D33</f>
        <v>5.6500000000000012</v>
      </c>
      <c r="H33" s="49">
        <f t="shared" ca="1" si="6"/>
        <v>0.32794205410472455</v>
      </c>
      <c r="I33" s="49">
        <f t="shared" ca="1" si="38"/>
        <v>0.32794205392745263</v>
      </c>
      <c r="J33" s="1">
        <f t="shared" si="7"/>
        <v>1.7833333333333334</v>
      </c>
      <c r="K33" s="1">
        <f t="shared" ca="1" si="8"/>
        <v>5.0005920694768599E-2</v>
      </c>
      <c r="L33" s="1">
        <f t="shared" ca="1" si="9"/>
        <v>2.50029603473843E-2</v>
      </c>
      <c r="M33" s="32">
        <f>Main!F33</f>
        <v>5.9500000000000011</v>
      </c>
      <c r="N33" s="49">
        <f t="shared" ca="1" si="10"/>
        <v>1.7486521721083469E-2</v>
      </c>
      <c r="O33" s="49">
        <f t="shared" ca="1" si="0"/>
        <v>1.7486521720188344E-2</v>
      </c>
      <c r="P33" s="1">
        <f t="shared" si="11"/>
        <v>1.8833333333333333</v>
      </c>
      <c r="Q33" s="1">
        <f t="shared" ca="1" si="12"/>
        <v>1.8537607722605706E-2</v>
      </c>
      <c r="R33" s="1">
        <f t="shared" ca="1" si="13"/>
        <v>9.2688038613028528E-3</v>
      </c>
      <c r="S33" s="1">
        <f ca="1">SQRT(Q33*'Aerodynamics-Cruise'!T33)/2</f>
        <v>0.13043440268315901</v>
      </c>
      <c r="U33" s="1">
        <f ca="1">'Aerodynamics-Cruise'!BP33</f>
        <v>4.3213842786862369</v>
      </c>
      <c r="V33" s="1">
        <f>'Aerodynamics-Cruise'!BS33</f>
        <v>3.8711762947279209</v>
      </c>
      <c r="W33" s="1">
        <f t="shared" si="14"/>
        <v>2.7373350091707258</v>
      </c>
      <c r="X33" s="1">
        <f>'Aerodynamics-Cruise'!BW33</f>
        <v>3.8739657330797428</v>
      </c>
      <c r="Y33" s="1">
        <f t="shared" si="15"/>
        <v>2.739307439945001</v>
      </c>
      <c r="AA33" s="1">
        <f>4.44*((1/'Aerodynamics-Constants'!I33-1/(1+'Aerodynamics-Constants'!I33^1.7))*(10-3*BE33)/7*((1-ABS($D$7*D33/E33))/(2*(G33-'Aerodynamics-Cruise'!$B$6)*D33/E33)^(1/3))*SQRT(COS(RADIANS(BF33))))^1.19</f>
        <v>0.29957234738916316</v>
      </c>
      <c r="AB33" s="1">
        <f t="shared" si="16"/>
        <v>0.70042765261083684</v>
      </c>
      <c r="AC33" s="12">
        <f t="shared" ca="1" si="17"/>
        <v>0</v>
      </c>
      <c r="AD33" s="1">
        <f ca="1">'Aerodynamics-Cruise'!AF33</f>
        <v>0.89948194649194757</v>
      </c>
      <c r="AE33" s="16">
        <f ca="1">'Airfoil-Cruise'!K33</f>
        <v>-8.7153834748650247</v>
      </c>
      <c r="AF33" s="16">
        <f t="shared" ca="1" si="18"/>
        <v>3.2105448755450858</v>
      </c>
      <c r="AG33" s="1">
        <f t="shared" ca="1" si="19"/>
        <v>3.2105448755450858</v>
      </c>
      <c r="AH33" s="1">
        <f ca="1">'Aerodynamics-Cruise'!AN33</f>
        <v>-0.33550409664813946</v>
      </c>
      <c r="AI33" s="12">
        <v>0</v>
      </c>
      <c r="AJ33" s="1">
        <f t="shared" ca="1" si="20"/>
        <v>0.96179046476529007</v>
      </c>
      <c r="AK33" s="16">
        <f t="shared" ca="1" si="21"/>
        <v>-4.0038755973737672</v>
      </c>
      <c r="AL33" s="1">
        <f t="shared" ca="1" si="22"/>
        <v>-4.9656660621390571</v>
      </c>
      <c r="AM33" s="1">
        <f t="shared" ca="1" si="23"/>
        <v>0</v>
      </c>
      <c r="AN33" s="1"/>
      <c r="AO33" s="1">
        <f ca="1">(U33*'Aerodynamics-Cruise'!$B$6+K33/F33*G33*V33*AB33)/(U33+K33/F33*V33*AB33)</f>
        <v>0.45000001070581946</v>
      </c>
      <c r="AP33" s="1">
        <f t="shared" ca="1" si="1"/>
        <v>0.15000001070581948</v>
      </c>
      <c r="AQ33" s="9" t="s">
        <v>186</v>
      </c>
      <c r="AR33" s="12">
        <f t="shared" si="24"/>
        <v>0.15</v>
      </c>
      <c r="AS33" s="1">
        <f ca="1">'Aerodynamics-Cruise'!E33/ISA!$B$5/(ISA!E33*F33*(G33-B33)*D33)</f>
        <v>7.533598809183121</v>
      </c>
      <c r="AT33" s="1">
        <f ca="1">(U33*'Aerodynamics-Cruise'!$B$6+K33/F33*G33*V33*(AB33+U33/(2*AS33)))/(U33+K33/F33*V33*(AB33+U33/(2*AS33)))</f>
        <v>0.52768368741489258</v>
      </c>
      <c r="AU33" s="1">
        <f t="shared" ca="1" si="25"/>
        <v>0.22768368741489259</v>
      </c>
      <c r="AV33" s="9" t="s">
        <v>186</v>
      </c>
      <c r="AW33" s="12">
        <v>0</v>
      </c>
      <c r="AX33" s="1">
        <f ca="1">(-'Aerodynamics-Takeoff'!AM33+'Aerodynamics-Takeoff'!AG33*'Aerodynamics-Takeoff'!$B$6+K33/F33*G33*(V33*RADIANS(AL33-AI33)+W33*RADIANS($D$9)))/('Aerodynamics-Takeoff'!AG33+K33/F33*(V33*RADIANS(AL33-AI33)+W33*RADIANS($D$9)))</f>
        <v>0.10732665211840832</v>
      </c>
      <c r="AY33" s="9" t="s">
        <v>187</v>
      </c>
      <c r="AZ33" s="1">
        <f t="shared" si="26"/>
        <v>0.3</v>
      </c>
      <c r="BA33" s="9" t="s">
        <v>187</v>
      </c>
      <c r="BB33" s="1">
        <f t="shared" ca="1" si="27"/>
        <v>0.3000000107058195</v>
      </c>
      <c r="BC33" s="1">
        <f t="shared" ca="1" si="28"/>
        <v>1.0000000107058196</v>
      </c>
      <c r="BE33" s="16">
        <f t="shared" si="39"/>
        <v>0.6</v>
      </c>
      <c r="BF33" s="16">
        <f t="shared" si="40"/>
        <v>0</v>
      </c>
      <c r="BG33" s="138">
        <f t="shared" ca="1" si="29"/>
        <v>1.7535203614956234</v>
      </c>
      <c r="BH33" s="138">
        <f t="shared" ca="1" si="30"/>
        <v>1.7535203615189094</v>
      </c>
      <c r="BI33" s="10">
        <f ca="1">AD33^2*(1/(4*PI()*E33/D33)-(TAN(RADIANS(BF33))/(PI()*E33/D33*(E33/D33+4*COS(RADIANS(BF33))))*(COS(RADIANS(BF33))-E33/D33/2-(E33/D33)^2/(8*COS(RADIANS(BF33)))+6*('Aerodynamics-Takeoff'!$B$6-B33)*D33*SIN(RADIANS(BF33))/(E33/D33))))</f>
        <v>8.7690880616099181E-3</v>
      </c>
      <c r="BJ33" s="10">
        <f t="shared" si="2"/>
        <v>-6.5112729795352084E-3</v>
      </c>
      <c r="BK33" s="10">
        <f t="shared" ca="1" si="31"/>
        <v>2.2578150820747097E-3</v>
      </c>
      <c r="BL33" s="10">
        <f t="shared" ca="1" si="3"/>
        <v>6.7742185938231947E-2</v>
      </c>
      <c r="BM33" s="45">
        <v>0.04</v>
      </c>
      <c r="BN33" s="9" t="s">
        <v>187</v>
      </c>
      <c r="BO33" s="10">
        <f t="shared" ca="1" si="32"/>
        <v>7.0000001020306651E-2</v>
      </c>
      <c r="BP33" s="42">
        <f t="shared" si="41"/>
        <v>7.0000000000000007E-2</v>
      </c>
      <c r="BQ33" s="9" t="s">
        <v>187</v>
      </c>
      <c r="BR33" s="45">
        <v>0.1</v>
      </c>
      <c r="BS33" s="1">
        <f t="shared" ca="1" si="33"/>
        <v>1.0000000010203067</v>
      </c>
      <c r="BT33" s="10">
        <f t="shared" ca="1" si="4"/>
        <v>-3.0308365517250253E-2</v>
      </c>
      <c r="BU33" s="10">
        <f t="shared" ca="1" si="34"/>
        <v>-3.0308365517250253E-2</v>
      </c>
      <c r="BV33" s="10">
        <f t="shared" ca="1" si="5"/>
        <v>-4.6916344562680243E-3</v>
      </c>
      <c r="BW33" s="45">
        <f t="shared" si="42"/>
        <v>-0.05</v>
      </c>
      <c r="BX33" s="9" t="s">
        <v>187</v>
      </c>
      <c r="BY33" s="10">
        <f t="shared" ca="1" si="35"/>
        <v>-3.4999999973518277E-2</v>
      </c>
      <c r="BZ33" s="10">
        <f t="shared" si="43"/>
        <v>-3.5000000000000003E-2</v>
      </c>
      <c r="CA33" s="9" t="s">
        <v>187</v>
      </c>
      <c r="CB33" s="45">
        <f t="shared" si="44"/>
        <v>-0.02</v>
      </c>
      <c r="CC33" s="1">
        <f t="shared" ca="1" si="36"/>
        <v>0.99999999997351829</v>
      </c>
    </row>
    <row r="34" spans="2:81">
      <c r="B34" s="16">
        <f>Weight!G34</f>
        <v>0.3</v>
      </c>
      <c r="D34" s="31">
        <f>'Aerodynamics-Takeoff'!L34</f>
        <v>0.33333333333333326</v>
      </c>
      <c r="E34" s="31">
        <f>'Aerodynamics-Takeoff'!M34</f>
        <v>2.5263157894736845</v>
      </c>
      <c r="F34" s="16">
        <f t="shared" si="37"/>
        <v>0.84210526315789469</v>
      </c>
      <c r="G34" s="32">
        <f>Main!D34</f>
        <v>5.6500000000000012</v>
      </c>
      <c r="H34" s="49">
        <f t="shared" ca="1" si="6"/>
        <v>0.32535676823777848</v>
      </c>
      <c r="I34" s="49">
        <f t="shared" ca="1" si="38"/>
        <v>0.32535676806155389</v>
      </c>
      <c r="J34" s="1">
        <f t="shared" si="7"/>
        <v>1.7833333333333334</v>
      </c>
      <c r="K34" s="1">
        <f t="shared" ca="1" si="8"/>
        <v>5.1212083539640477E-2</v>
      </c>
      <c r="L34" s="1">
        <f t="shared" ca="1" si="9"/>
        <v>2.5606041769820238E-2</v>
      </c>
      <c r="M34" s="32">
        <f>Main!F34</f>
        <v>5.9500000000000011</v>
      </c>
      <c r="N34" s="49">
        <f t="shared" ca="1" si="10"/>
        <v>1.7264952049669213E-2</v>
      </c>
      <c r="O34" s="49">
        <f t="shared" ca="1" si="0"/>
        <v>1.7264952048726849E-2</v>
      </c>
      <c r="P34" s="1">
        <f t="shared" si="11"/>
        <v>1.8833333333333333</v>
      </c>
      <c r="Q34" s="1">
        <f t="shared" ca="1" si="12"/>
        <v>1.9502585993890067E-2</v>
      </c>
      <c r="R34" s="1">
        <f t="shared" ca="1" si="13"/>
        <v>9.7512929969450334E-3</v>
      </c>
      <c r="S34" s="1">
        <f ca="1">SQRT(Q34*'Aerodynamics-Cruise'!T34)/2</f>
        <v>0.13592694397901692</v>
      </c>
      <c r="U34" s="1">
        <f ca="1">'Aerodynamics-Cruise'!BP34</f>
        <v>4.359028049298395</v>
      </c>
      <c r="V34" s="1">
        <f>'Aerodynamics-Cruise'!BS34</f>
        <v>3.9084744159557685</v>
      </c>
      <c r="W34" s="1">
        <f t="shared" si="14"/>
        <v>2.7637087636164548</v>
      </c>
      <c r="X34" s="1">
        <f>'Aerodynamics-Cruise'!BW34</f>
        <v>3.9163231849688693</v>
      </c>
      <c r="Y34" s="1">
        <f t="shared" si="15"/>
        <v>2.7692586814095854</v>
      </c>
      <c r="AA34" s="1">
        <f>4.44*((1/'Aerodynamics-Constants'!I34-1/(1+'Aerodynamics-Constants'!I34^1.7))*(10-3*BE34)/7*((1-ABS($D$7*D34/E34))/(2*(G34-'Aerodynamics-Cruise'!$B$6)*D34/E34)^(1/3))*SQRT(COS(RADIANS(BF34))))^1.19</f>
        <v>0.29465270890192391</v>
      </c>
      <c r="AB34" s="1">
        <f t="shared" si="16"/>
        <v>0.70534729109807603</v>
      </c>
      <c r="AC34" s="12">
        <f t="shared" ca="1" si="17"/>
        <v>0</v>
      </c>
      <c r="AD34" s="1">
        <f ca="1">'Aerodynamics-Cruise'!AF34</f>
        <v>0.89950799927140002</v>
      </c>
      <c r="AE34" s="16">
        <f ca="1">'Airfoil-Cruise'!K34</f>
        <v>-8.6228982065674789</v>
      </c>
      <c r="AF34" s="16">
        <f t="shared" ca="1" si="18"/>
        <v>3.2003824453666656</v>
      </c>
      <c r="AG34" s="1">
        <f t="shared" ca="1" si="19"/>
        <v>3.2003824453666656</v>
      </c>
      <c r="AH34" s="1">
        <f ca="1">'Aerodynamics-Cruise'!AN34</f>
        <v>-0.33816600949220377</v>
      </c>
      <c r="AI34" s="12">
        <v>0</v>
      </c>
      <c r="AJ34" s="1">
        <f t="shared" ca="1" si="20"/>
        <v>0.94300135704945154</v>
      </c>
      <c r="AK34" s="16">
        <f t="shared" ca="1" si="21"/>
        <v>-4.0142998957326217</v>
      </c>
      <c r="AL34" s="1">
        <f t="shared" ca="1" si="22"/>
        <v>-4.9573012527820737</v>
      </c>
      <c r="AM34" s="1">
        <f t="shared" ca="1" si="23"/>
        <v>0</v>
      </c>
      <c r="AN34" s="1"/>
      <c r="AO34" s="1">
        <f ca="1">(U34*'Aerodynamics-Cruise'!$B$6+K34/F34*G34*V34*AB34)/(U34+K34/F34*V34*AB34)</f>
        <v>0.45000001072712825</v>
      </c>
      <c r="AP34" s="1">
        <f t="shared" ca="1" si="1"/>
        <v>0.15000001072712826</v>
      </c>
      <c r="AQ34" s="9" t="s">
        <v>186</v>
      </c>
      <c r="AR34" s="12">
        <f t="shared" si="24"/>
        <v>0.15</v>
      </c>
      <c r="AS34" s="1">
        <f ca="1">'Aerodynamics-Cruise'!E34/ISA!$B$5/(ISA!E34*F34*(G34-B34)*D34)</f>
        <v>7.2972473447742159</v>
      </c>
      <c r="AT34" s="1">
        <f ca="1">(U34*'Aerodynamics-Cruise'!$B$6+K34/F34*G34*V34*(AB34+U34/(2*AS34)))/(U34+K34/F34*V34*(AB34+U34/(2*AS34)))</f>
        <v>0.53029324344314677</v>
      </c>
      <c r="AU34" s="1">
        <f t="shared" ca="1" si="25"/>
        <v>0.23029324344314678</v>
      </c>
      <c r="AV34" s="9" t="s">
        <v>186</v>
      </c>
      <c r="AW34" s="12">
        <v>0</v>
      </c>
      <c r="AX34" s="1">
        <f ca="1">(-'Aerodynamics-Takeoff'!AM34+'Aerodynamics-Takeoff'!AG34*'Aerodynamics-Takeoff'!$B$6+K34/F34*G34*(V34*RADIANS(AL34-AI34)+W34*RADIANS($D$9)))/('Aerodynamics-Takeoff'!AG34+K34/F34*(V34*RADIANS(AL34-AI34)+W34*RADIANS($D$9)))</f>
        <v>0.10699351032236437</v>
      </c>
      <c r="AY34" s="9" t="s">
        <v>187</v>
      </c>
      <c r="AZ34" s="1">
        <f t="shared" si="26"/>
        <v>0.3</v>
      </c>
      <c r="BA34" s="9" t="s">
        <v>187</v>
      </c>
      <c r="BB34" s="1">
        <f t="shared" ca="1" si="27"/>
        <v>0.30000001072712823</v>
      </c>
      <c r="BC34" s="1">
        <f t="shared" ca="1" si="28"/>
        <v>1.0000000107271283</v>
      </c>
      <c r="BE34" s="16">
        <f t="shared" si="39"/>
        <v>0.6</v>
      </c>
      <c r="BF34" s="16">
        <f t="shared" si="40"/>
        <v>0</v>
      </c>
      <c r="BG34" s="138">
        <f t="shared" ca="1" si="29"/>
        <v>1.72757174784597</v>
      </c>
      <c r="BH34" s="138">
        <f t="shared" ca="1" si="30"/>
        <v>1.7275717478719479</v>
      </c>
      <c r="BI34" s="10">
        <f ca="1">AD34^2*(1/(4*PI()*E34/D34)-(TAN(RADIANS(BF34))/(PI()*E34/D34*(E34/D34+4*COS(RADIANS(BF34))))*(COS(RADIANS(BF34))-E34/D34/2-(E34/D34)^2/(8*COS(RADIANS(BF34)))+6*('Aerodynamics-Takeoff'!$B$6-B34)*D34*SIN(RADIANS(BF34))/(E34/D34))))</f>
        <v>8.4955461717851188E-3</v>
      </c>
      <c r="BJ34" s="10">
        <f t="shared" si="2"/>
        <v>-6.1106770833333343E-3</v>
      </c>
      <c r="BK34" s="10">
        <f t="shared" ca="1" si="31"/>
        <v>2.3848690884517845E-3</v>
      </c>
      <c r="BL34" s="10">
        <f t="shared" ca="1" si="3"/>
        <v>6.7615131999495356E-2</v>
      </c>
      <c r="BM34" s="45">
        <v>0.04</v>
      </c>
      <c r="BN34" s="9" t="s">
        <v>187</v>
      </c>
      <c r="BO34" s="10">
        <f t="shared" ca="1" si="32"/>
        <v>7.0000001087947142E-2</v>
      </c>
      <c r="BP34" s="42">
        <f t="shared" si="41"/>
        <v>7.0000000000000007E-2</v>
      </c>
      <c r="BQ34" s="9" t="s">
        <v>187</v>
      </c>
      <c r="BR34" s="45">
        <v>0.1</v>
      </c>
      <c r="BS34" s="1">
        <f t="shared" ca="1" si="33"/>
        <v>1.0000000010879471</v>
      </c>
      <c r="BT34" s="10">
        <f t="shared" ca="1" si="4"/>
        <v>-3.0119972575627832E-2</v>
      </c>
      <c r="BU34" s="10">
        <f t="shared" ca="1" si="34"/>
        <v>-3.0119972575627832E-2</v>
      </c>
      <c r="BV34" s="10">
        <f t="shared" ca="1" si="5"/>
        <v>-4.8800273943872064E-3</v>
      </c>
      <c r="BW34" s="45">
        <f t="shared" si="42"/>
        <v>-0.05</v>
      </c>
      <c r="BX34" s="9" t="s">
        <v>187</v>
      </c>
      <c r="BY34" s="10">
        <f t="shared" ca="1" si="35"/>
        <v>-3.4999999970015037E-2</v>
      </c>
      <c r="BZ34" s="10">
        <f t="shared" si="43"/>
        <v>-3.5000000000000003E-2</v>
      </c>
      <c r="CA34" s="9" t="s">
        <v>187</v>
      </c>
      <c r="CB34" s="45">
        <f t="shared" si="44"/>
        <v>-0.02</v>
      </c>
      <c r="CC34" s="1">
        <f t="shared" ca="1" si="36"/>
        <v>0.99999999997001499</v>
      </c>
    </row>
    <row r="35" spans="2:81">
      <c r="B35" s="16">
        <f>Weight!G35</f>
        <v>0.3</v>
      </c>
      <c r="D35" s="31">
        <f>'Aerodynamics-Takeoff'!L35</f>
        <v>0.33333333333333326</v>
      </c>
      <c r="E35" s="31">
        <f>'Aerodynamics-Takeoff'!M35</f>
        <v>2.6052631578947372</v>
      </c>
      <c r="F35" s="16">
        <f t="shared" si="37"/>
        <v>0.86842105263157887</v>
      </c>
      <c r="G35" s="32">
        <f>Main!D35</f>
        <v>5.6500000000000012</v>
      </c>
      <c r="H35" s="49">
        <f t="shared" ca="1" si="6"/>
        <v>0.32292292936739403</v>
      </c>
      <c r="I35" s="49">
        <f t="shared" ca="1" si="38"/>
        <v>0.32292292919199556</v>
      </c>
      <c r="J35" s="1">
        <f t="shared" si="7"/>
        <v>1.7833333333333334</v>
      </c>
      <c r="K35" s="1">
        <f t="shared" ca="1" si="8"/>
        <v>5.2417396306561725E-2</v>
      </c>
      <c r="L35" s="1">
        <f t="shared" ca="1" si="9"/>
        <v>2.6208698153280863E-2</v>
      </c>
      <c r="M35" s="32">
        <f>Main!F35</f>
        <v>5.9500000000000011</v>
      </c>
      <c r="N35" s="49">
        <f t="shared" ca="1" si="10"/>
        <v>1.7060401434545801E-2</v>
      </c>
      <c r="O35" s="49">
        <f t="shared" ca="1" si="0"/>
        <v>1.7060401433560916E-2</v>
      </c>
      <c r="P35" s="1">
        <f t="shared" si="11"/>
        <v>1.8833333333333333</v>
      </c>
      <c r="Q35" s="1">
        <f t="shared" ca="1" si="12"/>
        <v>2.0494814607896383E-2</v>
      </c>
      <c r="R35" s="1">
        <f t="shared" ca="1" si="13"/>
        <v>1.0247407303948191E-2</v>
      </c>
      <c r="S35" s="1">
        <f ca="1">SQRT(Q35*'Aerodynamics-Cruise'!T35)/2</f>
        <v>0.14150227748940386</v>
      </c>
      <c r="U35" s="1">
        <f ca="1">'Aerodynamics-Cruise'!BP35</f>
        <v>4.3953276422314405</v>
      </c>
      <c r="V35" s="1">
        <f>'Aerodynamics-Cruise'!BS35</f>
        <v>3.9441790955022142</v>
      </c>
      <c r="W35" s="1">
        <f t="shared" si="14"/>
        <v>2.7889557846438393</v>
      </c>
      <c r="X35" s="1">
        <f>'Aerodynamics-Cruise'!BW35</f>
        <v>3.9569645174604378</v>
      </c>
      <c r="Y35" s="1">
        <f t="shared" si="15"/>
        <v>2.7979964432108306</v>
      </c>
      <c r="AA35" s="1">
        <f>4.44*((1/'Aerodynamics-Constants'!I35-1/(1+'Aerodynamics-Constants'!I35^1.7))*(10-3*BE35)/7*((1-ABS($D$7*D35/E35))/(2*(G35-'Aerodynamics-Cruise'!$B$6)*D35/E35)^(1/3))*SQRT(COS(RADIANS(BF35))))^1.19</f>
        <v>0.28990541276373288</v>
      </c>
      <c r="AB35" s="1">
        <f t="shared" si="16"/>
        <v>0.71009458723626717</v>
      </c>
      <c r="AC35" s="12">
        <f t="shared" ca="1" si="17"/>
        <v>0</v>
      </c>
      <c r="AD35" s="1">
        <f ca="1">'Aerodynamics-Cruise'!AF35</f>
        <v>0.89953185304114758</v>
      </c>
      <c r="AE35" s="16">
        <f ca="1">'Airfoil-Cruise'!K35</f>
        <v>-8.5348959263984749</v>
      </c>
      <c r="AF35" s="16">
        <f t="shared" ca="1" si="18"/>
        <v>3.1910510136285524</v>
      </c>
      <c r="AG35" s="1">
        <f t="shared" ca="1" si="19"/>
        <v>3.1910510136285524</v>
      </c>
      <c r="AH35" s="1">
        <f ca="1">'Aerodynamics-Cruise'!AN35</f>
        <v>-0.34071104056664281</v>
      </c>
      <c r="AI35" s="12">
        <v>0</v>
      </c>
      <c r="AJ35" s="1">
        <f t="shared" ca="1" si="20"/>
        <v>0.92510296125611369</v>
      </c>
      <c r="AK35" s="16">
        <f t="shared" ca="1" si="21"/>
        <v>-4.024293145082094</v>
      </c>
      <c r="AL35" s="1">
        <f t="shared" ca="1" si="22"/>
        <v>-4.9493961063382077</v>
      </c>
      <c r="AM35" s="1">
        <f t="shared" ca="1" si="23"/>
        <v>0</v>
      </c>
      <c r="AN35" s="1"/>
      <c r="AO35" s="1">
        <f ca="1">(U35*'Aerodynamics-Cruise'!$B$6+K35/F35*G35*V35*AB35)/(U35+K35/F35*V35*AB35)</f>
        <v>0.45000001075730522</v>
      </c>
      <c r="AP35" s="1">
        <f t="shared" ca="1" si="1"/>
        <v>0.15000001075730524</v>
      </c>
      <c r="AQ35" s="9" t="s">
        <v>186</v>
      </c>
      <c r="AR35" s="12">
        <f t="shared" si="24"/>
        <v>0.15</v>
      </c>
      <c r="AS35" s="1">
        <f ca="1">'Aerodynamics-Cruise'!E35/ISA!$B$5/(ISA!E35*F35*(G35-B35)*D35)</f>
        <v>7.0769726698535322</v>
      </c>
      <c r="AT35" s="1">
        <f ca="1">(U35*'Aerodynamics-Cruise'!$B$6+K35/F35*G35*V35*(AB35+U35/(2*AS35)))/(U35+K35/F35*V35*(AB35+U35/(2*AS35)))</f>
        <v>0.53288182405383522</v>
      </c>
      <c r="AU35" s="1">
        <f t="shared" ca="1" si="25"/>
        <v>0.23288182405383523</v>
      </c>
      <c r="AV35" s="9" t="s">
        <v>186</v>
      </c>
      <c r="AW35" s="12">
        <v>0</v>
      </c>
      <c r="AX35" s="1">
        <f ca="1">(-'Aerodynamics-Takeoff'!AM35+'Aerodynamics-Takeoff'!AG35*'Aerodynamics-Takeoff'!$B$6+K35/F35*G35*(V35*RADIANS(AL35-AI35)+W35*RADIANS($D$9)))/('Aerodynamics-Takeoff'!AG35+K35/F35*(V35*RADIANS(AL35-AI35)+W35*RADIANS($D$9)))</f>
        <v>0.10667693290066194</v>
      </c>
      <c r="AY35" s="9" t="s">
        <v>187</v>
      </c>
      <c r="AZ35" s="1">
        <f t="shared" si="26"/>
        <v>0.3</v>
      </c>
      <c r="BA35" s="9" t="s">
        <v>187</v>
      </c>
      <c r="BB35" s="1">
        <f t="shared" ca="1" si="27"/>
        <v>0.3000000107573052</v>
      </c>
      <c r="BC35" s="1">
        <f t="shared" ca="1" si="28"/>
        <v>1.0000000107573053</v>
      </c>
      <c r="BE35" s="16">
        <f t="shared" si="39"/>
        <v>0.6</v>
      </c>
      <c r="BF35" s="16">
        <f t="shared" si="40"/>
        <v>0</v>
      </c>
      <c r="BG35" s="138">
        <f t="shared" ca="1" si="29"/>
        <v>1.702378800429607</v>
      </c>
      <c r="BH35" s="138">
        <f t="shared" ca="1" si="30"/>
        <v>1.7023788004583065</v>
      </c>
      <c r="BI35" s="10">
        <f ca="1">AD35^2*(1/(4*PI()*E35/D35)-(TAN(RADIANS(BF35))/(PI()*E35/D35*(E35/D35+4*COS(RADIANS(BF35))))*(COS(RADIANS(BF35))-E35/D35/2-(E35/D35)^2/(8*COS(RADIANS(BF35)))+6*('Aerodynamics-Takeoff'!$B$6-B35)*D35*SIN(RADIANS(BF35))/(E35/D35))))</f>
        <v>8.2385423119455854E-3</v>
      </c>
      <c r="BJ35" s="10">
        <f t="shared" si="2"/>
        <v>-5.7459442913988376E-3</v>
      </c>
      <c r="BK35" s="10">
        <f t="shared" ca="1" si="31"/>
        <v>2.4925980205467478E-3</v>
      </c>
      <c r="BL35" s="10">
        <f t="shared" ca="1" si="3"/>
        <v>6.7507403130128901E-2</v>
      </c>
      <c r="BM35" s="45">
        <v>0.04</v>
      </c>
      <c r="BN35" s="9" t="s">
        <v>187</v>
      </c>
      <c r="BO35" s="10">
        <f t="shared" ca="1" si="32"/>
        <v>7.0000001150675645E-2</v>
      </c>
      <c r="BP35" s="42">
        <f t="shared" si="41"/>
        <v>7.0000000000000007E-2</v>
      </c>
      <c r="BQ35" s="9" t="s">
        <v>187</v>
      </c>
      <c r="BR35" s="45">
        <v>0.1</v>
      </c>
      <c r="BS35" s="1">
        <f t="shared" ca="1" si="33"/>
        <v>1.0000000011506756</v>
      </c>
      <c r="BT35" s="10">
        <f t="shared" ca="1" si="4"/>
        <v>-2.9927901936132973E-2</v>
      </c>
      <c r="BU35" s="10">
        <f t="shared" ca="1" si="34"/>
        <v>-2.9927901936132973E-2</v>
      </c>
      <c r="BV35" s="10">
        <f t="shared" ca="1" si="5"/>
        <v>-5.0720980302523273E-3</v>
      </c>
      <c r="BW35" s="45">
        <f t="shared" si="42"/>
        <v>-0.05</v>
      </c>
      <c r="BX35" s="9" t="s">
        <v>187</v>
      </c>
      <c r="BY35" s="10">
        <f t="shared" ca="1" si="35"/>
        <v>-3.4999999966385302E-2</v>
      </c>
      <c r="BZ35" s="10">
        <f t="shared" si="43"/>
        <v>-3.5000000000000003E-2</v>
      </c>
      <c r="CA35" s="9" t="s">
        <v>187</v>
      </c>
      <c r="CB35" s="45">
        <f t="shared" si="44"/>
        <v>-0.02</v>
      </c>
      <c r="CC35" s="1">
        <f t="shared" ca="1" si="36"/>
        <v>0.99999999996638533</v>
      </c>
    </row>
    <row r="36" spans="2:81">
      <c r="B36" s="16">
        <f>Weight!G36</f>
        <v>0.3</v>
      </c>
      <c r="D36" s="31">
        <f>'Aerodynamics-Takeoff'!L36</f>
        <v>0.33333333333333326</v>
      </c>
      <c r="E36" s="31">
        <f>'Aerodynamics-Takeoff'!M36</f>
        <v>2.6842105263157898</v>
      </c>
      <c r="F36" s="16">
        <f t="shared" si="37"/>
        <v>0.89473684210526305</v>
      </c>
      <c r="G36" s="32">
        <f>Main!D36</f>
        <v>5.6500000000000012</v>
      </c>
      <c r="H36" s="49">
        <f t="shared" ca="1" si="6"/>
        <v>0.32062649933659459</v>
      </c>
      <c r="I36" s="49">
        <f t="shared" ca="1" si="38"/>
        <v>0.32062649916237501</v>
      </c>
      <c r="J36" s="1">
        <f t="shared" si="7"/>
        <v>1.7833333333333334</v>
      </c>
      <c r="K36" s="1">
        <f t="shared" ca="1" si="8"/>
        <v>5.362174607695136E-2</v>
      </c>
      <c r="L36" s="1">
        <f t="shared" ca="1" si="9"/>
        <v>2.681087303847568E-2</v>
      </c>
      <c r="M36" s="32">
        <f>Main!F36</f>
        <v>5.9500000000000011</v>
      </c>
      <c r="N36" s="49">
        <f t="shared" ca="1" si="10"/>
        <v>1.6870979920576692E-2</v>
      </c>
      <c r="O36" s="49">
        <f t="shared" ca="1" si="0"/>
        <v>1.6870979919553723E-2</v>
      </c>
      <c r="P36" s="1">
        <f t="shared" si="11"/>
        <v>1.8833333333333333</v>
      </c>
      <c r="Q36" s="1">
        <f t="shared" ca="1" si="12"/>
        <v>2.1514190558880188E-2</v>
      </c>
      <c r="R36" s="1">
        <f t="shared" ca="1" si="13"/>
        <v>1.0757095279440094E-2</v>
      </c>
      <c r="S36" s="1">
        <f ca="1">SQRT(Q36*'Aerodynamics-Cruise'!T36)/2</f>
        <v>0.14715886411032553</v>
      </c>
      <c r="U36" s="1">
        <f ca="1">'Aerodynamics-Cruise'!BP36</f>
        <v>4.4303367486679699</v>
      </c>
      <c r="V36" s="1">
        <f>'Aerodynamics-Cruise'!BS36</f>
        <v>3.9783893429633941</v>
      </c>
      <c r="W36" s="1">
        <f t="shared" si="14"/>
        <v>2.8131460826097094</v>
      </c>
      <c r="X36" s="1">
        <f>'Aerodynamics-Cruise'!BW36</f>
        <v>3.9959918173096995</v>
      </c>
      <c r="Y36" s="1">
        <f t="shared" si="15"/>
        <v>2.8255929115856442</v>
      </c>
      <c r="AA36" s="1">
        <f>4.44*((1/'Aerodynamics-Constants'!I36-1/(1+'Aerodynamics-Constants'!I36^1.7))*(10-3*BE36)/7*((1-ABS($D$7*D36/E36))/(2*(G36-'Aerodynamics-Cruise'!$B$6)*D36/E36)^(1/3))*SQRT(COS(RADIANS(BF36))))^1.19</f>
        <v>0.28532185714112157</v>
      </c>
      <c r="AB36" s="1">
        <f t="shared" si="16"/>
        <v>0.71467814285887843</v>
      </c>
      <c r="AC36" s="12">
        <f t="shared" ca="1" si="17"/>
        <v>0</v>
      </c>
      <c r="AD36" s="1">
        <f ca="1">'Aerodynamics-Cruise'!AF36</f>
        <v>0.89955375322190667</v>
      </c>
      <c r="AE36" s="16">
        <f ca="1">'Airfoil-Cruise'!K36</f>
        <v>-8.4511492080956412</v>
      </c>
      <c r="AF36" s="16">
        <f t="shared" ca="1" si="18"/>
        <v>3.1824209759912225</v>
      </c>
      <c r="AG36" s="1">
        <f t="shared" ca="1" si="19"/>
        <v>3.1824209759912225</v>
      </c>
      <c r="AH36" s="1">
        <f ca="1">'Aerodynamics-Cruise'!AN36</f>
        <v>-0.34314790731950845</v>
      </c>
      <c r="AI36" s="12">
        <v>0</v>
      </c>
      <c r="AJ36" s="1">
        <f t="shared" ca="1" si="20"/>
        <v>0.90801426307467625</v>
      </c>
      <c r="AK36" s="16">
        <f t="shared" ca="1" si="21"/>
        <v>-4.0339170420975003</v>
      </c>
      <c r="AL36" s="1">
        <f t="shared" ca="1" si="22"/>
        <v>-4.9419313051721767</v>
      </c>
      <c r="AM36" s="1">
        <f t="shared" ca="1" si="23"/>
        <v>0</v>
      </c>
      <c r="AN36" s="1"/>
      <c r="AO36" s="1">
        <f ca="1">(U36*'Aerodynamics-Cruise'!$B$6+K36/F36*G36*V36*AB36)/(U36+K36/F36*V36*AB36)</f>
        <v>0.45000001076152568</v>
      </c>
      <c r="AP36" s="1">
        <f t="shared" ca="1" si="1"/>
        <v>0.15000001076152569</v>
      </c>
      <c r="AQ36" s="9" t="s">
        <v>186</v>
      </c>
      <c r="AR36" s="12">
        <f t="shared" si="24"/>
        <v>0.15</v>
      </c>
      <c r="AS36" s="1">
        <f ca="1">'Aerodynamics-Cruise'!E36/ISA!$B$5/(ISA!E36*F36*(G36-B36)*D36)</f>
        <v>6.8714927019360568</v>
      </c>
      <c r="AT36" s="1">
        <f ca="1">(U36*'Aerodynamics-Cruise'!$B$6+K36/F36*G36*V36*(AB36+U36/(2*AS36)))/(U36+K36/F36*V36*(AB36+U36/(2*AS36)))</f>
        <v>0.53544551583560285</v>
      </c>
      <c r="AU36" s="1">
        <f t="shared" ca="1" si="25"/>
        <v>0.23544551583560286</v>
      </c>
      <c r="AV36" s="9" t="s">
        <v>186</v>
      </c>
      <c r="AW36" s="12">
        <v>0</v>
      </c>
      <c r="AX36" s="1">
        <f ca="1">(-'Aerodynamics-Takeoff'!AM36+'Aerodynamics-Takeoff'!AG36*'Aerodynamics-Takeoff'!$B$6+K36/F36*G36*(V36*RADIANS(AL36-AI36)+W36*RADIANS($D$9)))/('Aerodynamics-Takeoff'!AG36+K36/F36*(V36*RADIANS(AL36-AI36)+W36*RADIANS($D$9)))</f>
        <v>0.10637638104616275</v>
      </c>
      <c r="AY36" s="9" t="s">
        <v>187</v>
      </c>
      <c r="AZ36" s="1">
        <f t="shared" si="26"/>
        <v>0.3</v>
      </c>
      <c r="BA36" s="9" t="s">
        <v>187</v>
      </c>
      <c r="BB36" s="1">
        <f t="shared" ca="1" si="27"/>
        <v>0.30000001076152571</v>
      </c>
      <c r="BC36" s="1">
        <f t="shared" ca="1" si="28"/>
        <v>1.0000000107615257</v>
      </c>
      <c r="BE36" s="16">
        <f t="shared" si="39"/>
        <v>0.6</v>
      </c>
      <c r="BF36" s="16">
        <f t="shared" si="40"/>
        <v>0</v>
      </c>
      <c r="BG36" s="138">
        <f t="shared" ca="1" si="29"/>
        <v>1.6778858174567819</v>
      </c>
      <c r="BH36" s="138">
        <f t="shared" ca="1" si="30"/>
        <v>1.6778858174882134</v>
      </c>
      <c r="BI36" s="10">
        <f ca="1">AD36^2*(1/(4*PI()*E36/D36)-(TAN(RADIANS(BF36))/(PI()*E36/D36*(E36/D36+4*COS(RADIANS(BF36))))*(COS(RADIANS(BF36))-E36/D36/2-(E36/D36)^2/(8*COS(RADIANS(BF36)))+6*('Aerodynamics-Takeoff'!$B$6-B36)*D36*SIN(RADIANS(BF36))/(E36/D36))))</f>
        <v>7.9966216043965838E-3</v>
      </c>
      <c r="BJ36" s="10">
        <f t="shared" si="2"/>
        <v>-5.41291810841984E-3</v>
      </c>
      <c r="BK36" s="10">
        <f t="shared" ca="1" si="31"/>
        <v>2.5837034959767437E-3</v>
      </c>
      <c r="BL36" s="10">
        <f t="shared" ca="1" si="3"/>
        <v>6.7416297712620712E-2</v>
      </c>
      <c r="BM36" s="45">
        <v>0.04</v>
      </c>
      <c r="BN36" s="9" t="s">
        <v>187</v>
      </c>
      <c r="BO36" s="10">
        <f t="shared" ca="1" si="32"/>
        <v>7.0000001208597451E-2</v>
      </c>
      <c r="BP36" s="42">
        <f t="shared" si="41"/>
        <v>7.0000000000000007E-2</v>
      </c>
      <c r="BQ36" s="9" t="s">
        <v>187</v>
      </c>
      <c r="BR36" s="45">
        <v>0.1</v>
      </c>
      <c r="BS36" s="1">
        <f t="shared" ca="1" si="33"/>
        <v>1.0000000012085974</v>
      </c>
      <c r="BT36" s="10">
        <f t="shared" ca="1" si="4"/>
        <v>-2.973226237296157E-2</v>
      </c>
      <c r="BU36" s="10">
        <f t="shared" ca="1" si="34"/>
        <v>-2.973226237296157E-2</v>
      </c>
      <c r="BV36" s="10">
        <f t="shared" ca="1" si="5"/>
        <v>-5.2677375896882121E-3</v>
      </c>
      <c r="BW36" s="45">
        <f t="shared" si="42"/>
        <v>-0.05</v>
      </c>
      <c r="BX36" s="9" t="s">
        <v>187</v>
      </c>
      <c r="BY36" s="10">
        <f t="shared" ca="1" si="35"/>
        <v>-3.4999999962649783E-2</v>
      </c>
      <c r="BZ36" s="10">
        <f t="shared" si="43"/>
        <v>-3.5000000000000003E-2</v>
      </c>
      <c r="CA36" s="9" t="s">
        <v>187</v>
      </c>
      <c r="CB36" s="45">
        <f t="shared" si="44"/>
        <v>-0.02</v>
      </c>
      <c r="CC36" s="1">
        <f t="shared" ca="1" si="36"/>
        <v>0.99999999996264977</v>
      </c>
    </row>
    <row r="37" spans="2:81">
      <c r="B37" s="16">
        <f>Weight!G37</f>
        <v>0.3</v>
      </c>
      <c r="D37" s="31">
        <f>'Aerodynamics-Takeoff'!L37</f>
        <v>0.33333333333333326</v>
      </c>
      <c r="E37" s="31">
        <f>'Aerodynamics-Takeoff'!M37</f>
        <v>2.7631578947368425</v>
      </c>
      <c r="F37" s="16">
        <f t="shared" si="37"/>
        <v>0.92105263157894723</v>
      </c>
      <c r="G37" s="32">
        <f>Main!D37</f>
        <v>5.6500000000000012</v>
      </c>
      <c r="H37" s="49">
        <f t="shared" ca="1" si="6"/>
        <v>0.31845692573760426</v>
      </c>
      <c r="I37" s="49">
        <f t="shared" ca="1" si="38"/>
        <v>0.31845692556380739</v>
      </c>
      <c r="J37" s="1">
        <f t="shared" si="7"/>
        <v>1.7833333333333334</v>
      </c>
      <c r="K37" s="1">
        <f t="shared" ca="1" si="8"/>
        <v>5.4825343830871343E-2</v>
      </c>
      <c r="L37" s="1">
        <f t="shared" ca="1" si="9"/>
        <v>2.7412671915435671E-2</v>
      </c>
      <c r="M37" s="32">
        <f>Main!F37</f>
        <v>5.9500000000000011</v>
      </c>
      <c r="N37" s="49">
        <f t="shared" ca="1" si="10"/>
        <v>1.6695065438430325E-2</v>
      </c>
      <c r="O37" s="49">
        <f t="shared" ca="1" si="0"/>
        <v>1.6695065437373393E-2</v>
      </c>
      <c r="P37" s="1">
        <f t="shared" si="11"/>
        <v>1.8833333333333333</v>
      </c>
      <c r="Q37" s="1">
        <f t="shared" ca="1" si="12"/>
        <v>2.2560622712070006E-2</v>
      </c>
      <c r="R37" s="1">
        <f t="shared" ca="1" si="13"/>
        <v>1.1280311356035003E-2</v>
      </c>
      <c r="S37" s="1">
        <f ca="1">SQRT(Q37*'Aerodynamics-Cruise'!T37)/2</f>
        <v>0.1528952616462928</v>
      </c>
      <c r="U37" s="1">
        <f ca="1">'Aerodynamics-Cruise'!BP37</f>
        <v>4.464132418246396</v>
      </c>
      <c r="V37" s="1">
        <f>'Aerodynamics-Cruise'!BS37</f>
        <v>4.0111960541300551</v>
      </c>
      <c r="W37" s="1">
        <f t="shared" si="14"/>
        <v>2.8363439305440838</v>
      </c>
      <c r="X37" s="1">
        <f>'Aerodynamics-Cruise'!BW37</f>
        <v>4.0334992312104214</v>
      </c>
      <c r="Y37" s="1">
        <f t="shared" si="15"/>
        <v>2.8521146582996155</v>
      </c>
      <c r="AA37" s="1">
        <f>4.44*((1/'Aerodynamics-Constants'!I37-1/(1+'Aerodynamics-Constants'!I37^1.7))*(10-3*BE37)/7*((1-ABS($D$7*D37/E37))/(2*(G37-'Aerodynamics-Cruise'!$B$6)*D37/E37)^(1/3))*SQRT(COS(RADIANS(BF37))))^1.19</f>
        <v>0.28089395556095026</v>
      </c>
      <c r="AB37" s="1">
        <f t="shared" si="16"/>
        <v>0.7191060444390498</v>
      </c>
      <c r="AC37" s="12">
        <f t="shared" ca="1" si="17"/>
        <v>0</v>
      </c>
      <c r="AD37" s="1">
        <f ca="1">'Aerodynamics-Cruise'!AF37</f>
        <v>0.89957391153835953</v>
      </c>
      <c r="AE37" s="16">
        <f ca="1">'Airfoil-Cruise'!K37</f>
        <v>-8.3713247603876937</v>
      </c>
      <c r="AF37" s="16">
        <f t="shared" ca="1" si="18"/>
        <v>3.1744323234645719</v>
      </c>
      <c r="AG37" s="1">
        <f t="shared" ca="1" si="19"/>
        <v>3.1744323234645719</v>
      </c>
      <c r="AH37" s="1">
        <f ca="1">'Aerodynamics-Cruise'!AN37</f>
        <v>-0.34548252988254824</v>
      </c>
      <c r="AI37" s="12">
        <v>0</v>
      </c>
      <c r="AJ37" s="1">
        <f t="shared" ca="1" si="20"/>
        <v>0.8916788519985015</v>
      </c>
      <c r="AK37" s="16">
        <f t="shared" ca="1" si="21"/>
        <v>-4.0431811225946417</v>
      </c>
      <c r="AL37" s="1">
        <f t="shared" ca="1" si="22"/>
        <v>-4.9348599745931434</v>
      </c>
      <c r="AM37" s="1">
        <f t="shared" ca="1" si="23"/>
        <v>0</v>
      </c>
      <c r="AN37" s="1"/>
      <c r="AO37" s="1">
        <f ca="1">(U37*'Aerodynamics-Cruise'!$B$6+K37/F37*G37*V37*AB37)/(U37+K37/F37*V37*AB37)</f>
        <v>0.45000001080854696</v>
      </c>
      <c r="AP37" s="1">
        <f t="shared" ca="1" si="1"/>
        <v>0.15000001080854697</v>
      </c>
      <c r="AQ37" s="9" t="s">
        <v>186</v>
      </c>
      <c r="AR37" s="12">
        <f t="shared" si="24"/>
        <v>0.15</v>
      </c>
      <c r="AS37" s="1">
        <f ca="1">'Aerodynamics-Cruise'!E37/ISA!$B$5/(ISA!E37*F37*(G37-B37)*D37)</f>
        <v>6.6793612409459353</v>
      </c>
      <c r="AT37" s="1">
        <f ca="1">(U37*'Aerodynamics-Cruise'!$B$6+K37/F37*G37*V37*(AB37+U37/(2*AS37)))/(U37+K37/F37*V37*(AB37+U37/(2*AS37)))</f>
        <v>0.53798479988717141</v>
      </c>
      <c r="AU37" s="1">
        <f t="shared" ca="1" si="25"/>
        <v>0.23798479988717142</v>
      </c>
      <c r="AV37" s="9" t="s">
        <v>186</v>
      </c>
      <c r="AW37" s="12">
        <v>0</v>
      </c>
      <c r="AX37" s="1">
        <f ca="1">(-'Aerodynamics-Takeoff'!AM37+'Aerodynamics-Takeoff'!AG37*'Aerodynamics-Takeoff'!$B$6+K37/F37*G37*(V37*RADIANS(AL37-AI37)+W37*RADIANS($D$9)))/('Aerodynamics-Takeoff'!AG37+K37/F37*(V37*RADIANS(AL37-AI37)+W37*RADIANS($D$9)))</f>
        <v>0.10609023948371585</v>
      </c>
      <c r="AY37" s="9" t="s">
        <v>187</v>
      </c>
      <c r="AZ37" s="1">
        <f t="shared" si="26"/>
        <v>0.3</v>
      </c>
      <c r="BA37" s="9" t="s">
        <v>187</v>
      </c>
      <c r="BB37" s="1">
        <f t="shared" ca="1" si="27"/>
        <v>0.30000001080854699</v>
      </c>
      <c r="BC37" s="1">
        <f t="shared" ca="1" si="28"/>
        <v>1.0000000108085469</v>
      </c>
      <c r="BE37" s="16">
        <f t="shared" si="39"/>
        <v>0.6</v>
      </c>
      <c r="BF37" s="16">
        <f t="shared" si="40"/>
        <v>0</v>
      </c>
      <c r="BG37" s="138">
        <f t="shared" ca="1" si="29"/>
        <v>1.6540320764909175</v>
      </c>
      <c r="BH37" s="138">
        <f t="shared" ca="1" si="30"/>
        <v>1.6540320765250858</v>
      </c>
      <c r="BI37" s="10">
        <f ca="1">AD37^2*(1/(4*PI()*E37/D37)-(TAN(RADIANS(BF37))/(PI()*E37/D37*(E37/D37+4*COS(RADIANS(BF37))))*(COS(RADIANS(BF37))-E37/D37/2-(E37/D37)^2/(8*COS(RADIANS(BF37)))+6*('Aerodynamics-Takeoff'!$B$6-B37)*D37*SIN(RADIANS(BF37))/(E37/D37))))</f>
        <v>7.7684948618510653E-3</v>
      </c>
      <c r="BJ37" s="10">
        <f t="shared" si="2"/>
        <v>-5.1080272108843545E-3</v>
      </c>
      <c r="BK37" s="10">
        <f t="shared" ca="1" si="31"/>
        <v>2.6604676509667108E-3</v>
      </c>
      <c r="BL37" s="10">
        <f t="shared" ca="1" si="3"/>
        <v>6.7339533610916408E-2</v>
      </c>
      <c r="BM37" s="45">
        <v>0.04</v>
      </c>
      <c r="BN37" s="9" t="s">
        <v>187</v>
      </c>
      <c r="BO37" s="10">
        <f t="shared" ca="1" si="32"/>
        <v>7.0000001261883119E-2</v>
      </c>
      <c r="BP37" s="42">
        <f t="shared" si="41"/>
        <v>7.0000000000000007E-2</v>
      </c>
      <c r="BQ37" s="9" t="s">
        <v>187</v>
      </c>
      <c r="BR37" s="45">
        <v>0.1</v>
      </c>
      <c r="BS37" s="1">
        <f t="shared" ca="1" si="33"/>
        <v>1.000000001261883</v>
      </c>
      <c r="BT37" s="10">
        <f t="shared" ca="1" si="4"/>
        <v>-2.9533152731957259E-2</v>
      </c>
      <c r="BU37" s="10">
        <f t="shared" ca="1" si="34"/>
        <v>-2.9533152731957259E-2</v>
      </c>
      <c r="BV37" s="10">
        <f t="shared" ca="1" si="5"/>
        <v>-5.4668472268568462E-3</v>
      </c>
      <c r="BW37" s="45">
        <f t="shared" si="42"/>
        <v>-0.05</v>
      </c>
      <c r="BX37" s="9" t="s">
        <v>187</v>
      </c>
      <c r="BY37" s="10">
        <f t="shared" ca="1" si="35"/>
        <v>-3.4999999958814101E-2</v>
      </c>
      <c r="BZ37" s="10">
        <f t="shared" si="43"/>
        <v>-3.5000000000000003E-2</v>
      </c>
      <c r="CA37" s="9" t="s">
        <v>187</v>
      </c>
      <c r="CB37" s="45">
        <f t="shared" si="44"/>
        <v>-0.02</v>
      </c>
      <c r="CC37" s="1">
        <f t="shared" ca="1" si="36"/>
        <v>0.99999999995881406</v>
      </c>
    </row>
    <row r="38" spans="2:81">
      <c r="B38" s="16">
        <f>Weight!G38</f>
        <v>0.3</v>
      </c>
      <c r="D38" s="31">
        <f>'Aerodynamics-Takeoff'!L38</f>
        <v>0.33333333333333326</v>
      </c>
      <c r="E38" s="31">
        <f>'Aerodynamics-Takeoff'!M38</f>
        <v>2.8421052631578951</v>
      </c>
      <c r="F38" s="16">
        <f t="shared" si="37"/>
        <v>0.94736842105263153</v>
      </c>
      <c r="G38" s="32">
        <f>Main!D38</f>
        <v>5.6500000000000012</v>
      </c>
      <c r="H38" s="49">
        <f t="shared" ca="1" si="6"/>
        <v>0.31640464575784932</v>
      </c>
      <c r="I38" s="49">
        <f t="shared" ca="1" si="38"/>
        <v>0.31640464558428355</v>
      </c>
      <c r="J38" s="1">
        <f t="shared" si="7"/>
        <v>1.7833333333333334</v>
      </c>
      <c r="K38" s="1">
        <f t="shared" ca="1" si="8"/>
        <v>5.6028368161744085E-2</v>
      </c>
      <c r="L38" s="1">
        <f t="shared" ca="1" si="9"/>
        <v>2.8014184080872043E-2</v>
      </c>
      <c r="M38" s="32">
        <f>Main!F38</f>
        <v>5.9500000000000011</v>
      </c>
      <c r="N38" s="49">
        <f t="shared" ca="1" si="10"/>
        <v>1.6531258437377776E-2</v>
      </c>
      <c r="O38" s="49">
        <f t="shared" ca="1" si="0"/>
        <v>1.6531258436290691E-2</v>
      </c>
      <c r="P38" s="1">
        <f t="shared" si="11"/>
        <v>1.8833333333333333</v>
      </c>
      <c r="Q38" s="1">
        <f t="shared" ca="1" si="12"/>
        <v>2.3634030153895817E-2</v>
      </c>
      <c r="R38" s="1">
        <f t="shared" ca="1" si="13"/>
        <v>1.1817015076947908E-2</v>
      </c>
      <c r="S38" s="1">
        <f ca="1">SQRT(Q38*'Aerodynamics-Cruise'!T38)/2</f>
        <v>0.15871011485963141</v>
      </c>
      <c r="U38" s="1">
        <f ca="1">'Aerodynamics-Cruise'!BP38</f>
        <v>4.4967847538620438</v>
      </c>
      <c r="V38" s="1">
        <f>'Aerodynamics-Cruise'!BS38</f>
        <v>4.0426828290456038</v>
      </c>
      <c r="W38" s="1">
        <f t="shared" si="14"/>
        <v>2.858608442604563</v>
      </c>
      <c r="X38" s="1">
        <f>'Aerodynamics-Cruise'!BW38</f>
        <v>4.0695737230182569</v>
      </c>
      <c r="Y38" s="1">
        <f t="shared" si="15"/>
        <v>2.8776231760847946</v>
      </c>
      <c r="AA38" s="1">
        <f>4.44*((1/'Aerodynamics-Constants'!I38-1/(1+'Aerodynamics-Constants'!I38^1.7))*(10-3*BE38)/7*((1-ABS($D$7*D38/E38))/(2*(G38-'Aerodynamics-Cruise'!$B$6)*D38/E38)^(1/3))*SQRT(COS(RADIANS(BF38))))^1.19</f>
        <v>0.27661410409166087</v>
      </c>
      <c r="AB38" s="1">
        <f t="shared" si="16"/>
        <v>0.72338589590833913</v>
      </c>
      <c r="AC38" s="12">
        <f t="shared" ca="1" si="17"/>
        <v>0</v>
      </c>
      <c r="AD38" s="1">
        <f ca="1">'Aerodynamics-Cruise'!AF38</f>
        <v>0.89959251145336527</v>
      </c>
      <c r="AE38" s="16">
        <f ca="1">'Airfoil-Cruise'!K38</f>
        <v>-8.2951266592083392</v>
      </c>
      <c r="AF38" s="16">
        <f t="shared" ca="1" si="18"/>
        <v>3.1670306396449472</v>
      </c>
      <c r="AG38" s="1">
        <f t="shared" ca="1" si="19"/>
        <v>3.1670306396449472</v>
      </c>
      <c r="AH38" s="1">
        <f ca="1">'Aerodynamics-Cruise'!AN38</f>
        <v>-0.34772047705830811</v>
      </c>
      <c r="AI38" s="12">
        <v>0</v>
      </c>
      <c r="AJ38" s="1">
        <f t="shared" ca="1" si="20"/>
        <v>0.87604534301622672</v>
      </c>
      <c r="AK38" s="16">
        <f t="shared" ca="1" si="21"/>
        <v>-4.0520968408265805</v>
      </c>
      <c r="AL38" s="1">
        <f t="shared" ca="1" si="22"/>
        <v>-4.928142183842807</v>
      </c>
      <c r="AM38" s="1">
        <f t="shared" ca="1" si="23"/>
        <v>0</v>
      </c>
      <c r="AN38" s="1"/>
      <c r="AO38" s="1">
        <f ca="1">(U38*'Aerodynamics-Cruise'!$B$6+K38/F38*G38*V38*AB38)/(U38+K38/F38*V38*AB38)</f>
        <v>0.45000001086418623</v>
      </c>
      <c r="AP38" s="1">
        <f t="shared" ca="1" si="1"/>
        <v>0.15000001086418624</v>
      </c>
      <c r="AQ38" s="9" t="s">
        <v>186</v>
      </c>
      <c r="AR38" s="12">
        <f t="shared" si="24"/>
        <v>0.15</v>
      </c>
      <c r="AS38" s="1">
        <f ca="1">'Aerodynamics-Cruise'!E38/ISA!$B$5/(ISA!E38*F38*(G38-B38)*D38)</f>
        <v>6.4993185271878886</v>
      </c>
      <c r="AT38" s="1">
        <f ca="1">(U38*'Aerodynamics-Cruise'!$B$6+K38/F38*G38*V38*(AB38+U38/(2*AS38)))/(U38+K38/F38*V38*(AB38+U38/(2*AS38)))</f>
        <v>0.54050007803833289</v>
      </c>
      <c r="AU38" s="1">
        <f t="shared" ca="1" si="25"/>
        <v>0.2405000780383329</v>
      </c>
      <c r="AV38" s="9" t="s">
        <v>186</v>
      </c>
      <c r="AW38" s="12">
        <v>0</v>
      </c>
      <c r="AX38" s="1">
        <f ca="1">(-'Aerodynamics-Takeoff'!AM38+'Aerodynamics-Takeoff'!AG38*'Aerodynamics-Takeoff'!$B$6+K38/F38*G38*(V38*RADIANS(AL38-AI38)+W38*RADIANS($D$9)))/('Aerodynamics-Takeoff'!AG38+K38/F38*(V38*RADIANS(AL38-AI38)+W38*RADIANS($D$9)))</f>
        <v>0.10581712456402274</v>
      </c>
      <c r="AY38" s="9" t="s">
        <v>187</v>
      </c>
      <c r="AZ38" s="1">
        <f t="shared" si="26"/>
        <v>0.3</v>
      </c>
      <c r="BA38" s="9" t="s">
        <v>187</v>
      </c>
      <c r="BB38" s="1">
        <f t="shared" ca="1" si="27"/>
        <v>0.30000001086418626</v>
      </c>
      <c r="BC38" s="1">
        <f t="shared" ca="1" si="28"/>
        <v>1.0000000108641862</v>
      </c>
      <c r="BE38" s="16">
        <f t="shared" si="39"/>
        <v>0.6</v>
      </c>
      <c r="BF38" s="16">
        <f t="shared" si="40"/>
        <v>0</v>
      </c>
      <c r="BG38" s="138">
        <f t="shared" ca="1" si="29"/>
        <v>1.6307634492514325</v>
      </c>
      <c r="BH38" s="138">
        <f t="shared" ca="1" si="30"/>
        <v>1.630763449288342</v>
      </c>
      <c r="BI38" s="10">
        <f ca="1">AD38^2*(1/(4*PI()*E38/D38)-(TAN(RADIANS(BF38))/(PI()*E38/D38*(E38/D38+4*COS(RADIANS(BF38))))*(COS(RADIANS(BF38))-E38/D38/2-(E38/D38)^2/(8*COS(RADIANS(BF38)))+6*('Aerodynamics-Takeoff'!$B$6-B38)*D38*SIN(RADIANS(BF38))/(E38/D38))))</f>
        <v>7.5530156659821927E-3</v>
      </c>
      <c r="BJ38" s="10">
        <f t="shared" si="2"/>
        <v>-4.8281893004115239E-3</v>
      </c>
      <c r="BK38" s="10">
        <f t="shared" ca="1" si="31"/>
        <v>2.7248263655706689E-3</v>
      </c>
      <c r="BL38" s="10">
        <f t="shared" ca="1" si="3"/>
        <v>6.7275174945176444E-2</v>
      </c>
      <c r="BM38" s="45">
        <v>0.04</v>
      </c>
      <c r="BN38" s="9" t="s">
        <v>187</v>
      </c>
      <c r="BO38" s="10">
        <f t="shared" ca="1" si="32"/>
        <v>7.0000001310747115E-2</v>
      </c>
      <c r="BP38" s="42">
        <f t="shared" si="41"/>
        <v>7.0000000000000007E-2</v>
      </c>
      <c r="BQ38" s="9" t="s">
        <v>187</v>
      </c>
      <c r="BR38" s="45">
        <v>0.1</v>
      </c>
      <c r="BS38" s="1">
        <f t="shared" ca="1" si="33"/>
        <v>1.0000000013107471</v>
      </c>
      <c r="BT38" s="10">
        <f t="shared" ca="1" si="4"/>
        <v>-2.9330663277310081E-2</v>
      </c>
      <c r="BU38" s="10">
        <f t="shared" ca="1" si="34"/>
        <v>-2.9330663277310081E-2</v>
      </c>
      <c r="BV38" s="10">
        <f t="shared" ca="1" si="5"/>
        <v>-5.6693366775667714E-3</v>
      </c>
      <c r="BW38" s="45">
        <f t="shared" si="42"/>
        <v>-0.05</v>
      </c>
      <c r="BX38" s="9" t="s">
        <v>187</v>
      </c>
      <c r="BY38" s="10">
        <f t="shared" ca="1" si="35"/>
        <v>-3.4999999954876855E-2</v>
      </c>
      <c r="BZ38" s="10">
        <f t="shared" si="43"/>
        <v>-3.5000000000000003E-2</v>
      </c>
      <c r="CA38" s="9" t="s">
        <v>187</v>
      </c>
      <c r="CB38" s="45">
        <f t="shared" si="44"/>
        <v>-0.02</v>
      </c>
      <c r="CC38" s="1">
        <f t="shared" ca="1" si="36"/>
        <v>0.99999999995487687</v>
      </c>
    </row>
    <row r="39" spans="2:81">
      <c r="B39" s="16">
        <f>Weight!G39</f>
        <v>0.3</v>
      </c>
      <c r="D39" s="31">
        <f>'Aerodynamics-Takeoff'!L39</f>
        <v>0.33333333333333326</v>
      </c>
      <c r="E39" s="31">
        <f>'Aerodynamics-Takeoff'!M39</f>
        <v>2.9210526315789478</v>
      </c>
      <c r="F39" s="16">
        <f t="shared" si="37"/>
        <v>0.97368421052631571</v>
      </c>
      <c r="G39" s="32">
        <f>Main!D39</f>
        <v>5.6500000000000012</v>
      </c>
      <c r="H39" s="49">
        <f t="shared" ca="1" si="6"/>
        <v>0.31446097894560193</v>
      </c>
      <c r="I39" s="49">
        <f t="shared" ca="1" si="38"/>
        <v>0.31446097877208479</v>
      </c>
      <c r="J39" s="1">
        <f t="shared" si="7"/>
        <v>1.7833333333333334</v>
      </c>
      <c r="K39" s="1">
        <f t="shared" ca="1" si="8"/>
        <v>5.7230970098314148E-2</v>
      </c>
      <c r="L39" s="1">
        <f t="shared" ca="1" si="9"/>
        <v>2.8615485049157074E-2</v>
      </c>
      <c r="M39" s="32">
        <f>Main!F39</f>
        <v>5.9500000000000011</v>
      </c>
      <c r="N39" s="49">
        <f t="shared" ca="1" si="10"/>
        <v>1.6378345339837751E-2</v>
      </c>
      <c r="O39" s="49">
        <f t="shared" ca="1" si="0"/>
        <v>1.637834533872401E-2</v>
      </c>
      <c r="P39" s="1">
        <f t="shared" si="11"/>
        <v>1.8833333333333333</v>
      </c>
      <c r="Q39" s="1">
        <f t="shared" ca="1" si="12"/>
        <v>2.4734340809960158E-2</v>
      </c>
      <c r="R39" s="1">
        <f t="shared" ca="1" si="13"/>
        <v>1.2367170404980079E-2</v>
      </c>
      <c r="S39" s="1">
        <f ca="1">SQRT(Q39*'Aerodynamics-Cruise'!T39)/2</f>
        <v>0.16460214683438751</v>
      </c>
      <c r="U39" s="1">
        <f ca="1">'Aerodynamics-Cruise'!BP39</f>
        <v>4.5283577376734971</v>
      </c>
      <c r="V39" s="1">
        <f>'Aerodynamics-Cruise'!BS39</f>
        <v>4.07292669268785</v>
      </c>
      <c r="W39" s="1">
        <f t="shared" si="14"/>
        <v>2.8799940836752764</v>
      </c>
      <c r="X39" s="1">
        <f>'Aerodynamics-Cruise'!BW39</f>
        <v>4.1042957459386722</v>
      </c>
      <c r="Y39" s="1">
        <f t="shared" si="15"/>
        <v>2.9021753539483348</v>
      </c>
      <c r="AA39" s="1">
        <f>4.44*((1/'Aerodynamics-Constants'!I39-1/(1+'Aerodynamics-Constants'!I39^1.7))*(10-3*BE39)/7*((1-ABS($D$7*D39/E39))/(2*(G39-'Aerodynamics-Cruise'!$B$6)*D39/E39)^(1/3))*SQRT(COS(RADIANS(BF39))))^1.19</f>
        <v>0.27247515056626126</v>
      </c>
      <c r="AB39" s="1">
        <f t="shared" si="16"/>
        <v>0.72752484943373874</v>
      </c>
      <c r="AC39" s="12">
        <f t="shared" ca="1" si="17"/>
        <v>0</v>
      </c>
      <c r="AD39" s="1">
        <f ca="1">'Aerodynamics-Cruise'!AF39</f>
        <v>0.89960971260308598</v>
      </c>
      <c r="AE39" s="16">
        <f ca="1">'Airfoil-Cruise'!K39</f>
        <v>-8.2222909309134753</v>
      </c>
      <c r="AF39" s="16">
        <f t="shared" ca="1" si="18"/>
        <v>3.1601666236910972</v>
      </c>
      <c r="AG39" s="1">
        <f t="shared" ca="1" si="19"/>
        <v>3.1601666236910972</v>
      </c>
      <c r="AH39" s="1">
        <f ca="1">'Aerodynamics-Cruise'!AN39</f>
        <v>-0.34986698406091055</v>
      </c>
      <c r="AI39" s="12">
        <v>0</v>
      </c>
      <c r="AJ39" s="1">
        <f t="shared" ca="1" si="20"/>
        <v>0.86106687660470516</v>
      </c>
      <c r="AK39" s="16">
        <f t="shared" ca="1" si="21"/>
        <v>-4.06067689394966</v>
      </c>
      <c r="AL39" s="1">
        <f t="shared" ca="1" si="22"/>
        <v>-4.9217437705543654</v>
      </c>
      <c r="AM39" s="1">
        <f t="shared" ca="1" si="23"/>
        <v>0</v>
      </c>
      <c r="AN39" s="1"/>
      <c r="AO39" s="1">
        <f ca="1">(U39*'Aerodynamics-Cruise'!$B$6+K39/F39*G39*V39*AB39)/(U39+K39/F39*V39*AB39)</f>
        <v>0.45000001092826847</v>
      </c>
      <c r="AP39" s="1">
        <f t="shared" ca="1" si="1"/>
        <v>0.15000001092826848</v>
      </c>
      <c r="AQ39" s="9" t="s">
        <v>186</v>
      </c>
      <c r="AR39" s="12">
        <f t="shared" si="24"/>
        <v>0.15</v>
      </c>
      <c r="AS39" s="1">
        <f ca="1">'Aerodynamics-Cruise'!E39/ISA!$B$5/(ISA!E39*F39*(G39-B39)*D39)</f>
        <v>6.3302615697695082</v>
      </c>
      <c r="AT39" s="1">
        <f ca="1">(U39*'Aerodynamics-Cruise'!$B$6+K39/F39*G39*V39*(AB39+U39/(2*AS39)))/(U39+K39/F39*V39*(AB39+U39/(2*AS39)))</f>
        <v>0.54299168581990376</v>
      </c>
      <c r="AU39" s="1">
        <f t="shared" ca="1" si="25"/>
        <v>0.24299168581990377</v>
      </c>
      <c r="AV39" s="9" t="s">
        <v>186</v>
      </c>
      <c r="AW39" s="12">
        <v>0</v>
      </c>
      <c r="AX39" s="1">
        <f ca="1">(-'Aerodynamics-Takeoff'!AM39+'Aerodynamics-Takeoff'!AG39*'Aerodynamics-Takeoff'!$B$6+K39/F39*G39*(V39*RADIANS(AL39-AI39)+W39*RADIANS($D$9)))/('Aerodynamics-Takeoff'!AG39+K39/F39*(V39*RADIANS(AL39-AI39)+W39*RADIANS($D$9)))</f>
        <v>0.1055558463900093</v>
      </c>
      <c r="AY39" s="9" t="s">
        <v>187</v>
      </c>
      <c r="AZ39" s="1">
        <f t="shared" si="26"/>
        <v>0.3</v>
      </c>
      <c r="BA39" s="9" t="s">
        <v>187</v>
      </c>
      <c r="BB39" s="1">
        <f t="shared" ca="1" si="27"/>
        <v>0.30000001092826845</v>
      </c>
      <c r="BC39" s="1">
        <f t="shared" ca="1" si="28"/>
        <v>1.0000000109282685</v>
      </c>
      <c r="BE39" s="16">
        <f t="shared" si="39"/>
        <v>0.6</v>
      </c>
      <c r="BF39" s="16">
        <f t="shared" si="40"/>
        <v>0</v>
      </c>
      <c r="BG39" s="138">
        <f t="shared" ca="1" si="29"/>
        <v>1.6080315045293321</v>
      </c>
      <c r="BH39" s="138">
        <f t="shared" ca="1" si="30"/>
        <v>1.6080315045689879</v>
      </c>
      <c r="BI39" s="10">
        <f ca="1">AD39^2*(1/(4*PI()*E39/D39)-(TAN(RADIANS(BF39))/(PI()*E39/D39*(E39/D39+4*COS(RADIANS(BF39))))*(COS(RADIANS(BF39))-E39/D39/2-(E39/D39)^2/(8*COS(RADIANS(BF39)))+6*('Aerodynamics-Takeoff'!$B$6-B39)*D39*SIN(RADIANS(BF39))/(E39/D39))))</f>
        <v>7.3491611466769777E-3</v>
      </c>
      <c r="BJ39" s="10">
        <f t="shared" si="2"/>
        <v>-4.5707328950572203E-3</v>
      </c>
      <c r="BK39" s="10">
        <f t="shared" ca="1" si="31"/>
        <v>2.7784282516197575E-3</v>
      </c>
      <c r="BL39" s="10">
        <f t="shared" ca="1" si="3"/>
        <v>6.722157310381055E-2</v>
      </c>
      <c r="BM39" s="45">
        <v>0.04</v>
      </c>
      <c r="BN39" s="9" t="s">
        <v>187</v>
      </c>
      <c r="BO39" s="10">
        <f t="shared" ca="1" si="32"/>
        <v>7.0000001355430302E-2</v>
      </c>
      <c r="BP39" s="42">
        <f t="shared" si="41"/>
        <v>7.0000000000000007E-2</v>
      </c>
      <c r="BQ39" s="9" t="s">
        <v>187</v>
      </c>
      <c r="BR39" s="45">
        <v>0.1</v>
      </c>
      <c r="BS39" s="1">
        <f t="shared" ca="1" si="33"/>
        <v>1.0000000013554302</v>
      </c>
      <c r="BT39" s="10">
        <f t="shared" ca="1" si="4"/>
        <v>-2.9124876811116425E-2</v>
      </c>
      <c r="BU39" s="10">
        <f t="shared" ca="1" si="34"/>
        <v>-2.9124876811116425E-2</v>
      </c>
      <c r="BV39" s="10">
        <f t="shared" ca="1" si="5"/>
        <v>-5.8751231397196147E-3</v>
      </c>
      <c r="BW39" s="45">
        <f t="shared" si="42"/>
        <v>-0.05</v>
      </c>
      <c r="BX39" s="9" t="s">
        <v>187</v>
      </c>
      <c r="BY39" s="10">
        <f t="shared" ca="1" si="35"/>
        <v>-3.4999999950836039E-2</v>
      </c>
      <c r="BZ39" s="10">
        <f t="shared" si="43"/>
        <v>-3.5000000000000003E-2</v>
      </c>
      <c r="CA39" s="9" t="s">
        <v>187</v>
      </c>
      <c r="CB39" s="45">
        <f t="shared" si="44"/>
        <v>-0.02</v>
      </c>
      <c r="CC39" s="1">
        <f t="shared" ca="1" si="36"/>
        <v>0.99999999995083599</v>
      </c>
    </row>
    <row r="40" spans="2:81">
      <c r="B40" s="16">
        <f>Weight!G40</f>
        <v>0.3</v>
      </c>
      <c r="D40" s="31">
        <f>'Aerodynamics-Takeoff'!L40</f>
        <v>0.33333333333333326</v>
      </c>
      <c r="E40" s="31">
        <f>'Aerodynamics-Takeoff'!M40</f>
        <v>3</v>
      </c>
      <c r="F40" s="16">
        <f t="shared" si="37"/>
        <v>0.99999999999999978</v>
      </c>
      <c r="G40" s="32">
        <f>Main!D40</f>
        <v>5.6500000000000012</v>
      </c>
      <c r="H40" s="49">
        <f t="shared" ca="1" si="6"/>
        <v>0.32103197307949699</v>
      </c>
      <c r="I40" s="49">
        <f t="shared" ca="1" si="38"/>
        <v>0.32103338822611116</v>
      </c>
      <c r="J40" s="1">
        <f t="shared" si="7"/>
        <v>1.7833333333333334</v>
      </c>
      <c r="K40" s="1">
        <f t="shared" ca="1" si="8"/>
        <v>6.0005976276541466E-2</v>
      </c>
      <c r="L40" s="1">
        <f t="shared" ca="1" si="9"/>
        <v>3.0002988138270733E-2</v>
      </c>
      <c r="M40" s="32">
        <f>Main!F40</f>
        <v>5.9500000000000011</v>
      </c>
      <c r="N40" s="49">
        <f t="shared" ca="1" si="10"/>
        <v>1.6235268898875287E-2</v>
      </c>
      <c r="O40" s="49">
        <f t="shared" ca="1" si="0"/>
        <v>1.6235268897738079E-2</v>
      </c>
      <c r="P40" s="1">
        <f t="shared" si="11"/>
        <v>1.8833333333333333</v>
      </c>
      <c r="Q40" s="1">
        <f t="shared" ca="1" si="12"/>
        <v>2.5861490281394253E-2</v>
      </c>
      <c r="R40" s="1">
        <f t="shared" ca="1" si="13"/>
        <v>1.2930745140697126E-2</v>
      </c>
      <c r="S40" s="1">
        <f ca="1">SQRT(Q40*'Aerodynamics-Cruise'!T40)/2</f>
        <v>0.17057015145261653</v>
      </c>
      <c r="U40" s="1">
        <f ca="1">'Aerodynamics-Cruise'!BP40</f>
        <v>4.6837474418984737</v>
      </c>
      <c r="V40" s="1">
        <f>'Aerodynamics-Cruise'!BS40</f>
        <v>4.101998731574878</v>
      </c>
      <c r="W40" s="1">
        <f t="shared" si="14"/>
        <v>2.9005511195152129</v>
      </c>
      <c r="X40" s="1">
        <f>'Aerodynamics-Cruise'!BW40</f>
        <v>4.1377398406157262</v>
      </c>
      <c r="Y40" s="1">
        <f t="shared" si="15"/>
        <v>2.9258239000851245</v>
      </c>
      <c r="AA40" s="1">
        <f>4.44*((1/'Aerodynamics-Constants'!I40-1/(1+'Aerodynamics-Constants'!I40^1.7))*(10-3*BE40)/7*((1-ABS($D$7*D40/E40))/(2*(G40-'Aerodynamics-Cruise'!$B$6)*D40/E40)^(1/3))*SQRT(COS(RADIANS(BF40))))^1.19</f>
        <v>0.26847036566971427</v>
      </c>
      <c r="AB40" s="1">
        <f t="shared" si="16"/>
        <v>0.73152963433028573</v>
      </c>
      <c r="AC40" s="12">
        <f t="shared" ca="1" si="17"/>
        <v>0</v>
      </c>
      <c r="AD40" s="1">
        <f ca="1">'Aerodynamics-Cruise'!AF40</f>
        <v>0.89962565443801656</v>
      </c>
      <c r="AE40" s="16">
        <f ca="1">'Airfoil-Cruise'!K40</f>
        <v>-7.6543336665765676</v>
      </c>
      <c r="AF40" s="16">
        <f t="shared" ca="1" si="18"/>
        <v>3.3506903618113153</v>
      </c>
      <c r="AG40" s="1">
        <f t="shared" ca="1" si="19"/>
        <v>3.3506903618113153</v>
      </c>
      <c r="AH40" s="1">
        <f ca="1">'Aerodynamics-Cruise'!AN40</f>
        <v>-0.3427048178863647</v>
      </c>
      <c r="AI40" s="12">
        <v>0</v>
      </c>
      <c r="AJ40" s="1">
        <f t="shared" ca="1" si="20"/>
        <v>0.89956106668147107</v>
      </c>
      <c r="AK40" s="16">
        <f t="shared" ca="1" si="21"/>
        <v>-3.8872613992897751</v>
      </c>
      <c r="AL40" s="1">
        <f t="shared" ca="1" si="22"/>
        <v>-4.7868224659712464</v>
      </c>
      <c r="AM40" s="1">
        <f t="shared" ca="1" si="23"/>
        <v>0</v>
      </c>
      <c r="AN40" s="1"/>
      <c r="AO40" s="1">
        <f ca="1">(U40*'Aerodynamics-Cruise'!$B$6+K40/F40*G40*V40*AB40)/(U40+K40/F40*V40*AB40)</f>
        <v>0.44991213832471083</v>
      </c>
      <c r="AP40" s="1">
        <f t="shared" ca="1" si="1"/>
        <v>0.14991213832471084</v>
      </c>
      <c r="AQ40" s="9" t="s">
        <v>186</v>
      </c>
      <c r="AR40" s="12">
        <f t="shared" si="24"/>
        <v>0.15</v>
      </c>
      <c r="AS40" s="1">
        <f ca="1">'Aerodynamics-Cruise'!E40/ISA!$B$5/(ISA!E40*F40*(G40-B40)*D40)</f>
        <v>5.1104021078573076</v>
      </c>
      <c r="AT40" s="1">
        <f ca="1">(U40*'Aerodynamics-Cruise'!$B$6+K40/F40*G40*V40*(AB40+U40/(2*AS40)))/(U40+K40/F40*V40*(AB40+U40/(2*AS40)))</f>
        <v>0.56777467827142669</v>
      </c>
      <c r="AU40" s="1">
        <f t="shared" ca="1" si="25"/>
        <v>0.2677746782714267</v>
      </c>
      <c r="AV40" s="9" t="s">
        <v>186</v>
      </c>
      <c r="AW40" s="12">
        <v>0</v>
      </c>
      <c r="AX40" s="1">
        <f ca="1">(-'Aerodynamics-Takeoff'!AM40+'Aerodynamics-Takeoff'!AG40*'Aerodynamics-Takeoff'!$B$6+K40/F40*G40*(V40*RADIANS(AL40-AI40)+W40*RADIANS($D$9)))/('Aerodynamics-Takeoff'!AG40+K40/F40*(V40*RADIANS(AL40-AI40)+W40*RADIANS($D$9)))</f>
        <v>0.10019922690481251</v>
      </c>
      <c r="AY40" s="9" t="s">
        <v>187</v>
      </c>
      <c r="AZ40" s="1">
        <f t="shared" si="26"/>
        <v>0.3</v>
      </c>
      <c r="BA40" s="9" t="s">
        <v>187</v>
      </c>
      <c r="BB40" s="1">
        <f t="shared" ca="1" si="27"/>
        <v>0.29991213832471086</v>
      </c>
      <c r="BC40" s="1">
        <f t="shared" ca="1" si="28"/>
        <v>0.99991213832471082</v>
      </c>
      <c r="BE40" s="16">
        <f t="shared" si="39"/>
        <v>0.6</v>
      </c>
      <c r="BF40" s="16">
        <f t="shared" si="40"/>
        <v>0</v>
      </c>
      <c r="BG40" s="138">
        <f t="shared" ca="1" si="29"/>
        <v>1.543928114319788</v>
      </c>
      <c r="BH40" s="138">
        <f t="shared" ca="1" si="30"/>
        <v>1.5439222805099582</v>
      </c>
      <c r="BI40" s="10">
        <f ca="1">AD40^2*(1/(4*PI()*E40/D40)-(TAN(RADIANS(BF40))/(PI()*E40/D40*(E40/D40+4*COS(RADIANS(BF40))))*(COS(RADIANS(BF40))-E40/D40/2-(E40/D40)^2/(8*COS(RADIANS(BF40)))+6*('Aerodynamics-Takeoff'!$B$6-B40)*D40*SIN(RADIANS(BF40))/(E40/D40))))</f>
        <v>7.1560157835357735E-3</v>
      </c>
      <c r="BJ40" s="10">
        <f t="shared" si="2"/>
        <v>-4.3333333333333357E-3</v>
      </c>
      <c r="BK40" s="10">
        <f t="shared" ca="1" si="31"/>
        <v>2.8226824502024378E-3</v>
      </c>
      <c r="BL40" s="10">
        <f t="shared" ca="1" si="3"/>
        <v>6.7177318945985678E-2</v>
      </c>
      <c r="BM40" s="45">
        <v>0.04</v>
      </c>
      <c r="BN40" s="9" t="s">
        <v>187</v>
      </c>
      <c r="BO40" s="10">
        <f t="shared" ca="1" si="32"/>
        <v>7.0000001396188116E-2</v>
      </c>
      <c r="BP40" s="42">
        <f t="shared" si="41"/>
        <v>7.0000000000000007E-2</v>
      </c>
      <c r="BQ40" s="9" t="s">
        <v>187</v>
      </c>
      <c r="BR40" s="45">
        <v>0.1</v>
      </c>
      <c r="BS40" s="1">
        <f t="shared" ca="1" si="33"/>
        <v>1.0000000013961881</v>
      </c>
      <c r="BT40" s="10">
        <f t="shared" ca="1" si="4"/>
        <v>-2.8923401074478484E-2</v>
      </c>
      <c r="BU40" s="10">
        <f t="shared" ca="1" si="34"/>
        <v>-2.8923401074478484E-2</v>
      </c>
      <c r="BV40" s="10">
        <f t="shared" ca="1" si="5"/>
        <v>-6.0841303363526568E-3</v>
      </c>
      <c r="BW40" s="45">
        <f t="shared" si="42"/>
        <v>-0.05</v>
      </c>
      <c r="BX40" s="9" t="s">
        <v>187</v>
      </c>
      <c r="BY40" s="10">
        <f t="shared" ca="1" si="35"/>
        <v>-3.5007531410831141E-2</v>
      </c>
      <c r="BZ40" s="10">
        <f t="shared" si="43"/>
        <v>-3.5000000000000003E-2</v>
      </c>
      <c r="CA40" s="9" t="s">
        <v>187</v>
      </c>
      <c r="CB40" s="45">
        <f t="shared" si="44"/>
        <v>-0.02</v>
      </c>
      <c r="CC40" s="1">
        <f t="shared" ca="1" si="36"/>
        <v>1.0000075314108312</v>
      </c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00"/>
  </sheetPr>
  <dimension ref="A1:BA40"/>
  <sheetViews>
    <sheetView zoomScale="90" workbookViewId="0">
      <selection activeCell="H21" sqref="H21"/>
    </sheetView>
  </sheetViews>
  <sheetFormatPr defaultRowHeight="12.75"/>
  <sheetData>
    <row r="1" spans="1:53">
      <c r="A1" s="17" t="s">
        <v>126</v>
      </c>
    </row>
    <row r="3" spans="1:53">
      <c r="A3" t="s">
        <v>79</v>
      </c>
      <c r="C3" t="s">
        <v>36</v>
      </c>
      <c r="F3" t="s">
        <v>112</v>
      </c>
      <c r="I3" t="s">
        <v>200</v>
      </c>
      <c r="M3" t="s">
        <v>205</v>
      </c>
      <c r="N3" s="8">
        <v>1</v>
      </c>
      <c r="O3" t="s">
        <v>238</v>
      </c>
      <c r="AD3" s="28"/>
      <c r="AE3" s="6"/>
      <c r="AF3" s="6"/>
      <c r="AG3" s="6"/>
      <c r="AH3" s="6"/>
      <c r="AI3" s="6"/>
      <c r="AJ3" s="6"/>
      <c r="AK3" s="6"/>
      <c r="AL3" s="6"/>
      <c r="AM3" s="6"/>
    </row>
    <row r="4" spans="1:53">
      <c r="A4" s="17"/>
      <c r="O4" s="46" t="s">
        <v>239</v>
      </c>
      <c r="AD4" s="28"/>
      <c r="AE4" s="6"/>
      <c r="AF4" s="6"/>
      <c r="AG4" s="6"/>
      <c r="AH4" s="6"/>
      <c r="AI4" s="6"/>
      <c r="AJ4" s="6"/>
      <c r="AK4" s="6"/>
      <c r="AL4" s="6"/>
      <c r="AM4" s="6"/>
    </row>
    <row r="5" spans="1:53">
      <c r="A5" s="17"/>
      <c r="C5" t="s">
        <v>128</v>
      </c>
      <c r="O5" s="46" t="s">
        <v>240</v>
      </c>
      <c r="AD5" s="28"/>
      <c r="AE5" s="6"/>
      <c r="AF5" s="6"/>
      <c r="AG5" s="6"/>
      <c r="AH5" s="6"/>
      <c r="AI5" s="6"/>
      <c r="AJ5" s="6"/>
      <c r="AK5" s="6"/>
      <c r="AL5" s="6"/>
      <c r="AM5" s="6"/>
    </row>
    <row r="6" spans="1:53">
      <c r="A6" s="17"/>
      <c r="C6" t="s">
        <v>147</v>
      </c>
      <c r="D6" s="12">
        <f>0.1^2</f>
        <v>1.0000000000000002E-2</v>
      </c>
      <c r="E6" t="s">
        <v>43</v>
      </c>
      <c r="F6" t="s">
        <v>248</v>
      </c>
      <c r="G6" s="8">
        <v>0.82</v>
      </c>
      <c r="I6" t="s">
        <v>201</v>
      </c>
      <c r="J6" s="44">
        <f>(1000/(0.5*9.8065))^(-1)</f>
        <v>4.9032500000000005E-3</v>
      </c>
      <c r="K6" t="s">
        <v>202</v>
      </c>
      <c r="O6" s="17"/>
      <c r="AD6" s="28"/>
      <c r="AE6" s="6"/>
      <c r="AF6" s="6"/>
      <c r="AG6" s="6"/>
      <c r="AH6" s="6"/>
      <c r="AI6" s="6"/>
      <c r="AJ6" s="6"/>
      <c r="AK6" s="6"/>
      <c r="AL6" s="6"/>
      <c r="AM6" s="6"/>
    </row>
    <row r="7" spans="1:53">
      <c r="A7" s="17"/>
      <c r="C7" t="s">
        <v>132</v>
      </c>
      <c r="D7" s="12">
        <f>0.1*1.5*4</f>
        <v>0.60000000000000009</v>
      </c>
      <c r="E7" t="s">
        <v>43</v>
      </c>
      <c r="I7" t="s">
        <v>251</v>
      </c>
      <c r="J7" s="12">
        <f>1/(0.0072*9.8065/0.85)</f>
        <v>12.038500541024378</v>
      </c>
      <c r="K7" t="s">
        <v>249</v>
      </c>
      <c r="O7" s="17"/>
      <c r="AD7" s="28"/>
      <c r="AE7" s="6"/>
      <c r="AF7" s="6"/>
      <c r="AG7" s="6"/>
      <c r="AH7" s="6"/>
      <c r="AI7" s="6"/>
      <c r="AJ7" s="6"/>
      <c r="AK7" s="6"/>
      <c r="AL7" s="6"/>
      <c r="AM7" s="6"/>
    </row>
    <row r="8" spans="1:53">
      <c r="A8" s="17"/>
      <c r="I8" t="s">
        <v>258</v>
      </c>
      <c r="J8" s="1">
        <f>1/J7</f>
        <v>8.3066823529411762E-2</v>
      </c>
      <c r="K8" t="s">
        <v>259</v>
      </c>
      <c r="O8" s="17"/>
      <c r="AD8" s="28"/>
      <c r="AE8" s="6"/>
      <c r="AF8" s="6"/>
      <c r="AG8" s="6"/>
      <c r="AH8" s="6"/>
      <c r="AI8" s="6"/>
      <c r="AJ8" s="6"/>
      <c r="AK8" s="6"/>
      <c r="AL8" s="6"/>
      <c r="AM8" s="6"/>
    </row>
    <row r="9" spans="1:53">
      <c r="A9" s="17"/>
      <c r="I9" t="s">
        <v>247</v>
      </c>
      <c r="J9" s="12">
        <v>0.7</v>
      </c>
      <c r="O9" s="17"/>
      <c r="AD9" s="28"/>
      <c r="AE9" s="6"/>
      <c r="AF9" s="6"/>
      <c r="AG9" s="6"/>
      <c r="AH9" s="6"/>
      <c r="AI9" s="6"/>
      <c r="AJ9" s="6"/>
      <c r="AK9" s="6"/>
      <c r="AL9" s="6"/>
      <c r="AM9" s="6"/>
    </row>
    <row r="10" spans="1:53">
      <c r="AC10" s="6" t="s">
        <v>143</v>
      </c>
      <c r="AD10" s="6" t="s">
        <v>143</v>
      </c>
      <c r="AE10" s="6" t="s">
        <v>143</v>
      </c>
      <c r="AF10" s="6" t="s">
        <v>143</v>
      </c>
      <c r="AG10" s="6" t="s">
        <v>143</v>
      </c>
      <c r="AH10" s="6"/>
      <c r="AI10" s="6"/>
      <c r="AK10" s="6" t="s">
        <v>143</v>
      </c>
      <c r="AL10" s="6" t="s">
        <v>143</v>
      </c>
      <c r="AM10" s="6" t="s">
        <v>143</v>
      </c>
      <c r="AN10" s="6" t="s">
        <v>143</v>
      </c>
      <c r="AO10" s="6" t="s">
        <v>143</v>
      </c>
      <c r="AP10" s="6"/>
      <c r="AQ10" s="6"/>
      <c r="AS10" s="6" t="s">
        <v>143</v>
      </c>
      <c r="AT10" s="6" t="s">
        <v>143</v>
      </c>
      <c r="AU10" s="6" t="s">
        <v>143</v>
      </c>
      <c r="AV10" s="6" t="s">
        <v>143</v>
      </c>
      <c r="AW10" s="6" t="s">
        <v>143</v>
      </c>
    </row>
    <row r="11" spans="1:53">
      <c r="AC11" s="16">
        <f ca="1">AC15/0.0254</f>
        <v>12.007874015748031</v>
      </c>
      <c r="AD11" s="16">
        <f t="shared" ref="AD11:AW11" ca="1" si="0">AD15/0.0254</f>
        <v>12.303149606299213</v>
      </c>
      <c r="AE11" s="16">
        <f t="shared" ca="1" si="0"/>
        <v>14.763779527559056</v>
      </c>
      <c r="AF11" s="16">
        <f t="shared" ca="1" si="0"/>
        <v>17.2244094488189</v>
      </c>
      <c r="AG11" s="16">
        <f t="shared" ca="1" si="0"/>
        <v>19.685039370078741</v>
      </c>
      <c r="AH11" s="16"/>
      <c r="AI11" s="16"/>
      <c r="AJ11" s="16"/>
      <c r="AK11" s="16">
        <f t="shared" ca="1" si="0"/>
        <v>12.007874015748031</v>
      </c>
      <c r="AL11" s="16">
        <f t="shared" ca="1" si="0"/>
        <v>12.303149606299213</v>
      </c>
      <c r="AM11" s="16">
        <f t="shared" ca="1" si="0"/>
        <v>14.763779527559056</v>
      </c>
      <c r="AN11" s="16">
        <f t="shared" ca="1" si="0"/>
        <v>17.2244094488189</v>
      </c>
      <c r="AO11" s="16">
        <f t="shared" ca="1" si="0"/>
        <v>19.685039370078741</v>
      </c>
      <c r="AP11" s="16"/>
      <c r="AQ11" s="16"/>
      <c r="AR11" s="16"/>
      <c r="AS11" s="16">
        <f t="shared" ca="1" si="0"/>
        <v>12.007874015748031</v>
      </c>
      <c r="AT11" s="16">
        <f t="shared" ca="1" si="0"/>
        <v>12.303149606299213</v>
      </c>
      <c r="AU11" s="16">
        <f t="shared" ca="1" si="0"/>
        <v>14.763779527559056</v>
      </c>
      <c r="AV11" s="16">
        <f t="shared" ca="1" si="0"/>
        <v>17.2244094488189</v>
      </c>
      <c r="AW11" s="16">
        <f t="shared" ca="1" si="0"/>
        <v>19.685039370078741</v>
      </c>
    </row>
    <row r="12" spans="1:53">
      <c r="AC12" s="6" t="s">
        <v>113</v>
      </c>
      <c r="AD12" s="6" t="s">
        <v>113</v>
      </c>
      <c r="AE12" s="6" t="s">
        <v>113</v>
      </c>
      <c r="AF12" s="6" t="s">
        <v>113</v>
      </c>
      <c r="AG12" s="6" t="s">
        <v>113</v>
      </c>
      <c r="AH12" s="6"/>
      <c r="AI12" s="6"/>
      <c r="AJ12" s="6"/>
      <c r="AK12" s="6" t="s">
        <v>113</v>
      </c>
      <c r="AL12" s="6" t="s">
        <v>113</v>
      </c>
      <c r="AM12" s="6" t="s">
        <v>113</v>
      </c>
      <c r="AN12" s="6" t="s">
        <v>113</v>
      </c>
      <c r="AO12" s="6" t="s">
        <v>113</v>
      </c>
      <c r="AP12" s="6"/>
      <c r="AQ12" s="6"/>
      <c r="AR12" s="6"/>
      <c r="AS12" s="6" t="s">
        <v>113</v>
      </c>
      <c r="AT12" s="6" t="s">
        <v>113</v>
      </c>
      <c r="AU12" s="6" t="s">
        <v>113</v>
      </c>
      <c r="AV12" s="6" t="s">
        <v>113</v>
      </c>
      <c r="AW12" s="6" t="s">
        <v>113</v>
      </c>
    </row>
    <row r="13" spans="1:53"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</row>
    <row r="14" spans="1:53">
      <c r="AA14" s="6" t="s">
        <v>144</v>
      </c>
      <c r="AC14" s="6" t="s">
        <v>143</v>
      </c>
      <c r="AD14" s="6" t="s">
        <v>143</v>
      </c>
      <c r="AE14" s="6" t="s">
        <v>143</v>
      </c>
      <c r="AF14" s="6" t="s">
        <v>143</v>
      </c>
      <c r="AG14" s="6" t="s">
        <v>143</v>
      </c>
      <c r="AH14" s="6"/>
      <c r="AI14" s="6" t="s">
        <v>144</v>
      </c>
      <c r="AK14" s="6" t="s">
        <v>143</v>
      </c>
      <c r="AL14" s="6" t="s">
        <v>143</v>
      </c>
      <c r="AM14" s="6" t="s">
        <v>143</v>
      </c>
      <c r="AN14" s="6" t="s">
        <v>143</v>
      </c>
      <c r="AO14" s="6" t="s">
        <v>143</v>
      </c>
      <c r="AP14" s="6"/>
      <c r="AQ14" s="6" t="s">
        <v>144</v>
      </c>
      <c r="AS14" s="6" t="s">
        <v>143</v>
      </c>
      <c r="AT14" s="6" t="s">
        <v>143</v>
      </c>
      <c r="AU14" s="6" t="s">
        <v>143</v>
      </c>
      <c r="AV14" s="6" t="s">
        <v>143</v>
      </c>
      <c r="AW14" s="6" t="s">
        <v>143</v>
      </c>
      <c r="AX14" s="6"/>
      <c r="AY14" s="6"/>
      <c r="AZ14" s="6"/>
      <c r="BA14" s="6"/>
    </row>
    <row r="15" spans="1:53">
      <c r="B15" t="s">
        <v>33</v>
      </c>
      <c r="E15" t="s">
        <v>39</v>
      </c>
      <c r="G15" t="s">
        <v>36</v>
      </c>
      <c r="J15" t="s">
        <v>130</v>
      </c>
      <c r="O15" t="s">
        <v>126</v>
      </c>
      <c r="AA15" s="1">
        <f ca="1">AB21</f>
        <v>4</v>
      </c>
      <c r="AC15" s="16">
        <f ca="1">IF(AND(Main!$C$43=1,Main!$K$43=1),Main!$K$21,AC15)</f>
        <v>0.30499999999999999</v>
      </c>
      <c r="AD15" s="16">
        <f ca="1">IF(AND(Main!$C$43=1,Main!$K$43=2),Main!$K$21,AD15)</f>
        <v>0.3125</v>
      </c>
      <c r="AE15" s="16">
        <f ca="1">IF(AND(Main!$C$43=1,Main!$K$43=3),Main!$K$21,AE15)</f>
        <v>0.375</v>
      </c>
      <c r="AF15" s="16">
        <f ca="1">IF(AND(Main!$C$43=1,Main!$K$43=4),Main!$K$21,AF15)</f>
        <v>0.4375</v>
      </c>
      <c r="AG15" s="16">
        <f ca="1">IF(AND(Main!$C$43=1,Main!$K$43=5),Main!$K$21,AG15)</f>
        <v>0.5</v>
      </c>
      <c r="AI15" s="1">
        <f ca="1">AJ21</f>
        <v>2.1111111111111112</v>
      </c>
      <c r="AK15" s="16">
        <f ca="1">IF(AND(Main!$C$43=2,Main!$K$43=1),Main!$K$21,AK15)</f>
        <v>0.30499999999999999</v>
      </c>
      <c r="AL15" s="16">
        <f ca="1">IF(AND(Main!$C$43=2,Main!$K$43=2),Main!$K$21,AL15)</f>
        <v>0.3125</v>
      </c>
      <c r="AM15" s="16">
        <f ca="1">IF(AND(Main!$C$43=2,Main!$K$43=3),Main!$K$21,AM15)</f>
        <v>0.375</v>
      </c>
      <c r="AN15" s="16">
        <f ca="1">IF(AND(Main!$C$43=2,Main!$K$43=4),Main!$K$21,AN15)</f>
        <v>0.4375</v>
      </c>
      <c r="AO15" s="16">
        <f ca="1">IF(AND(Main!$C$43=2,Main!$K$43=5),Main!$K$21,AO15)</f>
        <v>0.5</v>
      </c>
      <c r="AP15" s="6"/>
      <c r="AQ15" s="1">
        <f ca="1">AR21</f>
        <v>2.2222222222222223</v>
      </c>
      <c r="AS15" s="16">
        <f ca="1">IF(AND(Main!$C$43=3,Main!$K$43=1),Main!$K$21,AS15)</f>
        <v>0.30499999999999999</v>
      </c>
      <c r="AT15" s="16">
        <f ca="1">IF(AND(Main!$C$43=3,Main!$K$43=2),Main!$K$21,AT15)</f>
        <v>0.3125</v>
      </c>
      <c r="AU15" s="16">
        <f ca="1">IF(AND(Main!$C$43=3,Main!$K$43=3),Main!$K$21,AU15)</f>
        <v>0.375</v>
      </c>
      <c r="AV15" s="16">
        <f ca="1">IF(AND(Main!$C$43=3,Main!$K$43=4),Main!$K$21,AV15)</f>
        <v>0.4375</v>
      </c>
      <c r="AW15" s="16">
        <f ca="1">IF(AND(Main!$C$43=3,Main!$K$43=5),Main!$K$21,AW15)</f>
        <v>0.5</v>
      </c>
      <c r="AX15" s="6"/>
      <c r="AY15" s="6"/>
      <c r="AZ15" s="6"/>
      <c r="BA15" s="6"/>
    </row>
    <row r="16" spans="1:53">
      <c r="AA16" s="6" t="s">
        <v>4</v>
      </c>
      <c r="AB16" s="6"/>
      <c r="AC16" s="6" t="s">
        <v>4</v>
      </c>
      <c r="AD16" s="6" t="s">
        <v>4</v>
      </c>
      <c r="AE16" s="6" t="s">
        <v>4</v>
      </c>
      <c r="AF16" s="6" t="s">
        <v>4</v>
      </c>
      <c r="AG16" s="6" t="s">
        <v>4</v>
      </c>
      <c r="AI16" s="6" t="s">
        <v>4</v>
      </c>
      <c r="AJ16" s="6"/>
      <c r="AK16" s="6" t="s">
        <v>4</v>
      </c>
      <c r="AL16" s="6" t="s">
        <v>4</v>
      </c>
      <c r="AM16" s="6" t="s">
        <v>4</v>
      </c>
      <c r="AN16" s="6" t="s">
        <v>4</v>
      </c>
      <c r="AO16" s="6" t="s">
        <v>4</v>
      </c>
      <c r="AP16" s="6"/>
      <c r="AQ16" s="6" t="s">
        <v>4</v>
      </c>
      <c r="AR16" s="6"/>
      <c r="AS16" s="6" t="s">
        <v>4</v>
      </c>
      <c r="AT16" s="6" t="s">
        <v>4</v>
      </c>
      <c r="AU16" s="6" t="s">
        <v>4</v>
      </c>
      <c r="AV16" s="6" t="s">
        <v>4</v>
      </c>
      <c r="AW16" s="6" t="s">
        <v>4</v>
      </c>
      <c r="AX16" s="6"/>
      <c r="AY16" s="6"/>
      <c r="AZ16" s="6"/>
      <c r="BA16" s="6"/>
    </row>
    <row r="17" spans="2:53">
      <c r="AA17" s="6"/>
      <c r="AB17" s="6"/>
      <c r="AC17" s="6"/>
      <c r="AD17" s="6"/>
      <c r="AE17" s="6"/>
      <c r="AF17" s="6"/>
      <c r="AG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</row>
    <row r="18" spans="2:53">
      <c r="B18" s="9" t="s">
        <v>29</v>
      </c>
      <c r="C18" s="9" t="s">
        <v>31</v>
      </c>
      <c r="E18" s="9" t="s">
        <v>40</v>
      </c>
      <c r="G18" s="9" t="s">
        <v>57</v>
      </c>
      <c r="H18" s="9" t="s">
        <v>129</v>
      </c>
      <c r="J18" s="9" t="s">
        <v>131</v>
      </c>
      <c r="K18" s="9" t="s">
        <v>133</v>
      </c>
      <c r="L18" s="9" t="s">
        <v>134</v>
      </c>
      <c r="M18" s="9" t="s">
        <v>135</v>
      </c>
      <c r="O18" s="9" t="s">
        <v>141</v>
      </c>
      <c r="P18" s="9" t="s">
        <v>142</v>
      </c>
      <c r="Q18" s="9" t="s">
        <v>136</v>
      </c>
      <c r="R18" s="9" t="s">
        <v>138</v>
      </c>
      <c r="S18" s="9" t="s">
        <v>137</v>
      </c>
      <c r="T18" s="9" t="s">
        <v>111</v>
      </c>
      <c r="V18" s="9" t="s">
        <v>124</v>
      </c>
      <c r="W18" s="54" t="str">
        <f>IF($N$3=1,T18,IF($N$3=2,T18,IF($N$3=3,#REF!,T18)))</f>
        <v>Pmot</v>
      </c>
      <c r="Z18" s="9"/>
      <c r="AA18" s="9" t="s">
        <v>37</v>
      </c>
      <c r="AB18" s="9" t="s">
        <v>38</v>
      </c>
      <c r="AC18" s="9" t="s">
        <v>111</v>
      </c>
      <c r="AD18" s="9" t="s">
        <v>111</v>
      </c>
      <c r="AE18" s="9" t="s">
        <v>111</v>
      </c>
      <c r="AF18" s="9" t="s">
        <v>111</v>
      </c>
      <c r="AG18" s="9" t="s">
        <v>111</v>
      </c>
      <c r="AI18" s="9" t="s">
        <v>37</v>
      </c>
      <c r="AJ18" s="9" t="s">
        <v>38</v>
      </c>
      <c r="AK18" s="9" t="s">
        <v>111</v>
      </c>
      <c r="AL18" s="9" t="s">
        <v>111</v>
      </c>
      <c r="AM18" s="9" t="s">
        <v>111</v>
      </c>
      <c r="AN18" s="9" t="s">
        <v>111</v>
      </c>
      <c r="AO18" s="9" t="s">
        <v>111</v>
      </c>
      <c r="AP18" s="23"/>
      <c r="AQ18" s="9" t="s">
        <v>37</v>
      </c>
      <c r="AR18" s="9" t="s">
        <v>38</v>
      </c>
      <c r="AS18" s="9" t="s">
        <v>111</v>
      </c>
      <c r="AT18" s="9" t="s">
        <v>111</v>
      </c>
      <c r="AU18" s="9" t="s">
        <v>111</v>
      </c>
      <c r="AV18" s="9" t="s">
        <v>111</v>
      </c>
      <c r="AW18" s="9" t="s">
        <v>111</v>
      </c>
      <c r="AX18" s="23"/>
      <c r="AY18" s="6"/>
      <c r="AZ18" s="6"/>
      <c r="BA18" s="6"/>
    </row>
    <row r="19" spans="2:53">
      <c r="B19" s="9" t="s">
        <v>30</v>
      </c>
      <c r="C19" s="9" t="s">
        <v>32</v>
      </c>
      <c r="E19" s="9" t="s">
        <v>1</v>
      </c>
      <c r="G19" s="9" t="s">
        <v>4</v>
      </c>
      <c r="H19" s="9" t="s">
        <v>4</v>
      </c>
      <c r="O19" s="9" t="s">
        <v>34</v>
      </c>
      <c r="P19" s="9" t="s">
        <v>35</v>
      </c>
      <c r="Q19" s="9" t="s">
        <v>1</v>
      </c>
      <c r="R19" s="9" t="s">
        <v>1</v>
      </c>
      <c r="T19" s="9" t="s">
        <v>34</v>
      </c>
      <c r="W19" s="54" t="str">
        <f>IF($N$3=1,T19,IF($N$3=2,T19,IF($N$3=3,#REF!,T19)))</f>
        <v>W</v>
      </c>
      <c r="Z19" s="9"/>
      <c r="AA19" s="9" t="s">
        <v>4</v>
      </c>
      <c r="AB19" s="9" t="s">
        <v>4</v>
      </c>
      <c r="AC19" s="9" t="s">
        <v>34</v>
      </c>
      <c r="AD19" s="9" t="s">
        <v>34</v>
      </c>
      <c r="AE19" s="9" t="s">
        <v>34</v>
      </c>
      <c r="AF19" s="9" t="s">
        <v>34</v>
      </c>
      <c r="AG19" s="9" t="s">
        <v>34</v>
      </c>
      <c r="AI19" s="9" t="s">
        <v>4</v>
      </c>
      <c r="AJ19" s="9" t="s">
        <v>4</v>
      </c>
      <c r="AK19" s="9" t="s">
        <v>34</v>
      </c>
      <c r="AL19" s="9" t="s">
        <v>34</v>
      </c>
      <c r="AM19" s="9" t="s">
        <v>34</v>
      </c>
      <c r="AN19" s="9" t="s">
        <v>34</v>
      </c>
      <c r="AO19" s="9" t="s">
        <v>34</v>
      </c>
      <c r="AP19" s="6"/>
      <c r="AQ19" s="9" t="s">
        <v>4</v>
      </c>
      <c r="AR19" s="9" t="s">
        <v>4</v>
      </c>
      <c r="AS19" s="9" t="s">
        <v>34</v>
      </c>
      <c r="AT19" s="9" t="s">
        <v>34</v>
      </c>
      <c r="AU19" s="9" t="s">
        <v>34</v>
      </c>
      <c r="AV19" s="9" t="s">
        <v>34</v>
      </c>
      <c r="AW19" s="9" t="s">
        <v>34</v>
      </c>
      <c r="AX19" s="23"/>
      <c r="AY19" s="6"/>
      <c r="AZ19" s="6"/>
      <c r="BA19" s="6"/>
    </row>
    <row r="20" spans="2:53">
      <c r="W20" s="14"/>
      <c r="AA20" s="6"/>
      <c r="AB20" s="6"/>
      <c r="AC20" s="6"/>
      <c r="AD20" s="6"/>
      <c r="AE20" s="6"/>
      <c r="AF20" s="6"/>
      <c r="AG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</row>
    <row r="21" spans="2:53">
      <c r="B21" s="16">
        <f>ISA!E21</f>
        <v>1.2249994633486807</v>
      </c>
      <c r="C21" s="4">
        <f>ISA!G21</f>
        <v>1.783E-5</v>
      </c>
      <c r="E21" s="13">
        <f ca="1">'Aerodynamics-Takeoff'!H21</f>
        <v>14.629202114405427</v>
      </c>
      <c r="G21" s="31">
        <f>Main!K21</f>
        <v>0.30499999999999999</v>
      </c>
      <c r="H21" s="12">
        <f>Stability!J21/0.6</f>
        <v>2.9722222222222223</v>
      </c>
      <c r="J21" s="1">
        <f>1-0.329*$D$6/G21^2</f>
        <v>0.96463316312819136</v>
      </c>
      <c r="K21" s="27">
        <f ca="1">B21*E21*H21/C21</f>
        <v>2987352.5068738167</v>
      </c>
      <c r="L21" s="10">
        <f ca="1">0.455/((LOG10(K21))^2.58*(1+0.144*E21/ISA!F21)^0.65)</f>
        <v>3.6578093066317856E-3</v>
      </c>
      <c r="M21" s="1">
        <f ca="1">1-1.558/G21^2*B21/1.225*(L21*$D$7+0)</f>
        <v>0.96324301379312693</v>
      </c>
      <c r="O21" s="19">
        <f ca="1">'Aerodynamics-Takeoff'!BL21</f>
        <v>53.279238733091098</v>
      </c>
      <c r="P21" s="20">
        <f ca="1">'Aerodynamics-Takeoff'!E21/'Aerodynamics-Takeoff'!BK21</f>
        <v>8.6108146467623818</v>
      </c>
      <c r="Q21" s="20">
        <f t="shared" ref="Q21:Q40" ca="1" si="1">E21*J21</f>
        <v>14.111813509660532</v>
      </c>
      <c r="R21" s="20">
        <f t="shared" ref="R21:R40" ca="1" si="2">-Q21/2+SQRT(Q21^2+4*P21/(2*B21*PI()*(G21/2)^2))/2</f>
        <v>2.8380642116227044</v>
      </c>
      <c r="S21" s="16">
        <f t="shared" ref="S21:S40" ca="1" si="3">$G$6*M21/(1+R21/Q21)</f>
        <v>0.657606321348987</v>
      </c>
      <c r="T21" s="14">
        <f ca="1">O21/S21</f>
        <v>81.019961340694266</v>
      </c>
      <c r="V21" s="1">
        <f>IF($N$3=1,$J$9,IF($N$3=2,1,IF($N$3=3,#REF!/#REF!,T21)))</f>
        <v>0.7</v>
      </c>
      <c r="W21" s="14">
        <f ca="1">IF($N$3=1,T21,IF($N$3=2,PropulsãoCombustão!I21,IF($N$3=3,#REF!,T21)))</f>
        <v>81.019961340694266</v>
      </c>
      <c r="Y21" s="6"/>
      <c r="Z21" s="20"/>
      <c r="AA21" s="16">
        <f>Main!$B21</f>
        <v>0.33333333333333326</v>
      </c>
      <c r="AB21" s="16">
        <f ca="1">IF(Main!$C$43=1,Main!$C21,AB21)</f>
        <v>4</v>
      </c>
      <c r="AC21" s="19">
        <f ca="1">IF(AND(Main!$C$43=1,Main!$K$43=1),$W21,Propulsão!AC21)</f>
        <v>64.743770848289572</v>
      </c>
      <c r="AD21" s="19">
        <f ca="1">IF(AND(Main!$C$43=1,Main!$K$43=2),$W21,Propulsão!AD21)</f>
        <v>624.07015723928748</v>
      </c>
      <c r="AE21" s="19">
        <f ca="1">IF(AND(Main!$C$43=1,Main!$K$43=3),$W21,Propulsão!AE21)</f>
        <v>611.98688206699467</v>
      </c>
      <c r="AF21" s="19">
        <f ca="1">IF(AND(Main!$C$43=1,Main!$K$43=4),$W21,Propulsão!AF21)</f>
        <v>604.88566165598922</v>
      </c>
      <c r="AG21" s="19">
        <f ca="1">IF(AND(Main!$C$43=1,Main!$K$43=5),$W21,Propulsão!AG21)</f>
        <v>600.34900601409015</v>
      </c>
      <c r="AI21" s="16">
        <f>Main!$B21</f>
        <v>0.33333333333333326</v>
      </c>
      <c r="AJ21" s="16">
        <f ca="1">IF(Main!$C$43=2,Main!$C21,AJ21)</f>
        <v>2.1111111111111112</v>
      </c>
      <c r="AK21" s="19">
        <f ca="1">IF(AND(Main!$C$43=2,Main!$K$43=1),$W21,Propulsão!AK21)</f>
        <v>61.467113197725915</v>
      </c>
      <c r="AL21" s="19">
        <f ca="1">IF(AND(Main!$C$43=2,Main!$K$43=2),$W21,Propulsão!AL21)</f>
        <v>468.14656312918322</v>
      </c>
      <c r="AM21" s="19">
        <f ca="1">IF(AND(Main!$C$43=2,Main!$K$43=3),$W21,Propulsão!AM21)</f>
        <v>458.92808810926397</v>
      </c>
      <c r="AN21" s="19">
        <f ca="1">IF(AND(Main!$C$43=2,Main!$K$43=4),$W21,Propulsão!AN21)</f>
        <v>453.51158730560473</v>
      </c>
      <c r="AO21" s="19">
        <f ca="1">IF(AND(Main!$C$43=2,Main!$K$43=5),$W21,Propulsão!AO21)</f>
        <v>450.05165278242623</v>
      </c>
      <c r="AP21" s="16"/>
      <c r="AQ21" s="16">
        <f>Main!$B21</f>
        <v>0.33333333333333326</v>
      </c>
      <c r="AR21" s="16">
        <f ca="1">IF(Main!$C$43=3,Main!$C21,AR21)</f>
        <v>2.2222222222222223</v>
      </c>
      <c r="AS21" s="19">
        <f ca="1">IF(AND(Main!$C$43=3,Main!$K$43=1),$W21,Propulsão!AS21)</f>
        <v>58.944490907540008</v>
      </c>
      <c r="AT21" s="19">
        <f ca="1">IF(AND(Main!$C$43=3,Main!$K$43=2),$W21,Propulsão!AT21)</f>
        <v>373.30708523513903</v>
      </c>
      <c r="AU21" s="19">
        <f ca="1">IF(AND(Main!$C$43=3,Main!$K$43=3),$W21,Propulsão!AU21)</f>
        <v>365.8485222074342</v>
      </c>
      <c r="AV21" s="19">
        <f ca="1">IF(AND(Main!$C$43=3,Main!$K$43=4),$W21,Propulsão!AV21)</f>
        <v>361.46680193398322</v>
      </c>
      <c r="AW21" s="19">
        <f ca="1">IF(AND(Main!$C$43=3,Main!$K$43=5),$W21,Propulsão!AW21)</f>
        <v>358.66813512416769</v>
      </c>
      <c r="AX21" s="20"/>
      <c r="AY21" s="6"/>
      <c r="AZ21" s="6"/>
      <c r="BA21" s="6"/>
    </row>
    <row r="22" spans="2:53">
      <c r="B22" s="16">
        <f>ISA!E22</f>
        <v>1.2249994633486807</v>
      </c>
      <c r="C22" s="4">
        <f>ISA!G22</f>
        <v>1.783E-5</v>
      </c>
      <c r="E22" s="13">
        <f ca="1">'Aerodynamics-Takeoff'!H22</f>
        <v>14.391374472657482</v>
      </c>
      <c r="G22" s="31">
        <f>Main!K22</f>
        <v>0.30499999999999999</v>
      </c>
      <c r="H22" s="12">
        <f>Stability!J22/0.6</f>
        <v>2.9722222222222223</v>
      </c>
      <c r="J22" s="1">
        <f t="shared" ref="J22:J40" si="4">1-0.329*$D$6/G22^2</f>
        <v>0.96463316312819136</v>
      </c>
      <c r="K22" s="27">
        <f t="shared" ref="K22:K40" ca="1" si="5">B22*E22*H22/C22</f>
        <v>2938786.9736189307</v>
      </c>
      <c r="L22" s="10">
        <f ca="1">0.455/((LOG10(K22))^2.58*(1+0.144*E22/ISA!F22)^0.65)</f>
        <v>3.6684426366414393E-3</v>
      </c>
      <c r="M22" s="1">
        <f t="shared" ref="M22:M39" ca="1" si="6">1-1.558/G22^2*B22/1.225*(L22*$D$7+0)</f>
        <v>0.9631361604468387</v>
      </c>
      <c r="O22" s="19">
        <f ca="1">'Aerodynamics-Takeoff'!BL22</f>
        <v>51.32053841719479</v>
      </c>
      <c r="P22" s="20">
        <f ca="1">'Aerodynamics-Takeoff'!E22/'Aerodynamics-Takeoff'!BK22</f>
        <v>8.4259036993485878</v>
      </c>
      <c r="Q22" s="20">
        <f t="shared" ca="1" si="1"/>
        <v>13.882397079321894</v>
      </c>
      <c r="R22" s="20">
        <f t="shared" ca="1" si="2"/>
        <v>2.8185177590018409</v>
      </c>
      <c r="S22" s="16">
        <f t="shared" ca="1" si="3"/>
        <v>0.6564864125812867</v>
      </c>
      <c r="T22" s="14">
        <f t="shared" ref="T22:T40" ca="1" si="7">O22/S22</f>
        <v>78.174562997280972</v>
      </c>
      <c r="V22" s="1">
        <f>IF($N$3=1,$J$9,IF($N$3=2,1,IF($N$3=3,#REF!/#REF!,T22)))</f>
        <v>0.7</v>
      </c>
      <c r="W22" s="14">
        <f ca="1">IF($N$3=1,T22,IF($N$3=2,PropulsãoCombustão!I22,IF($N$3=3,#REF!,T22)))</f>
        <v>78.174562997280972</v>
      </c>
      <c r="Z22" s="20"/>
      <c r="AA22" s="16">
        <f>Main!$B22</f>
        <v>0.33333333333333326</v>
      </c>
      <c r="AB22" s="16">
        <f ca="1">IF(Main!$C$43=1,Main!$C22,AB22)</f>
        <v>4.1578947368421053</v>
      </c>
      <c r="AC22" s="19">
        <f ca="1">IF(AND(Main!$C$43=1,Main!$K$43=1),$W22,Propulsão!AC22)</f>
        <v>62.813814055055595</v>
      </c>
      <c r="AD22" s="19">
        <f ca="1">IF(AND(Main!$C$43=1,Main!$K$43=2),$W22,Propulsão!AD22)</f>
        <v>598.61584923303053</v>
      </c>
      <c r="AE22" s="19">
        <f ca="1">IF(AND(Main!$C$43=1,Main!$K$43=3),$W22,Propulsão!AE22)</f>
        <v>586.90107619867672</v>
      </c>
      <c r="AF22" s="19">
        <f ca="1">IF(AND(Main!$C$43=1,Main!$K$43=4),$W22,Propulsão!AF22)</f>
        <v>580.01569262124417</v>
      </c>
      <c r="AG22" s="19">
        <f ca="1">IF(AND(Main!$C$43=1,Main!$K$43=5),$W22,Propulsão!AG22)</f>
        <v>575.61663507768628</v>
      </c>
      <c r="AI22" s="16">
        <f>Main!$B22</f>
        <v>0.33333333333333326</v>
      </c>
      <c r="AJ22" s="16">
        <f ca="1">IF(Main!$C$43=2,Main!$C22,AJ22)</f>
        <v>2.1111111111111112</v>
      </c>
      <c r="AK22" s="19">
        <f ca="1">IF(AND(Main!$C$43=2,Main!$K$43=1),$W22,Propulsão!AK22)</f>
        <v>59.857453023015758</v>
      </c>
      <c r="AL22" s="19">
        <f ca="1">IF(AND(Main!$C$43=2,Main!$K$43=2),$W22,Propulsão!AL22)</f>
        <v>449.49005164682319</v>
      </c>
      <c r="AM22" s="19">
        <f ca="1">IF(AND(Main!$C$43=2,Main!$K$43=3),$W22,Propulsão!AM22)</f>
        <v>440.54296998671958</v>
      </c>
      <c r="AN22" s="19">
        <f ca="1">IF(AND(Main!$C$43=2,Main!$K$43=4),$W22,Propulsão!AN22)</f>
        <v>435.28533623371465</v>
      </c>
      <c r="AO22" s="19">
        <f ca="1">IF(AND(Main!$C$43=2,Main!$K$43=5),$W22,Propulsão!AO22)</f>
        <v>431.92664436694997</v>
      </c>
      <c r="AP22" s="16"/>
      <c r="AQ22" s="16">
        <f>Main!$B22</f>
        <v>0.33333333333333326</v>
      </c>
      <c r="AR22" s="16">
        <f ca="1">IF(Main!$C$43=3,Main!$C22,AR22)</f>
        <v>2.2222222222222223</v>
      </c>
      <c r="AS22" s="19">
        <f ca="1">IF(AND(Main!$C$43=3,Main!$K$43=1),$W22,Propulsão!AS22)</f>
        <v>57.582418824321387</v>
      </c>
      <c r="AT22" s="19">
        <f ca="1">IF(AND(Main!$C$43=3,Main!$K$43=2),$W22,Propulsão!AT22)</f>
        <v>358.77609233070547</v>
      </c>
      <c r="AU22" s="19">
        <f ca="1">IF(AND(Main!$C$43=3,Main!$K$43=3),$W22,Propulsão!AU22)</f>
        <v>351.52943650160751</v>
      </c>
      <c r="AV22" s="19">
        <f ca="1">IF(AND(Main!$C$43=3,Main!$K$43=4),$W22,Propulsão!AV22)</f>
        <v>347.27169326735407</v>
      </c>
      <c r="AW22" s="19">
        <f ca="1">IF(AND(Main!$C$43=3,Main!$K$43=5),$W22,Propulsão!AW22)</f>
        <v>344.55200710174677</v>
      </c>
      <c r="AX22" s="20"/>
      <c r="AY22" s="6"/>
      <c r="AZ22" s="6"/>
      <c r="BA22" s="6"/>
    </row>
    <row r="23" spans="2:53">
      <c r="B23" s="16">
        <f>ISA!E23</f>
        <v>1.2249994633486807</v>
      </c>
      <c r="C23" s="4">
        <f>ISA!G23</f>
        <v>1.783E-5</v>
      </c>
      <c r="E23" s="13">
        <f ca="1">'Aerodynamics-Takeoff'!H23</f>
        <v>14.165103874793797</v>
      </c>
      <c r="G23" s="31">
        <f>Main!K23</f>
        <v>0.30499999999999999</v>
      </c>
      <c r="H23" s="12">
        <f>Stability!J23/0.6</f>
        <v>2.9722222222222223</v>
      </c>
      <c r="J23" s="1">
        <f t="shared" si="4"/>
        <v>0.96463316312819136</v>
      </c>
      <c r="K23" s="27">
        <f t="shared" ca="1" si="5"/>
        <v>2892581.4435788263</v>
      </c>
      <c r="L23" s="10">
        <f ca="1">0.455/((LOG10(K23))^2.58*(1+0.144*E23/ISA!F23)^0.65)</f>
        <v>3.6787602934133918E-3</v>
      </c>
      <c r="M23" s="1">
        <f t="shared" ca="1" si="6"/>
        <v>0.9630324792716155</v>
      </c>
      <c r="O23" s="19">
        <f ca="1">'Aerodynamics-Takeoff'!BL23</f>
        <v>49.499585589099709</v>
      </c>
      <c r="P23" s="20">
        <f ca="1">'Aerodynamics-Takeoff'!E23/'Aerodynamics-Takeoff'!BK23</f>
        <v>8.2515886812161412</v>
      </c>
      <c r="Q23" s="20">
        <f t="shared" ca="1" si="1"/>
        <v>13.66412895678174</v>
      </c>
      <c r="R23" s="20">
        <f t="shared" ca="1" si="2"/>
        <v>2.799919149963519</v>
      </c>
      <c r="S23" s="16">
        <f t="shared" ca="1" si="3"/>
        <v>0.65539045554508712</v>
      </c>
      <c r="T23" s="14">
        <f t="shared" ca="1" si="7"/>
        <v>75.526863673855289</v>
      </c>
      <c r="V23" s="1">
        <f>IF($N$3=1,$J$9,IF($N$3=2,1,IF($N$3=3,#REF!/#REF!,T23)))</f>
        <v>0.7</v>
      </c>
      <c r="W23" s="14">
        <f ca="1">IF($N$3=1,T23,IF($N$3=2,PropulsãoCombustão!I23,IF($N$3=3,#REF!,T23)))</f>
        <v>75.526863673855289</v>
      </c>
      <c r="Y23" s="6"/>
      <c r="Z23" s="20"/>
      <c r="AA23" s="16">
        <f>Main!$B23</f>
        <v>0.33333333333333326</v>
      </c>
      <c r="AB23" s="16">
        <f ca="1">IF(Main!$C$43=1,Main!$C23,AB23)</f>
        <v>4.3157894736842106</v>
      </c>
      <c r="AC23" s="19">
        <f ca="1">IF(AND(Main!$C$43=1,Main!$K$43=1),$W23,Propulsão!AC23)</f>
        <v>61.414204619266435</v>
      </c>
      <c r="AD23" s="19">
        <f ca="1">IF(AND(Main!$C$43=1,Main!$K$43=2),$W23,Propulsão!AD23)</f>
        <v>576.57157120473948</v>
      </c>
      <c r="AE23" s="19">
        <f ca="1">IF(AND(Main!$C$43=1,Main!$K$43=3),$W23,Propulsão!AE23)</f>
        <v>565.16139724466291</v>
      </c>
      <c r="AF23" s="19">
        <f ca="1">IF(AND(Main!$C$43=1,Main!$K$43=4),$W23,Propulsão!AF23)</f>
        <v>558.45426993260526</v>
      </c>
      <c r="AG23" s="19">
        <f ca="1">IF(AND(Main!$C$43=1,Main!$K$43=5),$W23,Propulsão!AG23)</f>
        <v>554.16879037043782</v>
      </c>
      <c r="AI23" s="16">
        <f>Main!$B23</f>
        <v>0.33333333333333326</v>
      </c>
      <c r="AJ23" s="16">
        <f ca="1">IF(Main!$C$43=2,Main!$C23,AJ23)</f>
        <v>2.1111111111111112</v>
      </c>
      <c r="AK23" s="19">
        <f ca="1">IF(AND(Main!$C$43=2,Main!$K$43=1),$W23,Propulsão!AK23)</f>
        <v>58.707993017723688</v>
      </c>
      <c r="AL23" s="19">
        <f ca="1">IF(AND(Main!$C$43=2,Main!$K$43=2),$W23,Propulsão!AL23)</f>
        <v>433.3384152661086</v>
      </c>
      <c r="AM23" s="19">
        <f ca="1">IF(AND(Main!$C$43=2,Main!$K$43=3),$W23,Propulsão!AM23)</f>
        <v>424.6148652642284</v>
      </c>
      <c r="AN23" s="19">
        <f ca="1">IF(AND(Main!$C$43=2,Main!$K$43=4),$W23,Propulsão!AN23)</f>
        <v>419.48795607722457</v>
      </c>
      <c r="AO23" s="19">
        <f ca="1">IF(AND(Main!$C$43=2,Main!$K$43=5),$W23,Propulsão!AO23)</f>
        <v>416.21252080254527</v>
      </c>
      <c r="AP23" s="16"/>
      <c r="AQ23" s="16">
        <f>Main!$B23</f>
        <v>0.33333333333333326</v>
      </c>
      <c r="AR23" s="16">
        <f ca="1">IF(Main!$C$43=3,Main!$C23,AR23)</f>
        <v>2.2222222222222223</v>
      </c>
      <c r="AS23" s="19">
        <f ca="1">IF(AND(Main!$C$43=3,Main!$K$43=1),$W23,Propulsão!AS23)</f>
        <v>56.629690584423848</v>
      </c>
      <c r="AT23" s="19">
        <f ca="1">IF(AND(Main!$C$43=3,Main!$K$43=2),$W23,Propulsão!AT23)</f>
        <v>346.20014560200497</v>
      </c>
      <c r="AU23" s="19">
        <f ca="1">IF(AND(Main!$C$43=3,Main!$K$43=3),$W23,Propulsão!AU23)</f>
        <v>339.12742459149433</v>
      </c>
      <c r="AV23" s="19">
        <f ca="1">IF(AND(Main!$C$43=3,Main!$K$43=4),$W23,Propulsão!AV23)</f>
        <v>334.97133335454589</v>
      </c>
      <c r="AW23" s="19">
        <f ca="1">IF(AND(Main!$C$43=3,Main!$K$43=5),$W23,Propulsão!AW23)</f>
        <v>332.31636063822577</v>
      </c>
      <c r="AX23" s="20"/>
      <c r="AY23" s="6"/>
      <c r="AZ23" s="6"/>
      <c r="BA23" s="6"/>
    </row>
    <row r="24" spans="2:53">
      <c r="B24" s="16">
        <f>ISA!E24</f>
        <v>1.2249994633486807</v>
      </c>
      <c r="C24" s="4">
        <f>ISA!G24</f>
        <v>1.783E-5</v>
      </c>
      <c r="E24" s="13">
        <f ca="1">'Aerodynamics-Takeoff'!H24</f>
        <v>13.434554183218914</v>
      </c>
      <c r="G24" s="31">
        <f>Main!K24</f>
        <v>0.30499999999999999</v>
      </c>
      <c r="H24" s="12">
        <f>Stability!J24/0.6</f>
        <v>2.9722222222222223</v>
      </c>
      <c r="J24" s="1">
        <f t="shared" si="4"/>
        <v>0.96463316312819136</v>
      </c>
      <c r="K24" s="27">
        <f t="shared" ca="1" si="5"/>
        <v>2743399.7291247551</v>
      </c>
      <c r="L24" s="10">
        <f ca="1">0.455/((LOG10(K24))^2.58*(1+0.144*E24/ISA!F24)^0.65)</f>
        <v>3.7134988151206988E-3</v>
      </c>
      <c r="M24" s="1">
        <f t="shared" ca="1" si="6"/>
        <v>0.96268339509138567</v>
      </c>
      <c r="O24" s="19">
        <f ca="1">'Aerodynamics-Takeoff'!BL24</f>
        <v>43.088566505890505</v>
      </c>
      <c r="P24" s="20">
        <f ca="1">'Aerodynamics-Takeoff'!E24/'Aerodynamics-Takeoff'!BK24</f>
        <v>7.5531691626571948</v>
      </c>
      <c r="Q24" s="20">
        <f t="shared" ca="1" si="1"/>
        <v>12.959416496975537</v>
      </c>
      <c r="R24" s="20">
        <f t="shared" ca="1" si="2"/>
        <v>2.6954135117917764</v>
      </c>
      <c r="S24" s="16">
        <f t="shared" ca="1" si="3"/>
        <v>0.65348319675616529</v>
      </c>
      <c r="T24" s="14">
        <f t="shared" ca="1" si="7"/>
        <v>65.936762750409599</v>
      </c>
      <c r="V24" s="1">
        <f>IF($N$3=1,$J$9,IF($N$3=2,1,IF($N$3=3,#REF!/#REF!,T24)))</f>
        <v>0.7</v>
      </c>
      <c r="W24" s="14">
        <f ca="1">IF($N$3=1,T24,IF($N$3=2,PropulsãoCombustão!I24,IF($N$3=3,#REF!,T24)))</f>
        <v>65.936762750409599</v>
      </c>
      <c r="Y24" s="6"/>
      <c r="Z24" s="20"/>
      <c r="AA24" s="16">
        <f>Main!$B24</f>
        <v>0.33333333333333326</v>
      </c>
      <c r="AB24" s="16">
        <f ca="1">IF(Main!$C$43=1,Main!$C24,AB24)</f>
        <v>4.4736842105263159</v>
      </c>
      <c r="AC24" s="19">
        <f ca="1">IF(AND(Main!$C$43=1,Main!$K$43=1),$W24,Propulsão!AC24)</f>
        <v>60.4398316784293</v>
      </c>
      <c r="AD24" s="19">
        <f ca="1">IF(AND(Main!$C$43=1,Main!$K$43=2),$W24,Propulsão!AD24)</f>
        <v>557.40200919158679</v>
      </c>
      <c r="AE24" s="19">
        <f ca="1">IF(AND(Main!$C$43=1,Main!$K$43=3),$W24,Propulsão!AE24)</f>
        <v>546.24206121182829</v>
      </c>
      <c r="AF24" s="19">
        <f ca="1">IF(AND(Main!$C$43=1,Main!$K$43=4),$W24,Propulsão!AF24)</f>
        <v>539.68119837483653</v>
      </c>
      <c r="AG24" s="19">
        <f ca="1">IF(AND(Main!$C$43=1,Main!$K$43=5),$W24,Propulsão!AG24)</f>
        <v>535.48884228873408</v>
      </c>
      <c r="AI24" s="16">
        <f>Main!$B24</f>
        <v>0.33333333333333326</v>
      </c>
      <c r="AJ24" s="16">
        <f ca="1">IF(Main!$C$43=2,Main!$C24,AJ24)</f>
        <v>2.1111111111111112</v>
      </c>
      <c r="AK24" s="19">
        <f ca="1">IF(AND(Main!$C$43=2,Main!$K$43=1),$W24,Propulsão!AK24)</f>
        <v>57.932649803669747</v>
      </c>
      <c r="AL24" s="19">
        <f ca="1">IF(AND(Main!$C$43=2,Main!$K$43=2),$W24,Propulsão!AL24)</f>
        <v>419.30026990654306</v>
      </c>
      <c r="AM24" s="19">
        <f ca="1">IF(AND(Main!$C$43=2,Main!$K$43=3),$W24,Propulsão!AM24)</f>
        <v>410.75945950769074</v>
      </c>
      <c r="AN24" s="19">
        <f ca="1">IF(AND(Main!$C$43=2,Main!$K$43=4),$W24,Propulsão!AN24)</f>
        <v>405.73927664694116</v>
      </c>
      <c r="AO24" s="19">
        <f ca="1">IF(AND(Main!$C$43=2,Main!$K$43=5),$W24,Propulsão!AO24)</f>
        <v>402.53175522836034</v>
      </c>
      <c r="AP24" s="16"/>
      <c r="AQ24" s="16">
        <f>Main!$B24</f>
        <v>0.33333333333333326</v>
      </c>
      <c r="AR24" s="16">
        <f ca="1">IF(Main!$C$43=3,Main!$C24,AR24)</f>
        <v>2.2222222222222223</v>
      </c>
      <c r="AS24" s="19">
        <f ca="1">IF(AND(Main!$C$43=3,Main!$K$43=1),$W24,Propulsão!AS24)</f>
        <v>56.013569724563887</v>
      </c>
      <c r="AT24" s="19">
        <f ca="1">IF(AND(Main!$C$43=3,Main!$K$43=2),$W24,Propulsão!AT24)</f>
        <v>335.27506894345413</v>
      </c>
      <c r="AU24" s="19">
        <f ca="1">IF(AND(Main!$C$43=3,Main!$K$43=3),$W24,Propulsão!AU24)</f>
        <v>328.34387307394968</v>
      </c>
      <c r="AV24" s="19">
        <f ca="1">IF(AND(Main!$C$43=3,Main!$K$43=4),$W24,Propulsão!AV24)</f>
        <v>324.27036853205158</v>
      </c>
      <c r="AW24" s="19">
        <f ca="1">IF(AND(Main!$C$43=3,Main!$K$43=5),$W24,Propulsão!AW24)</f>
        <v>321.66792077960235</v>
      </c>
      <c r="AX24" s="20"/>
      <c r="AY24" s="6"/>
      <c r="AZ24" s="6"/>
      <c r="BA24" s="6"/>
    </row>
    <row r="25" spans="2:53">
      <c r="B25" s="16">
        <f>ISA!E25</f>
        <v>1.2249994633486807</v>
      </c>
      <c r="C25" s="4">
        <f>ISA!G25</f>
        <v>1.783E-5</v>
      </c>
      <c r="E25" s="13">
        <f ca="1">'Aerodynamics-Takeoff'!H25</f>
        <v>13.235366392151196</v>
      </c>
      <c r="G25" s="31">
        <f>Main!K25</f>
        <v>0.30499999999999999</v>
      </c>
      <c r="H25" s="12">
        <f>Stability!J25/0.6</f>
        <v>2.9722222222222223</v>
      </c>
      <c r="J25" s="1">
        <f t="shared" si="4"/>
        <v>0.96463316312819136</v>
      </c>
      <c r="K25" s="27">
        <f t="shared" ca="1" si="5"/>
        <v>2702724.6367764948</v>
      </c>
      <c r="L25" s="10">
        <f ca="1">0.455/((LOG10(K25))^2.58*(1+0.144*E25/ISA!F25)^0.65)</f>
        <v>3.723372845701766E-3</v>
      </c>
      <c r="M25" s="1">
        <f t="shared" ca="1" si="6"/>
        <v>0.96258417187457757</v>
      </c>
      <c r="O25" s="19">
        <f ca="1">'Aerodynamics-Takeoff'!BL25</f>
        <v>41.663886624444103</v>
      </c>
      <c r="P25" s="20">
        <f ca="1">'Aerodynamics-Takeoff'!E25/'Aerodynamics-Takeoff'!BK25</f>
        <v>7.4089256058778599</v>
      </c>
      <c r="Q25" s="20">
        <f t="shared" ca="1" si="1"/>
        <v>12.767273348021366</v>
      </c>
      <c r="R25" s="20">
        <f t="shared" ca="1" si="2"/>
        <v>2.6795433466145138</v>
      </c>
      <c r="S25" s="16">
        <f t="shared" ca="1" si="3"/>
        <v>0.65239666517158668</v>
      </c>
      <c r="T25" s="14">
        <f t="shared" ca="1" si="7"/>
        <v>63.862813605103419</v>
      </c>
      <c r="V25" s="1">
        <f>IF($N$3=1,$J$9,IF($N$3=2,1,IF($N$3=3,#REF!/#REF!,T25)))</f>
        <v>0.7</v>
      </c>
      <c r="W25" s="14">
        <f ca="1">IF($N$3=1,T25,IF($N$3=2,PropulsãoCombustão!I25,IF($N$3=3,#REF!,T25)))</f>
        <v>63.862813605103419</v>
      </c>
      <c r="Y25" s="6"/>
      <c r="Z25" s="20"/>
      <c r="AA25" s="16">
        <f>Main!$B25</f>
        <v>0.33333333333333326</v>
      </c>
      <c r="AB25" s="16">
        <f ca="1">IF(Main!$C$43=1,Main!$C25,AB25)</f>
        <v>4.6315789473684212</v>
      </c>
      <c r="AC25" s="19">
        <f ca="1">IF(AND(Main!$C$43=1,Main!$K$43=1),$W25,Propulsão!AC25)</f>
        <v>59.816979248025191</v>
      </c>
      <c r="AD25" s="19">
        <f ca="1">IF(AND(Main!$C$43=1,Main!$K$43=2),$W25,Propulsão!AD25)</f>
        <v>540.67507361559547</v>
      </c>
      <c r="AE25" s="19">
        <f ca="1">IF(AND(Main!$C$43=1,Main!$K$43=3),$W25,Propulsão!AE25)</f>
        <v>529.71864563199904</v>
      </c>
      <c r="AF25" s="19">
        <f ca="1">IF(AND(Main!$C$43=1,Main!$K$43=4),$W25,Propulsão!AF25)</f>
        <v>523.2765509068438</v>
      </c>
      <c r="AG25" s="19">
        <f ca="1">IF(AND(Main!$C$43=1,Main!$K$43=5),$W25,Propulsão!AG25)</f>
        <v>519.15973144664633</v>
      </c>
      <c r="AI25" s="16">
        <f>Main!$B25</f>
        <v>0.33333333333333326</v>
      </c>
      <c r="AJ25" s="16">
        <f ca="1">IF(Main!$C$43=2,Main!$C25,AJ25)</f>
        <v>2.1111111111111112</v>
      </c>
      <c r="AK25" s="19">
        <f ca="1">IF(AND(Main!$C$43=2,Main!$K$43=1),$W25,Propulsão!AK25)</f>
        <v>57.470348146146328</v>
      </c>
      <c r="AL25" s="19">
        <f ca="1">IF(AND(Main!$C$43=2,Main!$K$43=2),$W25,Propulsão!AL25)</f>
        <v>407.05954712276446</v>
      </c>
      <c r="AM25" s="19">
        <f ca="1">IF(AND(Main!$C$43=2,Main!$K$43=3),$W25,Propulsão!AM25)</f>
        <v>398.66637242660772</v>
      </c>
      <c r="AN25" s="19">
        <f ca="1">IF(AND(Main!$C$43=2,Main!$K$43=4),$W25,Propulsão!AN25)</f>
        <v>393.73225130417029</v>
      </c>
      <c r="AO25" s="19">
        <f ca="1">IF(AND(Main!$C$43=2,Main!$K$43=5),$W25,Propulsão!AO25)</f>
        <v>390.57942696848022</v>
      </c>
      <c r="AP25" s="16"/>
      <c r="AQ25" s="16">
        <f>Main!$B25</f>
        <v>0.33333333333333326</v>
      </c>
      <c r="AR25" s="16">
        <f ca="1">IF(Main!$C$43=3,Main!$C25,AR25)</f>
        <v>2.2222222222222223</v>
      </c>
      <c r="AS25" s="19">
        <f ca="1">IF(AND(Main!$C$43=3,Main!$K$43=1),$W25,Propulsão!AS25)</f>
        <v>55.682033191310289</v>
      </c>
      <c r="AT25" s="19">
        <f ca="1">IF(AND(Main!$C$43=3,Main!$K$43=2),$W25,Propulsão!AT25)</f>
        <v>325.7551021957143</v>
      </c>
      <c r="AU25" s="19">
        <f ca="1">IF(AND(Main!$C$43=3,Main!$K$43=3),$W25,Propulsão!AU25)</f>
        <v>318.93749836859536</v>
      </c>
      <c r="AV25" s="19">
        <f ca="1">IF(AND(Main!$C$43=3,Main!$K$43=4),$W25,Propulsão!AV25)</f>
        <v>314.93013783135137</v>
      </c>
      <c r="AW25" s="19">
        <f ca="1">IF(AND(Main!$C$43=3,Main!$K$43=5),$W25,Propulsão!AW25)</f>
        <v>312.36969867634633</v>
      </c>
      <c r="AX25" s="20"/>
      <c r="AY25" s="6"/>
      <c r="AZ25" s="6"/>
      <c r="BA25" s="6"/>
    </row>
    <row r="26" spans="2:53">
      <c r="B26" s="16">
        <f>ISA!E26</f>
        <v>1.2249994633486807</v>
      </c>
      <c r="C26" s="4">
        <f>ISA!G26</f>
        <v>1.783E-5</v>
      </c>
      <c r="E26" s="13">
        <f ca="1">'Aerodynamics-Takeoff'!H26</f>
        <v>13.045219318895375</v>
      </c>
      <c r="G26" s="31">
        <f>Main!K26</f>
        <v>0.30499999999999999</v>
      </c>
      <c r="H26" s="12">
        <f>Stability!J26/0.6</f>
        <v>2.9722222222222223</v>
      </c>
      <c r="J26" s="1">
        <f t="shared" si="4"/>
        <v>0.96463316312819136</v>
      </c>
      <c r="K26" s="27">
        <f t="shared" ca="1" si="5"/>
        <v>2663895.7019157107</v>
      </c>
      <c r="L26" s="10">
        <f ca="1">0.455/((LOG10(K26))^2.58*(1+0.144*E26/ISA!F26)^0.65)</f>
        <v>3.7329698631339571E-3</v>
      </c>
      <c r="M26" s="1">
        <f t="shared" ca="1" si="6"/>
        <v>0.96248773233719043</v>
      </c>
      <c r="O26" s="19">
        <f ca="1">'Aerodynamics-Takeoff'!BL26</f>
        <v>40.334317536909786</v>
      </c>
      <c r="P26" s="20">
        <f ca="1">'Aerodynamics-Takeoff'!E26/'Aerodynamics-Takeoff'!BK26</f>
        <v>7.2728091712102083</v>
      </c>
      <c r="Q26" s="20">
        <f t="shared" ca="1" si="1"/>
        <v>12.583851175287036</v>
      </c>
      <c r="R26" s="20">
        <f t="shared" ca="1" si="2"/>
        <v>2.6645424514037606</v>
      </c>
      <c r="S26" s="16">
        <f t="shared" ca="1" si="3"/>
        <v>0.65132617875679488</v>
      </c>
      <c r="T26" s="14">
        <f t="shared" ca="1" si="7"/>
        <v>61.926449223793007</v>
      </c>
      <c r="V26" s="1">
        <f>IF($N$3=1,$J$9,IF($N$3=2,1,IF($N$3=3,#REF!/#REF!,T26)))</f>
        <v>0.7</v>
      </c>
      <c r="W26" s="14">
        <f ca="1">IF($N$3=1,T26,IF($N$3=2,PropulsãoCombustão!I26,IF($N$3=3,#REF!,T26)))</f>
        <v>61.926449223793007</v>
      </c>
      <c r="Z26" s="20"/>
      <c r="AA26" s="16">
        <f>Main!$B26</f>
        <v>0.33333333333333326</v>
      </c>
      <c r="AB26" s="16">
        <f ca="1">IF(Main!$C$43=1,Main!$C26,AB26)</f>
        <v>4.7894736842105265</v>
      </c>
      <c r="AC26" s="19">
        <f ca="1">IF(AND(Main!$C$43=1,Main!$K$43=1),$W26,Propulsão!AC26)</f>
        <v>59.492938276316266</v>
      </c>
      <c r="AD26" s="19">
        <f ca="1">IF(AND(Main!$C$43=1,Main!$K$43=2),$W26,Propulsão!AD26)</f>
        <v>526.03857947589779</v>
      </c>
      <c r="AE26" s="19">
        <f ca="1">IF(AND(Main!$C$43=1,Main!$K$43=3),$W26,Propulsão!AE26)</f>
        <v>515.24519519441037</v>
      </c>
      <c r="AF26" s="19">
        <f ca="1">IF(AND(Main!$C$43=1,Main!$K$43=4),$W26,Propulsão!AF26)</f>
        <v>508.89802392741927</v>
      </c>
      <c r="AG26" s="19">
        <f ca="1">IF(AND(Main!$C$43=1,Main!$K$43=5),$W26,Propulsão!AG26)</f>
        <v>504.84148326832963</v>
      </c>
      <c r="AI26" s="16">
        <f>Main!$B26</f>
        <v>0.33333333333333326</v>
      </c>
      <c r="AJ26" s="16">
        <f ca="1">IF(Main!$C$43=2,Main!$C26,AJ26)</f>
        <v>2.1111111111111112</v>
      </c>
      <c r="AK26" s="19">
        <f ca="1">IF(AND(Main!$C$43=2,Main!$K$43=1),$W26,Propulsão!AK26)</f>
        <v>57.277080119753592</v>
      </c>
      <c r="AL26" s="19">
        <f ca="1">IF(AND(Main!$C$43=2,Main!$K$43=2),$W26,Propulsão!AL26)</f>
        <v>396.35850516754778</v>
      </c>
      <c r="AM26" s="19">
        <f ca="1">IF(AND(Main!$C$43=2,Main!$K$43=3),$W26,Propulsão!AM26)</f>
        <v>388.08248394336107</v>
      </c>
      <c r="AN26" s="19">
        <f ca="1">IF(AND(Main!$C$43=2,Main!$K$43=4),$W26,Propulsão!AN26)</f>
        <v>383.21646780223665</v>
      </c>
      <c r="AO26" s="19">
        <f ca="1">IF(AND(Main!$C$43=2,Main!$K$43=5),$W26,Propulsão!AO26)</f>
        <v>380.1068502785896</v>
      </c>
      <c r="AP26" s="16"/>
      <c r="AQ26" s="16">
        <f>Main!$B26</f>
        <v>0.33333333333333326</v>
      </c>
      <c r="AR26" s="16">
        <f ca="1">IF(Main!$C$43=3,Main!$C26,AR26)</f>
        <v>2.2222222222222223</v>
      </c>
      <c r="AS26" s="19">
        <f ca="1">IF(AND(Main!$C$43=3,Main!$K$43=1),$W26,Propulsão!AS26)</f>
        <v>55.597418928955996</v>
      </c>
      <c r="AT26" s="19">
        <f ca="1">IF(AND(Main!$C$43=3,Main!$K$43=2),$W26,Propulsão!AT26)</f>
        <v>317.43974380013969</v>
      </c>
      <c r="AU26" s="19">
        <f ca="1">IF(AND(Main!$C$43=3,Main!$K$43=3),$W26,Propulsão!AU26)</f>
        <v>310.71143665048123</v>
      </c>
      <c r="AV26" s="19">
        <f ca="1">IF(AND(Main!$C$43=3,Main!$K$43=4),$W26,Propulsão!AV26)</f>
        <v>306.75590791569641</v>
      </c>
      <c r="AW26" s="19">
        <f ca="1">IF(AND(Main!$C$43=3,Main!$K$43=5),$W26,Propulsão!AW26)</f>
        <v>304.22831903279604</v>
      </c>
      <c r="AX26" s="20"/>
      <c r="AY26" s="6"/>
      <c r="AZ26" s="6"/>
      <c r="BA26" s="6"/>
    </row>
    <row r="27" spans="2:53">
      <c r="B27" s="16">
        <f>ISA!E27</f>
        <v>1.2249994633486807</v>
      </c>
      <c r="C27" s="4">
        <f>ISA!G27</f>
        <v>1.783E-5</v>
      </c>
      <c r="E27" s="13">
        <f ca="1">'Aerodynamics-Takeoff'!H27</f>
        <v>12.863499584985497</v>
      </c>
      <c r="G27" s="31">
        <f>Main!K27</f>
        <v>0.30499999999999999</v>
      </c>
      <c r="H27" s="12">
        <f>Stability!J27/0.6</f>
        <v>2.9722222222222223</v>
      </c>
      <c r="J27" s="1">
        <f t="shared" si="4"/>
        <v>0.96463316312819136</v>
      </c>
      <c r="K27" s="27">
        <f t="shared" ca="1" si="5"/>
        <v>2626787.6697483542</v>
      </c>
      <c r="L27" s="10">
        <f ca="1">0.455/((LOG10(K27))^2.58*(1+0.144*E27/ISA!F27)^0.65)</f>
        <v>3.7423029436322642E-3</v>
      </c>
      <c r="M27" s="1">
        <f t="shared" ca="1" si="6"/>
        <v>0.96239394507755338</v>
      </c>
      <c r="O27" s="19">
        <f ca="1">'Aerodynamics-Takeoff'!BL27</f>
        <v>39.09194167769472</v>
      </c>
      <c r="P27" s="20">
        <f ca="1">'Aerodynamics-Takeoff'!E27/'Aerodynamics-Takeoff'!BK27</f>
        <v>7.1443142901650454</v>
      </c>
      <c r="Q27" s="20">
        <f t="shared" ca="1" si="1"/>
        <v>12.408558293562738</v>
      </c>
      <c r="R27" s="20">
        <f t="shared" ca="1" si="2"/>
        <v>2.6503934825738362</v>
      </c>
      <c r="S27" s="16">
        <f t="shared" ca="1" si="3"/>
        <v>0.65026939909511483</v>
      </c>
      <c r="T27" s="14">
        <f t="shared" ca="1" si="7"/>
        <v>60.116532827922214</v>
      </c>
      <c r="V27" s="1">
        <f>IF($N$3=1,$J$9,IF($N$3=2,1,IF($N$3=3,#REF!/#REF!,T27)))</f>
        <v>0.7</v>
      </c>
      <c r="W27" s="14">
        <f ca="1">IF($N$3=1,T27,IF($N$3=2,PropulsãoCombustão!I27,IF($N$3=3,#REF!,T27)))</f>
        <v>60.116532827922214</v>
      </c>
      <c r="Z27" s="20"/>
      <c r="AA27" s="16">
        <f>Main!$B27</f>
        <v>0.33333333333333326</v>
      </c>
      <c r="AB27" s="16">
        <f ca="1">IF(Main!$C$43=1,Main!$C27,AB27)</f>
        <v>4.9473684210526319</v>
      </c>
      <c r="AC27" s="19">
        <f ca="1">IF(AND(Main!$C$43=1,Main!$K$43=1),$W27,Propulsão!AC27)</f>
        <v>59.429643970674022</v>
      </c>
      <c r="AD27" s="19">
        <f ca="1">IF(AND(Main!$C$43=1,Main!$K$43=2),$W27,Propulsão!AD27)</f>
        <v>513.20290819876595</v>
      </c>
      <c r="AE27" s="19">
        <f ca="1">IF(AND(Main!$C$43=1,Main!$K$43=3),$W27,Propulsão!AE27)</f>
        <v>502.53719911381137</v>
      </c>
      <c r="AF27" s="19">
        <f ca="1">IF(AND(Main!$C$43=1,Main!$K$43=4),$W27,Propulsão!AF27)</f>
        <v>496.26409979109928</v>
      </c>
      <c r="AG27" s="19">
        <f ca="1">IF(AND(Main!$C$43=1,Main!$K$43=5),$W27,Propulsão!AG27)</f>
        <v>492.25448867800583</v>
      </c>
      <c r="AI27" s="16">
        <f>Main!$B27</f>
        <v>0.33333333333333326</v>
      </c>
      <c r="AJ27" s="16">
        <f ca="1">IF(Main!$C$43=2,Main!$C27,AJ27)</f>
        <v>2.1111111111111112</v>
      </c>
      <c r="AK27" s="19">
        <f ca="1">IF(AND(Main!$C$43=2,Main!$K$43=1),$W27,Propulsão!AK27)</f>
        <v>57.320941692820391</v>
      </c>
      <c r="AL27" s="19">
        <f ca="1">IF(AND(Main!$C$43=2,Main!$K$43=2),$W27,Propulsão!AL27)</f>
        <v>386.98509289729543</v>
      </c>
      <c r="AM27" s="19">
        <f ca="1">IF(AND(Main!$C$43=2,Main!$K$43=3),$W27,Propulsão!AM27)</f>
        <v>378.7995318021666</v>
      </c>
      <c r="AN27" s="19">
        <f ca="1">IF(AND(Main!$C$43=2,Main!$K$43=4),$W27,Propulsão!AN27)</f>
        <v>373.98588298780732</v>
      </c>
      <c r="AO27" s="19">
        <f ca="1">IF(AND(Main!$C$43=2,Main!$K$43=5),$W27,Propulsão!AO27)</f>
        <v>370.90939653102788</v>
      </c>
      <c r="AP27" s="16"/>
      <c r="AQ27" s="16">
        <f>Main!$B27</f>
        <v>0.33333333333333326</v>
      </c>
      <c r="AR27" s="16">
        <f ca="1">IF(Main!$C$43=3,Main!$C27,AR27)</f>
        <v>2.2222222222222223</v>
      </c>
      <c r="AS27" s="19">
        <f ca="1">IF(AND(Main!$C$43=3,Main!$K$43=1),$W27,Propulsão!AS27)</f>
        <v>55.732394520495262</v>
      </c>
      <c r="AT27" s="19">
        <f ca="1">IF(AND(Main!$C$43=3,Main!$K$43=2),$W27,Propulsão!AT27)</f>
        <v>310.1639608909984</v>
      </c>
      <c r="AU27" s="19">
        <f ca="1">IF(AND(Main!$C$43=3,Main!$K$43=3),$W27,Propulsão!AU27)</f>
        <v>303.50363746401229</v>
      </c>
      <c r="AV27" s="19">
        <f ca="1">IF(AND(Main!$C$43=3,Main!$K$43=4),$W27,Propulsão!AV27)</f>
        <v>299.5873743189934</v>
      </c>
      <c r="AW27" s="19">
        <f ca="1">IF(AND(Main!$C$43=3,Main!$K$43=5),$W27,Propulsão!AW27)</f>
        <v>297.0845900136016</v>
      </c>
      <c r="AX27" s="20"/>
      <c r="AY27" s="6"/>
      <c r="AZ27" s="6"/>
      <c r="BA27" s="6"/>
    </row>
    <row r="28" spans="2:53">
      <c r="B28" s="16">
        <f>ISA!E28</f>
        <v>1.2249994633486807</v>
      </c>
      <c r="C28" s="4">
        <f>ISA!G28</f>
        <v>1.783E-5</v>
      </c>
      <c r="E28" s="13">
        <f ca="1">'Aerodynamics-Takeoff'!H28</f>
        <v>12.658704743682229</v>
      </c>
      <c r="G28" s="31">
        <f>Main!K28</f>
        <v>0.30499999999999999</v>
      </c>
      <c r="H28" s="12">
        <f>Stability!J28/0.6</f>
        <v>2.9722222222222223</v>
      </c>
      <c r="J28" s="1">
        <f t="shared" si="4"/>
        <v>0.96463316312819136</v>
      </c>
      <c r="K28" s="27">
        <f t="shared" ca="1" si="5"/>
        <v>2584967.5911290487</v>
      </c>
      <c r="L28" s="10">
        <f ca="1">0.455/((LOG10(K28))^2.58*(1+0.144*E28/ISA!F28)^0.65)</f>
        <v>3.7530166511475049E-3</v>
      </c>
      <c r="M28" s="1">
        <f t="shared" ca="1" si="6"/>
        <v>0.96228628402517202</v>
      </c>
      <c r="O28" s="19">
        <f ca="1">'Aerodynamics-Takeoff'!BL28</f>
        <v>37.677480394199868</v>
      </c>
      <c r="P28" s="20">
        <f ca="1">'Aerodynamics-Takeoff'!E28/'Aerodynamics-Takeoff'!BK28</f>
        <v>6.992409739062289</v>
      </c>
      <c r="Q28" s="20">
        <f t="shared" ca="1" si="1"/>
        <v>12.211006398004029</v>
      </c>
      <c r="R28" s="20">
        <f t="shared" ca="1" si="2"/>
        <v>2.631812917104317</v>
      </c>
      <c r="S28" s="16">
        <f t="shared" ca="1" si="3"/>
        <v>0.64916217408679289</v>
      </c>
      <c r="T28" s="14">
        <f t="shared" ca="1" si="7"/>
        <v>58.040166075915565</v>
      </c>
      <c r="V28" s="1">
        <f>IF($N$3=1,$J$9,IF($N$3=2,1,IF($N$3=3,#REF!/#REF!,T28)))</f>
        <v>0.7</v>
      </c>
      <c r="W28" s="14">
        <f ca="1">IF($N$3=1,T28,IF($N$3=2,PropulsãoCombustão!I28,IF($N$3=3,#REF!,T28)))</f>
        <v>58.040166075915565</v>
      </c>
      <c r="Z28" s="20"/>
      <c r="AA28" s="16">
        <f>Main!$B28</f>
        <v>0.33333333333333326</v>
      </c>
      <c r="AB28" s="16">
        <f ca="1">IF(Main!$C$43=1,Main!$C28,AB28)</f>
        <v>5.1052631578947372</v>
      </c>
      <c r="AC28" s="19">
        <f ca="1">IF(AND(Main!$C$43=1,Main!$K$43=1),$W28,Propulsão!AC28)</f>
        <v>59.599636844052753</v>
      </c>
      <c r="AD28" s="19">
        <f ca="1">IF(AND(Main!$C$43=1,Main!$K$43=2),$W28,Propulsão!AD28)</f>
        <v>501.9279475393941</v>
      </c>
      <c r="AE28" s="19">
        <f ca="1">IF(AND(Main!$C$43=1,Main!$K$43=3),$W28,Propulsão!AE28)</f>
        <v>491.35876811786227</v>
      </c>
      <c r="AF28" s="19">
        <f ca="1">IF(AND(Main!$C$43=1,Main!$K$43=4),$W28,Propulsão!AF28)</f>
        <v>485.1413629288985</v>
      </c>
      <c r="AG28" s="19">
        <f ca="1">IF(AND(Main!$C$43=1,Main!$K$43=5),$W28,Propulsão!AG28)</f>
        <v>481.16690902911108</v>
      </c>
      <c r="AI28" s="16">
        <f>Main!$B28</f>
        <v>0.33333333333333326</v>
      </c>
      <c r="AJ28" s="16">
        <f ca="1">IF(Main!$C$43=2,Main!$C28,AJ28)</f>
        <v>2.1111111111111112</v>
      </c>
      <c r="AK28" s="19">
        <f ca="1">IF(AND(Main!$C$43=2,Main!$K$43=1),$W28,Propulsão!AK28)</f>
        <v>57.578932781688557</v>
      </c>
      <c r="AL28" s="19">
        <f ca="1">IF(AND(Main!$C$43=2,Main!$K$43=2),$W28,Propulsão!AL28)</f>
        <v>378.76342790133833</v>
      </c>
      <c r="AM28" s="19">
        <f ca="1">IF(AND(Main!$C$43=2,Main!$K$43=3),$W28,Propulsão!AM28)</f>
        <v>370.64476537257985</v>
      </c>
      <c r="AN28" s="19">
        <f ca="1">IF(AND(Main!$C$43=2,Main!$K$43=4),$W28,Propulsão!AN28)</f>
        <v>365.86957966392305</v>
      </c>
      <c r="AO28" s="19">
        <f ca="1">IF(AND(Main!$C$43=2,Main!$K$43=5),$W28,Propulsão!AO28)</f>
        <v>362.81731684676089</v>
      </c>
      <c r="AP28" s="16"/>
      <c r="AQ28" s="16">
        <f>Main!$B28</f>
        <v>0.33333333333333326</v>
      </c>
      <c r="AR28" s="16">
        <f ca="1">IF(Main!$C$43=3,Main!$C28,AR28)</f>
        <v>2.2222222222222223</v>
      </c>
      <c r="AS28" s="19">
        <f ca="1">IF(AND(Main!$C$43=3,Main!$K$43=1),$W28,Propulsão!AS28)</f>
        <v>56.067328606698666</v>
      </c>
      <c r="AT28" s="19">
        <f ca="1">IF(AND(Main!$C$43=3,Main!$K$43=2),$W28,Propulsão!AT28)</f>
        <v>303.7908094293133</v>
      </c>
      <c r="AU28" s="19">
        <f ca="1">IF(AND(Main!$C$43=3,Main!$K$43=3),$W28,Propulsão!AU28)</f>
        <v>297.17962185879873</v>
      </c>
      <c r="AV28" s="19">
        <f ca="1">IF(AND(Main!$C$43=3,Main!$K$43=4),$W28,Propulsão!AV28)</f>
        <v>293.29150051793124</v>
      </c>
      <c r="AW28" s="19">
        <f ca="1">IF(AND(Main!$C$43=3,Main!$K$43=5),$W28,Propulsão!AW28)</f>
        <v>290.80639395753968</v>
      </c>
      <c r="AX28" s="20"/>
      <c r="AY28" s="6"/>
      <c r="AZ28" s="6"/>
      <c r="BA28" s="6"/>
    </row>
    <row r="29" spans="2:53">
      <c r="B29" s="16">
        <f>ISA!E29</f>
        <v>1.2249994633486807</v>
      </c>
      <c r="C29" s="4">
        <f>ISA!G29</f>
        <v>1.783E-5</v>
      </c>
      <c r="E29" s="13">
        <f ca="1">'Aerodynamics-Takeoff'!H29</f>
        <v>12.409597035986524</v>
      </c>
      <c r="G29" s="31">
        <f>Main!K29</f>
        <v>0.30499999999999999</v>
      </c>
      <c r="H29" s="12">
        <f>Stability!J29/0.6</f>
        <v>2.9722222222222223</v>
      </c>
      <c r="J29" s="1">
        <f t="shared" si="4"/>
        <v>0.96463316312819136</v>
      </c>
      <c r="K29" s="27">
        <f t="shared" ca="1" si="5"/>
        <v>2534098.6148686442</v>
      </c>
      <c r="L29" s="10">
        <f ca="1">0.455/((LOG10(K29))^2.58*(1+0.144*E29/ISA!F29)^0.65)</f>
        <v>3.7663384837176555E-3</v>
      </c>
      <c r="M29" s="1">
        <f t="shared" ca="1" si="6"/>
        <v>0.96215241416619834</v>
      </c>
      <c r="O29" s="19">
        <f ca="1">'Aerodynamics-Takeoff'!BL29</f>
        <v>35.93775682241062</v>
      </c>
      <c r="P29" s="20">
        <f ca="1">'Aerodynamics-Takeoff'!E29/'Aerodynamics-Takeoff'!BK29</f>
        <v>6.7972927909056731</v>
      </c>
      <c r="Q29" s="20">
        <f t="shared" ca="1" si="1"/>
        <v>11.970708841969909</v>
      </c>
      <c r="R29" s="20">
        <f t="shared" ca="1" si="2"/>
        <v>2.6052193904663383</v>
      </c>
      <c r="S29" s="16">
        <f t="shared" ca="1" si="3"/>
        <v>0.64794981883076119</v>
      </c>
      <c r="T29" s="14">
        <f t="shared" ca="1" si="7"/>
        <v>55.463796389759075</v>
      </c>
      <c r="V29" s="1">
        <f>IF($N$3=1,$J$9,IF($N$3=2,1,IF($N$3=3,#REF!/#REF!,T29)))</f>
        <v>0.7</v>
      </c>
      <c r="W29" s="14">
        <f ca="1">IF($N$3=1,T29,IF($N$3=2,PropulsãoCombustão!I29,IF($N$3=3,#REF!,T29)))</f>
        <v>55.463796389759075</v>
      </c>
      <c r="Z29" s="20"/>
      <c r="AA29" s="16">
        <f>Main!$B29</f>
        <v>0.33333333333333326</v>
      </c>
      <c r="AB29" s="16">
        <f ca="1">IF(Main!$C$43=1,Main!$C29,AB29)</f>
        <v>5.2631578947368425</v>
      </c>
      <c r="AC29" s="19">
        <f ca="1">IF(AND(Main!$C$43=1,Main!$K$43=1),$W29,Propulsão!AC29)</f>
        <v>59.983434152243426</v>
      </c>
      <c r="AD29" s="19">
        <f ca="1">IF(AND(Main!$C$43=1,Main!$K$43=2),$W29,Propulsão!AD29)</f>
        <v>492.0131358410203</v>
      </c>
      <c r="AE29" s="19">
        <f ca="1">IF(AND(Main!$C$43=1,Main!$K$43=3),$W29,Propulsão!AE29)</f>
        <v>481.5128590041648</v>
      </c>
      <c r="AF29" s="19">
        <f ca="1">IF(AND(Main!$C$43=1,Main!$K$43=4),$W29,Propulsão!AF29)</f>
        <v>475.33483022117906</v>
      </c>
      <c r="AG29" s="19">
        <f ca="1">IF(AND(Main!$C$43=1,Main!$K$43=5),$W29,Propulsão!AG29)</f>
        <v>471.38507402227339</v>
      </c>
      <c r="AI29" s="16">
        <f>Main!$B29</f>
        <v>0.33333333333333326</v>
      </c>
      <c r="AJ29" s="16">
        <f ca="1">IF(Main!$C$43=2,Main!$C29,AJ29)</f>
        <v>2.1111111111111112</v>
      </c>
      <c r="AK29" s="19">
        <f ca="1">IF(AND(Main!$C$43=2,Main!$K$43=1),$W29,Propulsão!AK29)</f>
        <v>58.03485155148126</v>
      </c>
      <c r="AL29" s="19">
        <f ca="1">IF(AND(Main!$C$43=2,Main!$K$43=2),$W29,Propulsão!AL29)</f>
        <v>371.54653524077804</v>
      </c>
      <c r="AM29" s="19">
        <f ca="1">IF(AND(Main!$C$43=2,Main!$K$43=3),$W29,Propulsão!AM29)</f>
        <v>363.47381803475776</v>
      </c>
      <c r="AN29" s="19">
        <f ca="1">IF(AND(Main!$C$43=2,Main!$K$43=4),$W29,Propulsão!AN29)</f>
        <v>358.72471738527048</v>
      </c>
      <c r="AO29" s="19">
        <f ca="1">IF(AND(Main!$C$43=2,Main!$K$43=5),$W29,Propulsão!AO29)</f>
        <v>355.68874293143557</v>
      </c>
      <c r="AP29" s="16"/>
      <c r="AQ29" s="16">
        <f>Main!$B29</f>
        <v>0.33333333333333326</v>
      </c>
      <c r="AR29" s="16">
        <f ca="1">IF(Main!$C$43=3,Main!$C29,AR29)</f>
        <v>2.2222222222222223</v>
      </c>
      <c r="AS29" s="19">
        <f ca="1">IF(AND(Main!$C$43=3,Main!$K$43=1),$W29,Propulsão!AS29)</f>
        <v>56.58854846420752</v>
      </c>
      <c r="AT29" s="19">
        <f ca="1">IF(AND(Main!$C$43=3,Main!$K$43=2),$W29,Propulsão!AT29)</f>
        <v>298.20580436928697</v>
      </c>
      <c r="AU29" s="19">
        <f ca="1">IF(AND(Main!$C$43=3,Main!$K$43=3),$W29,Propulsão!AU29)</f>
        <v>291.62695758024194</v>
      </c>
      <c r="AV29" s="19">
        <f ca="1">IF(AND(Main!$C$43=3,Main!$K$43=4),$W29,Propulsão!AV29)</f>
        <v>287.75705472263019</v>
      </c>
      <c r="AW29" s="19">
        <f ca="1">IF(AND(Main!$C$43=3,Main!$K$43=5),$W29,Propulsão!AW29)</f>
        <v>285.28326347408137</v>
      </c>
      <c r="AX29" s="20"/>
      <c r="AY29" s="6"/>
      <c r="AZ29" s="6"/>
      <c r="BA29" s="6"/>
    </row>
    <row r="30" spans="2:53">
      <c r="B30" s="16">
        <f>ISA!E30</f>
        <v>1.2249994633486807</v>
      </c>
      <c r="C30" s="4">
        <f>ISA!G30</f>
        <v>1.783E-5</v>
      </c>
      <c r="E30" s="13">
        <f ca="1">'Aerodynamics-Takeoff'!H30</f>
        <v>12.177080745869123</v>
      </c>
      <c r="G30" s="31">
        <f>Main!K30</f>
        <v>0.30499999999999999</v>
      </c>
      <c r="H30" s="12">
        <f>Stability!J30/0.6</f>
        <v>2.9722222222222223</v>
      </c>
      <c r="J30" s="1">
        <f t="shared" si="4"/>
        <v>0.96463316312819136</v>
      </c>
      <c r="K30" s="27">
        <f t="shared" ca="1" si="5"/>
        <v>2486617.6848261757</v>
      </c>
      <c r="L30" s="10">
        <f ca="1">0.455/((LOG10(K30))^2.58*(1+0.144*E30/ISA!F30)^0.65)</f>
        <v>3.7790722540516622E-3</v>
      </c>
      <c r="M30" s="1">
        <f t="shared" ca="1" si="6"/>
        <v>0.96202445369005218</v>
      </c>
      <c r="O30" s="19">
        <f ca="1">'Aerodynamics-Takeoff'!BL30</f>
        <v>34.370891637222044</v>
      </c>
      <c r="P30" s="20">
        <f ca="1">'Aerodynamics-Takeoff'!E30/'Aerodynamics-Takeoff'!BK30</f>
        <v>6.6194007073477943</v>
      </c>
      <c r="Q30" s="20">
        <f t="shared" ca="1" si="1"/>
        <v>11.746415917555128</v>
      </c>
      <c r="R30" s="20">
        <f t="shared" ca="1" si="2"/>
        <v>2.5810369876746071</v>
      </c>
      <c r="S30" s="16">
        <f t="shared" ca="1" si="3"/>
        <v>0.6467498677631246</v>
      </c>
      <c r="T30" s="14">
        <f t="shared" ca="1" si="7"/>
        <v>53.14402576702274</v>
      </c>
      <c r="V30" s="1">
        <f>IF($N$3=1,$J$9,IF($N$3=2,1,IF($N$3=3,#REF!/#REF!,T30)))</f>
        <v>0.7</v>
      </c>
      <c r="W30" s="14">
        <f ca="1">IF($N$3=1,T30,IF($N$3=2,PropulsãoCombustão!I30,IF($N$3=3,#REF!,T30)))</f>
        <v>53.14402576702274</v>
      </c>
      <c r="Z30" s="20"/>
      <c r="AA30" s="16">
        <f>Main!$B30</f>
        <v>0.33333333333333326</v>
      </c>
      <c r="AB30" s="16">
        <f ca="1">IF(Main!$C$43=1,Main!$C30,AB30)</f>
        <v>5.4210526315789478</v>
      </c>
      <c r="AC30" s="19">
        <f ca="1">IF(AND(Main!$C$43=1,Main!$K$43=1),$W30,Propulsão!AC30)</f>
        <v>60.567798010231179</v>
      </c>
      <c r="AD30" s="19">
        <f ca="1">IF(AND(Main!$C$43=1,Main!$K$43=2),$W30,Propulsão!AD30)</f>
        <v>483.28978911863203</v>
      </c>
      <c r="AE30" s="19">
        <f ca="1">IF(AND(Main!$C$43=1,Main!$K$43=3),$W30,Propulsão!AE30)</f>
        <v>472.8337403510269</v>
      </c>
      <c r="AF30" s="19">
        <f ca="1">IF(AND(Main!$C$43=1,Main!$K$43=4),$W30,Propulsão!AF30)</f>
        <v>466.6804980747666</v>
      </c>
      <c r="AG30" s="19">
        <f ca="1">IF(AND(Main!$C$43=1,Main!$K$43=5),$W30,Propulsão!AG30)</f>
        <v>462.74608072341277</v>
      </c>
      <c r="AI30" s="16">
        <f>Main!$B30</f>
        <v>0.33333333333333326</v>
      </c>
      <c r="AJ30" s="16">
        <f ca="1">IF(Main!$C$43=2,Main!$C30,AJ30)</f>
        <v>2.1111111111111112</v>
      </c>
      <c r="AK30" s="19">
        <f ca="1">IF(AND(Main!$C$43=2,Main!$K$43=1),$W30,Propulsão!AK30)</f>
        <v>58.677898556864186</v>
      </c>
      <c r="AL30" s="19">
        <f ca="1">IF(AND(Main!$C$43=2,Main!$K$43=2),$W30,Propulsão!AL30)</f>
        <v>365.21074911941878</v>
      </c>
      <c r="AM30" s="19">
        <f ca="1">IF(AND(Main!$C$43=2,Main!$K$43=3),$W30,Propulsão!AM30)</f>
        <v>357.1652116474167</v>
      </c>
      <c r="AN30" s="19">
        <f ca="1">IF(AND(Main!$C$43=2,Main!$K$43=4),$W30,Propulsão!AN30)</f>
        <v>352.4310972420011</v>
      </c>
      <c r="AO30" s="19">
        <f ca="1">IF(AND(Main!$C$43=2,Main!$K$43=5),$W30,Propulsão!AO30)</f>
        <v>349.40429035431117</v>
      </c>
      <c r="AP30" s="16"/>
      <c r="AQ30" s="16">
        <f>Main!$B30</f>
        <v>0.33333333333333326</v>
      </c>
      <c r="AR30" s="16">
        <f ca="1">IF(Main!$C$43=3,Main!$C30,AR30)</f>
        <v>2.2222222222222223</v>
      </c>
      <c r="AS30" s="19">
        <f ca="1">IF(AND(Main!$C$43=3,Main!$K$43=1),$W30,Propulsão!AS30)</f>
        <v>57.287182297805209</v>
      </c>
      <c r="AT30" s="19">
        <f ca="1">IF(AND(Main!$C$43=3,Main!$K$43=2),$W30,Propulsão!AT30)</f>
        <v>293.3125775971169</v>
      </c>
      <c r="AU30" s="19">
        <f ca="1">IF(AND(Main!$C$43=3,Main!$K$43=3),$W30,Propulsão!AU30)</f>
        <v>286.75099781851088</v>
      </c>
      <c r="AV30" s="19">
        <f ca="1">IF(AND(Main!$C$43=3,Main!$K$43=4),$W30,Propulsão!AV30)</f>
        <v>282.8903960273957</v>
      </c>
      <c r="AW30" s="19">
        <f ca="1">IF(AND(Main!$C$43=3,Main!$K$43=5),$W30,Propulsão!AW30)</f>
        <v>280.42219784184664</v>
      </c>
      <c r="AX30" s="20"/>
      <c r="AY30" s="6"/>
      <c r="AZ30" s="6"/>
      <c r="BA30" s="6"/>
    </row>
    <row r="31" spans="2:53">
      <c r="B31" s="16">
        <f>ISA!E31</f>
        <v>1.2249994633486807</v>
      </c>
      <c r="C31" s="4">
        <f>ISA!G31</f>
        <v>1.783E-5</v>
      </c>
      <c r="E31" s="13">
        <f ca="1">'Aerodynamics-Takeoff'!H31</f>
        <v>11.959376547462874</v>
      </c>
      <c r="G31" s="31">
        <f>Main!K31</f>
        <v>0.30499999999999999</v>
      </c>
      <c r="H31" s="12">
        <f>Stability!J31/0.6</f>
        <v>2.9722222222222223</v>
      </c>
      <c r="J31" s="1">
        <f t="shared" si="4"/>
        <v>0.96463316312819136</v>
      </c>
      <c r="K31" s="27">
        <f t="shared" ca="1" si="5"/>
        <v>2442161.4542142921</v>
      </c>
      <c r="L31" s="10">
        <f ca="1">0.455/((LOG10(K31))^2.58*(1+0.144*E31/ISA!F31)^0.65)</f>
        <v>3.7912681527740677E-3</v>
      </c>
      <c r="M31" s="1">
        <f t="shared" ca="1" si="6"/>
        <v>0.96190189823580607</v>
      </c>
      <c r="O31" s="19">
        <f ca="1">'Aerodynamics-Takeoff'!BL31</f>
        <v>32.953449700554543</v>
      </c>
      <c r="P31" s="20">
        <f ca="1">'Aerodynamics-Takeoff'!E31/'Aerodynamics-Takeoff'!BK31</f>
        <v>6.4566880320945197</v>
      </c>
      <c r="Q31" s="20">
        <f t="shared" ca="1" si="1"/>
        <v>11.536411228020221</v>
      </c>
      <c r="R31" s="20">
        <f t="shared" ca="1" si="2"/>
        <v>2.5590314791676168</v>
      </c>
      <c r="S31" s="16">
        <f t="shared" ca="1" si="3"/>
        <v>0.64556004330323458</v>
      </c>
      <c r="T31" s="14">
        <f t="shared" ca="1" si="7"/>
        <v>51.046296998086575</v>
      </c>
      <c r="V31" s="1">
        <f>IF($N$3=1,$J$9,IF($N$3=2,1,IF($N$3=3,#REF!/#REF!,T31)))</f>
        <v>0.7</v>
      </c>
      <c r="W31" s="14">
        <f ca="1">IF($N$3=1,T31,IF($N$3=2,PropulsãoCombustão!I31,IF($N$3=3,#REF!,T31)))</f>
        <v>51.046296998086575</v>
      </c>
      <c r="Z31" s="20"/>
      <c r="AA31" s="16">
        <f>Main!$B31</f>
        <v>0.33333333333333326</v>
      </c>
      <c r="AB31" s="16">
        <f ca="1">IF(Main!$C$43=1,Main!$C31,AB31)</f>
        <v>5.5789473684210531</v>
      </c>
      <c r="AC31" s="19">
        <f ca="1">IF(AND(Main!$C$43=1,Main!$K$43=1),$W31,Propulsão!AC31)</f>
        <v>61.344601308227823</v>
      </c>
      <c r="AD31" s="19">
        <f ca="1">IF(AND(Main!$C$43=1,Main!$K$43=2),$W31,Propulsão!AD31)</f>
        <v>475.61512750833322</v>
      </c>
      <c r="AE31" s="19">
        <f ca="1">IF(AND(Main!$C$43=1,Main!$K$43=3),$W31,Propulsão!AE31)</f>
        <v>465.18112663628222</v>
      </c>
      <c r="AF31" s="19">
        <f ca="1">IF(AND(Main!$C$43=1,Main!$K$43=4),$W31,Propulsão!AF31)</f>
        <v>459.0395397436011</v>
      </c>
      <c r="AG31" s="19">
        <f ca="1">IF(AND(Main!$C$43=1,Main!$K$43=5),$W31,Propulsão!AG31)</f>
        <v>455.11203123214926</v>
      </c>
      <c r="AI31" s="16">
        <f>Main!$B31</f>
        <v>0.33333333333333326</v>
      </c>
      <c r="AJ31" s="16">
        <f ca="1">IF(Main!$C$43=2,Main!$C31,AJ31)</f>
        <v>2.1111111111111112</v>
      </c>
      <c r="AK31" s="19">
        <f ca="1">IF(AND(Main!$C$43=2,Main!$K$43=1),$W31,Propulsão!AK31)</f>
        <v>59.501763577833195</v>
      </c>
      <c r="AL31" s="19">
        <f ca="1">IF(AND(Main!$C$43=2,Main!$K$43=2),$W31,Propulsão!AL31)</f>
        <v>359.65135288224019</v>
      </c>
      <c r="AM31" s="19">
        <f ca="1">IF(AND(Main!$C$43=2,Main!$K$43=3),$W31,Propulsão!AM31)</f>
        <v>351.61607641798611</v>
      </c>
      <c r="AN31" s="19">
        <f ca="1">IF(AND(Main!$C$43=2,Main!$K$43=4),$W31,Propulsão!AN31)</f>
        <v>346.88692859870247</v>
      </c>
      <c r="AO31" s="19">
        <f ca="1">IF(AND(Main!$C$43=2,Main!$K$43=5),$W31,Propulsão!AO31)</f>
        <v>343.86285520172129</v>
      </c>
      <c r="AP31" s="16"/>
      <c r="AQ31" s="16">
        <f>Main!$B31</f>
        <v>0.33333333333333326</v>
      </c>
      <c r="AR31" s="16">
        <f ca="1">IF(Main!$C$43=3,Main!$C31,AR31)</f>
        <v>2.2222222222222223</v>
      </c>
      <c r="AS31" s="19">
        <f ca="1">IF(AND(Main!$C$43=3,Main!$K$43=1),$W31,Propulsão!AS31)</f>
        <v>58.158406214090363</v>
      </c>
      <c r="AT31" s="19">
        <f ca="1">IF(AND(Main!$C$43=3,Main!$K$43=2),$W31,Propulsão!AT31)</f>
        <v>289.02949514417804</v>
      </c>
      <c r="AU31" s="19">
        <f ca="1">IF(AND(Main!$C$43=3,Main!$K$43=3),$W31,Propulsão!AU31)</f>
        <v>282.47156123190797</v>
      </c>
      <c r="AV31" s="19">
        <f ca="1">IF(AND(Main!$C$43=3,Main!$K$43=4),$W31,Propulsão!AV31)</f>
        <v>278.61219128078858</v>
      </c>
      <c r="AW31" s="19">
        <f ca="1">IF(AND(Main!$C$43=3,Main!$K$43=5),$W31,Propulsão!AW31)</f>
        <v>276.14440339228275</v>
      </c>
      <c r="AX31" s="20"/>
      <c r="AY31" s="6"/>
      <c r="AZ31" s="6"/>
      <c r="BA31" s="6"/>
    </row>
    <row r="32" spans="2:53">
      <c r="B32" s="16">
        <f>ISA!E32</f>
        <v>1.2249994633486807</v>
      </c>
      <c r="C32" s="4">
        <f>ISA!G32</f>
        <v>1.783E-5</v>
      </c>
      <c r="E32" s="13">
        <f ca="1">'Aerodynamics-Takeoff'!H32</f>
        <v>11.754972136958465</v>
      </c>
      <c r="G32" s="31">
        <f>Main!K32</f>
        <v>0.30499999999999999</v>
      </c>
      <c r="H32" s="12">
        <f>Stability!J32/0.6</f>
        <v>2.9722222222222223</v>
      </c>
      <c r="J32" s="1">
        <f t="shared" si="4"/>
        <v>0.96463316312819136</v>
      </c>
      <c r="K32" s="27">
        <f t="shared" ca="1" si="5"/>
        <v>2400421.1034172294</v>
      </c>
      <c r="L32" s="10">
        <f ca="1">0.455/((LOG10(K32))^2.58*(1+0.144*E32/ISA!F32)^0.65)</f>
        <v>3.8029695848064041E-3</v>
      </c>
      <c r="M32" s="1">
        <f t="shared" ca="1" si="6"/>
        <v>0.96178431163143241</v>
      </c>
      <c r="O32" s="19">
        <f ca="1">'Aerodynamics-Takeoff'!BL32</f>
        <v>31.666120030562798</v>
      </c>
      <c r="P32" s="20">
        <f ca="1">'Aerodynamics-Takeoff'!E32/'Aerodynamics-Takeoff'!BK32</f>
        <v>6.3074452919181772</v>
      </c>
      <c r="Q32" s="20">
        <f t="shared" ca="1" si="1"/>
        <v>11.339235954957999</v>
      </c>
      <c r="R32" s="20">
        <f t="shared" ca="1" si="2"/>
        <v>2.5390052894314685</v>
      </c>
      <c r="S32" s="16">
        <f t="shared" ca="1" si="3"/>
        <v>0.64437829155442528</v>
      </c>
      <c r="T32" s="14">
        <f t="shared" ca="1" si="7"/>
        <v>49.142127296335566</v>
      </c>
      <c r="V32" s="1">
        <f>IF($N$3=1,$J$9,IF($N$3=2,1,IF($N$3=3,#REF!/#REF!,T32)))</f>
        <v>0.7</v>
      </c>
      <c r="W32" s="14">
        <f ca="1">IF($N$3=1,T32,IF($N$3=2,PropulsãoCombustão!I32,IF($N$3=3,#REF!,T32)))</f>
        <v>49.142127296335566</v>
      </c>
      <c r="Z32" s="20"/>
      <c r="AA32" s="16">
        <f>Main!$B32</f>
        <v>0.33333333333333326</v>
      </c>
      <c r="AB32" s="16">
        <f ca="1">IF(Main!$C$43=1,Main!$C32,AB32)</f>
        <v>5.7368421052631584</v>
      </c>
      <c r="AC32" s="19">
        <f ca="1">IF(AND(Main!$C$43=1,Main!$K$43=1),$W32,Propulsão!AC32)</f>
        <v>62.310114599950133</v>
      </c>
      <c r="AD32" s="19">
        <f ca="1">IF(AND(Main!$C$43=1,Main!$K$43=2),$W32,Propulsão!AD32)</f>
        <v>468.86758112058135</v>
      </c>
      <c r="AE32" s="19">
        <f ca="1">IF(AND(Main!$C$43=1,Main!$K$43=3),$W32,Propulsão!AE32)</f>
        <v>458.43556849762592</v>
      </c>
      <c r="AF32" s="19">
        <f ca="1">IF(AND(Main!$C$43=1,Main!$K$43=4),$W32,Propulsão!AF32)</f>
        <v>452.29374514100135</v>
      </c>
      <c r="AG32" s="19">
        <f ca="1">IF(AND(Main!$C$43=1,Main!$K$43=5),$W32,Propulsão!AG32)</f>
        <v>448.36550412976777</v>
      </c>
      <c r="AI32" s="16">
        <f>Main!$B32</f>
        <v>0.33333333333333326</v>
      </c>
      <c r="AJ32" s="16">
        <f ca="1">IF(Main!$C$43=2,Main!$C32,AJ32)</f>
        <v>2.1111111111111112</v>
      </c>
      <c r="AK32" s="19">
        <f ca="1">IF(AND(Main!$C$43=2,Main!$K$43=1),$W32,Propulsão!AK32)</f>
        <v>60.50405960061083</v>
      </c>
      <c r="AL32" s="19">
        <f ca="1">IF(AND(Main!$C$43=2,Main!$K$43=2),$W32,Propulsão!AL32)</f>
        <v>354.77915162895192</v>
      </c>
      <c r="AM32" s="19">
        <f ca="1">IF(AND(Main!$C$43=2,Main!$K$43=3),$W32,Propulsão!AM32)</f>
        <v>346.73878615563763</v>
      </c>
      <c r="AN32" s="19">
        <f ca="1">IF(AND(Main!$C$43=2,Main!$K$43=4),$W32,Propulsão!AN32)</f>
        <v>342.00550110811673</v>
      </c>
      <c r="AO32" s="19">
        <f ca="1">IF(AND(Main!$C$43=2,Main!$K$43=5),$W32,Propulsão!AO32)</f>
        <v>338.97830955507953</v>
      </c>
      <c r="AP32" s="16"/>
      <c r="AQ32" s="16">
        <f>Main!$B32</f>
        <v>0.33333333333333326</v>
      </c>
      <c r="AR32" s="16">
        <f ca="1">IF(Main!$C$43=3,Main!$C32,AR32)</f>
        <v>2.2222222222222223</v>
      </c>
      <c r="AS32" s="19">
        <f ca="1">IF(AND(Main!$C$43=3,Main!$K$43=1),$W32,Propulsão!AS32)</f>
        <v>59.200988077261997</v>
      </c>
      <c r="AT32" s="19">
        <f ca="1">IF(AND(Main!$C$43=3,Main!$K$43=2),$W32,Propulsão!AT32)</f>
        <v>285.28699709004076</v>
      </c>
      <c r="AU32" s="19">
        <f ca="1">IF(AND(Main!$C$43=3,Main!$K$43=3),$W32,Propulsão!AU32)</f>
        <v>278.72032112573589</v>
      </c>
      <c r="AV32" s="19">
        <f ca="1">IF(AND(Main!$C$43=3,Main!$K$43=4),$W32,Propulsão!AV32)</f>
        <v>274.85483317439611</v>
      </c>
      <c r="AW32" s="19">
        <f ca="1">IF(AND(Main!$C$43=3,Main!$K$43=5),$W32,Propulsão!AW32)</f>
        <v>272.38273004826436</v>
      </c>
      <c r="AX32" s="20"/>
      <c r="AY32" s="6"/>
      <c r="AZ32" s="6"/>
      <c r="BA32" s="6"/>
    </row>
    <row r="33" spans="2:53">
      <c r="B33" s="16">
        <f>ISA!E33</f>
        <v>1.2249994633486807</v>
      </c>
      <c r="C33" s="4">
        <f>ISA!G33</f>
        <v>1.783E-5</v>
      </c>
      <c r="E33" s="13">
        <f ca="1">'Aerodynamics-Takeoff'!H33</f>
        <v>11.562571144367805</v>
      </c>
      <c r="G33" s="31">
        <f>Main!K33</f>
        <v>0.30499999999999999</v>
      </c>
      <c r="H33" s="12">
        <f>Stability!J33/0.6</f>
        <v>2.9722222222222223</v>
      </c>
      <c r="J33" s="1">
        <f t="shared" si="4"/>
        <v>0.96463316312819136</v>
      </c>
      <c r="K33" s="27">
        <f t="shared" ca="1" si="5"/>
        <v>2361131.9075304121</v>
      </c>
      <c r="L33" s="10">
        <f ca="1">0.455/((LOG10(K33))^2.58*(1+0.144*E33/ISA!F33)^0.65)</f>
        <v>3.8142144022961116E-3</v>
      </c>
      <c r="M33" s="1">
        <f t="shared" ca="1" si="6"/>
        <v>0.96167131350421498</v>
      </c>
      <c r="O33" s="19">
        <f ca="1">'Aerodynamics-Takeoff'!BL33</f>
        <v>30.492832138472394</v>
      </c>
      <c r="P33" s="20">
        <f ca="1">'Aerodynamics-Takeoff'!E33/'Aerodynamics-Takeoff'!BK33</f>
        <v>6.1702298840567513</v>
      </c>
      <c r="Q33" s="20">
        <f t="shared" ca="1" si="1"/>
        <v>11.153639576886267</v>
      </c>
      <c r="R33" s="20">
        <f t="shared" ca="1" si="2"/>
        <v>2.520790021435042</v>
      </c>
      <c r="S33" s="16">
        <f t="shared" ca="1" si="3"/>
        <v>0.64320276169547319</v>
      </c>
      <c r="T33" s="14">
        <f t="shared" ca="1" si="7"/>
        <v>47.407806611547699</v>
      </c>
      <c r="V33" s="1">
        <f>IF($N$3=1,$J$9,IF($N$3=2,1,IF($N$3=3,#REF!/#REF!,T33)))</f>
        <v>0.7</v>
      </c>
      <c r="W33" s="14">
        <f ca="1">IF($N$3=1,T33,IF($N$3=2,PropulsãoCombustão!I33,IF($N$3=3,#REF!,T33)))</f>
        <v>47.407806611547699</v>
      </c>
      <c r="Z33" s="20"/>
      <c r="AA33" s="16">
        <f>Main!$B33</f>
        <v>0.33333333333333326</v>
      </c>
      <c r="AB33" s="16">
        <f ca="1">IF(Main!$C$43=1,Main!$C33,AB33)</f>
        <v>5.8947368421052637</v>
      </c>
      <c r="AC33" s="19">
        <f ca="1">IF(AND(Main!$C$43=1,Main!$K$43=1),$W33,Propulsão!AC33)</f>
        <v>63.464610808766231</v>
      </c>
      <c r="AD33" s="19">
        <f ca="1">IF(AND(Main!$C$43=1,Main!$K$43=2),$W33,Propulsão!AD33)</f>
        <v>462.94306925753023</v>
      </c>
      <c r="AE33" s="19">
        <f ca="1">IF(AND(Main!$C$43=1,Main!$K$43=3),$W33,Propulsão!AE33)</f>
        <v>452.49479869117403</v>
      </c>
      <c r="AF33" s="19">
        <f ca="1">IF(AND(Main!$C$43=1,Main!$K$43=4),$W33,Propulsão!AF33)</f>
        <v>446.34190598366712</v>
      </c>
      <c r="AG33" s="19">
        <f ca="1">IF(AND(Main!$C$43=1,Main!$K$43=5),$W33,Propulsão!AG33)</f>
        <v>442.40596464233164</v>
      </c>
      <c r="AI33" s="16">
        <f>Main!$B33</f>
        <v>0.33333333333333326</v>
      </c>
      <c r="AJ33" s="16">
        <f ca="1">IF(Main!$C$43=2,Main!$C33,AJ33)</f>
        <v>2.1111111111111112</v>
      </c>
      <c r="AK33" s="19">
        <f ca="1">IF(AND(Main!$C$43=2,Main!$K$43=1),$W33,Propulsão!AK33)</f>
        <v>61.686025135006204</v>
      </c>
      <c r="AL33" s="19">
        <f ca="1">IF(AND(Main!$C$43=2,Main!$K$43=2),$W33,Propulsão!AL33)</f>
        <v>350.5177545960633</v>
      </c>
      <c r="AM33" s="19">
        <f ca="1">IF(AND(Main!$C$43=2,Main!$K$43=3),$W33,Propulsão!AM33)</f>
        <v>342.45829020194782</v>
      </c>
      <c r="AN33" s="19">
        <f ca="1">IF(AND(Main!$C$43=2,Main!$K$43=4),$W33,Propulsão!AN33)</f>
        <v>337.71254572324273</v>
      </c>
      <c r="AO33" s="19">
        <f ca="1">IF(AND(Main!$C$43=2,Main!$K$43=5),$W33,Propulsão!AO33)</f>
        <v>334.67688106686217</v>
      </c>
      <c r="AP33" s="16"/>
      <c r="AQ33" s="16">
        <f>Main!$B33</f>
        <v>0.33333333333333326</v>
      </c>
      <c r="AR33" s="16">
        <f ca="1">IF(Main!$C$43=3,Main!$C33,AR33)</f>
        <v>2.2222222222222223</v>
      </c>
      <c r="AS33" s="19">
        <f ca="1">IF(AND(Main!$C$43=3,Main!$K$43=1),$W33,Propulsão!AS33)</f>
        <v>60.417066276515648</v>
      </c>
      <c r="AT33" s="19">
        <f ca="1">IF(AND(Main!$C$43=3,Main!$K$43=2),$W33,Propulsão!AT33)</f>
        <v>282.02548765102387</v>
      </c>
      <c r="AU33" s="19">
        <f ca="1">IF(AND(Main!$C$43=3,Main!$K$43=3),$W33,Propulsão!AU33)</f>
        <v>275.43873453151122</v>
      </c>
      <c r="AV33" s="19">
        <f ca="1">IF(AND(Main!$C$43=3,Main!$K$43=4),$W33,Propulsão!AV33)</f>
        <v>271.56039220022609</v>
      </c>
      <c r="AW33" s="19">
        <f ca="1">IF(AND(Main!$C$43=3,Main!$K$43=5),$W33,Propulsão!AW33)</f>
        <v>269.07963788290823</v>
      </c>
      <c r="AX33" s="20"/>
      <c r="AY33" s="6"/>
      <c r="AZ33" s="6"/>
      <c r="BA33" s="6"/>
    </row>
    <row r="34" spans="2:53">
      <c r="B34" s="16">
        <f>ISA!E34</f>
        <v>1.2249994633486807</v>
      </c>
      <c r="C34" s="4">
        <f>ISA!G34</f>
        <v>1.783E-5</v>
      </c>
      <c r="E34" s="13">
        <f ca="1">'Aerodynamics-Takeoff'!H34</f>
        <v>11.381001633492176</v>
      </c>
      <c r="G34" s="31">
        <f>Main!K34</f>
        <v>0.30499999999999999</v>
      </c>
      <c r="H34" s="12">
        <f>Stability!J34/0.6</f>
        <v>2.9722222222222223</v>
      </c>
      <c r="J34" s="1">
        <f t="shared" si="4"/>
        <v>0.96463316312819136</v>
      </c>
      <c r="K34" s="27">
        <f t="shared" ca="1" si="5"/>
        <v>2324054.5516196582</v>
      </c>
      <c r="L34" s="10">
        <f ca="1">0.455/((LOG10(K34))^2.58*(1+0.144*E34/ISA!F34)^0.65)</f>
        <v>3.8250390020860736E-3</v>
      </c>
      <c r="M34" s="1">
        <f t="shared" ca="1" si="6"/>
        <v>0.96156253810565795</v>
      </c>
      <c r="O34" s="19">
        <f ca="1">'Aerodynamics-Takeoff'!BL34</f>
        <v>29.419730076727731</v>
      </c>
      <c r="P34" s="20">
        <f ca="1">'Aerodynamics-Takeoff'!E34/'Aerodynamics-Takeoff'!BK34</f>
        <v>6.0437653936822189</v>
      </c>
      <c r="Q34" s="20">
        <f t="shared" ca="1" si="1"/>
        <v>10.97849160528267</v>
      </c>
      <c r="R34" s="20">
        <f t="shared" ca="1" si="2"/>
        <v>2.5042317616772864</v>
      </c>
      <c r="S34" s="16">
        <f t="shared" ca="1" si="3"/>
        <v>0.64203164980018124</v>
      </c>
      <c r="T34" s="14">
        <f t="shared" ca="1" si="7"/>
        <v>45.82286571991272</v>
      </c>
      <c r="V34" s="1">
        <f>IF($N$3=1,$J$9,IF($N$3=2,1,IF($N$3=3,#REF!/#REF!,T34)))</f>
        <v>0.7</v>
      </c>
      <c r="W34" s="14">
        <f ca="1">IF($N$3=1,T34,IF($N$3=2,PropulsãoCombustão!I34,IF($N$3=3,#REF!,T34)))</f>
        <v>45.82286571991272</v>
      </c>
      <c r="Z34" s="20"/>
      <c r="AA34" s="16">
        <f>Main!$B34</f>
        <v>0.33333333333333326</v>
      </c>
      <c r="AB34" s="16">
        <f ca="1">IF(Main!$C$43=1,Main!$C34,AB34)</f>
        <v>6.052631578947369</v>
      </c>
      <c r="AC34" s="19">
        <f ca="1">IF(AND(Main!$C$43=1,Main!$K$43=1),$W34,Propulsão!AC34)</f>
        <v>64.812232803379757</v>
      </c>
      <c r="AD34" s="19">
        <f ca="1">IF(AND(Main!$C$43=1,Main!$K$43=2),$W34,Propulsão!AD34)</f>
        <v>457.75202740704299</v>
      </c>
      <c r="AE34" s="19">
        <f ca="1">IF(AND(Main!$C$43=1,Main!$K$43=3),$W34,Propulsão!AE34)</f>
        <v>447.27081227780496</v>
      </c>
      <c r="AF34" s="19">
        <f ca="1">IF(AND(Main!$C$43=1,Main!$K$43=4),$W34,Propulsão!AF34)</f>
        <v>441.09692721245545</v>
      </c>
      <c r="AG34" s="19">
        <f ca="1">IF(AND(Main!$C$43=1,Main!$K$43=5),$W34,Propulsão!AG34)</f>
        <v>437.14689600556954</v>
      </c>
      <c r="AI34" s="16">
        <f>Main!$B34</f>
        <v>0.33333333333333326</v>
      </c>
      <c r="AJ34" s="16">
        <f ca="1">IF(Main!$C$43=2,Main!$C34,AJ34)</f>
        <v>2.1111111111111112</v>
      </c>
      <c r="AK34" s="19">
        <f ca="1">IF(AND(Main!$C$43=2,Main!$K$43=1),$W34,Propulsão!AK34)</f>
        <v>63.052454344105691</v>
      </c>
      <c r="AL34" s="19">
        <f ca="1">IF(AND(Main!$C$43=2,Main!$K$43=2),$W34,Propulsão!AL34)</f>
        <v>346.80140299821886</v>
      </c>
      <c r="AM34" s="19">
        <f ca="1">IF(AND(Main!$C$43=2,Main!$K$43=3),$W34,Propulsão!AM34)</f>
        <v>338.70998077706162</v>
      </c>
      <c r="AN34" s="19">
        <f ca="1">IF(AND(Main!$C$43=2,Main!$K$43=4),$W34,Propulsão!AN34)</f>
        <v>333.94412523286741</v>
      </c>
      <c r="AO34" s="19">
        <f ca="1">IF(AND(Main!$C$43=2,Main!$K$43=5),$W34,Propulsão!AO34)</f>
        <v>330.89505829997563</v>
      </c>
      <c r="AP34" s="16"/>
      <c r="AQ34" s="16">
        <f>Main!$B34</f>
        <v>0.33333333333333326</v>
      </c>
      <c r="AR34" s="16">
        <f ca="1">IF(Main!$C$43=3,Main!$C34,AR34)</f>
        <v>2.2222222222222223</v>
      </c>
      <c r="AS34" s="19">
        <f ca="1">IF(AND(Main!$C$43=3,Main!$K$43=1),$W34,Propulsão!AS34)</f>
        <v>61.812133314457931</v>
      </c>
      <c r="AT34" s="19">
        <f ca="1">IF(AND(Main!$C$43=3,Main!$K$43=2),$W34,Propulsão!AT34)</f>
        <v>279.19364822977849</v>
      </c>
      <c r="AU34" s="19">
        <f ca="1">IF(AND(Main!$C$43=3,Main!$K$43=3),$W34,Propulsão!AU34)</f>
        <v>272.57638635315277</v>
      </c>
      <c r="AV34" s="19">
        <f ca="1">IF(AND(Main!$C$43=3,Main!$K$43=4),$W34,Propulsão!AV34)</f>
        <v>268.67897904539785</v>
      </c>
      <c r="AW34" s="19">
        <f ca="1">IF(AND(Main!$C$43=3,Main!$K$43=5),$W34,Propulsão!AW34)</f>
        <v>266.1855711617348</v>
      </c>
      <c r="AX34" s="20"/>
      <c r="AY34" s="6"/>
      <c r="AZ34" s="6"/>
      <c r="BA34" s="6"/>
    </row>
    <row r="35" spans="2:53">
      <c r="B35" s="16">
        <f>ISA!E35</f>
        <v>1.2249994633486807</v>
      </c>
      <c r="C35" s="4">
        <f>ISA!G35</f>
        <v>1.783E-5</v>
      </c>
      <c r="E35" s="13">
        <f ca="1">'Aerodynamics-Takeoff'!H35</f>
        <v>11.209097688879872</v>
      </c>
      <c r="G35" s="31">
        <f>Main!K35</f>
        <v>0.30499999999999999</v>
      </c>
      <c r="H35" s="12">
        <f>Stability!J35/0.6</f>
        <v>2.9722222222222223</v>
      </c>
      <c r="J35" s="1">
        <f t="shared" si="4"/>
        <v>0.96463316312819136</v>
      </c>
      <c r="K35" s="27">
        <f t="shared" ca="1" si="5"/>
        <v>2288950.9502159026</v>
      </c>
      <c r="L35" s="10">
        <f ca="1">0.455/((LOG10(K35))^2.58*(1+0.144*E35/ISA!F35)^0.65)</f>
        <v>3.8354847549010806E-3</v>
      </c>
      <c r="M35" s="1">
        <f t="shared" ca="1" si="6"/>
        <v>0.96145756970518781</v>
      </c>
      <c r="O35" s="19">
        <f ca="1">'Aerodynamics-Takeoff'!BL35</f>
        <v>28.434108841909193</v>
      </c>
      <c r="P35" s="20">
        <f ca="1">'Aerodynamics-Takeoff'!E35/'Aerodynamics-Takeoff'!BK35</f>
        <v>5.9268228025194603</v>
      </c>
      <c r="Q35" s="20">
        <f t="shared" ca="1" si="1"/>
        <v>10.812667359437091</v>
      </c>
      <c r="R35" s="20">
        <f t="shared" ca="1" si="2"/>
        <v>2.4891714355956109</v>
      </c>
      <c r="S35" s="16">
        <f t="shared" ca="1" si="3"/>
        <v>0.64086291031883902</v>
      </c>
      <c r="T35" s="14">
        <f t="shared" ca="1" si="7"/>
        <v>44.368473169656198</v>
      </c>
      <c r="V35" s="1">
        <f>IF($N$3=1,$J$9,IF($N$3=2,1,IF($N$3=3,#REF!/#REF!,T35)))</f>
        <v>0.7</v>
      </c>
      <c r="W35" s="14">
        <f ca="1">IF($N$3=1,T35,IF($N$3=2,PropulsãoCombustão!I35,IF($N$3=3,#REF!,T35)))</f>
        <v>44.368473169656198</v>
      </c>
      <c r="Z35" s="20"/>
      <c r="AA35" s="16">
        <f>Main!$B35</f>
        <v>0.33333333333333326</v>
      </c>
      <c r="AB35" s="16">
        <f ca="1">IF(Main!$C$43=1,Main!$C35,AB35)</f>
        <v>6.2105263157894743</v>
      </c>
      <c r="AC35" s="19">
        <f ca="1">IF(AND(Main!$C$43=1,Main!$K$43=1),$W35,Propulsão!AC35)</f>
        <v>66.361104524789766</v>
      </c>
      <c r="AD35" s="19">
        <f ca="1">IF(AND(Main!$C$43=1,Main!$K$43=2),$W35,Propulsão!AD35)</f>
        <v>453.21701395563809</v>
      </c>
      <c r="AE35" s="19">
        <f ca="1">IF(AND(Main!$C$43=1,Main!$K$43=3),$W35,Propulsão!AE35)</f>
        <v>442.68751604038027</v>
      </c>
      <c r="AF35" s="19">
        <f ca="1">IF(AND(Main!$C$43=1,Main!$K$43=4),$W35,Propulsão!AF35)</f>
        <v>436.48350148887761</v>
      </c>
      <c r="AG35" s="19">
        <f ca="1">IF(AND(Main!$C$43=1,Main!$K$43=5),$W35,Propulsão!AG35)</f>
        <v>432.51348997661341</v>
      </c>
      <c r="AI35" s="16">
        <f>Main!$B35</f>
        <v>0.33333333333333326</v>
      </c>
      <c r="AJ35" s="16">
        <f ca="1">IF(Main!$C$43=2,Main!$C35,AJ35)</f>
        <v>2.1111111111111112</v>
      </c>
      <c r="AK35" s="19">
        <f ca="1">IF(AND(Main!$C$43=2,Main!$K$43=1),$W35,Propulsão!AK35)</f>
        <v>64.611843859715918</v>
      </c>
      <c r="AL35" s="19">
        <f ca="1">IF(AND(Main!$C$43=2,Main!$K$43=2),$W35,Propulsão!AL35)</f>
        <v>343.57322089092543</v>
      </c>
      <c r="AM35" s="19">
        <f ca="1">IF(AND(Main!$C$43=2,Main!$K$43=3),$W35,Propulsão!AM35)</f>
        <v>335.43797556921442</v>
      </c>
      <c r="AN35" s="19">
        <f ca="1">IF(AND(Main!$C$43=2,Main!$K$43=4),$W35,Propulsão!AN35)</f>
        <v>330.64493547729586</v>
      </c>
      <c r="AO35" s="19">
        <f ca="1">IF(AND(Main!$C$43=2,Main!$K$43=5),$W35,Propulsão!AO35)</f>
        <v>327.57790383523763</v>
      </c>
      <c r="AP35" s="16"/>
      <c r="AQ35" s="16">
        <f>Main!$B35</f>
        <v>0.33333333333333326</v>
      </c>
      <c r="AR35" s="16">
        <f ca="1">IF(Main!$C$43=3,Main!$C35,AR35)</f>
        <v>2.2222222222222223</v>
      </c>
      <c r="AS35" s="19">
        <f ca="1">IF(AND(Main!$C$43=3,Main!$K$43=1),$W35,Propulsão!AS35)</f>
        <v>63.395219595207678</v>
      </c>
      <c r="AT35" s="19">
        <f ca="1">IF(AND(Main!$C$43=3,Main!$K$43=2),$W35,Propulsão!AT35)</f>
        <v>276.74707859931931</v>
      </c>
      <c r="AU35" s="19">
        <f ca="1">IF(AND(Main!$C$43=3,Main!$K$43=3),$W35,Propulsão!AU35)</f>
        <v>270.0896555317924</v>
      </c>
      <c r="AV35" s="19">
        <f ca="1">IF(AND(Main!$C$43=3,Main!$K$43=4),$W35,Propulsão!AV35)</f>
        <v>266.16742541845133</v>
      </c>
      <c r="AW35" s="19">
        <f ca="1">IF(AND(Main!$C$43=3,Main!$K$43=5),$W35,Propulsão!AW35)</f>
        <v>263.6576485277028</v>
      </c>
      <c r="AX35" s="20"/>
      <c r="AY35" s="6"/>
      <c r="AZ35" s="6"/>
      <c r="BA35" s="6"/>
    </row>
    <row r="36" spans="2:53">
      <c r="B36" s="16">
        <f>ISA!E36</f>
        <v>1.2249994633486807</v>
      </c>
      <c r="C36" s="4">
        <f>ISA!G36</f>
        <v>1.783E-5</v>
      </c>
      <c r="E36" s="13">
        <f ca="1">'Aerodynamics-Takeoff'!H36</f>
        <v>11.04629417170349</v>
      </c>
      <c r="G36" s="31">
        <f>Main!K36</f>
        <v>0.30499999999999999</v>
      </c>
      <c r="H36" s="12">
        <f>Stability!J36/0.6</f>
        <v>2.9722222222222223</v>
      </c>
      <c r="J36" s="1">
        <f t="shared" si="4"/>
        <v>0.96463316312819136</v>
      </c>
      <c r="K36" s="27">
        <f t="shared" ca="1" si="5"/>
        <v>2255705.6992882513</v>
      </c>
      <c r="L36" s="10">
        <f ca="1">0.455/((LOG10(K36))^2.58*(1+0.144*E36/ISA!F36)^0.65)</f>
        <v>3.8455607149086722E-3</v>
      </c>
      <c r="M36" s="1">
        <f t="shared" ca="1" si="6"/>
        <v>0.96135631731831561</v>
      </c>
      <c r="O36" s="19">
        <f ca="1">'Aerodynamics-Takeoff'!BL36</f>
        <v>27.528244408326746</v>
      </c>
      <c r="P36" s="20">
        <f ca="1">'Aerodynamics-Takeoff'!E36/'Aerodynamics-Takeoff'!BK36</f>
        <v>5.8187577653383533</v>
      </c>
      <c r="Q36" s="20">
        <f t="shared" ca="1" si="1"/>
        <v>10.655621687694842</v>
      </c>
      <c r="R36" s="20">
        <f t="shared" ca="1" si="2"/>
        <v>2.4755482811880363</v>
      </c>
      <c r="S36" s="16">
        <f t="shared" ca="1" si="3"/>
        <v>0.63969595884673469</v>
      </c>
      <c r="T36" s="14">
        <f t="shared" ca="1" si="7"/>
        <v>43.033325484743699</v>
      </c>
      <c r="V36" s="1">
        <f>IF($N$3=1,$J$9,IF($N$3=2,1,IF($N$3=3,#REF!/#REF!,T36)))</f>
        <v>0.7</v>
      </c>
      <c r="W36" s="14">
        <f ca="1">IF($N$3=1,T36,IF($N$3=2,PropulsãoCombustão!I36,IF($N$3=3,#REF!,T36)))</f>
        <v>43.033325484743699</v>
      </c>
      <c r="Z36" s="20"/>
      <c r="AA36" s="16">
        <f>Main!$B36</f>
        <v>0.33333333333333326</v>
      </c>
      <c r="AB36" s="16">
        <f ca="1">IF(Main!$C$43=1,Main!$C36,AB36)</f>
        <v>6.3684210526315796</v>
      </c>
      <c r="AC36" s="19">
        <f ca="1">IF(AND(Main!$C$43=1,Main!$K$43=1),$W36,Propulsão!AC36)</f>
        <v>68.123697786322808</v>
      </c>
      <c r="AD36" s="19">
        <f ca="1">IF(AND(Main!$C$43=1,Main!$K$43=2),$W36,Propulsão!AD36)</f>
        <v>449.27077018371864</v>
      </c>
      <c r="AE36" s="19">
        <f ca="1">IF(AND(Main!$C$43=1,Main!$K$43=3),$W36,Propulsão!AE36)</f>
        <v>438.67882299300868</v>
      </c>
      <c r="AF36" s="19">
        <f ca="1">IF(AND(Main!$C$43=1,Main!$K$43=4),$W36,Propulsão!AF36)</f>
        <v>432.43622397666849</v>
      </c>
      <c r="AG36" s="19">
        <f ca="1">IF(AND(Main!$C$43=1,Main!$K$43=5),$W36,Propulsão!AG36)</f>
        <v>428.44077456237852</v>
      </c>
      <c r="AI36" s="16">
        <f>Main!$B36</f>
        <v>0.33333333333333326</v>
      </c>
      <c r="AJ36" s="16">
        <f ca="1">IF(Main!$C$43=2,Main!$C36,AJ36)</f>
        <v>2.1111111111111112</v>
      </c>
      <c r="AK36" s="19">
        <f ca="1">IF(AND(Main!$C$43=2,Main!$K$43=1),$W36,Propulsão!AK36)</f>
        <v>66.376772215899649</v>
      </c>
      <c r="AL36" s="19">
        <f ca="1">IF(AND(Main!$C$43=2,Main!$K$43=2),$W36,Propulsão!AL36)</f>
        <v>340.78379691929524</v>
      </c>
      <c r="AM36" s="19">
        <f ca="1">IF(AND(Main!$C$43=2,Main!$K$43=3),$W36,Propulsão!AM36)</f>
        <v>332.59372513326554</v>
      </c>
      <c r="AN36" s="19">
        <f ca="1">IF(AND(Main!$C$43=2,Main!$K$43=4),$W36,Propulsão!AN36)</f>
        <v>327.7669278076234</v>
      </c>
      <c r="AO36" s="19">
        <f ca="1">IF(AND(Main!$C$43=2,Main!$K$43=5),$W36,Propulsão!AO36)</f>
        <v>324.67768634692999</v>
      </c>
      <c r="AP36" s="16"/>
      <c r="AQ36" s="16">
        <f>Main!$B36</f>
        <v>0.33333333333333326</v>
      </c>
      <c r="AR36" s="16">
        <f ca="1">IF(Main!$C$43=3,Main!$C36,AR36)</f>
        <v>2.2222222222222223</v>
      </c>
      <c r="AS36" s="19">
        <f ca="1">IF(AND(Main!$C$43=3,Main!$K$43=1),$W36,Propulsão!AS36)</f>
        <v>65.179297291572524</v>
      </c>
      <c r="AT36" s="19">
        <f ca="1">IF(AND(Main!$C$43=3,Main!$K$43=2),$W36,Propulsão!AT36)</f>
        <v>274.64719484894181</v>
      </c>
      <c r="AU36" s="19">
        <f ca="1">IF(AND(Main!$C$43=3,Main!$K$43=3),$W36,Propulsão!AU36)</f>
        <v>267.94063319173404</v>
      </c>
      <c r="AV36" s="19">
        <f ca="1">IF(AND(Main!$C$43=3,Main!$K$43=4),$W36,Propulsão!AV36)</f>
        <v>263.98821405264147</v>
      </c>
      <c r="AW36" s="19">
        <f ca="1">IF(AND(Main!$C$43=3,Main!$K$43=5),$W36,Propulsão!AW36)</f>
        <v>261.45860057391508</v>
      </c>
      <c r="AX36" s="20"/>
      <c r="AY36" s="6"/>
      <c r="AZ36" s="6"/>
      <c r="BA36" s="6"/>
    </row>
    <row r="37" spans="2:53">
      <c r="B37" s="16">
        <f>ISA!E37</f>
        <v>1.2249994633486807</v>
      </c>
      <c r="C37" s="4">
        <f>ISA!G37</f>
        <v>1.783E-5</v>
      </c>
      <c r="E37" s="13">
        <f ca="1">'Aerodynamics-Takeoff'!H37</f>
        <v>10.891834490699978</v>
      </c>
      <c r="G37" s="31">
        <f>Main!K37</f>
        <v>0.30499999999999999</v>
      </c>
      <c r="H37" s="12">
        <f>Stability!J37/0.6</f>
        <v>2.9722222222222223</v>
      </c>
      <c r="J37" s="1">
        <f t="shared" si="4"/>
        <v>0.96463316312819136</v>
      </c>
      <c r="K37" s="27">
        <f t="shared" ca="1" si="5"/>
        <v>2224164.2993097515</v>
      </c>
      <c r="L37" s="10">
        <f ca="1">0.455/((LOG10(K37))^2.58*(1+0.144*E37/ISA!F37)^0.65)</f>
        <v>3.8552905540277346E-3</v>
      </c>
      <c r="M37" s="1">
        <f t="shared" ca="1" si="6"/>
        <v>0.96125854306812542</v>
      </c>
      <c r="O37" s="19">
        <f ca="1">'Aerodynamics-Takeoff'!BL37</f>
        <v>26.693710685581522</v>
      </c>
      <c r="P37" s="20">
        <f ca="1">'Aerodynamics-Takeoff'!E37/'Aerodynamics-Takeoff'!BK37</f>
        <v>5.718770234701033</v>
      </c>
      <c r="Q37" s="20">
        <f t="shared" ca="1" si="1"/>
        <v>10.506624757032652</v>
      </c>
      <c r="R37" s="20">
        <f t="shared" ca="1" si="2"/>
        <v>2.4632639188315277</v>
      </c>
      <c r="S37" s="16">
        <f t="shared" ca="1" si="3"/>
        <v>0.63852960563559602</v>
      </c>
      <c r="T37" s="14">
        <f t="shared" ca="1" si="7"/>
        <v>41.804969495518456</v>
      </c>
      <c r="V37" s="1">
        <f>IF($N$3=1,$J$9,IF($N$3=2,1,IF($N$3=3,#REF!/#REF!,T37)))</f>
        <v>0.7</v>
      </c>
      <c r="W37" s="14">
        <f ca="1">IF($N$3=1,T37,IF($N$3=2,PropulsãoCombustão!I37,IF($N$3=3,#REF!,T37)))</f>
        <v>41.804969495518456</v>
      </c>
      <c r="Z37" s="20"/>
      <c r="AA37" s="16">
        <f>Main!$B37</f>
        <v>0.33333333333333326</v>
      </c>
      <c r="AB37" s="16">
        <f ca="1">IF(Main!$C$43=1,Main!$C37,AB37)</f>
        <v>6.526315789473685</v>
      </c>
      <c r="AC37" s="19">
        <f ca="1">IF(AND(Main!$C$43=1,Main!$K$43=1),$W37,Propulsão!AC37)</f>
        <v>70.117501116072333</v>
      </c>
      <c r="AD37" s="19">
        <f ca="1">IF(AND(Main!$C$43=1,Main!$K$43=2),$W37,Propulsão!AD37)</f>
        <v>445.85463755054559</v>
      </c>
      <c r="AE37" s="19">
        <f ca="1">IF(AND(Main!$C$43=1,Main!$K$43=3),$W37,Propulsão!AE37)</f>
        <v>435.1870977301063</v>
      </c>
      <c r="AF37" s="19">
        <f ca="1">IF(AND(Main!$C$43=1,Main!$K$43=4),$W37,Propulsão!AF37)</f>
        <v>428.89805417723022</v>
      </c>
      <c r="AG37" s="19">
        <f ca="1">IF(AND(Main!$C$43=1,Main!$K$43=5),$W37,Propulsão!AG37)</f>
        <v>424.87208638503404</v>
      </c>
      <c r="AI37" s="16">
        <f>Main!$B37</f>
        <v>0.33333333333333326</v>
      </c>
      <c r="AJ37" s="16">
        <f ca="1">IF(Main!$C$43=2,Main!$C37,AJ37)</f>
        <v>2.1111111111111112</v>
      </c>
      <c r="AK37" s="19">
        <f ca="1">IF(AND(Main!$C$43=2,Main!$K$43=1),$W37,Propulsão!AK37)</f>
        <v>68.364558369158672</v>
      </c>
      <c r="AL37" s="19">
        <f ca="1">IF(AND(Main!$C$43=2,Main!$K$43=2),$W37,Propulsão!AL37)</f>
        <v>338.3900269907088</v>
      </c>
      <c r="AM37" s="19">
        <f ca="1">IF(AND(Main!$C$43=2,Main!$K$43=3),$W37,Propulsão!AM37)</f>
        <v>330.13487642431005</v>
      </c>
      <c r="AN37" s="19">
        <f ca="1">IF(AND(Main!$C$43=2,Main!$K$43=4),$W37,Propulsão!AN37)</f>
        <v>325.26818487014475</v>
      </c>
      <c r="AO37" s="19">
        <f ca="1">IF(AND(Main!$C$43=2,Main!$K$43=5),$W37,Propulsão!AO37)</f>
        <v>322.15276421010191</v>
      </c>
      <c r="AP37" s="6"/>
      <c r="AQ37" s="16">
        <f>Main!$B37</f>
        <v>0.33333333333333326</v>
      </c>
      <c r="AR37" s="16">
        <f ca="1">IF(Main!$C$43=3,Main!$C37,AR37)</f>
        <v>2.2222222222222223</v>
      </c>
      <c r="AS37" s="19">
        <f ca="1">IF(AND(Main!$C$43=3,Main!$K$43=1),$W37,Propulsão!AS37)</f>
        <v>67.18195286490807</v>
      </c>
      <c r="AT37" s="19">
        <f ca="1">IF(AND(Main!$C$43=3,Main!$K$43=2),$W37,Propulsão!AT37)</f>
        <v>272.8603298878607</v>
      </c>
      <c r="AU37" s="19">
        <f ca="1">IF(AND(Main!$C$43=3,Main!$K$43=3),$W37,Propulsão!AU37)</f>
        <v>266.0962395743357</v>
      </c>
      <c r="AV37" s="19">
        <f ca="1">IF(AND(Main!$C$43=3,Main!$K$43=4),$W37,Propulsão!AV37)</f>
        <v>262.10860528574273</v>
      </c>
      <c r="AW37" s="19">
        <f ca="1">IF(AND(Main!$C$43=3,Main!$K$43=5),$W37,Propulsão!AW37)</f>
        <v>259.55590258167069</v>
      </c>
      <c r="AX37" s="6"/>
      <c r="AY37" s="6"/>
      <c r="AZ37" s="6"/>
      <c r="BA37" s="6"/>
    </row>
    <row r="38" spans="2:53">
      <c r="B38" s="16">
        <f>ISA!E38</f>
        <v>1.2249994633486807</v>
      </c>
      <c r="C38" s="4">
        <f>ISA!G38</f>
        <v>1.783E-5</v>
      </c>
      <c r="E38" s="13">
        <f ca="1">'Aerodynamics-Takeoff'!H38</f>
        <v>10.745049877378921</v>
      </c>
      <c r="G38" s="31">
        <f>Main!K38</f>
        <v>0.30499999999999999</v>
      </c>
      <c r="H38" s="12">
        <f>Stability!J38/0.6</f>
        <v>2.9722222222222223</v>
      </c>
      <c r="J38" s="1">
        <f t="shared" si="4"/>
        <v>0.96463316312819136</v>
      </c>
      <c r="K38" s="27">
        <f t="shared" ca="1" si="5"/>
        <v>2194190.1845804611</v>
      </c>
      <c r="L38" s="10">
        <f ca="1">0.455/((LOG10(K38))^2.58*(1+0.144*E38/ISA!F38)^0.65)</f>
        <v>3.864695534201323E-3</v>
      </c>
      <c r="M38" s="1">
        <f t="shared" ca="1" si="6"/>
        <v>0.96116403329532518</v>
      </c>
      <c r="O38" s="19">
        <f ca="1">'Aerodynamics-Takeoff'!BL38</f>
        <v>25.923235830149615</v>
      </c>
      <c r="P38" s="20">
        <f ca="1">'Aerodynamics-Takeoff'!E38/'Aerodynamics-Takeoff'!BK38</f>
        <v>5.6261602548265781</v>
      </c>
      <c r="Q38" s="20">
        <f t="shared" ca="1" si="1"/>
        <v>10.365031451186214</v>
      </c>
      <c r="R38" s="20">
        <f t="shared" ca="1" si="2"/>
        <v>2.4522309466957299</v>
      </c>
      <c r="S38" s="16">
        <f t="shared" ca="1" si="3"/>
        <v>0.63736280049405103</v>
      </c>
      <c r="T38" s="14">
        <f t="shared" ca="1" si="7"/>
        <v>40.672652702754611</v>
      </c>
      <c r="V38" s="1">
        <f>IF($N$3=1,$J$9,IF($N$3=2,1,IF($N$3=3,#REF!/#REF!,T38)))</f>
        <v>0.7</v>
      </c>
      <c r="W38" s="14">
        <f ca="1">IF($N$3=1,T38,IF($N$3=2,PropulsãoCombustão!I38,IF($N$3=3,#REF!,T38)))</f>
        <v>40.672652702754611</v>
      </c>
      <c r="Z38" s="20"/>
      <c r="AA38" s="16">
        <f>Main!$B38</f>
        <v>0.33333333333333326</v>
      </c>
      <c r="AB38" s="16">
        <f ca="1">IF(Main!$C$43=1,Main!$C38,AB38)</f>
        <v>6.6842105263157903</v>
      </c>
      <c r="AC38" s="19">
        <f ca="1">IF(AND(Main!$C$43=1,Main!$K$43=1),$W38,Propulsão!AC38)</f>
        <v>72.366082115107801</v>
      </c>
      <c r="AD38" s="19">
        <f ca="1">IF(AND(Main!$C$43=1,Main!$K$43=2),$W38,Propulsão!AD38)</f>
        <v>442.91725877917372</v>
      </c>
      <c r="AE38" s="19">
        <f ca="1">IF(AND(Main!$C$43=1,Main!$K$43=3),$W38,Propulsão!AE38)</f>
        <v>432.16188045379994</v>
      </c>
      <c r="AF38" s="19">
        <f ca="1">IF(AND(Main!$C$43=1,Main!$K$43=4),$W38,Propulsão!AF38)</f>
        <v>425.81905343682496</v>
      </c>
      <c r="AG38" s="19">
        <f ca="1">IF(AND(Main!$C$43=1,Main!$K$43=5),$W38,Propulsão!AG38)</f>
        <v>421.75781679979144</v>
      </c>
      <c r="AI38" s="16">
        <f>Main!$B38</f>
        <v>0.33333333333333326</v>
      </c>
      <c r="AJ38" s="16">
        <f ca="1">IF(Main!$C$43=2,Main!$C38,AJ38)</f>
        <v>2.1111111111111112</v>
      </c>
      <c r="AK38" s="19">
        <f ca="1">IF(AND(Main!$C$43=2,Main!$K$43=1),$W38,Propulsão!AK38)</f>
        <v>70.598286826279406</v>
      </c>
      <c r="AL38" s="19">
        <f ca="1">IF(AND(Main!$C$43=2,Main!$K$43=2),$W38,Propulsão!AL38)</f>
        <v>336.35416430629249</v>
      </c>
      <c r="AM38" s="19">
        <f ca="1">IF(AND(Main!$C$43=2,Main!$K$43=3),$W38,Propulsão!AM38)</f>
        <v>328.02433988412571</v>
      </c>
      <c r="AN38" s="19">
        <f ca="1">IF(AND(Main!$C$43=2,Main!$K$43=4),$W38,Propulsão!AN38)</f>
        <v>323.11199771008205</v>
      </c>
      <c r="AO38" s="19">
        <f ca="1">IF(AND(Main!$C$43=2,Main!$K$43=5),$W38,Propulsão!AO38)</f>
        <v>319.96666900159113</v>
      </c>
      <c r="AP38" s="6"/>
      <c r="AQ38" s="16">
        <f>Main!$B38</f>
        <v>0.33333333333333326</v>
      </c>
      <c r="AR38" s="16">
        <f ca="1">IF(Main!$C$43=3,Main!$C38,AR38)</f>
        <v>2.2222222222222223</v>
      </c>
      <c r="AS38" s="19">
        <f ca="1">IF(AND(Main!$C$43=3,Main!$K$43=1),$W38,Propulsão!AS38)</f>
        <v>69.426416282923384</v>
      </c>
      <c r="AT38" s="19">
        <f ca="1">IF(AND(Main!$C$43=3,Main!$K$43=2),$W38,Propulsão!AT38)</f>
        <v>271.35699500435453</v>
      </c>
      <c r="AU38" s="19">
        <f ca="1">IF(AND(Main!$C$43=3,Main!$K$43=3),$W38,Propulsão!AU38)</f>
        <v>264.52749902862115</v>
      </c>
      <c r="AV38" s="19">
        <f ca="1">IF(AND(Main!$C$43=3,Main!$K$43=4),$W38,Propulsão!AV38)</f>
        <v>260.49991993721204</v>
      </c>
      <c r="AW38" s="19">
        <f ca="1">IF(AND(Main!$C$43=3,Main!$K$43=5),$W38,Propulsão!AW38)</f>
        <v>257.92106243307904</v>
      </c>
      <c r="AX38" s="6"/>
      <c r="AY38" s="6"/>
      <c r="AZ38" s="6"/>
      <c r="BA38" s="6"/>
    </row>
    <row r="39" spans="2:53">
      <c r="B39" s="16">
        <f>ISA!E39</f>
        <v>1.2249994633486807</v>
      </c>
      <c r="C39" s="4">
        <f>ISA!G39</f>
        <v>1.783E-5</v>
      </c>
      <c r="E39" s="13">
        <f ca="1">'Aerodynamics-Takeoff'!H39</f>
        <v>10.605346376012445</v>
      </c>
      <c r="G39" s="31">
        <f>Main!K39</f>
        <v>0.30499999999999999</v>
      </c>
      <c r="H39" s="12">
        <f>Stability!J39/0.6</f>
        <v>2.9722222222222223</v>
      </c>
      <c r="J39" s="1">
        <f t="shared" si="4"/>
        <v>0.96463316312819136</v>
      </c>
      <c r="K39" s="27">
        <f t="shared" ca="1" si="5"/>
        <v>2165662.0665216348</v>
      </c>
      <c r="L39" s="10">
        <f ca="1">0.455/((LOG10(K39))^2.58*(1+0.144*E39/ISA!F39)^0.65)</f>
        <v>3.8737948393754019E-3</v>
      </c>
      <c r="M39" s="1">
        <f t="shared" ca="1" si="6"/>
        <v>0.96107259522222244</v>
      </c>
      <c r="O39" s="19">
        <f ca="1">'Aerodynamics-Takeoff'!BL39</f>
        <v>25.210508270436062</v>
      </c>
      <c r="P39" s="20">
        <f ca="1">'Aerodynamics-Takeoff'!E39/'Aerodynamics-Takeoff'!BK39</f>
        <v>5.5403119257951188</v>
      </c>
      <c r="Q39" s="20">
        <f t="shared" ca="1" si="1"/>
        <v>10.230268820762985</v>
      </c>
      <c r="R39" s="20">
        <f t="shared" ca="1" si="2"/>
        <v>2.4423711710065188</v>
      </c>
      <c r="S39" s="16">
        <f t="shared" ca="1" si="3"/>
        <v>0.63619462319274944</v>
      </c>
      <c r="T39" s="14">
        <f t="shared" ca="1" si="7"/>
        <v>39.627037625556873</v>
      </c>
      <c r="V39" s="1">
        <f>IF($N$3=1,$J$9,IF($N$3=2,1,IF($N$3=3,#REF!/#REF!,T39)))</f>
        <v>0.7</v>
      </c>
      <c r="W39" s="14">
        <f ca="1">IF($N$3=1,T39,IF($N$3=2,PropulsãoCombustão!I39,IF($N$3=3,#REF!,T39)))</f>
        <v>39.627037625556873</v>
      </c>
      <c r="Z39" s="20"/>
      <c r="AA39" s="16">
        <f>Main!$B39</f>
        <v>0.33333333333333326</v>
      </c>
      <c r="AB39" s="16">
        <f ca="1">IF(Main!$C$43=1,Main!$C39,AB39)</f>
        <v>6.8421052631578956</v>
      </c>
      <c r="AC39" s="19">
        <f ca="1">IF(AND(Main!$C$43=1,Main!$K$43=1),$W39,Propulsão!AC39)</f>
        <v>74.900702884866675</v>
      </c>
      <c r="AD39" s="19">
        <f ca="1">IF(AND(Main!$C$43=1,Main!$K$43=2),$W39,Propulsão!AD39)</f>
        <v>440.4135060545949</v>
      </c>
      <c r="AE39" s="19">
        <f ca="1">IF(AND(Main!$C$43=1,Main!$K$43=3),$W39,Propulsão!AE39)</f>
        <v>429.55883401332773</v>
      </c>
      <c r="AF39" s="19">
        <f ca="1">IF(AND(Main!$C$43=1,Main!$K$43=4),$W39,Propulsão!AF39)</f>
        <v>423.15534305777396</v>
      </c>
      <c r="AG39" s="19">
        <f ca="1">IF(AND(Main!$C$43=1,Main!$K$43=5),$W39,Propulsão!AG39)</f>
        <v>419.05437707927075</v>
      </c>
      <c r="AI39" s="16">
        <f>Main!$B39</f>
        <v>0.33333333333333326</v>
      </c>
      <c r="AJ39" s="16">
        <f ca="1">IF(Main!$C$43=2,Main!$C39,AJ39)</f>
        <v>2.1111111111111112</v>
      </c>
      <c r="AK39" s="19">
        <f ca="1">IF(AND(Main!$C$43=2,Main!$K$43=1),$W39,Propulsão!AK39)</f>
        <v>73.108349321909856</v>
      </c>
      <c r="AL39" s="19">
        <f ca="1">IF(AND(Main!$C$43=2,Main!$K$43=2),$W39,Propulsão!AL39)</f>
        <v>334.64303543798235</v>
      </c>
      <c r="AM39" s="19">
        <f ca="1">IF(AND(Main!$C$43=2,Main!$K$43=3),$W39,Propulsão!AM39)</f>
        <v>326.2295195215724</v>
      </c>
      <c r="AN39" s="19">
        <f ca="1">IF(AND(Main!$C$43=2,Main!$K$43=4),$W39,Propulsão!AN39)</f>
        <v>321.26610407809488</v>
      </c>
      <c r="AO39" s="19">
        <f ca="1">IF(AND(Main!$C$43=2,Main!$K$43=5),$W39,Propulsão!AO39)</f>
        <v>318.08734906043651</v>
      </c>
      <c r="AP39" s="6"/>
      <c r="AQ39" s="16">
        <f>Main!$B39</f>
        <v>0.33333333333333326</v>
      </c>
      <c r="AR39" s="16">
        <f ca="1">IF(Main!$C$43=3,Main!$C39,AR39)</f>
        <v>2.2222222222222223</v>
      </c>
      <c r="AS39" s="19">
        <f ca="1">IF(AND(Main!$C$43=3,Main!$K$43=1),$W39,Propulsão!AS39)</f>
        <v>71.943095651270212</v>
      </c>
      <c r="AT39" s="19">
        <f ca="1">IF(AND(Main!$C$43=3,Main!$K$43=2),$W39,Propulsão!AT39)</f>
        <v>270.11127047558489</v>
      </c>
      <c r="AU39" s="19">
        <f ca="1">IF(AND(Main!$C$43=3,Main!$K$43=3),$W39,Propulsão!AU39)</f>
        <v>263.20894164497651</v>
      </c>
      <c r="AV39" s="19">
        <f ca="1">IF(AND(Main!$C$43=3,Main!$K$43=4),$W39,Propulsão!AV39)</f>
        <v>259.13694741560948</v>
      </c>
      <c r="AW39" s="19">
        <f ca="1">IF(AND(Main!$C$43=3,Main!$K$43=5),$W39,Propulsão!AW39)</f>
        <v>256.5290328521757</v>
      </c>
      <c r="AX39" s="6"/>
      <c r="AY39" s="6"/>
      <c r="AZ39" s="6"/>
      <c r="BA39" s="6"/>
    </row>
    <row r="40" spans="2:53">
      <c r="B40" s="16">
        <f>ISA!E40</f>
        <v>1.2249994633486807</v>
      </c>
      <c r="C40" s="4">
        <f>ISA!G40</f>
        <v>1.783E-5</v>
      </c>
      <c r="E40" s="13">
        <f ca="1">'Aerodynamics-Takeoff'!H40</f>
        <v>9.5359142313991931</v>
      </c>
      <c r="G40" s="31">
        <f>Main!K40</f>
        <v>0.30499999999999999</v>
      </c>
      <c r="H40" s="12">
        <f>Stability!J40/0.6</f>
        <v>2.9722222222222223</v>
      </c>
      <c r="J40" s="1">
        <f t="shared" si="4"/>
        <v>0.96463316312819136</v>
      </c>
      <c r="K40" s="27">
        <f t="shared" ca="1" si="5"/>
        <v>1947278.9467070592</v>
      </c>
      <c r="L40" s="10">
        <f ca="1">0.455/((LOG10(K40))^2.58*(1+0.144*E40/ISA!F40)^0.65)</f>
        <v>3.9487330610848527E-3</v>
      </c>
      <c r="M40" s="1">
        <f ca="1">1-1.558/G40^2*B40/1.225*(L40*$D$7+0)</f>
        <v>0.96031954798798091</v>
      </c>
      <c r="O40" s="19">
        <f ca="1">'Aerodynamics-Takeoff'!BL40</f>
        <v>19.159390596191127</v>
      </c>
      <c r="P40" s="20">
        <f ca="1">'Aerodynamics-Takeoff'!E40/'Aerodynamics-Takeoff'!BK40</f>
        <v>4.6575912889578719</v>
      </c>
      <c r="Q40" s="20">
        <f t="shared" ca="1" si="1"/>
        <v>9.1986591083537395</v>
      </c>
      <c r="R40" s="20">
        <f t="shared" ca="1" si="2"/>
        <v>2.2689853944632077</v>
      </c>
      <c r="S40" s="16">
        <f t="shared" ca="1" si="3"/>
        <v>0.63165498084502758</v>
      </c>
      <c r="T40" s="14">
        <f t="shared" ca="1" si="7"/>
        <v>30.332050212854664</v>
      </c>
      <c r="V40" s="1">
        <f>IF($N$3=1,$J$9,IF($N$3=2,1,IF($N$3=3,#REF!/#REF!,T40)))</f>
        <v>0.7</v>
      </c>
      <c r="W40" s="14">
        <f ca="1">IF($N$3=1,T40,IF($N$3=2,PropulsãoCombustão!I40,IF($N$3=3,#REF!,T40)))</f>
        <v>30.332050212854664</v>
      </c>
      <c r="Z40" s="20"/>
      <c r="AA40" s="16">
        <f>Main!$B40</f>
        <v>0.33333333333333326</v>
      </c>
      <c r="AB40" s="16">
        <f ca="1">IF(Main!$C$43=1,Main!$C40,AB40)</f>
        <v>7</v>
      </c>
      <c r="AC40" s="19">
        <f ca="1">IF(AND(Main!$C$43=1,Main!$K$43=1),$W40,Propulsão!AC40)</f>
        <v>77.762760624917732</v>
      </c>
      <c r="AD40" s="19">
        <f ca="1">IF(AND(Main!$C$43=1,Main!$K$43=2),$W40,Propulsão!AD40)</f>
        <v>438.30359232540422</v>
      </c>
      <c r="AE40" s="19">
        <f ca="1">IF(AND(Main!$C$43=1,Main!$K$43=3),$W40,Propulsão!AE40)</f>
        <v>427.33887073402582</v>
      </c>
      <c r="AF40" s="19">
        <f ca="1">IF(AND(Main!$C$43=1,Main!$K$43=4),$W40,Propulsão!AF40)</f>
        <v>420.86824025300581</v>
      </c>
      <c r="AG40" s="19">
        <f ca="1">IF(AND(Main!$C$43=1,Main!$K$43=5),$W40,Propulsão!AG40)</f>
        <v>416.72334019840866</v>
      </c>
      <c r="AI40" s="16">
        <f>Main!$B40</f>
        <v>0.33333333333333326</v>
      </c>
      <c r="AJ40" s="16">
        <f ca="1">IF(Main!$C$43=2,Main!$C40,AJ40)</f>
        <v>2.1111111111111112</v>
      </c>
      <c r="AK40" s="19">
        <f ca="1">IF(AND(Main!$C$43=2,Main!$K$43=1),$W40,Propulsão!AK40)</f>
        <v>75.934756102942899</v>
      </c>
      <c r="AL40" s="19">
        <f ca="1">IF(AND(Main!$C$43=2,Main!$K$43=2),$W40,Propulsão!AL40)</f>
        <v>333.22739039100787</v>
      </c>
      <c r="AM40" s="19">
        <f ca="1">IF(AND(Main!$C$43=2,Main!$K$43=3),$W40,Propulsão!AM40)</f>
        <v>324.72167450767557</v>
      </c>
      <c r="AN40" s="19">
        <f ca="1">IF(AND(Main!$C$43=2,Main!$K$43=4),$W40,Propulsão!AN40)</f>
        <v>319.70205680084888</v>
      </c>
      <c r="AO40" s="19">
        <f ca="1">IF(AND(Main!$C$43=2,Main!$K$43=5),$W40,Propulsão!AO40)</f>
        <v>316.48654218618384</v>
      </c>
      <c r="AP40" s="6"/>
      <c r="AQ40" s="16">
        <f>Main!$B40</f>
        <v>0.33333333333333326</v>
      </c>
      <c r="AR40" s="16">
        <f ca="1">IF(Main!$C$43=3,Main!$C40,AR40)</f>
        <v>2.2222222222222223</v>
      </c>
      <c r="AS40" s="19">
        <f ca="1">IF(AND(Main!$C$43=3,Main!$K$43=1),$W40,Propulsão!AS40)</f>
        <v>74.77186656674904</v>
      </c>
      <c r="AT40" s="19">
        <f ca="1">IF(AND(Main!$C$43=3,Main!$K$43=2),$W40,Propulsão!AT40)</f>
        <v>269.10030040384834</v>
      </c>
      <c r="AU40" s="19">
        <f ca="1">IF(AND(Main!$C$43=3,Main!$K$43=3),$W40,Propulsão!AU40)</f>
        <v>262.11810716202638</v>
      </c>
      <c r="AV40" s="19">
        <f ca="1">IF(AND(Main!$C$43=3,Main!$K$43=4),$W40,Propulsão!AV40)</f>
        <v>257.99745495260692</v>
      </c>
      <c r="AW40" s="19">
        <f ca="1">IF(AND(Main!$C$43=3,Main!$K$43=5),$W40,Propulsão!AW40)</f>
        <v>255.35772404064505</v>
      </c>
      <c r="AX40" s="6"/>
      <c r="AY40" s="6"/>
      <c r="AZ40" s="6"/>
      <c r="BA40" s="6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0000"/>
  </sheetPr>
  <dimension ref="A1:S40"/>
  <sheetViews>
    <sheetView zoomScale="90" workbookViewId="0">
      <selection activeCell="R21" sqref="R21"/>
    </sheetView>
  </sheetViews>
  <sheetFormatPr defaultRowHeight="12.75"/>
  <sheetData>
    <row r="1" spans="1:16">
      <c r="A1" s="17" t="s">
        <v>81</v>
      </c>
    </row>
    <row r="3" spans="1:16">
      <c r="A3" t="s">
        <v>79</v>
      </c>
      <c r="C3" t="s">
        <v>36</v>
      </c>
      <c r="F3" t="s">
        <v>81</v>
      </c>
      <c r="I3" t="s">
        <v>127</v>
      </c>
    </row>
    <row r="4" spans="1:16">
      <c r="A4" s="17"/>
    </row>
    <row r="5" spans="1:16">
      <c r="C5" t="s">
        <v>41</v>
      </c>
      <c r="I5" t="s">
        <v>74</v>
      </c>
      <c r="L5" t="s">
        <v>85</v>
      </c>
    </row>
    <row r="6" spans="1:16">
      <c r="A6" s="17"/>
      <c r="C6" s="9" t="s">
        <v>80</v>
      </c>
      <c r="D6" s="12">
        <v>0.26</v>
      </c>
      <c r="E6" s="3" t="s">
        <v>4</v>
      </c>
      <c r="F6" s="9" t="s">
        <v>75</v>
      </c>
      <c r="G6" s="11">
        <f>1.5*9.81</f>
        <v>14.715</v>
      </c>
      <c r="H6" s="3" t="s">
        <v>35</v>
      </c>
      <c r="I6" s="9" t="s">
        <v>83</v>
      </c>
      <c r="J6" s="12">
        <v>1.1000000000000001</v>
      </c>
      <c r="L6" s="9" t="s">
        <v>89</v>
      </c>
      <c r="M6" s="12">
        <f>0.15*250/150</f>
        <v>0.25</v>
      </c>
    </row>
    <row r="7" spans="1:16">
      <c r="C7" s="9" t="s">
        <v>78</v>
      </c>
      <c r="D7" s="12">
        <v>2.2999999999999998</v>
      </c>
      <c r="E7" s="3" t="s">
        <v>4</v>
      </c>
      <c r="F7" s="9" t="s">
        <v>76</v>
      </c>
      <c r="G7" s="11">
        <v>9.81</v>
      </c>
      <c r="H7" s="3" t="s">
        <v>35</v>
      </c>
      <c r="I7" s="9" t="s">
        <v>84</v>
      </c>
      <c r="J7" s="12">
        <v>0.9</v>
      </c>
      <c r="L7" s="9" t="s">
        <v>90</v>
      </c>
      <c r="M7" s="12">
        <f>0.03*250/150</f>
        <v>0.05</v>
      </c>
    </row>
    <row r="8" spans="1:16">
      <c r="F8" s="9" t="s">
        <v>77</v>
      </c>
      <c r="G8" s="11">
        <f>3*9.81</f>
        <v>29.43</v>
      </c>
      <c r="H8" s="3" t="s">
        <v>35</v>
      </c>
      <c r="L8" s="9" t="s">
        <v>91</v>
      </c>
      <c r="M8" s="12">
        <f>0.01*250/150</f>
        <v>1.6666666666666666E-2</v>
      </c>
    </row>
    <row r="9" spans="1:16">
      <c r="F9" s="9" t="s">
        <v>92</v>
      </c>
      <c r="G9" s="14">
        <f>G6+G7+G8</f>
        <v>53.954999999999998</v>
      </c>
      <c r="H9" s="3" t="s">
        <v>35</v>
      </c>
    </row>
    <row r="12" spans="1:16">
      <c r="G12" t="s">
        <v>74</v>
      </c>
      <c r="I12" t="s">
        <v>85</v>
      </c>
    </row>
    <row r="15" spans="1:16">
      <c r="B15" t="s">
        <v>36</v>
      </c>
      <c r="E15" t="s">
        <v>81</v>
      </c>
      <c r="G15" t="s">
        <v>81</v>
      </c>
      <c r="I15" t="s">
        <v>81</v>
      </c>
      <c r="P15" t="s">
        <v>203</v>
      </c>
    </row>
    <row r="16" spans="1:16">
      <c r="B16" t="s">
        <v>41</v>
      </c>
      <c r="G16" t="s">
        <v>82</v>
      </c>
      <c r="I16" t="s">
        <v>41</v>
      </c>
      <c r="J16" t="s">
        <v>44</v>
      </c>
      <c r="K16" t="s">
        <v>46</v>
      </c>
      <c r="L16" t="s">
        <v>82</v>
      </c>
    </row>
    <row r="18" spans="2:19">
      <c r="B18" s="9" t="s">
        <v>37</v>
      </c>
      <c r="C18" s="9" t="s">
        <v>38</v>
      </c>
      <c r="E18" s="9" t="s">
        <v>139</v>
      </c>
      <c r="G18" s="9" t="s">
        <v>34</v>
      </c>
      <c r="I18" s="9" t="s">
        <v>86</v>
      </c>
      <c r="J18" s="9" t="s">
        <v>87</v>
      </c>
      <c r="K18" s="9" t="s">
        <v>88</v>
      </c>
      <c r="L18" s="9" t="s">
        <v>140</v>
      </c>
      <c r="M18" s="9" t="s">
        <v>34</v>
      </c>
      <c r="P18" s="9" t="s">
        <v>40</v>
      </c>
      <c r="Q18" s="9" t="s">
        <v>204</v>
      </c>
      <c r="R18" s="9" t="s">
        <v>204</v>
      </c>
      <c r="S18" s="9" t="s">
        <v>101</v>
      </c>
    </row>
    <row r="19" spans="2:19">
      <c r="B19" s="9" t="s">
        <v>4</v>
      </c>
      <c r="C19" s="9" t="s">
        <v>4</v>
      </c>
      <c r="G19" s="9" t="s">
        <v>35</v>
      </c>
      <c r="I19" s="9" t="s">
        <v>35</v>
      </c>
      <c r="J19" s="9" t="s">
        <v>35</v>
      </c>
      <c r="K19" s="9" t="s">
        <v>35</v>
      </c>
      <c r="L19" s="9" t="s">
        <v>35</v>
      </c>
      <c r="M19" s="9" t="s">
        <v>35</v>
      </c>
      <c r="P19" s="9" t="s">
        <v>1</v>
      </c>
      <c r="Q19" s="9" t="s">
        <v>28</v>
      </c>
      <c r="R19" s="9" t="s">
        <v>28</v>
      </c>
      <c r="S19" s="9" t="s">
        <v>250</v>
      </c>
    </row>
    <row r="21" spans="2:19">
      <c r="B21" s="16">
        <f>'Aerodynamics-Takeoff'!L21</f>
        <v>0.33333333333333326</v>
      </c>
      <c r="C21" s="16">
        <f>'Aerodynamics-Takeoff'!M21</f>
        <v>1.5</v>
      </c>
      <c r="E21" s="31">
        <f>Main!M21</f>
        <v>0.3</v>
      </c>
      <c r="G21" s="14">
        <f t="shared" ref="G21:G40" si="0">$G$6+$G$7+$G$8*(B21/$D$6)^$J$7*(C21/$D$7)^$J$6</f>
        <v>47.523784559746929</v>
      </c>
      <c r="I21" s="14">
        <f t="shared" ref="I21:I40" ca="1" si="1">$M$6*$G$8*((B21/$D$6)^0.158*(C21/$D$7)^1.358*(L21/$G$9)^0.49-1)</f>
        <v>-3.2080438372878586</v>
      </c>
      <c r="J21" s="14">
        <f t="shared" ref="J21:J40" ca="1" si="2">$M$7*$G$8*((B21/$D$6)^1.794*(C21/$D$7)^0.896*(L21/$G$9)^0.414-1)</f>
        <v>5.4106117034047996E-2</v>
      </c>
      <c r="K21" s="14">
        <f t="shared" ref="K21:K40" ca="1" si="3">$M$8*$G$8*((B21/$D$6)^0.873*(C21/$D$7)^1.747*(L21/$G$9)^0.376-1)</f>
        <v>-0.20864514052299388</v>
      </c>
      <c r="L21" s="29">
        <f t="shared" ref="L21:L40" ca="1" si="4">IF(ISERROR(M21),1,M21)</f>
        <v>50.592417139223187</v>
      </c>
      <c r="M21" s="14">
        <f t="shared" ref="M21:M40" ca="1" si="5">$G$6+$G$7+$G$8+I21+J21+K21</f>
        <v>50.592417139223187</v>
      </c>
      <c r="P21" s="14">
        <f ca="1">'Aerodynamics-Takeoff'!H21</f>
        <v>14.629202114405427</v>
      </c>
      <c r="Q21" s="12">
        <v>1</v>
      </c>
      <c r="R21" s="1">
        <f ca="1">Propulsão!$J$7*Weight!AA21/(Propulsão!W21/Propulsão!V21)</f>
        <v>6.6747024785655356</v>
      </c>
      <c r="S21" s="14">
        <f ca="1">P21*3.6*R21</f>
        <v>351.52405780484906</v>
      </c>
    </row>
    <row r="22" spans="2:19">
      <c r="B22" s="16">
        <f>'Aerodynamics-Takeoff'!L22</f>
        <v>0.33333333333333326</v>
      </c>
      <c r="C22" s="16">
        <f>'Aerodynamics-Takeoff'!M22</f>
        <v>1.5789473684210527</v>
      </c>
      <c r="E22" s="31">
        <f>Main!M22</f>
        <v>0.3</v>
      </c>
      <c r="G22" s="14">
        <f t="shared" si="0"/>
        <v>48.858743125944159</v>
      </c>
      <c r="I22" s="14">
        <f t="shared" ca="1" si="1"/>
        <v>-2.8905534351291986</v>
      </c>
      <c r="J22" s="14">
        <f t="shared" ca="1" si="2"/>
        <v>0.13136168305294976</v>
      </c>
      <c r="K22" s="14">
        <f t="shared" ca="1" si="3"/>
        <v>-0.1812574567715729</v>
      </c>
      <c r="L22" s="29">
        <f t="shared" ca="1" si="4"/>
        <v>51.014550791152175</v>
      </c>
      <c r="M22" s="14">
        <f t="shared" ca="1" si="5"/>
        <v>51.014550791152175</v>
      </c>
      <c r="P22" s="14">
        <f ca="1">'Aerodynamics-Takeoff'!H22</f>
        <v>14.391374472657482</v>
      </c>
      <c r="Q22" s="1">
        <f t="shared" ref="Q22:Q39" si="6">Q21+($Q$40-$Q$21)/19</f>
        <v>1</v>
      </c>
      <c r="R22" s="1">
        <f ca="1">Propulsão!$J$7*Weight!Z22/(Propulsão!W22/Propulsão!V22)</f>
        <v>27.034203017597164</v>
      </c>
      <c r="S22" s="14">
        <f t="shared" ref="S22:S40" ca="1" si="7">P22*3.6*R22</f>
        <v>1400.6136211059156</v>
      </c>
    </row>
    <row r="23" spans="2:19">
      <c r="B23" s="16">
        <f>'Aerodynamics-Takeoff'!L23</f>
        <v>0.33333333333333326</v>
      </c>
      <c r="C23" s="16">
        <f>'Aerodynamics-Takeoff'!M23</f>
        <v>1.6578947368421053</v>
      </c>
      <c r="E23" s="31">
        <f>Main!M23</f>
        <v>0.3</v>
      </c>
      <c r="G23" s="14">
        <f t="shared" si="0"/>
        <v>50.200395857697202</v>
      </c>
      <c r="I23" s="14">
        <f t="shared" ca="1" si="1"/>
        <v>-2.5648081822233073</v>
      </c>
      <c r="J23" s="14">
        <f t="shared" ca="1" si="2"/>
        <v>0.20883987741823187</v>
      </c>
      <c r="K23" s="14">
        <f t="shared" ca="1" si="3"/>
        <v>-0.15267381002358008</v>
      </c>
      <c r="L23" s="29">
        <f t="shared" ca="1" si="4"/>
        <v>51.446357885171345</v>
      </c>
      <c r="M23" s="14">
        <f t="shared" ca="1" si="5"/>
        <v>51.446357885171345</v>
      </c>
      <c r="P23" s="14">
        <f ca="1">'Aerodynamics-Takeoff'!H23</f>
        <v>14.165103874793797</v>
      </c>
      <c r="Q23" s="1">
        <f t="shared" si="6"/>
        <v>1</v>
      </c>
      <c r="R23" s="1">
        <f ca="1">Propulsão!$J$7*Weight!Z23/(Propulsão!W23/Propulsão!V23)</f>
        <v>27.102970073671443</v>
      </c>
      <c r="S23" s="14">
        <f t="shared" ca="1" si="7"/>
        <v>1382.0989910723413</v>
      </c>
    </row>
    <row r="24" spans="2:19">
      <c r="B24" s="16">
        <f>'Aerodynamics-Takeoff'!L24</f>
        <v>0.33333333333333326</v>
      </c>
      <c r="C24" s="16">
        <f>'Aerodynamics-Takeoff'!M24</f>
        <v>1.736842105263158</v>
      </c>
      <c r="E24" s="31">
        <f>Main!M24</f>
        <v>0.3</v>
      </c>
      <c r="G24" s="14">
        <f t="shared" si="0"/>
        <v>51.548454954387402</v>
      </c>
      <c r="I24" s="14">
        <f t="shared" ca="1" si="1"/>
        <v>-2.2308457664228705</v>
      </c>
      <c r="J24" s="14">
        <f t="shared" ca="1" si="2"/>
        <v>0.28656799389979626</v>
      </c>
      <c r="K24" s="14">
        <f t="shared" ca="1" si="3"/>
        <v>-0.12289287760948646</v>
      </c>
      <c r="L24" s="29">
        <f t="shared" ca="1" si="4"/>
        <v>51.887829349867431</v>
      </c>
      <c r="M24" s="14">
        <f t="shared" ca="1" si="5"/>
        <v>51.887829349867431</v>
      </c>
      <c r="P24" s="14">
        <f ca="1">'Aerodynamics-Takeoff'!H24</f>
        <v>13.434554183218914</v>
      </c>
      <c r="Q24" s="1">
        <f t="shared" si="6"/>
        <v>1</v>
      </c>
      <c r="R24" s="1">
        <f ca="1">Propulsão!$J$7*Weight!Z24/(Propulsão!W24/Propulsão!V24)</f>
        <v>27.904742778851606</v>
      </c>
      <c r="S24" s="14">
        <f t="shared" ca="1" si="7"/>
        <v>1349.596003792567</v>
      </c>
    </row>
    <row r="25" spans="2:19">
      <c r="B25" s="16">
        <f>'Aerodynamics-Takeoff'!L25</f>
        <v>0.33333333333333326</v>
      </c>
      <c r="C25" s="16">
        <f>'Aerodynamics-Takeoff'!M25</f>
        <v>1.8157894736842106</v>
      </c>
      <c r="E25" s="31">
        <f>Main!M25</f>
        <v>0.3</v>
      </c>
      <c r="G25" s="14">
        <f t="shared" si="0"/>
        <v>52.902657555042182</v>
      </c>
      <c r="I25" s="14">
        <f t="shared" ca="1" si="1"/>
        <v>-1.8886923040763568</v>
      </c>
      <c r="J25" s="14">
        <f t="shared" ca="1" si="2"/>
        <v>0.36457145111520717</v>
      </c>
      <c r="K25" s="14">
        <f t="shared" ca="1" si="3"/>
        <v>-9.1912524320431788E-2</v>
      </c>
      <c r="L25" s="29">
        <f t="shared" ca="1" si="4"/>
        <v>52.338966622718416</v>
      </c>
      <c r="M25" s="14">
        <f t="shared" ca="1" si="5"/>
        <v>52.338966622718416</v>
      </c>
      <c r="P25" s="14">
        <f ca="1">'Aerodynamics-Takeoff'!H25</f>
        <v>13.235366392151196</v>
      </c>
      <c r="Q25" s="1">
        <f t="shared" si="6"/>
        <v>1</v>
      </c>
      <c r="R25" s="1">
        <f ca="1">Propulsão!$J$7*Weight!Z25/(Propulsão!W25/Propulsão!V25)</f>
        <v>27.957145862300774</v>
      </c>
      <c r="S25" s="14">
        <f t="shared" ca="1" si="7"/>
        <v>1332.0830475589123</v>
      </c>
    </row>
    <row r="26" spans="2:19">
      <c r="B26" s="16">
        <f>'Aerodynamics-Takeoff'!L26</f>
        <v>0.33333333333333326</v>
      </c>
      <c r="C26" s="16">
        <f>'Aerodynamics-Takeoff'!M26</f>
        <v>1.8947368421052633</v>
      </c>
      <c r="E26" s="31">
        <f>Main!M26</f>
        <v>0.3</v>
      </c>
      <c r="G26" s="14">
        <f t="shared" si="0"/>
        <v>54.262762582540169</v>
      </c>
      <c r="I26" s="14">
        <f t="shared" ca="1" si="1"/>
        <v>-1.538363639239305</v>
      </c>
      <c r="J26" s="14">
        <f t="shared" ca="1" si="2"/>
        <v>0.44287404032463967</v>
      </c>
      <c r="K26" s="14">
        <f t="shared" ca="1" si="3"/>
        <v>-5.9729871167497971E-2</v>
      </c>
      <c r="L26" s="29">
        <f t="shared" ca="1" si="4"/>
        <v>52.799780529917832</v>
      </c>
      <c r="M26" s="14">
        <f t="shared" ca="1" si="5"/>
        <v>52.799780529917832</v>
      </c>
      <c r="P26" s="14">
        <f ca="1">'Aerodynamics-Takeoff'!H26</f>
        <v>13.045219318895375</v>
      </c>
      <c r="Q26" s="1">
        <f t="shared" si="6"/>
        <v>1</v>
      </c>
      <c r="R26" s="1">
        <f ca="1">Propulsão!$J$7*Weight!Z26/(Propulsão!W26/Propulsão!V26)</f>
        <v>28.003232799271252</v>
      </c>
      <c r="S26" s="14">
        <f t="shared" ca="1" si="7"/>
        <v>1315.1099286164806</v>
      </c>
    </row>
    <row r="27" spans="2:19">
      <c r="B27" s="16">
        <f>'Aerodynamics-Takeoff'!L27</f>
        <v>0.33333333333333326</v>
      </c>
      <c r="C27" s="16">
        <f>'Aerodynamics-Takeoff'!M27</f>
        <v>1.9736842105263159</v>
      </c>
      <c r="E27" s="31">
        <f>Main!M27</f>
        <v>0.3</v>
      </c>
      <c r="G27" s="14">
        <f t="shared" si="0"/>
        <v>55.628548102545224</v>
      </c>
      <c r="I27" s="14">
        <f t="shared" ca="1" si="1"/>
        <v>-1.1798664412127675</v>
      </c>
      <c r="J27" s="14">
        <f t="shared" ca="1" si="2"/>
        <v>0.52149813121170019</v>
      </c>
      <c r="K27" s="14">
        <f t="shared" ca="1" si="3"/>
        <v>-2.6341354764022724E-2</v>
      </c>
      <c r="L27" s="29">
        <f t="shared" ca="1" si="4"/>
        <v>53.270290335234911</v>
      </c>
      <c r="M27" s="14">
        <f t="shared" ca="1" si="5"/>
        <v>53.270290335234911</v>
      </c>
      <c r="P27" s="14">
        <f ca="1">'Aerodynamics-Takeoff'!H27</f>
        <v>12.863499584985497</v>
      </c>
      <c r="Q27" s="1">
        <f t="shared" si="6"/>
        <v>1</v>
      </c>
      <c r="R27" s="1">
        <f ca="1">Propulsão!$J$7*Weight!Z27/(Propulsão!W27/Propulsão!V27)</f>
        <v>28.042791172897303</v>
      </c>
      <c r="S27" s="14">
        <f t="shared" ca="1" si="7"/>
        <v>1298.622357411838</v>
      </c>
    </row>
    <row r="28" spans="2:19">
      <c r="B28" s="16">
        <f>'Aerodynamics-Takeoff'!L28</f>
        <v>0.33333333333333326</v>
      </c>
      <c r="C28" s="16">
        <f>'Aerodynamics-Takeoff'!M28</f>
        <v>2.0526315789473686</v>
      </c>
      <c r="E28" s="31">
        <f>Main!M28</f>
        <v>0.3</v>
      </c>
      <c r="G28" s="14">
        <f t="shared" si="0"/>
        <v>56.999809095892999</v>
      </c>
      <c r="I28" s="14">
        <f t="shared" ca="1" si="1"/>
        <v>-0.81319913864120386</v>
      </c>
      <c r="J28" s="14">
        <f t="shared" ca="1" si="2"/>
        <v>0.600464844154874</v>
      </c>
      <c r="K28" s="14">
        <f t="shared" ca="1" si="3"/>
        <v>8.2572210396166558E-3</v>
      </c>
      <c r="L28" s="29">
        <f t="shared" ca="1" si="4"/>
        <v>53.75052292655328</v>
      </c>
      <c r="M28" s="14">
        <f t="shared" ca="1" si="5"/>
        <v>53.75052292655328</v>
      </c>
      <c r="P28" s="14">
        <f ca="1">'Aerodynamics-Takeoff'!H28</f>
        <v>12.658704743682229</v>
      </c>
      <c r="Q28" s="1">
        <f t="shared" si="6"/>
        <v>1</v>
      </c>
      <c r="R28" s="1">
        <f ca="1">Propulsão!$J$7*Weight!Z28/(Propulsão!W28/Propulsão!V28)</f>
        <v>28.122238875470792</v>
      </c>
      <c r="S28" s="14">
        <f t="shared" ca="1" si="7"/>
        <v>1281.568027161193</v>
      </c>
    </row>
    <row r="29" spans="2:19">
      <c r="B29" s="16">
        <f>'Aerodynamics-Takeoff'!L29</f>
        <v>0.33333333333333326</v>
      </c>
      <c r="C29" s="16">
        <f>'Aerodynamics-Takeoff'!M29</f>
        <v>2.1315789473684212</v>
      </c>
      <c r="E29" s="31">
        <f>Main!M29</f>
        <v>0.3</v>
      </c>
      <c r="G29" s="14">
        <f t="shared" si="0"/>
        <v>58.376355566226678</v>
      </c>
      <c r="I29" s="14">
        <f t="shared" ca="1" si="1"/>
        <v>-0.43835271998120007</v>
      </c>
      <c r="J29" s="14">
        <f t="shared" ca="1" si="2"/>
        <v>0.67979419550774067</v>
      </c>
      <c r="K29" s="14">
        <f t="shared" ca="1" si="3"/>
        <v>4.4070639973757209E-2</v>
      </c>
      <c r="L29" s="29">
        <f t="shared" ca="1" si="4"/>
        <v>54.240512115500302</v>
      </c>
      <c r="M29" s="14">
        <f t="shared" ca="1" si="5"/>
        <v>54.240512115500302</v>
      </c>
      <c r="P29" s="14">
        <f ca="1">'Aerodynamics-Takeoff'!H29</f>
        <v>12.409597035986524</v>
      </c>
      <c r="Q29" s="1">
        <f t="shared" si="6"/>
        <v>1</v>
      </c>
      <c r="R29" s="1">
        <f ca="1">Propulsão!$J$7*Weight!Z29/(Propulsão!W29/Propulsão!V29)</f>
        <v>28.273903644391009</v>
      </c>
      <c r="S29" s="14">
        <f t="shared" ca="1" si="7"/>
        <v>1263.1239031003317</v>
      </c>
    </row>
    <row r="30" spans="2:19">
      <c r="B30" s="16">
        <f>'Aerodynamics-Takeoff'!L30</f>
        <v>0.33333333333333326</v>
      </c>
      <c r="C30" s="16">
        <f>'Aerodynamics-Takeoff'!M30</f>
        <v>2.2105263157894739</v>
      </c>
      <c r="E30" s="31">
        <f>Main!M30</f>
        <v>0.3</v>
      </c>
      <c r="G30" s="14">
        <f t="shared" si="0"/>
        <v>59.758010921831634</v>
      </c>
      <c r="I30" s="14">
        <f t="shared" ca="1" si="1"/>
        <v>-5.5311423829588695E-2</v>
      </c>
      <c r="J30" s="14">
        <f t="shared" ca="1" si="2"/>
        <v>0.7595052209405595</v>
      </c>
      <c r="K30" s="14">
        <f t="shared" ca="1" si="3"/>
        <v>8.1104233580493637E-2</v>
      </c>
      <c r="L30" s="29">
        <f t="shared" ca="1" si="4"/>
        <v>54.74029803069147</v>
      </c>
      <c r="M30" s="14">
        <f t="shared" ca="1" si="5"/>
        <v>54.74029803069147</v>
      </c>
      <c r="P30" s="14">
        <f ca="1">'Aerodynamics-Takeoff'!H30</f>
        <v>12.177080745869123</v>
      </c>
      <c r="Q30" s="1">
        <f t="shared" si="6"/>
        <v>1</v>
      </c>
      <c r="R30" s="1">
        <f ca="1">Propulsão!$J$7*Weight!Z30/(Propulsão!W30/Propulsão!V30)</f>
        <v>28.405192505285761</v>
      </c>
      <c r="S30" s="14">
        <f t="shared" ca="1" si="7"/>
        <v>1245.2123618597561</v>
      </c>
    </row>
    <row r="31" spans="2:19">
      <c r="B31" s="16">
        <f>'Aerodynamics-Takeoff'!L31</f>
        <v>0.33333333333333326</v>
      </c>
      <c r="C31" s="16">
        <f>'Aerodynamics-Takeoff'!M31</f>
        <v>2.2894736842105265</v>
      </c>
      <c r="E31" s="31">
        <f>Main!M31</f>
        <v>0.3</v>
      </c>
      <c r="G31" s="14">
        <f t="shared" si="0"/>
        <v>61.144610583528284</v>
      </c>
      <c r="I31" s="14">
        <f t="shared" ca="1" si="1"/>
        <v>0.33594666220431479</v>
      </c>
      <c r="J31" s="14">
        <f t="shared" ca="1" si="2"/>
        <v>0.83961608080091177</v>
      </c>
      <c r="K31" s="14">
        <f t="shared" ca="1" si="3"/>
        <v>0.11936384601654715</v>
      </c>
      <c r="L31" s="29">
        <f t="shared" ca="1" si="4"/>
        <v>55.249926589021769</v>
      </c>
      <c r="M31" s="14">
        <f t="shared" ca="1" si="5"/>
        <v>55.249926589021769</v>
      </c>
      <c r="P31" s="14">
        <f ca="1">'Aerodynamics-Takeoff'!H31</f>
        <v>11.959376547462874</v>
      </c>
      <c r="Q31" s="1">
        <f t="shared" si="6"/>
        <v>1</v>
      </c>
      <c r="R31" s="1">
        <f ca="1">Propulsão!$J$7*Weight!Z31/(Propulsão!W31/Propulsão!V31)</f>
        <v>28.517387714940629</v>
      </c>
      <c r="S31" s="14">
        <f t="shared" ca="1" si="7"/>
        <v>1227.7806401986807</v>
      </c>
    </row>
    <row r="32" spans="2:19">
      <c r="B32" s="16">
        <f>'Aerodynamics-Takeoff'!L32</f>
        <v>0.33333333333333326</v>
      </c>
      <c r="C32" s="16">
        <f>'Aerodynamics-Takeoff'!M32</f>
        <v>2.3684210526315792</v>
      </c>
      <c r="E32" s="31">
        <f>Main!M32</f>
        <v>0.3</v>
      </c>
      <c r="G32" s="14">
        <f t="shared" si="0"/>
        <v>62.536000780309223</v>
      </c>
      <c r="I32" s="14">
        <f t="shared" ca="1" si="1"/>
        <v>0.73544907908754031</v>
      </c>
      <c r="J32" s="14">
        <f t="shared" ca="1" si="2"/>
        <v>0.92014415062334132</v>
      </c>
      <c r="K32" s="14">
        <f t="shared" ca="1" si="3"/>
        <v>0.15885580274102529</v>
      </c>
      <c r="L32" s="29">
        <f t="shared" ca="1" si="4"/>
        <v>55.769449032451902</v>
      </c>
      <c r="M32" s="14">
        <f t="shared" ca="1" si="5"/>
        <v>55.769449032451902</v>
      </c>
      <c r="P32" s="14">
        <f ca="1">'Aerodynamics-Takeoff'!H32</f>
        <v>11.754972136958465</v>
      </c>
      <c r="Q32" s="1">
        <f t="shared" si="6"/>
        <v>1</v>
      </c>
      <c r="R32" s="1">
        <f ca="1">Propulsão!$J$7*Weight!Z32/(Propulsão!W32/Propulsão!V32)</f>
        <v>28.611595723595773</v>
      </c>
      <c r="S32" s="14">
        <f t="shared" ca="1" si="7"/>
        <v>1210.7826378892378</v>
      </c>
    </row>
    <row r="33" spans="2:19">
      <c r="B33" s="16">
        <f>'Aerodynamics-Takeoff'!L33</f>
        <v>0.33333333333333326</v>
      </c>
      <c r="C33" s="16">
        <f>'Aerodynamics-Takeoff'!M33</f>
        <v>2.4473684210526319</v>
      </c>
      <c r="E33" s="31">
        <f>Main!M33</f>
        <v>0.3</v>
      </c>
      <c r="G33" s="14">
        <f t="shared" si="0"/>
        <v>63.932037501965986</v>
      </c>
      <c r="I33" s="14">
        <f t="shared" ca="1" si="1"/>
        <v>1.1432285382814193</v>
      </c>
      <c r="J33" s="14">
        <f t="shared" ca="1" si="2"/>
        <v>1.0011060992854643</v>
      </c>
      <c r="K33" s="14">
        <f t="shared" ca="1" si="3"/>
        <v>0.19958688252302337</v>
      </c>
      <c r="L33" s="29">
        <f t="shared" ca="1" si="4"/>
        <v>56.298921520089905</v>
      </c>
      <c r="M33" s="14">
        <f t="shared" ca="1" si="5"/>
        <v>56.298921520089905</v>
      </c>
      <c r="P33" s="14">
        <f ca="1">'Aerodynamics-Takeoff'!H33</f>
        <v>11.562571144367805</v>
      </c>
      <c r="Q33" s="1">
        <f t="shared" si="6"/>
        <v>1</v>
      </c>
      <c r="R33" s="1">
        <f ca="1">Propulsão!$J$7*Weight!Z33/(Propulsão!W33/Propulsão!V33)</f>
        <v>28.688785551430325</v>
      </c>
      <c r="S33" s="14">
        <f t="shared" ca="1" si="7"/>
        <v>1194.1780463421273</v>
      </c>
    </row>
    <row r="34" spans="2:19">
      <c r="B34" s="16">
        <f>'Aerodynamics-Takeoff'!L34</f>
        <v>0.33333333333333326</v>
      </c>
      <c r="C34" s="16">
        <f>'Aerodynamics-Takeoff'!M34</f>
        <v>2.5263157894736845</v>
      </c>
      <c r="E34" s="31">
        <f>Main!M34</f>
        <v>0.3</v>
      </c>
      <c r="G34" s="14">
        <f t="shared" si="0"/>
        <v>65.332585583821498</v>
      </c>
      <c r="I34" s="14">
        <f t="shared" ca="1" si="1"/>
        <v>1.5593225180987289</v>
      </c>
      <c r="J34" s="14">
        <f t="shared" ca="1" si="2"/>
        <v>1.0825179568198933</v>
      </c>
      <c r="K34" s="14">
        <f t="shared" ca="1" si="3"/>
        <v>0.241564292301017</v>
      </c>
      <c r="L34" s="29">
        <f t="shared" ca="1" si="4"/>
        <v>56.838404767219636</v>
      </c>
      <c r="M34" s="14">
        <f t="shared" ca="1" si="5"/>
        <v>56.838404767219636</v>
      </c>
      <c r="P34" s="14">
        <f ca="1">'Aerodynamics-Takeoff'!H34</f>
        <v>11.381001633492176</v>
      </c>
      <c r="Q34" s="1">
        <f t="shared" si="6"/>
        <v>1</v>
      </c>
      <c r="R34" s="1">
        <f ca="1">Propulsão!$J$7*Weight!Z34/(Propulsão!W34/Propulsão!V34)</f>
        <v>28.749901364253073</v>
      </c>
      <c r="S34" s="14">
        <f t="shared" ca="1" si="7"/>
        <v>1177.9296278014915</v>
      </c>
    </row>
    <row r="35" spans="2:19">
      <c r="B35" s="16">
        <f>'Aerodynamics-Takeoff'!L35</f>
        <v>0.33333333333333326</v>
      </c>
      <c r="C35" s="16">
        <f>'Aerodynamics-Takeoff'!M35</f>
        <v>2.6052631578947372</v>
      </c>
      <c r="E35" s="31">
        <f>Main!M35</f>
        <v>0.3</v>
      </c>
      <c r="G35" s="14">
        <f t="shared" si="0"/>
        <v>66.737517903285593</v>
      </c>
      <c r="I35" s="14">
        <f t="shared" ca="1" si="1"/>
        <v>1.9837729063810681</v>
      </c>
      <c r="J35" s="14">
        <f t="shared" ca="1" si="2"/>
        <v>1.1643951735110001</v>
      </c>
      <c r="K35" s="14">
        <f t="shared" ca="1" si="3"/>
        <v>0.28479564450379685</v>
      </c>
      <c r="L35" s="29">
        <f t="shared" ca="1" si="4"/>
        <v>57.387963724395867</v>
      </c>
      <c r="M35" s="14">
        <f t="shared" ca="1" si="5"/>
        <v>57.387963724395867</v>
      </c>
      <c r="P35" s="14">
        <f ca="1">'Aerodynamics-Takeoff'!H35</f>
        <v>11.209097688879872</v>
      </c>
      <c r="Q35" s="1">
        <f t="shared" si="6"/>
        <v>1</v>
      </c>
      <c r="R35" s="1">
        <f ca="1">Propulsão!$J$7*Weight!Z35/(Propulsão!W35/Propulsão!V35)</f>
        <v>28.796027030260994</v>
      </c>
      <c r="S35" s="14">
        <f t="shared" ca="1" si="7"/>
        <v>1161.9989281217549</v>
      </c>
    </row>
    <row r="36" spans="2:19">
      <c r="B36" s="16">
        <f>'Aerodynamics-Takeoff'!L36</f>
        <v>0.33333333333333326</v>
      </c>
      <c r="C36" s="16">
        <f>'Aerodynamics-Takeoff'!M36</f>
        <v>2.6842105263157898</v>
      </c>
      <c r="E36" s="31">
        <f>Main!M36</f>
        <v>0.3</v>
      </c>
      <c r="G36" s="14">
        <f t="shared" si="0"/>
        <v>68.146714671587375</v>
      </c>
      <c r="I36" s="14">
        <f t="shared" ca="1" si="1"/>
        <v>2.4166256827877377</v>
      </c>
      <c r="J36" s="14">
        <f t="shared" ca="1" si="2"/>
        <v>1.2467526716067958</v>
      </c>
      <c r="K36" s="14">
        <f t="shared" ca="1" si="3"/>
        <v>0.32928893650561109</v>
      </c>
      <c r="L36" s="29">
        <f t="shared" ca="1" si="4"/>
        <v>57.947667290900149</v>
      </c>
      <c r="M36" s="14">
        <f t="shared" ca="1" si="5"/>
        <v>57.947667290900149</v>
      </c>
      <c r="P36" s="14">
        <f ca="1">'Aerodynamics-Takeoff'!H36</f>
        <v>11.04629417170349</v>
      </c>
      <c r="Q36" s="1">
        <f t="shared" si="6"/>
        <v>1</v>
      </c>
      <c r="R36" s="1">
        <f ca="1">Propulsão!$J$7*Weight!Z36/(Propulsão!W36/Propulsão!V36)</f>
        <v>28.827416255529506</v>
      </c>
      <c r="S36" s="14">
        <f t="shared" ca="1" si="7"/>
        <v>1146.3700326074138</v>
      </c>
    </row>
    <row r="37" spans="2:19">
      <c r="B37" s="16">
        <f>'Aerodynamics-Takeoff'!L37</f>
        <v>0.33333333333333326</v>
      </c>
      <c r="C37" s="16">
        <f>'Aerodynamics-Takeoff'!M37</f>
        <v>2.7631578947368425</v>
      </c>
      <c r="E37" s="31">
        <f>Main!M37</f>
        <v>0.3</v>
      </c>
      <c r="G37" s="14">
        <f t="shared" si="0"/>
        <v>69.560062806933914</v>
      </c>
      <c r="I37" s="14">
        <f t="shared" ca="1" si="1"/>
        <v>2.8579306351189415</v>
      </c>
      <c r="J37" s="14">
        <f t="shared" ca="1" si="2"/>
        <v>1.3296048907394824</v>
      </c>
      <c r="K37" s="14">
        <f t="shared" ca="1" si="3"/>
        <v>0.37505253193938665</v>
      </c>
      <c r="L37" s="29">
        <f t="shared" ca="1" si="4"/>
        <v>58.517588057797809</v>
      </c>
      <c r="M37" s="14">
        <f t="shared" ca="1" si="5"/>
        <v>58.517588057797809</v>
      </c>
      <c r="P37" s="14">
        <f ca="1">'Aerodynamics-Takeoff'!H37</f>
        <v>10.891834490699978</v>
      </c>
      <c r="Q37" s="1">
        <f t="shared" si="6"/>
        <v>1</v>
      </c>
      <c r="R37" s="1">
        <f ca="1">Propulsão!$J$7*Weight!Z37/(Propulsão!W37/Propulsão!V37)</f>
        <v>28.844735384146858</v>
      </c>
      <c r="S37" s="14">
        <f t="shared" ca="1" si="7"/>
        <v>1131.0195014357935</v>
      </c>
    </row>
    <row r="38" spans="2:19">
      <c r="B38" s="16">
        <f>'Aerodynamics-Takeoff'!L38</f>
        <v>0.33333333333333326</v>
      </c>
      <c r="C38" s="16">
        <f>'Aerodynamics-Takeoff'!M38</f>
        <v>2.8421052631578951</v>
      </c>
      <c r="E38" s="31">
        <f>Main!M38</f>
        <v>0.3</v>
      </c>
      <c r="G38" s="14">
        <f t="shared" si="0"/>
        <v>70.977455377669173</v>
      </c>
      <c r="I38" s="14">
        <f t="shared" ca="1" si="1"/>
        <v>3.3077411050102223</v>
      </c>
      <c r="J38" s="14">
        <f t="shared" ca="1" si="2"/>
        <v>1.4129658279593647</v>
      </c>
      <c r="K38" s="14">
        <f t="shared" ca="1" si="3"/>
        <v>0.42209514363387601</v>
      </c>
      <c r="L38" s="29">
        <f t="shared" ca="1" si="4"/>
        <v>59.097802076603458</v>
      </c>
      <c r="M38" s="14">
        <f t="shared" ca="1" si="5"/>
        <v>59.097802076603458</v>
      </c>
      <c r="P38" s="14">
        <f ca="1">'Aerodynamics-Takeoff'!H38</f>
        <v>10.745049877378921</v>
      </c>
      <c r="Q38" s="1">
        <f t="shared" si="6"/>
        <v>1</v>
      </c>
      <c r="R38" s="1">
        <f ca="1">Propulsão!$J$7*Weight!Z38/(Propulsão!W38/Propulsão!V38)</f>
        <v>28.848607938615999</v>
      </c>
      <c r="S38" s="14">
        <f t="shared" ca="1" si="7"/>
        <v>1115.9270322961622</v>
      </c>
    </row>
    <row r="39" spans="2:19">
      <c r="B39" s="16">
        <f>'Aerodynamics-Takeoff'!L39</f>
        <v>0.33333333333333326</v>
      </c>
      <c r="C39" s="16">
        <f>'Aerodynamics-Takeoff'!M39</f>
        <v>2.9210526315789478</v>
      </c>
      <c r="E39" s="31">
        <f>Main!M39</f>
        <v>0.3</v>
      </c>
      <c r="G39" s="14">
        <f t="shared" si="0"/>
        <v>72.398791105883731</v>
      </c>
      <c r="I39" s="14">
        <f t="shared" ca="1" si="1"/>
        <v>3.7661137590786895</v>
      </c>
      <c r="J39" s="14">
        <f t="shared" ca="1" si="2"/>
        <v>1.4968490731349731</v>
      </c>
      <c r="K39" s="14">
        <f t="shared" ca="1" si="3"/>
        <v>0.470425817975199</v>
      </c>
      <c r="L39" s="29">
        <f t="shared" ca="1" si="4"/>
        <v>59.688388650188863</v>
      </c>
      <c r="M39" s="14">
        <f t="shared" ca="1" si="5"/>
        <v>59.688388650188863</v>
      </c>
      <c r="P39" s="14">
        <f ca="1">'Aerodynamics-Takeoff'!H39</f>
        <v>10.605346376012445</v>
      </c>
      <c r="Q39" s="1">
        <f t="shared" si="6"/>
        <v>1</v>
      </c>
      <c r="R39" s="1">
        <f ca="1">Propulsão!$J$7*Weight!Z39/(Propulsão!W39/Propulsão!V39)</f>
        <v>28.839623496939879</v>
      </c>
      <c r="S39" s="14">
        <f t="shared" ca="1" si="7"/>
        <v>1101.075107539805</v>
      </c>
    </row>
    <row r="40" spans="2:19">
      <c r="B40" s="16">
        <f>'Aerodynamics-Takeoff'!L40</f>
        <v>0.33333333333333326</v>
      </c>
      <c r="C40" s="16">
        <f>'Aerodynamics-Takeoff'!M40</f>
        <v>3</v>
      </c>
      <c r="E40" s="31">
        <f>Main!M40</f>
        <v>0.3</v>
      </c>
      <c r="G40" s="14">
        <f t="shared" si="0"/>
        <v>73.823973923452414</v>
      </c>
      <c r="I40" s="14">
        <f t="shared" ca="1" si="1"/>
        <v>4.2331083822099576</v>
      </c>
      <c r="J40" s="14">
        <f t="shared" ca="1" si="2"/>
        <v>1.5812678403493967</v>
      </c>
      <c r="K40" s="14">
        <f t="shared" ca="1" si="3"/>
        <v>0.52005392052196253</v>
      </c>
      <c r="L40" s="29">
        <f t="shared" ca="1" si="4"/>
        <v>60.289430143081312</v>
      </c>
      <c r="M40" s="14">
        <f t="shared" ca="1" si="5"/>
        <v>60.289430143081312</v>
      </c>
      <c r="P40" s="14">
        <f ca="1">'Aerodynamics-Takeoff'!H40</f>
        <v>9.5359142313991931</v>
      </c>
      <c r="Q40" s="12">
        <f>Q21</f>
        <v>1</v>
      </c>
      <c r="R40" s="1">
        <f ca="1">Propulsão!$J$7*Weight!Z40/(Propulsão!W40/Propulsão!V40)</f>
        <v>30.414747324623967</v>
      </c>
      <c r="S40" s="14">
        <f t="shared" ca="1" si="7"/>
        <v>1044.1167186862519</v>
      </c>
    </row>
  </sheetData>
  <phoneticPr fontId="19" type="noConversion"/>
  <pageMargins left="0.75" right="0.75" top="1" bottom="1" header="0.5" footer="0.5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</sheetPr>
  <dimension ref="A1:AO55"/>
  <sheetViews>
    <sheetView zoomScale="90" workbookViewId="0">
      <selection activeCell="I46" sqref="I46"/>
    </sheetView>
  </sheetViews>
  <sheetFormatPr defaultRowHeight="12.75"/>
  <sheetData>
    <row r="1" spans="1:41">
      <c r="A1" s="17" t="s">
        <v>252</v>
      </c>
    </row>
    <row r="3" spans="1:41">
      <c r="A3" t="s">
        <v>79</v>
      </c>
      <c r="I3" s="17"/>
      <c r="Z3" t="s">
        <v>79</v>
      </c>
      <c r="AL3" s="17"/>
    </row>
    <row r="4" spans="1:41">
      <c r="D4" s="17"/>
      <c r="I4" s="17"/>
      <c r="AL4" s="17"/>
    </row>
    <row r="5" spans="1:41">
      <c r="A5" s="46" t="s">
        <v>112</v>
      </c>
      <c r="D5" s="17"/>
      <c r="I5" s="17"/>
      <c r="J5" s="46" t="s">
        <v>200</v>
      </c>
      <c r="Z5" s="46" t="s">
        <v>112</v>
      </c>
      <c r="AC5" t="s">
        <v>105</v>
      </c>
      <c r="AL5" s="17"/>
    </row>
    <row r="6" spans="1:41">
      <c r="A6" s="46" t="s">
        <v>205</v>
      </c>
      <c r="B6" s="8" t="s">
        <v>229</v>
      </c>
      <c r="C6" s="8"/>
      <c r="D6" t="s">
        <v>230</v>
      </c>
      <c r="E6" s="52">
        <v>3.2540808999999997E-2</v>
      </c>
      <c r="G6" t="s">
        <v>236</v>
      </c>
      <c r="H6" s="52">
        <v>0</v>
      </c>
      <c r="J6" t="s">
        <v>219</v>
      </c>
      <c r="K6" s="8"/>
      <c r="L6" s="8"/>
      <c r="Z6" s="9" t="s">
        <v>57</v>
      </c>
      <c r="AA6" s="11">
        <f>0.37/0.0254</f>
        <v>14.566929133858268</v>
      </c>
      <c r="AB6" s="9" t="s">
        <v>113</v>
      </c>
      <c r="AC6" s="9" t="s">
        <v>110</v>
      </c>
      <c r="AD6" s="12">
        <v>0.5</v>
      </c>
      <c r="AL6" s="17"/>
    </row>
    <row r="7" spans="1:41">
      <c r="A7" s="3" t="s">
        <v>57</v>
      </c>
      <c r="B7" s="11">
        <v>12</v>
      </c>
      <c r="C7" s="3" t="s">
        <v>113</v>
      </c>
      <c r="E7" s="52">
        <v>1.4628060000000001E-3</v>
      </c>
      <c r="F7" t="s">
        <v>116</v>
      </c>
      <c r="H7" s="52">
        <v>2.4913927</v>
      </c>
      <c r="I7" t="s">
        <v>116</v>
      </c>
      <c r="J7" s="3" t="s">
        <v>257</v>
      </c>
      <c r="K7" s="11">
        <v>700</v>
      </c>
      <c r="L7" s="3" t="s">
        <v>34</v>
      </c>
      <c r="Z7" s="9" t="s">
        <v>57</v>
      </c>
      <c r="AA7" s="1">
        <f>AA6*0.0254</f>
        <v>0.37</v>
      </c>
      <c r="AB7" s="9" t="s">
        <v>4</v>
      </c>
      <c r="AL7" s="17"/>
    </row>
    <row r="8" spans="1:41">
      <c r="A8" s="3" t="s">
        <v>57</v>
      </c>
      <c r="B8" s="1">
        <f>B7*0.0254</f>
        <v>0.30479999999999996</v>
      </c>
      <c r="C8" s="3" t="s">
        <v>4</v>
      </c>
      <c r="E8" s="52">
        <v>-1.4912626999999999E-2</v>
      </c>
      <c r="F8" t="s">
        <v>231</v>
      </c>
      <c r="H8" s="52">
        <v>-1.7942079</v>
      </c>
      <c r="I8" t="s">
        <v>231</v>
      </c>
      <c r="J8" s="3" t="s">
        <v>256</v>
      </c>
      <c r="K8" s="11">
        <v>1200</v>
      </c>
      <c r="L8" s="3" t="s">
        <v>98</v>
      </c>
      <c r="Z8" s="9" t="s">
        <v>114</v>
      </c>
      <c r="AA8" s="11">
        <f>0.35/0.0254</f>
        <v>13.779527559055119</v>
      </c>
      <c r="AB8" s="9" t="s">
        <v>113</v>
      </c>
      <c r="AL8" s="17"/>
    </row>
    <row r="9" spans="1:41">
      <c r="A9" s="3" t="s">
        <v>114</v>
      </c>
      <c r="B9" s="11">
        <v>6</v>
      </c>
      <c r="C9" s="3" t="s">
        <v>113</v>
      </c>
      <c r="E9" s="52">
        <v>-7.1419930000000006E-2</v>
      </c>
      <c r="F9" t="s">
        <v>232</v>
      </c>
      <c r="H9" s="52">
        <v>16.967749000000001</v>
      </c>
      <c r="I9" t="s">
        <v>232</v>
      </c>
      <c r="J9" s="3" t="s">
        <v>253</v>
      </c>
      <c r="K9" s="11">
        <v>13000</v>
      </c>
      <c r="L9" s="3" t="s">
        <v>98</v>
      </c>
      <c r="Z9" s="9" t="s">
        <v>114</v>
      </c>
      <c r="AA9" s="1">
        <f>AA8*0.0254</f>
        <v>0.35</v>
      </c>
      <c r="AB9" s="9" t="s">
        <v>4</v>
      </c>
      <c r="AL9" s="17"/>
    </row>
    <row r="10" spans="1:41">
      <c r="A10" s="3" t="s">
        <v>114</v>
      </c>
      <c r="B10" s="1">
        <f>B9*0.0254</f>
        <v>0.15239999999999998</v>
      </c>
      <c r="C10" s="3" t="s">
        <v>4</v>
      </c>
      <c r="E10" s="52">
        <v>0</v>
      </c>
      <c r="F10" t="s">
        <v>233</v>
      </c>
      <c r="H10" s="52">
        <v>-101.53176999999999</v>
      </c>
      <c r="I10" t="s">
        <v>233</v>
      </c>
      <c r="J10" s="3" t="s">
        <v>254</v>
      </c>
      <c r="K10" s="20">
        <f>K7/(K9*2*PI()/60)</f>
        <v>0.51419289306612337</v>
      </c>
      <c r="L10" s="3" t="s">
        <v>107</v>
      </c>
    </row>
    <row r="11" spans="1:41">
      <c r="E11" s="52">
        <v>0</v>
      </c>
      <c r="F11" t="s">
        <v>234</v>
      </c>
      <c r="H11" s="52">
        <v>211.99064999999999</v>
      </c>
      <c r="I11" t="s">
        <v>234</v>
      </c>
      <c r="J11" s="3" t="s">
        <v>108</v>
      </c>
      <c r="K11" s="22">
        <f>0.00000016*9.8065</f>
        <v>1.56904E-6</v>
      </c>
      <c r="L11" s="3" t="s">
        <v>109</v>
      </c>
    </row>
    <row r="12" spans="1:41">
      <c r="E12" s="52">
        <v>0</v>
      </c>
      <c r="F12" t="s">
        <v>235</v>
      </c>
      <c r="H12" s="52">
        <v>-159.84881999999999</v>
      </c>
      <c r="I12" t="s">
        <v>235</v>
      </c>
      <c r="J12" s="3" t="s">
        <v>206</v>
      </c>
      <c r="K12" s="18">
        <f>1.2*9.8065</f>
        <v>11.767799999999999</v>
      </c>
      <c r="L12" s="3" t="s">
        <v>35</v>
      </c>
    </row>
    <row r="13" spans="1:41">
      <c r="AK13" s="6"/>
      <c r="AL13" s="6"/>
      <c r="AM13" s="6"/>
      <c r="AN13" s="6"/>
      <c r="AO13" s="6"/>
    </row>
    <row r="14" spans="1:41">
      <c r="N14" s="4"/>
      <c r="O14" s="4"/>
      <c r="AK14" s="6"/>
      <c r="AL14" s="6"/>
      <c r="AM14" s="6"/>
      <c r="AN14" s="6"/>
      <c r="AO14" s="6"/>
    </row>
    <row r="15" spans="1:41">
      <c r="B15" t="s">
        <v>33</v>
      </c>
      <c r="AE15" s="24" t="s">
        <v>121</v>
      </c>
      <c r="AK15" s="24" t="s">
        <v>121</v>
      </c>
      <c r="AO15" s="6"/>
    </row>
    <row r="16" spans="1:41">
      <c r="AE16" s="24" t="s">
        <v>125</v>
      </c>
      <c r="AK16" s="24" t="s">
        <v>120</v>
      </c>
      <c r="AO16" s="6"/>
    </row>
    <row r="17" spans="2:41">
      <c r="AO17" s="6"/>
    </row>
    <row r="18" spans="2:41">
      <c r="B18" s="9" t="s">
        <v>29</v>
      </c>
      <c r="D18" s="9" t="s">
        <v>57</v>
      </c>
      <c r="E18" s="9" t="s">
        <v>40</v>
      </c>
      <c r="F18" s="9" t="s">
        <v>110</v>
      </c>
      <c r="G18" s="9" t="s">
        <v>35</v>
      </c>
      <c r="H18" s="9" t="s">
        <v>116</v>
      </c>
      <c r="I18" s="9" t="s">
        <v>220</v>
      </c>
      <c r="J18" s="47" t="s">
        <v>221</v>
      </c>
      <c r="K18" s="9" t="s">
        <v>222</v>
      </c>
      <c r="L18" s="9" t="s">
        <v>223</v>
      </c>
      <c r="M18" s="9" t="s">
        <v>117</v>
      </c>
      <c r="N18" s="9" t="s">
        <v>141</v>
      </c>
      <c r="O18" s="9" t="s">
        <v>59</v>
      </c>
      <c r="P18" s="9" t="s">
        <v>255</v>
      </c>
      <c r="R18" s="9" t="s">
        <v>224</v>
      </c>
      <c r="Z18" s="9" t="s">
        <v>116</v>
      </c>
      <c r="AA18" s="9" t="s">
        <v>115</v>
      </c>
      <c r="AB18" s="9" t="s">
        <v>117</v>
      </c>
      <c r="AC18" s="9" t="s">
        <v>40</v>
      </c>
      <c r="AE18" s="9" t="s">
        <v>35</v>
      </c>
      <c r="AF18" s="9" t="s">
        <v>118</v>
      </c>
      <c r="AK18" s="9" t="s">
        <v>119</v>
      </c>
      <c r="AL18" s="9" t="s">
        <v>111</v>
      </c>
      <c r="AM18" s="9" t="s">
        <v>122</v>
      </c>
      <c r="AN18" s="9" t="s">
        <v>5</v>
      </c>
      <c r="AO18" s="23"/>
    </row>
    <row r="19" spans="2:41">
      <c r="B19" s="9" t="s">
        <v>30</v>
      </c>
      <c r="D19" s="9" t="s">
        <v>4</v>
      </c>
      <c r="E19" s="9" t="s">
        <v>1</v>
      </c>
      <c r="G19" s="9" t="s">
        <v>98</v>
      </c>
      <c r="I19" s="9" t="s">
        <v>34</v>
      </c>
      <c r="J19" s="48" t="s">
        <v>107</v>
      </c>
      <c r="K19" s="9" t="s">
        <v>225</v>
      </c>
      <c r="L19" s="9" t="s">
        <v>226</v>
      </c>
      <c r="N19" s="9" t="s">
        <v>34</v>
      </c>
      <c r="O19" s="9" t="s">
        <v>34</v>
      </c>
      <c r="P19" s="9" t="s">
        <v>98</v>
      </c>
      <c r="AB19" s="9" t="s">
        <v>151</v>
      </c>
      <c r="AC19" s="9" t="s">
        <v>1</v>
      </c>
      <c r="AE19" s="9" t="s">
        <v>98</v>
      </c>
      <c r="AL19" s="9" t="s">
        <v>34</v>
      </c>
      <c r="AM19" s="9" t="s">
        <v>34</v>
      </c>
      <c r="AN19" s="9" t="s">
        <v>35</v>
      </c>
      <c r="AO19" s="23"/>
    </row>
    <row r="20" spans="2:41">
      <c r="AO20" s="6"/>
    </row>
    <row r="21" spans="2:41">
      <c r="B21" s="1">
        <f>ISA!E21</f>
        <v>1.2249994633486807</v>
      </c>
      <c r="D21" s="1">
        <f>$B$8</f>
        <v>0.30479999999999996</v>
      </c>
      <c r="E21" s="19">
        <f ca="1">'Aerodynamics-Takeoff'!H21</f>
        <v>14.629202114405427</v>
      </c>
      <c r="F21" s="49">
        <f t="shared" ref="F21:F40" ca="1" si="0">IF(ISERROR(R21),1,R21)</f>
        <v>0.2346327666272246</v>
      </c>
      <c r="G21" s="29">
        <f t="shared" ref="G21:G40" ca="1" si="1">IF(ISERROR(P21),$K$8,P21)</f>
        <v>6048.3806430292643</v>
      </c>
      <c r="H21" s="10">
        <f ca="1">E21/(G21/60*D21)*Propulsão!J21</f>
        <v>0.45928260953786104</v>
      </c>
      <c r="I21" s="19">
        <f ca="1">F21*$K$10*(G21*2*PI()/60)</f>
        <v>76.415676824765811</v>
      </c>
      <c r="J21" s="13">
        <f ca="1">I21/(G21/60*(2*PI()))</f>
        <v>0.12064650108016117</v>
      </c>
      <c r="K21" s="10">
        <f ca="1">I21/(B21*(G21/60)^3*D21^5)</f>
        <v>2.3147716725132168E-2</v>
      </c>
      <c r="L21" s="10">
        <f ca="1">$E$6+$E$7*H21+$E$8*H21^2+$E$9*H21^3+$E$10*H21^4+$E$11*H21^5+$E$12*H21^6</f>
        <v>2.3147716725492901E-2</v>
      </c>
      <c r="M21" s="10">
        <f ca="1">($H$6+$H$7*H21+$H$8*H21^2+$H$9*H21^3+$H$10*H21^4+$H$11*H21^5+$H$12*H21^6)*Propulsão!M21</f>
        <v>0.69722916748197039</v>
      </c>
      <c r="N21" s="19">
        <f ca="1">I21*M21</f>
        <v>53.279238735102766</v>
      </c>
      <c r="O21" s="19">
        <f ca="1">'Aerodynamics-Takeoff'!BL21</f>
        <v>53.279238733091098</v>
      </c>
      <c r="P21" s="14">
        <f ca="1">MIN($K$9,MAX($K$8,G21+0.05*(K21/L21-1)*G21))</f>
        <v>6048.3806430245513</v>
      </c>
      <c r="Q21" s="50" t="str">
        <f ca="1">IF(ABS((L21-K21)/K21)&lt;0.01,"OK","iterate")</f>
        <v>OK</v>
      </c>
      <c r="R21" s="1">
        <f ca="1">MIN(1,MAX(0.01,F21+0.05*(O21/N21-1)*F21))</f>
        <v>0.23463276662678165</v>
      </c>
      <c r="S21" s="50" t="str">
        <f ca="1">IF(ABS((N21-O21)/O21)&lt;0.01,"OK","iterate")</f>
        <v>OK</v>
      </c>
      <c r="T21" s="50" t="str">
        <f ca="1">IF(P21&gt;$K$9,"maximum engine speed exceeded",IF(P21&lt;$K$8,"minimum engine speed exceeded","OK"))</f>
        <v>OK</v>
      </c>
      <c r="Z21" s="12">
        <v>1E-4</v>
      </c>
      <c r="AA21" s="12">
        <v>8.4970000000000004E-2</v>
      </c>
      <c r="AB21" s="12">
        <v>0</v>
      </c>
      <c r="AC21" s="20">
        <f t="shared" ref="AC21:AC55" si="2">Z21*AE21/60*$AA$7</f>
        <v>7.7191871700199744E-3</v>
      </c>
      <c r="AE21" s="26">
        <v>12517.600816248605</v>
      </c>
      <c r="AF21" s="1">
        <f t="shared" ref="AF21:AF55" si="3">$AD$6*$K$10*AE21*2*PI()/60*$B$21/1.225/($B$21*(AE21/60)^3*$AA$7^5)</f>
        <v>4.3690955076011607E-3</v>
      </c>
      <c r="AK21" s="25">
        <f t="shared" ref="AK21:AK36" si="4">AF21-AA21</f>
        <v>-8.0600904492398845E-2</v>
      </c>
      <c r="AL21" s="14">
        <f t="shared" ref="AL21:AL55" si="5">AF21*($B$21*(AE21/60)^3*$AA$7^5)</f>
        <v>337.012182028957</v>
      </c>
      <c r="AM21" s="14">
        <f>AB21/100*AL21</f>
        <v>0</v>
      </c>
      <c r="AN21" s="13">
        <f>AN22</f>
        <v>4.8896826463833163</v>
      </c>
      <c r="AO21" s="20"/>
    </row>
    <row r="22" spans="2:41">
      <c r="B22" s="1">
        <f>ISA!E22</f>
        <v>1.2249994633486807</v>
      </c>
      <c r="D22" s="1">
        <f>$B$8</f>
        <v>0.30479999999999996</v>
      </c>
      <c r="E22" s="19">
        <f ca="1">'Aerodynamics-Takeoff'!H22</f>
        <v>14.391374472657482</v>
      </c>
      <c r="F22" s="49">
        <f t="shared" ca="1" si="0"/>
        <v>0.22905231283593588</v>
      </c>
      <c r="G22" s="29">
        <f t="shared" ca="1" si="1"/>
        <v>5966.6151522782729</v>
      </c>
      <c r="H22" s="10">
        <f ca="1">E22/(G22/60*D22)*Propulsão!J22</f>
        <v>0.45800764098748847</v>
      </c>
      <c r="I22" s="19">
        <f t="shared" ref="I22:I40" ca="1" si="6">F22*$K$10*(G22*2*PI()/60)</f>
        <v>73.589761561684213</v>
      </c>
      <c r="J22" s="13">
        <f t="shared" ref="J22:J40" ca="1" si="7">I22/(G22/60*(2*PI()))</f>
        <v>0.11777707140059664</v>
      </c>
      <c r="K22" s="10">
        <f t="shared" ref="K22:K40" ca="1" si="8">I22/(B22*(G22/60)^3*D22^5)</f>
        <v>2.322075600613599E-2</v>
      </c>
      <c r="L22" s="10">
        <f t="shared" ref="L22:L40" ca="1" si="9">$E$6+$E$7*H22+$E$8*H22^2+$E$9*H22^3+$E$10*H22^4+$E$11*H22^5+$E$12*H22^6</f>
        <v>2.3220756006546522E-2</v>
      </c>
      <c r="M22" s="10">
        <f ca="1">($H$6+$H$7*H22+$H$8*H22^2+$H$9*H22^3+$H$10*H22^4+$H$11*H22^5+$H$12*H22^6)*Propulsão!M22</f>
        <v>0.69738693712656996</v>
      </c>
      <c r="N22" s="19">
        <f t="shared" ref="N22:N40" ca="1" si="10">I22*M22</f>
        <v>51.320538419377542</v>
      </c>
      <c r="O22" s="19">
        <f ca="1">'Aerodynamics-Takeoff'!BL22</f>
        <v>51.32053841719479</v>
      </c>
      <c r="P22" s="14">
        <f t="shared" ref="P22:P40" ca="1" si="11">MIN($K$9,MAX($K$8,G22+0.05*(K22/L22-1)*G22))</f>
        <v>5966.6151522729988</v>
      </c>
      <c r="Q22" s="50" t="str">
        <f t="shared" ref="Q22:Q40" ca="1" si="12">IF(ABS((L22-K22)/K22)&lt;0.01,"OK","iterate")</f>
        <v>OK</v>
      </c>
      <c r="R22" s="1">
        <f t="shared" ref="R22:R40" ca="1" si="13">MIN(1,MAX(0.01,F22+0.05*(O22/N22-1)*F22))</f>
        <v>0.22905231283544877</v>
      </c>
      <c r="S22" s="50" t="str">
        <f t="shared" ref="S22:S40" ca="1" si="14">IF(ABS((N22-O22)/O22)&lt;0.01,"OK","iterate")</f>
        <v>OK</v>
      </c>
      <c r="T22" s="50" t="str">
        <f t="shared" ref="T22:T40" ca="1" si="15">IF(P22&gt;$K$9,"maximum engine speed exceeded",IF(P22&lt;$K$8,"minimum engine speed exceeded","OK"))</f>
        <v>OK</v>
      </c>
      <c r="Z22" s="12">
        <v>0.05</v>
      </c>
      <c r="AA22" s="12">
        <v>8.7143999999999999E-2</v>
      </c>
      <c r="AB22" s="12">
        <v>5.6</v>
      </c>
      <c r="AC22" s="20">
        <f t="shared" si="2"/>
        <v>3.8170441198694691</v>
      </c>
      <c r="AE22" s="26">
        <v>12379.602550928006</v>
      </c>
      <c r="AF22" s="1">
        <f t="shared" si="3"/>
        <v>4.4670450313621986E-3</v>
      </c>
      <c r="AK22" s="25">
        <f t="shared" si="4"/>
        <v>-8.2676954968637806E-2</v>
      </c>
      <c r="AL22" s="14">
        <f t="shared" si="5"/>
        <v>333.2968457441047</v>
      </c>
      <c r="AM22" s="14">
        <f t="shared" ref="AM22:AM55" si="16">AB22/100*AL22</f>
        <v>18.664623361669861</v>
      </c>
      <c r="AN22" s="13">
        <f t="shared" ref="AN22:AN36" si="17">AM22/(AC22+0.0001)</f>
        <v>4.8896826463833163</v>
      </c>
      <c r="AO22" s="6"/>
    </row>
    <row r="23" spans="2:41">
      <c r="B23" s="1">
        <f>ISA!E23</f>
        <v>1.2249994633486807</v>
      </c>
      <c r="C23" s="6"/>
      <c r="D23" s="1">
        <f t="shared" ref="D23:D40" si="18">$B$8</f>
        <v>0.30479999999999996</v>
      </c>
      <c r="E23" s="19">
        <f ca="1">'Aerodynamics-Takeoff'!H23</f>
        <v>14.165103874793797</v>
      </c>
      <c r="F23" s="49">
        <f t="shared" ca="1" si="0"/>
        <v>0.22380155143784683</v>
      </c>
      <c r="G23" s="29">
        <f t="shared" ca="1" si="1"/>
        <v>5888.8284568470381</v>
      </c>
      <c r="H23" s="10">
        <f ca="1">E23/(G23/60*D23)*Propulsão!J23</f>
        <v>0.45676133791830076</v>
      </c>
      <c r="I23" s="19">
        <f t="shared" ca="1" si="6"/>
        <v>70.965404719661223</v>
      </c>
      <c r="J23" s="13">
        <f t="shared" ca="1" si="7"/>
        <v>0.11507716720651329</v>
      </c>
      <c r="K23" s="10">
        <f t="shared" ca="1" si="8"/>
        <v>2.3291797899210143E-2</v>
      </c>
      <c r="L23" s="10">
        <f t="shared" ca="1" si="9"/>
        <v>2.3291797899672263E-2</v>
      </c>
      <c r="M23" s="10">
        <f ca="1">($H$6+$H$7*H23+$H$8*H23^2+$H$9*H23^3+$H$10*H23^4+$H$11*H23^5+$H$12*H23^6)*Propulsão!M23</f>
        <v>0.69751713228423373</v>
      </c>
      <c r="N23" s="19">
        <f t="shared" ca="1" si="10"/>
        <v>49.499585591448124</v>
      </c>
      <c r="O23" s="19">
        <f ca="1">'Aerodynamics-Takeoff'!BL23</f>
        <v>49.499585589099709</v>
      </c>
      <c r="P23" s="14">
        <f t="shared" ca="1" si="11"/>
        <v>5888.8284568411964</v>
      </c>
      <c r="Q23" s="50" t="str">
        <f t="shared" ca="1" si="12"/>
        <v>OK</v>
      </c>
      <c r="R23" s="1">
        <f t="shared" ca="1" si="13"/>
        <v>0.22380155143731595</v>
      </c>
      <c r="S23" s="50" t="str">
        <f t="shared" ca="1" si="14"/>
        <v>OK</v>
      </c>
      <c r="T23" s="50" t="str">
        <f t="shared" ca="1" si="15"/>
        <v>OK</v>
      </c>
      <c r="Z23" s="12">
        <v>0.1</v>
      </c>
      <c r="AA23" s="12">
        <v>8.6874000000000007E-2</v>
      </c>
      <c r="AB23" s="12">
        <v>11.09</v>
      </c>
      <c r="AC23" s="20">
        <f t="shared" si="2"/>
        <v>7.6744330726747432</v>
      </c>
      <c r="AE23" s="26">
        <v>12445.026604337421</v>
      </c>
      <c r="AF23" s="1">
        <f t="shared" si="3"/>
        <v>4.4202015796522562E-3</v>
      </c>
      <c r="AK23" s="25">
        <f t="shared" si="4"/>
        <v>-8.2453798420347751E-2</v>
      </c>
      <c r="AL23" s="14">
        <f t="shared" si="5"/>
        <v>335.05826179501958</v>
      </c>
      <c r="AM23" s="14">
        <f t="shared" si="16"/>
        <v>37.157961233067674</v>
      </c>
      <c r="AN23" s="13">
        <f t="shared" si="17"/>
        <v>4.8417227316889146</v>
      </c>
      <c r="AO23" s="6"/>
    </row>
    <row r="24" spans="2:41">
      <c r="B24" s="1">
        <f>ISA!E24</f>
        <v>1.2249994633486807</v>
      </c>
      <c r="C24" s="20"/>
      <c r="D24" s="1">
        <f t="shared" si="18"/>
        <v>0.30479999999999996</v>
      </c>
      <c r="E24" s="19">
        <f ca="1">'Aerodynamics-Takeoff'!H24</f>
        <v>13.434554183218914</v>
      </c>
      <c r="F24" s="49">
        <f t="shared" ca="1" si="0"/>
        <v>0.20439134998404893</v>
      </c>
      <c r="G24" s="29">
        <f t="shared" ca="1" si="1"/>
        <v>5612.4945894530692</v>
      </c>
      <c r="H24" s="10">
        <f ca="1">E24/(G24/60*D24)*Propulsão!J24</f>
        <v>0.45453339845637375</v>
      </c>
      <c r="I24" s="19">
        <f t="shared" ca="1" si="6"/>
        <v>61.769364780118323</v>
      </c>
      <c r="J24" s="13">
        <f t="shared" ca="1" si="7"/>
        <v>0.10509657956598867</v>
      </c>
      <c r="K24" s="10">
        <f t="shared" ca="1" si="8"/>
        <v>2.3417922722646443E-2</v>
      </c>
      <c r="L24" s="10">
        <f t="shared" ca="1" si="9"/>
        <v>2.3417922723304993E-2</v>
      </c>
      <c r="M24" s="10">
        <f ca="1">($H$6+$H$7*H24+$H$8*H24^2+$H$9*H24^3+$H$10*H24^4+$H$11*H24^5+$H$12*H24^6)*Propulsão!M24</f>
        <v>0.69757179246061907</v>
      </c>
      <c r="N24" s="19">
        <f t="shared" ca="1" si="10"/>
        <v>43.088566508820975</v>
      </c>
      <c r="O24" s="19">
        <f ca="1">'Aerodynamics-Takeoff'!BL24</f>
        <v>43.088566505890505</v>
      </c>
      <c r="P24" s="14">
        <f t="shared" ca="1" si="11"/>
        <v>5612.4945894451776</v>
      </c>
      <c r="Q24" s="50" t="str">
        <f t="shared" ca="1" si="12"/>
        <v>OK</v>
      </c>
      <c r="R24" s="1">
        <f t="shared" ca="1" si="13"/>
        <v>0.2043913499833539</v>
      </c>
      <c r="S24" s="50" t="str">
        <f t="shared" ca="1" si="14"/>
        <v>OK</v>
      </c>
      <c r="T24" s="50" t="str">
        <f t="shared" ca="1" si="15"/>
        <v>OK</v>
      </c>
      <c r="Z24" s="12">
        <v>0.15</v>
      </c>
      <c r="AA24" s="12">
        <v>8.6458999999999994E-2</v>
      </c>
      <c r="AB24" s="12">
        <v>16.420000000000002</v>
      </c>
      <c r="AC24" s="20">
        <f t="shared" si="2"/>
        <v>11.472252190552107</v>
      </c>
      <c r="AE24" s="26">
        <v>12402.434800596873</v>
      </c>
      <c r="AF24" s="1">
        <f t="shared" si="3"/>
        <v>4.4506129666249785E-3</v>
      </c>
      <c r="AK24" s="25">
        <f t="shared" si="4"/>
        <v>-8.2008387033375013E-2</v>
      </c>
      <c r="AL24" s="14">
        <f t="shared" si="5"/>
        <v>333.91155988897077</v>
      </c>
      <c r="AM24" s="14">
        <f t="shared" si="16"/>
        <v>54.828278133769004</v>
      </c>
      <c r="AN24" s="13">
        <f t="shared" si="17"/>
        <v>4.7791662270377353</v>
      </c>
      <c r="AO24" s="6"/>
    </row>
    <row r="25" spans="2:41">
      <c r="B25" s="1">
        <f>ISA!E25</f>
        <v>1.2249994633486807</v>
      </c>
      <c r="C25" s="6"/>
      <c r="D25" s="1">
        <f t="shared" si="18"/>
        <v>0.30479999999999996</v>
      </c>
      <c r="E25" s="19">
        <f ca="1">'Aerodynamics-Takeoff'!H25</f>
        <v>13.235366392151196</v>
      </c>
      <c r="F25" s="49">
        <f t="shared" ca="1" si="0"/>
        <v>0.20004503503649498</v>
      </c>
      <c r="G25" s="29">
        <f t="shared" ca="1" si="1"/>
        <v>5544.307277406102</v>
      </c>
      <c r="H25" s="10">
        <f ca="1">E25/(G25/60*D25)*Propulsão!J25</f>
        <v>0.45330149634480471</v>
      </c>
      <c r="I25" s="19">
        <f t="shared" ca="1" si="6"/>
        <v>59.721369268712188</v>
      </c>
      <c r="J25" s="13">
        <f t="shared" ca="1" si="7"/>
        <v>0.10286173530892936</v>
      </c>
      <c r="K25" s="10">
        <f t="shared" ca="1" si="8"/>
        <v>2.3487182398075953E-2</v>
      </c>
      <c r="L25" s="10">
        <f t="shared" ca="1" si="9"/>
        <v>2.3487182398799041E-2</v>
      </c>
      <c r="M25" s="10">
        <f ca="1">($H$6+$H$7*H25+$H$8*H25^2+$H$9*H25^3+$H$10*H25^4+$H$11*H25^5+$H$12*H25^6)*Propulsão!M25</f>
        <v>0.69763783278420843</v>
      </c>
      <c r="N25" s="19">
        <f t="shared" ca="1" si="10"/>
        <v>41.663886627529799</v>
      </c>
      <c r="O25" s="19">
        <f ca="1">'Aerodynamics-Takeoff'!BL25</f>
        <v>41.663886624444103</v>
      </c>
      <c r="P25" s="14">
        <f t="shared" ca="1" si="11"/>
        <v>5544.3072773975673</v>
      </c>
      <c r="Q25" s="50" t="str">
        <f t="shared" ca="1" si="12"/>
        <v>OK</v>
      </c>
      <c r="R25" s="1">
        <f t="shared" ca="1" si="13"/>
        <v>0.20004503503575419</v>
      </c>
      <c r="S25" s="50" t="str">
        <f t="shared" ca="1" si="14"/>
        <v>OK</v>
      </c>
      <c r="T25" s="50" t="str">
        <f t="shared" ca="1" si="15"/>
        <v>OK</v>
      </c>
      <c r="Z25" s="12">
        <v>0.2</v>
      </c>
      <c r="AA25" s="12">
        <v>8.5962999999999998E-2</v>
      </c>
      <c r="AB25" s="12">
        <v>21.58</v>
      </c>
      <c r="AC25" s="20">
        <f t="shared" si="2"/>
        <v>15.296336254072653</v>
      </c>
      <c r="AE25" s="26">
        <v>12402.434800599447</v>
      </c>
      <c r="AF25" s="1">
        <f t="shared" si="3"/>
        <v>4.4506129666231301E-3</v>
      </c>
      <c r="AK25" s="25">
        <f t="shared" si="4"/>
        <v>-8.1512387033376862E-2</v>
      </c>
      <c r="AL25" s="14">
        <f t="shared" si="5"/>
        <v>333.91155988904006</v>
      </c>
      <c r="AM25" s="14">
        <f t="shared" si="16"/>
        <v>72.058114624054838</v>
      </c>
      <c r="AN25" s="13">
        <f t="shared" si="17"/>
        <v>4.7107779503130658</v>
      </c>
    </row>
    <row r="26" spans="2:41">
      <c r="B26" s="1">
        <f>ISA!E26</f>
        <v>1.2249994633486807</v>
      </c>
      <c r="D26" s="1">
        <f t="shared" si="18"/>
        <v>0.30479999999999996</v>
      </c>
      <c r="E26" s="19">
        <f ca="1">'Aerodynamics-Takeoff'!H26</f>
        <v>13.045219318895375</v>
      </c>
      <c r="F26" s="49">
        <f t="shared" ca="1" si="0"/>
        <v>0.19594624128203311</v>
      </c>
      <c r="G26" s="29">
        <f t="shared" ca="1" si="1"/>
        <v>5479.3080038397366</v>
      </c>
      <c r="H26" s="10">
        <f ca="1">E26/(G26/60*D26)*Propulsão!J26</f>
        <v>0.45208921571692379</v>
      </c>
      <c r="I26" s="19">
        <f t="shared" ca="1" si="6"/>
        <v>57.811912748097633</v>
      </c>
      <c r="J26" s="13">
        <f t="shared" ca="1" si="7"/>
        <v>0.10075416469024126</v>
      </c>
      <c r="K26" s="10">
        <f t="shared" ca="1" si="8"/>
        <v>2.3555006946143407E-2</v>
      </c>
      <c r="L26" s="10">
        <f t="shared" ca="1" si="9"/>
        <v>2.3555006946931682E-2</v>
      </c>
      <c r="M26" s="10">
        <f ca="1">($H$6+$H$7*H26+$H$8*H26^2+$H$9*H26^3+$H$10*H26^4+$H$11*H26^5+$H$12*H26^6)*Propulsão!M26</f>
        <v>0.69768176873669885</v>
      </c>
      <c r="N26" s="19">
        <f t="shared" ca="1" si="10"/>
        <v>40.334317540144468</v>
      </c>
      <c r="O26" s="19">
        <f ca="1">'Aerodynamics-Takeoff'!BL26</f>
        <v>40.334317536909786</v>
      </c>
      <c r="P26" s="14">
        <f t="shared" ca="1" si="11"/>
        <v>5479.3080038305679</v>
      </c>
      <c r="Q26" s="50" t="str">
        <f t="shared" ca="1" si="12"/>
        <v>OK</v>
      </c>
      <c r="R26" s="1">
        <f t="shared" ca="1" si="13"/>
        <v>0.19594624128124741</v>
      </c>
      <c r="S26" s="50" t="str">
        <f t="shared" ca="1" si="14"/>
        <v>OK</v>
      </c>
      <c r="T26" s="50" t="str">
        <f t="shared" ca="1" si="15"/>
        <v>OK</v>
      </c>
      <c r="Z26" s="12">
        <v>0.25</v>
      </c>
      <c r="AA26" s="12">
        <v>8.5372000000000003E-2</v>
      </c>
      <c r="AB26" s="12">
        <v>26.49</v>
      </c>
      <c r="AC26" s="20">
        <f t="shared" si="2"/>
        <v>19.313555876354659</v>
      </c>
      <c r="AE26" s="26">
        <v>12527.711919797617</v>
      </c>
      <c r="AF26" s="1">
        <f t="shared" si="3"/>
        <v>4.3620457685871923E-3</v>
      </c>
      <c r="AK26" s="25">
        <f t="shared" si="4"/>
        <v>-8.1009954231412815E-2</v>
      </c>
      <c r="AL26" s="14">
        <f t="shared" si="5"/>
        <v>337.28440392832857</v>
      </c>
      <c r="AM26" s="14">
        <f t="shared" si="16"/>
        <v>89.346638600614227</v>
      </c>
      <c r="AN26" s="13">
        <f t="shared" si="17"/>
        <v>4.6260862869571788</v>
      </c>
    </row>
    <row r="27" spans="2:41">
      <c r="B27" s="1">
        <f>ISA!E27</f>
        <v>1.2249994633486807</v>
      </c>
      <c r="D27" s="1">
        <f t="shared" si="18"/>
        <v>0.30479999999999996</v>
      </c>
      <c r="E27" s="19">
        <f ca="1">'Aerodynamics-Takeoff'!H27</f>
        <v>12.863499584985497</v>
      </c>
      <c r="F27" s="49">
        <f t="shared" ca="1" si="0"/>
        <v>0.19207791048080167</v>
      </c>
      <c r="G27" s="29">
        <f t="shared" ca="1" si="1"/>
        <v>5417.3047975881218</v>
      </c>
      <c r="H27" s="10">
        <f ca="1">E27/(G27/60*D27)*Propulsão!J27</f>
        <v>0.4508938811112303</v>
      </c>
      <c r="I27" s="19">
        <f t="shared" ca="1" si="6"/>
        <v>56.029323859295694</v>
      </c>
      <c r="J27" s="13">
        <f t="shared" ca="1" si="7"/>
        <v>9.8765096484219272E-2</v>
      </c>
      <c r="K27" s="10">
        <f t="shared" ca="1" si="8"/>
        <v>2.3621561712312535E-2</v>
      </c>
      <c r="L27" s="10">
        <f t="shared" ca="1" si="9"/>
        <v>2.3621561713168159E-2</v>
      </c>
      <c r="M27" s="10">
        <f ca="1">($H$6+$H$7*H27+$H$8*H27^2+$H$9*H27^3+$H$10*H27^4+$H$11*H27^5+$H$12*H27^6)*Propulsão!M27</f>
        <v>0.69770504065433858</v>
      </c>
      <c r="N27" s="19">
        <f t="shared" ca="1" si="10"/>
        <v>39.091941681085004</v>
      </c>
      <c r="O27" s="19">
        <f ca="1">'Aerodynamics-Takeoff'!BL27</f>
        <v>39.09194167769472</v>
      </c>
      <c r="P27" s="14">
        <f t="shared" ca="1" si="11"/>
        <v>5417.3047975783102</v>
      </c>
      <c r="Q27" s="50" t="str">
        <f t="shared" ca="1" si="12"/>
        <v>OK</v>
      </c>
      <c r="R27" s="1">
        <f t="shared" ca="1" si="13"/>
        <v>0.19207791047996875</v>
      </c>
      <c r="S27" s="50" t="str">
        <f t="shared" ca="1" si="14"/>
        <v>OK</v>
      </c>
      <c r="T27" s="50" t="str">
        <f t="shared" ca="1" si="15"/>
        <v>OK</v>
      </c>
      <c r="Z27" s="12">
        <v>0.3</v>
      </c>
      <c r="AA27" s="12">
        <v>8.4832000000000005E-2</v>
      </c>
      <c r="AB27" s="12">
        <v>31.16</v>
      </c>
      <c r="AC27" s="20">
        <f t="shared" si="2"/>
        <v>23.176267051625942</v>
      </c>
      <c r="AE27" s="26">
        <v>12527.711919797808</v>
      </c>
      <c r="AF27" s="1">
        <f t="shared" si="3"/>
        <v>4.3620457685870587E-3</v>
      </c>
      <c r="AK27" s="25">
        <f t="shared" si="4"/>
        <v>-8.0469954231412941E-2</v>
      </c>
      <c r="AL27" s="14">
        <f t="shared" si="5"/>
        <v>337.28440392833363</v>
      </c>
      <c r="AM27" s="14">
        <f t="shared" si="16"/>
        <v>105.09782026406876</v>
      </c>
      <c r="AN27" s="13">
        <f t="shared" si="17"/>
        <v>4.5346977820104728</v>
      </c>
    </row>
    <row r="28" spans="2:41">
      <c r="B28" s="1">
        <f>ISA!E28</f>
        <v>1.2249994633486807</v>
      </c>
      <c r="D28" s="1">
        <f t="shared" si="18"/>
        <v>0.30479999999999996</v>
      </c>
      <c r="E28" s="19">
        <f ca="1">'Aerodynamics-Takeoff'!H28</f>
        <v>12.658704743682229</v>
      </c>
      <c r="F28" s="49">
        <f t="shared" ca="1" si="0"/>
        <v>0.18760067421045565</v>
      </c>
      <c r="G28" s="29">
        <f t="shared" ca="1" si="1"/>
        <v>5345.9344048684416</v>
      </c>
      <c r="H28" s="10">
        <f ca="1">E28/(G28/60*D28)*Propulsão!J28</f>
        <v>0.44963915283750677</v>
      </c>
      <c r="I28" s="19">
        <f t="shared" ca="1" si="6"/>
        <v>54.002356080517949</v>
      </c>
      <c r="J28" s="13">
        <f t="shared" ca="1" si="7"/>
        <v>9.6462933413429472E-2</v>
      </c>
      <c r="K28" s="10">
        <f t="shared" ca="1" si="8"/>
        <v>2.3691080622973842E-2</v>
      </c>
      <c r="L28" s="10">
        <f t="shared" ca="1" si="9"/>
        <v>2.3691080625186992E-2</v>
      </c>
      <c r="M28" s="10">
        <f ca="1">($H$6+$H$7*H28+$H$8*H28^2+$H$9*H28^3+$H$10*H28^4+$H$11*H28^5+$H$12*H28^6)*Propulsão!M28</f>
        <v>0.69770067708506567</v>
      </c>
      <c r="N28" s="19">
        <f t="shared" ca="1" si="10"/>
        <v>37.677480401566186</v>
      </c>
      <c r="O28" s="19">
        <f ca="1">'Aerodynamics-Takeoff'!BL28</f>
        <v>37.677480394199868</v>
      </c>
      <c r="P28" s="14">
        <f t="shared" ca="1" si="11"/>
        <v>5345.9344048434714</v>
      </c>
      <c r="Q28" s="50" t="str">
        <f t="shared" ca="1" si="12"/>
        <v>OK</v>
      </c>
      <c r="R28" s="1">
        <f t="shared" ca="1" si="13"/>
        <v>0.18760067420862175</v>
      </c>
      <c r="S28" s="50" t="str">
        <f t="shared" ca="1" si="14"/>
        <v>OK</v>
      </c>
      <c r="T28" s="50" t="str">
        <f t="shared" ca="1" si="15"/>
        <v>OK</v>
      </c>
      <c r="Z28" s="12">
        <v>0.35</v>
      </c>
      <c r="AA28" s="12">
        <v>8.4245E-2</v>
      </c>
      <c r="AB28" s="12">
        <v>35.35</v>
      </c>
      <c r="AC28" s="20">
        <f t="shared" si="2"/>
        <v>27.038978226897346</v>
      </c>
      <c r="AE28" s="26">
        <v>12527.711919797997</v>
      </c>
      <c r="AF28" s="1">
        <f t="shared" si="3"/>
        <v>4.3620457685869295E-3</v>
      </c>
      <c r="AK28" s="25">
        <f t="shared" si="4"/>
        <v>-7.9882954231413075E-2</v>
      </c>
      <c r="AL28" s="14">
        <f t="shared" si="5"/>
        <v>337.28440392833875</v>
      </c>
      <c r="AM28" s="14">
        <f t="shared" si="16"/>
        <v>119.23003678866776</v>
      </c>
      <c r="AN28" s="13">
        <f t="shared" si="17"/>
        <v>4.4095451697041472</v>
      </c>
    </row>
    <row r="29" spans="2:41">
      <c r="B29" s="1">
        <f>ISA!E29</f>
        <v>1.2249994633486807</v>
      </c>
      <c r="D29" s="1">
        <f t="shared" si="18"/>
        <v>0.30479999999999996</v>
      </c>
      <c r="E29" s="19">
        <f ca="1">'Aerodynamics-Takeoff'!H29</f>
        <v>12.409597035986524</v>
      </c>
      <c r="F29" s="49">
        <f t="shared" ca="1" si="0"/>
        <v>0.18198177554003339</v>
      </c>
      <c r="G29" s="29">
        <f t="shared" ca="1" si="1"/>
        <v>5256.8462657049495</v>
      </c>
      <c r="H29" s="10">
        <f ca="1">E29/(G29/60*D29)*Propulsão!J29</f>
        <v>0.44826092096175696</v>
      </c>
      <c r="I29" s="19">
        <f t="shared" ca="1" si="6"/>
        <v>51.511934770906656</v>
      </c>
      <c r="J29" s="13">
        <f t="shared" ca="1" si="7"/>
        <v>9.3573735650239645E-2</v>
      </c>
      <c r="K29" s="10">
        <f t="shared" ca="1" si="8"/>
        <v>2.3767038636795679E-2</v>
      </c>
      <c r="L29" s="10">
        <f t="shared" ca="1" si="9"/>
        <v>2.3767038639059442E-2</v>
      </c>
      <c r="M29" s="10">
        <f ca="1">($H$6+$H$7*H29+$H$8*H29^2+$H$9*H29^3+$H$10*H29^4+$H$11*H29^5+$H$12*H29^6)*Propulsão!M29</f>
        <v>0.69765884332196726</v>
      </c>
      <c r="N29" s="19">
        <f t="shared" ca="1" si="10"/>
        <v>35.937756829547361</v>
      </c>
      <c r="O29" s="19">
        <f ca="1">'Aerodynamics-Takeoff'!BL29</f>
        <v>35.93775682241062</v>
      </c>
      <c r="P29" s="14">
        <f t="shared" ca="1" si="11"/>
        <v>5256.8462656799147</v>
      </c>
      <c r="Q29" s="50" t="str">
        <f t="shared" ca="1" si="12"/>
        <v>OK</v>
      </c>
      <c r="R29" s="1">
        <f t="shared" ca="1" si="13"/>
        <v>0.18198177553822645</v>
      </c>
      <c r="S29" s="50" t="str">
        <f t="shared" ca="1" si="14"/>
        <v>OK</v>
      </c>
      <c r="T29" s="50" t="str">
        <f t="shared" ca="1" si="15"/>
        <v>OK</v>
      </c>
      <c r="Z29" s="12">
        <v>0.4</v>
      </c>
      <c r="AA29" s="12">
        <v>8.3843000000000001E-2</v>
      </c>
      <c r="AB29" s="12">
        <v>39.24</v>
      </c>
      <c r="AC29" s="20">
        <f t="shared" si="2"/>
        <v>30.901689402168852</v>
      </c>
      <c r="AE29" s="26">
        <v>12527.711919798181</v>
      </c>
      <c r="AF29" s="1">
        <f t="shared" si="3"/>
        <v>4.3620457685868011E-3</v>
      </c>
      <c r="AK29" s="25">
        <f t="shared" si="4"/>
        <v>-7.9480954231413201E-2</v>
      </c>
      <c r="AL29" s="14">
        <f t="shared" si="5"/>
        <v>337.28440392834375</v>
      </c>
      <c r="AM29" s="14">
        <f t="shared" si="16"/>
        <v>132.35040010148211</v>
      </c>
      <c r="AN29" s="13">
        <f t="shared" si="17"/>
        <v>4.2829364467868984</v>
      </c>
    </row>
    <row r="30" spans="2:41">
      <c r="B30" s="1">
        <f>ISA!E30</f>
        <v>1.2249994633486807</v>
      </c>
      <c r="D30" s="1">
        <f t="shared" si="18"/>
        <v>0.30479999999999996</v>
      </c>
      <c r="E30" s="19">
        <f ca="1">'Aerodynamics-Takeoff'!H30</f>
        <v>12.177080745869123</v>
      </c>
      <c r="F30" s="49">
        <f t="shared" ca="1" si="0"/>
        <v>0.1768485417642022</v>
      </c>
      <c r="G30" s="29">
        <f t="shared" ca="1" si="1"/>
        <v>5174.0608144393082</v>
      </c>
      <c r="H30" s="10">
        <f ca="1">E30/(G30/60*D30)*Propulsão!J30</f>
        <v>0.44689977193368102</v>
      </c>
      <c r="I30" s="19">
        <f t="shared" ca="1" si="6"/>
        <v>49.270582847924949</v>
      </c>
      <c r="J30" s="13">
        <f t="shared" ca="1" si="7"/>
        <v>9.0934263324260259E-2</v>
      </c>
      <c r="K30" s="10">
        <f t="shared" ca="1" si="8"/>
        <v>2.3841641439344714E-2</v>
      </c>
      <c r="L30" s="10">
        <f t="shared" ca="1" si="9"/>
        <v>2.3841641441655237E-2</v>
      </c>
      <c r="M30" s="10">
        <f ca="1">($H$6+$H$7*H30+$H$8*H30^2+$H$9*H30^3+$H$10*H30^4+$H$11*H30^5+$H$12*H30^6)*Propulsão!M30</f>
        <v>0.69759458194816426</v>
      </c>
      <c r="N30" s="19">
        <f t="shared" ca="1" si="10"/>
        <v>34.370891644140599</v>
      </c>
      <c r="O30" s="19">
        <f ca="1">'Aerodynamics-Takeoff'!BL30</f>
        <v>34.370891637222044</v>
      </c>
      <c r="P30" s="14">
        <f t="shared" ca="1" si="11"/>
        <v>5174.060814414237</v>
      </c>
      <c r="Q30" s="50" t="str">
        <f t="shared" ca="1" si="12"/>
        <v>OK</v>
      </c>
      <c r="R30" s="1">
        <f t="shared" ca="1" si="13"/>
        <v>0.17684854176242229</v>
      </c>
      <c r="S30" s="50" t="str">
        <f t="shared" ca="1" si="14"/>
        <v>OK</v>
      </c>
      <c r="T30" s="50" t="str">
        <f t="shared" ca="1" si="15"/>
        <v>OK</v>
      </c>
      <c r="Z30" s="12">
        <v>0.45</v>
      </c>
      <c r="AA30" s="12">
        <v>8.2373000000000002E-2</v>
      </c>
      <c r="AB30" s="12">
        <v>43.33</v>
      </c>
      <c r="AC30" s="20">
        <f t="shared" si="2"/>
        <v>35.112044583214868</v>
      </c>
      <c r="AE30" s="26">
        <v>12652.989038996348</v>
      </c>
      <c r="AF30" s="1">
        <f t="shared" si="3"/>
        <v>4.2760962342776919E-3</v>
      </c>
      <c r="AK30" s="25">
        <f t="shared" si="4"/>
        <v>-7.8096903765722314E-2</v>
      </c>
      <c r="AL30" s="14">
        <f t="shared" si="5"/>
        <v>340.65724796763214</v>
      </c>
      <c r="AM30" s="14">
        <f t="shared" si="16"/>
        <v>147.60678554437499</v>
      </c>
      <c r="AN30" s="13">
        <f t="shared" si="17"/>
        <v>4.2038669895127239</v>
      </c>
    </row>
    <row r="31" spans="2:41">
      <c r="B31" s="1">
        <f>ISA!E31</f>
        <v>1.2249994633486807</v>
      </c>
      <c r="D31" s="1">
        <f t="shared" si="18"/>
        <v>0.30479999999999996</v>
      </c>
      <c r="E31" s="19">
        <f ca="1">'Aerodynamics-Takeoff'!H31</f>
        <v>11.959376547462874</v>
      </c>
      <c r="F31" s="49">
        <f t="shared" ca="1" si="0"/>
        <v>0.17214278969231395</v>
      </c>
      <c r="G31" s="29">
        <f t="shared" ca="1" si="1"/>
        <v>5096.9177133986568</v>
      </c>
      <c r="H31" s="10">
        <f ca="1">E31/(G31/60*D31)*Propulsão!J31</f>
        <v>0.44555302240021516</v>
      </c>
      <c r="I31" s="19">
        <f t="shared" ca="1" si="6"/>
        <v>47.24448798551002</v>
      </c>
      <c r="J31" s="13">
        <f t="shared" ca="1" si="7"/>
        <v>8.8514599052364154E-2</v>
      </c>
      <c r="K31" s="10">
        <f t="shared" ca="1" si="8"/>
        <v>2.3915051439729686E-2</v>
      </c>
      <c r="L31" s="10">
        <f t="shared" ca="1" si="9"/>
        <v>2.3915051442084077E-2</v>
      </c>
      <c r="M31" s="10">
        <f ca="1">($H$6+$H$7*H31+$H$8*H31^2+$H$9*H31^3+$H$10*H31^4+$H$11*H31^5+$H$12*H31^6)*Propulsão!M31</f>
        <v>0.6975088759005087</v>
      </c>
      <c r="N31" s="19">
        <f t="shared" ca="1" si="10"/>
        <v>32.953449707268184</v>
      </c>
      <c r="O31" s="19">
        <f ca="1">'Aerodynamics-Takeoff'!BL31</f>
        <v>32.953449700554543</v>
      </c>
      <c r="P31" s="14">
        <f t="shared" ca="1" si="11"/>
        <v>5096.9177133735675</v>
      </c>
      <c r="Q31" s="50" t="str">
        <f t="shared" ca="1" si="12"/>
        <v>OK</v>
      </c>
      <c r="R31" s="1">
        <f t="shared" ca="1" si="13"/>
        <v>0.1721427896905604</v>
      </c>
      <c r="S31" s="50" t="str">
        <f t="shared" ca="1" si="14"/>
        <v>OK</v>
      </c>
      <c r="T31" s="50" t="str">
        <f t="shared" ca="1" si="15"/>
        <v>OK</v>
      </c>
      <c r="Z31" s="12">
        <v>0.5</v>
      </c>
      <c r="AA31" s="12">
        <v>7.7794000000000002E-2</v>
      </c>
      <c r="AB31" s="12">
        <v>49.66</v>
      </c>
      <c r="AC31" s="20">
        <f t="shared" si="2"/>
        <v>40.253699820927032</v>
      </c>
      <c r="AE31" s="26">
        <v>13055.253995976336</v>
      </c>
      <c r="AF31" s="1">
        <f t="shared" si="3"/>
        <v>4.0166416090777375E-3</v>
      </c>
      <c r="AK31" s="25">
        <f t="shared" si="4"/>
        <v>-7.3777358390922268E-2</v>
      </c>
      <c r="AL31" s="14">
        <f t="shared" si="5"/>
        <v>351.48745360333476</v>
      </c>
      <c r="AM31" s="14">
        <f t="shared" si="16"/>
        <v>174.54866945941603</v>
      </c>
      <c r="AN31" s="13">
        <f t="shared" si="17"/>
        <v>4.3362035444085487</v>
      </c>
    </row>
    <row r="32" spans="2:41">
      <c r="B32" s="1">
        <f>ISA!E32</f>
        <v>1.2249994633486807</v>
      </c>
      <c r="D32" s="1">
        <f t="shared" si="18"/>
        <v>0.30479999999999996</v>
      </c>
      <c r="E32" s="19">
        <f ca="1">'Aerodynamics-Takeoff'!H32</f>
        <v>11.754972136958465</v>
      </c>
      <c r="F32" s="49">
        <f t="shared" ca="1" si="0"/>
        <v>0.16781585584397027</v>
      </c>
      <c r="G32" s="29">
        <f t="shared" ca="1" si="1"/>
        <v>5024.8564601600556</v>
      </c>
      <c r="H32" s="10">
        <f ca="1">E32/(G32/60*D32)*Propulsão!J32</f>
        <v>0.44421827363572225</v>
      </c>
      <c r="I32" s="19">
        <f t="shared" ca="1" si="6"/>
        <v>45.405800857569524</v>
      </c>
      <c r="J32" s="13">
        <f t="shared" ca="1" si="7"/>
        <v>8.6289720418778582E-2</v>
      </c>
      <c r="K32" s="10">
        <f t="shared" ca="1" si="8"/>
        <v>2.3987412234605262E-2</v>
      </c>
      <c r="L32" s="10">
        <f t="shared" ca="1" si="9"/>
        <v>2.3987412236998684E-2</v>
      </c>
      <c r="M32" s="10">
        <f ca="1">($H$6+$H$7*H32+$H$8*H32^2+$H$9*H32^3+$H$10*H32^4+$H$11*H32^5+$H$12*H32^6)*Propulsão!M32</f>
        <v>0.69740252212286513</v>
      </c>
      <c r="N32" s="19">
        <f t="shared" ca="1" si="10"/>
        <v>31.666120037077537</v>
      </c>
      <c r="O32" s="19">
        <f ca="1">'Aerodynamics-Takeoff'!BL32</f>
        <v>31.666120030562798</v>
      </c>
      <c r="P32" s="14">
        <f t="shared" ca="1" si="11"/>
        <v>5024.8564601349872</v>
      </c>
      <c r="Q32" s="50" t="str">
        <f t="shared" ca="1" si="12"/>
        <v>OK</v>
      </c>
      <c r="R32" s="1">
        <f t="shared" ca="1" si="13"/>
        <v>0.16781585584224401</v>
      </c>
      <c r="S32" s="50" t="str">
        <f t="shared" ca="1" si="14"/>
        <v>OK</v>
      </c>
      <c r="T32" s="50" t="str">
        <f t="shared" ca="1" si="15"/>
        <v>OK</v>
      </c>
      <c r="Z32" s="12">
        <v>0.55000000000000004</v>
      </c>
      <c r="AA32" s="12">
        <v>7.3550000000000004E-2</v>
      </c>
      <c r="AB32" s="12">
        <v>56.31</v>
      </c>
      <c r="AC32" s="20">
        <f t="shared" si="2"/>
        <v>45.357874523821899</v>
      </c>
      <c r="AE32" s="26">
        <v>13373.329097932745</v>
      </c>
      <c r="AF32" s="1">
        <f t="shared" si="3"/>
        <v>3.8278478760618391E-3</v>
      </c>
      <c r="AK32" s="25">
        <f t="shared" si="4"/>
        <v>-6.9722152123938161E-2</v>
      </c>
      <c r="AL32" s="14">
        <f t="shared" si="5"/>
        <v>360.05101028907478</v>
      </c>
      <c r="AM32" s="14">
        <f t="shared" si="16"/>
        <v>202.74472389377803</v>
      </c>
      <c r="AN32" s="13">
        <f t="shared" si="17"/>
        <v>4.4698804570141677</v>
      </c>
    </row>
    <row r="33" spans="2:40">
      <c r="B33" s="1">
        <f>ISA!E33</f>
        <v>1.2249994633486807</v>
      </c>
      <c r="D33" s="1">
        <f t="shared" si="18"/>
        <v>0.30479999999999996</v>
      </c>
      <c r="E33" s="19">
        <f ca="1">'Aerodynamics-Takeoff'!H33</f>
        <v>11.562571144367805</v>
      </c>
      <c r="F33" s="49">
        <f t="shared" ca="1" si="0"/>
        <v>0.16382665182025846</v>
      </c>
      <c r="G33" s="29">
        <f t="shared" ca="1" si="1"/>
        <v>4957.3970370904335</v>
      </c>
      <c r="H33" s="10">
        <f ca="1">E33/(G33/60*D33)*Propulsão!J33</f>
        <v>0.44289338245043486</v>
      </c>
      <c r="I33" s="19">
        <f t="shared" ca="1" si="6"/>
        <v>43.731356217779748</v>
      </c>
      <c r="J33" s="13">
        <f t="shared" ca="1" si="7"/>
        <v>8.4238500060795182E-2</v>
      </c>
      <c r="K33" s="10">
        <f t="shared" ca="1" si="8"/>
        <v>2.4058850687140334E-2</v>
      </c>
      <c r="L33" s="10">
        <f t="shared" ca="1" si="9"/>
        <v>2.4058850689611833E-2</v>
      </c>
      <c r="M33" s="10">
        <f ca="1">($H$6+$H$7*H33+$H$8*H33^2+$H$9*H33^3+$H$10*H33^4+$H$11*H33^5+$H$12*H33^6)*Propulsão!M33</f>
        <v>0.69727616022428152</v>
      </c>
      <c r="N33" s="19">
        <f t="shared" ca="1" si="10"/>
        <v>30.492832144933722</v>
      </c>
      <c r="O33" s="19">
        <f ca="1">'Aerodynamics-Takeoff'!BL33</f>
        <v>30.492832138472394</v>
      </c>
      <c r="P33" s="14">
        <f t="shared" ca="1" si="11"/>
        <v>4957.3970370649704</v>
      </c>
      <c r="Q33" s="50" t="str">
        <f t="shared" ca="1" si="12"/>
        <v>OK</v>
      </c>
      <c r="R33" s="1">
        <f t="shared" ca="1" si="13"/>
        <v>0.16382665181852274</v>
      </c>
      <c r="S33" s="50" t="str">
        <f t="shared" ca="1" si="14"/>
        <v>OK</v>
      </c>
      <c r="T33" s="50" t="str">
        <f t="shared" ca="1" si="15"/>
        <v>OK</v>
      </c>
      <c r="Z33" s="12">
        <v>0.6</v>
      </c>
      <c r="AA33" s="12">
        <v>6.9361000000000006E-2</v>
      </c>
      <c r="AB33" s="12">
        <v>63</v>
      </c>
      <c r="AC33" s="20">
        <f t="shared" si="2"/>
        <v>51.18306592809941</v>
      </c>
      <c r="AE33" s="26">
        <v>13833.261061648487</v>
      </c>
      <c r="AF33" s="1">
        <f t="shared" si="3"/>
        <v>3.5775407401101751E-3</v>
      </c>
      <c r="AK33" s="25">
        <f t="shared" si="4"/>
        <v>-6.5783459259889834E-2</v>
      </c>
      <c r="AL33" s="14">
        <f t="shared" si="5"/>
        <v>372.43378850289218</v>
      </c>
      <c r="AM33" s="14">
        <f t="shared" si="16"/>
        <v>234.63328675682209</v>
      </c>
      <c r="AN33" s="13">
        <f t="shared" si="17"/>
        <v>4.5841886194853192</v>
      </c>
    </row>
    <row r="34" spans="2:40">
      <c r="B34" s="1">
        <f>ISA!E34</f>
        <v>1.2249994633486807</v>
      </c>
      <c r="D34" s="1">
        <f t="shared" si="18"/>
        <v>0.30479999999999996</v>
      </c>
      <c r="E34" s="19">
        <f ca="1">'Aerodynamics-Takeoff'!H34</f>
        <v>11.381001633492176</v>
      </c>
      <c r="F34" s="49">
        <f t="shared" ca="1" si="0"/>
        <v>0.16013889540814041</v>
      </c>
      <c r="G34" s="29">
        <f t="shared" ca="1" si="1"/>
        <v>4894.104411138921</v>
      </c>
      <c r="H34" s="10">
        <f ca="1">E34/(G34/60*D34)*Propulsão!J34</f>
        <v>0.44157627487922002</v>
      </c>
      <c r="I34" s="19">
        <f t="shared" ca="1" si="6"/>
        <v>42.201194776025076</v>
      </c>
      <c r="J34" s="13">
        <f t="shared" ca="1" si="7"/>
        <v>8.2342281922325053E-2</v>
      </c>
      <c r="K34" s="10">
        <f t="shared" ca="1" si="8"/>
        <v>2.4129487337805702E-2</v>
      </c>
      <c r="L34" s="10">
        <f t="shared" ca="1" si="9"/>
        <v>2.4129487340370875E-2</v>
      </c>
      <c r="M34" s="10">
        <f ca="1">($H$6+$H$7*H34+$H$8*H34^2+$H$9*H34^3+$H$10*H34^4+$H$11*H34^5+$H$12*H34^6)*Propulsão!M34</f>
        <v>0.6971302646601899</v>
      </c>
      <c r="N34" s="19">
        <f t="shared" ca="1" si="10"/>
        <v>29.419730083186586</v>
      </c>
      <c r="O34" s="19">
        <f ca="1">'Aerodynamics-Takeoff'!BL34</f>
        <v>29.419730076727731</v>
      </c>
      <c r="P34" s="14">
        <f t="shared" ca="1" si="11"/>
        <v>4894.1044111129067</v>
      </c>
      <c r="Q34" s="50" t="str">
        <f t="shared" ca="1" si="12"/>
        <v>OK</v>
      </c>
      <c r="R34" s="1">
        <f t="shared" ca="1" si="13"/>
        <v>0.16013889540638257</v>
      </c>
      <c r="S34" s="50" t="str">
        <f t="shared" ca="1" si="14"/>
        <v>OK</v>
      </c>
      <c r="T34" s="50" t="str">
        <f t="shared" ca="1" si="15"/>
        <v>OK</v>
      </c>
      <c r="Z34" s="12">
        <v>0.65</v>
      </c>
      <c r="AA34" s="12">
        <v>6.5731999999999999E-2</v>
      </c>
      <c r="AB34" s="12">
        <v>68.19</v>
      </c>
      <c r="AC34" s="20">
        <f t="shared" si="2"/>
        <v>56.833924134449774</v>
      </c>
      <c r="AE34" s="26">
        <v>14178.941572004102</v>
      </c>
      <c r="AF34" s="1">
        <f t="shared" si="3"/>
        <v>3.4052273146090075E-3</v>
      </c>
      <c r="AK34" s="25">
        <f t="shared" si="4"/>
        <v>-6.232677268539099E-2</v>
      </c>
      <c r="AL34" s="14">
        <f t="shared" si="5"/>
        <v>381.74056739686415</v>
      </c>
      <c r="AM34" s="14">
        <f t="shared" si="16"/>
        <v>260.30889290792163</v>
      </c>
      <c r="AN34" s="13">
        <f t="shared" si="17"/>
        <v>4.5801594532901664</v>
      </c>
    </row>
    <row r="35" spans="2:40">
      <c r="B35" s="1">
        <f>ISA!E35</f>
        <v>1.2249994633486807</v>
      </c>
      <c r="D35" s="1">
        <f t="shared" si="18"/>
        <v>0.30479999999999996</v>
      </c>
      <c r="E35" s="19">
        <f ca="1">'Aerodynamics-Takeoff'!H35</f>
        <v>11.209097688879872</v>
      </c>
      <c r="F35" s="49">
        <f t="shared" ca="1" si="0"/>
        <v>0.15671788299345177</v>
      </c>
      <c r="G35" s="29">
        <f t="shared" ca="1" si="1"/>
        <v>4834.5421824070736</v>
      </c>
      <c r="H35" s="10">
        <f ca="1">E35/(G35/60*D35)*Propulsão!J35</f>
        <v>0.44026460962661323</v>
      </c>
      <c r="I35" s="19">
        <f t="shared" ca="1" si="6"/>
        <v>40.797034711428076</v>
      </c>
      <c r="J35" s="13">
        <f t="shared" ca="1" si="7"/>
        <v>8.0583221651601172E-2</v>
      </c>
      <c r="K35" s="10">
        <f t="shared" ca="1" si="8"/>
        <v>2.4199454466167811E-2</v>
      </c>
      <c r="L35" s="10">
        <f t="shared" ca="1" si="9"/>
        <v>2.4199454468818202E-2</v>
      </c>
      <c r="M35" s="10">
        <f ca="1">($H$6+$H$7*H35+$H$8*H35^2+$H$9*H35^3+$H$10*H35^4+$H$11*H35^5+$H$12*H35^6)*Propulsão!M35</f>
        <v>0.69696508703323345</v>
      </c>
      <c r="N35" s="19">
        <f t="shared" ca="1" si="10"/>
        <v>28.434108848348316</v>
      </c>
      <c r="O35" s="19">
        <f ca="1">'Aerodynamics-Takeoff'!BL35</f>
        <v>28.434108841909193</v>
      </c>
      <c r="P35" s="14">
        <f t="shared" ca="1" si="11"/>
        <v>4834.5421823805991</v>
      </c>
      <c r="Q35" s="50" t="str">
        <f t="shared" ca="1" si="12"/>
        <v>OK</v>
      </c>
      <c r="R35" s="1">
        <f t="shared" ca="1" si="13"/>
        <v>0.15671788299167727</v>
      </c>
      <c r="S35" s="50" t="str">
        <f t="shared" ca="1" si="14"/>
        <v>OK</v>
      </c>
      <c r="T35" s="50" t="str">
        <f t="shared" ca="1" si="15"/>
        <v>OK</v>
      </c>
      <c r="Z35" s="12">
        <v>0.7</v>
      </c>
      <c r="AA35" s="12">
        <v>6.1129999999999997E-2</v>
      </c>
      <c r="AB35" s="12">
        <v>71.150000000000006</v>
      </c>
      <c r="AC35" s="20">
        <f t="shared" si="2"/>
        <v>63.640163664542271</v>
      </c>
      <c r="AE35" s="26">
        <v>14742.89505742292</v>
      </c>
      <c r="AF35" s="1">
        <f t="shared" si="3"/>
        <v>3.1496927141639514E-3</v>
      </c>
      <c r="AK35" s="25">
        <f t="shared" si="4"/>
        <v>-5.7980307285836044E-2</v>
      </c>
      <c r="AL35" s="14">
        <f t="shared" si="5"/>
        <v>396.92392381426356</v>
      </c>
      <c r="AM35" s="14">
        <f t="shared" si="16"/>
        <v>282.41137179384856</v>
      </c>
      <c r="AN35" s="13">
        <f t="shared" si="17"/>
        <v>4.4376210205929194</v>
      </c>
    </row>
    <row r="36" spans="2:40">
      <c r="B36" s="1">
        <f>ISA!E36</f>
        <v>1.2249994633486807</v>
      </c>
      <c r="D36" s="1">
        <f t="shared" si="18"/>
        <v>0.30479999999999996</v>
      </c>
      <c r="E36" s="19">
        <f ca="1">'Aerodynamics-Takeoff'!H36</f>
        <v>11.04629417170349</v>
      </c>
      <c r="F36" s="49">
        <f t="shared" ca="1" si="0"/>
        <v>0.15354480114475727</v>
      </c>
      <c r="G36" s="29">
        <f t="shared" ca="1" si="1"/>
        <v>4778.5083721351784</v>
      </c>
      <c r="H36" s="10">
        <f ca="1">E36/(G36/60*D36)*Propulsão!J36</f>
        <v>0.43895775857187114</v>
      </c>
      <c r="I36" s="19">
        <f t="shared" ca="1" si="6"/>
        <v>39.507737110587506</v>
      </c>
      <c r="J36" s="13">
        <f t="shared" ca="1" si="7"/>
        <v>7.8951645515885349E-2</v>
      </c>
      <c r="K36" s="10">
        <f t="shared" ca="1" si="8"/>
        <v>2.4268790960503842E-2</v>
      </c>
      <c r="L36" s="10">
        <f t="shared" ca="1" si="9"/>
        <v>2.4268790963235965E-2</v>
      </c>
      <c r="M36" s="10">
        <f ca="1">($H$6+$H$7*H36+$H$8*H36^2+$H$9*H36^3+$H$10*H36^4+$H$11*H36^5+$H$12*H36^6)*Propulsão!M36</f>
        <v>0.69678109727436877</v>
      </c>
      <c r="N36" s="19">
        <f t="shared" ca="1" si="10"/>
        <v>27.528244414742463</v>
      </c>
      <c r="O36" s="19">
        <f ca="1">'Aerodynamics-Takeoff'!BL36</f>
        <v>27.528244408326746</v>
      </c>
      <c r="P36" s="14">
        <f t="shared" ca="1" si="11"/>
        <v>4778.508372108281</v>
      </c>
      <c r="Q36" s="50" t="str">
        <f t="shared" ca="1" si="12"/>
        <v>OK</v>
      </c>
      <c r="R36" s="1">
        <f t="shared" ca="1" si="13"/>
        <v>0.15354480114296801</v>
      </c>
      <c r="S36" s="50" t="str">
        <f t="shared" ca="1" si="14"/>
        <v>OK</v>
      </c>
      <c r="T36" s="50" t="str">
        <f t="shared" ca="1" si="15"/>
        <v>OK</v>
      </c>
      <c r="Z36" s="12">
        <v>0.75</v>
      </c>
      <c r="AA36" s="12">
        <v>5.4970999999999999E-2</v>
      </c>
      <c r="AB36" s="12">
        <v>73.11</v>
      </c>
      <c r="AC36" s="20">
        <f t="shared" si="2"/>
        <v>71.659078459469313</v>
      </c>
      <c r="AE36" s="26">
        <v>15493.854802047419</v>
      </c>
      <c r="AF36" s="1">
        <f t="shared" si="3"/>
        <v>2.8517718036055583E-3</v>
      </c>
      <c r="AK36" s="25">
        <f t="shared" si="4"/>
        <v>-5.2119228196394439E-2</v>
      </c>
      <c r="AL36" s="14">
        <f t="shared" si="5"/>
        <v>417.14206192770257</v>
      </c>
      <c r="AM36" s="14">
        <f t="shared" si="16"/>
        <v>304.97256147534335</v>
      </c>
      <c r="AN36" s="13">
        <f t="shared" si="17"/>
        <v>4.2558757723944174</v>
      </c>
    </row>
    <row r="37" spans="2:40">
      <c r="B37" s="1">
        <f>ISA!E37</f>
        <v>1.2249994633486807</v>
      </c>
      <c r="D37" s="1">
        <f t="shared" si="18"/>
        <v>0.30479999999999996</v>
      </c>
      <c r="E37" s="19">
        <f ca="1">'Aerodynamics-Takeoff'!H37</f>
        <v>10.891834490699978</v>
      </c>
      <c r="F37" s="49">
        <f t="shared" ca="1" si="0"/>
        <v>0.15059687518956424</v>
      </c>
      <c r="G37" s="29">
        <f t="shared" ca="1" si="1"/>
        <v>4725.7225421072926</v>
      </c>
      <c r="H37" s="10">
        <f ca="1">E37/(G37/60*D37)*Propulsão!J37</f>
        <v>0.43765439072223905</v>
      </c>
      <c r="I37" s="19">
        <f t="shared" ca="1" si="6"/>
        <v>38.321179499843815</v>
      </c>
      <c r="J37" s="13">
        <f t="shared" ca="1" si="7"/>
        <v>7.7435842940439953E-2</v>
      </c>
      <c r="K37" s="10">
        <f t="shared" ca="1" si="8"/>
        <v>2.4337571946050376E-2</v>
      </c>
      <c r="L37" s="10">
        <f t="shared" ca="1" si="9"/>
        <v>2.4337571948865724E-2</v>
      </c>
      <c r="M37" s="10">
        <f ca="1">($H$6+$H$7*H37+$H$8*H37^2+$H$9*H37^3+$H$10*H37^4+$H$11*H37^5+$H$12*H37^6)*Propulsão!M37</f>
        <v>0.69657852499270867</v>
      </c>
      <c r="N37" s="19">
        <f t="shared" ca="1" si="10"/>
        <v>26.69371069198203</v>
      </c>
      <c r="O37" s="19">
        <f ca="1">'Aerodynamics-Takeoff'!BL37</f>
        <v>26.693710685581522</v>
      </c>
      <c r="P37" s="14">
        <f t="shared" ca="1" si="11"/>
        <v>4725.7225420799596</v>
      </c>
      <c r="Q37" s="50" t="str">
        <f t="shared" ca="1" si="12"/>
        <v>OK</v>
      </c>
      <c r="R37" s="1">
        <f t="shared" ca="1" si="13"/>
        <v>0.15059687518775877</v>
      </c>
      <c r="S37" s="50" t="str">
        <f t="shared" ca="1" si="14"/>
        <v>OK</v>
      </c>
      <c r="T37" s="50" t="str">
        <f t="shared" ca="1" si="15"/>
        <v>OK</v>
      </c>
      <c r="Z37" s="12">
        <v>0.8</v>
      </c>
      <c r="AA37" s="12">
        <v>4.7924000000000001E-2</v>
      </c>
      <c r="AB37" s="12">
        <v>74.38</v>
      </c>
      <c r="AC37" s="20">
        <f t="shared" si="2"/>
        <v>82.137089319320154</v>
      </c>
      <c r="AE37" s="26">
        <v>16649.409997159491</v>
      </c>
      <c r="AF37" s="1">
        <f t="shared" si="3"/>
        <v>2.4696535757270728E-3</v>
      </c>
      <c r="AK37" s="25">
        <f t="shared" ref="AK37:AK55" si="19">AF37-AA37</f>
        <v>-4.5454346424272929E-2</v>
      </c>
      <c r="AL37" s="14">
        <f t="shared" si="5"/>
        <v>448.25314970533049</v>
      </c>
      <c r="AM37" s="14">
        <f t="shared" si="16"/>
        <v>333.41069275082475</v>
      </c>
      <c r="AN37" s="13">
        <f t="shared" ref="AN37:AN55" si="20">AM37/(AC37+0.0001)</f>
        <v>4.0591928639613251</v>
      </c>
    </row>
    <row r="38" spans="2:40">
      <c r="B38" s="1">
        <f>ISA!E38</f>
        <v>1.2249994633486807</v>
      </c>
      <c r="D38" s="1">
        <f t="shared" si="18"/>
        <v>0.30479999999999996</v>
      </c>
      <c r="E38" s="19">
        <f ca="1">'Aerodynamics-Takeoff'!H38</f>
        <v>10.745049877378921</v>
      </c>
      <c r="F38" s="49">
        <f t="shared" ca="1" si="0"/>
        <v>0.14785419027274938</v>
      </c>
      <c r="G38" s="29">
        <f t="shared" ca="1" si="1"/>
        <v>4675.9364973898582</v>
      </c>
      <c r="H38" s="10">
        <f ca="1">E38/(G38/60*D38)*Propulsão!J38</f>
        <v>0.43635334291344507</v>
      </c>
      <c r="I38" s="19">
        <f t="shared" ca="1" si="6"/>
        <v>37.226904862450866</v>
      </c>
      <c r="J38" s="13">
        <f t="shared" ca="1" si="7"/>
        <v>7.6025573848294059E-2</v>
      </c>
      <c r="K38" s="10">
        <f t="shared" ca="1" si="8"/>
        <v>2.4405862224818574E-2</v>
      </c>
      <c r="L38" s="10">
        <f t="shared" ca="1" si="9"/>
        <v>2.440586222771652E-2</v>
      </c>
      <c r="M38" s="10">
        <f ca="1">($H$6+$H$7*H38+$H$8*H38^2+$H$9*H38^3+$H$10*H38^4+$H$11*H38^5+$H$12*H38^6)*Propulsão!M38</f>
        <v>0.69635753851469173</v>
      </c>
      <c r="N38" s="19">
        <f t="shared" ca="1" si="10"/>
        <v>25.923235836536893</v>
      </c>
      <c r="O38" s="19">
        <f ca="1">'Aerodynamics-Takeoff'!BL38</f>
        <v>25.923235830149615</v>
      </c>
      <c r="P38" s="14">
        <f t="shared" ca="1" si="11"/>
        <v>4675.9364973620968</v>
      </c>
      <c r="Q38" s="50" t="str">
        <f t="shared" ca="1" si="12"/>
        <v>OK</v>
      </c>
      <c r="R38" s="1">
        <f t="shared" ca="1" si="13"/>
        <v>0.14785419027092786</v>
      </c>
      <c r="S38" s="50" t="str">
        <f t="shared" ca="1" si="14"/>
        <v>OK</v>
      </c>
      <c r="T38" s="50" t="str">
        <f t="shared" ca="1" si="15"/>
        <v>OK</v>
      </c>
      <c r="Z38" s="12">
        <v>0.85</v>
      </c>
      <c r="AA38" s="12">
        <v>4.0154000000000002E-2</v>
      </c>
      <c r="AB38" s="12">
        <v>74.739999999999995</v>
      </c>
      <c r="AC38" s="20">
        <f t="shared" si="2"/>
        <v>94.991996631065533</v>
      </c>
      <c r="AE38" s="26">
        <v>18122.479484464013</v>
      </c>
      <c r="AF38" s="1">
        <f t="shared" si="3"/>
        <v>2.0844836863894186E-3</v>
      </c>
      <c r="AK38" s="25">
        <f t="shared" si="19"/>
        <v>-3.8069516313610587E-2</v>
      </c>
      <c r="AL38" s="14">
        <f t="shared" si="5"/>
        <v>487.91269545089864</v>
      </c>
      <c r="AM38" s="14">
        <f t="shared" si="16"/>
        <v>364.66594858000161</v>
      </c>
      <c r="AN38" s="13">
        <f t="shared" si="20"/>
        <v>3.8389083040908885</v>
      </c>
    </row>
    <row r="39" spans="2:40">
      <c r="B39" s="1">
        <f>ISA!E39</f>
        <v>1.2249994633486807</v>
      </c>
      <c r="D39" s="1">
        <f t="shared" si="18"/>
        <v>0.30479999999999996</v>
      </c>
      <c r="E39" s="19">
        <f ca="1">'Aerodynamics-Takeoff'!H39</f>
        <v>10.605346376012445</v>
      </c>
      <c r="F39" s="49">
        <f t="shared" ca="1" si="0"/>
        <v>0.14529923564797922</v>
      </c>
      <c r="G39" s="29">
        <f t="shared" ca="1" si="1"/>
        <v>4628.9294292891664</v>
      </c>
      <c r="H39" s="10">
        <f ca="1">E39/(G39/60*D39)*Propulsão!J39</f>
        <v>0.43505360705862717</v>
      </c>
      <c r="I39" s="19">
        <f t="shared" ca="1" si="6"/>
        <v>36.215841196992827</v>
      </c>
      <c r="J39" s="13">
        <f t="shared" ca="1" si="7"/>
        <v>7.4711834338130834E-2</v>
      </c>
      <c r="K39" s="10">
        <f t="shared" ca="1" si="8"/>
        <v>2.4473717193637921E-2</v>
      </c>
      <c r="L39" s="10">
        <f t="shared" ca="1" si="9"/>
        <v>2.4473717196617964E-2</v>
      </c>
      <c r="M39" s="10">
        <f ca="1">($H$6+$H$7*H39+$H$8*H39^2+$H$9*H39^3+$H$10*H39^4+$H$11*H39^5+$H$12*H39^6)*Propulsão!M39</f>
        <v>0.69611825774482528</v>
      </c>
      <c r="N39" s="19">
        <f t="shared" ca="1" si="10"/>
        <v>25.210508276813915</v>
      </c>
      <c r="O39" s="19">
        <f ca="1">'Aerodynamics-Takeoff'!BL39</f>
        <v>25.210508270436062</v>
      </c>
      <c r="P39" s="14">
        <f t="shared" ca="1" si="11"/>
        <v>4628.9294292609839</v>
      </c>
      <c r="Q39" s="50" t="str">
        <f t="shared" ca="1" si="12"/>
        <v>OK</v>
      </c>
      <c r="R39" s="1">
        <f t="shared" ca="1" si="13"/>
        <v>0.14529923564614131</v>
      </c>
      <c r="S39" s="50" t="str">
        <f t="shared" ca="1" si="14"/>
        <v>OK</v>
      </c>
      <c r="T39" s="50" t="str">
        <f t="shared" ca="1" si="15"/>
        <v>OK</v>
      </c>
      <c r="Z39" s="12">
        <v>0.9</v>
      </c>
      <c r="AA39" s="12">
        <v>3.1656999999999998E-2</v>
      </c>
      <c r="AB39" s="12">
        <v>73.459999999999994</v>
      </c>
      <c r="AC39" s="20">
        <f t="shared" si="2"/>
        <v>113.45091923948229</v>
      </c>
      <c r="AE39" s="26">
        <v>20441.60707017699</v>
      </c>
      <c r="AF39" s="1">
        <f t="shared" si="3"/>
        <v>1.6383385947752438E-3</v>
      </c>
      <c r="AK39" s="25">
        <f t="shared" si="19"/>
        <v>-3.0018661405224755E-2</v>
      </c>
      <c r="AL39" s="14">
        <f t="shared" si="5"/>
        <v>550.35071848244843</v>
      </c>
      <c r="AM39" s="14">
        <f t="shared" si="16"/>
        <v>404.28763779720657</v>
      </c>
      <c r="AN39" s="13">
        <f t="shared" si="20"/>
        <v>3.5635434613751773</v>
      </c>
    </row>
    <row r="40" spans="2:40">
      <c r="B40" s="1">
        <f>ISA!E40</f>
        <v>1.2249994633486807</v>
      </c>
      <c r="D40" s="1">
        <f t="shared" si="18"/>
        <v>0.30479999999999996</v>
      </c>
      <c r="E40" s="19">
        <f ca="1">'Aerodynamics-Takeoff'!H40</f>
        <v>9.5359142313991931</v>
      </c>
      <c r="F40" s="49">
        <f t="shared" ca="1" si="0"/>
        <v>0.12163281210555538</v>
      </c>
      <c r="G40" s="29">
        <f t="shared" ca="1" si="1"/>
        <v>4212.582842223459</v>
      </c>
      <c r="H40" s="10">
        <f ca="1">E40/(G40/60*D40)*Propulsão!J40</f>
        <v>0.42984547362468578</v>
      </c>
      <c r="I40" s="19">
        <f t="shared" ca="1" si="6"/>
        <v>27.590139086852055</v>
      </c>
      <c r="J40" s="13">
        <f t="shared" ca="1" si="7"/>
        <v>6.2542727548323726E-2</v>
      </c>
      <c r="K40" s="10">
        <f t="shared" ca="1" si="8"/>
        <v>2.473725839607548E-2</v>
      </c>
      <c r="L40" s="10">
        <f t="shared" ca="1" si="9"/>
        <v>2.4741961469341298E-2</v>
      </c>
      <c r="M40" s="10">
        <f ca="1">($H$6+$H$7*H40+$H$8*H40^2+$H$9*H40^3+$H$10*H40^4+$H$11*H40^5+$H$12*H40^6)*Propulsão!M40</f>
        <v>0.69467806852439695</v>
      </c>
      <c r="N40" s="19">
        <f t="shared" ca="1" si="10"/>
        <v>19.166264531173855</v>
      </c>
      <c r="O40" s="19">
        <f ca="1">'Aerodynamics-Takeoff'!BL40</f>
        <v>19.159390596191127</v>
      </c>
      <c r="P40" s="14">
        <f t="shared" ca="1" si="11"/>
        <v>4212.542804804094</v>
      </c>
      <c r="Q40" s="50" t="str">
        <f t="shared" ca="1" si="12"/>
        <v>OK</v>
      </c>
      <c r="R40" s="1">
        <f t="shared" ca="1" si="13"/>
        <v>0.12163063093968234</v>
      </c>
      <c r="S40" s="50" t="str">
        <f t="shared" ca="1" si="14"/>
        <v>OK</v>
      </c>
      <c r="T40" s="50" t="str">
        <f t="shared" ca="1" si="15"/>
        <v>OK</v>
      </c>
      <c r="Z40" s="12">
        <v>0.91</v>
      </c>
      <c r="AA40" s="12">
        <v>2.9873E-2</v>
      </c>
      <c r="AB40" s="12">
        <v>72.87</v>
      </c>
      <c r="AC40" s="20">
        <f t="shared" si="2"/>
        <v>117.89022180450296</v>
      </c>
      <c r="AE40" s="26">
        <v>21008.058533620962</v>
      </c>
      <c r="AF40" s="1">
        <f t="shared" si="3"/>
        <v>1.5511789284553446E-3</v>
      </c>
      <c r="AK40" s="25">
        <f t="shared" si="19"/>
        <v>-2.8321821071544656E-2</v>
      </c>
      <c r="AL40" s="14">
        <f t="shared" si="5"/>
        <v>565.6013281249086</v>
      </c>
      <c r="AM40" s="14">
        <f t="shared" si="16"/>
        <v>412.15368780462092</v>
      </c>
      <c r="AN40" s="13">
        <f t="shared" si="20"/>
        <v>3.4960773835878887</v>
      </c>
    </row>
    <row r="41" spans="2:40">
      <c r="B41" s="1"/>
      <c r="Z41" s="12">
        <v>0.92</v>
      </c>
      <c r="AA41" s="12">
        <v>2.8056999999999999E-2</v>
      </c>
      <c r="AB41" s="12">
        <v>72.11</v>
      </c>
      <c r="AC41" s="20">
        <f t="shared" si="2"/>
        <v>122.69054242247942</v>
      </c>
      <c r="AE41" s="26">
        <v>21625.830039214936</v>
      </c>
      <c r="AF41" s="1">
        <f t="shared" si="3"/>
        <v>1.4638216401980236E-3</v>
      </c>
      <c r="AK41" s="25">
        <f t="shared" si="19"/>
        <v>-2.6593178359801975E-2</v>
      </c>
      <c r="AL41" s="14">
        <f t="shared" si="5"/>
        <v>582.23363060457314</v>
      </c>
      <c r="AM41" s="14">
        <f t="shared" si="16"/>
        <v>419.84867102895765</v>
      </c>
      <c r="AN41" s="13">
        <f t="shared" si="20"/>
        <v>3.422010535923584</v>
      </c>
    </row>
    <row r="42" spans="2:40">
      <c r="B42" s="1"/>
      <c r="Z42" s="12">
        <v>0.93</v>
      </c>
      <c r="AA42" s="12">
        <v>2.6214000000000001E-2</v>
      </c>
      <c r="AB42" s="12">
        <v>71.150000000000006</v>
      </c>
      <c r="AC42" s="20">
        <f t="shared" si="2"/>
        <v>127.88324041201433</v>
      </c>
      <c r="AE42" s="26">
        <v>22298.734160769716</v>
      </c>
      <c r="AF42" s="1">
        <f t="shared" si="3"/>
        <v>1.3768077885846252E-3</v>
      </c>
      <c r="AK42" s="25">
        <f t="shared" si="19"/>
        <v>-2.4837192211415376E-2</v>
      </c>
      <c r="AL42" s="14">
        <f t="shared" si="5"/>
        <v>600.35027209445695</v>
      </c>
      <c r="AM42" s="14">
        <f t="shared" si="16"/>
        <v>427.14921859520615</v>
      </c>
      <c r="AN42" s="13">
        <f t="shared" si="20"/>
        <v>3.3401474908226318</v>
      </c>
    </row>
    <row r="43" spans="2:40">
      <c r="B43" s="1"/>
      <c r="Z43" s="12">
        <v>0.94</v>
      </c>
      <c r="AA43" s="12">
        <v>2.4341000000000002E-2</v>
      </c>
      <c r="AB43" s="12">
        <v>69.930000000000007</v>
      </c>
      <c r="AC43" s="20">
        <f t="shared" si="2"/>
        <v>133.51993318699772</v>
      </c>
      <c r="AE43" s="26">
        <v>23033.916018458491</v>
      </c>
      <c r="AF43" s="1">
        <f t="shared" si="3"/>
        <v>1.290322219743254E-3</v>
      </c>
      <c r="AK43" s="25">
        <f t="shared" si="19"/>
        <v>-2.3050677780256747E-2</v>
      </c>
      <c r="AL43" s="14">
        <f t="shared" si="5"/>
        <v>620.14362113033462</v>
      </c>
      <c r="AM43" s="14">
        <f t="shared" si="16"/>
        <v>433.66643425644304</v>
      </c>
      <c r="AN43" s="13">
        <f t="shared" si="20"/>
        <v>3.247950318055147</v>
      </c>
    </row>
    <row r="44" spans="2:40">
      <c r="B44" s="1"/>
      <c r="Z44" s="12">
        <v>0.95</v>
      </c>
      <c r="AA44" s="12">
        <v>2.2442E-2</v>
      </c>
      <c r="AB44" s="12">
        <v>68.38</v>
      </c>
      <c r="AC44" s="20">
        <f t="shared" si="2"/>
        <v>139.64195058635917</v>
      </c>
      <c r="AE44" s="26">
        <v>23836.463826974541</v>
      </c>
      <c r="AF44" s="1">
        <f t="shared" si="3"/>
        <v>1.204897432264266E-3</v>
      </c>
      <c r="AK44" s="25">
        <f t="shared" si="19"/>
        <v>-2.1237102567735734E-2</v>
      </c>
      <c r="AL44" s="14">
        <f t="shared" si="5"/>
        <v>641.75066804778135</v>
      </c>
      <c r="AM44" s="14">
        <f t="shared" si="16"/>
        <v>438.82910681107285</v>
      </c>
      <c r="AN44" s="13">
        <f t="shared" si="20"/>
        <v>3.1425283785824005</v>
      </c>
    </row>
    <row r="45" spans="2:40">
      <c r="B45" s="1"/>
      <c r="Z45" s="12">
        <v>0.96</v>
      </c>
      <c r="AA45" s="12">
        <v>2.0514999999999999E-2</v>
      </c>
      <c r="AB45" s="12">
        <v>66.41</v>
      </c>
      <c r="AC45" s="20">
        <f t="shared" si="2"/>
        <v>150.1488534602548</v>
      </c>
      <c r="AE45" s="26">
        <v>25362.982003421421</v>
      </c>
      <c r="AF45" s="1">
        <f t="shared" si="3"/>
        <v>1.0642241429093763E-3</v>
      </c>
      <c r="AK45" s="25">
        <f t="shared" si="19"/>
        <v>-1.9450775857090621E-2</v>
      </c>
      <c r="AL45" s="14">
        <f t="shared" si="5"/>
        <v>682.84921633216447</v>
      </c>
      <c r="AM45" s="14">
        <f t="shared" si="16"/>
        <v>453.48016456619035</v>
      </c>
      <c r="AN45" s="13">
        <f t="shared" si="20"/>
        <v>3.0202019668836977</v>
      </c>
    </row>
    <row r="46" spans="2:40">
      <c r="B46" s="1"/>
      <c r="Z46" s="12">
        <v>0.97</v>
      </c>
      <c r="AA46" s="12">
        <v>1.8558000000000002E-2</v>
      </c>
      <c r="AB46" s="12">
        <v>63.85</v>
      </c>
      <c r="AC46" s="20">
        <f t="shared" si="2"/>
        <v>159.67027219808836</v>
      </c>
      <c r="AE46" s="26">
        <v>26693.274817178328</v>
      </c>
      <c r="AF46" s="1">
        <f t="shared" si="3"/>
        <v>9.6079341692586323E-4</v>
      </c>
      <c r="AK46" s="25">
        <f t="shared" si="19"/>
        <v>-1.7597206583074138E-2</v>
      </c>
      <c r="AL46" s="14">
        <f t="shared" si="5"/>
        <v>718.66477639697359</v>
      </c>
      <c r="AM46" s="14">
        <f t="shared" si="16"/>
        <v>458.86745972946767</v>
      </c>
      <c r="AN46" s="13">
        <f t="shared" si="20"/>
        <v>2.8738422376832253</v>
      </c>
    </row>
    <row r="47" spans="2:40">
      <c r="B47" s="1"/>
      <c r="Z47" s="12">
        <v>0.98</v>
      </c>
      <c r="AA47" s="12">
        <v>1.6577000000000001E-2</v>
      </c>
      <c r="AB47" s="12">
        <v>60.5</v>
      </c>
      <c r="AC47" s="20">
        <f t="shared" si="2"/>
        <v>168.76197960057294</v>
      </c>
      <c r="AE47" s="26">
        <v>27925.31377836287</v>
      </c>
      <c r="AF47" s="1">
        <f t="shared" si="3"/>
        <v>8.778849641394523E-4</v>
      </c>
      <c r="AK47" s="25">
        <f t="shared" si="19"/>
        <v>-1.569911503586055E-2</v>
      </c>
      <c r="AL47" s="14">
        <f t="shared" si="5"/>
        <v>751.83504158984681</v>
      </c>
      <c r="AM47" s="14">
        <f t="shared" si="16"/>
        <v>454.86020016185728</v>
      </c>
      <c r="AN47" s="13">
        <f t="shared" si="20"/>
        <v>2.6952749174365653</v>
      </c>
    </row>
    <row r="48" spans="2:40">
      <c r="B48" s="1"/>
      <c r="Z48" s="12">
        <v>0.99</v>
      </c>
      <c r="AA48" s="12">
        <v>1.4567999999999999E-2</v>
      </c>
      <c r="AB48" s="12">
        <v>56.01</v>
      </c>
      <c r="AC48" s="20">
        <f t="shared" si="2"/>
        <v>181.76503577693052</v>
      </c>
      <c r="AE48" s="26">
        <v>29773.142633403852</v>
      </c>
      <c r="AF48" s="1">
        <f t="shared" si="3"/>
        <v>7.7229705399237147E-4</v>
      </c>
      <c r="AK48" s="25">
        <f t="shared" si="19"/>
        <v>-1.3795702946007628E-2</v>
      </c>
      <c r="AL48" s="14">
        <f t="shared" si="5"/>
        <v>801.58425820051514</v>
      </c>
      <c r="AM48" s="14">
        <f t="shared" si="16"/>
        <v>448.96734301810847</v>
      </c>
      <c r="AN48" s="13">
        <f t="shared" si="20"/>
        <v>2.4700410290403503</v>
      </c>
    </row>
    <row r="49" spans="2:40">
      <c r="B49" s="1"/>
      <c r="Z49" s="12">
        <v>1</v>
      </c>
      <c r="AA49" s="12">
        <v>1.2536E-2</v>
      </c>
      <c r="AB49" s="12">
        <v>49.78</v>
      </c>
      <c r="AC49" s="20">
        <f t="shared" si="2"/>
        <v>199.33116659247648</v>
      </c>
      <c r="AE49" s="26">
        <v>32323.97296094213</v>
      </c>
      <c r="AF49" s="1">
        <f t="shared" si="3"/>
        <v>6.5521565366856362E-4</v>
      </c>
      <c r="AK49" s="25">
        <f t="shared" si="19"/>
        <v>-1.1880784346331436E-2</v>
      </c>
      <c r="AL49" s="14">
        <f t="shared" si="5"/>
        <v>870.26042924068929</v>
      </c>
      <c r="AM49" s="14">
        <f t="shared" si="16"/>
        <v>433.21564167601514</v>
      </c>
      <c r="AN49" s="13">
        <f t="shared" si="20"/>
        <v>2.1733451509225814</v>
      </c>
    </row>
    <row r="50" spans="2:40">
      <c r="B50" s="1"/>
      <c r="Z50" s="12">
        <v>1.01</v>
      </c>
      <c r="AA50" s="12">
        <v>1.0470999999999999E-2</v>
      </c>
      <c r="AB50" s="12">
        <v>40.659999999999997</v>
      </c>
      <c r="AC50" s="20">
        <f t="shared" si="2"/>
        <v>216.6596237581484</v>
      </c>
      <c r="AE50" s="26">
        <v>34786.131724615749</v>
      </c>
      <c r="AF50" s="1">
        <f t="shared" si="3"/>
        <v>5.6574595803082187E-4</v>
      </c>
      <c r="AK50" s="25">
        <f t="shared" si="19"/>
        <v>-9.9052540419691769E-3</v>
      </c>
      <c r="AL50" s="14">
        <f t="shared" si="5"/>
        <v>936.54928999188564</v>
      </c>
      <c r="AM50" s="14">
        <f t="shared" si="16"/>
        <v>380.80094131070069</v>
      </c>
      <c r="AN50" s="13">
        <f t="shared" si="20"/>
        <v>1.7575991268953099</v>
      </c>
    </row>
    <row r="51" spans="2:40">
      <c r="B51" s="1"/>
      <c r="Z51" s="12">
        <v>1.02</v>
      </c>
      <c r="AA51" s="12">
        <v>8.3859999999999994E-3</v>
      </c>
      <c r="AB51" s="12">
        <v>26.46</v>
      </c>
      <c r="AC51" s="20">
        <f t="shared" si="2"/>
        <v>246.58477573217561</v>
      </c>
      <c r="AE51" s="26">
        <v>39202.667048040639</v>
      </c>
      <c r="AF51" s="1">
        <f t="shared" si="3"/>
        <v>4.4545363373686334E-4</v>
      </c>
      <c r="AK51" s="25">
        <f t="shared" si="19"/>
        <v>-7.9405463662631359E-3</v>
      </c>
      <c r="AL51" s="14">
        <f t="shared" si="5"/>
        <v>1055.4559581469623</v>
      </c>
      <c r="AM51" s="14">
        <f t="shared" si="16"/>
        <v>279.27364652568622</v>
      </c>
      <c r="AN51" s="13">
        <f t="shared" si="20"/>
        <v>1.1325660006375047</v>
      </c>
    </row>
    <row r="52" spans="2:40">
      <c r="B52" s="1"/>
      <c r="Z52" s="12">
        <v>1.03</v>
      </c>
      <c r="AA52" s="12">
        <v>6.2690000000000003E-3</v>
      </c>
      <c r="AB52" s="12">
        <v>1.76</v>
      </c>
      <c r="AC52" s="20">
        <f t="shared" si="2"/>
        <v>276.29628977829395</v>
      </c>
      <c r="AE52" s="26">
        <v>43499.809463914025</v>
      </c>
      <c r="AF52" s="1">
        <f t="shared" si="3"/>
        <v>3.6179205444450104E-4</v>
      </c>
      <c r="AK52" s="25">
        <f t="shared" si="19"/>
        <v>-5.9072079455554996E-3</v>
      </c>
      <c r="AL52" s="14">
        <f t="shared" si="5"/>
        <v>1171.1482032761435</v>
      </c>
      <c r="AM52" s="14">
        <f t="shared" si="16"/>
        <v>20.612208377660128</v>
      </c>
      <c r="AN52" s="13">
        <f t="shared" si="20"/>
        <v>7.4601801327189979E-2</v>
      </c>
    </row>
    <row r="53" spans="2:40">
      <c r="Z53" s="12">
        <v>1.04</v>
      </c>
      <c r="AA53" s="12">
        <v>4.1359999999999999E-3</v>
      </c>
      <c r="AB53" s="12">
        <v>0</v>
      </c>
      <c r="AC53" s="20">
        <f t="shared" si="2"/>
        <v>344.3051485834518</v>
      </c>
      <c r="AE53" s="26">
        <v>53685.833978708702</v>
      </c>
      <c r="AF53" s="1">
        <f t="shared" si="3"/>
        <v>2.3752773427691709E-4</v>
      </c>
      <c r="AK53" s="25">
        <f t="shared" si="19"/>
        <v>-3.8984722657230829E-3</v>
      </c>
      <c r="AL53" s="14">
        <f t="shared" si="5"/>
        <v>1445.3872046888905</v>
      </c>
      <c r="AM53" s="14">
        <f t="shared" si="16"/>
        <v>0</v>
      </c>
      <c r="AN53" s="13">
        <f t="shared" si="20"/>
        <v>0</v>
      </c>
    </row>
    <row r="54" spans="2:40">
      <c r="Z54" s="12">
        <v>1.05</v>
      </c>
      <c r="AA54" s="12">
        <v>2.026E-3</v>
      </c>
      <c r="AB54" s="12">
        <v>0</v>
      </c>
      <c r="AC54" s="20">
        <f t="shared" si="2"/>
        <v>475.67617467272635</v>
      </c>
      <c r="AE54" s="26">
        <v>73463.501879957737</v>
      </c>
      <c r="AF54" s="1">
        <f t="shared" si="3"/>
        <v>1.2685000275720217E-4</v>
      </c>
      <c r="AK54" s="25">
        <f t="shared" si="19"/>
        <v>-1.8991499972427978E-3</v>
      </c>
      <c r="AL54" s="14">
        <f t="shared" si="5"/>
        <v>1977.8626456849013</v>
      </c>
      <c r="AM54" s="14">
        <f t="shared" si="16"/>
        <v>0</v>
      </c>
      <c r="AN54" s="13">
        <f t="shared" si="20"/>
        <v>0</v>
      </c>
    </row>
    <row r="55" spans="2:40">
      <c r="Z55" s="12">
        <v>1.06</v>
      </c>
      <c r="AA55" s="12">
        <v>-1.6000000000000001E-4</v>
      </c>
      <c r="AB55" s="12">
        <v>0.03</v>
      </c>
      <c r="AC55" s="20">
        <f t="shared" si="2"/>
        <v>924.36042779478964</v>
      </c>
      <c r="AE55" s="26">
        <v>141411.59017768328</v>
      </c>
      <c r="AF55" s="1">
        <f t="shared" si="3"/>
        <v>3.4234478948235311E-5</v>
      </c>
      <c r="AK55" s="25">
        <f t="shared" si="19"/>
        <v>1.9423447894823532E-4</v>
      </c>
      <c r="AL55" s="14">
        <f t="shared" si="5"/>
        <v>3807.2334522845176</v>
      </c>
      <c r="AM55" s="14">
        <f t="shared" si="16"/>
        <v>1.1421700356853552</v>
      </c>
      <c r="AN55" s="13">
        <f t="shared" si="20"/>
        <v>1.235632636121087E-3</v>
      </c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CM152"/>
  <sheetViews>
    <sheetView zoomScale="110" zoomScaleNormal="110" workbookViewId="0">
      <selection activeCell="B10" sqref="B10"/>
    </sheetView>
  </sheetViews>
  <sheetFormatPr defaultRowHeight="12.75"/>
  <cols>
    <col min="24" max="24" width="10.140625" bestFit="1" customWidth="1"/>
    <col min="56" max="56" width="9.42578125" customWidth="1"/>
  </cols>
  <sheetData>
    <row r="1" spans="1:85">
      <c r="A1" s="17" t="s">
        <v>590</v>
      </c>
    </row>
    <row r="2" spans="1:85">
      <c r="Y2" s="35"/>
      <c r="Z2" s="35"/>
      <c r="AA2" s="35"/>
      <c r="AB2" s="35"/>
      <c r="AC2" s="35"/>
      <c r="AD2" s="35"/>
      <c r="AE2" s="35"/>
    </row>
    <row r="3" spans="1:85">
      <c r="A3" t="s">
        <v>270</v>
      </c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Y3" s="35"/>
      <c r="Z3" s="35"/>
      <c r="AA3" s="35"/>
      <c r="AB3" s="35"/>
      <c r="AC3" s="35"/>
      <c r="AD3" s="35"/>
      <c r="AE3" s="35"/>
    </row>
    <row r="4" spans="1:85">
      <c r="D4" s="17"/>
      <c r="I4" s="17"/>
      <c r="Y4" s="35"/>
      <c r="Z4" s="35"/>
      <c r="AA4" s="35"/>
      <c r="AB4" s="35"/>
      <c r="AC4" s="35"/>
      <c r="AD4" s="35"/>
      <c r="AE4" s="35"/>
    </row>
    <row r="5" spans="1:85">
      <c r="A5" s="46" t="s">
        <v>269</v>
      </c>
      <c r="P5" t="s">
        <v>559</v>
      </c>
      <c r="S5" t="s">
        <v>561</v>
      </c>
      <c r="Y5" s="46" t="s">
        <v>720</v>
      </c>
      <c r="AB5" s="46" t="s">
        <v>571</v>
      </c>
      <c r="AE5" s="46" t="s">
        <v>572</v>
      </c>
    </row>
    <row r="6" spans="1:85">
      <c r="A6" s="3" t="s">
        <v>237</v>
      </c>
      <c r="B6" s="12">
        <f>(3.7+4.2)/2*3</f>
        <v>11.850000000000001</v>
      </c>
      <c r="C6" s="3" t="s">
        <v>40</v>
      </c>
      <c r="P6" t="s">
        <v>639</v>
      </c>
      <c r="Q6" s="12">
        <v>0.95</v>
      </c>
      <c r="R6" s="3"/>
      <c r="S6" t="s">
        <v>562</v>
      </c>
      <c r="T6" s="12">
        <v>0.57999999999999996</v>
      </c>
      <c r="U6" t="s">
        <v>40</v>
      </c>
      <c r="V6" t="s">
        <v>671</v>
      </c>
      <c r="W6" s="16">
        <f>Sun!AI3*1+W7*0</f>
        <v>0.77968300381919875</v>
      </c>
      <c r="Y6" t="s">
        <v>562</v>
      </c>
      <c r="Z6" s="12">
        <v>20</v>
      </c>
      <c r="AA6" t="s">
        <v>40</v>
      </c>
      <c r="AB6" s="46" t="s">
        <v>281</v>
      </c>
      <c r="AC6" s="125">
        <f>3.5/1000/3600</f>
        <v>9.7222222222222218E-7</v>
      </c>
      <c r="AD6" s="46" t="s">
        <v>576</v>
      </c>
      <c r="AE6" s="46" t="s">
        <v>575</v>
      </c>
      <c r="AF6" s="12">
        <v>0.8</v>
      </c>
      <c r="AG6" s="3"/>
    </row>
    <row r="7" spans="1:85">
      <c r="A7" s="3" t="s">
        <v>310</v>
      </c>
      <c r="B7" s="12">
        <f>8/4</f>
        <v>2</v>
      </c>
      <c r="C7" s="3" t="s">
        <v>69</v>
      </c>
      <c r="G7" s="6"/>
      <c r="H7" s="56"/>
      <c r="I7" s="6"/>
      <c r="P7" t="s">
        <v>560</v>
      </c>
      <c r="Q7" s="12">
        <f>0.185*9.81</f>
        <v>1.8148500000000001</v>
      </c>
      <c r="R7" s="67" t="s">
        <v>35</v>
      </c>
      <c r="S7" t="s">
        <v>563</v>
      </c>
      <c r="T7" s="12">
        <f>5.8+0*3/12.5</f>
        <v>5.8</v>
      </c>
      <c r="U7" t="s">
        <v>100</v>
      </c>
      <c r="V7" t="s">
        <v>672</v>
      </c>
      <c r="W7" s="16">
        <f>Sun!AI4</f>
        <v>0.7443420268110652</v>
      </c>
      <c r="Y7" s="46" t="s">
        <v>722</v>
      </c>
      <c r="Z7" s="12">
        <f>900/Z6</f>
        <v>45</v>
      </c>
      <c r="AA7" s="46" t="s">
        <v>69</v>
      </c>
      <c r="AB7" s="46" t="s">
        <v>573</v>
      </c>
      <c r="AC7" s="12">
        <f>0.15*9.81*1.1</f>
        <v>1.6186500000000001</v>
      </c>
      <c r="AD7" t="s">
        <v>35</v>
      </c>
      <c r="AE7" s="46" t="s">
        <v>574</v>
      </c>
      <c r="AF7" s="12">
        <f>0.1*9.81</f>
        <v>0.98100000000000009</v>
      </c>
      <c r="AG7" s="67" t="s">
        <v>35</v>
      </c>
    </row>
    <row r="8" spans="1:85">
      <c r="A8" s="46" t="s">
        <v>312</v>
      </c>
      <c r="B8" s="1">
        <f>B6*B7</f>
        <v>23.700000000000003</v>
      </c>
      <c r="C8" t="s">
        <v>313</v>
      </c>
      <c r="E8" s="56"/>
      <c r="F8" s="6"/>
      <c r="G8" s="6"/>
      <c r="H8" s="56"/>
      <c r="I8" s="6"/>
      <c r="P8" t="s">
        <v>625</v>
      </c>
      <c r="Q8" s="18">
        <f>190*0.83</f>
        <v>157.69999999999999</v>
      </c>
      <c r="R8" t="s">
        <v>626</v>
      </c>
      <c r="S8" t="s">
        <v>564</v>
      </c>
      <c r="T8" s="12">
        <f>0.008*1.5*9.81+0*3/12.5</f>
        <v>0.11772000000000001</v>
      </c>
      <c r="U8" t="s">
        <v>35</v>
      </c>
      <c r="Y8" t="s">
        <v>563</v>
      </c>
      <c r="Z8" s="12">
        <v>10</v>
      </c>
      <c r="AA8" t="s">
        <v>100</v>
      </c>
      <c r="AB8" t="s">
        <v>625</v>
      </c>
      <c r="AC8" s="18">
        <v>100</v>
      </c>
      <c r="AD8" t="s">
        <v>626</v>
      </c>
      <c r="AE8" t="s">
        <v>625</v>
      </c>
      <c r="AF8" s="18">
        <v>100</v>
      </c>
      <c r="AG8" t="s">
        <v>626</v>
      </c>
    </row>
    <row r="9" spans="1:85">
      <c r="A9" s="3" t="s">
        <v>311</v>
      </c>
      <c r="B9" s="12">
        <f>2*0.354*ISA!B5/5.5</f>
        <v>1.2623833090909089</v>
      </c>
      <c r="C9" s="3" t="s">
        <v>35</v>
      </c>
      <c r="E9" s="56"/>
      <c r="F9" s="6"/>
      <c r="G9" s="6"/>
      <c r="H9" s="56"/>
      <c r="I9" s="6"/>
      <c r="S9" t="s">
        <v>565</v>
      </c>
      <c r="T9" s="12">
        <v>0.125</v>
      </c>
      <c r="U9" t="s">
        <v>4</v>
      </c>
      <c r="Y9" t="s">
        <v>564</v>
      </c>
      <c r="Z9" s="12">
        <f>(470+1550)/1000*9.81</f>
        <v>19.816200000000002</v>
      </c>
      <c r="AA9" t="s">
        <v>35</v>
      </c>
      <c r="AB9" s="46" t="s">
        <v>577</v>
      </c>
      <c r="AC9" s="12">
        <v>0.875</v>
      </c>
      <c r="AD9" s="46" t="s">
        <v>585</v>
      </c>
      <c r="AE9" s="6"/>
      <c r="AF9" s="37"/>
      <c r="AG9" s="36"/>
    </row>
    <row r="10" spans="1:85">
      <c r="A10" s="3" t="s">
        <v>588</v>
      </c>
      <c r="B10" s="8">
        <v>30</v>
      </c>
      <c r="C10" s="3" t="s">
        <v>361</v>
      </c>
      <c r="D10" s="6"/>
      <c r="E10" s="56"/>
      <c r="F10" s="46" t="s">
        <v>569</v>
      </c>
      <c r="G10" s="46"/>
      <c r="H10" s="56"/>
      <c r="I10" s="6"/>
      <c r="S10" t="s">
        <v>566</v>
      </c>
      <c r="T10" s="12">
        <v>0.125</v>
      </c>
      <c r="U10" t="s">
        <v>4</v>
      </c>
      <c r="Y10" s="71" t="s">
        <v>721</v>
      </c>
      <c r="Z10" s="18">
        <f>1000/20</f>
        <v>50</v>
      </c>
      <c r="AA10" s="71" t="s">
        <v>728</v>
      </c>
      <c r="AB10" s="46" t="s">
        <v>640</v>
      </c>
      <c r="AC10" s="18">
        <v>5</v>
      </c>
      <c r="AD10" s="46" t="s">
        <v>628</v>
      </c>
      <c r="AF10" s="35"/>
      <c r="AG10" s="35"/>
    </row>
    <row r="11" spans="1:85">
      <c r="D11" s="6"/>
      <c r="E11" s="56"/>
      <c r="F11" s="89">
        <v>1</v>
      </c>
      <c r="G11" s="46"/>
      <c r="H11" s="56"/>
      <c r="I11" s="6"/>
      <c r="S11" t="s">
        <v>567</v>
      </c>
      <c r="T11" s="16">
        <f>T9*T10</f>
        <v>1.5625E-2</v>
      </c>
      <c r="U11" t="s">
        <v>43</v>
      </c>
      <c r="Z11" s="6"/>
      <c r="AA11" s="16"/>
      <c r="AB11" s="6"/>
      <c r="AC11" s="35"/>
      <c r="AD11" s="35"/>
      <c r="AE11" s="35"/>
    </row>
    <row r="12" spans="1:85">
      <c r="A12" s="67" t="s">
        <v>641</v>
      </c>
      <c r="B12" s="20">
        <f>B8/B9</f>
        <v>18.774012480462286</v>
      </c>
      <c r="C12" s="67" t="s">
        <v>249</v>
      </c>
      <c r="D12" s="6"/>
      <c r="E12" s="56"/>
      <c r="F12" s="46"/>
      <c r="I12" s="6"/>
      <c r="S12" s="67" t="s">
        <v>633</v>
      </c>
      <c r="T12" s="18">
        <f>(15*1.1)/(0.125*0.125)</f>
        <v>1056</v>
      </c>
      <c r="U12" s="67" t="s">
        <v>634</v>
      </c>
      <c r="W12" s="6"/>
      <c r="X12" s="16"/>
      <c r="Y12" s="71" t="s">
        <v>723</v>
      </c>
      <c r="Z12" s="20">
        <f>Z6*Z7/Z9</f>
        <v>45.417385775274774</v>
      </c>
      <c r="AA12" s="67" t="s">
        <v>249</v>
      </c>
      <c r="AB12" s="35"/>
      <c r="AC12" s="35"/>
      <c r="AD12" s="35"/>
      <c r="AE12" s="35"/>
    </row>
    <row r="13" spans="1:85">
      <c r="A13" s="67" t="s">
        <v>623</v>
      </c>
      <c r="B13" s="18">
        <f>(250+10)/(12*12)</f>
        <v>1.8055555555555556</v>
      </c>
      <c r="C13" s="67" t="s">
        <v>624</v>
      </c>
      <c r="D13" s="6"/>
      <c r="S13" t="s">
        <v>643</v>
      </c>
      <c r="T13" s="12">
        <f>1.05*1.05</f>
        <v>1.1025</v>
      </c>
      <c r="Y13" s="35"/>
      <c r="Z13" s="35"/>
      <c r="AA13" s="35"/>
      <c r="AB13" s="35"/>
      <c r="AC13" s="35"/>
      <c r="AD13" s="35"/>
      <c r="AE13" s="35"/>
      <c r="AL13" s="1"/>
    </row>
    <row r="14" spans="1:85">
      <c r="A14" s="6"/>
      <c r="B14" s="6"/>
      <c r="C14" s="6"/>
      <c r="D14" s="6"/>
    </row>
    <row r="15" spans="1:85">
      <c r="B15" t="s">
        <v>590</v>
      </c>
      <c r="F15" s="6" t="s">
        <v>269</v>
      </c>
      <c r="H15" s="8" t="s">
        <v>100</v>
      </c>
      <c r="K15" s="6"/>
      <c r="L15" s="35"/>
      <c r="M15" s="35"/>
      <c r="P15" s="6" t="s">
        <v>553</v>
      </c>
      <c r="R15" s="89" t="s">
        <v>591</v>
      </c>
      <c r="V15" s="35"/>
      <c r="AC15" s="35"/>
      <c r="AD15" s="35"/>
      <c r="AE15" s="35"/>
      <c r="AF15" s="35"/>
      <c r="AG15" s="35"/>
      <c r="AH15" s="35"/>
      <c r="AK15" s="35"/>
      <c r="AL15" s="35"/>
      <c r="AW15" s="6" t="s">
        <v>678</v>
      </c>
      <c r="BC15" s="46" t="s">
        <v>718</v>
      </c>
      <c r="BI15" t="s">
        <v>765</v>
      </c>
      <c r="BL15" s="46" t="s">
        <v>719</v>
      </c>
      <c r="BY15" s="58" t="s">
        <v>570</v>
      </c>
      <c r="BZ15" s="35"/>
      <c r="CA15" s="35"/>
      <c r="CB15" s="35"/>
      <c r="CC15" s="35"/>
      <c r="CD15" s="35"/>
      <c r="CE15" s="35"/>
      <c r="CF15" s="35"/>
      <c r="CG15" s="35"/>
    </row>
    <row r="16" spans="1:85">
      <c r="F16" t="s">
        <v>100</v>
      </c>
      <c r="G16" s="35"/>
      <c r="H16" s="6" t="s">
        <v>591</v>
      </c>
      <c r="K16" s="35"/>
      <c r="L16" s="6" t="s">
        <v>592</v>
      </c>
      <c r="M16" s="35"/>
      <c r="U16" s="6" t="s">
        <v>100</v>
      </c>
      <c r="V16" s="35"/>
      <c r="W16" s="35"/>
      <c r="Y16" s="35"/>
      <c r="AA16" s="35"/>
      <c r="AD16" s="6" t="s">
        <v>591</v>
      </c>
      <c r="AE16" s="35"/>
      <c r="AF16" s="35"/>
      <c r="AG16" s="35"/>
      <c r="AH16" s="35"/>
      <c r="AK16" s="35"/>
      <c r="AL16" s="35"/>
      <c r="AM16" s="35"/>
      <c r="AR16" t="s">
        <v>798</v>
      </c>
      <c r="AW16" s="6" t="s">
        <v>679</v>
      </c>
      <c r="AZ16" t="s">
        <v>307</v>
      </c>
      <c r="BA16" s="46" t="s">
        <v>82</v>
      </c>
      <c r="BC16" s="46" t="s">
        <v>679</v>
      </c>
      <c r="BD16" s="46" t="s">
        <v>307</v>
      </c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</row>
    <row r="17" spans="1:91">
      <c r="G17" s="35"/>
      <c r="H17" s="35"/>
      <c r="K17" s="35"/>
      <c r="L17" s="35"/>
      <c r="M17" s="35"/>
      <c r="U17" s="35"/>
      <c r="V17" s="35"/>
      <c r="W17" s="35"/>
      <c r="Y17" s="35"/>
      <c r="AA17" s="35"/>
      <c r="AD17" s="35"/>
      <c r="AE17" s="35"/>
      <c r="AF17" s="35"/>
      <c r="AG17" s="35"/>
      <c r="AH17" s="35"/>
      <c r="AK17" s="35"/>
      <c r="AL17" s="35"/>
      <c r="AM17" s="35"/>
      <c r="AW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</row>
    <row r="18" spans="1:91">
      <c r="A18" s="58"/>
      <c r="B18" s="9" t="s">
        <v>587</v>
      </c>
      <c r="C18" s="47" t="s">
        <v>422</v>
      </c>
      <c r="D18" s="9" t="s">
        <v>627</v>
      </c>
      <c r="F18" s="47" t="s">
        <v>312</v>
      </c>
      <c r="G18" s="9" t="s">
        <v>311</v>
      </c>
      <c r="H18" s="9" t="s">
        <v>304</v>
      </c>
      <c r="I18" s="9" t="s">
        <v>552</v>
      </c>
      <c r="J18" s="47" t="s">
        <v>312</v>
      </c>
      <c r="K18" s="9" t="s">
        <v>311</v>
      </c>
      <c r="L18" s="47" t="s">
        <v>312</v>
      </c>
      <c r="M18" s="9" t="s">
        <v>311</v>
      </c>
      <c r="N18" s="9" t="s">
        <v>627</v>
      </c>
      <c r="P18" s="68" t="s">
        <v>204</v>
      </c>
      <c r="Q18" s="68" t="s">
        <v>315</v>
      </c>
      <c r="R18" s="68" t="s">
        <v>114</v>
      </c>
      <c r="S18" s="47" t="s">
        <v>579</v>
      </c>
      <c r="T18" s="68" t="s">
        <v>568</v>
      </c>
      <c r="U18" s="9" t="s">
        <v>593</v>
      </c>
      <c r="V18" s="9" t="s">
        <v>566</v>
      </c>
      <c r="W18" s="9" t="s">
        <v>567</v>
      </c>
      <c r="X18" s="9" t="s">
        <v>594</v>
      </c>
      <c r="Y18" s="23" t="s">
        <v>103</v>
      </c>
      <c r="Z18" s="23" t="s">
        <v>104</v>
      </c>
      <c r="AA18" s="68" t="s">
        <v>568</v>
      </c>
      <c r="AB18" s="68" t="s">
        <v>204</v>
      </c>
      <c r="AC18" s="68" t="s">
        <v>34</v>
      </c>
      <c r="AD18" s="9" t="s">
        <v>554</v>
      </c>
      <c r="AE18" s="9" t="s">
        <v>555</v>
      </c>
      <c r="AF18" s="9" t="s">
        <v>557</v>
      </c>
      <c r="AG18" s="23" t="s">
        <v>558</v>
      </c>
      <c r="AH18" s="23" t="s">
        <v>589</v>
      </c>
      <c r="AI18" s="68" t="s">
        <v>568</v>
      </c>
      <c r="AJ18" s="23" t="s">
        <v>558</v>
      </c>
      <c r="AK18" s="9" t="s">
        <v>586</v>
      </c>
      <c r="AL18" s="9" t="s">
        <v>282</v>
      </c>
      <c r="AM18" s="23" t="s">
        <v>103</v>
      </c>
      <c r="AN18" s="23" t="s">
        <v>104</v>
      </c>
      <c r="AO18" s="68" t="s">
        <v>568</v>
      </c>
      <c r="AP18" s="68" t="s">
        <v>204</v>
      </c>
      <c r="AQ18" s="68" t="s">
        <v>34</v>
      </c>
      <c r="AR18" s="68" t="s">
        <v>34</v>
      </c>
      <c r="AS18" s="68" t="s">
        <v>204</v>
      </c>
      <c r="AT18" s="68" t="s">
        <v>730</v>
      </c>
      <c r="AU18" s="68" t="s">
        <v>627</v>
      </c>
      <c r="AW18" s="68" t="s">
        <v>104</v>
      </c>
      <c r="AX18" s="68" t="s">
        <v>114</v>
      </c>
      <c r="AY18" s="68" t="s">
        <v>204</v>
      </c>
      <c r="AZ18" s="68" t="s">
        <v>204</v>
      </c>
      <c r="BA18" s="68" t="s">
        <v>556</v>
      </c>
      <c r="BB18" s="68" t="s">
        <v>204</v>
      </c>
      <c r="BC18" s="68" t="s">
        <v>675</v>
      </c>
      <c r="BD18" s="68" t="s">
        <v>677</v>
      </c>
      <c r="BE18" s="68" t="s">
        <v>673</v>
      </c>
      <c r="BF18" s="9" t="s">
        <v>674</v>
      </c>
      <c r="BG18" s="68" t="s">
        <v>676</v>
      </c>
      <c r="BH18" s="68" t="s">
        <v>204</v>
      </c>
      <c r="BI18" s="68" t="s">
        <v>763</v>
      </c>
      <c r="BJ18" s="68" t="s">
        <v>764</v>
      </c>
      <c r="BL18" s="68" t="s">
        <v>204</v>
      </c>
      <c r="BM18" s="68" t="s">
        <v>315</v>
      </c>
      <c r="BN18" s="68" t="s">
        <v>114</v>
      </c>
      <c r="BO18" s="47" t="s">
        <v>579</v>
      </c>
      <c r="BP18" s="47" t="s">
        <v>729</v>
      </c>
      <c r="BQ18" s="47" t="s">
        <v>104</v>
      </c>
      <c r="BR18" s="68" t="s">
        <v>34</v>
      </c>
      <c r="BS18" s="68" t="s">
        <v>204</v>
      </c>
      <c r="BT18" s="68" t="s">
        <v>730</v>
      </c>
      <c r="BU18" s="68" t="s">
        <v>629</v>
      </c>
      <c r="BV18" s="68" t="s">
        <v>630</v>
      </c>
      <c r="BW18" s="68" t="s">
        <v>627</v>
      </c>
      <c r="BY18" s="68" t="s">
        <v>204</v>
      </c>
      <c r="BZ18" s="68" t="s">
        <v>315</v>
      </c>
      <c r="CA18" s="68" t="s">
        <v>114</v>
      </c>
      <c r="CB18" s="47" t="s">
        <v>579</v>
      </c>
      <c r="CC18" s="47" t="s">
        <v>578</v>
      </c>
      <c r="CD18" s="47" t="s">
        <v>580</v>
      </c>
      <c r="CE18" s="68" t="s">
        <v>581</v>
      </c>
      <c r="CF18" s="47" t="s">
        <v>582</v>
      </c>
      <c r="CG18" s="47" t="s">
        <v>583</v>
      </c>
      <c r="CH18" s="68" t="s">
        <v>34</v>
      </c>
      <c r="CI18" s="68" t="s">
        <v>204</v>
      </c>
      <c r="CJ18" s="68" t="s">
        <v>730</v>
      </c>
      <c r="CK18" s="68" t="s">
        <v>629</v>
      </c>
      <c r="CL18" s="68" t="s">
        <v>630</v>
      </c>
      <c r="CM18" s="68" t="s">
        <v>627</v>
      </c>
    </row>
    <row r="19" spans="1:91">
      <c r="A19" s="67"/>
      <c r="B19" s="9" t="s">
        <v>313</v>
      </c>
      <c r="C19" s="9" t="s">
        <v>35</v>
      </c>
      <c r="D19" s="9" t="s">
        <v>626</v>
      </c>
      <c r="F19" s="9" t="s">
        <v>313</v>
      </c>
      <c r="G19" s="9" t="s">
        <v>35</v>
      </c>
      <c r="J19" s="9" t="s">
        <v>313</v>
      </c>
      <c r="K19" s="9" t="s">
        <v>35</v>
      </c>
      <c r="L19" s="9" t="s">
        <v>313</v>
      </c>
      <c r="M19" s="9" t="s">
        <v>35</v>
      </c>
      <c r="N19" s="9" t="s">
        <v>626</v>
      </c>
      <c r="P19" s="23" t="s">
        <v>313</v>
      </c>
      <c r="Q19" s="23" t="s">
        <v>28</v>
      </c>
      <c r="R19" s="23" t="s">
        <v>34</v>
      </c>
      <c r="S19" s="70" t="s">
        <v>34</v>
      </c>
      <c r="T19" s="23" t="s">
        <v>34</v>
      </c>
      <c r="U19" s="70" t="s">
        <v>4</v>
      </c>
      <c r="V19" s="70" t="s">
        <v>4</v>
      </c>
      <c r="W19" s="70" t="s">
        <v>43</v>
      </c>
      <c r="X19" s="70" t="s">
        <v>43</v>
      </c>
      <c r="Y19" s="23" t="s">
        <v>40</v>
      </c>
      <c r="Z19" s="9" t="s">
        <v>100</v>
      </c>
      <c r="AA19" s="9" t="s">
        <v>34</v>
      </c>
      <c r="AB19" s="68" t="s">
        <v>313</v>
      </c>
      <c r="AC19" s="68" t="s">
        <v>35</v>
      </c>
      <c r="AG19" s="37"/>
      <c r="AI19" s="9" t="s">
        <v>34</v>
      </c>
      <c r="AK19" s="37"/>
      <c r="AL19" s="9" t="s">
        <v>43</v>
      </c>
      <c r="AM19" s="23" t="s">
        <v>40</v>
      </c>
      <c r="AN19" s="9" t="s">
        <v>100</v>
      </c>
      <c r="AO19" s="9" t="s">
        <v>34</v>
      </c>
      <c r="AP19" s="68" t="s">
        <v>313</v>
      </c>
      <c r="AQ19" s="68" t="s">
        <v>35</v>
      </c>
      <c r="AR19" s="68" t="s">
        <v>35</v>
      </c>
      <c r="AS19" s="68" t="s">
        <v>313</v>
      </c>
      <c r="AT19" s="23" t="s">
        <v>249</v>
      </c>
      <c r="AU19" s="23" t="s">
        <v>626</v>
      </c>
      <c r="AW19" s="23" t="s">
        <v>100</v>
      </c>
      <c r="AX19" s="23" t="s">
        <v>34</v>
      </c>
      <c r="AY19" s="23" t="s">
        <v>313</v>
      </c>
      <c r="AZ19" s="23" t="s">
        <v>313</v>
      </c>
      <c r="BA19" s="70" t="s">
        <v>28</v>
      </c>
      <c r="BB19" s="23" t="s">
        <v>313</v>
      </c>
      <c r="BC19" s="23" t="s">
        <v>313</v>
      </c>
      <c r="BD19" s="68" t="s">
        <v>34</v>
      </c>
      <c r="BE19" s="23" t="s">
        <v>28</v>
      </c>
      <c r="BF19" s="9" t="s">
        <v>28</v>
      </c>
      <c r="BG19" s="23" t="s">
        <v>313</v>
      </c>
      <c r="BH19" s="23" t="s">
        <v>313</v>
      </c>
      <c r="BI19" s="23" t="s">
        <v>28</v>
      </c>
      <c r="BJ19" s="23" t="s">
        <v>313</v>
      </c>
      <c r="BL19" s="23" t="s">
        <v>313</v>
      </c>
      <c r="BM19" s="23" t="s">
        <v>28</v>
      </c>
      <c r="BN19" s="23" t="s">
        <v>34</v>
      </c>
      <c r="BO19" s="70" t="s">
        <v>34</v>
      </c>
      <c r="BP19" s="70" t="s">
        <v>34</v>
      </c>
      <c r="BQ19" s="70" t="s">
        <v>100</v>
      </c>
      <c r="BR19" s="68" t="s">
        <v>35</v>
      </c>
      <c r="BS19" s="68" t="s">
        <v>313</v>
      </c>
      <c r="BT19" s="23" t="s">
        <v>249</v>
      </c>
      <c r="BU19" s="23" t="s">
        <v>626</v>
      </c>
      <c r="BV19" s="23" t="s">
        <v>626</v>
      </c>
      <c r="BW19" s="23" t="s">
        <v>626</v>
      </c>
      <c r="BY19" s="23" t="s">
        <v>313</v>
      </c>
      <c r="BZ19" s="23" t="s">
        <v>28</v>
      </c>
      <c r="CA19" s="23" t="s">
        <v>34</v>
      </c>
      <c r="CB19" s="70" t="s">
        <v>34</v>
      </c>
      <c r="CC19" s="70" t="s">
        <v>34</v>
      </c>
      <c r="CD19" s="70" t="s">
        <v>34</v>
      </c>
      <c r="CE19" s="68" t="s">
        <v>458</v>
      </c>
      <c r="CF19" s="68" t="s">
        <v>35</v>
      </c>
      <c r="CG19" s="47" t="s">
        <v>584</v>
      </c>
      <c r="CH19" s="68" t="s">
        <v>35</v>
      </c>
      <c r="CI19" s="68" t="s">
        <v>313</v>
      </c>
      <c r="CJ19" s="23" t="s">
        <v>249</v>
      </c>
      <c r="CK19" s="23" t="s">
        <v>626</v>
      </c>
      <c r="CL19" s="23" t="s">
        <v>626</v>
      </c>
      <c r="CM19" s="23" t="s">
        <v>626</v>
      </c>
    </row>
    <row r="20" spans="1:91">
      <c r="A20" s="6"/>
      <c r="Y20" s="35"/>
      <c r="AB20" s="35"/>
      <c r="AF20" s="35"/>
      <c r="AG20" s="35"/>
      <c r="AK20" s="35"/>
      <c r="AL20" s="35"/>
      <c r="AM20" s="35"/>
      <c r="AP20" s="35"/>
      <c r="AQ20" s="35"/>
      <c r="AR20" s="35"/>
      <c r="AS20" s="35"/>
      <c r="AT20" s="35"/>
      <c r="AY20" s="35"/>
      <c r="BP20" s="35"/>
      <c r="BR20" s="35"/>
      <c r="BS20" s="35"/>
      <c r="BT20" s="35"/>
      <c r="BU20" s="35"/>
      <c r="BV20" s="35"/>
      <c r="BW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</row>
    <row r="21" spans="1:91">
      <c r="B21" s="13">
        <f ca="1">Endurance!AP21+Systems!D21</f>
        <v>1779.6122642251626</v>
      </c>
      <c r="C21" s="20">
        <f t="shared" ref="C21:C40" ca="1" si="0">M21+AR21+BR21+CH21</f>
        <v>96.606108186222428</v>
      </c>
      <c r="D21" s="13">
        <f t="shared" ref="D21:D40" ca="1" si="1">N21+AU21+BW21+CM21</f>
        <v>3370.8888104096131</v>
      </c>
      <c r="E21" s="13"/>
      <c r="F21" s="20">
        <f ca="1">MAX(Motor!$B$10*$B$6/$B$10,(Endurance!I21+Endurance!P21)*0+IF($F$11=1,IF(ISERROR(BJ21),1,BJ21),0),B21-AS21-BS21-CI21,BH21*0)</f>
        <v>1779.6122642251626</v>
      </c>
      <c r="G21" s="20">
        <f ca="1">IF(Endurance!$B$10=1,$B$9,F21/$B$12)</f>
        <v>94.79125818613187</v>
      </c>
      <c r="H21" s="13">
        <f t="shared" ref="H21:H40" ca="1" si="2">F21/$B$8</f>
        <v>75.08912507279166</v>
      </c>
      <c r="I21" s="81">
        <f t="shared" ref="I21:I40" ca="1" si="3">IF(H21&gt;ROUND(H21,0),ROUND(H21,0)+1,ROUND(H21,0))</f>
        <v>76</v>
      </c>
      <c r="J21" s="14">
        <f t="shared" ref="J21:J40" ca="1" si="4">$B$6*$B$7*I21</f>
        <v>1801.2000000000003</v>
      </c>
      <c r="K21" s="97">
        <f t="shared" ref="K21:K40" ca="1" si="5">$B$9*I21</f>
        <v>95.941131490909072</v>
      </c>
      <c r="L21" s="13">
        <f t="shared" ref="L21:L39" ca="1" si="6">IF($H$15=$F$16,F21,J21)</f>
        <v>1779.6122642251626</v>
      </c>
      <c r="M21" s="13">
        <f t="shared" ref="M21:M39" ca="1" si="7">IF($H$15=$F$16,G21,K21)</f>
        <v>94.79125818613187</v>
      </c>
      <c r="N21" s="13">
        <f t="shared" ref="N21:N40" ca="1" si="8">L21*$B$13</f>
        <v>3213.1888104065438</v>
      </c>
      <c r="P21" s="13">
        <f t="shared" ref="P21:P40" ca="1" si="9">B21</f>
        <v>1779.6122642251626</v>
      </c>
      <c r="Q21" s="13">
        <f ca="1">Endurance!AN21/3600</f>
        <v>5.4416379321456194</v>
      </c>
      <c r="R21" s="13">
        <f t="shared" ref="R21:R40" ca="1" si="10">P21/Q21</f>
        <v>327.03613992992501</v>
      </c>
      <c r="S21" s="13">
        <f t="shared" ref="S21:S40" ca="1" si="11">+R21</f>
        <v>327.03613992992501</v>
      </c>
      <c r="T21" s="13">
        <f t="shared" ref="T21:T40" ca="1" si="12">S21/$Q$6</f>
        <v>344.24856834728951</v>
      </c>
      <c r="U21" s="1">
        <f>0.8*Main!B21</f>
        <v>0.26666666666666661</v>
      </c>
      <c r="V21" s="1">
        <f>0.8*Main!C21</f>
        <v>1.2000000000000002</v>
      </c>
      <c r="W21" s="49">
        <f t="shared" ref="W21:W40" ca="1" si="13">IF(ISERROR(X21),U21*V21,X21)</f>
        <v>0.31999999999999995</v>
      </c>
      <c r="X21" s="1">
        <f t="shared" ref="X21:X40" ca="1" si="14">MAX(0.01,MIN(U21*V21,(W21+0.05*(T21/AA21-1)*W21)))</f>
        <v>0.31999999999999995</v>
      </c>
      <c r="Y21" s="38">
        <f>AF21*$T$6*1</f>
        <v>12.76</v>
      </c>
      <c r="Z21" s="13">
        <f t="shared" ref="Z21:Z40" ca="1" si="15">(W21/(AF21*$T$11))*$T$7*$W$6</f>
        <v>4.2097211784390769</v>
      </c>
      <c r="AA21" s="13">
        <f t="shared" ref="AA21:AA40" ca="1" si="16">Y21*Z21*0+W21*$T$6*$T$7/$T$11*$W$6*1</f>
        <v>53.716042236882615</v>
      </c>
      <c r="AB21" s="38">
        <f t="shared" ref="AB21:AB40" ca="1" si="17">S21*Q21</f>
        <v>1779.6122642251626</v>
      </c>
      <c r="AC21" s="13">
        <f t="shared" ref="AC21:AC40" ca="1" si="18">W21*$T$8/$T$11+$Q$7</f>
        <v>4.2257555999999994</v>
      </c>
      <c r="AD21">
        <f>TRUNC(0.8*Main!B21/$T$9,0)</f>
        <v>2</v>
      </c>
      <c r="AE21">
        <f>TRUNC(0.8*Main!C21/$T$10,0)</f>
        <v>9</v>
      </c>
      <c r="AF21" s="41">
        <f>ROUND($B$6*1.1/$T$6,0)</f>
        <v>22</v>
      </c>
      <c r="AG21" s="129">
        <f t="shared" ref="AG21:AG40" ca="1" si="19">IF(ISERROR(AH21),AD21*AE21/AF21,AH21)</f>
        <v>0.81818181818181823</v>
      </c>
      <c r="AH21" s="38">
        <f t="shared" ref="AH21:AH40" ca="1" si="20">MIN(AD21*AE21/AF21,(AG21+0.05*(T21/AI21-1)*AG21))</f>
        <v>0.81818181818181823</v>
      </c>
      <c r="AI21" s="13">
        <f t="shared" ref="AI21:AI40" ca="1" si="21">AF21*$T$6*AG21*$T$7*$W$6</f>
        <v>47.211365247260126</v>
      </c>
      <c r="AJ21" s="132">
        <f t="shared" ref="AJ21:AJ40" ca="1" si="22">(MIN(TRUNC(AD21*AE21/AF21,0),TRUNC(AG21,0)+1))*1+AG21*0+(MIN(TRUNC(AD21*AE21/AF21,0),ROUND(AG21,0)))*0</f>
        <v>0</v>
      </c>
      <c r="AK21" s="41">
        <f t="shared" ref="AK21:AK40" ca="1" si="23">AF21*ROUND(AG21,0)*0+AF21*AJ21</f>
        <v>0</v>
      </c>
      <c r="AL21" s="38">
        <f t="shared" ref="AL21:AL40" ca="1" si="24">AK21*$T$9*$T$10</f>
        <v>0</v>
      </c>
      <c r="AM21" s="38">
        <f t="shared" ref="AM21:AM40" si="25">AF21*$T$6*1</f>
        <v>12.76</v>
      </c>
      <c r="AN21" s="13">
        <f t="shared" ref="AN21:AN40" ca="1" si="26">AJ21*$T$7*$W$6</f>
        <v>0</v>
      </c>
      <c r="AO21" s="13">
        <f t="shared" ref="AO21:AO40" ca="1" si="27">AM21*AN21*1</f>
        <v>0</v>
      </c>
      <c r="AP21" s="40">
        <f t="shared" ref="AP21:AP40" ca="1" si="28">AO21*$Q$6*Q21</f>
        <v>0</v>
      </c>
      <c r="AQ21" s="38">
        <f t="shared" ref="AQ21:AQ40" ca="1" si="29">AK21*$T$8+$Q$7</f>
        <v>1.8148500000000001</v>
      </c>
      <c r="AR21" s="38">
        <f t="shared" ref="AR21:AR40" ca="1" si="30">IF($F$11=1,IF($R$15=$U$16,AC21,AQ21),0)</f>
        <v>1.8148500000000001</v>
      </c>
      <c r="AS21" s="38">
        <f t="shared" ref="AS21:AS40" ca="1" si="31">IF($F$11=1,IF($R$15=$U$16,AB21,AP21),0)</f>
        <v>0</v>
      </c>
      <c r="AT21" s="38">
        <f t="shared" ref="AT21:AT40" ca="1" si="32">IF(AS21=0,0,AS21/AR21)</f>
        <v>0</v>
      </c>
      <c r="AU21" s="13">
        <f t="shared" ref="AU21:AU40" ca="1" si="33">IF($F$11=1,IF($R$15="A",W21*$T$12+$Q$8,AL21*$T$12+$Q$8),0)</f>
        <v>157.69999999999999</v>
      </c>
      <c r="AW21" s="1">
        <f t="shared" ref="AW21:AW40" ca="1" si="34">IF($R$15=$U$16,AG21*$T$7,AJ21*$T$7)*$W$7</f>
        <v>0</v>
      </c>
      <c r="AX21" s="1">
        <f t="shared" ref="AX21:AX40" ca="1" si="35">AW21*AM21*$Q$6</f>
        <v>0</v>
      </c>
      <c r="AY21" s="38">
        <f ca="1">AX21*(Endurance!G21+Endurance!N21)/3600</f>
        <v>0</v>
      </c>
      <c r="AZ21" s="13">
        <f t="shared" ref="AZ21:AZ40" ca="1" si="36">BB21-AY21</f>
        <v>0</v>
      </c>
      <c r="BA21" s="1">
        <f ca="1">Sun!$BC$21*BE21+Sun!$BC$22*BE21^2+Sun!$BC$23*BE21^3</f>
        <v>0.76901169063723085</v>
      </c>
      <c r="BB21" s="13">
        <f t="shared" ref="BB21:BB40" ca="1" si="37">IF($R$15=$U$16,Y21*AG21*$T$7,AM21*AJ21*$T$7)*BA21*$Q$6</f>
        <v>0</v>
      </c>
      <c r="BC21" s="1">
        <f ca="1">Endurance!I21+Endurance!P21</f>
        <v>1053.1234673480055</v>
      </c>
      <c r="BD21" s="1">
        <f ca="1">Endurance!Y21</f>
        <v>315.6554646244511</v>
      </c>
      <c r="BE21" s="62">
        <f t="shared" ref="BE21:BE40" ca="1" si="38">IF(ISERROR(BF21),1,BF21)</f>
        <v>1</v>
      </c>
      <c r="BF21" s="13" t="e">
        <f t="shared" ref="BF21:BF40" ca="1" si="39">MAX(0.01,BE21+0.005*(BH21/BB21-1)*BE21)</f>
        <v>#DIV/0!</v>
      </c>
      <c r="BG21" s="13">
        <f ca="1">BD21*(BE21-(Endurance!G21+Endurance!N21)/3600)</f>
        <v>-737.08544494296893</v>
      </c>
      <c r="BH21" s="13">
        <f t="shared" ref="BH21:BH40" ca="1" si="40">BC21+BG21</f>
        <v>316.0380224050366</v>
      </c>
      <c r="BI21" s="13" t="e">
        <f ca="1">(-2*Sun!$BC$22+SQRT(4*Sun!$BC$22^2-12*Sun!$BC$23*(Sun!$BC$21-BD21/(AM21*$T$7*IF($R$15=$U$16,AG21,AJ21)*$Q$6))))/(6*Sun!$BC$23)</f>
        <v>#DIV/0!</v>
      </c>
      <c r="BJ21" s="13" t="e">
        <f ca="1">-(AM21*$T$7*IF($R$15=$U$16,AG21,AJ21)*$Q$6*(Sun!$BC$21*BI21+Sun!$BC$22*BI21^2+Sun!$BC$23*BI21^3)-BD21*BI21-BC21)</f>
        <v>#DIV/0!</v>
      </c>
      <c r="BL21" s="13">
        <f t="shared" ref="BL21:BL40" ca="1" si="41">B21</f>
        <v>1779.6122642251626</v>
      </c>
      <c r="BM21" s="13">
        <f ca="1">Endurance!AN21/3600</f>
        <v>5.4416379321456194</v>
      </c>
      <c r="BN21" s="13">
        <f t="shared" ref="BN21:BN40" ca="1" si="42">BL21/BM21</f>
        <v>327.03613992992501</v>
      </c>
      <c r="BO21" s="13">
        <f ca="1">'Propulsion-Cruise'!M21*0+BN21</f>
        <v>327.03613992992501</v>
      </c>
      <c r="BP21" s="38">
        <f t="shared" ref="BP21:BP40" ca="1" si="43">BO21/$AF$6</f>
        <v>408.79517491240625</v>
      </c>
      <c r="BQ21" s="13">
        <f t="shared" ref="BQ21:BQ40" ca="1" si="44">BP21/$Z$6</f>
        <v>20.439758745620313</v>
      </c>
      <c r="BR21" s="38">
        <f>IF($F$11=2,$Z$9+$Q$7,0)*1.05</f>
        <v>0</v>
      </c>
      <c r="BS21" s="38">
        <f>IF($F$11=2,BO21*BM21,0)</f>
        <v>0</v>
      </c>
      <c r="BT21" s="38">
        <f>IF(BS21=0,0,BS21/BR21)</f>
        <v>0</v>
      </c>
      <c r="BU21" s="38">
        <f>IF($F$11=2,$Z$10*$Z$9+$Q$8,0)</f>
        <v>0</v>
      </c>
      <c r="BV21" s="38">
        <f>IF($F$11=2,0,0)</f>
        <v>0</v>
      </c>
      <c r="BW21" s="38">
        <f>IF($F$11=2,BU21+BV21,0)</f>
        <v>0</v>
      </c>
      <c r="BY21" s="13">
        <f t="shared" ref="BY21:BY40" ca="1" si="45">B21</f>
        <v>1779.6122642251626</v>
      </c>
      <c r="BZ21" s="13">
        <f ca="1">Endurance!AN21/3600</f>
        <v>5.4416379321456194</v>
      </c>
      <c r="CA21" s="13">
        <f t="shared" ref="CA21:CA40" ca="1" si="46">BY21/BZ21</f>
        <v>327.03613992992501</v>
      </c>
      <c r="CB21" s="13">
        <f ca="1">'Propulsion-Cruise'!M21*0+CA21</f>
        <v>327.03613992992501</v>
      </c>
      <c r="CC21" s="13">
        <f t="shared" ref="CC21:CC40" ca="1" si="47">CB21/$Q$6</f>
        <v>344.24856834728951</v>
      </c>
      <c r="CD21" s="38">
        <f t="shared" ref="CD21:CD40" ca="1" si="48">CC21/$AF$6</f>
        <v>430.31071043411185</v>
      </c>
      <c r="CE21" s="38">
        <f ca="1">$AC$6*CD21*Endurance!$B$6*3600</f>
        <v>3.0121749730387828</v>
      </c>
      <c r="CF21" s="38">
        <f t="shared" ref="CF21:CF40" ca="1" si="49">CE21*9.81</f>
        <v>29.549436485510462</v>
      </c>
      <c r="CG21" s="38">
        <f t="shared" ref="CG21:CG40" ca="1" si="50">CE21/$AC$9</f>
        <v>3.4424856834728947</v>
      </c>
      <c r="CH21" s="38">
        <f t="shared" ref="CH21:CH40" si="51">IF($F$11=3,CF21+$Q$7+$AF$7,0)*1.05</f>
        <v>0</v>
      </c>
      <c r="CI21" s="38">
        <f>IF($F$11=3,CB21*BZ21,0)</f>
        <v>0</v>
      </c>
      <c r="CJ21" s="38">
        <f>IF(CI21=0,0,CI21/CH21)</f>
        <v>0</v>
      </c>
      <c r="CK21" s="38">
        <f t="shared" ref="CK21:CK40" si="52">IF($F$11=3,$AC$8+$AF$8+$Q$8,0)</f>
        <v>0</v>
      </c>
      <c r="CL21" s="38">
        <f>IF($F$11=3,CG21*$AC$10,0)</f>
        <v>0</v>
      </c>
      <c r="CM21" s="38">
        <f>IF($F$11=3,CK21+CL21,0)</f>
        <v>0</v>
      </c>
    </row>
    <row r="22" spans="1:91">
      <c r="B22" s="13">
        <f ca="1">Endurance!AP22+Systems!D22</f>
        <v>1817.0857290090632</v>
      </c>
      <c r="C22" s="20">
        <f t="shared" ca="1" si="0"/>
        <v>98.602136729572237</v>
      </c>
      <c r="D22" s="13">
        <f t="shared" ca="1" si="1"/>
        <v>3438.5492329366552</v>
      </c>
      <c r="E22" s="13"/>
      <c r="F22" s="20">
        <f ca="1">MAX(Motor!$B$10*$B$6/$B$10,(Endurance!I22+Endurance!P22)*0+IF($F$11=1,IF(ISERROR(BJ22),1,BJ22),0),B22-AS22-BS22-CI22,BH22*0)</f>
        <v>1817.0857290090632</v>
      </c>
      <c r="G22" s="20">
        <f ca="1">IF(Endurance!$B$10=1,$B$9,F22/$B$12)</f>
        <v>96.787286729465293</v>
      </c>
      <c r="H22" s="13">
        <f t="shared" ca="1" si="2"/>
        <v>76.670283924433036</v>
      </c>
      <c r="I22" s="81">
        <f t="shared" ca="1" si="3"/>
        <v>77</v>
      </c>
      <c r="J22" s="14">
        <f t="shared" ca="1" si="4"/>
        <v>1824.9000000000003</v>
      </c>
      <c r="K22" s="97">
        <f t="shared" ca="1" si="5"/>
        <v>97.203514799999979</v>
      </c>
      <c r="L22" s="13">
        <f t="shared" ca="1" si="6"/>
        <v>1817.0857290090632</v>
      </c>
      <c r="M22" s="13">
        <f t="shared" ca="1" si="7"/>
        <v>96.787286729465293</v>
      </c>
      <c r="N22" s="13">
        <f t="shared" ca="1" si="8"/>
        <v>3280.8492329330311</v>
      </c>
      <c r="P22" s="13">
        <f t="shared" ca="1" si="9"/>
        <v>1817.0857290090632</v>
      </c>
      <c r="Q22" s="13">
        <f ca="1">Endurance!AN22/3600</f>
        <v>5.445359487035982</v>
      </c>
      <c r="R22" s="13">
        <f t="shared" ca="1" si="10"/>
        <v>333.69435632947335</v>
      </c>
      <c r="S22" s="13">
        <f t="shared" ca="1" si="11"/>
        <v>333.69435632947335</v>
      </c>
      <c r="T22" s="13">
        <f t="shared" ca="1" si="12"/>
        <v>351.25721718891936</v>
      </c>
      <c r="U22" s="1">
        <f>0.8*Main!B22</f>
        <v>0.26666666666666661</v>
      </c>
      <c r="V22" s="1">
        <f>0.8*Main!C22</f>
        <v>1.2631578947368423</v>
      </c>
      <c r="W22" s="49">
        <f t="shared" ca="1" si="13"/>
        <v>0.33684210526315789</v>
      </c>
      <c r="X22" s="1">
        <f t="shared" ca="1" si="14"/>
        <v>0.33684210526315789</v>
      </c>
      <c r="Y22" s="38">
        <f t="shared" ref="Y22:Y40" si="53">AF22*$T$6*1</f>
        <v>12.76</v>
      </c>
      <c r="Z22" s="13">
        <f t="shared" ca="1" si="15"/>
        <v>4.4312854509885025</v>
      </c>
      <c r="AA22" s="13">
        <f t="shared" ca="1" si="16"/>
        <v>56.543202354613285</v>
      </c>
      <c r="AB22" s="38">
        <f t="shared" ca="1" si="17"/>
        <v>1817.0857290090632</v>
      </c>
      <c r="AC22" s="13">
        <f t="shared" ca="1" si="18"/>
        <v>4.3526453684210527</v>
      </c>
      <c r="AD22">
        <f>TRUNC(0.8*Main!B22/$T$9,0)</f>
        <v>2</v>
      </c>
      <c r="AE22">
        <f>TRUNC(0.8*Main!C22/$T$10,0)</f>
        <v>10</v>
      </c>
      <c r="AF22" s="41">
        <f t="shared" ref="AF22:AF40" si="54">ROUND($B$6*1.1/$T$6,0)</f>
        <v>22</v>
      </c>
      <c r="AG22" s="129">
        <f t="shared" ca="1" si="19"/>
        <v>0.90909090909090906</v>
      </c>
      <c r="AH22" s="38">
        <f t="shared" ca="1" si="20"/>
        <v>0.90909090909090906</v>
      </c>
      <c r="AI22" s="13">
        <f t="shared" ca="1" si="21"/>
        <v>52.457072496955696</v>
      </c>
      <c r="AJ22" s="132">
        <f t="shared" ca="1" si="22"/>
        <v>0</v>
      </c>
      <c r="AK22" s="41">
        <f t="shared" ca="1" si="23"/>
        <v>0</v>
      </c>
      <c r="AL22" s="38">
        <f t="shared" ca="1" si="24"/>
        <v>0</v>
      </c>
      <c r="AM22" s="38">
        <f t="shared" si="25"/>
        <v>12.76</v>
      </c>
      <c r="AN22" s="13">
        <f t="shared" ca="1" si="26"/>
        <v>0</v>
      </c>
      <c r="AO22" s="13">
        <f t="shared" ca="1" si="27"/>
        <v>0</v>
      </c>
      <c r="AP22" s="40">
        <f t="shared" ca="1" si="28"/>
        <v>0</v>
      </c>
      <c r="AQ22" s="38">
        <f t="shared" ca="1" si="29"/>
        <v>1.8148500000000001</v>
      </c>
      <c r="AR22" s="38">
        <f t="shared" ca="1" si="30"/>
        <v>1.8148500000000001</v>
      </c>
      <c r="AS22" s="38">
        <f t="shared" ca="1" si="31"/>
        <v>0</v>
      </c>
      <c r="AT22" s="38">
        <f t="shared" ca="1" si="32"/>
        <v>0</v>
      </c>
      <c r="AU22" s="13">
        <f t="shared" ca="1" si="33"/>
        <v>157.69999999999999</v>
      </c>
      <c r="AW22" s="1">
        <f t="shared" ca="1" si="34"/>
        <v>0</v>
      </c>
      <c r="AX22" s="1">
        <f t="shared" ca="1" si="35"/>
        <v>0</v>
      </c>
      <c r="AY22" s="38">
        <f ca="1">AX22*(Endurance!G22+Endurance!N22)/3600</f>
        <v>0</v>
      </c>
      <c r="AZ22" s="13">
        <f t="shared" ca="1" si="36"/>
        <v>0</v>
      </c>
      <c r="BA22" s="1">
        <f ca="1">Sun!$BC$21*BE22+Sun!$BC$22*BE22^2+Sun!$BC$23*BE22^3</f>
        <v>0.76901169063723085</v>
      </c>
      <c r="BB22" s="13">
        <f t="shared" ca="1" si="37"/>
        <v>0</v>
      </c>
      <c r="BC22" s="1">
        <f ca="1">Endurance!I22+Endurance!P22</f>
        <v>1076.4973984101225</v>
      </c>
      <c r="BD22" s="1">
        <f ca="1">Endurance!Y22</f>
        <v>322.66587883834677</v>
      </c>
      <c r="BE22" s="62">
        <f t="shared" ca="1" si="38"/>
        <v>1</v>
      </c>
      <c r="BF22" s="13" t="e">
        <f t="shared" ca="1" si="39"/>
        <v>#DIV/0!</v>
      </c>
      <c r="BG22" s="13">
        <f ca="1">BD22*(BE22-(Endurance!G22+Endurance!N22)/3600)</f>
        <v>-753.45996727532349</v>
      </c>
      <c r="BH22" s="13">
        <f t="shared" ca="1" si="40"/>
        <v>323.03743113479902</v>
      </c>
      <c r="BI22" s="13" t="e">
        <f ca="1">(-2*Sun!$BC$22+SQRT(4*Sun!$BC$22^2-12*Sun!$BC$23*(Sun!$BC$21-BD22/(AM22*$T$7*IF($R$15=$U$16,AG22,AJ22)*$Q$6))))/(6*Sun!$BC$23)</f>
        <v>#DIV/0!</v>
      </c>
      <c r="BJ22" s="13" t="e">
        <f ca="1">-(AM22*$T$7*IF($R$15=$U$16,AG22,AJ22)*$Q$6*(Sun!$BC$21*BI22+Sun!$BC$22*BI22^2+Sun!$BC$23*BI22^3)-BD22*BI22-BC22)</f>
        <v>#DIV/0!</v>
      </c>
      <c r="BL22" s="13">
        <f t="shared" ca="1" si="41"/>
        <v>1817.0857290090632</v>
      </c>
      <c r="BM22" s="13">
        <f ca="1">Endurance!AN22/3600</f>
        <v>5.445359487035982</v>
      </c>
      <c r="BN22" s="13">
        <f t="shared" ca="1" si="42"/>
        <v>333.69435632947335</v>
      </c>
      <c r="BO22" s="13">
        <f ca="1">'Propulsion-Cruise'!M22*0+BN22</f>
        <v>333.69435632947335</v>
      </c>
      <c r="BP22" s="38">
        <f t="shared" ca="1" si="43"/>
        <v>417.11794541184167</v>
      </c>
      <c r="BQ22" s="13">
        <f t="shared" ca="1" si="44"/>
        <v>20.855897270592084</v>
      </c>
      <c r="BR22" s="38">
        <f t="shared" ref="BR22:BR40" si="55">IF($F$11=2,$Z$9+$Q$7,0)*1.05</f>
        <v>0</v>
      </c>
      <c r="BS22" s="38">
        <f t="shared" ref="BS22:BS40" si="56">IF($F$11=2,BO22*BM22,0)</f>
        <v>0</v>
      </c>
      <c r="BT22" s="38">
        <f t="shared" ref="BT22:BT40" si="57">IF(BS22=0,0,BS22/BR22)</f>
        <v>0</v>
      </c>
      <c r="BU22" s="38">
        <f t="shared" ref="BU22:BU40" si="58">IF($F$11=2,$Z$10*$Z$9+$Q$8,0)</f>
        <v>0</v>
      </c>
      <c r="BV22" s="38">
        <f t="shared" ref="BV22:BV40" si="59">IF($F$11=2,0,0)</f>
        <v>0</v>
      </c>
      <c r="BW22" s="38">
        <f t="shared" ref="BW22:BW40" si="60">IF($F$11=2,BU22+BV22,0)</f>
        <v>0</v>
      </c>
      <c r="BY22" s="13">
        <f t="shared" ca="1" si="45"/>
        <v>1817.0857290090632</v>
      </c>
      <c r="BZ22" s="13">
        <f ca="1">Endurance!AN22/3600</f>
        <v>5.445359487035982</v>
      </c>
      <c r="CA22" s="13">
        <f t="shared" ca="1" si="46"/>
        <v>333.69435632947335</v>
      </c>
      <c r="CB22" s="13">
        <f ca="1">'Propulsion-Cruise'!M22*0+CA22</f>
        <v>333.69435632947335</v>
      </c>
      <c r="CC22" s="13">
        <f t="shared" ca="1" si="47"/>
        <v>351.25721718891936</v>
      </c>
      <c r="CD22" s="38">
        <f t="shared" ca="1" si="48"/>
        <v>439.07152148614915</v>
      </c>
      <c r="CE22" s="38">
        <f ca="1">$AC$6*CD22*Endurance!$B$6*3600</f>
        <v>3.073500650403044</v>
      </c>
      <c r="CF22" s="38">
        <f t="shared" ca="1" si="49"/>
        <v>30.151041380453862</v>
      </c>
      <c r="CG22" s="38">
        <f t="shared" ca="1" si="50"/>
        <v>3.5125721718891931</v>
      </c>
      <c r="CH22" s="38">
        <f t="shared" si="51"/>
        <v>0</v>
      </c>
      <c r="CI22" s="38">
        <f t="shared" ref="CI22:CI40" si="61">IF($F$11=3,CB22*BZ22,0)</f>
        <v>0</v>
      </c>
      <c r="CJ22" s="38">
        <f t="shared" ref="CJ22:CJ40" si="62">IF(CI22=0,0,CI22/CH22)</f>
        <v>0</v>
      </c>
      <c r="CK22" s="38">
        <f t="shared" si="52"/>
        <v>0</v>
      </c>
      <c r="CL22" s="38">
        <f t="shared" ref="CL22:CL40" si="63">IF($F$11=3,CG22*$AC$10,0)</f>
        <v>0</v>
      </c>
      <c r="CM22" s="38">
        <f t="shared" ref="CM22:CM40" si="64">IF($F$11=3,CK22+CL22,0)</f>
        <v>0</v>
      </c>
    </row>
    <row r="23" spans="1:91">
      <c r="B23" s="13">
        <f ca="1">Endurance!AP23+Systems!D23</f>
        <v>1851.8080678928982</v>
      </c>
      <c r="C23" s="20">
        <f t="shared" ca="1" si="0"/>
        <v>100.45162622577277</v>
      </c>
      <c r="D23" s="13">
        <f t="shared" ca="1" si="1"/>
        <v>3501.2423448108202</v>
      </c>
      <c r="E23" s="13"/>
      <c r="F23" s="20">
        <f ca="1">MAX(Motor!$B$10*$B$6/$B$10,(Endurance!I23+Endurance!P23)*0+IF($F$11=1,IF(ISERROR(BJ23),1,BJ23),0),B23-AS23-BS23-CI23,BH23*0)</f>
        <v>1851.8080678928982</v>
      </c>
      <c r="G23" s="20">
        <f ca="1">IF(Endurance!$B$10=1,$B$9,F23/$B$12)</f>
        <v>98.636776225648902</v>
      </c>
      <c r="H23" s="13">
        <f t="shared" ca="1" si="2"/>
        <v>78.135361514468272</v>
      </c>
      <c r="I23" s="81">
        <f t="shared" ca="1" si="3"/>
        <v>79</v>
      </c>
      <c r="J23" s="14">
        <f t="shared" ca="1" si="4"/>
        <v>1872.3000000000002</v>
      </c>
      <c r="K23" s="97">
        <f t="shared" ca="1" si="5"/>
        <v>99.728281418181808</v>
      </c>
      <c r="L23" s="13">
        <f t="shared" ca="1" si="6"/>
        <v>1851.8080678928982</v>
      </c>
      <c r="M23" s="13">
        <f t="shared" ca="1" si="7"/>
        <v>98.636776225648902</v>
      </c>
      <c r="N23" s="13">
        <f t="shared" ca="1" si="8"/>
        <v>3343.5423448066217</v>
      </c>
      <c r="P23" s="13">
        <f t="shared" ca="1" si="9"/>
        <v>1851.8080678928982</v>
      </c>
      <c r="Q23" s="13">
        <f ca="1">Endurance!AN23/3600</f>
        <v>5.4489809432815086</v>
      </c>
      <c r="R23" s="13">
        <f t="shared" ca="1" si="10"/>
        <v>339.84484202980059</v>
      </c>
      <c r="S23" s="13">
        <f t="shared" ca="1" si="11"/>
        <v>339.84484202980059</v>
      </c>
      <c r="T23" s="13">
        <f t="shared" ca="1" si="12"/>
        <v>357.731412662948</v>
      </c>
      <c r="U23" s="1">
        <f>0.8*Main!B23</f>
        <v>0.26666666666666661</v>
      </c>
      <c r="V23" s="1">
        <f>0.8*Main!C23</f>
        <v>1.3263157894736843</v>
      </c>
      <c r="W23" s="49">
        <f t="shared" ca="1" si="13"/>
        <v>0.35368421052631577</v>
      </c>
      <c r="X23" s="1">
        <f t="shared" ca="1" si="14"/>
        <v>0.35368421052631577</v>
      </c>
      <c r="Y23" s="38">
        <f t="shared" si="53"/>
        <v>12.76</v>
      </c>
      <c r="Z23" s="13">
        <f t="shared" ca="1" si="15"/>
        <v>4.6528497235379271</v>
      </c>
      <c r="AA23" s="13">
        <f t="shared" ca="1" si="16"/>
        <v>59.370362472343949</v>
      </c>
      <c r="AB23" s="38">
        <f t="shared" ca="1" si="17"/>
        <v>1851.8080678928982</v>
      </c>
      <c r="AC23" s="13">
        <f t="shared" ca="1" si="18"/>
        <v>4.479535136842105</v>
      </c>
      <c r="AD23">
        <f>TRUNC(0.8*Main!B23/$T$9,0)</f>
        <v>2</v>
      </c>
      <c r="AE23">
        <f>TRUNC(0.8*Main!C23/$T$10,0)</f>
        <v>10</v>
      </c>
      <c r="AF23" s="41">
        <f t="shared" si="54"/>
        <v>22</v>
      </c>
      <c r="AG23" s="129">
        <f t="shared" ca="1" si="19"/>
        <v>0.90909090909090906</v>
      </c>
      <c r="AH23" s="38">
        <f t="shared" ca="1" si="20"/>
        <v>0.90909090909090906</v>
      </c>
      <c r="AI23" s="13">
        <f t="shared" ca="1" si="21"/>
        <v>52.457072496955696</v>
      </c>
      <c r="AJ23" s="132">
        <f t="shared" ca="1" si="22"/>
        <v>0</v>
      </c>
      <c r="AK23" s="41">
        <f t="shared" ca="1" si="23"/>
        <v>0</v>
      </c>
      <c r="AL23" s="38">
        <f t="shared" ca="1" si="24"/>
        <v>0</v>
      </c>
      <c r="AM23" s="38">
        <f t="shared" si="25"/>
        <v>12.76</v>
      </c>
      <c r="AN23" s="13">
        <f t="shared" ca="1" si="26"/>
        <v>0</v>
      </c>
      <c r="AO23" s="13">
        <f t="shared" ca="1" si="27"/>
        <v>0</v>
      </c>
      <c r="AP23" s="40">
        <f t="shared" ca="1" si="28"/>
        <v>0</v>
      </c>
      <c r="AQ23" s="38">
        <f t="shared" ca="1" si="29"/>
        <v>1.8148500000000001</v>
      </c>
      <c r="AR23" s="38">
        <f t="shared" ca="1" si="30"/>
        <v>1.8148500000000001</v>
      </c>
      <c r="AS23" s="38">
        <f t="shared" ca="1" si="31"/>
        <v>0</v>
      </c>
      <c r="AT23" s="38">
        <f t="shared" ca="1" si="32"/>
        <v>0</v>
      </c>
      <c r="AU23" s="13">
        <f t="shared" ca="1" si="33"/>
        <v>157.69999999999999</v>
      </c>
      <c r="AW23" s="1">
        <f t="shared" ca="1" si="34"/>
        <v>0</v>
      </c>
      <c r="AX23" s="1">
        <f t="shared" ca="1" si="35"/>
        <v>0</v>
      </c>
      <c r="AY23" s="38">
        <f ca="1">AX23*(Endurance!G23+Endurance!N23)/3600</f>
        <v>0</v>
      </c>
      <c r="AZ23" s="13">
        <f t="shared" ca="1" si="36"/>
        <v>0</v>
      </c>
      <c r="BA23" s="1">
        <f ca="1">Sun!$BC$21*BE23+Sun!$BC$22*BE23^2+Sun!$BC$23*BE23^3</f>
        <v>0.76901169063723085</v>
      </c>
      <c r="BB23" s="13">
        <f t="shared" ca="1" si="37"/>
        <v>0</v>
      </c>
      <c r="BC23" s="1">
        <f ca="1">Endurance!I23+Endurance!P23</f>
        <v>1098.1554086607164</v>
      </c>
      <c r="BD23" s="1">
        <f ca="1">Endurance!Y23</f>
        <v>329.16165646751301</v>
      </c>
      <c r="BE23" s="62">
        <f t="shared" ca="1" si="38"/>
        <v>1</v>
      </c>
      <c r="BF23" s="13" t="e">
        <f t="shared" ca="1" si="39"/>
        <v>#DIV/0!</v>
      </c>
      <c r="BG23" s="13">
        <f ca="1">BD23*(BE23-(Endurance!G23+Endurance!N23)/3600)</f>
        <v>-768.63260129112189</v>
      </c>
      <c r="BH23" s="13">
        <f t="shared" ca="1" si="40"/>
        <v>329.52280736959449</v>
      </c>
      <c r="BI23" s="13" t="e">
        <f ca="1">(-2*Sun!$BC$22+SQRT(4*Sun!$BC$22^2-12*Sun!$BC$23*(Sun!$BC$21-BD23/(AM23*$T$7*IF($R$15=$U$16,AG23,AJ23)*$Q$6))))/(6*Sun!$BC$23)</f>
        <v>#DIV/0!</v>
      </c>
      <c r="BJ23" s="13" t="e">
        <f ca="1">-(AM23*$T$7*IF($R$15=$U$16,AG23,AJ23)*$Q$6*(Sun!$BC$21*BI23+Sun!$BC$22*BI23^2+Sun!$BC$23*BI23^3)-BD23*BI23-BC23)</f>
        <v>#DIV/0!</v>
      </c>
      <c r="BL23" s="13">
        <f t="shared" ca="1" si="41"/>
        <v>1851.8080678928982</v>
      </c>
      <c r="BM23" s="13">
        <f ca="1">Endurance!AN23/3600</f>
        <v>5.4489809432815086</v>
      </c>
      <c r="BN23" s="13">
        <f t="shared" ca="1" si="42"/>
        <v>339.84484202980059</v>
      </c>
      <c r="BO23" s="13">
        <f ca="1">'Propulsion-Cruise'!M23*0+BN23</f>
        <v>339.84484202980059</v>
      </c>
      <c r="BP23" s="38">
        <f t="shared" ca="1" si="43"/>
        <v>424.80605253725071</v>
      </c>
      <c r="BQ23" s="13">
        <f t="shared" ca="1" si="44"/>
        <v>21.240302626862537</v>
      </c>
      <c r="BR23" s="38">
        <f t="shared" si="55"/>
        <v>0</v>
      </c>
      <c r="BS23" s="38">
        <f t="shared" si="56"/>
        <v>0</v>
      </c>
      <c r="BT23" s="38">
        <f t="shared" si="57"/>
        <v>0</v>
      </c>
      <c r="BU23" s="38">
        <f t="shared" si="58"/>
        <v>0</v>
      </c>
      <c r="BV23" s="38">
        <f t="shared" si="59"/>
        <v>0</v>
      </c>
      <c r="BW23" s="38">
        <f t="shared" si="60"/>
        <v>0</v>
      </c>
      <c r="BY23" s="13">
        <f t="shared" ca="1" si="45"/>
        <v>1851.8080678928982</v>
      </c>
      <c r="BZ23" s="13">
        <f ca="1">Endurance!AN23/3600</f>
        <v>5.4489809432815086</v>
      </c>
      <c r="CA23" s="13">
        <f t="shared" ca="1" si="46"/>
        <v>339.84484202980059</v>
      </c>
      <c r="CB23" s="13">
        <f ca="1">'Propulsion-Cruise'!M23*0+CA23</f>
        <v>339.84484202980059</v>
      </c>
      <c r="CC23" s="13">
        <f t="shared" ca="1" si="47"/>
        <v>357.731412662948</v>
      </c>
      <c r="CD23" s="38">
        <f t="shared" ca="1" si="48"/>
        <v>447.16426582868496</v>
      </c>
      <c r="CE23" s="38">
        <f ca="1">$AC$6*CD23*Endurance!$B$6*3600</f>
        <v>3.1301498608007949</v>
      </c>
      <c r="CF23" s="38">
        <f t="shared" ca="1" si="49"/>
        <v>30.706770134455798</v>
      </c>
      <c r="CG23" s="38">
        <f t="shared" ca="1" si="50"/>
        <v>3.5773141266294801</v>
      </c>
      <c r="CH23" s="38">
        <f t="shared" si="51"/>
        <v>0</v>
      </c>
      <c r="CI23" s="38">
        <f t="shared" si="61"/>
        <v>0</v>
      </c>
      <c r="CJ23" s="38">
        <f t="shared" si="62"/>
        <v>0</v>
      </c>
      <c r="CK23" s="38">
        <f t="shared" si="52"/>
        <v>0</v>
      </c>
      <c r="CL23" s="38">
        <f t="shared" si="63"/>
        <v>0</v>
      </c>
      <c r="CM23" s="38">
        <f t="shared" si="64"/>
        <v>0</v>
      </c>
    </row>
    <row r="24" spans="1:91">
      <c r="B24" s="13">
        <f ca="1">Endurance!AP24+Systems!D24</f>
        <v>1957.4662354326679</v>
      </c>
      <c r="C24" s="20">
        <f t="shared" ca="1" si="0"/>
        <v>92.740930286131501</v>
      </c>
      <c r="D24" s="13">
        <f t="shared" ca="1" si="1"/>
        <v>3515.0796956828235</v>
      </c>
      <c r="E24" s="13"/>
      <c r="F24" s="20">
        <f ca="1">MAX(Motor!$B$10*$B$6/$B$10,(Endurance!I24+Endurance!P24)*0+IF($F$11=1,IF(ISERROR(BJ24),1,BJ24),0),B24-AS24-BS24-CI24,BH24*0)</f>
        <v>1658.4256776060638</v>
      </c>
      <c r="G24" s="20">
        <f ca="1">IF(Endurance!$B$10=1,$B$9,F24/$B$12)</f>
        <v>88.336240285977865</v>
      </c>
      <c r="H24" s="13">
        <f t="shared" ca="1" si="2"/>
        <v>69.975766987597623</v>
      </c>
      <c r="I24" s="81">
        <f t="shared" ca="1" si="3"/>
        <v>70</v>
      </c>
      <c r="J24" s="14">
        <f t="shared" ca="1" si="4"/>
        <v>1659.0000000000002</v>
      </c>
      <c r="K24" s="97">
        <f t="shared" ca="1" si="5"/>
        <v>88.366831636363628</v>
      </c>
      <c r="L24" s="13">
        <f t="shared" ca="1" si="6"/>
        <v>1658.4256776060638</v>
      </c>
      <c r="M24" s="13">
        <f t="shared" ca="1" si="7"/>
        <v>88.336240285977865</v>
      </c>
      <c r="N24" s="13">
        <f t="shared" ca="1" si="8"/>
        <v>2994.379695677615</v>
      </c>
      <c r="P24" s="13">
        <f t="shared" ca="1" si="9"/>
        <v>1957.4662354326679</v>
      </c>
      <c r="Q24" s="13">
        <f ca="1">Endurance!AN24/3600</f>
        <v>5.4551883970995041</v>
      </c>
      <c r="R24" s="13">
        <f t="shared" ca="1" si="10"/>
        <v>358.82651394284431</v>
      </c>
      <c r="S24" s="13">
        <f t="shared" ca="1" si="11"/>
        <v>358.82651394284431</v>
      </c>
      <c r="T24" s="13">
        <f t="shared" ca="1" si="12"/>
        <v>377.71211993983616</v>
      </c>
      <c r="U24" s="1">
        <f>0.8*Main!B24</f>
        <v>0.26666666666666661</v>
      </c>
      <c r="V24" s="1">
        <f>0.8*Main!C24</f>
        <v>1.3894736842105264</v>
      </c>
      <c r="W24" s="49">
        <f t="shared" ca="1" si="13"/>
        <v>0.37052631578947365</v>
      </c>
      <c r="X24" s="1">
        <f t="shared" ca="1" si="14"/>
        <v>0.37052631578947365</v>
      </c>
      <c r="Y24" s="38">
        <f t="shared" si="53"/>
        <v>12.76</v>
      </c>
      <c r="Z24" s="13">
        <f t="shared" ca="1" si="15"/>
        <v>4.8744139960873527</v>
      </c>
      <c r="AA24" s="13">
        <f t="shared" ca="1" si="16"/>
        <v>62.197522590074612</v>
      </c>
      <c r="AB24" s="38">
        <f t="shared" ca="1" si="17"/>
        <v>1957.4662354326676</v>
      </c>
      <c r="AC24" s="13">
        <f t="shared" ca="1" si="18"/>
        <v>4.6064249052631574</v>
      </c>
      <c r="AD24">
        <f>TRUNC(0.8*Main!B24/$T$9,0)</f>
        <v>2</v>
      </c>
      <c r="AE24">
        <f>TRUNC(0.8*Main!C24/$T$10,0)</f>
        <v>11</v>
      </c>
      <c r="AF24" s="41">
        <f t="shared" si="54"/>
        <v>22</v>
      </c>
      <c r="AG24" s="129">
        <f t="shared" ca="1" si="19"/>
        <v>1</v>
      </c>
      <c r="AH24" s="38">
        <f t="shared" ca="1" si="20"/>
        <v>1</v>
      </c>
      <c r="AI24" s="13">
        <f t="shared" ca="1" si="21"/>
        <v>57.70277974665126</v>
      </c>
      <c r="AJ24" s="132">
        <f t="shared" ca="1" si="22"/>
        <v>1</v>
      </c>
      <c r="AK24" s="41">
        <f t="shared" ca="1" si="23"/>
        <v>22</v>
      </c>
      <c r="AL24" s="38">
        <f t="shared" ca="1" si="24"/>
        <v>0.34375</v>
      </c>
      <c r="AM24" s="38">
        <f t="shared" si="25"/>
        <v>12.76</v>
      </c>
      <c r="AN24" s="13">
        <f t="shared" ca="1" si="26"/>
        <v>4.5221614221513526</v>
      </c>
      <c r="AO24" s="13">
        <f t="shared" ca="1" si="27"/>
        <v>57.70277974665126</v>
      </c>
      <c r="AP24" s="40">
        <f t="shared" ca="1" si="28"/>
        <v>299.04055782660419</v>
      </c>
      <c r="AQ24" s="38">
        <f t="shared" ca="1" si="29"/>
        <v>4.4046900000000004</v>
      </c>
      <c r="AR24" s="38">
        <f t="shared" ca="1" si="30"/>
        <v>4.4046900000000004</v>
      </c>
      <c r="AS24" s="38">
        <f t="shared" ca="1" si="31"/>
        <v>299.04055782660419</v>
      </c>
      <c r="AT24" s="38">
        <f t="shared" ca="1" si="32"/>
        <v>67.89139708506255</v>
      </c>
      <c r="AU24" s="13">
        <f t="shared" ca="1" si="33"/>
        <v>520.70000000000005</v>
      </c>
      <c r="AW24" s="1">
        <f t="shared" ca="1" si="34"/>
        <v>4.3171837555041783</v>
      </c>
      <c r="AX24" s="1">
        <f t="shared" ca="1" si="35"/>
        <v>52.332901484221644</v>
      </c>
      <c r="AY24" s="38">
        <f ca="1">AX24*(Endurance!G24+Endurance!N24)/3600</f>
        <v>174.5335073182232</v>
      </c>
      <c r="AZ24" s="13">
        <f t="shared" ca="1" si="36"/>
        <v>-63310260.895657621</v>
      </c>
      <c r="BA24" s="1">
        <f ca="1">Sun!$BC$21*BE24+Sun!$BC$22*BE24^2+Sun!$BC$23*BE24^3</f>
        <v>-886955.23174444004</v>
      </c>
      <c r="BB24" s="13">
        <f t="shared" ca="1" si="37"/>
        <v>-62359693.65139538</v>
      </c>
      <c r="BC24" s="1">
        <f ca="1">Endurance!I24+Endurance!P24</f>
        <v>1164.1033258276846</v>
      </c>
      <c r="BD24" s="1">
        <f ca="1">Endurance!Y24</f>
        <v>348.95680562925759</v>
      </c>
      <c r="BE24" s="62">
        <f t="shared" ca="1" si="38"/>
        <v>462.47420321053323</v>
      </c>
      <c r="BF24" s="13">
        <f t="shared" ca="1" si="39"/>
        <v>460.1558177419758</v>
      </c>
      <c r="BG24" s="13">
        <f ca="1">BD24*(BE24-(Endurance!G24+Endurance!N24)/3600)</f>
        <v>160219.72781461629</v>
      </c>
      <c r="BH24" s="13">
        <f t="shared" ca="1" si="40"/>
        <v>161383.83114044397</v>
      </c>
      <c r="BI24" s="13" t="e">
        <f ca="1">(-2*Sun!$BC$22+SQRT(4*Sun!$BC$22^2-12*Sun!$BC$23*(Sun!$BC$21-BD24/(AM24*$T$7*IF($R$15=$U$16,AG24,AJ24)*$Q$6))))/(6*Sun!$BC$23)</f>
        <v>#NUM!</v>
      </c>
      <c r="BJ24" s="13" t="e">
        <f ca="1">-(AM24*$T$7*IF($R$15=$U$16,AG24,AJ24)*$Q$6*(Sun!$BC$21*BI24+Sun!$BC$22*BI24^2+Sun!$BC$23*BI24^3)-BD24*BI24-BC24)</f>
        <v>#NUM!</v>
      </c>
      <c r="BL24" s="13">
        <f t="shared" ca="1" si="41"/>
        <v>1957.4662354326679</v>
      </c>
      <c r="BM24" s="13">
        <f ca="1">Endurance!AN24/3600</f>
        <v>5.4551883970995041</v>
      </c>
      <c r="BN24" s="13">
        <f t="shared" ca="1" si="42"/>
        <v>358.82651394284431</v>
      </c>
      <c r="BO24" s="13">
        <f ca="1">'Propulsion-Cruise'!M24*0+BN24</f>
        <v>358.82651394284431</v>
      </c>
      <c r="BP24" s="38">
        <f t="shared" ca="1" si="43"/>
        <v>448.53314242855538</v>
      </c>
      <c r="BQ24" s="13">
        <f t="shared" ca="1" si="44"/>
        <v>22.42665712142777</v>
      </c>
      <c r="BR24" s="38">
        <f t="shared" si="55"/>
        <v>0</v>
      </c>
      <c r="BS24" s="38">
        <f t="shared" si="56"/>
        <v>0</v>
      </c>
      <c r="BT24" s="38">
        <f t="shared" si="57"/>
        <v>0</v>
      </c>
      <c r="BU24" s="38">
        <f t="shared" si="58"/>
        <v>0</v>
      </c>
      <c r="BV24" s="38">
        <f t="shared" si="59"/>
        <v>0</v>
      </c>
      <c r="BW24" s="38">
        <f t="shared" si="60"/>
        <v>0</v>
      </c>
      <c r="BY24" s="13">
        <f t="shared" ca="1" si="45"/>
        <v>1957.4662354326679</v>
      </c>
      <c r="BZ24" s="13">
        <f ca="1">Endurance!AN24/3600</f>
        <v>5.4551883970995041</v>
      </c>
      <c r="CA24" s="13">
        <f t="shared" ca="1" si="46"/>
        <v>358.82651394284431</v>
      </c>
      <c r="CB24" s="13">
        <f ca="1">'Propulsion-Cruise'!M24*0+CA24</f>
        <v>358.82651394284431</v>
      </c>
      <c r="CC24" s="13">
        <f t="shared" ca="1" si="47"/>
        <v>377.71211993983616</v>
      </c>
      <c r="CD24" s="38">
        <f t="shared" ca="1" si="48"/>
        <v>472.1401499247952</v>
      </c>
      <c r="CE24" s="38">
        <f ca="1">$AC$6*CD24*Endurance!$B$6*3600</f>
        <v>3.3049810494735663</v>
      </c>
      <c r="CF24" s="38">
        <f t="shared" ca="1" si="49"/>
        <v>32.421864095335685</v>
      </c>
      <c r="CG24" s="38">
        <f t="shared" ca="1" si="50"/>
        <v>3.7771211993983616</v>
      </c>
      <c r="CH24" s="38">
        <f t="shared" si="51"/>
        <v>0</v>
      </c>
      <c r="CI24" s="38">
        <f t="shared" si="61"/>
        <v>0</v>
      </c>
      <c r="CJ24" s="38">
        <f t="shared" si="62"/>
        <v>0</v>
      </c>
      <c r="CK24" s="38">
        <f t="shared" si="52"/>
        <v>0</v>
      </c>
      <c r="CL24" s="38">
        <f t="shared" si="63"/>
        <v>0</v>
      </c>
      <c r="CM24" s="38">
        <f t="shared" si="64"/>
        <v>0</v>
      </c>
    </row>
    <row r="25" spans="1:91">
      <c r="B25" s="13">
        <f ca="1">Endurance!AP25+Systems!D25</f>
        <v>1984.7787413802041</v>
      </c>
      <c r="C25" s="20">
        <f t="shared" ca="1" si="0"/>
        <v>94.185473821233572</v>
      </c>
      <c r="D25" s="13">
        <f t="shared" ca="1" si="1"/>
        <v>3564.0461427155324</v>
      </c>
      <c r="E25" s="13"/>
      <c r="F25" s="20">
        <f ca="1">MAX(Motor!$B$10*$B$6/$B$10,(Endurance!I25+Endurance!P25)*0+IF($F$11=1,IF(ISERROR(BJ25),1,BJ25),0),B25-AS25-BS25-CI25,BH25*0)</f>
        <v>1685.5455559622815</v>
      </c>
      <c r="G25" s="20">
        <f ca="1">IF(Endurance!$B$10=1,$B$9,F25/$B$12)</f>
        <v>89.78078382106078</v>
      </c>
      <c r="H25" s="13">
        <f t="shared" ca="1" si="2"/>
        <v>71.120065652416926</v>
      </c>
      <c r="I25" s="81">
        <f t="shared" ca="1" si="3"/>
        <v>72</v>
      </c>
      <c r="J25" s="14">
        <f t="shared" ca="1" si="4"/>
        <v>1706.4</v>
      </c>
      <c r="K25" s="97">
        <f t="shared" ca="1" si="5"/>
        <v>90.891598254545443</v>
      </c>
      <c r="L25" s="13">
        <f t="shared" ca="1" si="6"/>
        <v>1685.5455559622815</v>
      </c>
      <c r="M25" s="13">
        <f t="shared" ca="1" si="7"/>
        <v>89.78078382106078</v>
      </c>
      <c r="N25" s="13">
        <f t="shared" ca="1" si="8"/>
        <v>3043.346142709675</v>
      </c>
      <c r="P25" s="13">
        <f t="shared" ca="1" si="9"/>
        <v>1984.7787413802041</v>
      </c>
      <c r="Q25" s="13">
        <f ca="1">Endurance!AN25/3600</f>
        <v>5.4587023679427338</v>
      </c>
      <c r="R25" s="13">
        <f t="shared" ca="1" si="10"/>
        <v>363.59900349874249</v>
      </c>
      <c r="S25" s="13">
        <f t="shared" ca="1" si="11"/>
        <v>363.59900349874249</v>
      </c>
      <c r="T25" s="13">
        <f t="shared" ca="1" si="12"/>
        <v>382.73579315657105</v>
      </c>
      <c r="U25" s="1">
        <f>0.8*Main!B25</f>
        <v>0.26666666666666661</v>
      </c>
      <c r="V25" s="1">
        <f>0.8*Main!C25</f>
        <v>1.4526315789473685</v>
      </c>
      <c r="W25" s="49">
        <f t="shared" ca="1" si="13"/>
        <v>0.38736842105263153</v>
      </c>
      <c r="X25" s="1">
        <f t="shared" ca="1" si="14"/>
        <v>0.38736842105263153</v>
      </c>
      <c r="Y25" s="38">
        <f t="shared" si="53"/>
        <v>12.76</v>
      </c>
      <c r="Z25" s="13">
        <f t="shared" ca="1" si="15"/>
        <v>5.0959782686367774</v>
      </c>
      <c r="AA25" s="13">
        <f t="shared" ca="1" si="16"/>
        <v>65.024682707805269</v>
      </c>
      <c r="AB25" s="38">
        <f t="shared" ca="1" si="17"/>
        <v>1984.7787413802039</v>
      </c>
      <c r="AC25" s="13">
        <f t="shared" ca="1" si="18"/>
        <v>4.7333146736842107</v>
      </c>
      <c r="AD25">
        <f>TRUNC(0.8*Main!B25/$T$9,0)</f>
        <v>2</v>
      </c>
      <c r="AE25">
        <f>TRUNC(0.8*Main!C25/$T$10,0)</f>
        <v>11</v>
      </c>
      <c r="AF25" s="41">
        <f t="shared" si="54"/>
        <v>22</v>
      </c>
      <c r="AG25" s="129">
        <f t="shared" ca="1" si="19"/>
        <v>1</v>
      </c>
      <c r="AH25" s="38">
        <f t="shared" ca="1" si="20"/>
        <v>1</v>
      </c>
      <c r="AI25" s="13">
        <f t="shared" ca="1" si="21"/>
        <v>57.70277974665126</v>
      </c>
      <c r="AJ25" s="132">
        <f t="shared" ca="1" si="22"/>
        <v>1</v>
      </c>
      <c r="AK25" s="41">
        <f t="shared" ca="1" si="23"/>
        <v>22</v>
      </c>
      <c r="AL25" s="38">
        <f t="shared" ca="1" si="24"/>
        <v>0.34375</v>
      </c>
      <c r="AM25" s="38">
        <f t="shared" si="25"/>
        <v>12.76</v>
      </c>
      <c r="AN25" s="13">
        <f t="shared" ca="1" si="26"/>
        <v>4.5221614221513526</v>
      </c>
      <c r="AO25" s="13">
        <f t="shared" ca="1" si="27"/>
        <v>57.70277974665126</v>
      </c>
      <c r="AP25" s="40">
        <f t="shared" ca="1" si="28"/>
        <v>299.23318541792707</v>
      </c>
      <c r="AQ25" s="38">
        <f t="shared" ca="1" si="29"/>
        <v>4.4046900000000004</v>
      </c>
      <c r="AR25" s="38">
        <f t="shared" ca="1" si="30"/>
        <v>4.4046900000000004</v>
      </c>
      <c r="AS25" s="38">
        <f t="shared" ca="1" si="31"/>
        <v>299.23318541792707</v>
      </c>
      <c r="AT25" s="38">
        <f t="shared" ca="1" si="32"/>
        <v>67.935129468345565</v>
      </c>
      <c r="AU25" s="13">
        <f t="shared" ca="1" si="33"/>
        <v>520.70000000000005</v>
      </c>
      <c r="AW25" s="1">
        <f t="shared" ca="1" si="34"/>
        <v>4.3171837555041783</v>
      </c>
      <c r="AX25" s="1">
        <f t="shared" ca="1" si="35"/>
        <v>52.332901484221644</v>
      </c>
      <c r="AY25" s="38">
        <f ca="1">AX25*(Endurance!G25+Endurance!N25)/3600</f>
        <v>174.53406836374597</v>
      </c>
      <c r="AZ25" s="13">
        <f t="shared" ca="1" si="36"/>
        <v>-31402534.151236549</v>
      </c>
      <c r="BA25" s="1">
        <f ca="1">Sun!$BC$21*BE25+Sun!$BC$22*BE25^2+Sun!$BC$23*BE25^3</f>
        <v>-439920.71361041086</v>
      </c>
      <c r="BB25" s="13">
        <f t="shared" ca="1" si="37"/>
        <v>-30929769.564235322</v>
      </c>
      <c r="BC25" s="1">
        <f ca="1">Endurance!I25+Endurance!P25</f>
        <v>1181.1391370559936</v>
      </c>
      <c r="BD25" s="1">
        <f ca="1">Endurance!Y25</f>
        <v>354.06619581593304</v>
      </c>
      <c r="BE25" s="62">
        <f t="shared" ca="1" si="38"/>
        <v>366.39877060387334</v>
      </c>
      <c r="BF25" s="13">
        <f t="shared" ca="1" si="39"/>
        <v>364.55905398559929</v>
      </c>
      <c r="BG25" s="13">
        <f ca="1">BD25*(BE25-(Endurance!G25+Endurance!N25)/3600)</f>
        <v>128548.58210325005</v>
      </c>
      <c r="BH25" s="13">
        <f t="shared" ca="1" si="40"/>
        <v>129729.72124030604</v>
      </c>
      <c r="BI25" s="13" t="e">
        <f ca="1">(-2*Sun!$BC$22+SQRT(4*Sun!$BC$22^2-12*Sun!$BC$23*(Sun!$BC$21-BD25/(AM25*$T$7*IF($R$15=$U$16,AG25,AJ25)*$Q$6))))/(6*Sun!$BC$23)</f>
        <v>#NUM!</v>
      </c>
      <c r="BJ25" s="13" t="e">
        <f ca="1">-(AM25*$T$7*IF($R$15=$U$16,AG25,AJ25)*$Q$6*(Sun!$BC$21*BI25+Sun!$BC$22*BI25^2+Sun!$BC$23*BI25^3)-BD25*BI25-BC25)</f>
        <v>#NUM!</v>
      </c>
      <c r="BL25" s="13">
        <f t="shared" ca="1" si="41"/>
        <v>1984.7787413802041</v>
      </c>
      <c r="BM25" s="13">
        <f ca="1">Endurance!AN25/3600</f>
        <v>5.4587023679427338</v>
      </c>
      <c r="BN25" s="13">
        <f t="shared" ca="1" si="42"/>
        <v>363.59900349874249</v>
      </c>
      <c r="BO25" s="13">
        <f ca="1">'Propulsion-Cruise'!M25*0+BN25</f>
        <v>363.59900349874249</v>
      </c>
      <c r="BP25" s="38">
        <f t="shared" ca="1" si="43"/>
        <v>454.49875437342808</v>
      </c>
      <c r="BQ25" s="13">
        <f t="shared" ca="1" si="44"/>
        <v>22.724937718671406</v>
      </c>
      <c r="BR25" s="38">
        <f t="shared" si="55"/>
        <v>0</v>
      </c>
      <c r="BS25" s="38">
        <f t="shared" si="56"/>
        <v>0</v>
      </c>
      <c r="BT25" s="38">
        <f t="shared" si="57"/>
        <v>0</v>
      </c>
      <c r="BU25" s="38">
        <f t="shared" si="58"/>
        <v>0</v>
      </c>
      <c r="BV25" s="38">
        <f t="shared" si="59"/>
        <v>0</v>
      </c>
      <c r="BW25" s="38">
        <f t="shared" si="60"/>
        <v>0</v>
      </c>
      <c r="BY25" s="13">
        <f t="shared" ca="1" si="45"/>
        <v>1984.7787413802041</v>
      </c>
      <c r="BZ25" s="13">
        <f ca="1">Endurance!AN25/3600</f>
        <v>5.4587023679427338</v>
      </c>
      <c r="CA25" s="13">
        <f t="shared" ca="1" si="46"/>
        <v>363.59900349874249</v>
      </c>
      <c r="CB25" s="13">
        <f ca="1">'Propulsion-Cruise'!M25*0+CA25</f>
        <v>363.59900349874249</v>
      </c>
      <c r="CC25" s="13">
        <f t="shared" ca="1" si="47"/>
        <v>382.73579315657105</v>
      </c>
      <c r="CD25" s="38">
        <f t="shared" ca="1" si="48"/>
        <v>478.41974144571378</v>
      </c>
      <c r="CE25" s="38">
        <f ca="1">$AC$6*CD25*Endurance!$B$6*3600</f>
        <v>3.3489381901199966</v>
      </c>
      <c r="CF25" s="38">
        <f t="shared" ca="1" si="49"/>
        <v>32.85308364507717</v>
      </c>
      <c r="CG25" s="38">
        <f t="shared" ca="1" si="50"/>
        <v>3.8273579315657105</v>
      </c>
      <c r="CH25" s="38">
        <f t="shared" si="51"/>
        <v>0</v>
      </c>
      <c r="CI25" s="38">
        <f t="shared" si="61"/>
        <v>0</v>
      </c>
      <c r="CJ25" s="38">
        <f t="shared" si="62"/>
        <v>0</v>
      </c>
      <c r="CK25" s="38">
        <f t="shared" si="52"/>
        <v>0</v>
      </c>
      <c r="CL25" s="38">
        <f t="shared" si="63"/>
        <v>0</v>
      </c>
      <c r="CM25" s="38">
        <f t="shared" si="64"/>
        <v>0</v>
      </c>
    </row>
    <row r="26" spans="1:91">
      <c r="B26" s="13">
        <f ca="1">Endurance!AP26+Systems!D26</f>
        <v>2010.2144968985169</v>
      </c>
      <c r="C26" s="20">
        <f t="shared" ca="1" si="0"/>
        <v>95.530330593260601</v>
      </c>
      <c r="D26" s="13">
        <f t="shared" ca="1" si="1"/>
        <v>3609.6334554505465</v>
      </c>
      <c r="E26" s="13"/>
      <c r="F26" s="20">
        <f ca="1">MAX(Motor!$B$10*$B$6/$B$10,(Endurance!I26+Endurance!P26)*0+IF($F$11=1,IF(ISERROR(BJ26),1,BJ26),0),B26-AS26-BS26-CI26,BH26*0)</f>
        <v>1710.7939137843919</v>
      </c>
      <c r="G26" s="20">
        <f ca="1">IF(Endurance!$B$10=1,$B$9,F26/$B$12)</f>
        <v>91.125640593068667</v>
      </c>
      <c r="H26" s="13">
        <f t="shared" ca="1" si="2"/>
        <v>72.185397206092475</v>
      </c>
      <c r="I26" s="81">
        <f t="shared" ca="1" si="3"/>
        <v>73</v>
      </c>
      <c r="J26" s="14">
        <f t="shared" ca="1" si="4"/>
        <v>1730.1000000000001</v>
      </c>
      <c r="K26" s="97">
        <f t="shared" ca="1" si="5"/>
        <v>92.15398156363635</v>
      </c>
      <c r="L26" s="13">
        <f t="shared" ca="1" si="6"/>
        <v>1710.7939137843919</v>
      </c>
      <c r="M26" s="13">
        <f t="shared" ca="1" si="7"/>
        <v>91.125640593068667</v>
      </c>
      <c r="N26" s="13">
        <f t="shared" ca="1" si="8"/>
        <v>3088.9334554440411</v>
      </c>
      <c r="P26" s="13">
        <f t="shared" ca="1" si="9"/>
        <v>2010.2144968985169</v>
      </c>
      <c r="Q26" s="13">
        <f ca="1">Endurance!AN26/3600</f>
        <v>5.4621209334557843</v>
      </c>
      <c r="R26" s="13">
        <f t="shared" ca="1" si="10"/>
        <v>368.02819296545505</v>
      </c>
      <c r="S26" s="13">
        <f t="shared" ca="1" si="11"/>
        <v>368.02819296545505</v>
      </c>
      <c r="T26" s="13">
        <f t="shared" ca="1" si="12"/>
        <v>387.39809785837377</v>
      </c>
      <c r="U26" s="1">
        <f>0.8*Main!B26</f>
        <v>0.26666666666666661</v>
      </c>
      <c r="V26" s="1">
        <f>0.8*Main!C26</f>
        <v>1.5157894736842108</v>
      </c>
      <c r="W26" s="49">
        <f t="shared" ca="1" si="13"/>
        <v>0.40421052631578946</v>
      </c>
      <c r="X26" s="1">
        <f t="shared" ca="1" si="14"/>
        <v>0.40421052631578946</v>
      </c>
      <c r="Y26" s="38">
        <f t="shared" si="53"/>
        <v>12.76</v>
      </c>
      <c r="Z26" s="13">
        <f t="shared" ca="1" si="15"/>
        <v>5.317542541186203</v>
      </c>
      <c r="AA26" s="13">
        <f t="shared" ca="1" si="16"/>
        <v>67.85184282553594</v>
      </c>
      <c r="AB26" s="38">
        <f t="shared" ca="1" si="17"/>
        <v>2010.2144968985169</v>
      </c>
      <c r="AC26" s="13">
        <f t="shared" ca="1" si="18"/>
        <v>4.860204442105263</v>
      </c>
      <c r="AD26">
        <f>TRUNC(0.8*Main!B26/$T$9,0)</f>
        <v>2</v>
      </c>
      <c r="AE26">
        <f>TRUNC(0.8*Main!C26/$T$10,0)</f>
        <v>12</v>
      </c>
      <c r="AF26" s="41">
        <f t="shared" si="54"/>
        <v>22</v>
      </c>
      <c r="AG26" s="129">
        <f t="shared" ca="1" si="19"/>
        <v>1.0909090909090908</v>
      </c>
      <c r="AH26" s="38">
        <f t="shared" ca="1" si="20"/>
        <v>1.0909090909090908</v>
      </c>
      <c r="AI26" s="13">
        <f t="shared" ca="1" si="21"/>
        <v>62.948486996346823</v>
      </c>
      <c r="AJ26" s="132">
        <f t="shared" ca="1" si="22"/>
        <v>1</v>
      </c>
      <c r="AK26" s="41">
        <f t="shared" ca="1" si="23"/>
        <v>22</v>
      </c>
      <c r="AL26" s="38">
        <f t="shared" ca="1" si="24"/>
        <v>0.34375</v>
      </c>
      <c r="AM26" s="38">
        <f t="shared" si="25"/>
        <v>12.76</v>
      </c>
      <c r="AN26" s="13">
        <f t="shared" ca="1" si="26"/>
        <v>4.5221614221513526</v>
      </c>
      <c r="AO26" s="13">
        <f t="shared" ca="1" si="27"/>
        <v>57.70277974665126</v>
      </c>
      <c r="AP26" s="40">
        <f t="shared" ca="1" si="28"/>
        <v>299.42058311413365</v>
      </c>
      <c r="AQ26" s="38">
        <f t="shared" ca="1" si="29"/>
        <v>4.4046900000000004</v>
      </c>
      <c r="AR26" s="38">
        <f t="shared" ca="1" si="30"/>
        <v>4.4046900000000004</v>
      </c>
      <c r="AS26" s="38">
        <f t="shared" ca="1" si="31"/>
        <v>299.42058311413365</v>
      </c>
      <c r="AT26" s="38">
        <f t="shared" ca="1" si="32"/>
        <v>67.97767450470603</v>
      </c>
      <c r="AU26" s="13">
        <f t="shared" ca="1" si="33"/>
        <v>520.70000000000005</v>
      </c>
      <c r="AW26" s="1">
        <f t="shared" ca="1" si="34"/>
        <v>4.3171837555041783</v>
      </c>
      <c r="AX26" s="1">
        <f t="shared" ca="1" si="35"/>
        <v>52.332901484221644</v>
      </c>
      <c r="AY26" s="38">
        <f ca="1">AX26*(Endurance!G26+Endurance!N26)/3600</f>
        <v>174.53459342395081</v>
      </c>
      <c r="AZ26" s="13">
        <f t="shared" ca="1" si="36"/>
        <v>-26822728.727329716</v>
      </c>
      <c r="BA26" s="1">
        <f ca="1">Sun!$BC$21*BE26+Sun!$BC$22*BE26^2+Sun!$BC$23*BE26^3</f>
        <v>-375757.0790548306</v>
      </c>
      <c r="BB26" s="13">
        <f t="shared" ca="1" si="37"/>
        <v>-26418578.411355406</v>
      </c>
      <c r="BC26" s="1">
        <f ca="1">Endurance!I26+Endurance!P26</f>
        <v>1197.0041794396429</v>
      </c>
      <c r="BD26" s="1">
        <f ca="1">Endurance!Y26</f>
        <v>358.8244444906889</v>
      </c>
      <c r="BE26" s="62">
        <f t="shared" ca="1" si="38"/>
        <v>347.72017445038296</v>
      </c>
      <c r="BF26" s="13">
        <f t="shared" ca="1" si="39"/>
        <v>345.97332098273273</v>
      </c>
      <c r="BG26" s="13">
        <f ca="1">BD26*(BE26-(Endurance!G26+Endurance!N26)/3600)</f>
        <v>123573.78897050403</v>
      </c>
      <c r="BH26" s="13">
        <f t="shared" ca="1" si="40"/>
        <v>124770.79314994367</v>
      </c>
      <c r="BI26" s="13" t="e">
        <f ca="1">(-2*Sun!$BC$22+SQRT(4*Sun!$BC$22^2-12*Sun!$BC$23*(Sun!$BC$21-BD26/(AM26*$T$7*IF($R$15=$U$16,AG26,AJ26)*$Q$6))))/(6*Sun!$BC$23)</f>
        <v>#NUM!</v>
      </c>
      <c r="BJ26" s="13" t="e">
        <f ca="1">-(AM26*$T$7*IF($R$15=$U$16,AG26,AJ26)*$Q$6*(Sun!$BC$21*BI26+Sun!$BC$22*BI26^2+Sun!$BC$23*BI26^3)-BD26*BI26-BC26)</f>
        <v>#NUM!</v>
      </c>
      <c r="BL26" s="13">
        <f t="shared" ca="1" si="41"/>
        <v>2010.2144968985169</v>
      </c>
      <c r="BM26" s="13">
        <f ca="1">Endurance!AN26/3600</f>
        <v>5.4621209334557843</v>
      </c>
      <c r="BN26" s="13">
        <f t="shared" ca="1" si="42"/>
        <v>368.02819296545505</v>
      </c>
      <c r="BO26" s="13">
        <f ca="1">'Propulsion-Cruise'!M26*0+BN26</f>
        <v>368.02819296545505</v>
      </c>
      <c r="BP26" s="38">
        <f t="shared" ca="1" si="43"/>
        <v>460.0352412068188</v>
      </c>
      <c r="BQ26" s="13">
        <f t="shared" ca="1" si="44"/>
        <v>23.001762060340941</v>
      </c>
      <c r="BR26" s="38">
        <f t="shared" si="55"/>
        <v>0</v>
      </c>
      <c r="BS26" s="38">
        <f t="shared" si="56"/>
        <v>0</v>
      </c>
      <c r="BT26" s="38">
        <f t="shared" si="57"/>
        <v>0</v>
      </c>
      <c r="BU26" s="38">
        <f t="shared" si="58"/>
        <v>0</v>
      </c>
      <c r="BV26" s="38">
        <f t="shared" si="59"/>
        <v>0</v>
      </c>
      <c r="BW26" s="38">
        <f t="shared" si="60"/>
        <v>0</v>
      </c>
      <c r="BY26" s="13">
        <f t="shared" ca="1" si="45"/>
        <v>2010.2144968985169</v>
      </c>
      <c r="BZ26" s="13">
        <f ca="1">Endurance!AN26/3600</f>
        <v>5.4621209334557843</v>
      </c>
      <c r="CA26" s="13">
        <f t="shared" ca="1" si="46"/>
        <v>368.02819296545505</v>
      </c>
      <c r="CB26" s="13">
        <f ca="1">'Propulsion-Cruise'!M26*0+CA26</f>
        <v>368.02819296545505</v>
      </c>
      <c r="CC26" s="13">
        <f t="shared" ca="1" si="47"/>
        <v>387.39809785837377</v>
      </c>
      <c r="CD26" s="38">
        <f t="shared" ca="1" si="48"/>
        <v>484.24762232296717</v>
      </c>
      <c r="CE26" s="38">
        <f ca="1">$AC$6*CD26*Endurance!$B$6*3600</f>
        <v>3.3897333562607699</v>
      </c>
      <c r="CF26" s="38">
        <f t="shared" ca="1" si="49"/>
        <v>33.253284224918154</v>
      </c>
      <c r="CG26" s="38">
        <f t="shared" ca="1" si="50"/>
        <v>3.8739809785837371</v>
      </c>
      <c r="CH26" s="38">
        <f t="shared" si="51"/>
        <v>0</v>
      </c>
      <c r="CI26" s="38">
        <f t="shared" si="61"/>
        <v>0</v>
      </c>
      <c r="CJ26" s="38">
        <f t="shared" si="62"/>
        <v>0</v>
      </c>
      <c r="CK26" s="38">
        <f t="shared" si="52"/>
        <v>0</v>
      </c>
      <c r="CL26" s="38">
        <f t="shared" si="63"/>
        <v>0</v>
      </c>
      <c r="CM26" s="38">
        <f t="shared" si="64"/>
        <v>0</v>
      </c>
    </row>
    <row r="27" spans="1:91">
      <c r="B27" s="13">
        <f ca="1">Endurance!AP27+Systems!D27</f>
        <v>2033.9449808159848</v>
      </c>
      <c r="C27" s="20">
        <f t="shared" ca="1" si="0"/>
        <v>96.784625845849192</v>
      </c>
      <c r="D27" s="13">
        <f t="shared" ca="1" si="1"/>
        <v>3652.1509570396684</v>
      </c>
      <c r="E27" s="13"/>
      <c r="F27" s="20">
        <f ca="1">MAX(Motor!$B$10*$B$6/$B$10,(Endurance!I27+Endurance!P27)*0+IF($F$11=1,IF(ISERROR(BJ27),1,BJ27),0),B27-AS27-BS27-CI27,BH27*0)</f>
        <v>1734.3420685103595</v>
      </c>
      <c r="G27" s="20">
        <f ca="1">IF(Endurance!$B$10=1,$B$9,F27/$B$12)</f>
        <v>92.379935845640475</v>
      </c>
      <c r="H27" s="13">
        <f t="shared" ca="1" si="2"/>
        <v>73.178990232504617</v>
      </c>
      <c r="I27" s="81">
        <f t="shared" ca="1" si="3"/>
        <v>74</v>
      </c>
      <c r="J27" s="14">
        <f t="shared" ca="1" si="4"/>
        <v>1753.8000000000002</v>
      </c>
      <c r="K27" s="97">
        <f t="shared" ca="1" si="5"/>
        <v>93.416364872727257</v>
      </c>
      <c r="L27" s="13">
        <f t="shared" ca="1" si="6"/>
        <v>1734.3420685103595</v>
      </c>
      <c r="M27" s="13">
        <f t="shared" ca="1" si="7"/>
        <v>92.379935845640475</v>
      </c>
      <c r="N27" s="13">
        <f t="shared" ca="1" si="8"/>
        <v>3131.4509570325936</v>
      </c>
      <c r="P27" s="13">
        <f t="shared" ca="1" si="9"/>
        <v>2033.9449808159848</v>
      </c>
      <c r="Q27" s="13">
        <f ca="1">Endurance!AN27/3600</f>
        <v>5.4654470377714315</v>
      </c>
      <c r="R27" s="13">
        <f t="shared" ca="1" si="10"/>
        <v>372.1461331085074</v>
      </c>
      <c r="S27" s="13">
        <f t="shared" ca="1" si="11"/>
        <v>372.1461331085074</v>
      </c>
      <c r="T27" s="13">
        <f t="shared" ca="1" si="12"/>
        <v>391.73277169316572</v>
      </c>
      <c r="U27" s="1">
        <f>0.8*Main!B27</f>
        <v>0.26666666666666661</v>
      </c>
      <c r="V27" s="1">
        <f>0.8*Main!C27</f>
        <v>1.5789473684210529</v>
      </c>
      <c r="W27" s="49">
        <f t="shared" ca="1" si="13"/>
        <v>0.42105263157894735</v>
      </c>
      <c r="X27" s="1">
        <f t="shared" ca="1" si="14"/>
        <v>0.42105263157894735</v>
      </c>
      <c r="Y27" s="38">
        <f t="shared" si="53"/>
        <v>12.76</v>
      </c>
      <c r="Z27" s="13">
        <f t="shared" ca="1" si="15"/>
        <v>5.5391068137356276</v>
      </c>
      <c r="AA27" s="13">
        <f t="shared" ca="1" si="16"/>
        <v>70.679002943266596</v>
      </c>
      <c r="AB27" s="38">
        <f t="shared" ca="1" si="17"/>
        <v>2033.9449808159845</v>
      </c>
      <c r="AC27" s="13">
        <f t="shared" ca="1" si="18"/>
        <v>4.9870942105263154</v>
      </c>
      <c r="AD27">
        <f>TRUNC(0.8*Main!B27/$T$9,0)</f>
        <v>2</v>
      </c>
      <c r="AE27">
        <f>TRUNC(0.8*Main!C27/$T$10,0)</f>
        <v>12</v>
      </c>
      <c r="AF27" s="41">
        <f t="shared" si="54"/>
        <v>22</v>
      </c>
      <c r="AG27" s="129">
        <f t="shared" ca="1" si="19"/>
        <v>1.0909090909090908</v>
      </c>
      <c r="AH27" s="38">
        <f t="shared" ca="1" si="20"/>
        <v>1.0909090909090908</v>
      </c>
      <c r="AI27" s="13">
        <f t="shared" ca="1" si="21"/>
        <v>62.948486996346823</v>
      </c>
      <c r="AJ27" s="132">
        <f t="shared" ca="1" si="22"/>
        <v>1</v>
      </c>
      <c r="AK27" s="41">
        <f t="shared" ca="1" si="23"/>
        <v>22</v>
      </c>
      <c r="AL27" s="38">
        <f t="shared" ca="1" si="24"/>
        <v>0.34375</v>
      </c>
      <c r="AM27" s="38">
        <f t="shared" si="25"/>
        <v>12.76</v>
      </c>
      <c r="AN27" s="13">
        <f t="shared" ca="1" si="26"/>
        <v>4.5221614221513526</v>
      </c>
      <c r="AO27" s="13">
        <f t="shared" ca="1" si="27"/>
        <v>57.70277974665126</v>
      </c>
      <c r="AP27" s="40">
        <f t="shared" ca="1" si="28"/>
        <v>299.60291230563683</v>
      </c>
      <c r="AQ27" s="38">
        <f t="shared" ca="1" si="29"/>
        <v>4.4046900000000004</v>
      </c>
      <c r="AR27" s="38">
        <f t="shared" ca="1" si="30"/>
        <v>4.4046900000000004</v>
      </c>
      <c r="AS27" s="38">
        <f t="shared" ca="1" si="31"/>
        <v>299.60291230563683</v>
      </c>
      <c r="AT27" s="38">
        <f t="shared" ca="1" si="32"/>
        <v>68.019068834727719</v>
      </c>
      <c r="AU27" s="13">
        <f t="shared" ca="1" si="33"/>
        <v>520.70000000000005</v>
      </c>
      <c r="AW27" s="1">
        <f t="shared" ca="1" si="34"/>
        <v>4.3171837555041783</v>
      </c>
      <c r="AX27" s="1">
        <f t="shared" ca="1" si="35"/>
        <v>52.332901484221644</v>
      </c>
      <c r="AY27" s="38">
        <f ca="1">AX27*(Endurance!G27+Endurance!N27)/3600</f>
        <v>174.53508648152282</v>
      </c>
      <c r="AZ27" s="13">
        <f t="shared" ca="1" si="36"/>
        <v>-172.66053185357887</v>
      </c>
      <c r="BA27" s="1">
        <f ca="1">Sun!$BC$21*BE27+Sun!$BC$22*BE27^2+Sun!$BC$23*BE27^3</f>
        <v>2.7479885402465168E-2</v>
      </c>
      <c r="BB27" s="13">
        <f t="shared" ca="1" si="37"/>
        <v>1.9320447909223599</v>
      </c>
      <c r="BC27" s="1">
        <f ca="1">Endurance!I27+Endurance!P27</f>
        <v>1211.8054077506938</v>
      </c>
      <c r="BD27" s="1">
        <f ca="1">Endurance!Y27</f>
        <v>363.26362742813512</v>
      </c>
      <c r="BE27" s="62">
        <f t="shared" ca="1" si="38"/>
        <v>3.8169907336325852E-2</v>
      </c>
      <c r="BF27" s="13">
        <f t="shared" ca="1" si="39"/>
        <v>3.9336476892772199E-2</v>
      </c>
      <c r="BG27" s="13">
        <f ca="1">BD27*(BE27-(Endurance!G27+Endurance!N27)/3600)</f>
        <v>-1197.65219390122</v>
      </c>
      <c r="BH27" s="13">
        <f t="shared" ca="1" si="40"/>
        <v>14.153213849473786</v>
      </c>
      <c r="BI27" s="13" t="e">
        <f ca="1">(-2*Sun!$BC$22+SQRT(4*Sun!$BC$22^2-12*Sun!$BC$23*(Sun!$BC$21-BD27/(AM27*$T$7*IF($R$15=$U$16,AG27,AJ27)*$Q$6))))/(6*Sun!$BC$23)</f>
        <v>#NUM!</v>
      </c>
      <c r="BJ27" s="13" t="e">
        <f ca="1">-(AM27*$T$7*IF($R$15=$U$16,AG27,AJ27)*$Q$6*(Sun!$BC$21*BI27+Sun!$BC$22*BI27^2+Sun!$BC$23*BI27^3)-BD27*BI27-BC27)</f>
        <v>#NUM!</v>
      </c>
      <c r="BL27" s="13">
        <f t="shared" ca="1" si="41"/>
        <v>2033.9449808159848</v>
      </c>
      <c r="BM27" s="13">
        <f ca="1">Endurance!AN27/3600</f>
        <v>5.4654470377714315</v>
      </c>
      <c r="BN27" s="13">
        <f t="shared" ca="1" si="42"/>
        <v>372.1461331085074</v>
      </c>
      <c r="BO27" s="13">
        <f ca="1">'Propulsion-Cruise'!M27*0+BN27</f>
        <v>372.1461331085074</v>
      </c>
      <c r="BP27" s="38">
        <f t="shared" ca="1" si="43"/>
        <v>465.18266638563421</v>
      </c>
      <c r="BQ27" s="13">
        <f t="shared" ca="1" si="44"/>
        <v>23.259133319281709</v>
      </c>
      <c r="BR27" s="38">
        <f t="shared" si="55"/>
        <v>0</v>
      </c>
      <c r="BS27" s="38">
        <f t="shared" si="56"/>
        <v>0</v>
      </c>
      <c r="BT27" s="38">
        <f t="shared" si="57"/>
        <v>0</v>
      </c>
      <c r="BU27" s="38">
        <f t="shared" si="58"/>
        <v>0</v>
      </c>
      <c r="BV27" s="38">
        <f t="shared" si="59"/>
        <v>0</v>
      </c>
      <c r="BW27" s="38">
        <f t="shared" si="60"/>
        <v>0</v>
      </c>
      <c r="BY27" s="13">
        <f t="shared" ca="1" si="45"/>
        <v>2033.9449808159848</v>
      </c>
      <c r="BZ27" s="13">
        <f ca="1">Endurance!AN27/3600</f>
        <v>5.4654470377714315</v>
      </c>
      <c r="CA27" s="13">
        <f t="shared" ca="1" si="46"/>
        <v>372.1461331085074</v>
      </c>
      <c r="CB27" s="13">
        <f ca="1">'Propulsion-Cruise'!M27*0+CA27</f>
        <v>372.1461331085074</v>
      </c>
      <c r="CC27" s="13">
        <f t="shared" ca="1" si="47"/>
        <v>391.73277169316572</v>
      </c>
      <c r="CD27" s="38">
        <f t="shared" ca="1" si="48"/>
        <v>489.66596461645713</v>
      </c>
      <c r="CE27" s="38">
        <f ca="1">$AC$6*CD27*Endurance!$B$6*3600</f>
        <v>3.4276617523151995</v>
      </c>
      <c r="CF27" s="38">
        <f t="shared" ca="1" si="49"/>
        <v>33.625361790212111</v>
      </c>
      <c r="CG27" s="38">
        <f t="shared" ca="1" si="50"/>
        <v>3.9173277169316565</v>
      </c>
      <c r="CH27" s="38">
        <f t="shared" si="51"/>
        <v>0</v>
      </c>
      <c r="CI27" s="38">
        <f t="shared" si="61"/>
        <v>0</v>
      </c>
      <c r="CJ27" s="38">
        <f t="shared" si="62"/>
        <v>0</v>
      </c>
      <c r="CK27" s="38">
        <f t="shared" si="52"/>
        <v>0</v>
      </c>
      <c r="CL27" s="38">
        <f t="shared" si="63"/>
        <v>0</v>
      </c>
      <c r="CM27" s="38">
        <f t="shared" si="64"/>
        <v>0</v>
      </c>
    </row>
    <row r="28" spans="1:91">
      <c r="B28" s="13">
        <f ca="1">Endurance!AP28+Systems!D28</f>
        <v>2044.56050083644</v>
      </c>
      <c r="C28" s="20">
        <f t="shared" ca="1" si="0"/>
        <v>97.340040589559038</v>
      </c>
      <c r="D28" s="13">
        <f t="shared" ca="1" si="1"/>
        <v>3670.9781408303825</v>
      </c>
      <c r="E28" s="13"/>
      <c r="F28" s="20">
        <f ca="1">MAX(Motor!$B$10*$B$6/$B$10,(Endurance!I28+Endurance!P28)*0+IF($F$11=1,IF(ISERROR(BJ28),1,BJ28),0),B28-AS28-BS28-CI28,BH28*0)</f>
        <v>1744.7694318285294</v>
      </c>
      <c r="G28" s="20">
        <f ca="1">IF(Endurance!$B$10=1,$B$9,F28/$B$12)</f>
        <v>92.935350588707323</v>
      </c>
      <c r="H28" s="13">
        <f t="shared" ca="1" si="2"/>
        <v>73.61896336829237</v>
      </c>
      <c r="I28" s="81">
        <f t="shared" ca="1" si="3"/>
        <v>74</v>
      </c>
      <c r="J28" s="14">
        <f t="shared" ca="1" si="4"/>
        <v>1753.8000000000002</v>
      </c>
      <c r="K28" s="97">
        <f t="shared" ca="1" si="5"/>
        <v>93.416364872727257</v>
      </c>
      <c r="L28" s="13">
        <f t="shared" ca="1" si="6"/>
        <v>1744.7694318285294</v>
      </c>
      <c r="M28" s="13">
        <f t="shared" ca="1" si="7"/>
        <v>92.935350588707323</v>
      </c>
      <c r="N28" s="13">
        <f t="shared" ca="1" si="8"/>
        <v>3150.2781408015112</v>
      </c>
      <c r="P28" s="13">
        <f t="shared" ca="1" si="9"/>
        <v>2044.56050083644</v>
      </c>
      <c r="Q28" s="13">
        <f ca="1">Endurance!AN28/3600</f>
        <v>5.4688794493035262</v>
      </c>
      <c r="R28" s="13">
        <f t="shared" ca="1" si="10"/>
        <v>373.853642192976</v>
      </c>
      <c r="S28" s="13">
        <f t="shared" ca="1" si="11"/>
        <v>373.853642192976</v>
      </c>
      <c r="T28" s="13">
        <f t="shared" ca="1" si="12"/>
        <v>393.53014967681685</v>
      </c>
      <c r="U28" s="1">
        <f>0.8*Main!B28</f>
        <v>0.26666666666666661</v>
      </c>
      <c r="V28" s="1">
        <f>0.8*Main!C28</f>
        <v>1.642105263157895</v>
      </c>
      <c r="W28" s="49">
        <f t="shared" ca="1" si="13"/>
        <v>0.43789473684210523</v>
      </c>
      <c r="X28" s="1">
        <f t="shared" ca="1" si="14"/>
        <v>0.43789473684210523</v>
      </c>
      <c r="Y28" s="38">
        <f t="shared" si="53"/>
        <v>12.76</v>
      </c>
      <c r="Z28" s="13">
        <f t="shared" ca="1" si="15"/>
        <v>5.7606710862850523</v>
      </c>
      <c r="AA28" s="13">
        <f t="shared" ca="1" si="16"/>
        <v>73.506163060997267</v>
      </c>
      <c r="AB28" s="38">
        <f t="shared" ca="1" si="17"/>
        <v>2044.56050083644</v>
      </c>
      <c r="AC28" s="13">
        <f t="shared" ca="1" si="18"/>
        <v>5.1139839789473687</v>
      </c>
      <c r="AD28">
        <f>TRUNC(0.8*Main!B28/$T$9,0)</f>
        <v>2</v>
      </c>
      <c r="AE28">
        <f>TRUNC(0.8*Main!C28/$T$10,0)</f>
        <v>13</v>
      </c>
      <c r="AF28" s="41">
        <f t="shared" si="54"/>
        <v>22</v>
      </c>
      <c r="AG28" s="129">
        <f t="shared" ca="1" si="19"/>
        <v>1.1818181818181819</v>
      </c>
      <c r="AH28" s="38">
        <f t="shared" ca="1" si="20"/>
        <v>1.1818181818181819</v>
      </c>
      <c r="AI28" s="13">
        <f t="shared" ca="1" si="21"/>
        <v>68.1941942460424</v>
      </c>
      <c r="AJ28" s="132">
        <f t="shared" ca="1" si="22"/>
        <v>1</v>
      </c>
      <c r="AK28" s="41">
        <f t="shared" ca="1" si="23"/>
        <v>22</v>
      </c>
      <c r="AL28" s="38">
        <f t="shared" ca="1" si="24"/>
        <v>0.34375</v>
      </c>
      <c r="AM28" s="38">
        <f t="shared" si="25"/>
        <v>12.76</v>
      </c>
      <c r="AN28" s="13">
        <f t="shared" ca="1" si="26"/>
        <v>4.5221614221513526</v>
      </c>
      <c r="AO28" s="13">
        <f t="shared" ca="1" si="27"/>
        <v>57.70277974665126</v>
      </c>
      <c r="AP28" s="40">
        <f t="shared" ca="1" si="28"/>
        <v>299.79106900794136</v>
      </c>
      <c r="AQ28" s="38">
        <f t="shared" ca="1" si="29"/>
        <v>4.4046900000000004</v>
      </c>
      <c r="AR28" s="38">
        <f t="shared" ca="1" si="30"/>
        <v>4.4046900000000004</v>
      </c>
      <c r="AS28" s="38">
        <f t="shared" ca="1" si="31"/>
        <v>299.79106900794136</v>
      </c>
      <c r="AT28" s="38">
        <f t="shared" ca="1" si="32"/>
        <v>68.061786188799061</v>
      </c>
      <c r="AU28" s="13">
        <f t="shared" ca="1" si="33"/>
        <v>520.70000000000005</v>
      </c>
      <c r="AW28" s="1">
        <f t="shared" ca="1" si="34"/>
        <v>4.3171837555041783</v>
      </c>
      <c r="AX28" s="1">
        <f t="shared" ca="1" si="35"/>
        <v>52.332901484221644</v>
      </c>
      <c r="AY28" s="38">
        <f ca="1">AX28*(Endurance!G28+Endurance!N28)/3600</f>
        <v>174.53530959880837</v>
      </c>
      <c r="AZ28" s="13">
        <f t="shared" ca="1" si="36"/>
        <v>-13742.073825842454</v>
      </c>
      <c r="BA28" s="1">
        <f ca="1">Sun!$BC$21*BE28+Sun!$BC$22*BE28^2+Sun!$BC$23*BE28^3</f>
        <v>-187.13327074200774</v>
      </c>
      <c r="BB28" s="13">
        <f t="shared" ca="1" si="37"/>
        <v>-13156.891146020782</v>
      </c>
      <c r="BC28" s="1">
        <f ca="1">Endurance!I28+Endurance!P28</f>
        <v>1228.0584755998814</v>
      </c>
      <c r="BD28" s="1">
        <f ca="1">Endurance!Y28</f>
        <v>360.4199528016544</v>
      </c>
      <c r="BE28" s="62">
        <f t="shared" ca="1" si="38"/>
        <v>29.832347848530191</v>
      </c>
      <c r="BF28" s="13">
        <f t="shared" ca="1" si="39"/>
        <v>29.559879444486107</v>
      </c>
      <c r="BG28" s="13">
        <f ca="1">BD28*(BE28-(Endurance!G28+Endurance!N28)/3600)</f>
        <v>9550.1378529729209</v>
      </c>
      <c r="BH28" s="13">
        <f t="shared" ca="1" si="40"/>
        <v>10778.196328572802</v>
      </c>
      <c r="BI28" s="13" t="e">
        <f ca="1">(-2*Sun!$BC$22+SQRT(4*Sun!$BC$22^2-12*Sun!$BC$23*(Sun!$BC$21-BD28/(AM28*$T$7*IF($R$15=$U$16,AG28,AJ28)*$Q$6))))/(6*Sun!$BC$23)</f>
        <v>#NUM!</v>
      </c>
      <c r="BJ28" s="13" t="e">
        <f ca="1">-(AM28*$T$7*IF($R$15=$U$16,AG28,AJ28)*$Q$6*(Sun!$BC$21*BI28+Sun!$BC$22*BI28^2+Sun!$BC$23*BI28^3)-BD28*BI28-BC28)</f>
        <v>#NUM!</v>
      </c>
      <c r="BL28" s="13">
        <f t="shared" ca="1" si="41"/>
        <v>2044.56050083644</v>
      </c>
      <c r="BM28" s="13">
        <f ca="1">Endurance!AN28/3600</f>
        <v>5.4688794493035262</v>
      </c>
      <c r="BN28" s="13">
        <f t="shared" ca="1" si="42"/>
        <v>373.853642192976</v>
      </c>
      <c r="BO28" s="13">
        <f ca="1">'Propulsion-Cruise'!M28*0+BN28</f>
        <v>373.853642192976</v>
      </c>
      <c r="BP28" s="38">
        <f t="shared" ca="1" si="43"/>
        <v>467.31705274121998</v>
      </c>
      <c r="BQ28" s="13">
        <f t="shared" ca="1" si="44"/>
        <v>23.365852637061</v>
      </c>
      <c r="BR28" s="38">
        <f t="shared" si="55"/>
        <v>0</v>
      </c>
      <c r="BS28" s="38">
        <f t="shared" si="56"/>
        <v>0</v>
      </c>
      <c r="BT28" s="38">
        <f t="shared" si="57"/>
        <v>0</v>
      </c>
      <c r="BU28" s="38">
        <f t="shared" si="58"/>
        <v>0</v>
      </c>
      <c r="BV28" s="38">
        <f t="shared" si="59"/>
        <v>0</v>
      </c>
      <c r="BW28" s="38">
        <f t="shared" si="60"/>
        <v>0</v>
      </c>
      <c r="BY28" s="13">
        <f t="shared" ca="1" si="45"/>
        <v>2044.56050083644</v>
      </c>
      <c r="BZ28" s="13">
        <f ca="1">Endurance!AN28/3600</f>
        <v>5.4688794493035262</v>
      </c>
      <c r="CA28" s="13">
        <f t="shared" ca="1" si="46"/>
        <v>373.853642192976</v>
      </c>
      <c r="CB28" s="13">
        <f ca="1">'Propulsion-Cruise'!M28*0+CA28</f>
        <v>373.853642192976</v>
      </c>
      <c r="CC28" s="13">
        <f t="shared" ca="1" si="47"/>
        <v>393.53014967681685</v>
      </c>
      <c r="CD28" s="38">
        <f t="shared" ca="1" si="48"/>
        <v>491.91268709602105</v>
      </c>
      <c r="CE28" s="38">
        <f ca="1">$AC$6*CD28*Endurance!$B$6*3600</f>
        <v>3.4433888096721472</v>
      </c>
      <c r="CF28" s="38">
        <f t="shared" ca="1" si="49"/>
        <v>33.779644222883768</v>
      </c>
      <c r="CG28" s="38">
        <f t="shared" ca="1" si="50"/>
        <v>3.9353014967681683</v>
      </c>
      <c r="CH28" s="38">
        <f t="shared" si="51"/>
        <v>0</v>
      </c>
      <c r="CI28" s="38">
        <f t="shared" si="61"/>
        <v>0</v>
      </c>
      <c r="CJ28" s="38">
        <f t="shared" si="62"/>
        <v>0</v>
      </c>
      <c r="CK28" s="38">
        <f t="shared" si="52"/>
        <v>0</v>
      </c>
      <c r="CL28" s="38">
        <f t="shared" si="63"/>
        <v>0</v>
      </c>
      <c r="CM28" s="38">
        <f t="shared" si="64"/>
        <v>0</v>
      </c>
    </row>
    <row r="29" spans="1:91">
      <c r="B29" s="13">
        <f ca="1">Endurance!AP29+Systems!D29</f>
        <v>2033.5984817261026</v>
      </c>
      <c r="C29" s="20">
        <f t="shared" ca="1" si="0"/>
        <v>96.745337600002586</v>
      </c>
      <c r="D29" s="13">
        <f t="shared" ca="1" si="1"/>
        <v>3650.8191828407553</v>
      </c>
      <c r="E29" s="13"/>
      <c r="F29" s="20">
        <f ca="1">MAX(Motor!$B$10*$B$6/$B$10,(Endurance!I29+Endurance!P29)*0+IF($F$11=1,IF(ISERROR(BJ29),1,BJ29),0),B29-AS29-BS29-CI29,BH29*0)</f>
        <v>1733.6044704799842</v>
      </c>
      <c r="G29" s="20">
        <f ca="1">IF(Endurance!$B$10=1,$B$9,F29/$B$12)</f>
        <v>92.340647599127223</v>
      </c>
      <c r="H29" s="13">
        <f t="shared" ca="1" si="2"/>
        <v>73.147867952741947</v>
      </c>
      <c r="I29" s="81">
        <f t="shared" ca="1" si="3"/>
        <v>74</v>
      </c>
      <c r="J29" s="14">
        <f t="shared" ca="1" si="4"/>
        <v>1753.8000000000002</v>
      </c>
      <c r="K29" s="97">
        <f t="shared" ca="1" si="5"/>
        <v>93.416364872727257</v>
      </c>
      <c r="L29" s="13">
        <f t="shared" ca="1" si="6"/>
        <v>1733.6044704799842</v>
      </c>
      <c r="M29" s="13">
        <f t="shared" ca="1" si="7"/>
        <v>92.340647599127223</v>
      </c>
      <c r="N29" s="13">
        <f t="shared" ca="1" si="8"/>
        <v>3130.1191828110827</v>
      </c>
      <c r="P29" s="13">
        <f t="shared" ca="1" si="9"/>
        <v>2033.5984817261026</v>
      </c>
      <c r="Q29" s="13">
        <f ca="1">Endurance!AN29/3600</f>
        <v>5.4725815830584814</v>
      </c>
      <c r="R29" s="13">
        <f t="shared" ca="1" si="10"/>
        <v>371.59765475612664</v>
      </c>
      <c r="S29" s="13">
        <f t="shared" ca="1" si="11"/>
        <v>371.59765475612664</v>
      </c>
      <c r="T29" s="13">
        <f t="shared" ca="1" si="12"/>
        <v>391.1554260590807</v>
      </c>
      <c r="U29" s="1">
        <f>0.8*Main!B29</f>
        <v>0.26666666666666661</v>
      </c>
      <c r="V29" s="1">
        <f>0.8*Main!C29</f>
        <v>1.705263157894737</v>
      </c>
      <c r="W29" s="49">
        <f t="shared" ca="1" si="13"/>
        <v>0.45473684210526311</v>
      </c>
      <c r="X29" s="1">
        <f t="shared" ca="1" si="14"/>
        <v>0.45473684210526311</v>
      </c>
      <c r="Y29" s="38">
        <f t="shared" si="53"/>
        <v>12.76</v>
      </c>
      <c r="Z29" s="13">
        <f t="shared" ca="1" si="15"/>
        <v>5.982235358834477</v>
      </c>
      <c r="AA29" s="13">
        <f t="shared" ca="1" si="16"/>
        <v>76.333323178727923</v>
      </c>
      <c r="AB29" s="38">
        <f t="shared" ca="1" si="17"/>
        <v>2033.5984817261026</v>
      </c>
      <c r="AC29" s="13">
        <f t="shared" ca="1" si="18"/>
        <v>5.240873747368421</v>
      </c>
      <c r="AD29">
        <f>TRUNC(0.8*Main!B29/$T$9,0)</f>
        <v>2</v>
      </c>
      <c r="AE29">
        <f>TRUNC(0.8*Main!C29/$T$10,0)</f>
        <v>13</v>
      </c>
      <c r="AF29" s="41">
        <f t="shared" si="54"/>
        <v>22</v>
      </c>
      <c r="AG29" s="129">
        <f t="shared" ca="1" si="19"/>
        <v>1.1818181818181819</v>
      </c>
      <c r="AH29" s="38">
        <f t="shared" ca="1" si="20"/>
        <v>1.1818181818181819</v>
      </c>
      <c r="AI29" s="13">
        <f t="shared" ca="1" si="21"/>
        <v>68.1941942460424</v>
      </c>
      <c r="AJ29" s="132">
        <f t="shared" ca="1" si="22"/>
        <v>1</v>
      </c>
      <c r="AK29" s="41">
        <f t="shared" ca="1" si="23"/>
        <v>22</v>
      </c>
      <c r="AL29" s="38">
        <f t="shared" ca="1" si="24"/>
        <v>0.34375</v>
      </c>
      <c r="AM29" s="38">
        <f t="shared" si="25"/>
        <v>12.76</v>
      </c>
      <c r="AN29" s="13">
        <f t="shared" ca="1" si="26"/>
        <v>4.5221614221513526</v>
      </c>
      <c r="AO29" s="13">
        <f t="shared" ca="1" si="27"/>
        <v>57.70277974665126</v>
      </c>
      <c r="AP29" s="40">
        <f t="shared" ca="1" si="28"/>
        <v>299.99401124616344</v>
      </c>
      <c r="AQ29" s="38">
        <f t="shared" ca="1" si="29"/>
        <v>4.4046900000000004</v>
      </c>
      <c r="AR29" s="38">
        <f t="shared" ca="1" si="30"/>
        <v>4.4046900000000004</v>
      </c>
      <c r="AS29" s="38">
        <f t="shared" ca="1" si="31"/>
        <v>299.99401124616344</v>
      </c>
      <c r="AT29" s="38">
        <f t="shared" ca="1" si="32"/>
        <v>68.107860313929791</v>
      </c>
      <c r="AU29" s="13">
        <f t="shared" ca="1" si="33"/>
        <v>520.70000000000005</v>
      </c>
      <c r="AW29" s="1">
        <f t="shared" ca="1" si="34"/>
        <v>4.3171837555041783</v>
      </c>
      <c r="AX29" s="1">
        <f t="shared" ca="1" si="35"/>
        <v>52.332901484221644</v>
      </c>
      <c r="AY29" s="38">
        <f ca="1">AX29*(Endurance!G29+Endurance!N29)/3600</f>
        <v>174.53508913639484</v>
      </c>
      <c r="AZ29" s="13">
        <f t="shared" ca="1" si="36"/>
        <v>-67.265815388310543</v>
      </c>
      <c r="BA29" s="1">
        <f ca="1">Sun!$BC$21*BE29+Sun!$BC$22*BE29^2+Sun!$BC$23*BE29^3</f>
        <v>1.5734027570151714</v>
      </c>
      <c r="BB29" s="13">
        <f t="shared" ca="1" si="37"/>
        <v>110.62217167911984</v>
      </c>
      <c r="BC29" s="1">
        <f ca="1">Endurance!I29+Endurance!P29</f>
        <v>1247.2235519964593</v>
      </c>
      <c r="BD29" s="1">
        <f ca="1">Endurance!Y29</f>
        <v>345.33165113358046</v>
      </c>
      <c r="BE29" s="62">
        <f t="shared" ca="1" si="38"/>
        <v>2.0806100581427507</v>
      </c>
      <c r="BF29" s="13">
        <f t="shared" ca="1" si="39"/>
        <v>2.1447287284021828</v>
      </c>
      <c r="BG29" s="13">
        <f ca="1">BD29*(BE29-(Endurance!G29+Endurance!N29)/3600)</f>
        <v>-433.2126374318961</v>
      </c>
      <c r="BH29" s="13">
        <f t="shared" ca="1" si="40"/>
        <v>814.01091456456311</v>
      </c>
      <c r="BI29" s="13" t="e">
        <f ca="1">(-2*Sun!$BC$22+SQRT(4*Sun!$BC$22^2-12*Sun!$BC$23*(Sun!$BC$21-BD29/(AM29*$T$7*IF($R$15=$U$16,AG29,AJ29)*$Q$6))))/(6*Sun!$BC$23)</f>
        <v>#NUM!</v>
      </c>
      <c r="BJ29" s="13" t="e">
        <f ca="1">-(AM29*$T$7*IF($R$15=$U$16,AG29,AJ29)*$Q$6*(Sun!$BC$21*BI29+Sun!$BC$22*BI29^2+Sun!$BC$23*BI29^3)-BD29*BI29-BC29)</f>
        <v>#NUM!</v>
      </c>
      <c r="BL29" s="13">
        <f t="shared" ca="1" si="41"/>
        <v>2033.5984817261026</v>
      </c>
      <c r="BM29" s="13">
        <f ca="1">Endurance!AN29/3600</f>
        <v>5.4725815830584814</v>
      </c>
      <c r="BN29" s="13">
        <f t="shared" ca="1" si="42"/>
        <v>371.59765475612664</v>
      </c>
      <c r="BO29" s="13">
        <f ca="1">'Propulsion-Cruise'!M29*0+BN29</f>
        <v>371.59765475612664</v>
      </c>
      <c r="BP29" s="38">
        <f t="shared" ca="1" si="43"/>
        <v>464.49706844515828</v>
      </c>
      <c r="BQ29" s="13">
        <f t="shared" ca="1" si="44"/>
        <v>23.224853422257915</v>
      </c>
      <c r="BR29" s="38">
        <f t="shared" si="55"/>
        <v>0</v>
      </c>
      <c r="BS29" s="38">
        <f t="shared" si="56"/>
        <v>0</v>
      </c>
      <c r="BT29" s="38">
        <f t="shared" si="57"/>
        <v>0</v>
      </c>
      <c r="BU29" s="38">
        <f t="shared" si="58"/>
        <v>0</v>
      </c>
      <c r="BV29" s="38">
        <f t="shared" si="59"/>
        <v>0</v>
      </c>
      <c r="BW29" s="38">
        <f t="shared" si="60"/>
        <v>0</v>
      </c>
      <c r="BY29" s="13">
        <f t="shared" ca="1" si="45"/>
        <v>2033.5984817261026</v>
      </c>
      <c r="BZ29" s="13">
        <f ca="1">Endurance!AN29/3600</f>
        <v>5.4725815830584814</v>
      </c>
      <c r="CA29" s="13">
        <f t="shared" ca="1" si="46"/>
        <v>371.59765475612664</v>
      </c>
      <c r="CB29" s="13">
        <f ca="1">'Propulsion-Cruise'!M29*0+CA29</f>
        <v>371.59765475612664</v>
      </c>
      <c r="CC29" s="13">
        <f t="shared" ca="1" si="47"/>
        <v>391.1554260590807</v>
      </c>
      <c r="CD29" s="38">
        <f t="shared" ca="1" si="48"/>
        <v>488.94428257385084</v>
      </c>
      <c r="CE29" s="38">
        <f ca="1">$AC$6*CD29*Endurance!$B$6*3600</f>
        <v>3.4226099780169559</v>
      </c>
      <c r="CF29" s="38">
        <f t="shared" ca="1" si="49"/>
        <v>33.575803884346335</v>
      </c>
      <c r="CG29" s="38">
        <f t="shared" ca="1" si="50"/>
        <v>3.9115542605908069</v>
      </c>
      <c r="CH29" s="38">
        <f t="shared" si="51"/>
        <v>0</v>
      </c>
      <c r="CI29" s="38">
        <f t="shared" si="61"/>
        <v>0</v>
      </c>
      <c r="CJ29" s="38">
        <f t="shared" si="62"/>
        <v>0</v>
      </c>
      <c r="CK29" s="38">
        <f t="shared" si="52"/>
        <v>0</v>
      </c>
      <c r="CL29" s="38">
        <f t="shared" si="63"/>
        <v>0</v>
      </c>
      <c r="CM29" s="38">
        <f t="shared" si="64"/>
        <v>0</v>
      </c>
    </row>
    <row r="30" spans="1:91">
      <c r="B30" s="13">
        <f ca="1">Endurance!AP30+Systems!D30</f>
        <v>2023.8892936383534</v>
      </c>
      <c r="C30" s="20">
        <f t="shared" ca="1" si="0"/>
        <v>96.217684131280151</v>
      </c>
      <c r="D30" s="13">
        <f t="shared" ca="1" si="1"/>
        <v>3632.9330374945048</v>
      </c>
      <c r="E30" s="13"/>
      <c r="F30" s="20">
        <f ca="1">MAX(Motor!$B$10*$B$6/$B$10,(Endurance!I30+Endurance!P30)*0+IF($F$11=1,IF(ISERROR(BJ30),1,BJ30),0),B30-AS30-BS30-CI30,BH30*0)</f>
        <v>1723.6982976724057</v>
      </c>
      <c r="G30" s="20">
        <f ca="1">IF(Endurance!$B$10=1,$B$9,F30/$B$12)</f>
        <v>91.812994130382179</v>
      </c>
      <c r="H30" s="13">
        <f t="shared" ca="1" si="2"/>
        <v>72.729885977738633</v>
      </c>
      <c r="I30" s="81">
        <f t="shared" ca="1" si="3"/>
        <v>73</v>
      </c>
      <c r="J30" s="14">
        <f t="shared" ca="1" si="4"/>
        <v>1730.1000000000001</v>
      </c>
      <c r="K30" s="97">
        <f t="shared" ca="1" si="5"/>
        <v>92.15398156363635</v>
      </c>
      <c r="L30" s="13">
        <f t="shared" ca="1" si="6"/>
        <v>1723.6982976724057</v>
      </c>
      <c r="M30" s="13">
        <f t="shared" ca="1" si="7"/>
        <v>91.812994130382179</v>
      </c>
      <c r="N30" s="13">
        <f t="shared" ca="1" si="8"/>
        <v>3112.233037464066</v>
      </c>
      <c r="P30" s="13">
        <f t="shared" ca="1" si="9"/>
        <v>2023.8892936383534</v>
      </c>
      <c r="Q30" s="13">
        <f ca="1">Endurance!AN30/3600</f>
        <v>5.4761750379593801</v>
      </c>
      <c r="R30" s="13">
        <f t="shared" ca="1" si="10"/>
        <v>369.58082596142276</v>
      </c>
      <c r="S30" s="13">
        <f t="shared" ca="1" si="11"/>
        <v>369.58082596142276</v>
      </c>
      <c r="T30" s="13">
        <f t="shared" ca="1" si="12"/>
        <v>389.03244838044503</v>
      </c>
      <c r="U30" s="1">
        <f>0.8*Main!B30</f>
        <v>0.26666666666666661</v>
      </c>
      <c r="V30" s="1">
        <f>0.8*Main!C30</f>
        <v>1.7684210526315791</v>
      </c>
      <c r="W30" s="49">
        <f t="shared" ca="1" si="13"/>
        <v>0.47157894736842099</v>
      </c>
      <c r="X30" s="1">
        <f t="shared" ca="1" si="14"/>
        <v>0.47157894736842099</v>
      </c>
      <c r="Y30" s="38">
        <f t="shared" si="53"/>
        <v>12.76</v>
      </c>
      <c r="Z30" s="13">
        <f t="shared" ca="1" si="15"/>
        <v>6.2037996313839026</v>
      </c>
      <c r="AA30" s="13">
        <f t="shared" ca="1" si="16"/>
        <v>79.160483296458594</v>
      </c>
      <c r="AB30" s="38">
        <f t="shared" ca="1" si="17"/>
        <v>2023.8892936383534</v>
      </c>
      <c r="AC30" s="13">
        <f t="shared" ca="1" si="18"/>
        <v>5.3677635157894734</v>
      </c>
      <c r="AD30">
        <f>TRUNC(0.8*Main!B30/$T$9,0)</f>
        <v>2</v>
      </c>
      <c r="AE30">
        <f>TRUNC(0.8*Main!C30/$T$10,0)</f>
        <v>14</v>
      </c>
      <c r="AF30" s="41">
        <f t="shared" si="54"/>
        <v>22</v>
      </c>
      <c r="AG30" s="129">
        <f t="shared" ca="1" si="19"/>
        <v>1.2727272727272727</v>
      </c>
      <c r="AH30" s="38">
        <f t="shared" ca="1" si="20"/>
        <v>1.2727272727272727</v>
      </c>
      <c r="AI30" s="13">
        <f t="shared" ca="1" si="21"/>
        <v>73.439901495737956</v>
      </c>
      <c r="AJ30" s="132">
        <f t="shared" ca="1" si="22"/>
        <v>1</v>
      </c>
      <c r="AK30" s="41">
        <f t="shared" ca="1" si="23"/>
        <v>22</v>
      </c>
      <c r="AL30" s="38">
        <f t="shared" ca="1" si="24"/>
        <v>0.34375</v>
      </c>
      <c r="AM30" s="38">
        <f t="shared" si="25"/>
        <v>12.76</v>
      </c>
      <c r="AN30" s="13">
        <f t="shared" ca="1" si="26"/>
        <v>4.5221614221513526</v>
      </c>
      <c r="AO30" s="13">
        <f t="shared" ca="1" si="27"/>
        <v>57.70277974665126</v>
      </c>
      <c r="AP30" s="40">
        <f t="shared" ca="1" si="28"/>
        <v>300.19099596600569</v>
      </c>
      <c r="AQ30" s="38">
        <f t="shared" ca="1" si="29"/>
        <v>4.4046900000000004</v>
      </c>
      <c r="AR30" s="38">
        <f t="shared" ca="1" si="30"/>
        <v>4.4046900000000004</v>
      </c>
      <c r="AS30" s="38">
        <f t="shared" ca="1" si="31"/>
        <v>300.19099596600569</v>
      </c>
      <c r="AT30" s="38">
        <f t="shared" ca="1" si="32"/>
        <v>68.152581899294987</v>
      </c>
      <c r="AU30" s="13">
        <f t="shared" ca="1" si="33"/>
        <v>520.70000000000005</v>
      </c>
      <c r="AW30" s="1">
        <f t="shared" ca="1" si="34"/>
        <v>4.3171837555041783</v>
      </c>
      <c r="AX30" s="1">
        <f t="shared" ca="1" si="35"/>
        <v>52.332901484221644</v>
      </c>
      <c r="AY30" s="38">
        <f ca="1">AX30*(Endurance!G30+Endurance!N30)/3600</f>
        <v>174.53490269811118</v>
      </c>
      <c r="AZ30" s="13">
        <f t="shared" ca="1" si="36"/>
        <v>-377.4919394188546</v>
      </c>
      <c r="BA30" s="1">
        <f ca="1">Sun!$BC$21*BE30+Sun!$BC$22*BE30^2+Sun!$BC$23*BE30^3</f>
        <v>-64.810890376280298</v>
      </c>
      <c r="BB30" s="13">
        <f t="shared" ca="1" si="37"/>
        <v>-4556.6981562193641</v>
      </c>
      <c r="BC30" s="1">
        <f ca="1">Endurance!I30+Endurance!P30</f>
        <v>1264.5303373689148</v>
      </c>
      <c r="BD30" s="1">
        <f ca="1">Endurance!Y30</f>
        <v>331.80086591452948</v>
      </c>
      <c r="BE30" s="62">
        <f t="shared" ca="1" si="38"/>
        <v>19.865574467824835</v>
      </c>
      <c r="BF30" s="13">
        <f t="shared" ca="1" si="39"/>
        <v>19.600843685321752</v>
      </c>
      <c r="BG30" s="13">
        <f ca="1">BD30*(BE30-(Endurance!G30+Endurance!N30)/3600)</f>
        <v>5484.8292741573723</v>
      </c>
      <c r="BH30" s="13">
        <f t="shared" ca="1" si="40"/>
        <v>6749.3596115262872</v>
      </c>
      <c r="BI30" s="13" t="e">
        <f ca="1">(-2*Sun!$BC$22+SQRT(4*Sun!$BC$22^2-12*Sun!$BC$23*(Sun!$BC$21-BD30/(AM30*$T$7*IF($R$15=$U$16,AG30,AJ30)*$Q$6))))/(6*Sun!$BC$23)</f>
        <v>#NUM!</v>
      </c>
      <c r="BJ30" s="13" t="e">
        <f ca="1">-(AM30*$T$7*IF($R$15=$U$16,AG30,AJ30)*$Q$6*(Sun!$BC$21*BI30+Sun!$BC$22*BI30^2+Sun!$BC$23*BI30^3)-BD30*BI30-BC30)</f>
        <v>#NUM!</v>
      </c>
      <c r="BL30" s="13">
        <f t="shared" ca="1" si="41"/>
        <v>2023.8892936383534</v>
      </c>
      <c r="BM30" s="13">
        <f ca="1">Endurance!AN30/3600</f>
        <v>5.4761750379593801</v>
      </c>
      <c r="BN30" s="13">
        <f t="shared" ca="1" si="42"/>
        <v>369.58082596142276</v>
      </c>
      <c r="BO30" s="13">
        <f ca="1">'Propulsion-Cruise'!M30*0+BN30</f>
        <v>369.58082596142276</v>
      </c>
      <c r="BP30" s="38">
        <f t="shared" ca="1" si="43"/>
        <v>461.97603245177845</v>
      </c>
      <c r="BQ30" s="13">
        <f t="shared" ca="1" si="44"/>
        <v>23.098801622588923</v>
      </c>
      <c r="BR30" s="38">
        <f t="shared" si="55"/>
        <v>0</v>
      </c>
      <c r="BS30" s="38">
        <f t="shared" si="56"/>
        <v>0</v>
      </c>
      <c r="BT30" s="38">
        <f t="shared" si="57"/>
        <v>0</v>
      </c>
      <c r="BU30" s="38">
        <f t="shared" si="58"/>
        <v>0</v>
      </c>
      <c r="BV30" s="38">
        <f t="shared" si="59"/>
        <v>0</v>
      </c>
      <c r="BW30" s="38">
        <f t="shared" si="60"/>
        <v>0</v>
      </c>
      <c r="BY30" s="13">
        <f t="shared" ca="1" si="45"/>
        <v>2023.8892936383534</v>
      </c>
      <c r="BZ30" s="13">
        <f ca="1">Endurance!AN30/3600</f>
        <v>5.4761750379593801</v>
      </c>
      <c r="CA30" s="13">
        <f t="shared" ca="1" si="46"/>
        <v>369.58082596142276</v>
      </c>
      <c r="CB30" s="13">
        <f ca="1">'Propulsion-Cruise'!M30*0+CA30</f>
        <v>369.58082596142276</v>
      </c>
      <c r="CC30" s="13">
        <f t="shared" ca="1" si="47"/>
        <v>389.03244838044503</v>
      </c>
      <c r="CD30" s="38">
        <f t="shared" ca="1" si="48"/>
        <v>486.29056047555628</v>
      </c>
      <c r="CE30" s="38">
        <f ca="1">$AC$6*CD30*Endurance!$B$6*3600</f>
        <v>3.4040339233288939</v>
      </c>
      <c r="CF30" s="38">
        <f t="shared" ca="1" si="49"/>
        <v>33.393572787856449</v>
      </c>
      <c r="CG30" s="38">
        <f t="shared" ca="1" si="50"/>
        <v>3.89032448380445</v>
      </c>
      <c r="CH30" s="38">
        <f t="shared" si="51"/>
        <v>0</v>
      </c>
      <c r="CI30" s="38">
        <f t="shared" si="61"/>
        <v>0</v>
      </c>
      <c r="CJ30" s="38">
        <f t="shared" si="62"/>
        <v>0</v>
      </c>
      <c r="CK30" s="38">
        <f t="shared" si="52"/>
        <v>0</v>
      </c>
      <c r="CL30" s="38">
        <f t="shared" si="63"/>
        <v>0</v>
      </c>
      <c r="CM30" s="38">
        <f t="shared" si="64"/>
        <v>0</v>
      </c>
    </row>
    <row r="31" spans="1:91">
      <c r="B31" s="13">
        <f ca="1">Endurance!AP31+Systems!D31</f>
        <v>2015.2455423896079</v>
      </c>
      <c r="C31" s="20">
        <f t="shared" ca="1" si="0"/>
        <v>95.747087692440758</v>
      </c>
      <c r="D31" s="13">
        <f t="shared" ca="1" si="1"/>
        <v>3616.9809841044471</v>
      </c>
      <c r="E31" s="13"/>
      <c r="F31" s="20">
        <f ca="1">MAX(Motor!$B$10*$B$6/$B$10,(Endurance!I31+Endurance!P31)*0+IF($F$11=1,IF(ISERROR(BJ31),1,BJ31),0),B31-AS31-BS31-CI31,BH31*0)</f>
        <v>1714.8633142559702</v>
      </c>
      <c r="G31" s="20">
        <f ca="1">IF(Endurance!$B$10=1,$B$9,F31/$B$12)</f>
        <v>91.342397691521285</v>
      </c>
      <c r="H31" s="13">
        <f t="shared" ca="1" si="2"/>
        <v>72.357101867340504</v>
      </c>
      <c r="I31" s="81">
        <f t="shared" ca="1" si="3"/>
        <v>73</v>
      </c>
      <c r="J31" s="14">
        <f t="shared" ca="1" si="4"/>
        <v>1730.1000000000001</v>
      </c>
      <c r="K31" s="97">
        <f t="shared" ca="1" si="5"/>
        <v>92.15398156363635</v>
      </c>
      <c r="L31" s="13">
        <f t="shared" ca="1" si="6"/>
        <v>1714.8633142559702</v>
      </c>
      <c r="M31" s="13">
        <f t="shared" ca="1" si="7"/>
        <v>91.342397691521285</v>
      </c>
      <c r="N31" s="13">
        <f t="shared" ca="1" si="8"/>
        <v>3096.2809840732793</v>
      </c>
      <c r="P31" s="13">
        <f t="shared" ca="1" si="9"/>
        <v>2015.2455423896079</v>
      </c>
      <c r="Q31" s="13">
        <f ca="1">Endurance!AN31/3600</f>
        <v>5.4796635530624078</v>
      </c>
      <c r="R31" s="13">
        <f t="shared" ca="1" si="10"/>
        <v>367.76811621278318</v>
      </c>
      <c r="S31" s="13">
        <f t="shared" ca="1" si="11"/>
        <v>367.76811621278318</v>
      </c>
      <c r="T31" s="13">
        <f t="shared" ca="1" si="12"/>
        <v>387.12433285556125</v>
      </c>
      <c r="U31" s="1">
        <f>0.8*Main!B31</f>
        <v>0.26666666666666661</v>
      </c>
      <c r="V31" s="1">
        <f>0.8*Main!C31</f>
        <v>1.8315789473684214</v>
      </c>
      <c r="W31" s="49">
        <f t="shared" ca="1" si="13"/>
        <v>0.48842105263157892</v>
      </c>
      <c r="X31" s="1">
        <f t="shared" ca="1" si="14"/>
        <v>0.48842105263157892</v>
      </c>
      <c r="Y31" s="38">
        <f t="shared" si="53"/>
        <v>12.76</v>
      </c>
      <c r="Z31" s="13">
        <f t="shared" ca="1" si="15"/>
        <v>6.4253639039333281</v>
      </c>
      <c r="AA31" s="13">
        <f t="shared" ca="1" si="16"/>
        <v>81.987643414189264</v>
      </c>
      <c r="AB31" s="38">
        <f t="shared" ca="1" si="17"/>
        <v>2015.2455423896081</v>
      </c>
      <c r="AC31" s="13">
        <f t="shared" ca="1" si="18"/>
        <v>5.4946532842105267</v>
      </c>
      <c r="AD31">
        <f>TRUNC(0.8*Main!B31/$T$9,0)</f>
        <v>2</v>
      </c>
      <c r="AE31">
        <f>TRUNC(0.8*Main!C31/$T$10,0)</f>
        <v>14</v>
      </c>
      <c r="AF31" s="41">
        <f t="shared" si="54"/>
        <v>22</v>
      </c>
      <c r="AG31" s="129">
        <f t="shared" ca="1" si="19"/>
        <v>1.2727272727272727</v>
      </c>
      <c r="AH31" s="38">
        <f t="shared" ca="1" si="20"/>
        <v>1.2727272727272727</v>
      </c>
      <c r="AI31" s="13">
        <f t="shared" ca="1" si="21"/>
        <v>73.439901495737956</v>
      </c>
      <c r="AJ31" s="132">
        <f t="shared" ca="1" si="22"/>
        <v>1</v>
      </c>
      <c r="AK31" s="41">
        <f t="shared" ca="1" si="23"/>
        <v>22</v>
      </c>
      <c r="AL31" s="38">
        <f t="shared" ca="1" si="24"/>
        <v>0.34375</v>
      </c>
      <c r="AM31" s="38">
        <f t="shared" si="25"/>
        <v>12.76</v>
      </c>
      <c r="AN31" s="13">
        <f t="shared" ca="1" si="26"/>
        <v>4.5221614221513526</v>
      </c>
      <c r="AO31" s="13">
        <f t="shared" ca="1" si="27"/>
        <v>57.70277974665126</v>
      </c>
      <c r="AP31" s="40">
        <f t="shared" ca="1" si="28"/>
        <v>300.38222813370692</v>
      </c>
      <c r="AQ31" s="38">
        <f t="shared" ca="1" si="29"/>
        <v>4.4046900000000004</v>
      </c>
      <c r="AR31" s="38">
        <f t="shared" ca="1" si="30"/>
        <v>4.4046900000000004</v>
      </c>
      <c r="AS31" s="38">
        <f t="shared" ca="1" si="31"/>
        <v>300.38222813370692</v>
      </c>
      <c r="AT31" s="38">
        <f t="shared" ca="1" si="32"/>
        <v>68.195997478530131</v>
      </c>
      <c r="AU31" s="13">
        <f t="shared" ca="1" si="33"/>
        <v>520.70000000000005</v>
      </c>
      <c r="AW31" s="1">
        <f t="shared" ca="1" si="34"/>
        <v>4.3171837555041783</v>
      </c>
      <c r="AX31" s="1">
        <f t="shared" ca="1" si="35"/>
        <v>52.332901484221644</v>
      </c>
      <c r="AY31" s="38">
        <f ca="1">AX31*(Endurance!G31+Endurance!N31)/3600</f>
        <v>174.53474579155736</v>
      </c>
      <c r="AZ31" s="13">
        <f t="shared" ca="1" si="36"/>
        <v>-131.23857203746005</v>
      </c>
      <c r="BA31" s="1">
        <f ca="1">Sun!$BC$21*BE31+Sun!$BC$22*BE31^2+Sun!$BC$23*BE31^3</f>
        <v>0.64789440401178677</v>
      </c>
      <c r="BB31" s="13">
        <f t="shared" ca="1" si="37"/>
        <v>45.551900599499092</v>
      </c>
      <c r="BC31" s="1">
        <f ca="1">Endurance!I31+Endurance!P31</f>
        <v>1280.2291875908306</v>
      </c>
      <c r="BD31" s="1">
        <f ca="1">Endurance!Y31</f>
        <v>319.60842132729834</v>
      </c>
      <c r="BE31" s="62">
        <f t="shared" ca="1" si="38"/>
        <v>0.88788951347834211</v>
      </c>
      <c r="BF31" s="13">
        <f t="shared" ca="1" si="39"/>
        <v>0.93068936468248575</v>
      </c>
      <c r="BG31" s="13">
        <f ca="1">BD31*(BE31-(Endurance!G31+Endurance!N31)/3600)</f>
        <v>-782.14472001407501</v>
      </c>
      <c r="BH31" s="13">
        <f t="shared" ca="1" si="40"/>
        <v>498.08446757675563</v>
      </c>
      <c r="BI31" s="13" t="e">
        <f ca="1">(-2*Sun!$BC$22+SQRT(4*Sun!$BC$22^2-12*Sun!$BC$23*(Sun!$BC$21-BD31/(AM31*$T$7*IF($R$15=$U$16,AG31,AJ31)*$Q$6))))/(6*Sun!$BC$23)</f>
        <v>#NUM!</v>
      </c>
      <c r="BJ31" s="13" t="e">
        <f ca="1">-(AM31*$T$7*IF($R$15=$U$16,AG31,AJ31)*$Q$6*(Sun!$BC$21*BI31+Sun!$BC$22*BI31^2+Sun!$BC$23*BI31^3)-BD31*BI31-BC31)</f>
        <v>#NUM!</v>
      </c>
      <c r="BL31" s="13">
        <f t="shared" ca="1" si="41"/>
        <v>2015.2455423896079</v>
      </c>
      <c r="BM31" s="13">
        <f ca="1">Endurance!AN31/3600</f>
        <v>5.4796635530624078</v>
      </c>
      <c r="BN31" s="13">
        <f t="shared" ca="1" si="42"/>
        <v>367.76811621278318</v>
      </c>
      <c r="BO31" s="13">
        <f ca="1">'Propulsion-Cruise'!M31*0+BN31</f>
        <v>367.76811621278318</v>
      </c>
      <c r="BP31" s="38">
        <f t="shared" ca="1" si="43"/>
        <v>459.71014526597895</v>
      </c>
      <c r="BQ31" s="13">
        <f t="shared" ca="1" si="44"/>
        <v>22.985507263298949</v>
      </c>
      <c r="BR31" s="38">
        <f t="shared" si="55"/>
        <v>0</v>
      </c>
      <c r="BS31" s="38">
        <f t="shared" si="56"/>
        <v>0</v>
      </c>
      <c r="BT31" s="38">
        <f t="shared" si="57"/>
        <v>0</v>
      </c>
      <c r="BU31" s="38">
        <f t="shared" si="58"/>
        <v>0</v>
      </c>
      <c r="BV31" s="38">
        <f t="shared" si="59"/>
        <v>0</v>
      </c>
      <c r="BW31" s="38">
        <f t="shared" si="60"/>
        <v>0</v>
      </c>
      <c r="BY31" s="13">
        <f t="shared" ca="1" si="45"/>
        <v>2015.2455423896079</v>
      </c>
      <c r="BZ31" s="13">
        <f ca="1">Endurance!AN31/3600</f>
        <v>5.4796635530624078</v>
      </c>
      <c r="CA31" s="13">
        <f t="shared" ca="1" si="46"/>
        <v>367.76811621278318</v>
      </c>
      <c r="CB31" s="13">
        <f ca="1">'Propulsion-Cruise'!M31*0+CA31</f>
        <v>367.76811621278318</v>
      </c>
      <c r="CC31" s="13">
        <f t="shared" ca="1" si="47"/>
        <v>387.12433285556125</v>
      </c>
      <c r="CD31" s="38">
        <f t="shared" ca="1" si="48"/>
        <v>483.90541606945152</v>
      </c>
      <c r="CE31" s="38">
        <f ca="1">$AC$6*CD31*Endurance!$B$6*3600</f>
        <v>3.3873379124861605</v>
      </c>
      <c r="CF31" s="38">
        <f t="shared" ca="1" si="49"/>
        <v>33.229784921489234</v>
      </c>
      <c r="CG31" s="38">
        <f t="shared" ca="1" si="50"/>
        <v>3.8712433285556118</v>
      </c>
      <c r="CH31" s="38">
        <f t="shared" si="51"/>
        <v>0</v>
      </c>
      <c r="CI31" s="38">
        <f t="shared" si="61"/>
        <v>0</v>
      </c>
      <c r="CJ31" s="38">
        <f t="shared" si="62"/>
        <v>0</v>
      </c>
      <c r="CK31" s="38">
        <f t="shared" si="52"/>
        <v>0</v>
      </c>
      <c r="CL31" s="38">
        <f t="shared" si="63"/>
        <v>0</v>
      </c>
      <c r="CM31" s="38">
        <f t="shared" si="64"/>
        <v>0</v>
      </c>
    </row>
    <row r="32" spans="1:91">
      <c r="B32" s="13">
        <f ca="1">Endurance!AP32+Systems!D32</f>
        <v>2007.5155886597552</v>
      </c>
      <c r="C32" s="20">
        <f t="shared" ca="1" si="0"/>
        <v>95.325460617948707</v>
      </c>
      <c r="D32" s="13">
        <f t="shared" ca="1" si="1"/>
        <v>3602.6888708458373</v>
      </c>
      <c r="E32" s="13"/>
      <c r="F32" s="20">
        <f ca="1">MAX(Motor!$B$10*$B$6/$B$10,(Endurance!I32+Endurance!P32)*0+IF($F$11=1,IF(ISERROR(BJ32),1,BJ32),0),B32-AS32-BS32-CI32,BH32*0)</f>
        <v>1706.9476822969789</v>
      </c>
      <c r="G32" s="20">
        <f ca="1">IF(Endurance!$B$10=1,$B$9,F32/$B$12)</f>
        <v>90.920770617009168</v>
      </c>
      <c r="H32" s="13">
        <f t="shared" ca="1" si="2"/>
        <v>72.023108957678431</v>
      </c>
      <c r="I32" s="81">
        <f t="shared" ca="1" si="3"/>
        <v>73</v>
      </c>
      <c r="J32" s="14">
        <f t="shared" ca="1" si="4"/>
        <v>1730.1000000000001</v>
      </c>
      <c r="K32" s="97">
        <f t="shared" ca="1" si="5"/>
        <v>92.15398156363635</v>
      </c>
      <c r="L32" s="13">
        <f t="shared" ca="1" si="6"/>
        <v>1706.9476822969789</v>
      </c>
      <c r="M32" s="13">
        <f t="shared" ca="1" si="7"/>
        <v>90.920770617009168</v>
      </c>
      <c r="N32" s="13">
        <f t="shared" ca="1" si="8"/>
        <v>3081.9888708139897</v>
      </c>
      <c r="P32" s="13">
        <f t="shared" ca="1" si="9"/>
        <v>2007.5155886597552</v>
      </c>
      <c r="Q32" s="13">
        <f ca="1">Endurance!AN32/3600</f>
        <v>5.4830507515367808</v>
      </c>
      <c r="R32" s="13">
        <f t="shared" ca="1" si="10"/>
        <v>366.13113385775097</v>
      </c>
      <c r="S32" s="13">
        <f t="shared" ca="1" si="11"/>
        <v>366.13113385775097</v>
      </c>
      <c r="T32" s="13">
        <f t="shared" ca="1" si="12"/>
        <v>385.40119353447471</v>
      </c>
      <c r="U32" s="1">
        <f>0.8*Main!B32</f>
        <v>0.26666666666666661</v>
      </c>
      <c r="V32" s="1">
        <f>0.8*Main!C32</f>
        <v>1.8947368421052635</v>
      </c>
      <c r="W32" s="49">
        <f t="shared" ca="1" si="13"/>
        <v>0.50526315789473686</v>
      </c>
      <c r="X32" s="1">
        <f t="shared" ca="1" si="14"/>
        <v>0.50526315789473686</v>
      </c>
      <c r="Y32" s="38">
        <f t="shared" si="53"/>
        <v>12.76</v>
      </c>
      <c r="Z32" s="13">
        <f t="shared" ca="1" si="15"/>
        <v>6.6469281764827528</v>
      </c>
      <c r="AA32" s="13">
        <f t="shared" ca="1" si="16"/>
        <v>84.814803531919935</v>
      </c>
      <c r="AB32" s="38">
        <f t="shared" ca="1" si="17"/>
        <v>2007.5155886597552</v>
      </c>
      <c r="AC32" s="13">
        <f t="shared" ca="1" si="18"/>
        <v>5.6215430526315791</v>
      </c>
      <c r="AD32">
        <f>TRUNC(0.8*Main!B32/$T$9,0)</f>
        <v>2</v>
      </c>
      <c r="AE32">
        <f>TRUNC(0.8*Main!C32/$T$10,0)</f>
        <v>15</v>
      </c>
      <c r="AF32" s="41">
        <f t="shared" si="54"/>
        <v>22</v>
      </c>
      <c r="AG32" s="129">
        <f t="shared" ca="1" si="19"/>
        <v>1.3636363636363635</v>
      </c>
      <c r="AH32" s="38">
        <f t="shared" ca="1" si="20"/>
        <v>1.3636363636363635</v>
      </c>
      <c r="AI32" s="13">
        <f t="shared" ca="1" si="21"/>
        <v>78.685608745433527</v>
      </c>
      <c r="AJ32" s="132">
        <f t="shared" ca="1" si="22"/>
        <v>1</v>
      </c>
      <c r="AK32" s="41">
        <f t="shared" ca="1" si="23"/>
        <v>22</v>
      </c>
      <c r="AL32" s="38">
        <f t="shared" ca="1" si="24"/>
        <v>0.34375</v>
      </c>
      <c r="AM32" s="38">
        <f t="shared" si="25"/>
        <v>12.76</v>
      </c>
      <c r="AN32" s="13">
        <f t="shared" ca="1" si="26"/>
        <v>4.5221614221513526</v>
      </c>
      <c r="AO32" s="13">
        <f t="shared" ca="1" si="27"/>
        <v>57.70277974665126</v>
      </c>
      <c r="AP32" s="40">
        <f t="shared" ca="1" si="28"/>
        <v>300.56790636285564</v>
      </c>
      <c r="AQ32" s="38">
        <f t="shared" ca="1" si="29"/>
        <v>4.4046900000000004</v>
      </c>
      <c r="AR32" s="38">
        <f t="shared" ca="1" si="30"/>
        <v>4.4046900000000004</v>
      </c>
      <c r="AS32" s="38">
        <f t="shared" ca="1" si="31"/>
        <v>300.56790636285564</v>
      </c>
      <c r="AT32" s="38">
        <f t="shared" ca="1" si="32"/>
        <v>68.238152143023825</v>
      </c>
      <c r="AU32" s="13">
        <f t="shared" ca="1" si="33"/>
        <v>520.70000000000005</v>
      </c>
      <c r="AW32" s="1">
        <f t="shared" ca="1" si="34"/>
        <v>4.3171837555041783</v>
      </c>
      <c r="AX32" s="1">
        <f t="shared" ca="1" si="35"/>
        <v>52.332901484221644</v>
      </c>
      <c r="AY32" s="38">
        <f ca="1">AX32*(Endurance!G32+Endurance!N32)/3600</f>
        <v>174.53461472870276</v>
      </c>
      <c r="AZ32" s="13">
        <f t="shared" ca="1" si="36"/>
        <v>-45.089289501077872</v>
      </c>
      <c r="BA32" s="1">
        <f ca="1">Sun!$BC$21*BE32+Sun!$BC$22*BE32^2+Sun!$BC$23*BE32^3</f>
        <v>0.50788030229273318</v>
      </c>
      <c r="BB32" s="13">
        <f t="shared" ca="1" si="37"/>
        <v>35.707845141476561</v>
      </c>
      <c r="BC32" s="1">
        <f ca="1">Endurance!I32+Endurance!P32</f>
        <v>1294.5273790018275</v>
      </c>
      <c r="BD32" s="1">
        <f ca="1">Endurance!Y32</f>
        <v>308.57462056837539</v>
      </c>
      <c r="BE32" s="62">
        <f t="shared" ca="1" si="38"/>
        <v>12.598619328650432</v>
      </c>
      <c r="BF32" s="13">
        <f t="shared" ca="1" si="39"/>
        <v>19.083474525045553</v>
      </c>
      <c r="BG32" s="13">
        <f ca="1">BD32*(BE32-(Endurance!G32+Endurance!N32)/3600)</f>
        <v>2858.4919444731368</v>
      </c>
      <c r="BH32" s="13">
        <f t="shared" ca="1" si="40"/>
        <v>4153.019323474964</v>
      </c>
      <c r="BI32" s="13" t="e">
        <f ca="1">(-2*Sun!$BC$22+SQRT(4*Sun!$BC$22^2-12*Sun!$BC$23*(Sun!$BC$21-BD32/(AM32*$T$7*IF($R$15=$U$16,AG32,AJ32)*$Q$6))))/(6*Sun!$BC$23)</f>
        <v>#NUM!</v>
      </c>
      <c r="BJ32" s="13" t="e">
        <f ca="1">-(AM32*$T$7*IF($R$15=$U$16,AG32,AJ32)*$Q$6*(Sun!$BC$21*BI32+Sun!$BC$22*BI32^2+Sun!$BC$23*BI32^3)-BD32*BI32-BC32)</f>
        <v>#NUM!</v>
      </c>
      <c r="BL32" s="13">
        <f t="shared" ca="1" si="41"/>
        <v>2007.5155886597552</v>
      </c>
      <c r="BM32" s="13">
        <f ca="1">Endurance!AN32/3600</f>
        <v>5.4830507515367808</v>
      </c>
      <c r="BN32" s="13">
        <f t="shared" ca="1" si="42"/>
        <v>366.13113385775097</v>
      </c>
      <c r="BO32" s="13">
        <f ca="1">'Propulsion-Cruise'!M32*0+BN32</f>
        <v>366.13113385775097</v>
      </c>
      <c r="BP32" s="38">
        <f t="shared" ca="1" si="43"/>
        <v>457.66391732218869</v>
      </c>
      <c r="BQ32" s="13">
        <f t="shared" ca="1" si="44"/>
        <v>22.883195866109435</v>
      </c>
      <c r="BR32" s="38">
        <f t="shared" si="55"/>
        <v>0</v>
      </c>
      <c r="BS32" s="38">
        <f t="shared" si="56"/>
        <v>0</v>
      </c>
      <c r="BT32" s="38">
        <f t="shared" si="57"/>
        <v>0</v>
      </c>
      <c r="BU32" s="38">
        <f t="shared" si="58"/>
        <v>0</v>
      </c>
      <c r="BV32" s="38">
        <f t="shared" si="59"/>
        <v>0</v>
      </c>
      <c r="BW32" s="38">
        <f t="shared" si="60"/>
        <v>0</v>
      </c>
      <c r="BY32" s="13">
        <f t="shared" ca="1" si="45"/>
        <v>2007.5155886597552</v>
      </c>
      <c r="BZ32" s="13">
        <f ca="1">Endurance!AN32/3600</f>
        <v>5.4830507515367808</v>
      </c>
      <c r="CA32" s="13">
        <f t="shared" ca="1" si="46"/>
        <v>366.13113385775097</v>
      </c>
      <c r="CB32" s="13">
        <f ca="1">'Propulsion-Cruise'!M32*0+CA32</f>
        <v>366.13113385775097</v>
      </c>
      <c r="CC32" s="13">
        <f t="shared" ca="1" si="47"/>
        <v>385.40119353447471</v>
      </c>
      <c r="CD32" s="38">
        <f t="shared" ca="1" si="48"/>
        <v>481.75149191809339</v>
      </c>
      <c r="CE32" s="38">
        <f ca="1">$AC$6*CD32*Endurance!$B$6*3600</f>
        <v>3.3722604434266539</v>
      </c>
      <c r="CF32" s="38">
        <f t="shared" ca="1" si="49"/>
        <v>33.081874950015475</v>
      </c>
      <c r="CG32" s="38">
        <f t="shared" ca="1" si="50"/>
        <v>3.8540119353447473</v>
      </c>
      <c r="CH32" s="38">
        <f t="shared" si="51"/>
        <v>0</v>
      </c>
      <c r="CI32" s="38">
        <f t="shared" si="61"/>
        <v>0</v>
      </c>
      <c r="CJ32" s="38">
        <f t="shared" si="62"/>
        <v>0</v>
      </c>
      <c r="CK32" s="38">
        <f t="shared" si="52"/>
        <v>0</v>
      </c>
      <c r="CL32" s="38">
        <f t="shared" si="63"/>
        <v>0</v>
      </c>
      <c r="CM32" s="38">
        <f t="shared" si="64"/>
        <v>0</v>
      </c>
    </row>
    <row r="33" spans="2:91">
      <c r="B33" s="13">
        <f ca="1">Endurance!AP33+Systems!D33</f>
        <v>2000.575416881976</v>
      </c>
      <c r="C33" s="20">
        <f t="shared" ca="1" si="0"/>
        <v>94.946186964318969</v>
      </c>
      <c r="D33" s="13">
        <f t="shared" ca="1" si="1"/>
        <v>3589.8324336253072</v>
      </c>
      <c r="E33" s="13"/>
      <c r="F33" s="20">
        <f ca="1">MAX(Motor!$B$10*$B$6/$B$10,(Endurance!I33+Endurance!P33)*0+IF($F$11=1,IF(ISERROR(BJ33),1,BJ33),0),B33-AS33-BS33-CI33,BH33*0)</f>
        <v>1699.8271939897868</v>
      </c>
      <c r="G33" s="20">
        <f ca="1">IF(Endurance!$B$10=1,$B$9,F33/$B$12)</f>
        <v>90.541496963356167</v>
      </c>
      <c r="H33" s="13">
        <f t="shared" ca="1" si="2"/>
        <v>71.722666413071167</v>
      </c>
      <c r="I33" s="81">
        <f t="shared" ca="1" si="3"/>
        <v>72</v>
      </c>
      <c r="J33" s="14">
        <f t="shared" ca="1" si="4"/>
        <v>1706.4</v>
      </c>
      <c r="K33" s="97">
        <f t="shared" ca="1" si="5"/>
        <v>90.891598254545443</v>
      </c>
      <c r="L33" s="13">
        <f t="shared" ca="1" si="6"/>
        <v>1699.8271939897868</v>
      </c>
      <c r="M33" s="13">
        <f t="shared" ca="1" si="7"/>
        <v>90.541496963356167</v>
      </c>
      <c r="N33" s="13">
        <f t="shared" ca="1" si="8"/>
        <v>3069.1324335926706</v>
      </c>
      <c r="P33" s="13">
        <f t="shared" ca="1" si="9"/>
        <v>2000.575416881976</v>
      </c>
      <c r="Q33" s="13">
        <f ca="1">Endurance!AN33/3600</f>
        <v>5.4863401402612997</v>
      </c>
      <c r="R33" s="13">
        <f t="shared" ca="1" si="10"/>
        <v>364.64662520663438</v>
      </c>
      <c r="S33" s="13">
        <f t="shared" ca="1" si="11"/>
        <v>364.64662520663438</v>
      </c>
      <c r="T33" s="13">
        <f t="shared" ca="1" si="12"/>
        <v>383.83855284908884</v>
      </c>
      <c r="U33" s="1">
        <f>0.8*Main!B33</f>
        <v>0.26666666666666661</v>
      </c>
      <c r="V33" s="1">
        <f>0.8*Main!C33</f>
        <v>1.9578947368421056</v>
      </c>
      <c r="W33" s="49">
        <f t="shared" ca="1" si="13"/>
        <v>0.52210526315789474</v>
      </c>
      <c r="X33" s="1">
        <f t="shared" ca="1" si="14"/>
        <v>0.52210526315789474</v>
      </c>
      <c r="Y33" s="38">
        <f t="shared" si="53"/>
        <v>12.76</v>
      </c>
      <c r="Z33" s="13">
        <f t="shared" ca="1" si="15"/>
        <v>6.8684924490321775</v>
      </c>
      <c r="AA33" s="13">
        <f t="shared" ca="1" si="16"/>
        <v>87.641963649650592</v>
      </c>
      <c r="AB33" s="38">
        <f t="shared" ca="1" si="17"/>
        <v>2000.575416881976</v>
      </c>
      <c r="AC33" s="13">
        <f t="shared" ca="1" si="18"/>
        <v>5.7484328210526314</v>
      </c>
      <c r="AD33">
        <f>TRUNC(0.8*Main!B33/$T$9,0)</f>
        <v>2</v>
      </c>
      <c r="AE33">
        <f>TRUNC(0.8*Main!C33/$T$10,0)</f>
        <v>15</v>
      </c>
      <c r="AF33" s="41">
        <f t="shared" si="54"/>
        <v>22</v>
      </c>
      <c r="AG33" s="129">
        <f t="shared" ca="1" si="19"/>
        <v>1.3636363636363635</v>
      </c>
      <c r="AH33" s="38">
        <f t="shared" ca="1" si="20"/>
        <v>1.3636363636363635</v>
      </c>
      <c r="AI33" s="13">
        <f t="shared" ca="1" si="21"/>
        <v>78.685608745433527</v>
      </c>
      <c r="AJ33" s="132">
        <f t="shared" ca="1" si="22"/>
        <v>1</v>
      </c>
      <c r="AK33" s="41">
        <f t="shared" ca="1" si="23"/>
        <v>22</v>
      </c>
      <c r="AL33" s="38">
        <f t="shared" ca="1" si="24"/>
        <v>0.34375</v>
      </c>
      <c r="AM33" s="38">
        <f t="shared" si="25"/>
        <v>12.76</v>
      </c>
      <c r="AN33" s="13">
        <f t="shared" ca="1" si="26"/>
        <v>4.5221614221513526</v>
      </c>
      <c r="AO33" s="13">
        <f t="shared" ca="1" si="27"/>
        <v>57.70277974665126</v>
      </c>
      <c r="AP33" s="40">
        <f t="shared" ca="1" si="28"/>
        <v>300.74822289227404</v>
      </c>
      <c r="AQ33" s="38">
        <f t="shared" ca="1" si="29"/>
        <v>4.4046900000000004</v>
      </c>
      <c r="AR33" s="38">
        <f t="shared" ca="1" si="30"/>
        <v>4.4046900000000004</v>
      </c>
      <c r="AS33" s="38">
        <f t="shared" ca="1" si="31"/>
        <v>300.74822289227404</v>
      </c>
      <c r="AT33" s="38">
        <f t="shared" ca="1" si="32"/>
        <v>68.279089536896805</v>
      </c>
      <c r="AU33" s="13">
        <f t="shared" ca="1" si="33"/>
        <v>520.70000000000005</v>
      </c>
      <c r="AW33" s="1">
        <f t="shared" ca="1" si="34"/>
        <v>4.3171837555041783</v>
      </c>
      <c r="AX33" s="1">
        <f t="shared" ca="1" si="35"/>
        <v>52.332901484221644</v>
      </c>
      <c r="AY33" s="38">
        <f ca="1">AX33*(Endurance!G33+Endurance!N33)/3600</f>
        <v>174.5345064512442</v>
      </c>
      <c r="AZ33" s="13">
        <f t="shared" ca="1" si="36"/>
        <v>81.841774843695845</v>
      </c>
      <c r="BA33" s="1">
        <f ca="1">Sun!$BC$21*BE33+Sun!$BC$22*BE33^2+Sun!$BC$23*BE33^3</f>
        <v>3.7081116277162103</v>
      </c>
      <c r="BB33" s="13">
        <f t="shared" ca="1" si="37"/>
        <v>260.70842907682021</v>
      </c>
      <c r="BC33" s="1">
        <f ca="1">Endurance!I33+Endurance!P33</f>
        <v>1307.5980809345165</v>
      </c>
      <c r="BD33" s="1">
        <f ca="1">Endurance!Y33</f>
        <v>298.5506792211749</v>
      </c>
      <c r="BE33" s="62">
        <f t="shared" ca="1" si="38"/>
        <v>5.6421210064983622</v>
      </c>
      <c r="BF33" s="13">
        <f t="shared" ca="1" si="39"/>
        <v>5.8242905038237138</v>
      </c>
      <c r="BG33" s="13">
        <f ca="1">BD33*(BE33-(Endurance!G33+Endurance!N33)/3600)</f>
        <v>688.76812682484649</v>
      </c>
      <c r="BH33" s="13">
        <f t="shared" ca="1" si="40"/>
        <v>1996.3662077593631</v>
      </c>
      <c r="BI33" s="13" t="e">
        <f ca="1">(-2*Sun!$BC$22+SQRT(4*Sun!$BC$22^2-12*Sun!$BC$23*(Sun!$BC$21-BD33/(AM33*$T$7*IF($R$15=$U$16,AG33,AJ33)*$Q$6))))/(6*Sun!$BC$23)</f>
        <v>#NUM!</v>
      </c>
      <c r="BJ33" s="13" t="e">
        <f ca="1">-(AM33*$T$7*IF($R$15=$U$16,AG33,AJ33)*$Q$6*(Sun!$BC$21*BI33+Sun!$BC$22*BI33^2+Sun!$BC$23*BI33^3)-BD33*BI33-BC33)</f>
        <v>#NUM!</v>
      </c>
      <c r="BL33" s="13">
        <f t="shared" ca="1" si="41"/>
        <v>2000.575416881976</v>
      </c>
      <c r="BM33" s="13">
        <f ca="1">Endurance!AN33/3600</f>
        <v>5.4863401402612997</v>
      </c>
      <c r="BN33" s="13">
        <f t="shared" ca="1" si="42"/>
        <v>364.64662520663438</v>
      </c>
      <c r="BO33" s="13">
        <f ca="1">'Propulsion-Cruise'!M33*0+BN33</f>
        <v>364.64662520663438</v>
      </c>
      <c r="BP33" s="38">
        <f t="shared" ca="1" si="43"/>
        <v>455.80828150829296</v>
      </c>
      <c r="BQ33" s="13">
        <f t="shared" ca="1" si="44"/>
        <v>22.790414075414649</v>
      </c>
      <c r="BR33" s="38">
        <f t="shared" si="55"/>
        <v>0</v>
      </c>
      <c r="BS33" s="38">
        <f t="shared" si="56"/>
        <v>0</v>
      </c>
      <c r="BT33" s="38">
        <f t="shared" si="57"/>
        <v>0</v>
      </c>
      <c r="BU33" s="38">
        <f t="shared" si="58"/>
        <v>0</v>
      </c>
      <c r="BV33" s="38">
        <f t="shared" si="59"/>
        <v>0</v>
      </c>
      <c r="BW33" s="38">
        <f t="shared" si="60"/>
        <v>0</v>
      </c>
      <c r="BY33" s="13">
        <f t="shared" ca="1" si="45"/>
        <v>2000.575416881976</v>
      </c>
      <c r="BZ33" s="13">
        <f ca="1">Endurance!AN33/3600</f>
        <v>5.4863401402612997</v>
      </c>
      <c r="CA33" s="13">
        <f t="shared" ca="1" si="46"/>
        <v>364.64662520663438</v>
      </c>
      <c r="CB33" s="13">
        <f ca="1">'Propulsion-Cruise'!M33*0+CA33</f>
        <v>364.64662520663438</v>
      </c>
      <c r="CC33" s="13">
        <f t="shared" ca="1" si="47"/>
        <v>383.83855284908884</v>
      </c>
      <c r="CD33" s="38">
        <f t="shared" ca="1" si="48"/>
        <v>479.79819106136102</v>
      </c>
      <c r="CE33" s="38">
        <f ca="1">$AC$6*CD33*Endurance!$B$6*3600</f>
        <v>3.358587337429527</v>
      </c>
      <c r="CF33" s="38">
        <f t="shared" ca="1" si="49"/>
        <v>32.947741780183662</v>
      </c>
      <c r="CG33" s="38">
        <f t="shared" ca="1" si="50"/>
        <v>3.8383855284908881</v>
      </c>
      <c r="CH33" s="38">
        <f t="shared" si="51"/>
        <v>0</v>
      </c>
      <c r="CI33" s="38">
        <f t="shared" si="61"/>
        <v>0</v>
      </c>
      <c r="CJ33" s="38">
        <f t="shared" si="62"/>
        <v>0</v>
      </c>
      <c r="CK33" s="38">
        <f t="shared" si="52"/>
        <v>0</v>
      </c>
      <c r="CL33" s="38">
        <f t="shared" si="63"/>
        <v>0</v>
      </c>
      <c r="CM33" s="38">
        <f t="shared" si="64"/>
        <v>0</v>
      </c>
    </row>
    <row r="34" spans="2:91">
      <c r="B34" s="13">
        <f ca="1">Endurance!AP34+Systems!D34</f>
        <v>1994.3012835806578</v>
      </c>
      <c r="C34" s="20">
        <f t="shared" ca="1" si="0"/>
        <v>94.602664398159263</v>
      </c>
      <c r="D34" s="13">
        <f t="shared" ca="1" si="1"/>
        <v>3578.1878696979129</v>
      </c>
      <c r="E34" s="13"/>
      <c r="F34" s="20">
        <f ca="1">MAX(Motor!$B$10*$B$6/$B$10,(Endurance!I34+Endurance!P34)*0+IF($F$11=1,IF(ISERROR(BJ34),1,BJ34),0),B34-AS34-BS34-CI34,BH34*0)</f>
        <v>1693.37789704488</v>
      </c>
      <c r="G34" s="20">
        <f ca="1">IF(Endurance!$B$10=1,$B$9,F34/$B$12)</f>
        <v>90.197974397169617</v>
      </c>
      <c r="H34" s="13">
        <f t="shared" ca="1" si="2"/>
        <v>71.450544179108846</v>
      </c>
      <c r="I34" s="81">
        <f t="shared" ca="1" si="3"/>
        <v>72</v>
      </c>
      <c r="J34" s="14">
        <f t="shared" ca="1" si="4"/>
        <v>1706.4</v>
      </c>
      <c r="K34" s="97">
        <f t="shared" ca="1" si="5"/>
        <v>90.891598254545443</v>
      </c>
      <c r="L34" s="13">
        <f t="shared" ca="1" si="6"/>
        <v>1693.37789704488</v>
      </c>
      <c r="M34" s="13">
        <f t="shared" ca="1" si="7"/>
        <v>90.197974397169617</v>
      </c>
      <c r="N34" s="13">
        <f t="shared" ca="1" si="8"/>
        <v>3057.4878696643668</v>
      </c>
      <c r="P34" s="13">
        <f t="shared" ca="1" si="9"/>
        <v>1994.3012835806578</v>
      </c>
      <c r="Q34" s="13">
        <f ca="1">Endurance!AN34/3600</f>
        <v>5.4895355284824463</v>
      </c>
      <c r="R34" s="13">
        <f t="shared" ca="1" si="10"/>
        <v>363.29144300701375</v>
      </c>
      <c r="S34" s="13">
        <f t="shared" ca="1" si="11"/>
        <v>363.29144300701375</v>
      </c>
      <c r="T34" s="13">
        <f t="shared" ca="1" si="12"/>
        <v>382.41204527054083</v>
      </c>
      <c r="U34" s="1">
        <f>0.8*Main!B34</f>
        <v>0.26666666666666661</v>
      </c>
      <c r="V34" s="1">
        <f>0.8*Main!C34</f>
        <v>2.0210526315789479</v>
      </c>
      <c r="W34" s="49">
        <f t="shared" ca="1" si="13"/>
        <v>0.53894736842105262</v>
      </c>
      <c r="X34" s="1">
        <f t="shared" ca="1" si="14"/>
        <v>0.53894736842105262</v>
      </c>
      <c r="Y34" s="38">
        <f t="shared" si="53"/>
        <v>12.76</v>
      </c>
      <c r="Z34" s="13">
        <f t="shared" ca="1" si="15"/>
        <v>7.0900567215816039</v>
      </c>
      <c r="AA34" s="13">
        <f t="shared" ca="1" si="16"/>
        <v>90.469123767381248</v>
      </c>
      <c r="AB34" s="38">
        <f t="shared" ca="1" si="17"/>
        <v>1994.3012835806578</v>
      </c>
      <c r="AC34" s="13">
        <f t="shared" ca="1" si="18"/>
        <v>5.8753225894736838</v>
      </c>
      <c r="AD34">
        <f>TRUNC(0.8*Main!B34/$T$9,0)</f>
        <v>2</v>
      </c>
      <c r="AE34">
        <f>TRUNC(0.8*Main!C34/$T$10,0)</f>
        <v>16</v>
      </c>
      <c r="AF34" s="41">
        <f t="shared" si="54"/>
        <v>22</v>
      </c>
      <c r="AG34" s="129">
        <f t="shared" ca="1" si="19"/>
        <v>1.4545454545454546</v>
      </c>
      <c r="AH34" s="38">
        <f t="shared" ca="1" si="20"/>
        <v>1.4545454545454546</v>
      </c>
      <c r="AI34" s="13">
        <f t="shared" ca="1" si="21"/>
        <v>83.931315995129097</v>
      </c>
      <c r="AJ34" s="132">
        <f t="shared" ca="1" si="22"/>
        <v>1</v>
      </c>
      <c r="AK34" s="41">
        <f t="shared" ca="1" si="23"/>
        <v>22</v>
      </c>
      <c r="AL34" s="38">
        <f t="shared" ca="1" si="24"/>
        <v>0.34375</v>
      </c>
      <c r="AM34" s="38">
        <f t="shared" si="25"/>
        <v>12.76</v>
      </c>
      <c r="AN34" s="13">
        <f t="shared" ca="1" si="26"/>
        <v>4.5221614221513526</v>
      </c>
      <c r="AO34" s="13">
        <f t="shared" ca="1" si="27"/>
        <v>57.70277974665126</v>
      </c>
      <c r="AP34" s="40">
        <f t="shared" ca="1" si="28"/>
        <v>300.92338653586745</v>
      </c>
      <c r="AQ34" s="38">
        <f t="shared" ca="1" si="29"/>
        <v>4.4046900000000004</v>
      </c>
      <c r="AR34" s="38">
        <f t="shared" ca="1" si="30"/>
        <v>4.4046900000000004</v>
      </c>
      <c r="AS34" s="38">
        <f t="shared" ca="1" si="31"/>
        <v>300.92338653586745</v>
      </c>
      <c r="AT34" s="38">
        <f t="shared" ca="1" si="32"/>
        <v>68.318857067323108</v>
      </c>
      <c r="AU34" s="13">
        <f t="shared" ca="1" si="33"/>
        <v>520.70000000000005</v>
      </c>
      <c r="AW34" s="1">
        <f t="shared" ca="1" si="34"/>
        <v>4.3171837555041783</v>
      </c>
      <c r="AX34" s="1">
        <f t="shared" ca="1" si="35"/>
        <v>52.332901484221644</v>
      </c>
      <c r="AY34" s="38">
        <f ca="1">AX34*(Endurance!G34+Endurance!N34)/3600</f>
        <v>174.53441795363742</v>
      </c>
      <c r="AZ34" s="13">
        <f t="shared" ca="1" si="36"/>
        <v>-41.920091314601194</v>
      </c>
      <c r="BA34" s="1">
        <f ca="1">Sun!$BC$21*BE34+Sun!$BC$22*BE34^2+Sun!$BC$23*BE34^3</f>
        <v>1.951269033921194</v>
      </c>
      <c r="BB34" s="13">
        <f t="shared" ca="1" si="37"/>
        <v>137.18904272931772</v>
      </c>
      <c r="BC34" s="1">
        <f ca="1">Endurance!I34+Endurance!P34</f>
        <v>1319.5905394598624</v>
      </c>
      <c r="BD34" s="1">
        <f ca="1">Endurance!Y34</f>
        <v>289.4087040397942</v>
      </c>
      <c r="BE34" s="62">
        <f t="shared" ca="1" si="38"/>
        <v>2.594788264536279</v>
      </c>
      <c r="BF34" s="13">
        <f t="shared" ca="1" si="39"/>
        <v>2.6839587158633544</v>
      </c>
      <c r="BG34" s="13">
        <f ca="1">BD34*(BE34-(Endurance!G34+Endurance!N34)/3600)</f>
        <v>-214.24689871281439</v>
      </c>
      <c r="BH34" s="13">
        <f t="shared" ca="1" si="40"/>
        <v>1105.3436407470481</v>
      </c>
      <c r="BI34" s="13" t="e">
        <f ca="1">(-2*Sun!$BC$22+SQRT(4*Sun!$BC$22^2-12*Sun!$BC$23*(Sun!$BC$21-BD34/(AM34*$T$7*IF($R$15=$U$16,AG34,AJ34)*$Q$6))))/(6*Sun!$BC$23)</f>
        <v>#NUM!</v>
      </c>
      <c r="BJ34" s="13" t="e">
        <f ca="1">-(AM34*$T$7*IF($R$15=$U$16,AG34,AJ34)*$Q$6*(Sun!$BC$21*BI34+Sun!$BC$22*BI34^2+Sun!$BC$23*BI34^3)-BD34*BI34-BC34)</f>
        <v>#NUM!</v>
      </c>
      <c r="BL34" s="13">
        <f t="shared" ca="1" si="41"/>
        <v>1994.3012835806578</v>
      </c>
      <c r="BM34" s="13">
        <f ca="1">Endurance!AN34/3600</f>
        <v>5.4895355284824463</v>
      </c>
      <c r="BN34" s="13">
        <f t="shared" ca="1" si="42"/>
        <v>363.29144300701375</v>
      </c>
      <c r="BO34" s="13">
        <f ca="1">'Propulsion-Cruise'!M34*0+BN34</f>
        <v>363.29144300701375</v>
      </c>
      <c r="BP34" s="38">
        <f t="shared" ca="1" si="43"/>
        <v>454.11430375876716</v>
      </c>
      <c r="BQ34" s="13">
        <f t="shared" ca="1" si="44"/>
        <v>22.70571518793836</v>
      </c>
      <c r="BR34" s="38">
        <f t="shared" si="55"/>
        <v>0</v>
      </c>
      <c r="BS34" s="38">
        <f t="shared" si="56"/>
        <v>0</v>
      </c>
      <c r="BT34" s="38">
        <f t="shared" si="57"/>
        <v>0</v>
      </c>
      <c r="BU34" s="38">
        <f t="shared" si="58"/>
        <v>0</v>
      </c>
      <c r="BV34" s="38">
        <f t="shared" si="59"/>
        <v>0</v>
      </c>
      <c r="BW34" s="38">
        <f t="shared" si="60"/>
        <v>0</v>
      </c>
      <c r="BY34" s="13">
        <f t="shared" ca="1" si="45"/>
        <v>1994.3012835806578</v>
      </c>
      <c r="BZ34" s="13">
        <f ca="1">Endurance!AN34/3600</f>
        <v>5.4895355284824463</v>
      </c>
      <c r="CA34" s="13">
        <f t="shared" ca="1" si="46"/>
        <v>363.29144300701375</v>
      </c>
      <c r="CB34" s="13">
        <f ca="1">'Propulsion-Cruise'!M34*0+CA34</f>
        <v>363.29144300701375</v>
      </c>
      <c r="CC34" s="13">
        <f t="shared" ca="1" si="47"/>
        <v>382.41204527054083</v>
      </c>
      <c r="CD34" s="38">
        <f t="shared" ca="1" si="48"/>
        <v>478.01505658817604</v>
      </c>
      <c r="CE34" s="38">
        <f ca="1">$AC$6*CD34*Endurance!$B$6*3600</f>
        <v>3.346105396117232</v>
      </c>
      <c r="CF34" s="38">
        <f t="shared" ca="1" si="49"/>
        <v>32.825293935910047</v>
      </c>
      <c r="CG34" s="38">
        <f t="shared" ca="1" si="50"/>
        <v>3.824120452705408</v>
      </c>
      <c r="CH34" s="38">
        <f t="shared" si="51"/>
        <v>0</v>
      </c>
      <c r="CI34" s="38">
        <f t="shared" si="61"/>
        <v>0</v>
      </c>
      <c r="CJ34" s="38">
        <f t="shared" si="62"/>
        <v>0</v>
      </c>
      <c r="CK34" s="38">
        <f t="shared" si="52"/>
        <v>0</v>
      </c>
      <c r="CL34" s="38">
        <f t="shared" si="63"/>
        <v>0</v>
      </c>
      <c r="CM34" s="38">
        <f t="shared" si="64"/>
        <v>0</v>
      </c>
    </row>
    <row r="35" spans="2:91">
      <c r="B35" s="13">
        <f ca="1">Endurance!AP35+Systems!D35</f>
        <v>1988.5273113764777</v>
      </c>
      <c r="C35" s="20">
        <f t="shared" ca="1" si="0"/>
        <v>94.286043113445729</v>
      </c>
      <c r="D35" s="13">
        <f t="shared" ca="1" si="1"/>
        <v>3567.4551925645392</v>
      </c>
      <c r="E35" s="13"/>
      <c r="F35" s="20">
        <f ca="1">MAX(Motor!$B$10*$B$6/$B$10,(Endurance!I35+Endurance!P35)*0+IF($F$11=1,IF(ISERROR(BJ35),1,BJ35),0),B35-AS35-BS35-CI35,BH35*0)</f>
        <v>1687.4336450936694</v>
      </c>
      <c r="G35" s="20">
        <f ca="1">IF(Endurance!$B$10=1,$B$9,F35/$B$12)</f>
        <v>89.881353112433771</v>
      </c>
      <c r="H35" s="13">
        <f t="shared" ca="1" si="2"/>
        <v>71.199731860492363</v>
      </c>
      <c r="I35" s="81">
        <f t="shared" ca="1" si="3"/>
        <v>72</v>
      </c>
      <c r="J35" s="14">
        <f t="shared" ca="1" si="4"/>
        <v>1706.4</v>
      </c>
      <c r="K35" s="97">
        <f t="shared" ca="1" si="5"/>
        <v>90.891598254545443</v>
      </c>
      <c r="L35" s="13">
        <f t="shared" ca="1" si="6"/>
        <v>1687.4336450936694</v>
      </c>
      <c r="M35" s="13">
        <f t="shared" ca="1" si="7"/>
        <v>89.881353112433771</v>
      </c>
      <c r="N35" s="13">
        <f t="shared" ca="1" si="8"/>
        <v>3046.7551925302364</v>
      </c>
      <c r="P35" s="13">
        <f t="shared" ca="1" si="9"/>
        <v>1988.5273113764777</v>
      </c>
      <c r="Q35" s="13">
        <f ca="1">Endurance!AN35/3600</f>
        <v>5.4926418231838641</v>
      </c>
      <c r="R35" s="13">
        <f t="shared" ca="1" si="10"/>
        <v>362.03476858496629</v>
      </c>
      <c r="S35" s="13">
        <f t="shared" ca="1" si="11"/>
        <v>362.03476858496629</v>
      </c>
      <c r="T35" s="13">
        <f t="shared" ca="1" si="12"/>
        <v>381.08923008943822</v>
      </c>
      <c r="U35" s="1">
        <f>0.8*Main!B35</f>
        <v>0.26666666666666661</v>
      </c>
      <c r="V35" s="1">
        <f>0.8*Main!C35</f>
        <v>2.0842105263157897</v>
      </c>
      <c r="W35" s="49">
        <f t="shared" ca="1" si="13"/>
        <v>0.5557894736842105</v>
      </c>
      <c r="X35" s="1">
        <f t="shared" ca="1" si="14"/>
        <v>0.5557894736842105</v>
      </c>
      <c r="Y35" s="38">
        <f t="shared" si="53"/>
        <v>12.76</v>
      </c>
      <c r="Z35" s="13">
        <f t="shared" ca="1" si="15"/>
        <v>7.3116209941310286</v>
      </c>
      <c r="AA35" s="13">
        <f t="shared" ca="1" si="16"/>
        <v>93.296283885111919</v>
      </c>
      <c r="AB35" s="38">
        <f t="shared" ca="1" si="17"/>
        <v>1988.5273113764774</v>
      </c>
      <c r="AC35" s="13">
        <f t="shared" ca="1" si="18"/>
        <v>6.0022123578947371</v>
      </c>
      <c r="AD35">
        <f>TRUNC(0.8*Main!B35/$T$9,0)</f>
        <v>2</v>
      </c>
      <c r="AE35">
        <f>TRUNC(0.8*Main!C35/$T$10,0)</f>
        <v>16</v>
      </c>
      <c r="AF35" s="41">
        <f t="shared" si="54"/>
        <v>22</v>
      </c>
      <c r="AG35" s="129">
        <f t="shared" ca="1" si="19"/>
        <v>1.4545454545454546</v>
      </c>
      <c r="AH35" s="38">
        <f t="shared" ca="1" si="20"/>
        <v>1.4545454545454546</v>
      </c>
      <c r="AI35" s="13">
        <f t="shared" ca="1" si="21"/>
        <v>83.931315995129097</v>
      </c>
      <c r="AJ35" s="132">
        <f t="shared" ca="1" si="22"/>
        <v>1</v>
      </c>
      <c r="AK35" s="41">
        <f t="shared" ca="1" si="23"/>
        <v>22</v>
      </c>
      <c r="AL35" s="38">
        <f t="shared" ca="1" si="24"/>
        <v>0.34375</v>
      </c>
      <c r="AM35" s="38">
        <f t="shared" si="25"/>
        <v>12.76</v>
      </c>
      <c r="AN35" s="13">
        <f t="shared" ca="1" si="26"/>
        <v>4.5221614221513526</v>
      </c>
      <c r="AO35" s="13">
        <f t="shared" ca="1" si="27"/>
        <v>57.70277974665126</v>
      </c>
      <c r="AP35" s="40">
        <f t="shared" ca="1" si="28"/>
        <v>301.09366628290235</v>
      </c>
      <c r="AQ35" s="38">
        <f t="shared" ca="1" si="29"/>
        <v>4.4046900000000004</v>
      </c>
      <c r="AR35" s="38">
        <f t="shared" ca="1" si="30"/>
        <v>4.4046900000000004</v>
      </c>
      <c r="AS35" s="38">
        <f t="shared" ca="1" si="31"/>
        <v>301.09366628290235</v>
      </c>
      <c r="AT35" s="38">
        <f t="shared" ca="1" si="32"/>
        <v>68.357515803133097</v>
      </c>
      <c r="AU35" s="13">
        <f t="shared" ca="1" si="33"/>
        <v>520.70000000000005</v>
      </c>
      <c r="AW35" s="1">
        <f t="shared" ca="1" si="34"/>
        <v>4.3171837555041783</v>
      </c>
      <c r="AX35" s="1">
        <f t="shared" ca="1" si="35"/>
        <v>52.332901484221644</v>
      </c>
      <c r="AY35" s="38">
        <f ca="1">AX35*(Endurance!G35+Endurance!N35)/3600</f>
        <v>174.53434539524415</v>
      </c>
      <c r="AZ35" s="13">
        <f t="shared" ca="1" si="36"/>
        <v>-27.875174728620436</v>
      </c>
      <c r="BA35" s="1">
        <f ca="1">Sun!$BC$21*BE35+Sun!$BC$22*BE35^2+Sun!$BC$23*BE35^3</f>
        <v>2.1551424971862945</v>
      </c>
      <c r="BB35" s="13">
        <f t="shared" ca="1" si="37"/>
        <v>151.5228966351751</v>
      </c>
      <c r="BC35" s="1">
        <f ca="1">Endurance!I35+Endurance!P35</f>
        <v>1330.6403960484449</v>
      </c>
      <c r="BD35" s="1">
        <f ca="1">Endurance!Y35</f>
        <v>281.03117137077174</v>
      </c>
      <c r="BE35" s="62">
        <f t="shared" ca="1" si="38"/>
        <v>2.8739368444169346</v>
      </c>
      <c r="BF35" s="13">
        <f t="shared" ca="1" si="39"/>
        <v>2.9709391724473626</v>
      </c>
      <c r="BG35" s="13">
        <f ca="1">BD35*(BE35-(Endurance!G35+Endurance!N35)/3600)</f>
        <v>-129.59523770074071</v>
      </c>
      <c r="BH35" s="13">
        <f t="shared" ca="1" si="40"/>
        <v>1201.0451583477043</v>
      </c>
      <c r="BI35" s="13" t="e">
        <f ca="1">(-2*Sun!$BC$22+SQRT(4*Sun!$BC$22^2-12*Sun!$BC$23*(Sun!$BC$21-BD35/(AM35*$T$7*IF($R$15=$U$16,AG35,AJ35)*$Q$6))))/(6*Sun!$BC$23)</f>
        <v>#NUM!</v>
      </c>
      <c r="BJ35" s="13" t="e">
        <f ca="1">-(AM35*$T$7*IF($R$15=$U$16,AG35,AJ35)*$Q$6*(Sun!$BC$21*BI35+Sun!$BC$22*BI35^2+Sun!$BC$23*BI35^3)-BD35*BI35-BC35)</f>
        <v>#NUM!</v>
      </c>
      <c r="BL35" s="13">
        <f t="shared" ca="1" si="41"/>
        <v>1988.5273113764777</v>
      </c>
      <c r="BM35" s="13">
        <f ca="1">Endurance!AN35/3600</f>
        <v>5.4926418231838641</v>
      </c>
      <c r="BN35" s="13">
        <f t="shared" ca="1" si="42"/>
        <v>362.03476858496629</v>
      </c>
      <c r="BO35" s="13">
        <f ca="1">'Propulsion-Cruise'!M35*0+BN35</f>
        <v>362.03476858496629</v>
      </c>
      <c r="BP35" s="38">
        <f t="shared" ca="1" si="43"/>
        <v>452.54346073120786</v>
      </c>
      <c r="BQ35" s="13">
        <f t="shared" ca="1" si="44"/>
        <v>22.627173036560393</v>
      </c>
      <c r="BR35" s="38">
        <f t="shared" si="55"/>
        <v>0</v>
      </c>
      <c r="BS35" s="38">
        <f t="shared" si="56"/>
        <v>0</v>
      </c>
      <c r="BT35" s="38">
        <f t="shared" si="57"/>
        <v>0</v>
      </c>
      <c r="BU35" s="38">
        <f t="shared" si="58"/>
        <v>0</v>
      </c>
      <c r="BV35" s="38">
        <f t="shared" si="59"/>
        <v>0</v>
      </c>
      <c r="BW35" s="38">
        <f t="shared" si="60"/>
        <v>0</v>
      </c>
      <c r="BY35" s="13">
        <f t="shared" ca="1" si="45"/>
        <v>1988.5273113764777</v>
      </c>
      <c r="BZ35" s="13">
        <f ca="1">Endurance!AN35/3600</f>
        <v>5.4926418231838641</v>
      </c>
      <c r="CA35" s="13">
        <f t="shared" ca="1" si="46"/>
        <v>362.03476858496629</v>
      </c>
      <c r="CB35" s="13">
        <f ca="1">'Propulsion-Cruise'!M35*0+CA35</f>
        <v>362.03476858496629</v>
      </c>
      <c r="CC35" s="13">
        <f t="shared" ca="1" si="47"/>
        <v>381.08923008943822</v>
      </c>
      <c r="CD35" s="38">
        <f t="shared" ca="1" si="48"/>
        <v>476.36153761179776</v>
      </c>
      <c r="CE35" s="38">
        <f ca="1">$AC$6*CD35*Endurance!$B$6*3600</f>
        <v>3.3345307632825842</v>
      </c>
      <c r="CF35" s="38">
        <f t="shared" ca="1" si="49"/>
        <v>32.711746787802156</v>
      </c>
      <c r="CG35" s="38">
        <f t="shared" ca="1" si="50"/>
        <v>3.8108923008943818</v>
      </c>
      <c r="CH35" s="38">
        <f t="shared" si="51"/>
        <v>0</v>
      </c>
      <c r="CI35" s="38">
        <f t="shared" si="61"/>
        <v>0</v>
      </c>
      <c r="CJ35" s="38">
        <f t="shared" si="62"/>
        <v>0</v>
      </c>
      <c r="CK35" s="38">
        <f t="shared" si="52"/>
        <v>0</v>
      </c>
      <c r="CL35" s="38">
        <f t="shared" si="63"/>
        <v>0</v>
      </c>
      <c r="CM35" s="38">
        <f t="shared" si="64"/>
        <v>0</v>
      </c>
    </row>
    <row r="36" spans="2:91">
      <c r="B36" s="13">
        <f ca="1">Endurance!AP36+Systems!D36</f>
        <v>1983.2984508298757</v>
      </c>
      <c r="C36" s="20">
        <f t="shared" ca="1" si="0"/>
        <v>93.99871480947948</v>
      </c>
      <c r="D36" s="13">
        <f t="shared" ca="1" si="1"/>
        <v>3557.7154749061392</v>
      </c>
      <c r="E36" s="13"/>
      <c r="F36" s="20">
        <f ca="1">MAX(Motor!$B$10*$B$6/$B$10,(Endurance!I36+Endurance!P36)*0+IF($F$11=1,IF(ISERROR(BJ36),1,BJ36),0),B36-AS36-BS36-CI36,BH36*0)</f>
        <v>1682.0393399286177</v>
      </c>
      <c r="G36" s="20">
        <f ca="1">IF(Endurance!$B$10=1,$B$9,F36/$B$12)</f>
        <v>89.59402480844625</v>
      </c>
      <c r="H36" s="13">
        <f t="shared" ca="1" si="2"/>
        <v>70.972124047620994</v>
      </c>
      <c r="I36" s="81">
        <f t="shared" ca="1" si="3"/>
        <v>71</v>
      </c>
      <c r="J36" s="14">
        <f t="shared" ca="1" si="4"/>
        <v>1682.7000000000003</v>
      </c>
      <c r="K36" s="97">
        <f t="shared" ca="1" si="5"/>
        <v>89.629214945454535</v>
      </c>
      <c r="L36" s="13">
        <f t="shared" ca="1" si="6"/>
        <v>1682.0393399286177</v>
      </c>
      <c r="M36" s="13">
        <f t="shared" ca="1" si="7"/>
        <v>89.59402480844625</v>
      </c>
      <c r="N36" s="13">
        <f t="shared" ca="1" si="8"/>
        <v>3037.0154748711152</v>
      </c>
      <c r="P36" s="13">
        <f t="shared" ca="1" si="9"/>
        <v>1983.2984508298757</v>
      </c>
      <c r="Q36" s="13">
        <f ca="1">Endurance!AN36/3600</f>
        <v>5.4956599140057643</v>
      </c>
      <c r="R36" s="13">
        <f t="shared" ca="1" si="10"/>
        <v>360.88449464920717</v>
      </c>
      <c r="S36" s="13">
        <f t="shared" ca="1" si="11"/>
        <v>360.88449464920717</v>
      </c>
      <c r="T36" s="13">
        <f t="shared" ca="1" si="12"/>
        <v>379.87841542021812</v>
      </c>
      <c r="U36" s="1">
        <f>0.8*Main!B36</f>
        <v>0.26666666666666661</v>
      </c>
      <c r="V36" s="1">
        <f>0.8*Main!C36</f>
        <v>2.147368421052632</v>
      </c>
      <c r="W36" s="49">
        <f t="shared" ca="1" si="13"/>
        <v>0.57263157894736838</v>
      </c>
      <c r="X36" s="1">
        <f t="shared" ca="1" si="14"/>
        <v>0.57263157894736838</v>
      </c>
      <c r="Y36" s="38">
        <f t="shared" si="53"/>
        <v>12.76</v>
      </c>
      <c r="Z36" s="13">
        <f t="shared" ca="1" si="15"/>
        <v>7.5331852666804533</v>
      </c>
      <c r="AA36" s="13">
        <f t="shared" ca="1" si="16"/>
        <v>96.123444002842589</v>
      </c>
      <c r="AB36" s="38">
        <f t="shared" ca="1" si="17"/>
        <v>1983.2984508298755</v>
      </c>
      <c r="AC36" s="13">
        <f t="shared" ca="1" si="18"/>
        <v>6.1291021263157894</v>
      </c>
      <c r="AD36">
        <f>TRUNC(0.8*Main!B36/$T$9,0)</f>
        <v>2</v>
      </c>
      <c r="AE36">
        <f>TRUNC(0.8*Main!C36/$T$10,0)</f>
        <v>17</v>
      </c>
      <c r="AF36" s="41">
        <f t="shared" si="54"/>
        <v>22</v>
      </c>
      <c r="AG36" s="129">
        <f t="shared" ca="1" si="19"/>
        <v>1.5454545454545454</v>
      </c>
      <c r="AH36" s="38">
        <f t="shared" ca="1" si="20"/>
        <v>1.5454545454545454</v>
      </c>
      <c r="AI36" s="13">
        <f t="shared" ca="1" si="21"/>
        <v>89.177023244824667</v>
      </c>
      <c r="AJ36" s="132">
        <f t="shared" ca="1" si="22"/>
        <v>1</v>
      </c>
      <c r="AK36" s="41">
        <f t="shared" ca="1" si="23"/>
        <v>22</v>
      </c>
      <c r="AL36" s="38">
        <f t="shared" ca="1" si="24"/>
        <v>0.34375</v>
      </c>
      <c r="AM36" s="38">
        <f t="shared" si="25"/>
        <v>12.76</v>
      </c>
      <c r="AN36" s="13">
        <f t="shared" ca="1" si="26"/>
        <v>4.5221614221513526</v>
      </c>
      <c r="AO36" s="13">
        <f t="shared" ca="1" si="27"/>
        <v>57.70277974665126</v>
      </c>
      <c r="AP36" s="40">
        <f t="shared" ca="1" si="28"/>
        <v>301.25911090135622</v>
      </c>
      <c r="AQ36" s="38">
        <f t="shared" ca="1" si="29"/>
        <v>4.4046900000000004</v>
      </c>
      <c r="AR36" s="38">
        <f t="shared" ca="1" si="30"/>
        <v>4.4046900000000004</v>
      </c>
      <c r="AS36" s="38">
        <f t="shared" ca="1" si="31"/>
        <v>301.25911090135622</v>
      </c>
      <c r="AT36" s="38">
        <f t="shared" ca="1" si="32"/>
        <v>68.395076816156461</v>
      </c>
      <c r="AU36" s="13">
        <f t="shared" ca="1" si="33"/>
        <v>520.70000000000005</v>
      </c>
      <c r="AW36" s="1">
        <f t="shared" ca="1" si="34"/>
        <v>4.3171837555041783</v>
      </c>
      <c r="AX36" s="1">
        <f t="shared" ca="1" si="35"/>
        <v>52.332901484221644</v>
      </c>
      <c r="AY36" s="38">
        <f ca="1">AX36*(Endurance!G36+Endurance!N36)/3600</f>
        <v>174.53428937255609</v>
      </c>
      <c r="AZ36" s="13">
        <f t="shared" ca="1" si="36"/>
        <v>-39.855162859842835</v>
      </c>
      <c r="BA36" s="1">
        <f ca="1">Sun!$BC$21*BE36+Sun!$BC$22*BE36^2+Sun!$BC$23*BE36^3</f>
        <v>3.6846359040516781</v>
      </c>
      <c r="BB36" s="13">
        <f t="shared" ca="1" si="37"/>
        <v>259.0579072877037</v>
      </c>
      <c r="BC36" s="1">
        <f ca="1">Endurance!I36+Endurance!P36</f>
        <v>1340.8344875579578</v>
      </c>
      <c r="BD36" s="1">
        <f ca="1">Endurance!Y36</f>
        <v>273.34932608883372</v>
      </c>
      <c r="BE36" s="62">
        <f t="shared" ca="1" si="38"/>
        <v>9.0987318404505082</v>
      </c>
      <c r="BF36" s="13">
        <f t="shared" ca="1" si="39"/>
        <v>9.5203573986705425</v>
      </c>
      <c r="BG36" s="13">
        <f ca="1">BD36*(BE36-(Endurance!G36+Endurance!N36)/3600)</f>
        <v>1575.4909925666968</v>
      </c>
      <c r="BH36" s="13">
        <f t="shared" ca="1" si="40"/>
        <v>2916.3254801246549</v>
      </c>
      <c r="BI36" s="13" t="e">
        <f ca="1">(-2*Sun!$BC$22+SQRT(4*Sun!$BC$22^2-12*Sun!$BC$23*(Sun!$BC$21-BD36/(AM36*$T$7*IF($R$15=$U$16,AG36,AJ36)*$Q$6))))/(6*Sun!$BC$23)</f>
        <v>#NUM!</v>
      </c>
      <c r="BJ36" s="13" t="e">
        <f ca="1">-(AM36*$T$7*IF($R$15=$U$16,AG36,AJ36)*$Q$6*(Sun!$BC$21*BI36+Sun!$BC$22*BI36^2+Sun!$BC$23*BI36^3)-BD36*BI36-BC36)</f>
        <v>#NUM!</v>
      </c>
      <c r="BL36" s="13">
        <f t="shared" ca="1" si="41"/>
        <v>1983.2984508298757</v>
      </c>
      <c r="BM36" s="13">
        <f ca="1">Endurance!AN36/3600</f>
        <v>5.4956599140057643</v>
      </c>
      <c r="BN36" s="13">
        <f t="shared" ca="1" si="42"/>
        <v>360.88449464920717</v>
      </c>
      <c r="BO36" s="13">
        <f ca="1">'Propulsion-Cruise'!M36*0+BN36</f>
        <v>360.88449464920717</v>
      </c>
      <c r="BP36" s="38">
        <f t="shared" ca="1" si="43"/>
        <v>451.10561831150892</v>
      </c>
      <c r="BQ36" s="13">
        <f t="shared" ca="1" si="44"/>
        <v>22.555280915575445</v>
      </c>
      <c r="BR36" s="38">
        <f t="shared" si="55"/>
        <v>0</v>
      </c>
      <c r="BS36" s="38">
        <f t="shared" si="56"/>
        <v>0</v>
      </c>
      <c r="BT36" s="38">
        <f t="shared" si="57"/>
        <v>0</v>
      </c>
      <c r="BU36" s="38">
        <f t="shared" si="58"/>
        <v>0</v>
      </c>
      <c r="BV36" s="38">
        <f t="shared" si="59"/>
        <v>0</v>
      </c>
      <c r="BW36" s="38">
        <f t="shared" si="60"/>
        <v>0</v>
      </c>
      <c r="BY36" s="13">
        <f t="shared" ca="1" si="45"/>
        <v>1983.2984508298757</v>
      </c>
      <c r="BZ36" s="13">
        <f ca="1">Endurance!AN36/3600</f>
        <v>5.4956599140057643</v>
      </c>
      <c r="CA36" s="13">
        <f t="shared" ca="1" si="46"/>
        <v>360.88449464920717</v>
      </c>
      <c r="CB36" s="13">
        <f ca="1">'Propulsion-Cruise'!M36*0+CA36</f>
        <v>360.88449464920717</v>
      </c>
      <c r="CC36" s="13">
        <f t="shared" ca="1" si="47"/>
        <v>379.87841542021812</v>
      </c>
      <c r="CD36" s="38">
        <f t="shared" ca="1" si="48"/>
        <v>474.84801927527263</v>
      </c>
      <c r="CE36" s="38">
        <f ca="1">$AC$6*CD36*Endurance!$B$6*3600</f>
        <v>3.3239361349269081</v>
      </c>
      <c r="CF36" s="38">
        <f t="shared" ca="1" si="49"/>
        <v>32.607813483632967</v>
      </c>
      <c r="CG36" s="38">
        <f t="shared" ca="1" si="50"/>
        <v>3.7987841542021807</v>
      </c>
      <c r="CH36" s="38">
        <f t="shared" si="51"/>
        <v>0</v>
      </c>
      <c r="CI36" s="38">
        <f t="shared" si="61"/>
        <v>0</v>
      </c>
      <c r="CJ36" s="38">
        <f t="shared" si="62"/>
        <v>0</v>
      </c>
      <c r="CK36" s="38">
        <f t="shared" si="52"/>
        <v>0</v>
      </c>
      <c r="CL36" s="38">
        <f t="shared" si="63"/>
        <v>0</v>
      </c>
      <c r="CM36" s="38">
        <f t="shared" si="64"/>
        <v>0</v>
      </c>
    </row>
    <row r="37" spans="2:91">
      <c r="B37" s="13">
        <f ca="1">Endurance!AP37+Systems!D37</f>
        <v>1978.5520983084164</v>
      </c>
      <c r="C37" s="20">
        <f t="shared" ca="1" si="0"/>
        <v>93.737335949832584</v>
      </c>
      <c r="D37" s="13">
        <f t="shared" ca="1" si="1"/>
        <v>3548.8553791213035</v>
      </c>
      <c r="E37" s="13"/>
      <c r="F37" s="20">
        <f ca="1">MAX(Motor!$B$10*$B$6/$B$10,(Endurance!I37+Endurance!P37)*0+IF($F$11=1,IF(ISERROR(BJ37),1,BJ37),0),B37-AS37-BS37-CI37,BH37*0)</f>
        <v>1677.1322099550873</v>
      </c>
      <c r="G37" s="20">
        <f ca="1">IF(Endurance!$B$10=1,$B$9,F37/$B$12)</f>
        <v>89.332645948778563</v>
      </c>
      <c r="H37" s="13">
        <f t="shared" ca="1" si="2"/>
        <v>70.765072150003675</v>
      </c>
      <c r="I37" s="81">
        <f t="shared" ca="1" si="3"/>
        <v>71</v>
      </c>
      <c r="J37" s="14">
        <f t="shared" ca="1" si="4"/>
        <v>1682.7000000000003</v>
      </c>
      <c r="K37" s="97">
        <f t="shared" ca="1" si="5"/>
        <v>89.629214945454535</v>
      </c>
      <c r="L37" s="13">
        <f t="shared" ca="1" si="6"/>
        <v>1677.1322099550873</v>
      </c>
      <c r="M37" s="13">
        <f t="shared" ca="1" si="7"/>
        <v>89.332645948778563</v>
      </c>
      <c r="N37" s="13">
        <f t="shared" ca="1" si="8"/>
        <v>3028.1553790855742</v>
      </c>
      <c r="P37" s="13">
        <f t="shared" ca="1" si="9"/>
        <v>1978.5520983084164</v>
      </c>
      <c r="Q37" s="13">
        <f ca="1">Endurance!AN37/3600</f>
        <v>5.4985928649654934</v>
      </c>
      <c r="R37" s="13">
        <f t="shared" ca="1" si="10"/>
        <v>359.82880473199623</v>
      </c>
      <c r="S37" s="13">
        <f t="shared" ca="1" si="11"/>
        <v>359.82880473199623</v>
      </c>
      <c r="T37" s="13">
        <f t="shared" ca="1" si="12"/>
        <v>378.76716287578552</v>
      </c>
      <c r="U37" s="1">
        <f>0.8*Main!B37</f>
        <v>0.26666666666666661</v>
      </c>
      <c r="V37" s="1">
        <f>0.8*Main!C37</f>
        <v>2.2105263157894739</v>
      </c>
      <c r="W37" s="49">
        <f t="shared" ca="1" si="13"/>
        <v>0.58947368421052626</v>
      </c>
      <c r="X37" s="1">
        <f t="shared" ca="1" si="14"/>
        <v>0.58947368421052626</v>
      </c>
      <c r="Y37" s="38">
        <f t="shared" si="53"/>
        <v>12.76</v>
      </c>
      <c r="Z37" s="13">
        <f t="shared" ca="1" si="15"/>
        <v>7.754749539229878</v>
      </c>
      <c r="AA37" s="13">
        <f t="shared" ca="1" si="16"/>
        <v>98.950604120573232</v>
      </c>
      <c r="AB37" s="38">
        <f t="shared" ca="1" si="17"/>
        <v>1978.5520983084161</v>
      </c>
      <c r="AC37" s="13">
        <f t="shared" ca="1" si="18"/>
        <v>6.2559918947368418</v>
      </c>
      <c r="AD37">
        <f>TRUNC(0.8*Main!B37/$T$9,0)</f>
        <v>2</v>
      </c>
      <c r="AE37">
        <f>TRUNC(0.8*Main!C37/$T$10,0)</f>
        <v>17</v>
      </c>
      <c r="AF37" s="41">
        <f t="shared" si="54"/>
        <v>22</v>
      </c>
      <c r="AG37" s="129">
        <f t="shared" ca="1" si="19"/>
        <v>1.5454545454545454</v>
      </c>
      <c r="AH37" s="38">
        <f t="shared" ca="1" si="20"/>
        <v>1.5454545454545454</v>
      </c>
      <c r="AI37" s="13">
        <f t="shared" ca="1" si="21"/>
        <v>89.177023244824667</v>
      </c>
      <c r="AJ37" s="132">
        <f t="shared" ca="1" si="22"/>
        <v>1</v>
      </c>
      <c r="AK37" s="41">
        <f t="shared" ca="1" si="23"/>
        <v>22</v>
      </c>
      <c r="AL37" s="38">
        <f t="shared" ca="1" si="24"/>
        <v>0.34375</v>
      </c>
      <c r="AM37" s="38">
        <f t="shared" si="25"/>
        <v>12.76</v>
      </c>
      <c r="AN37" s="13">
        <f t="shared" ca="1" si="26"/>
        <v>4.5221614221513526</v>
      </c>
      <c r="AO37" s="13">
        <f t="shared" ca="1" si="27"/>
        <v>57.70277974665126</v>
      </c>
      <c r="AP37" s="40">
        <f t="shared" ca="1" si="28"/>
        <v>301.41988835343136</v>
      </c>
      <c r="AQ37" s="38">
        <f t="shared" ca="1" si="29"/>
        <v>4.4046900000000004</v>
      </c>
      <c r="AR37" s="38">
        <f t="shared" ca="1" si="30"/>
        <v>4.4046900000000004</v>
      </c>
      <c r="AS37" s="38">
        <f t="shared" ca="1" si="31"/>
        <v>301.41988835343136</v>
      </c>
      <c r="AT37" s="38">
        <f t="shared" ca="1" si="32"/>
        <v>68.431578238975121</v>
      </c>
      <c r="AU37" s="13">
        <f t="shared" ca="1" si="33"/>
        <v>520.70000000000005</v>
      </c>
      <c r="AW37" s="1">
        <f t="shared" ca="1" si="34"/>
        <v>4.3171837555041783</v>
      </c>
      <c r="AX37" s="1">
        <f t="shared" ca="1" si="35"/>
        <v>52.332901484221644</v>
      </c>
      <c r="AY37" s="38">
        <f ca="1">AX37*(Endurance!G37+Endurance!N37)/3600</f>
        <v>174.53424826984269</v>
      </c>
      <c r="AZ37" s="13">
        <f t="shared" ca="1" si="36"/>
        <v>-104876850.59755081</v>
      </c>
      <c r="BA37" s="1">
        <f ca="1">Sun!$BC$21*BE37+Sun!$BC$22*BE37^2+Sun!$BC$23*BE37^3</f>
        <v>-1469328.3657465142</v>
      </c>
      <c r="BB37" s="13">
        <f t="shared" ca="1" si="37"/>
        <v>-103304951.00755961</v>
      </c>
      <c r="BC37" s="1">
        <f ca="1">Endurance!I37+Endurance!P37</f>
        <v>1350.2643318430751</v>
      </c>
      <c r="BD37" s="1">
        <f ca="1">Endurance!Y37</f>
        <v>266.28674810566855</v>
      </c>
      <c r="BE37" s="62">
        <f t="shared" ca="1" si="38"/>
        <v>546.94448775404419</v>
      </c>
      <c r="BF37" s="13">
        <f t="shared" ca="1" si="39"/>
        <v>544.20587814098451</v>
      </c>
      <c r="BG37" s="13">
        <f ca="1">BD37*(BE37-(Endurance!G37+Endurance!N37)/3600)</f>
        <v>144755.98226909043</v>
      </c>
      <c r="BH37" s="13">
        <f t="shared" ca="1" si="40"/>
        <v>146106.24660093349</v>
      </c>
      <c r="BI37" s="13" t="e">
        <f ca="1">(-2*Sun!$BC$22+SQRT(4*Sun!$BC$22^2-12*Sun!$BC$23*(Sun!$BC$21-BD37/(AM37*$T$7*IF($R$15=$U$16,AG37,AJ37)*$Q$6))))/(6*Sun!$BC$23)</f>
        <v>#NUM!</v>
      </c>
      <c r="BJ37" s="13" t="e">
        <f ca="1">-(AM37*$T$7*IF($R$15=$U$16,AG37,AJ37)*$Q$6*(Sun!$BC$21*BI37+Sun!$BC$22*BI37^2+Sun!$BC$23*BI37^3)-BD37*BI37-BC37)</f>
        <v>#NUM!</v>
      </c>
      <c r="BL37" s="13">
        <f t="shared" ca="1" si="41"/>
        <v>1978.5520983084164</v>
      </c>
      <c r="BM37" s="13">
        <f ca="1">Endurance!AN37/3600</f>
        <v>5.4985928649654934</v>
      </c>
      <c r="BN37" s="13">
        <f t="shared" ca="1" si="42"/>
        <v>359.82880473199623</v>
      </c>
      <c r="BO37" s="13">
        <f ca="1">'Propulsion-Cruise'!M37*0+BN37</f>
        <v>359.82880473199623</v>
      </c>
      <c r="BP37" s="38">
        <f t="shared" ca="1" si="43"/>
        <v>449.78600591499526</v>
      </c>
      <c r="BQ37" s="13">
        <f t="shared" ca="1" si="44"/>
        <v>22.489300295749764</v>
      </c>
      <c r="BR37" s="38">
        <f t="shared" si="55"/>
        <v>0</v>
      </c>
      <c r="BS37" s="38">
        <f t="shared" si="56"/>
        <v>0</v>
      </c>
      <c r="BT37" s="38">
        <f t="shared" si="57"/>
        <v>0</v>
      </c>
      <c r="BU37" s="38">
        <f t="shared" si="58"/>
        <v>0</v>
      </c>
      <c r="BV37" s="38">
        <f t="shared" si="59"/>
        <v>0</v>
      </c>
      <c r="BW37" s="38">
        <f t="shared" si="60"/>
        <v>0</v>
      </c>
      <c r="BY37" s="13">
        <f t="shared" ca="1" si="45"/>
        <v>1978.5520983084164</v>
      </c>
      <c r="BZ37" s="13">
        <f ca="1">Endurance!AN37/3600</f>
        <v>5.4985928649654934</v>
      </c>
      <c r="CA37" s="13">
        <f t="shared" ca="1" si="46"/>
        <v>359.82880473199623</v>
      </c>
      <c r="CB37" s="13">
        <f ca="1">'Propulsion-Cruise'!M37*0+CA37</f>
        <v>359.82880473199623</v>
      </c>
      <c r="CC37" s="13">
        <f t="shared" ca="1" si="47"/>
        <v>378.76716287578552</v>
      </c>
      <c r="CD37" s="38">
        <f t="shared" ca="1" si="48"/>
        <v>473.4589535947319</v>
      </c>
      <c r="CE37" s="38">
        <f ca="1">$AC$6*CD37*Endurance!$B$6*3600</f>
        <v>3.3142126751631231</v>
      </c>
      <c r="CF37" s="38">
        <f t="shared" ca="1" si="49"/>
        <v>32.512426343350242</v>
      </c>
      <c r="CG37" s="38">
        <f t="shared" ca="1" si="50"/>
        <v>3.7876716287578551</v>
      </c>
      <c r="CH37" s="38">
        <f t="shared" si="51"/>
        <v>0</v>
      </c>
      <c r="CI37" s="38">
        <f t="shared" si="61"/>
        <v>0</v>
      </c>
      <c r="CJ37" s="38">
        <f t="shared" si="62"/>
        <v>0</v>
      </c>
      <c r="CK37" s="38">
        <f t="shared" si="52"/>
        <v>0</v>
      </c>
      <c r="CL37" s="38">
        <f t="shared" si="63"/>
        <v>0</v>
      </c>
      <c r="CM37" s="38">
        <f t="shared" si="64"/>
        <v>0</v>
      </c>
    </row>
    <row r="38" spans="2:91">
      <c r="B38" s="13">
        <f ca="1">Endurance!AP38+Systems!D38</f>
        <v>1974.2350182281571</v>
      </c>
      <c r="C38" s="20">
        <f t="shared" ca="1" si="0"/>
        <v>93.499062327971714</v>
      </c>
      <c r="D38" s="13">
        <f t="shared" ca="1" si="1"/>
        <v>3540.778493654977</v>
      </c>
      <c r="E38" s="13"/>
      <c r="F38" s="20">
        <f ca="1">MAX(Motor!$B$10*$B$6/$B$10,(Endurance!I38+Endurance!P38)*0+IF($F$11=1,IF(ISERROR(BJ38),1,BJ38),0),B38-AS38-BS38-CI38,BH38*0)</f>
        <v>1672.6588580041289</v>
      </c>
      <c r="G38" s="20">
        <f ca="1">IF(Endurance!$B$10=1,$B$9,F38/$B$12)</f>
        <v>89.094372326897584</v>
      </c>
      <c r="H38" s="13">
        <f t="shared" ca="1" si="2"/>
        <v>70.576323122537076</v>
      </c>
      <c r="I38" s="81">
        <f t="shared" ca="1" si="3"/>
        <v>71</v>
      </c>
      <c r="J38" s="14">
        <f t="shared" ca="1" si="4"/>
        <v>1682.7000000000003</v>
      </c>
      <c r="K38" s="97">
        <f t="shared" ca="1" si="5"/>
        <v>89.629214945454535</v>
      </c>
      <c r="L38" s="13">
        <f t="shared" ca="1" si="6"/>
        <v>1672.6588580041289</v>
      </c>
      <c r="M38" s="13">
        <f t="shared" ca="1" si="7"/>
        <v>89.094372326897584</v>
      </c>
      <c r="N38" s="13">
        <f t="shared" ca="1" si="8"/>
        <v>3020.078493618566</v>
      </c>
      <c r="P38" s="13">
        <f t="shared" ca="1" si="9"/>
        <v>1974.2350182281571</v>
      </c>
      <c r="Q38" s="13">
        <f ca="1">Endurance!AN38/3600</f>
        <v>5.501443623745665</v>
      </c>
      <c r="R38" s="13">
        <f t="shared" ca="1" si="10"/>
        <v>358.8576296059536</v>
      </c>
      <c r="S38" s="13">
        <f t="shared" ca="1" si="11"/>
        <v>358.8576296059536</v>
      </c>
      <c r="T38" s="13">
        <f t="shared" ca="1" si="12"/>
        <v>377.74487326942489</v>
      </c>
      <c r="U38" s="1">
        <f>0.8*Main!B38</f>
        <v>0.26666666666666661</v>
      </c>
      <c r="V38" s="1">
        <f>0.8*Main!C38</f>
        <v>2.2736842105263162</v>
      </c>
      <c r="W38" s="49">
        <f t="shared" ca="1" si="13"/>
        <v>0.60631578947368414</v>
      </c>
      <c r="X38" s="1">
        <f t="shared" ca="1" si="14"/>
        <v>0.60631578947368414</v>
      </c>
      <c r="Y38" s="38">
        <f t="shared" si="53"/>
        <v>12.76</v>
      </c>
      <c r="Z38" s="13">
        <f t="shared" ca="1" si="15"/>
        <v>7.9763138117793027</v>
      </c>
      <c r="AA38" s="13">
        <f t="shared" ca="1" si="16"/>
        <v>101.77776423830392</v>
      </c>
      <c r="AB38" s="38">
        <f t="shared" ca="1" si="17"/>
        <v>1974.2350182281571</v>
      </c>
      <c r="AC38" s="13">
        <f t="shared" ca="1" si="18"/>
        <v>6.3828816631578942</v>
      </c>
      <c r="AD38">
        <f>TRUNC(0.8*Main!B38/$T$9,0)</f>
        <v>2</v>
      </c>
      <c r="AE38">
        <f>TRUNC(0.8*Main!C38/$T$10,0)</f>
        <v>18</v>
      </c>
      <c r="AF38" s="41">
        <f t="shared" si="54"/>
        <v>22</v>
      </c>
      <c r="AG38" s="129">
        <f t="shared" ca="1" si="19"/>
        <v>1.6363636363636365</v>
      </c>
      <c r="AH38" s="38">
        <f t="shared" ca="1" si="20"/>
        <v>1.6363636363636365</v>
      </c>
      <c r="AI38" s="13">
        <f t="shared" ca="1" si="21"/>
        <v>94.422730494520252</v>
      </c>
      <c r="AJ38" s="132">
        <f t="shared" ca="1" si="22"/>
        <v>1</v>
      </c>
      <c r="AK38" s="41">
        <f t="shared" ca="1" si="23"/>
        <v>22</v>
      </c>
      <c r="AL38" s="38">
        <f t="shared" ca="1" si="24"/>
        <v>0.34375</v>
      </c>
      <c r="AM38" s="38">
        <f t="shared" si="25"/>
        <v>12.76</v>
      </c>
      <c r="AN38" s="13">
        <f t="shared" ca="1" si="26"/>
        <v>4.5221614221513526</v>
      </c>
      <c r="AO38" s="13">
        <f t="shared" ca="1" si="27"/>
        <v>57.70277974665126</v>
      </c>
      <c r="AP38" s="40">
        <f t="shared" ca="1" si="28"/>
        <v>301.5761602241343</v>
      </c>
      <c r="AQ38" s="38">
        <f t="shared" ca="1" si="29"/>
        <v>4.4046900000000004</v>
      </c>
      <c r="AR38" s="38">
        <f t="shared" ca="1" si="30"/>
        <v>4.4046900000000004</v>
      </c>
      <c r="AS38" s="38">
        <f t="shared" ca="1" si="31"/>
        <v>301.5761602241343</v>
      </c>
      <c r="AT38" s="38">
        <f t="shared" ca="1" si="32"/>
        <v>68.467056756351582</v>
      </c>
      <c r="AU38" s="13">
        <f t="shared" ca="1" si="33"/>
        <v>520.70000000000005</v>
      </c>
      <c r="AW38" s="1">
        <f t="shared" ca="1" si="34"/>
        <v>4.3171837555041783</v>
      </c>
      <c r="AX38" s="1">
        <f t="shared" ca="1" si="35"/>
        <v>52.332901484221644</v>
      </c>
      <c r="AY38" s="38">
        <f ca="1">AX38*(Endurance!G38+Endurance!N38)/3600</f>
        <v>174.53422069657566</v>
      </c>
      <c r="AZ38" s="13">
        <f t="shared" ca="1" si="36"/>
        <v>-61.30546865068149</v>
      </c>
      <c r="BA38" s="1">
        <f ca="1">Sun!$BC$21*BE38+Sun!$BC$22*BE38^2+Sun!$BC$23*BE38^3</f>
        <v>1.6770662174795765</v>
      </c>
      <c r="BB38" s="13">
        <f t="shared" ca="1" si="37"/>
        <v>117.91050079206705</v>
      </c>
      <c r="BC38" s="1">
        <f ca="1">Endurance!I38+Endurance!P38</f>
        <v>1359.008969814596</v>
      </c>
      <c r="BD38" s="1">
        <f ca="1">Endurance!Y38</f>
        <v>259.77783932761542</v>
      </c>
      <c r="BE38" s="62">
        <f t="shared" ca="1" si="38"/>
        <v>2.2380445964979727</v>
      </c>
      <c r="BF38" s="13">
        <f t="shared" ca="1" si="39"/>
        <v>2.3266389299118515</v>
      </c>
      <c r="BG38" s="13">
        <f ca="1">BD38*(BE38-(Endurance!G38+Endurance!N38)/3600)</f>
        <v>-284.98453179628478</v>
      </c>
      <c r="BH38" s="13">
        <f t="shared" ca="1" si="40"/>
        <v>1074.0244380183112</v>
      </c>
      <c r="BI38" s="13" t="e">
        <f ca="1">(-2*Sun!$BC$22+SQRT(4*Sun!$BC$22^2-12*Sun!$BC$23*(Sun!$BC$21-BD38/(AM38*$T$7*IF($R$15=$U$16,AG38,AJ38)*$Q$6))))/(6*Sun!$BC$23)</f>
        <v>#NUM!</v>
      </c>
      <c r="BJ38" s="13" t="e">
        <f ca="1">-(AM38*$T$7*IF($R$15=$U$16,AG38,AJ38)*$Q$6*(Sun!$BC$21*BI38+Sun!$BC$22*BI38^2+Sun!$BC$23*BI38^3)-BD38*BI38-BC38)</f>
        <v>#NUM!</v>
      </c>
      <c r="BL38" s="13">
        <f t="shared" ca="1" si="41"/>
        <v>1974.2350182281571</v>
      </c>
      <c r="BM38" s="13">
        <f ca="1">Endurance!AN38/3600</f>
        <v>5.501443623745665</v>
      </c>
      <c r="BN38" s="13">
        <f t="shared" ca="1" si="42"/>
        <v>358.8576296059536</v>
      </c>
      <c r="BO38" s="13">
        <f ca="1">'Propulsion-Cruise'!M38*0+BN38</f>
        <v>358.8576296059536</v>
      </c>
      <c r="BP38" s="38">
        <f t="shared" ca="1" si="43"/>
        <v>448.57203700744196</v>
      </c>
      <c r="BQ38" s="13">
        <f t="shared" ca="1" si="44"/>
        <v>22.428601850372097</v>
      </c>
      <c r="BR38" s="38">
        <f t="shared" si="55"/>
        <v>0</v>
      </c>
      <c r="BS38" s="38">
        <f t="shared" si="56"/>
        <v>0</v>
      </c>
      <c r="BT38" s="38">
        <f t="shared" si="57"/>
        <v>0</v>
      </c>
      <c r="BU38" s="38">
        <f t="shared" si="58"/>
        <v>0</v>
      </c>
      <c r="BV38" s="38">
        <f t="shared" si="59"/>
        <v>0</v>
      </c>
      <c r="BW38" s="38">
        <f t="shared" si="60"/>
        <v>0</v>
      </c>
      <c r="BY38" s="13">
        <f t="shared" ca="1" si="45"/>
        <v>1974.2350182281571</v>
      </c>
      <c r="BZ38" s="13">
        <f ca="1">Endurance!AN38/3600</f>
        <v>5.501443623745665</v>
      </c>
      <c r="CA38" s="13">
        <f t="shared" ca="1" si="46"/>
        <v>358.8576296059536</v>
      </c>
      <c r="CB38" s="13">
        <f ca="1">'Propulsion-Cruise'!M38*0+CA38</f>
        <v>358.8576296059536</v>
      </c>
      <c r="CC38" s="13">
        <f t="shared" ca="1" si="47"/>
        <v>377.74487326942489</v>
      </c>
      <c r="CD38" s="38">
        <f t="shared" ca="1" si="48"/>
        <v>472.18109158678106</v>
      </c>
      <c r="CE38" s="38">
        <f ca="1">$AC$6*CD38*Endurance!$B$6*3600</f>
        <v>3.3052676411074673</v>
      </c>
      <c r="CF38" s="38">
        <f t="shared" ca="1" si="49"/>
        <v>32.424675559264259</v>
      </c>
      <c r="CG38" s="38">
        <f t="shared" ca="1" si="50"/>
        <v>3.7774487326942485</v>
      </c>
      <c r="CH38" s="38">
        <f t="shared" si="51"/>
        <v>0</v>
      </c>
      <c r="CI38" s="38">
        <f t="shared" si="61"/>
        <v>0</v>
      </c>
      <c r="CJ38" s="38">
        <f t="shared" si="62"/>
        <v>0</v>
      </c>
      <c r="CK38" s="38">
        <f t="shared" si="52"/>
        <v>0</v>
      </c>
      <c r="CL38" s="38">
        <f t="shared" si="63"/>
        <v>0</v>
      </c>
      <c r="CM38" s="38">
        <f t="shared" si="64"/>
        <v>0</v>
      </c>
    </row>
    <row r="39" spans="2:91">
      <c r="B39" s="13">
        <f ca="1">Endurance!AP39+Systems!D39</f>
        <v>1970.30166181612</v>
      </c>
      <c r="C39" s="20">
        <f t="shared" ca="1" si="0"/>
        <v>93.281459508442836</v>
      </c>
      <c r="D39" s="13">
        <f t="shared" ca="1" si="1"/>
        <v>3533.402297176498</v>
      </c>
      <c r="E39" s="13"/>
      <c r="F39" s="20">
        <f ca="1">MAX(Motor!$B$10*$B$6/$B$10,(Endurance!I39+Endurance!P39)*0+IF($F$11=1,IF(ISERROR(BJ39),1,BJ39),0),B39-AS39-BS39-CI39,BH39*0)</f>
        <v>1668.573579954144</v>
      </c>
      <c r="G39" s="20">
        <f ca="1">IF(Endurance!$B$10=1,$B$9,F39/$B$12)</f>
        <v>88.876769507349209</v>
      </c>
      <c r="H39" s="13">
        <f t="shared" ca="1" si="2"/>
        <v>70.403948521271886</v>
      </c>
      <c r="I39" s="81">
        <f t="shared" ca="1" si="3"/>
        <v>71</v>
      </c>
      <c r="J39" s="14">
        <f t="shared" ca="1" si="4"/>
        <v>1682.7000000000003</v>
      </c>
      <c r="K39" s="97">
        <f t="shared" ca="1" si="5"/>
        <v>89.629214945454535</v>
      </c>
      <c r="L39" s="13">
        <f t="shared" ca="1" si="6"/>
        <v>1668.573579954144</v>
      </c>
      <c r="M39" s="13">
        <f t="shared" ca="1" si="7"/>
        <v>88.876769507349209</v>
      </c>
      <c r="N39" s="13">
        <f t="shared" ca="1" si="8"/>
        <v>3012.7022971394267</v>
      </c>
      <c r="P39" s="13">
        <f t="shared" ca="1" si="9"/>
        <v>1970.30166181612</v>
      </c>
      <c r="Q39" s="13">
        <f ca="1">Endurance!AN39/3600</f>
        <v>5.5042150242628631</v>
      </c>
      <c r="R39" s="13">
        <f t="shared" ca="1" si="10"/>
        <v>357.96233488897673</v>
      </c>
      <c r="S39" s="13">
        <f t="shared" ca="1" si="11"/>
        <v>357.96233488897673</v>
      </c>
      <c r="T39" s="13">
        <f t="shared" ca="1" si="12"/>
        <v>376.80245777787025</v>
      </c>
      <c r="U39" s="1">
        <f>0.8*Main!B39</f>
        <v>0.26666666666666661</v>
      </c>
      <c r="V39" s="1">
        <f>0.8*Main!C39</f>
        <v>2.3368421052631585</v>
      </c>
      <c r="W39" s="49">
        <f t="shared" ca="1" si="13"/>
        <v>0.62315789473684213</v>
      </c>
      <c r="X39" s="1">
        <f t="shared" ca="1" si="14"/>
        <v>0.62315789473684213</v>
      </c>
      <c r="Y39" s="38">
        <f t="shared" si="53"/>
        <v>12.76</v>
      </c>
      <c r="Z39" s="13">
        <f t="shared" ca="1" si="15"/>
        <v>8.19787808432873</v>
      </c>
      <c r="AA39" s="13">
        <f t="shared" ca="1" si="16"/>
        <v>104.6049243560346</v>
      </c>
      <c r="AB39" s="38">
        <f t="shared" ca="1" si="17"/>
        <v>1970.3016618161203</v>
      </c>
      <c r="AC39" s="13">
        <f t="shared" ca="1" si="18"/>
        <v>6.5097714315789474</v>
      </c>
      <c r="AD39">
        <f>TRUNC(0.8*Main!B39/$T$9,0)</f>
        <v>2</v>
      </c>
      <c r="AE39">
        <f>TRUNC(0.8*Main!C39/$T$10,0)</f>
        <v>18</v>
      </c>
      <c r="AF39" s="41">
        <f t="shared" si="54"/>
        <v>22</v>
      </c>
      <c r="AG39" s="129">
        <f t="shared" ca="1" si="19"/>
        <v>1.6363636363636365</v>
      </c>
      <c r="AH39" s="38">
        <f t="shared" ca="1" si="20"/>
        <v>1.6363636363636365</v>
      </c>
      <c r="AI39" s="13">
        <f t="shared" ca="1" si="21"/>
        <v>94.422730494520252</v>
      </c>
      <c r="AJ39" s="132">
        <f t="shared" ca="1" si="22"/>
        <v>1</v>
      </c>
      <c r="AK39" s="41">
        <f t="shared" ca="1" si="23"/>
        <v>22</v>
      </c>
      <c r="AL39" s="38">
        <f t="shared" ca="1" si="24"/>
        <v>0.34375</v>
      </c>
      <c r="AM39" s="38">
        <f t="shared" si="25"/>
        <v>12.76</v>
      </c>
      <c r="AN39" s="13">
        <f t="shared" ca="1" si="26"/>
        <v>4.5221614221513526</v>
      </c>
      <c r="AO39" s="13">
        <f t="shared" ca="1" si="27"/>
        <v>57.70277974665126</v>
      </c>
      <c r="AP39" s="40">
        <f t="shared" ca="1" si="28"/>
        <v>301.72808186208624</v>
      </c>
      <c r="AQ39" s="38">
        <f t="shared" ca="1" si="29"/>
        <v>4.4046900000000004</v>
      </c>
      <c r="AR39" s="38">
        <f t="shared" ca="1" si="30"/>
        <v>4.4046900000000004</v>
      </c>
      <c r="AS39" s="38">
        <f t="shared" ca="1" si="31"/>
        <v>301.72808186208624</v>
      </c>
      <c r="AT39" s="38">
        <f t="shared" ca="1" si="32"/>
        <v>68.50154763719722</v>
      </c>
      <c r="AU39" s="13">
        <f t="shared" ca="1" si="33"/>
        <v>520.70000000000005</v>
      </c>
      <c r="AW39" s="1">
        <f t="shared" ca="1" si="34"/>
        <v>4.3171837555041783</v>
      </c>
      <c r="AX39" s="1">
        <f t="shared" ca="1" si="35"/>
        <v>52.332901484221644</v>
      </c>
      <c r="AY39" s="38">
        <f ca="1">AX39*(Endurance!G39+Endurance!N39)/3600</f>
        <v>174.534205449056</v>
      </c>
      <c r="AZ39" s="13">
        <f t="shared" ca="1" si="36"/>
        <v>-1521330.613095548</v>
      </c>
      <c r="BA39" s="1">
        <f ca="1">Sun!$BC$21*BE39+Sun!$BC$22*BE39^2+Sun!$BC$23*BE39^3</f>
        <v>-21300.972436288837</v>
      </c>
      <c r="BB39" s="13">
        <f t="shared" ca="1" si="37"/>
        <v>-1497620.2496616207</v>
      </c>
      <c r="BC39" s="1">
        <f ca="1">Endurance!I39+Endurance!P39</f>
        <v>1367.1370235412985</v>
      </c>
      <c r="BD39" s="1">
        <f ca="1">Endurance!Y39</f>
        <v>253.76597235022768</v>
      </c>
      <c r="BE39" s="62">
        <f t="shared" ca="1" si="38"/>
        <v>134.60881221221399</v>
      </c>
      <c r="BF39" s="13">
        <f t="shared" ca="1" si="39"/>
        <v>133.920103742512</v>
      </c>
      <c r="BG39" s="13">
        <f ca="1">BD39*(BE39-(Endurance!G39+Endurance!N39)/3600)</f>
        <v>33312.80730570283</v>
      </c>
      <c r="BH39" s="13">
        <f t="shared" ca="1" si="40"/>
        <v>34679.944329244128</v>
      </c>
      <c r="BI39" s="13" t="e">
        <f ca="1">(-2*Sun!$BC$22+SQRT(4*Sun!$BC$22^2-12*Sun!$BC$23*(Sun!$BC$21-BD39/(AM39*$T$7*IF($R$15=$U$16,AG39,AJ39)*$Q$6))))/(6*Sun!$BC$23)</f>
        <v>#NUM!</v>
      </c>
      <c r="BJ39" s="13" t="e">
        <f ca="1">-(AM39*$T$7*IF($R$15=$U$16,AG39,AJ39)*$Q$6*(Sun!$BC$21*BI39+Sun!$BC$22*BI39^2+Sun!$BC$23*BI39^3)-BD39*BI39-BC39)</f>
        <v>#NUM!</v>
      </c>
      <c r="BL39" s="13">
        <f t="shared" ca="1" si="41"/>
        <v>1970.30166181612</v>
      </c>
      <c r="BM39" s="13">
        <f ca="1">Endurance!AN39/3600</f>
        <v>5.5042150242628631</v>
      </c>
      <c r="BN39" s="13">
        <f t="shared" ca="1" si="42"/>
        <v>357.96233488897673</v>
      </c>
      <c r="BO39" s="13">
        <f ca="1">'Propulsion-Cruise'!M39*0+BN39</f>
        <v>357.96233488897673</v>
      </c>
      <c r="BP39" s="38">
        <f t="shared" ca="1" si="43"/>
        <v>447.45291861122087</v>
      </c>
      <c r="BQ39" s="13">
        <f t="shared" ca="1" si="44"/>
        <v>22.372645930561042</v>
      </c>
      <c r="BR39" s="38">
        <f t="shared" si="55"/>
        <v>0</v>
      </c>
      <c r="BS39" s="38">
        <f t="shared" si="56"/>
        <v>0</v>
      </c>
      <c r="BT39" s="38">
        <f t="shared" si="57"/>
        <v>0</v>
      </c>
      <c r="BU39" s="38">
        <f t="shared" si="58"/>
        <v>0</v>
      </c>
      <c r="BV39" s="38">
        <f t="shared" si="59"/>
        <v>0</v>
      </c>
      <c r="BW39" s="38">
        <f t="shared" si="60"/>
        <v>0</v>
      </c>
      <c r="BY39" s="13">
        <f t="shared" ca="1" si="45"/>
        <v>1970.30166181612</v>
      </c>
      <c r="BZ39" s="13">
        <f ca="1">Endurance!AN39/3600</f>
        <v>5.5042150242628631</v>
      </c>
      <c r="CA39" s="13">
        <f t="shared" ca="1" si="46"/>
        <v>357.96233488897673</v>
      </c>
      <c r="CB39" s="13">
        <f ca="1">'Propulsion-Cruise'!M39*0+CA39</f>
        <v>357.96233488897673</v>
      </c>
      <c r="CC39" s="13">
        <f t="shared" ca="1" si="47"/>
        <v>376.80245777787025</v>
      </c>
      <c r="CD39" s="38">
        <f t="shared" ca="1" si="48"/>
        <v>471.00307222233778</v>
      </c>
      <c r="CE39" s="38">
        <f ca="1">$AC$6*CD39*Endurance!$B$6*3600</f>
        <v>3.2970215055563643</v>
      </c>
      <c r="CF39" s="38">
        <f t="shared" ca="1" si="49"/>
        <v>32.343780969507932</v>
      </c>
      <c r="CG39" s="38">
        <f t="shared" ca="1" si="50"/>
        <v>3.7680245777787023</v>
      </c>
      <c r="CH39" s="38">
        <f t="shared" si="51"/>
        <v>0</v>
      </c>
      <c r="CI39" s="38">
        <f t="shared" si="61"/>
        <v>0</v>
      </c>
      <c r="CJ39" s="38">
        <f t="shared" si="62"/>
        <v>0</v>
      </c>
      <c r="CK39" s="38">
        <f t="shared" si="52"/>
        <v>0</v>
      </c>
      <c r="CL39" s="38">
        <f t="shared" si="63"/>
        <v>0</v>
      </c>
      <c r="CM39" s="38">
        <f t="shared" si="64"/>
        <v>0</v>
      </c>
    </row>
    <row r="40" spans="2:91">
      <c r="B40" s="13">
        <f ca="1">Endurance!AP40+Systems!D40</f>
        <v>1572.0743208522433</v>
      </c>
      <c r="C40" s="20">
        <f t="shared" ca="1" si="0"/>
        <v>72.035994676904664</v>
      </c>
      <c r="D40" s="13">
        <f t="shared" ca="1" si="1"/>
        <v>2813.233674300559</v>
      </c>
      <c r="E40" s="13"/>
      <c r="F40" s="20">
        <f ca="1">MAX(Motor!$B$10*$B$6/$B$10,(Endurance!I40+Endurance!P40)*0+IF($F$11=1,IF(ISERROR(BJ40),1,BJ40),0),B40-AS40-BS40-CI40,BH40*0)</f>
        <v>1269.6734748019255</v>
      </c>
      <c r="G40" s="20">
        <f ca="1">IF(Endurance!$B$10=1,$B$9,F40/$B$12)</f>
        <v>67.629308125966546</v>
      </c>
      <c r="H40" s="13">
        <f t="shared" ca="1" si="2"/>
        <v>53.572720455777443</v>
      </c>
      <c r="I40" s="81">
        <f t="shared" ca="1" si="3"/>
        <v>54</v>
      </c>
      <c r="J40" s="14">
        <f t="shared" ca="1" si="4"/>
        <v>1279.8000000000002</v>
      </c>
      <c r="K40" s="97">
        <f t="shared" ca="1" si="5"/>
        <v>68.168698690909082</v>
      </c>
      <c r="L40" s="13">
        <f ca="1">F40</f>
        <v>1269.6734748019255</v>
      </c>
      <c r="M40" s="13">
        <f ca="1">G40</f>
        <v>67.629308125966546</v>
      </c>
      <c r="N40" s="13">
        <f t="shared" ca="1" si="8"/>
        <v>2292.4659961701432</v>
      </c>
      <c r="P40" s="13">
        <f t="shared" ca="1" si="9"/>
        <v>1572.0743208522433</v>
      </c>
      <c r="Q40" s="13">
        <f ca="1">Endurance!AN40/3600</f>
        <v>5.5164888678978814</v>
      </c>
      <c r="R40" s="13">
        <f t="shared" ca="1" si="10"/>
        <v>284.97733948139</v>
      </c>
      <c r="S40" s="13">
        <f t="shared" ca="1" si="11"/>
        <v>284.97733948139</v>
      </c>
      <c r="T40" s="13">
        <f t="shared" ca="1" si="12"/>
        <v>299.97614682251583</v>
      </c>
      <c r="U40" s="1">
        <f>0.8*Main!B40</f>
        <v>0.26666666666666661</v>
      </c>
      <c r="V40" s="1">
        <f>0.8*Main!C40</f>
        <v>2.4000000000000004</v>
      </c>
      <c r="W40" s="49">
        <f t="shared" ca="1" si="13"/>
        <v>0.6399999999999999</v>
      </c>
      <c r="X40" s="1">
        <f t="shared" ca="1" si="14"/>
        <v>0.6399999999999999</v>
      </c>
      <c r="Y40" s="38">
        <f t="shared" si="53"/>
        <v>12.76</v>
      </c>
      <c r="Z40" s="13">
        <f t="shared" ca="1" si="15"/>
        <v>8.4194423568781538</v>
      </c>
      <c r="AA40" s="13">
        <f t="shared" ca="1" si="16"/>
        <v>107.43208447376523</v>
      </c>
      <c r="AB40" s="38">
        <f t="shared" ca="1" si="17"/>
        <v>1572.0743208522433</v>
      </c>
      <c r="AC40" s="13">
        <f t="shared" ca="1" si="18"/>
        <v>6.6366611999999989</v>
      </c>
      <c r="AD40">
        <f>TRUNC(0.8*Main!B40/$T$9,0)</f>
        <v>2</v>
      </c>
      <c r="AE40">
        <f>TRUNC(0.8*Main!C40/$T$10,0)</f>
        <v>19</v>
      </c>
      <c r="AF40" s="41">
        <f t="shared" si="54"/>
        <v>22</v>
      </c>
      <c r="AG40" s="129">
        <f t="shared" ca="1" si="19"/>
        <v>1.7272727272727273</v>
      </c>
      <c r="AH40" s="38">
        <f t="shared" ca="1" si="20"/>
        <v>1.7272727272727273</v>
      </c>
      <c r="AI40" s="13">
        <f t="shared" ca="1" si="21"/>
        <v>99.668437744215808</v>
      </c>
      <c r="AJ40" s="132">
        <f t="shared" ca="1" si="22"/>
        <v>1</v>
      </c>
      <c r="AK40" s="41">
        <f t="shared" ca="1" si="23"/>
        <v>22</v>
      </c>
      <c r="AL40" s="38">
        <f t="shared" ca="1" si="24"/>
        <v>0.34375</v>
      </c>
      <c r="AM40" s="38">
        <f t="shared" si="25"/>
        <v>12.76</v>
      </c>
      <c r="AN40" s="13">
        <f t="shared" ca="1" si="26"/>
        <v>4.5221614221513526</v>
      </c>
      <c r="AO40" s="13">
        <f t="shared" ca="1" si="27"/>
        <v>57.70277974665126</v>
      </c>
      <c r="AP40" s="40">
        <f t="shared" ca="1" si="28"/>
        <v>302.40090501320674</v>
      </c>
      <c r="AQ40" s="38">
        <f t="shared" ca="1" si="29"/>
        <v>4.4046900000000004</v>
      </c>
      <c r="AR40" s="38">
        <f t="shared" ca="1" si="30"/>
        <v>4.4046900000000004</v>
      </c>
      <c r="AS40" s="38">
        <f t="shared" ca="1" si="31"/>
        <v>302.40090501320674</v>
      </c>
      <c r="AT40" s="38">
        <f t="shared" ca="1" si="32"/>
        <v>68.654299170476634</v>
      </c>
      <c r="AU40" s="13">
        <f t="shared" ca="1" si="33"/>
        <v>520.70000000000005</v>
      </c>
      <c r="AW40" s="1">
        <f t="shared" ca="1" si="34"/>
        <v>4.3171837555041783</v>
      </c>
      <c r="AX40" s="1">
        <f t="shared" ca="1" si="35"/>
        <v>52.332901484221644</v>
      </c>
      <c r="AY40" s="38">
        <f ca="1">AX40*(Endurance!G40+Endurance!N40)/3600</f>
        <v>174.52561824371116</v>
      </c>
      <c r="AZ40" s="13">
        <f t="shared" ca="1" si="36"/>
        <v>74.799252587498444</v>
      </c>
      <c r="BA40" s="1">
        <f ca="1">Sun!$BC$21*BE40+Sun!$BC$22*BE40^2+Sun!$BC$23*BE40^3</f>
        <v>3.2772596737567499</v>
      </c>
      <c r="BB40" s="13">
        <f t="shared" ca="1" si="37"/>
        <v>230.41626223862005</v>
      </c>
      <c r="BC40" s="1">
        <f ca="1">Endurance!I40+Endurance!P40</f>
        <v>1089.5255036080384</v>
      </c>
      <c r="BD40" s="1">
        <f ca="1">Endurance!Y40</f>
        <v>193.71952315238843</v>
      </c>
      <c r="BE40" s="62">
        <f t="shared" ca="1" si="38"/>
        <v>9.2063121940307386</v>
      </c>
      <c r="BF40" s="13">
        <f t="shared" ca="1" si="39"/>
        <v>9.59256170058962</v>
      </c>
      <c r="BG40" s="13">
        <f ca="1">BD40*(BE40-(Endurance!G40+Endurance!N40)/3600)</f>
        <v>1137.4048565994569</v>
      </c>
      <c r="BH40" s="13">
        <f t="shared" ca="1" si="40"/>
        <v>2226.9303602074951</v>
      </c>
      <c r="BI40" s="13" t="e">
        <f ca="1">(-2*Sun!$BC$22+SQRT(4*Sun!$BC$22^2-12*Sun!$BC$23*(Sun!$BC$21-BD40/(AM40*$T$7*IF($R$15=$U$16,AG40,AJ40)*$Q$6))))/(6*Sun!$BC$23)</f>
        <v>#NUM!</v>
      </c>
      <c r="BJ40" s="13" t="e">
        <f ca="1">-(AM40*$T$7*IF($R$15=$U$16,AG40,AJ40)*$Q$6*(Sun!$BC$21*BI40+Sun!$BC$22*BI40^2+Sun!$BC$23*BI40^3)-BD40*BI40-BC40)</f>
        <v>#NUM!</v>
      </c>
      <c r="BL40" s="13">
        <f t="shared" ca="1" si="41"/>
        <v>1572.0743208522433</v>
      </c>
      <c r="BM40" s="13">
        <f ca="1">Endurance!AN40/3600</f>
        <v>5.5164888678978814</v>
      </c>
      <c r="BN40" s="13">
        <f t="shared" ca="1" si="42"/>
        <v>284.97733948139</v>
      </c>
      <c r="BO40" s="13">
        <f ca="1">'Propulsion-Cruise'!M40*0+BN40</f>
        <v>284.97733948139</v>
      </c>
      <c r="BP40" s="38">
        <f t="shared" ca="1" si="43"/>
        <v>356.22167435173748</v>
      </c>
      <c r="BQ40" s="13">
        <f t="shared" ca="1" si="44"/>
        <v>17.811083717586875</v>
      </c>
      <c r="BR40" s="38">
        <f t="shared" si="55"/>
        <v>0</v>
      </c>
      <c r="BS40" s="38">
        <f t="shared" si="56"/>
        <v>0</v>
      </c>
      <c r="BT40" s="38">
        <f t="shared" si="57"/>
        <v>0</v>
      </c>
      <c r="BU40" s="38">
        <f t="shared" si="58"/>
        <v>0</v>
      </c>
      <c r="BV40" s="38">
        <f t="shared" si="59"/>
        <v>0</v>
      </c>
      <c r="BW40" s="38">
        <f t="shared" si="60"/>
        <v>0</v>
      </c>
      <c r="BY40" s="13">
        <f t="shared" ca="1" si="45"/>
        <v>1572.0743208522433</v>
      </c>
      <c r="BZ40" s="13">
        <f ca="1">Endurance!AN40/3600</f>
        <v>5.5164888678978814</v>
      </c>
      <c r="CA40" s="13">
        <f t="shared" ca="1" si="46"/>
        <v>284.97733948139</v>
      </c>
      <c r="CB40" s="13">
        <f ca="1">'Propulsion-Cruise'!M40*0+CA40</f>
        <v>284.97733948139</v>
      </c>
      <c r="CC40" s="13">
        <f t="shared" ca="1" si="47"/>
        <v>299.97614682251583</v>
      </c>
      <c r="CD40" s="38">
        <f t="shared" ca="1" si="48"/>
        <v>374.97018352814479</v>
      </c>
      <c r="CE40" s="38">
        <f ca="1">$AC$6*CD40*Endurance!$B$6*3600</f>
        <v>2.6247912846970136</v>
      </c>
      <c r="CF40" s="38">
        <f t="shared" ca="1" si="49"/>
        <v>25.749202502877704</v>
      </c>
      <c r="CG40" s="38">
        <f t="shared" ca="1" si="50"/>
        <v>2.9997614682251585</v>
      </c>
      <c r="CH40" s="38">
        <f t="shared" si="51"/>
        <v>0</v>
      </c>
      <c r="CI40" s="38">
        <f t="shared" si="61"/>
        <v>0</v>
      </c>
      <c r="CJ40" s="38">
        <f t="shared" si="62"/>
        <v>0</v>
      </c>
      <c r="CK40" s="38">
        <f t="shared" si="52"/>
        <v>0</v>
      </c>
      <c r="CL40" s="38">
        <f t="shared" si="63"/>
        <v>0</v>
      </c>
      <c r="CM40" s="38">
        <f t="shared" si="64"/>
        <v>0</v>
      </c>
    </row>
    <row r="41" spans="2:91">
      <c r="B41" s="36"/>
      <c r="C41" s="35"/>
      <c r="D41" s="36"/>
      <c r="E41" s="40"/>
      <c r="F41" s="36"/>
      <c r="G41" s="40"/>
      <c r="H41" s="39"/>
      <c r="I41" s="40"/>
      <c r="J41" s="38"/>
      <c r="K41" s="40"/>
      <c r="L41" s="40"/>
      <c r="M41" s="38"/>
      <c r="N41" s="38"/>
      <c r="O41" s="39"/>
      <c r="P41" s="39"/>
      <c r="Q41" s="39"/>
      <c r="R41" s="40"/>
      <c r="S41" s="40"/>
      <c r="T41" s="40"/>
      <c r="U41" s="35"/>
      <c r="V41" s="36"/>
      <c r="W41" s="35"/>
      <c r="X41" s="35"/>
      <c r="Y41" s="35"/>
      <c r="Z41" s="36"/>
      <c r="AA41" s="36"/>
      <c r="AB41" s="36"/>
      <c r="AC41" s="38"/>
      <c r="AD41" s="41"/>
      <c r="AE41" s="40"/>
      <c r="AF41" s="38"/>
      <c r="AG41" s="40"/>
      <c r="AH41" s="40"/>
      <c r="AI41" s="36"/>
      <c r="AJ41" s="36"/>
      <c r="AK41" s="36"/>
      <c r="AL41" s="40"/>
      <c r="AM41" s="40"/>
      <c r="AN41" s="38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</row>
    <row r="42" spans="2:91">
      <c r="B42" s="36"/>
      <c r="C42" s="35"/>
      <c r="D42" s="36"/>
      <c r="E42" s="40"/>
      <c r="F42" s="36"/>
      <c r="G42" s="40"/>
      <c r="H42" s="39"/>
      <c r="I42" s="40"/>
      <c r="J42" s="38"/>
      <c r="K42" s="40"/>
      <c r="L42" s="40"/>
      <c r="M42" s="38"/>
      <c r="N42" s="38"/>
      <c r="O42" s="39"/>
      <c r="P42" s="39"/>
      <c r="Q42" s="39"/>
      <c r="R42" s="40"/>
      <c r="S42" s="40"/>
      <c r="T42" s="40"/>
      <c r="U42" s="35"/>
      <c r="V42" s="36"/>
      <c r="W42" s="35"/>
      <c r="X42" s="35"/>
      <c r="Y42" s="35"/>
      <c r="Z42" s="36"/>
      <c r="AA42" s="36"/>
      <c r="AB42" s="36"/>
      <c r="AC42" s="38"/>
      <c r="AD42" s="41"/>
      <c r="AE42" s="40"/>
      <c r="AF42" s="38"/>
      <c r="AG42" s="40"/>
      <c r="AH42" s="40"/>
      <c r="AI42" s="36"/>
      <c r="AJ42" s="36"/>
      <c r="AK42" s="36"/>
      <c r="AL42" s="40"/>
      <c r="AM42" s="40"/>
      <c r="AN42" s="38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</row>
    <row r="43" spans="2:91">
      <c r="B43" s="36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6"/>
      <c r="AA43" s="36"/>
      <c r="AB43" s="36"/>
      <c r="AC43" s="38"/>
      <c r="AD43" s="41"/>
      <c r="AE43" s="40"/>
      <c r="AF43" s="38"/>
      <c r="AG43" s="40"/>
      <c r="AH43" s="40"/>
      <c r="AI43" s="36"/>
      <c r="AJ43" s="36"/>
      <c r="AK43" s="36"/>
      <c r="AL43" s="40"/>
      <c r="AM43" s="40"/>
      <c r="AN43" s="38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9" t="s">
        <v>315</v>
      </c>
      <c r="BE43" s="9" t="s">
        <v>760</v>
      </c>
      <c r="BF43" s="9" t="s">
        <v>761</v>
      </c>
      <c r="BG43" s="9" t="s">
        <v>762</v>
      </c>
    </row>
    <row r="44" spans="2:91"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6"/>
      <c r="AA44" s="36"/>
      <c r="AB44" s="36"/>
      <c r="AC44" s="38"/>
      <c r="AD44" s="41"/>
      <c r="AE44" s="40"/>
      <c r="AF44" s="38"/>
      <c r="AG44" s="40"/>
      <c r="AH44" s="40"/>
      <c r="AI44" s="36"/>
      <c r="AJ44" s="36"/>
      <c r="AK44" s="36"/>
      <c r="AL44" s="40"/>
      <c r="AM44" s="40"/>
      <c r="AN44" s="38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9" t="s">
        <v>28</v>
      </c>
      <c r="BE44" s="9" t="s">
        <v>313</v>
      </c>
      <c r="BF44" s="9" t="s">
        <v>313</v>
      </c>
      <c r="BG44" s="9" t="s">
        <v>313</v>
      </c>
    </row>
    <row r="45" spans="2:91">
      <c r="B45" s="36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6"/>
      <c r="AA45" s="36"/>
      <c r="AB45" s="36"/>
      <c r="AC45" s="38"/>
      <c r="AD45" s="41"/>
      <c r="AE45" s="40"/>
      <c r="AF45" s="38"/>
      <c r="AG45" s="40"/>
      <c r="AH45" s="40"/>
      <c r="AI45" s="36"/>
      <c r="AJ45" s="36"/>
      <c r="AK45" s="36"/>
      <c r="AL45" s="40"/>
      <c r="AM45" s="40"/>
      <c r="AN45" s="38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</row>
    <row r="46" spans="2:91">
      <c r="B46" s="36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6"/>
      <c r="AA46" s="36"/>
      <c r="AB46" s="36"/>
      <c r="AC46" s="38"/>
      <c r="AD46" s="41"/>
      <c r="AE46" s="40"/>
      <c r="AF46" s="38"/>
      <c r="AG46" s="40"/>
      <c r="AH46" s="40"/>
      <c r="AI46" s="36"/>
      <c r="AJ46" s="36"/>
      <c r="AK46" s="36"/>
      <c r="AL46" s="40"/>
      <c r="AM46" s="40"/>
      <c r="AN46" s="38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8" t="e">
        <f ca="1">BJ21</f>
        <v>#DIV/0!</v>
      </c>
      <c r="BD46" s="1">
        <v>0</v>
      </c>
      <c r="BE46" s="13">
        <v>0</v>
      </c>
      <c r="BF46" s="13" t="e">
        <f ca="1">(Sun!$BC$21*BD46+Sun!$BC$22*BD46^2+Sun!$BC$23*BD46^3)*$AM$21*$AJ$21*$T$7*$Q$6+$BC$46</f>
        <v>#DIV/0!</v>
      </c>
      <c r="BG46" s="13" t="e">
        <f t="shared" ref="BG46:BG58" ca="1" si="65">BF46-BE46</f>
        <v>#DIV/0!</v>
      </c>
    </row>
    <row r="47" spans="2:91">
      <c r="B47" s="36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6"/>
      <c r="AA47" s="36"/>
      <c r="AB47" s="36"/>
      <c r="AC47" s="38"/>
      <c r="AD47" s="41"/>
      <c r="AE47" s="40"/>
      <c r="AF47" s="38"/>
      <c r="AG47" s="40"/>
      <c r="AH47" s="40"/>
      <c r="AI47" s="36"/>
      <c r="AJ47" s="36"/>
      <c r="AK47" s="36"/>
      <c r="AL47" s="40"/>
      <c r="AM47" s="40"/>
      <c r="AN47" s="38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1">
        <f ca="1">Endurance!G21/3600</f>
        <v>1.7615012196223032E-3</v>
      </c>
      <c r="BE47" s="13">
        <v>0</v>
      </c>
      <c r="BF47" s="13" t="e">
        <f ca="1">(Sun!$BC$21*BD47+Sun!$BC$22*BD47^2+Sun!$BC$23*BD47^3)*$AM$21*$AJ$21*$T$7*$Q$6+$BC$46</f>
        <v>#DIV/0!</v>
      </c>
      <c r="BG47" s="13" t="e">
        <f t="shared" ca="1" si="65"/>
        <v>#DIV/0!</v>
      </c>
    </row>
    <row r="48" spans="2:91"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6"/>
      <c r="AA48" s="36"/>
      <c r="AB48" s="36"/>
      <c r="AC48" s="38"/>
      <c r="AD48" s="41"/>
      <c r="AE48" s="40"/>
      <c r="AF48" s="38"/>
      <c r="AG48" s="40"/>
      <c r="AH48" s="40"/>
      <c r="AI48" s="36"/>
      <c r="AJ48" s="36"/>
      <c r="AK48" s="36"/>
      <c r="AL48" s="40"/>
      <c r="AM48" s="40"/>
      <c r="AN48" s="38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1">
        <f ca="1">Endurance!N21/3600</f>
        <v>3.3333333333333335</v>
      </c>
      <c r="BE48" s="13">
        <f ca="1">BC21</f>
        <v>1053.1234673480055</v>
      </c>
      <c r="BF48" s="13" t="e">
        <f ca="1">(Sun!$BC$21*BD48+Sun!$BC$22*BD48^2+Sun!$BC$23*BD48^3)*$AM$21*$AJ$21*$T$7*$Q$6+$BC$46</f>
        <v>#DIV/0!</v>
      </c>
      <c r="BG48" s="13" t="e">
        <f t="shared" ca="1" si="65"/>
        <v>#DIV/0!</v>
      </c>
    </row>
    <row r="49" spans="2:59"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6"/>
      <c r="AA49" s="36"/>
      <c r="AB49" s="36"/>
      <c r="AC49" s="38"/>
      <c r="AD49" s="41"/>
      <c r="AE49" s="40"/>
      <c r="AF49" s="38"/>
      <c r="AG49" s="40"/>
      <c r="AH49" s="40"/>
      <c r="AI49" s="36"/>
      <c r="AJ49" s="36"/>
      <c r="AK49" s="36"/>
      <c r="AL49" s="40"/>
      <c r="AM49" s="40"/>
      <c r="AN49" s="38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1">
        <f t="shared" ref="BD49:BD57" ca="1" si="66">BD48+($BD$58-$BD$48)/10</f>
        <v>3.1</v>
      </c>
      <c r="BE49" s="13">
        <f t="shared" ref="BE49:BE58" ca="1" si="67">$BD$21*(BD49-BD48)+BE48</f>
        <v>979.47052560230031</v>
      </c>
      <c r="BF49" s="13" t="e">
        <f ca="1">(Sun!$BC$21*BD49+Sun!$BC$22*BD49^2+Sun!$BC$23*BD49^3)*$AM$21*$AJ$21*$T$7*$Q$6+$BC$46</f>
        <v>#DIV/0!</v>
      </c>
      <c r="BG49" s="13" t="e">
        <f t="shared" ca="1" si="65"/>
        <v>#DIV/0!</v>
      </c>
    </row>
    <row r="50" spans="2:59"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6"/>
      <c r="AA50" s="36"/>
      <c r="AB50" s="36"/>
      <c r="AC50" s="38"/>
      <c r="AD50" s="41"/>
      <c r="AE50" s="40"/>
      <c r="AF50" s="38"/>
      <c r="AG50" s="40"/>
      <c r="AH50" s="40"/>
      <c r="AI50" s="36"/>
      <c r="AJ50" s="36"/>
      <c r="AK50" s="36"/>
      <c r="AL50" s="40"/>
      <c r="AM50" s="40"/>
      <c r="AN50" s="38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1">
        <f t="shared" ca="1" si="66"/>
        <v>2.8666666666666667</v>
      </c>
      <c r="BE50" s="13">
        <f t="shared" ca="1" si="67"/>
        <v>905.81758385659509</v>
      </c>
      <c r="BF50" s="13" t="e">
        <f ca="1">(Sun!$BC$21*BD50+Sun!$BC$22*BD50^2+Sun!$BC$23*BD50^3)*$AM$21*$AJ$21*$T$7*$Q$6+$BC$46</f>
        <v>#DIV/0!</v>
      </c>
      <c r="BG50" s="13" t="e">
        <f t="shared" ca="1" si="65"/>
        <v>#DIV/0!</v>
      </c>
    </row>
    <row r="51" spans="2:59"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6"/>
      <c r="AA51" s="36"/>
      <c r="AB51" s="36"/>
      <c r="AC51" s="38"/>
      <c r="AD51" s="41"/>
      <c r="AE51" s="40"/>
      <c r="AF51" s="38"/>
      <c r="AG51" s="40"/>
      <c r="AH51" s="40"/>
      <c r="AI51" s="36"/>
      <c r="AJ51" s="36"/>
      <c r="AK51" s="36"/>
      <c r="AL51" s="40"/>
      <c r="AM51" s="40"/>
      <c r="AN51" s="38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1">
        <f t="shared" ca="1" si="66"/>
        <v>2.6333333333333333</v>
      </c>
      <c r="BE51" s="13">
        <f t="shared" ca="1" si="67"/>
        <v>832.16464211088987</v>
      </c>
      <c r="BF51" s="13" t="e">
        <f ca="1">(Sun!$BC$21*BD51+Sun!$BC$22*BD51^2+Sun!$BC$23*BD51^3)*$AM$21*$AJ$21*$T$7*$Q$6+$BC$46</f>
        <v>#DIV/0!</v>
      </c>
      <c r="BG51" s="13" t="e">
        <f t="shared" ca="1" si="65"/>
        <v>#DIV/0!</v>
      </c>
    </row>
    <row r="52" spans="2:59"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6"/>
      <c r="AA52" s="36"/>
      <c r="AB52" s="36"/>
      <c r="AC52" s="38"/>
      <c r="AD52" s="41"/>
      <c r="AE52" s="40"/>
      <c r="AF52" s="38"/>
      <c r="AG52" s="40"/>
      <c r="AH52" s="40"/>
      <c r="AI52" s="36"/>
      <c r="AJ52" s="36"/>
      <c r="AK52" s="36"/>
      <c r="AL52" s="40"/>
      <c r="AM52" s="40"/>
      <c r="AN52" s="38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1">
        <f t="shared" ca="1" si="66"/>
        <v>2.4</v>
      </c>
      <c r="BE52" s="13">
        <f t="shared" ca="1" si="67"/>
        <v>758.51170036518465</v>
      </c>
      <c r="BF52" s="13" t="e">
        <f ca="1">(Sun!$BC$21*BD52+Sun!$BC$22*BD52^2+Sun!$BC$23*BD52^3)*$AM$21*$AJ$21*$T$7*$Q$6+$BC$46</f>
        <v>#DIV/0!</v>
      </c>
      <c r="BG52" s="13" t="e">
        <f t="shared" ca="1" si="65"/>
        <v>#DIV/0!</v>
      </c>
    </row>
    <row r="53" spans="2:59"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6"/>
      <c r="AA53" s="36"/>
      <c r="AB53" s="36"/>
      <c r="AC53" s="38"/>
      <c r="AD53" s="41"/>
      <c r="AE53" s="40"/>
      <c r="AF53" s="38"/>
      <c r="AG53" s="40"/>
      <c r="AH53" s="40"/>
      <c r="AI53" s="36"/>
      <c r="AJ53" s="36"/>
      <c r="AK53" s="36"/>
      <c r="AL53" s="40"/>
      <c r="AM53" s="40"/>
      <c r="AN53" s="38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1">
        <f t="shared" ca="1" si="66"/>
        <v>2.1666666666666665</v>
      </c>
      <c r="BE53" s="13">
        <f t="shared" ca="1" si="67"/>
        <v>684.85875861947943</v>
      </c>
      <c r="BF53" s="13" t="e">
        <f ca="1">(Sun!$BC$21*BD53+Sun!$BC$22*BD53^2+Sun!$BC$23*BD53^3)*$AM$21*$AJ$21*$T$7*$Q$6+$BC$46</f>
        <v>#DIV/0!</v>
      </c>
      <c r="BG53" s="13" t="e">
        <f t="shared" ca="1" si="65"/>
        <v>#DIV/0!</v>
      </c>
    </row>
    <row r="54" spans="2:59"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6"/>
      <c r="AA54" s="36"/>
      <c r="AB54" s="36"/>
      <c r="AC54" s="38"/>
      <c r="AD54" s="41"/>
      <c r="AE54" s="40"/>
      <c r="AF54" s="38"/>
      <c r="AG54" s="40"/>
      <c r="AH54" s="40"/>
      <c r="AI54" s="36"/>
      <c r="AJ54" s="36"/>
      <c r="AK54" s="36"/>
      <c r="AL54" s="40"/>
      <c r="AM54" s="40"/>
      <c r="AN54" s="38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1">
        <f t="shared" ca="1" si="66"/>
        <v>1.9333333333333331</v>
      </c>
      <c r="BE54" s="13">
        <f t="shared" ca="1" si="67"/>
        <v>611.20581687377421</v>
      </c>
      <c r="BF54" s="13" t="e">
        <f ca="1">(Sun!$BC$21*BD54+Sun!$BC$22*BD54^2+Sun!$BC$23*BD54^3)*$AM$21*$AJ$21*$T$7*$Q$6+$BC$46</f>
        <v>#DIV/0!</v>
      </c>
      <c r="BG54" s="13" t="e">
        <f t="shared" ca="1" si="65"/>
        <v>#DIV/0!</v>
      </c>
    </row>
    <row r="55" spans="2:59"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6"/>
      <c r="AA55" s="36"/>
      <c r="AB55" s="36"/>
      <c r="AC55" s="38"/>
      <c r="AD55" s="41"/>
      <c r="AE55" s="40"/>
      <c r="AF55" s="38"/>
      <c r="AG55" s="40"/>
      <c r="AH55" s="40"/>
      <c r="AI55" s="36"/>
      <c r="AJ55" s="36"/>
      <c r="AK55" s="36"/>
      <c r="AL55" s="40"/>
      <c r="AM55" s="40"/>
      <c r="AN55" s="38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1">
        <f t="shared" ca="1" si="66"/>
        <v>1.6999999999999997</v>
      </c>
      <c r="BE55" s="13">
        <f t="shared" ca="1" si="67"/>
        <v>537.55287512806899</v>
      </c>
      <c r="BF55" s="13" t="e">
        <f ca="1">(Sun!$BC$21*BD55+Sun!$BC$22*BD55^2+Sun!$BC$23*BD55^3)*$AM$21*$AJ$21*$T$7*$Q$6+$BC$46</f>
        <v>#DIV/0!</v>
      </c>
      <c r="BG55" s="13" t="e">
        <f t="shared" ca="1" si="65"/>
        <v>#DIV/0!</v>
      </c>
    </row>
    <row r="56" spans="2:59"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1">
        <f t="shared" ca="1" si="66"/>
        <v>1.4666666666666663</v>
      </c>
      <c r="BE56" s="13">
        <f t="shared" ca="1" si="67"/>
        <v>463.89993338236371</v>
      </c>
      <c r="BF56" s="13" t="e">
        <f ca="1">(Sun!$BC$21*BD56+Sun!$BC$22*BD56^2+Sun!$BC$23*BD56^3)*$AM$21*$AJ$21*$T$7*$Q$6+$BC$46</f>
        <v>#DIV/0!</v>
      </c>
      <c r="BG56" s="13" t="e">
        <f t="shared" ca="1" si="65"/>
        <v>#DIV/0!</v>
      </c>
    </row>
    <row r="57" spans="2:59"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1">
        <f t="shared" ca="1" si="66"/>
        <v>1.2333333333333329</v>
      </c>
      <c r="BE57" s="13">
        <f t="shared" ca="1" si="67"/>
        <v>390.24699163665844</v>
      </c>
      <c r="BF57" s="13" t="e">
        <f ca="1">(Sun!$BC$21*BD57+Sun!$BC$22*BD57^2+Sun!$BC$23*BD57^3)*$AM$21*$AJ$21*$T$7*$Q$6+$BC$46</f>
        <v>#DIV/0!</v>
      </c>
      <c r="BG57" s="13" t="e">
        <f t="shared" ca="1" si="65"/>
        <v>#DIV/0!</v>
      </c>
    </row>
    <row r="58" spans="2:59"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1">
        <f ca="1">BE21</f>
        <v>1</v>
      </c>
      <c r="BE58" s="13">
        <f t="shared" ca="1" si="67"/>
        <v>316.59404989095333</v>
      </c>
      <c r="BF58" s="13" t="e">
        <f ca="1">(Sun!$BC$21*BD58+Sun!$BC$22*BD58^2+Sun!$BC$23*BD58^3)*$AM$21*$AJ$21*$T$7*$Q$6+$BC$46</f>
        <v>#DIV/0!</v>
      </c>
      <c r="BG58" s="13" t="e">
        <f t="shared" ca="1" si="65"/>
        <v>#DIV/0!</v>
      </c>
    </row>
    <row r="59" spans="2:59"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</row>
    <row r="60" spans="2:59"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</row>
    <row r="61" spans="2:59"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</row>
    <row r="62" spans="2:59"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</row>
    <row r="63" spans="2:59"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</row>
    <row r="64" spans="2:59"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</row>
    <row r="65" spans="2:55"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</row>
    <row r="66" spans="2:55"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</row>
    <row r="67" spans="2:55"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</row>
    <row r="68" spans="2:55"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</row>
    <row r="69" spans="2:55"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</row>
    <row r="70" spans="2:55"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</row>
    <row r="71" spans="2:55"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</row>
    <row r="72" spans="2:55"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</row>
    <row r="73" spans="2:55"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</row>
    <row r="74" spans="2:55"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</row>
    <row r="75" spans="2:55"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</row>
    <row r="76" spans="2:55"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</row>
    <row r="77" spans="2:55"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</row>
    <row r="78" spans="2:55"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</row>
    <row r="79" spans="2:55"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</row>
    <row r="80" spans="2:55"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</row>
    <row r="81" spans="2:55"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</row>
    <row r="82" spans="2:55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</row>
    <row r="83" spans="2:55"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</row>
    <row r="84" spans="2:55"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</row>
    <row r="85" spans="2:55"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</row>
    <row r="86" spans="2:55"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</row>
    <row r="87" spans="2:55"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</row>
    <row r="88" spans="2:55"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</row>
    <row r="89" spans="2:55"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</row>
    <row r="90" spans="2:55"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</row>
    <row r="91" spans="2:55"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</row>
    <row r="92" spans="2:55"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</row>
    <row r="93" spans="2:55"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</row>
    <row r="94" spans="2:55"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</row>
    <row r="95" spans="2:55"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</row>
    <row r="96" spans="2:55"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</row>
    <row r="97" spans="2:55"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</row>
    <row r="98" spans="2:55"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</row>
    <row r="99" spans="2:55"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</row>
    <row r="100" spans="2:55"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</row>
    <row r="101" spans="2:55"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</row>
    <row r="102" spans="2:55"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</row>
    <row r="103" spans="2:55"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</row>
    <row r="104" spans="2:55"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</row>
    <row r="105" spans="2:55"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</row>
    <row r="106" spans="2:55"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</row>
    <row r="107" spans="2:55"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</row>
    <row r="108" spans="2:55"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</row>
    <row r="109" spans="2:55"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</row>
    <row r="110" spans="2:55"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</row>
    <row r="111" spans="2:5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</row>
    <row r="112" spans="2:55"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</row>
    <row r="113" spans="2:55"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</row>
    <row r="114" spans="2:55"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</row>
    <row r="115" spans="2:55"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</row>
    <row r="116" spans="2:55"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</row>
    <row r="117" spans="2:55"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</row>
    <row r="118" spans="2:55"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</row>
    <row r="119" spans="2:55"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</row>
    <row r="120" spans="2:55"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</row>
    <row r="121" spans="2:55"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</row>
    <row r="122" spans="2:55"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</row>
    <row r="123" spans="2:55"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</row>
    <row r="124" spans="2:55"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</row>
    <row r="125" spans="2:55"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</row>
    <row r="126" spans="2:55"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</row>
    <row r="127" spans="2:55"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</row>
    <row r="128" spans="2:55"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</row>
    <row r="129" spans="2:55"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</row>
    <row r="130" spans="2:55"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</row>
    <row r="131" spans="2:55"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</row>
    <row r="132" spans="2:55"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</row>
    <row r="133" spans="2:55"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</row>
    <row r="134" spans="2:55"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</row>
    <row r="135" spans="2:55"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</row>
    <row r="136" spans="2:55"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</row>
    <row r="137" spans="2:55"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</row>
    <row r="138" spans="2:55"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</row>
    <row r="139" spans="2:55"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</row>
    <row r="140" spans="2:55"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</row>
    <row r="141" spans="2:55"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</row>
    <row r="142" spans="2:55"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</row>
    <row r="143" spans="2:55"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</row>
    <row r="144" spans="2:55"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</row>
    <row r="145" spans="2:55"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</row>
    <row r="146" spans="2:55"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</row>
    <row r="147" spans="2:55"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</row>
    <row r="148" spans="2:55"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</row>
    <row r="149" spans="2:55"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</row>
    <row r="150" spans="2:55"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</row>
    <row r="151" spans="2:55"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</row>
    <row r="152" spans="2:55"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CM152"/>
  <sheetViews>
    <sheetView zoomScale="90" workbookViewId="0">
      <selection activeCell="E21" sqref="E21"/>
    </sheetView>
  </sheetViews>
  <sheetFormatPr defaultRowHeight="12.75"/>
  <cols>
    <col min="24" max="24" width="10.140625" bestFit="1" customWidth="1"/>
    <col min="56" max="56" width="9.42578125" customWidth="1"/>
  </cols>
  <sheetData>
    <row r="1" spans="1:85">
      <c r="A1" s="17" t="s">
        <v>766</v>
      </c>
    </row>
    <row r="2" spans="1:85">
      <c r="Y2" s="35"/>
      <c r="Z2" s="35"/>
      <c r="AA2" s="35"/>
      <c r="AB2" s="35"/>
      <c r="AC2" s="35"/>
      <c r="AD2" s="35"/>
      <c r="AE2" s="35"/>
    </row>
    <row r="3" spans="1:85">
      <c r="A3" t="s">
        <v>270</v>
      </c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58"/>
      <c r="Q3" s="58"/>
      <c r="R3" s="58"/>
      <c r="S3" s="58"/>
      <c r="T3" s="58"/>
      <c r="U3" s="6"/>
      <c r="V3" s="6"/>
      <c r="W3" s="6"/>
      <c r="X3" s="6"/>
      <c r="Y3" s="35"/>
      <c r="Z3" s="35"/>
      <c r="AA3" s="35"/>
      <c r="AB3" s="35"/>
      <c r="AC3" s="35"/>
      <c r="AD3" s="35"/>
      <c r="AE3" s="35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</row>
    <row r="4" spans="1:85">
      <c r="D4" s="17"/>
      <c r="I4" s="17"/>
      <c r="P4" s="6"/>
      <c r="Q4" s="6"/>
      <c r="R4" s="6"/>
      <c r="S4" s="6"/>
      <c r="T4" s="6"/>
      <c r="U4" s="6"/>
      <c r="V4" s="6"/>
      <c r="W4" s="6"/>
      <c r="X4" s="6"/>
      <c r="Y4" s="35"/>
      <c r="Z4" s="35"/>
      <c r="AA4" s="35"/>
      <c r="AB4" s="35"/>
      <c r="AC4" s="35"/>
      <c r="AD4" s="35"/>
      <c r="AE4" s="35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</row>
    <row r="5" spans="1:85">
      <c r="A5" s="46" t="s">
        <v>269</v>
      </c>
      <c r="D5" t="s">
        <v>559</v>
      </c>
      <c r="G5" t="s">
        <v>426</v>
      </c>
      <c r="H5" s="36"/>
      <c r="I5" s="35"/>
      <c r="J5" s="46" t="s">
        <v>772</v>
      </c>
      <c r="K5" s="36"/>
      <c r="L5" s="35"/>
      <c r="M5" s="46" t="s">
        <v>492</v>
      </c>
      <c r="N5" s="36"/>
      <c r="O5" s="35"/>
      <c r="P5" s="6" t="s">
        <v>768</v>
      </c>
      <c r="Q5" s="6"/>
      <c r="R5" s="6"/>
      <c r="S5" s="6" t="s">
        <v>777</v>
      </c>
      <c r="T5" s="6"/>
      <c r="U5" s="6"/>
      <c r="V5" s="6"/>
      <c r="W5" s="6"/>
      <c r="X5" s="6"/>
      <c r="Y5" s="58"/>
      <c r="Z5" s="6"/>
      <c r="AA5" s="6"/>
      <c r="AB5" s="58"/>
      <c r="AC5" s="6"/>
      <c r="AD5" s="6"/>
      <c r="AE5" s="58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</row>
    <row r="6" spans="1:85">
      <c r="A6" s="3" t="s">
        <v>237</v>
      </c>
      <c r="B6" s="12">
        <f>(3.7+4.2)/2*3</f>
        <v>11.850000000000001</v>
      </c>
      <c r="C6" s="3" t="s">
        <v>40</v>
      </c>
      <c r="D6" t="s">
        <v>560</v>
      </c>
      <c r="E6" s="12">
        <f>0.185*9.81</f>
        <v>1.8148500000000001</v>
      </c>
      <c r="F6" s="67" t="s">
        <v>35</v>
      </c>
      <c r="G6" t="s">
        <v>427</v>
      </c>
      <c r="H6" s="61">
        <f>0.1*ISA!B5</f>
        <v>0.98066500000000001</v>
      </c>
      <c r="I6" s="38" t="s">
        <v>35</v>
      </c>
      <c r="J6" s="46" t="s">
        <v>491</v>
      </c>
      <c r="K6" s="61">
        <f>0.029*ISA!B5</f>
        <v>0.28439284999999997</v>
      </c>
      <c r="L6" s="38" t="s">
        <v>35</v>
      </c>
      <c r="M6" s="46" t="s">
        <v>493</v>
      </c>
      <c r="N6" s="61">
        <f>5*0.02*ISA!B5</f>
        <v>0.98066500000000001</v>
      </c>
      <c r="O6" s="38" t="s">
        <v>35</v>
      </c>
      <c r="P6" s="46" t="s">
        <v>770</v>
      </c>
      <c r="Q6" s="61">
        <f>(0.036*2+0.05+0.002+0.032)*9.81</f>
        <v>1.5303600000000002</v>
      </c>
      <c r="R6" s="38" t="s">
        <v>35</v>
      </c>
      <c r="S6" s="46" t="s">
        <v>778</v>
      </c>
      <c r="T6" s="61">
        <f>(0.1+0.017+0.004+0.01+0.011)*9.81</f>
        <v>1.3930200000000001</v>
      </c>
      <c r="U6" s="38" t="s">
        <v>35</v>
      </c>
      <c r="V6" s="6"/>
      <c r="W6" s="16"/>
      <c r="X6" s="6"/>
      <c r="Y6" s="6"/>
      <c r="Z6" s="16"/>
      <c r="AA6" s="6"/>
      <c r="AB6" s="58"/>
      <c r="AC6" s="74"/>
      <c r="AD6" s="58"/>
      <c r="AE6" s="58"/>
      <c r="AF6" s="16"/>
      <c r="AG6" s="67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</row>
    <row r="7" spans="1:85">
      <c r="A7" s="3" t="s">
        <v>310</v>
      </c>
      <c r="B7" s="12">
        <f>8/4</f>
        <v>2</v>
      </c>
      <c r="C7" s="3" t="s">
        <v>69</v>
      </c>
      <c r="D7" t="s">
        <v>639</v>
      </c>
      <c r="E7" s="12">
        <v>0.95</v>
      </c>
      <c r="F7" s="6"/>
      <c r="G7" s="6"/>
      <c r="H7" s="56"/>
      <c r="I7" s="6"/>
      <c r="J7" t="s">
        <v>769</v>
      </c>
      <c r="K7" s="18">
        <v>0.1</v>
      </c>
      <c r="L7" t="s">
        <v>34</v>
      </c>
      <c r="M7" t="s">
        <v>767</v>
      </c>
      <c r="N7" s="18">
        <f>3*0.5+2*1</f>
        <v>3.5</v>
      </c>
      <c r="O7" t="s">
        <v>34</v>
      </c>
      <c r="P7" t="s">
        <v>771</v>
      </c>
      <c r="Q7" s="8">
        <f>1.92*2+1+0.05+3.12</f>
        <v>8.01</v>
      </c>
      <c r="R7" t="s">
        <v>34</v>
      </c>
      <c r="S7" t="s">
        <v>779</v>
      </c>
      <c r="T7" s="18">
        <f>0.6*5</f>
        <v>3</v>
      </c>
      <c r="U7" t="s">
        <v>34</v>
      </c>
      <c r="V7" s="6"/>
      <c r="W7" s="16"/>
      <c r="X7" s="6"/>
      <c r="Y7" s="58"/>
      <c r="Z7" s="16"/>
      <c r="AA7" s="58"/>
      <c r="AB7" s="58"/>
      <c r="AC7" s="16"/>
      <c r="AD7" s="6"/>
      <c r="AE7" s="58"/>
      <c r="AF7" s="16"/>
      <c r="AG7" s="67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</row>
    <row r="8" spans="1:85">
      <c r="A8" s="46" t="s">
        <v>312</v>
      </c>
      <c r="B8" s="1">
        <f>B6*B7</f>
        <v>23.700000000000003</v>
      </c>
      <c r="C8" t="s">
        <v>313</v>
      </c>
      <c r="G8" s="6"/>
      <c r="H8" s="56"/>
      <c r="I8" s="6"/>
      <c r="J8" t="s">
        <v>773</v>
      </c>
      <c r="K8" s="61">
        <f>0.206+0.1</f>
        <v>0.30599999999999999</v>
      </c>
      <c r="L8" t="s">
        <v>35</v>
      </c>
      <c r="P8" s="6"/>
      <c r="Q8" s="6"/>
      <c r="R8" s="6"/>
      <c r="S8" s="6"/>
      <c r="T8" s="16"/>
      <c r="U8" s="6"/>
      <c r="V8" s="6"/>
      <c r="W8" s="6"/>
      <c r="X8" s="6"/>
      <c r="Y8" s="6"/>
      <c r="Z8" s="16"/>
      <c r="AA8" s="6"/>
      <c r="AB8" s="6"/>
      <c r="AC8" s="20"/>
      <c r="AD8" s="6"/>
      <c r="AE8" s="6"/>
      <c r="AF8" s="20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</row>
    <row r="9" spans="1:85">
      <c r="A9" s="3" t="s">
        <v>311</v>
      </c>
      <c r="B9" s="12">
        <f>3*0.225*ISA!B5/4*0.6</f>
        <v>0.99292331249999999</v>
      </c>
      <c r="C9" s="3" t="s">
        <v>35</v>
      </c>
      <c r="E9" s="56"/>
      <c r="F9" s="6"/>
      <c r="G9" s="6"/>
      <c r="H9" s="56"/>
      <c r="I9" s="6"/>
      <c r="J9" t="s">
        <v>774</v>
      </c>
      <c r="K9" s="18">
        <v>1.5</v>
      </c>
      <c r="L9" t="s">
        <v>34</v>
      </c>
      <c r="P9" s="6"/>
      <c r="Q9" s="6"/>
      <c r="R9" s="6"/>
      <c r="S9" s="6"/>
      <c r="T9" s="16"/>
      <c r="U9" s="6"/>
      <c r="V9" s="6"/>
      <c r="W9" s="6"/>
      <c r="X9" s="6"/>
      <c r="Y9" s="6"/>
      <c r="Z9" s="16"/>
      <c r="AA9" s="6"/>
      <c r="AB9" s="58"/>
      <c r="AC9" s="16"/>
      <c r="AD9" s="58"/>
      <c r="AE9" s="6"/>
      <c r="AF9" s="37"/>
      <c r="AG9" s="3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</row>
    <row r="10" spans="1:85">
      <c r="A10" s="3" t="s">
        <v>588</v>
      </c>
      <c r="B10" s="8">
        <v>30</v>
      </c>
      <c r="C10" s="3" t="s">
        <v>361</v>
      </c>
      <c r="D10" s="6"/>
      <c r="E10" s="56"/>
      <c r="F10" s="58"/>
      <c r="G10" s="46"/>
      <c r="H10" s="56"/>
      <c r="I10" s="6"/>
      <c r="J10" t="s">
        <v>775</v>
      </c>
      <c r="K10" s="61">
        <f>0.008*9.81</f>
        <v>7.8480000000000008E-2</v>
      </c>
      <c r="L10" t="s">
        <v>35</v>
      </c>
      <c r="P10" s="6"/>
      <c r="Q10" s="6"/>
      <c r="R10" s="6"/>
      <c r="S10" s="6"/>
      <c r="T10" s="16"/>
      <c r="U10" s="6"/>
      <c r="V10" s="6"/>
      <c r="W10" s="6"/>
      <c r="X10" s="6"/>
      <c r="Y10" s="71"/>
      <c r="Z10" s="20"/>
      <c r="AA10" s="71"/>
      <c r="AB10" s="58"/>
      <c r="AC10" s="20"/>
      <c r="AD10" s="58"/>
      <c r="AE10" s="6"/>
      <c r="AF10" s="35"/>
      <c r="AG10" s="35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</row>
    <row r="11" spans="1:85">
      <c r="D11" s="6"/>
      <c r="E11" s="56"/>
      <c r="F11" s="58"/>
      <c r="G11" s="46"/>
      <c r="H11" s="56"/>
      <c r="I11" s="6"/>
      <c r="J11" t="s">
        <v>776</v>
      </c>
      <c r="K11" s="18">
        <v>0</v>
      </c>
      <c r="L11" t="s">
        <v>34</v>
      </c>
      <c r="P11" s="6"/>
      <c r="Q11" s="6"/>
      <c r="R11" s="6"/>
      <c r="S11" s="6"/>
      <c r="T11" s="16"/>
      <c r="U11" s="6"/>
      <c r="V11" s="6"/>
      <c r="W11" s="6"/>
      <c r="X11" s="6"/>
      <c r="Y11" s="6"/>
      <c r="Z11" s="6"/>
      <c r="AA11" s="16"/>
      <c r="AB11" s="6"/>
      <c r="AC11" s="35"/>
      <c r="AD11" s="35"/>
      <c r="AE11" s="35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</row>
    <row r="12" spans="1:85">
      <c r="A12" s="67" t="s">
        <v>641</v>
      </c>
      <c r="B12" s="20">
        <f>B8/B9</f>
        <v>23.86891283711299</v>
      </c>
      <c r="C12" s="67" t="s">
        <v>249</v>
      </c>
      <c r="D12" s="6"/>
      <c r="E12" s="56"/>
      <c r="F12" s="46"/>
      <c r="I12" s="6"/>
      <c r="J12" t="s">
        <v>34</v>
      </c>
      <c r="K12" s="36">
        <f>K6+K8+K10</f>
        <v>0.66887284999999996</v>
      </c>
      <c r="L12" t="s">
        <v>35</v>
      </c>
      <c r="M12" t="s">
        <v>34</v>
      </c>
      <c r="N12" s="36">
        <f>N6+N8+N10</f>
        <v>0.98066500000000001</v>
      </c>
      <c r="O12" t="s">
        <v>35</v>
      </c>
      <c r="P12" t="s">
        <v>34</v>
      </c>
      <c r="Q12" s="36">
        <f>Q6+Q8+Q10</f>
        <v>1.5303600000000002</v>
      </c>
      <c r="R12" t="s">
        <v>35</v>
      </c>
      <c r="S12" t="s">
        <v>34</v>
      </c>
      <c r="T12" s="36">
        <f>T6+T8+T10</f>
        <v>1.3930200000000001</v>
      </c>
      <c r="U12" t="s">
        <v>35</v>
      </c>
      <c r="V12" s="6"/>
      <c r="W12" s="6"/>
      <c r="X12" s="16"/>
      <c r="Y12" s="71"/>
      <c r="Z12" s="20"/>
      <c r="AA12" s="67"/>
      <c r="AB12" s="35"/>
      <c r="AC12" s="35"/>
      <c r="AD12" s="35"/>
      <c r="AE12" s="35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</row>
    <row r="13" spans="1:85">
      <c r="A13" s="67"/>
      <c r="B13" s="20"/>
      <c r="C13" s="67"/>
      <c r="D13" s="6"/>
      <c r="J13" t="s">
        <v>114</v>
      </c>
      <c r="K13" s="20">
        <f>K7+K9+K11</f>
        <v>1.6</v>
      </c>
      <c r="L13" t="s">
        <v>34</v>
      </c>
      <c r="M13" t="s">
        <v>114</v>
      </c>
      <c r="N13" s="20">
        <f>N7+N9+N11</f>
        <v>3.5</v>
      </c>
      <c r="O13" t="s">
        <v>34</v>
      </c>
      <c r="P13" t="s">
        <v>114</v>
      </c>
      <c r="Q13" s="20">
        <f>Q7+Q9+Q11</f>
        <v>8.01</v>
      </c>
      <c r="R13" t="s">
        <v>34</v>
      </c>
      <c r="S13" t="s">
        <v>114</v>
      </c>
      <c r="T13" s="20">
        <f>T7+T9+T11</f>
        <v>3</v>
      </c>
      <c r="U13" t="s">
        <v>34</v>
      </c>
      <c r="V13" s="6"/>
      <c r="W13" s="6"/>
      <c r="X13" s="6"/>
      <c r="Y13" s="35"/>
      <c r="Z13" s="35"/>
      <c r="AA13" s="35"/>
      <c r="AB13" s="35"/>
      <c r="AC13" s="35"/>
      <c r="AD13" s="35"/>
      <c r="AE13" s="35"/>
      <c r="AF13" s="6"/>
      <c r="AG13" s="6"/>
      <c r="AH13" s="6"/>
      <c r="AI13" s="6"/>
      <c r="AJ13" s="6"/>
      <c r="AK13" s="6"/>
      <c r="AL13" s="1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</row>
    <row r="14" spans="1:85">
      <c r="A14" s="6"/>
      <c r="B14" s="6"/>
      <c r="C14" s="6"/>
      <c r="D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</row>
    <row r="15" spans="1:85">
      <c r="B15" t="s">
        <v>766</v>
      </c>
      <c r="F15" s="6"/>
      <c r="G15" s="6" t="s">
        <v>269</v>
      </c>
      <c r="H15" s="6"/>
      <c r="I15" s="6"/>
      <c r="J15" s="6" t="s">
        <v>82</v>
      </c>
      <c r="K15" s="6"/>
      <c r="L15" s="35"/>
      <c r="M15" s="35"/>
      <c r="P15" s="6"/>
      <c r="Q15" s="6"/>
      <c r="R15" s="58"/>
      <c r="S15" s="6"/>
      <c r="T15" s="6"/>
      <c r="U15" s="6"/>
      <c r="V15" s="35"/>
      <c r="W15" s="6"/>
      <c r="X15" s="6"/>
      <c r="Y15" s="6"/>
      <c r="Z15" s="6"/>
      <c r="AA15" s="6"/>
      <c r="AB15" s="6"/>
      <c r="AC15" s="35"/>
      <c r="AD15" s="35"/>
      <c r="AE15" s="35"/>
      <c r="AF15" s="35"/>
      <c r="AG15" s="35"/>
      <c r="AH15" s="35"/>
      <c r="AI15" s="6"/>
      <c r="AJ15" s="6"/>
      <c r="AK15" s="35"/>
      <c r="AL15" s="35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58"/>
      <c r="BD15" s="6"/>
      <c r="BE15" s="6"/>
      <c r="BF15" s="6"/>
      <c r="BG15" s="6"/>
      <c r="BH15" s="6"/>
      <c r="BI15" s="6"/>
      <c r="BJ15" s="6"/>
      <c r="BK15" s="6"/>
      <c r="BL15" s="58"/>
      <c r="BM15" s="6"/>
      <c r="BN15" s="6"/>
      <c r="BO15" s="6"/>
      <c r="BY15" s="58"/>
      <c r="BZ15" s="35"/>
      <c r="CA15" s="35"/>
      <c r="CB15" s="35"/>
      <c r="CC15" s="35"/>
      <c r="CD15" s="35"/>
      <c r="CE15" s="35"/>
      <c r="CF15" s="35"/>
      <c r="CG15" s="35"/>
    </row>
    <row r="16" spans="1:85">
      <c r="F16" s="6"/>
      <c r="G16" s="35"/>
      <c r="H16" s="6"/>
      <c r="I16" s="6"/>
      <c r="J16" s="6"/>
      <c r="K16" s="35"/>
      <c r="L16" s="6"/>
      <c r="M16" s="35"/>
      <c r="P16" s="6"/>
      <c r="Q16" s="6"/>
      <c r="R16" s="6"/>
      <c r="S16" s="6"/>
      <c r="T16" s="6"/>
      <c r="U16" s="6"/>
      <c r="V16" s="35"/>
      <c r="W16" s="35"/>
      <c r="X16" s="6"/>
      <c r="Y16" s="35"/>
      <c r="Z16" s="6"/>
      <c r="AA16" s="35"/>
      <c r="AB16" s="6"/>
      <c r="AC16" s="6"/>
      <c r="AD16" s="6"/>
      <c r="AE16" s="35"/>
      <c r="AF16" s="35"/>
      <c r="AG16" s="35"/>
      <c r="AH16" s="35"/>
      <c r="AI16" s="6"/>
      <c r="AJ16" s="6"/>
      <c r="AK16" s="35"/>
      <c r="AL16" s="35"/>
      <c r="AM16" s="35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58"/>
      <c r="BB16" s="6"/>
      <c r="BC16" s="58"/>
      <c r="BD16" s="58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</row>
    <row r="17" spans="1:91">
      <c r="F17" s="6"/>
      <c r="G17" s="35"/>
      <c r="H17" s="35"/>
      <c r="I17" s="6"/>
      <c r="J17" s="6"/>
      <c r="K17" s="35"/>
      <c r="L17" s="35"/>
      <c r="M17" s="35"/>
      <c r="P17" s="6"/>
      <c r="Q17" s="6"/>
      <c r="R17" s="6"/>
      <c r="S17" s="6"/>
      <c r="T17" s="6"/>
      <c r="U17" s="35"/>
      <c r="V17" s="35"/>
      <c r="W17" s="35"/>
      <c r="X17" s="6"/>
      <c r="Y17" s="35"/>
      <c r="Z17" s="6"/>
      <c r="AA17" s="35"/>
      <c r="AB17" s="6"/>
      <c r="AC17" s="6"/>
      <c r="AD17" s="35"/>
      <c r="AE17" s="35"/>
      <c r="AF17" s="35"/>
      <c r="AG17" s="35"/>
      <c r="AH17" s="35"/>
      <c r="AI17" s="6"/>
      <c r="AJ17" s="6"/>
      <c r="AK17" s="35"/>
      <c r="AL17" s="35"/>
      <c r="AM17" s="35"/>
      <c r="AN17" s="6"/>
      <c r="AO17" s="6"/>
      <c r="AP17" s="6"/>
      <c r="AQ17" s="6"/>
      <c r="AR17" s="6"/>
      <c r="AS17" s="6"/>
      <c r="AT17" s="6"/>
      <c r="AU17" s="6"/>
      <c r="AV17" s="6"/>
      <c r="AW17" s="35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</row>
    <row r="18" spans="1:91">
      <c r="A18" s="58"/>
      <c r="B18" s="9" t="s">
        <v>114</v>
      </c>
      <c r="C18" s="9" t="s">
        <v>315</v>
      </c>
      <c r="D18" s="9" t="s">
        <v>204</v>
      </c>
      <c r="E18" s="47" t="s">
        <v>34</v>
      </c>
      <c r="G18" s="23" t="s">
        <v>780</v>
      </c>
      <c r="H18" s="23" t="s">
        <v>311</v>
      </c>
      <c r="I18" s="23"/>
      <c r="J18" s="68" t="s">
        <v>34</v>
      </c>
      <c r="K18" s="23"/>
      <c r="L18" s="68"/>
      <c r="M18" s="23"/>
      <c r="N18" s="9"/>
      <c r="P18" s="68"/>
      <c r="Q18" s="68"/>
      <c r="R18" s="68"/>
      <c r="S18" s="68"/>
      <c r="T18" s="68"/>
      <c r="U18" s="23"/>
      <c r="V18" s="23"/>
      <c r="W18" s="23"/>
      <c r="X18" s="23"/>
      <c r="Y18" s="23"/>
      <c r="Z18" s="23"/>
      <c r="AA18" s="68"/>
      <c r="AB18" s="68"/>
      <c r="AC18" s="68"/>
      <c r="AD18" s="23"/>
      <c r="AE18" s="23"/>
      <c r="AF18" s="23"/>
      <c r="AG18" s="23"/>
      <c r="AH18" s="23"/>
      <c r="AI18" s="68"/>
      <c r="AJ18" s="23"/>
      <c r="AK18" s="23"/>
      <c r="AL18" s="23"/>
      <c r="AM18" s="23"/>
      <c r="AN18" s="23"/>
      <c r="AO18" s="68"/>
      <c r="AP18" s="68"/>
      <c r="AQ18" s="68"/>
      <c r="AR18" s="68"/>
      <c r="AS18" s="68"/>
      <c r="AT18" s="68"/>
      <c r="AU18" s="68"/>
      <c r="AV18" s="6"/>
      <c r="AW18" s="68"/>
      <c r="AX18" s="68"/>
      <c r="AY18" s="68"/>
      <c r="AZ18" s="68"/>
      <c r="BA18" s="68"/>
      <c r="BB18" s="68"/>
      <c r="BC18" s="68"/>
      <c r="BD18" s="68"/>
      <c r="BE18" s="68"/>
      <c r="BF18" s="23"/>
      <c r="BG18" s="68"/>
      <c r="BH18" s="68"/>
      <c r="BI18" s="68"/>
      <c r="BJ18" s="68"/>
      <c r="BK18" s="6"/>
      <c r="BL18" s="68"/>
      <c r="BM18" s="68"/>
      <c r="BN18" s="68"/>
      <c r="BO18" s="68"/>
      <c r="BP18" s="47"/>
      <c r="BQ18" s="47"/>
      <c r="BR18" s="68"/>
      <c r="BS18" s="68"/>
      <c r="BT18" s="68"/>
      <c r="BU18" s="68"/>
      <c r="BV18" s="68"/>
      <c r="BW18" s="68"/>
      <c r="BY18" s="68"/>
      <c r="BZ18" s="68"/>
      <c r="CA18" s="68"/>
      <c r="CB18" s="47"/>
      <c r="CC18" s="47"/>
      <c r="CD18" s="47"/>
      <c r="CE18" s="68"/>
      <c r="CF18" s="47"/>
      <c r="CG18" s="47"/>
      <c r="CH18" s="68"/>
      <c r="CI18" s="68"/>
      <c r="CJ18" s="68"/>
      <c r="CK18" s="68"/>
      <c r="CL18" s="68"/>
      <c r="CM18" s="68"/>
    </row>
    <row r="19" spans="1:91">
      <c r="A19" s="67"/>
      <c r="B19" s="9" t="s">
        <v>34</v>
      </c>
      <c r="C19" s="9" t="s">
        <v>28</v>
      </c>
      <c r="D19" s="9" t="s">
        <v>313</v>
      </c>
      <c r="E19" s="9" t="s">
        <v>35</v>
      </c>
      <c r="G19" s="23"/>
      <c r="H19" s="9" t="s">
        <v>35</v>
      </c>
      <c r="I19" s="6"/>
      <c r="J19" s="9" t="s">
        <v>35</v>
      </c>
      <c r="K19" s="23"/>
      <c r="L19" s="23"/>
      <c r="M19" s="23"/>
      <c r="N19" s="9"/>
      <c r="P19" s="23"/>
      <c r="Q19" s="23"/>
      <c r="R19" s="23"/>
      <c r="S19" s="70"/>
      <c r="T19" s="23"/>
      <c r="U19" s="70"/>
      <c r="V19" s="70"/>
      <c r="W19" s="70"/>
      <c r="X19" s="70"/>
      <c r="Y19" s="23"/>
      <c r="Z19" s="23"/>
      <c r="AA19" s="23"/>
      <c r="AB19" s="68"/>
      <c r="AC19" s="68"/>
      <c r="AD19" s="6"/>
      <c r="AE19" s="6"/>
      <c r="AF19" s="6"/>
      <c r="AG19" s="37"/>
      <c r="AH19" s="6"/>
      <c r="AI19" s="23"/>
      <c r="AJ19" s="6"/>
      <c r="AK19" s="37"/>
      <c r="AL19" s="23"/>
      <c r="AM19" s="23"/>
      <c r="AN19" s="23"/>
      <c r="AO19" s="23"/>
      <c r="AP19" s="68"/>
      <c r="AQ19" s="68"/>
      <c r="AR19" s="68"/>
      <c r="AS19" s="68"/>
      <c r="AT19" s="23"/>
      <c r="AU19" s="23"/>
      <c r="AV19" s="6"/>
      <c r="AW19" s="23"/>
      <c r="AX19" s="23"/>
      <c r="AY19" s="23"/>
      <c r="AZ19" s="23"/>
      <c r="BA19" s="70"/>
      <c r="BB19" s="23"/>
      <c r="BC19" s="23"/>
      <c r="BD19" s="68"/>
      <c r="BE19" s="23"/>
      <c r="BF19" s="23"/>
      <c r="BG19" s="23"/>
      <c r="BH19" s="23"/>
      <c r="BI19" s="23"/>
      <c r="BJ19" s="23"/>
      <c r="BK19" s="6"/>
      <c r="BL19" s="23"/>
      <c r="BM19" s="23"/>
      <c r="BN19" s="23"/>
      <c r="BO19" s="70"/>
      <c r="BP19" s="70"/>
      <c r="BQ19" s="70"/>
      <c r="BR19" s="68"/>
      <c r="BS19" s="68"/>
      <c r="BT19" s="23"/>
      <c r="BU19" s="23"/>
      <c r="BV19" s="23"/>
      <c r="BW19" s="23"/>
      <c r="BY19" s="23"/>
      <c r="BZ19" s="23"/>
      <c r="CA19" s="23"/>
      <c r="CB19" s="70"/>
      <c r="CC19" s="70"/>
      <c r="CD19" s="70"/>
      <c r="CE19" s="68"/>
      <c r="CF19" s="68"/>
      <c r="CG19" s="47"/>
      <c r="CH19" s="68"/>
      <c r="CI19" s="68"/>
      <c r="CJ19" s="23"/>
      <c r="CK19" s="23"/>
      <c r="CL19" s="23"/>
      <c r="CM19" s="23"/>
    </row>
    <row r="20" spans="1:91">
      <c r="A20" s="6"/>
      <c r="G20" s="6"/>
      <c r="H20" s="6"/>
      <c r="I20" s="6"/>
      <c r="J20" s="6"/>
      <c r="K20" s="6"/>
      <c r="L20" s="6"/>
      <c r="M20" s="6"/>
      <c r="P20" s="6"/>
      <c r="Q20" s="6"/>
      <c r="R20" s="6"/>
      <c r="S20" s="6"/>
      <c r="T20" s="6"/>
      <c r="U20" s="6"/>
      <c r="V20" s="6"/>
      <c r="W20" s="6"/>
      <c r="X20" s="6"/>
      <c r="Y20" s="35"/>
      <c r="Z20" s="6"/>
      <c r="AA20" s="6"/>
      <c r="AB20" s="35"/>
      <c r="AC20" s="6"/>
      <c r="AD20" s="6"/>
      <c r="AE20" s="6"/>
      <c r="AF20" s="35"/>
      <c r="AG20" s="35"/>
      <c r="AH20" s="6"/>
      <c r="AI20" s="6"/>
      <c r="AJ20" s="6"/>
      <c r="AK20" s="35"/>
      <c r="AL20" s="35"/>
      <c r="AM20" s="35"/>
      <c r="AN20" s="6"/>
      <c r="AO20" s="6"/>
      <c r="AP20" s="35"/>
      <c r="AQ20" s="35"/>
      <c r="AR20" s="35"/>
      <c r="AS20" s="35"/>
      <c r="AT20" s="35"/>
      <c r="AU20" s="6"/>
      <c r="AV20" s="6"/>
      <c r="AW20" s="6"/>
      <c r="AX20" s="6"/>
      <c r="AY20" s="35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35"/>
      <c r="BR20" s="35"/>
      <c r="BS20" s="35"/>
      <c r="BT20" s="35"/>
      <c r="BU20" s="35"/>
      <c r="BV20" s="35"/>
      <c r="BW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</row>
    <row r="21" spans="1:91">
      <c r="B21" s="13">
        <f>($K$13+$N$13+$Q$13+$T$13)/$E$7</f>
        <v>16.957894736842107</v>
      </c>
      <c r="C21" s="13">
        <f ca="1">Energy!Q21</f>
        <v>5.4416379321456194</v>
      </c>
      <c r="D21" s="13">
        <f ca="1">B21*C21</f>
        <v>92.278723249332572</v>
      </c>
      <c r="E21" s="20">
        <f>$E$6+$H$6+$K$12+$N$12+$Q$12+$T$12</f>
        <v>7.3684328499999996</v>
      </c>
      <c r="G21" s="20">
        <f ca="1">D21/$B$8</f>
        <v>3.8936170147397706</v>
      </c>
      <c r="H21" s="20">
        <f ca="1">D21/$B$12</f>
        <v>3.8660631038817743</v>
      </c>
      <c r="I21" s="5"/>
      <c r="J21" s="20">
        <f ca="1">E21+H21</f>
        <v>11.234495953881774</v>
      </c>
      <c r="K21" s="97"/>
      <c r="L21" s="20"/>
      <c r="M21" s="20"/>
      <c r="N21" s="13"/>
      <c r="P21" s="20"/>
      <c r="Q21" s="20"/>
      <c r="R21" s="20"/>
      <c r="S21" s="20"/>
      <c r="T21" s="20"/>
      <c r="U21" s="16"/>
      <c r="V21" s="16"/>
      <c r="W21" s="16"/>
      <c r="X21" s="16"/>
      <c r="Y21" s="38"/>
      <c r="Z21" s="20"/>
      <c r="AA21" s="20"/>
      <c r="AB21" s="38"/>
      <c r="AC21" s="20"/>
      <c r="AD21" s="6"/>
      <c r="AE21" s="6"/>
      <c r="AF21" s="41"/>
      <c r="AG21" s="38"/>
      <c r="AH21" s="38"/>
      <c r="AI21" s="20"/>
      <c r="AJ21" s="5"/>
      <c r="AK21" s="41"/>
      <c r="AL21" s="38"/>
      <c r="AM21" s="38"/>
      <c r="AN21" s="20"/>
      <c r="AO21" s="20"/>
      <c r="AP21" s="40"/>
      <c r="AQ21" s="38"/>
      <c r="AR21" s="38"/>
      <c r="AS21" s="38"/>
      <c r="AT21" s="38"/>
      <c r="AU21" s="20"/>
      <c r="AV21" s="6"/>
      <c r="AW21" s="16"/>
      <c r="AX21" s="16"/>
      <c r="AY21" s="38"/>
      <c r="AZ21" s="20"/>
      <c r="BA21" s="16"/>
      <c r="BB21" s="20"/>
      <c r="BC21" s="16"/>
      <c r="BD21" s="16"/>
      <c r="BE21" s="20"/>
      <c r="BF21" s="20"/>
      <c r="BG21" s="20"/>
      <c r="BH21" s="20"/>
      <c r="BI21" s="20"/>
      <c r="BJ21" s="20"/>
      <c r="BK21" s="6"/>
      <c r="BL21" s="20"/>
      <c r="BM21" s="20"/>
      <c r="BN21" s="20"/>
      <c r="BO21" s="20"/>
      <c r="BP21" s="38"/>
      <c r="BQ21" s="13"/>
      <c r="BR21" s="38"/>
      <c r="BS21" s="38"/>
      <c r="BT21" s="38"/>
      <c r="BU21" s="38"/>
      <c r="BV21" s="38"/>
      <c r="BW21" s="38"/>
      <c r="BY21" s="13"/>
      <c r="BZ21" s="13"/>
      <c r="CA21" s="13"/>
      <c r="CB21" s="13"/>
      <c r="CC21" s="13"/>
      <c r="CD21" s="38"/>
      <c r="CE21" s="38"/>
      <c r="CF21" s="38"/>
      <c r="CG21" s="38"/>
      <c r="CH21" s="38"/>
      <c r="CI21" s="38"/>
      <c r="CJ21" s="38"/>
      <c r="CK21" s="38"/>
      <c r="CL21" s="38"/>
      <c r="CM21" s="38"/>
    </row>
    <row r="22" spans="1:91">
      <c r="B22" s="13">
        <f t="shared" ref="B22:B40" si="0">($K$13+$N$13+$Q$13+$T$13)/$E$7</f>
        <v>16.957894736842107</v>
      </c>
      <c r="C22" s="13">
        <f ca="1">Energy!Q22</f>
        <v>5.445359487035982</v>
      </c>
      <c r="D22" s="13">
        <f t="shared" ref="D22:D40" ca="1" si="1">B22*C22</f>
        <v>92.341832985420709</v>
      </c>
      <c r="E22" s="20">
        <f t="shared" ref="E22:E40" si="2">$E$6+$H$6+$K$12+$N$12+$Q$12+$T$12</f>
        <v>7.3684328499999996</v>
      </c>
      <c r="G22" s="20">
        <f t="shared" ref="G22:G40" ca="1" si="3">D22/$B$8</f>
        <v>3.8962798728025612</v>
      </c>
      <c r="H22" s="20">
        <f t="shared" ref="H22:H40" ca="1" si="4">D22/$B$12</f>
        <v>3.8687071177301977</v>
      </c>
      <c r="I22" s="5"/>
      <c r="J22" s="20">
        <f t="shared" ref="J22:J40" ca="1" si="5">E22+H22</f>
        <v>11.237139967730197</v>
      </c>
      <c r="K22" s="97"/>
      <c r="L22" s="20"/>
      <c r="M22" s="20"/>
      <c r="N22" s="13"/>
      <c r="P22" s="20"/>
      <c r="Q22" s="20"/>
      <c r="R22" s="20"/>
      <c r="S22" s="20"/>
      <c r="T22" s="20"/>
      <c r="U22" s="16"/>
      <c r="V22" s="16"/>
      <c r="W22" s="16"/>
      <c r="X22" s="16"/>
      <c r="Y22" s="38"/>
      <c r="Z22" s="20"/>
      <c r="AA22" s="20"/>
      <c r="AB22" s="38"/>
      <c r="AC22" s="20"/>
      <c r="AD22" s="6"/>
      <c r="AE22" s="6"/>
      <c r="AF22" s="41"/>
      <c r="AG22" s="38"/>
      <c r="AH22" s="38"/>
      <c r="AI22" s="20"/>
      <c r="AJ22" s="5"/>
      <c r="AK22" s="41"/>
      <c r="AL22" s="38"/>
      <c r="AM22" s="38"/>
      <c r="AN22" s="20"/>
      <c r="AO22" s="20"/>
      <c r="AP22" s="40"/>
      <c r="AQ22" s="38"/>
      <c r="AR22" s="38"/>
      <c r="AS22" s="38"/>
      <c r="AT22" s="38"/>
      <c r="AU22" s="20"/>
      <c r="AV22" s="6"/>
      <c r="AW22" s="16"/>
      <c r="AX22" s="16"/>
      <c r="AY22" s="38"/>
      <c r="AZ22" s="20"/>
      <c r="BA22" s="16"/>
      <c r="BB22" s="20"/>
      <c r="BC22" s="16"/>
      <c r="BD22" s="16"/>
      <c r="BE22" s="20"/>
      <c r="BF22" s="20"/>
      <c r="BG22" s="20"/>
      <c r="BH22" s="20"/>
      <c r="BI22" s="20"/>
      <c r="BJ22" s="20"/>
      <c r="BK22" s="6"/>
      <c r="BL22" s="20"/>
      <c r="BM22" s="20"/>
      <c r="BN22" s="20"/>
      <c r="BO22" s="20"/>
      <c r="BP22" s="38"/>
      <c r="BQ22" s="13"/>
      <c r="BR22" s="38"/>
      <c r="BS22" s="38"/>
      <c r="BT22" s="38"/>
      <c r="BU22" s="38"/>
      <c r="BV22" s="38"/>
      <c r="BW22" s="38"/>
      <c r="BY22" s="13"/>
      <c r="BZ22" s="13"/>
      <c r="CA22" s="13"/>
      <c r="CB22" s="13"/>
      <c r="CC22" s="13"/>
      <c r="CD22" s="38"/>
      <c r="CE22" s="38"/>
      <c r="CF22" s="38"/>
      <c r="CG22" s="38"/>
      <c r="CH22" s="38"/>
      <c r="CI22" s="38"/>
      <c r="CJ22" s="38"/>
      <c r="CK22" s="38"/>
      <c r="CL22" s="38"/>
      <c r="CM22" s="38"/>
    </row>
    <row r="23" spans="1:91">
      <c r="B23" s="13">
        <f t="shared" si="0"/>
        <v>16.957894736842107</v>
      </c>
      <c r="C23" s="13">
        <f ca="1">Energy!Q23</f>
        <v>5.4489809432815086</v>
      </c>
      <c r="D23" s="13">
        <f t="shared" ca="1" si="1"/>
        <v>92.403245259226438</v>
      </c>
      <c r="E23" s="20">
        <f t="shared" si="2"/>
        <v>7.3684328499999996</v>
      </c>
      <c r="G23" s="20">
        <f t="shared" ca="1" si="3"/>
        <v>3.8988711079842373</v>
      </c>
      <c r="H23" s="20">
        <f t="shared" ca="1" si="4"/>
        <v>3.871280015550254</v>
      </c>
      <c r="I23" s="5"/>
      <c r="J23" s="20">
        <f t="shared" ca="1" si="5"/>
        <v>11.239712865550253</v>
      </c>
      <c r="K23" s="97"/>
      <c r="L23" s="20"/>
      <c r="M23" s="20"/>
      <c r="N23" s="13"/>
      <c r="P23" s="20"/>
      <c r="Q23" s="20"/>
      <c r="R23" s="20"/>
      <c r="S23" s="20"/>
      <c r="T23" s="20"/>
      <c r="U23" s="16"/>
      <c r="V23" s="16"/>
      <c r="W23" s="16"/>
      <c r="X23" s="16"/>
      <c r="Y23" s="38"/>
      <c r="Z23" s="20"/>
      <c r="AA23" s="20"/>
      <c r="AB23" s="38"/>
      <c r="AC23" s="20"/>
      <c r="AD23" s="6"/>
      <c r="AE23" s="6"/>
      <c r="AF23" s="41"/>
      <c r="AG23" s="38"/>
      <c r="AH23" s="38"/>
      <c r="AI23" s="20"/>
      <c r="AJ23" s="5"/>
      <c r="AK23" s="41"/>
      <c r="AL23" s="38"/>
      <c r="AM23" s="38"/>
      <c r="AN23" s="20"/>
      <c r="AO23" s="20"/>
      <c r="AP23" s="40"/>
      <c r="AQ23" s="38"/>
      <c r="AR23" s="38"/>
      <c r="AS23" s="38"/>
      <c r="AT23" s="38"/>
      <c r="AU23" s="20"/>
      <c r="AV23" s="6"/>
      <c r="AW23" s="16"/>
      <c r="AX23" s="16"/>
      <c r="AY23" s="38"/>
      <c r="AZ23" s="20"/>
      <c r="BA23" s="16"/>
      <c r="BB23" s="20"/>
      <c r="BC23" s="16"/>
      <c r="BD23" s="16"/>
      <c r="BE23" s="20"/>
      <c r="BF23" s="20"/>
      <c r="BG23" s="20"/>
      <c r="BH23" s="20"/>
      <c r="BI23" s="20"/>
      <c r="BJ23" s="20"/>
      <c r="BK23" s="6"/>
      <c r="BL23" s="20"/>
      <c r="BM23" s="20"/>
      <c r="BN23" s="20"/>
      <c r="BO23" s="20"/>
      <c r="BP23" s="38"/>
      <c r="BQ23" s="13"/>
      <c r="BR23" s="38"/>
      <c r="BS23" s="38"/>
      <c r="BT23" s="38"/>
      <c r="BU23" s="38"/>
      <c r="BV23" s="38"/>
      <c r="BW23" s="38"/>
      <c r="BY23" s="13"/>
      <c r="BZ23" s="13"/>
      <c r="CA23" s="13"/>
      <c r="CB23" s="13"/>
      <c r="CC23" s="13"/>
      <c r="CD23" s="38"/>
      <c r="CE23" s="38"/>
      <c r="CF23" s="38"/>
      <c r="CG23" s="38"/>
      <c r="CH23" s="38"/>
      <c r="CI23" s="38"/>
      <c r="CJ23" s="38"/>
      <c r="CK23" s="38"/>
      <c r="CL23" s="38"/>
      <c r="CM23" s="38"/>
    </row>
    <row r="24" spans="1:91">
      <c r="B24" s="13">
        <f t="shared" si="0"/>
        <v>16.957894736842107</v>
      </c>
      <c r="C24" s="13">
        <f ca="1">Energy!Q24</f>
        <v>5.4551883970995041</v>
      </c>
      <c r="D24" s="13">
        <f t="shared" ca="1" si="1"/>
        <v>92.508510607655808</v>
      </c>
      <c r="E24" s="20">
        <f t="shared" si="2"/>
        <v>7.3684328499999996</v>
      </c>
      <c r="G24" s="20">
        <f t="shared" ca="1" si="3"/>
        <v>3.9033126838673331</v>
      </c>
      <c r="H24" s="20">
        <f t="shared" ca="1" si="4"/>
        <v>3.8756901597888178</v>
      </c>
      <c r="I24" s="5"/>
      <c r="J24" s="20">
        <f t="shared" ca="1" si="5"/>
        <v>11.244123009788817</v>
      </c>
      <c r="K24" s="97"/>
      <c r="L24" s="20"/>
      <c r="M24" s="20"/>
      <c r="N24" s="13"/>
      <c r="P24" s="20"/>
      <c r="Q24" s="20"/>
      <c r="R24" s="20"/>
      <c r="S24" s="20"/>
      <c r="T24" s="20"/>
      <c r="U24" s="16"/>
      <c r="V24" s="16"/>
      <c r="W24" s="16"/>
      <c r="X24" s="16"/>
      <c r="Y24" s="38"/>
      <c r="Z24" s="20"/>
      <c r="AA24" s="20"/>
      <c r="AB24" s="38"/>
      <c r="AC24" s="20"/>
      <c r="AD24" s="6"/>
      <c r="AE24" s="6"/>
      <c r="AF24" s="41"/>
      <c r="AG24" s="38"/>
      <c r="AH24" s="38"/>
      <c r="AI24" s="20"/>
      <c r="AJ24" s="5"/>
      <c r="AK24" s="41"/>
      <c r="AL24" s="38"/>
      <c r="AM24" s="38"/>
      <c r="AN24" s="20"/>
      <c r="AO24" s="20"/>
      <c r="AP24" s="40"/>
      <c r="AQ24" s="38"/>
      <c r="AR24" s="38"/>
      <c r="AS24" s="38"/>
      <c r="AT24" s="38"/>
      <c r="AU24" s="20"/>
      <c r="AV24" s="6"/>
      <c r="AW24" s="16"/>
      <c r="AX24" s="16"/>
      <c r="AY24" s="38"/>
      <c r="AZ24" s="20"/>
      <c r="BA24" s="16"/>
      <c r="BB24" s="20"/>
      <c r="BC24" s="16"/>
      <c r="BD24" s="16"/>
      <c r="BE24" s="20"/>
      <c r="BF24" s="20"/>
      <c r="BG24" s="20"/>
      <c r="BH24" s="20"/>
      <c r="BI24" s="20"/>
      <c r="BJ24" s="20"/>
      <c r="BK24" s="6"/>
      <c r="BL24" s="20"/>
      <c r="BM24" s="20"/>
      <c r="BN24" s="20"/>
      <c r="BO24" s="20"/>
      <c r="BP24" s="38"/>
      <c r="BQ24" s="13"/>
      <c r="BR24" s="38"/>
      <c r="BS24" s="38"/>
      <c r="BT24" s="38"/>
      <c r="BU24" s="38"/>
      <c r="BV24" s="38"/>
      <c r="BW24" s="38"/>
      <c r="BY24" s="13"/>
      <c r="BZ24" s="13"/>
      <c r="CA24" s="13"/>
      <c r="CB24" s="13"/>
      <c r="CC24" s="13"/>
      <c r="CD24" s="38"/>
      <c r="CE24" s="38"/>
      <c r="CF24" s="38"/>
      <c r="CG24" s="38"/>
      <c r="CH24" s="38"/>
      <c r="CI24" s="38"/>
      <c r="CJ24" s="38"/>
      <c r="CK24" s="38"/>
      <c r="CL24" s="38"/>
      <c r="CM24" s="38"/>
    </row>
    <row r="25" spans="1:91">
      <c r="B25" s="13">
        <f t="shared" si="0"/>
        <v>16.957894736842107</v>
      </c>
      <c r="C25" s="13">
        <f ca="1">Energy!Q25</f>
        <v>5.4587023679427338</v>
      </c>
      <c r="D25" s="13">
        <f t="shared" ca="1" si="1"/>
        <v>92.568100155323634</v>
      </c>
      <c r="E25" s="20">
        <f t="shared" si="2"/>
        <v>7.3684328499999996</v>
      </c>
      <c r="G25" s="20">
        <f t="shared" ca="1" si="3"/>
        <v>3.9058270107731485</v>
      </c>
      <c r="H25" s="20">
        <f t="shared" ca="1" si="4"/>
        <v>3.878186693588848</v>
      </c>
      <c r="I25" s="5"/>
      <c r="J25" s="20">
        <f t="shared" ca="1" si="5"/>
        <v>11.246619543588848</v>
      </c>
      <c r="K25" s="97"/>
      <c r="L25" s="20"/>
      <c r="M25" s="20"/>
      <c r="N25" s="13"/>
      <c r="P25" s="20"/>
      <c r="Q25" s="20"/>
      <c r="R25" s="20"/>
      <c r="S25" s="20"/>
      <c r="T25" s="20"/>
      <c r="U25" s="16"/>
      <c r="V25" s="16"/>
      <c r="W25" s="16"/>
      <c r="X25" s="16"/>
      <c r="Y25" s="38"/>
      <c r="Z25" s="20"/>
      <c r="AA25" s="20"/>
      <c r="AB25" s="38"/>
      <c r="AC25" s="20"/>
      <c r="AD25" s="6"/>
      <c r="AE25" s="6"/>
      <c r="AF25" s="41"/>
      <c r="AG25" s="38"/>
      <c r="AH25" s="38"/>
      <c r="AI25" s="20"/>
      <c r="AJ25" s="5"/>
      <c r="AK25" s="41"/>
      <c r="AL25" s="38"/>
      <c r="AM25" s="38"/>
      <c r="AN25" s="20"/>
      <c r="AO25" s="20"/>
      <c r="AP25" s="40"/>
      <c r="AQ25" s="38"/>
      <c r="AR25" s="38"/>
      <c r="AS25" s="38"/>
      <c r="AT25" s="38"/>
      <c r="AU25" s="20"/>
      <c r="AV25" s="6"/>
      <c r="AW25" s="16"/>
      <c r="AX25" s="16"/>
      <c r="AY25" s="38"/>
      <c r="AZ25" s="20"/>
      <c r="BA25" s="16"/>
      <c r="BB25" s="20"/>
      <c r="BC25" s="16"/>
      <c r="BD25" s="16"/>
      <c r="BE25" s="20"/>
      <c r="BF25" s="20"/>
      <c r="BG25" s="20"/>
      <c r="BH25" s="20"/>
      <c r="BI25" s="20"/>
      <c r="BJ25" s="20"/>
      <c r="BK25" s="6"/>
      <c r="BL25" s="20"/>
      <c r="BM25" s="20"/>
      <c r="BN25" s="20"/>
      <c r="BO25" s="20"/>
      <c r="BP25" s="38"/>
      <c r="BQ25" s="13"/>
      <c r="BR25" s="38"/>
      <c r="BS25" s="38"/>
      <c r="BT25" s="38"/>
      <c r="BU25" s="38"/>
      <c r="BV25" s="38"/>
      <c r="BW25" s="38"/>
      <c r="BY25" s="13"/>
      <c r="BZ25" s="13"/>
      <c r="CA25" s="13"/>
      <c r="CB25" s="13"/>
      <c r="CC25" s="13"/>
      <c r="CD25" s="38"/>
      <c r="CE25" s="38"/>
      <c r="CF25" s="38"/>
      <c r="CG25" s="38"/>
      <c r="CH25" s="38"/>
      <c r="CI25" s="38"/>
      <c r="CJ25" s="38"/>
      <c r="CK25" s="38"/>
      <c r="CL25" s="38"/>
      <c r="CM25" s="38"/>
    </row>
    <row r="26" spans="1:91">
      <c r="B26" s="13">
        <f t="shared" si="0"/>
        <v>16.957894736842107</v>
      </c>
      <c r="C26" s="13">
        <f ca="1">Energy!Q26</f>
        <v>5.4621209334557843</v>
      </c>
      <c r="D26" s="13">
        <f t="shared" ca="1" si="1"/>
        <v>92.626071829444939</v>
      </c>
      <c r="E26" s="20">
        <f t="shared" si="2"/>
        <v>7.3684328499999996</v>
      </c>
      <c r="G26" s="20">
        <f t="shared" ca="1" si="3"/>
        <v>3.90827307297236</v>
      </c>
      <c r="H26" s="20">
        <f t="shared" ca="1" si="4"/>
        <v>3.8806154457702697</v>
      </c>
      <c r="I26" s="5"/>
      <c r="J26" s="20">
        <f t="shared" ca="1" si="5"/>
        <v>11.249048295770269</v>
      </c>
      <c r="K26" s="97"/>
      <c r="L26" s="20"/>
      <c r="M26" s="20"/>
      <c r="N26" s="13"/>
      <c r="P26" s="20"/>
      <c r="Q26" s="20"/>
      <c r="R26" s="20"/>
      <c r="S26" s="20"/>
      <c r="T26" s="20"/>
      <c r="U26" s="16"/>
      <c r="V26" s="16"/>
      <c r="W26" s="16"/>
      <c r="X26" s="16"/>
      <c r="Y26" s="38"/>
      <c r="Z26" s="20"/>
      <c r="AA26" s="20"/>
      <c r="AB26" s="38"/>
      <c r="AC26" s="20"/>
      <c r="AD26" s="6"/>
      <c r="AE26" s="6"/>
      <c r="AF26" s="41"/>
      <c r="AG26" s="38"/>
      <c r="AH26" s="38"/>
      <c r="AI26" s="20"/>
      <c r="AJ26" s="5"/>
      <c r="AK26" s="41"/>
      <c r="AL26" s="38"/>
      <c r="AM26" s="38"/>
      <c r="AN26" s="20"/>
      <c r="AO26" s="20"/>
      <c r="AP26" s="40"/>
      <c r="AQ26" s="38"/>
      <c r="AR26" s="38"/>
      <c r="AS26" s="38"/>
      <c r="AT26" s="38"/>
      <c r="AU26" s="20"/>
      <c r="AV26" s="6"/>
      <c r="AW26" s="16"/>
      <c r="AX26" s="16"/>
      <c r="AY26" s="38"/>
      <c r="AZ26" s="20"/>
      <c r="BA26" s="16"/>
      <c r="BB26" s="20"/>
      <c r="BC26" s="16"/>
      <c r="BD26" s="16"/>
      <c r="BE26" s="20"/>
      <c r="BF26" s="20"/>
      <c r="BG26" s="20"/>
      <c r="BH26" s="20"/>
      <c r="BI26" s="20"/>
      <c r="BJ26" s="20"/>
      <c r="BK26" s="6"/>
      <c r="BL26" s="20"/>
      <c r="BM26" s="20"/>
      <c r="BN26" s="20"/>
      <c r="BO26" s="20"/>
      <c r="BP26" s="38"/>
      <c r="BQ26" s="13"/>
      <c r="BR26" s="38"/>
      <c r="BS26" s="38"/>
      <c r="BT26" s="38"/>
      <c r="BU26" s="38"/>
      <c r="BV26" s="38"/>
      <c r="BW26" s="38"/>
      <c r="BY26" s="13"/>
      <c r="BZ26" s="13"/>
      <c r="CA26" s="13"/>
      <c r="CB26" s="13"/>
      <c r="CC26" s="13"/>
      <c r="CD26" s="38"/>
      <c r="CE26" s="38"/>
      <c r="CF26" s="38"/>
      <c r="CG26" s="38"/>
      <c r="CH26" s="38"/>
      <c r="CI26" s="38"/>
      <c r="CJ26" s="38"/>
      <c r="CK26" s="38"/>
      <c r="CL26" s="38"/>
      <c r="CM26" s="38"/>
    </row>
    <row r="27" spans="1:91">
      <c r="B27" s="13">
        <f t="shared" si="0"/>
        <v>16.957894736842107</v>
      </c>
      <c r="C27" s="13">
        <f ca="1">Energy!Q27</f>
        <v>5.4654470377714315</v>
      </c>
      <c r="D27" s="13">
        <f t="shared" ca="1" si="1"/>
        <v>92.682475556313449</v>
      </c>
      <c r="E27" s="20">
        <f t="shared" si="2"/>
        <v>7.3684328499999996</v>
      </c>
      <c r="G27" s="20">
        <f t="shared" ca="1" si="3"/>
        <v>3.9106529770596388</v>
      </c>
      <c r="H27" s="20">
        <f t="shared" ca="1" si="4"/>
        <v>3.882978508020043</v>
      </c>
      <c r="I27" s="5"/>
      <c r="J27" s="20">
        <f t="shared" ca="1" si="5"/>
        <v>11.251411358020043</v>
      </c>
      <c r="K27" s="97"/>
      <c r="L27" s="20"/>
      <c r="M27" s="20"/>
      <c r="N27" s="13"/>
      <c r="P27" s="20"/>
      <c r="Q27" s="20"/>
      <c r="R27" s="20"/>
      <c r="S27" s="20"/>
      <c r="T27" s="20"/>
      <c r="U27" s="16"/>
      <c r="V27" s="16"/>
      <c r="W27" s="16"/>
      <c r="X27" s="16"/>
      <c r="Y27" s="38"/>
      <c r="Z27" s="20"/>
      <c r="AA27" s="20"/>
      <c r="AB27" s="38"/>
      <c r="AC27" s="20"/>
      <c r="AD27" s="6"/>
      <c r="AE27" s="6"/>
      <c r="AF27" s="41"/>
      <c r="AG27" s="38"/>
      <c r="AH27" s="38"/>
      <c r="AI27" s="20"/>
      <c r="AJ27" s="5"/>
      <c r="AK27" s="41"/>
      <c r="AL27" s="38"/>
      <c r="AM27" s="38"/>
      <c r="AN27" s="20"/>
      <c r="AO27" s="20"/>
      <c r="AP27" s="40"/>
      <c r="AQ27" s="38"/>
      <c r="AR27" s="38"/>
      <c r="AS27" s="38"/>
      <c r="AT27" s="38"/>
      <c r="AU27" s="20"/>
      <c r="AV27" s="6"/>
      <c r="AW27" s="16"/>
      <c r="AX27" s="16"/>
      <c r="AY27" s="38"/>
      <c r="AZ27" s="20"/>
      <c r="BA27" s="16"/>
      <c r="BB27" s="20"/>
      <c r="BC27" s="16"/>
      <c r="BD27" s="16"/>
      <c r="BE27" s="20"/>
      <c r="BF27" s="20"/>
      <c r="BG27" s="20"/>
      <c r="BH27" s="20"/>
      <c r="BI27" s="20"/>
      <c r="BJ27" s="20"/>
      <c r="BK27" s="6"/>
      <c r="BL27" s="20"/>
      <c r="BM27" s="20"/>
      <c r="BN27" s="20"/>
      <c r="BO27" s="20"/>
      <c r="BP27" s="38"/>
      <c r="BQ27" s="13"/>
      <c r="BR27" s="38"/>
      <c r="BS27" s="38"/>
      <c r="BT27" s="38"/>
      <c r="BU27" s="38"/>
      <c r="BV27" s="38"/>
      <c r="BW27" s="38"/>
      <c r="BY27" s="13"/>
      <c r="BZ27" s="13"/>
      <c r="CA27" s="13"/>
      <c r="CB27" s="13"/>
      <c r="CC27" s="13"/>
      <c r="CD27" s="38"/>
      <c r="CE27" s="38"/>
      <c r="CF27" s="38"/>
      <c r="CG27" s="38"/>
      <c r="CH27" s="38"/>
      <c r="CI27" s="38"/>
      <c r="CJ27" s="38"/>
      <c r="CK27" s="38"/>
      <c r="CL27" s="38"/>
      <c r="CM27" s="38"/>
    </row>
    <row r="28" spans="1:91">
      <c r="B28" s="13">
        <f t="shared" si="0"/>
        <v>16.957894736842107</v>
      </c>
      <c r="C28" s="13">
        <f ca="1">Energy!Q28</f>
        <v>5.4688794493035262</v>
      </c>
      <c r="D28" s="13">
        <f t="shared" ca="1" si="1"/>
        <v>92.740682029768223</v>
      </c>
      <c r="E28" s="20">
        <f t="shared" si="2"/>
        <v>7.3684328499999996</v>
      </c>
      <c r="G28" s="20">
        <f t="shared" ca="1" si="3"/>
        <v>3.9131089464037219</v>
      </c>
      <c r="H28" s="20">
        <f t="shared" ca="1" si="4"/>
        <v>3.8854170972365685</v>
      </c>
      <c r="I28" s="5"/>
      <c r="J28" s="20">
        <f t="shared" ca="1" si="5"/>
        <v>11.253849947236567</v>
      </c>
      <c r="K28" s="97"/>
      <c r="L28" s="20"/>
      <c r="M28" s="20"/>
      <c r="N28" s="13"/>
      <c r="P28" s="20"/>
      <c r="Q28" s="20"/>
      <c r="R28" s="20"/>
      <c r="S28" s="20"/>
      <c r="T28" s="20"/>
      <c r="U28" s="16"/>
      <c r="V28" s="16"/>
      <c r="W28" s="16"/>
      <c r="X28" s="16"/>
      <c r="Y28" s="38"/>
      <c r="Z28" s="20"/>
      <c r="AA28" s="20"/>
      <c r="AB28" s="38"/>
      <c r="AC28" s="20"/>
      <c r="AD28" s="6"/>
      <c r="AE28" s="6"/>
      <c r="AF28" s="41"/>
      <c r="AG28" s="38"/>
      <c r="AH28" s="38"/>
      <c r="AI28" s="20"/>
      <c r="AJ28" s="5"/>
      <c r="AK28" s="41"/>
      <c r="AL28" s="38"/>
      <c r="AM28" s="38"/>
      <c r="AN28" s="20"/>
      <c r="AO28" s="20"/>
      <c r="AP28" s="40"/>
      <c r="AQ28" s="38"/>
      <c r="AR28" s="38"/>
      <c r="AS28" s="38"/>
      <c r="AT28" s="38"/>
      <c r="AU28" s="20"/>
      <c r="AV28" s="6"/>
      <c r="AW28" s="16"/>
      <c r="AX28" s="16"/>
      <c r="AY28" s="38"/>
      <c r="AZ28" s="20"/>
      <c r="BA28" s="16"/>
      <c r="BB28" s="20"/>
      <c r="BC28" s="16"/>
      <c r="BD28" s="16"/>
      <c r="BE28" s="20"/>
      <c r="BF28" s="20"/>
      <c r="BG28" s="20"/>
      <c r="BH28" s="20"/>
      <c r="BI28" s="20"/>
      <c r="BJ28" s="20"/>
      <c r="BK28" s="6"/>
      <c r="BL28" s="20"/>
      <c r="BM28" s="20"/>
      <c r="BN28" s="20"/>
      <c r="BO28" s="20"/>
      <c r="BP28" s="38"/>
      <c r="BQ28" s="13"/>
      <c r="BR28" s="38"/>
      <c r="BS28" s="38"/>
      <c r="BT28" s="38"/>
      <c r="BU28" s="38"/>
      <c r="BV28" s="38"/>
      <c r="BW28" s="38"/>
      <c r="BY28" s="13"/>
      <c r="BZ28" s="13"/>
      <c r="CA28" s="13"/>
      <c r="CB28" s="13"/>
      <c r="CC28" s="13"/>
      <c r="CD28" s="38"/>
      <c r="CE28" s="38"/>
      <c r="CF28" s="38"/>
      <c r="CG28" s="38"/>
      <c r="CH28" s="38"/>
      <c r="CI28" s="38"/>
      <c r="CJ28" s="38"/>
      <c r="CK28" s="38"/>
      <c r="CL28" s="38"/>
      <c r="CM28" s="38"/>
    </row>
    <row r="29" spans="1:91">
      <c r="B29" s="13">
        <f t="shared" si="0"/>
        <v>16.957894736842107</v>
      </c>
      <c r="C29" s="13">
        <f ca="1">Energy!Q29</f>
        <v>5.4725815830584814</v>
      </c>
      <c r="D29" s="13">
        <f t="shared" ca="1" si="1"/>
        <v>92.803462424286465</v>
      </c>
      <c r="E29" s="20">
        <f t="shared" si="2"/>
        <v>7.3684328499999996</v>
      </c>
      <c r="G29" s="20">
        <f t="shared" ca="1" si="3"/>
        <v>3.9157579081977407</v>
      </c>
      <c r="H29" s="20">
        <f t="shared" ca="1" si="4"/>
        <v>3.8880473131557713</v>
      </c>
      <c r="I29" s="5"/>
      <c r="J29" s="20">
        <f t="shared" ca="1" si="5"/>
        <v>11.256480163155771</v>
      </c>
      <c r="K29" s="97"/>
      <c r="L29" s="20"/>
      <c r="M29" s="20"/>
      <c r="N29" s="13"/>
      <c r="P29" s="20"/>
      <c r="Q29" s="20"/>
      <c r="R29" s="20"/>
      <c r="S29" s="20"/>
      <c r="T29" s="20"/>
      <c r="U29" s="16"/>
      <c r="V29" s="16"/>
      <c r="W29" s="16"/>
      <c r="X29" s="16"/>
      <c r="Y29" s="38"/>
      <c r="Z29" s="20"/>
      <c r="AA29" s="20"/>
      <c r="AB29" s="38"/>
      <c r="AC29" s="20"/>
      <c r="AD29" s="6"/>
      <c r="AE29" s="6"/>
      <c r="AF29" s="41"/>
      <c r="AG29" s="38"/>
      <c r="AH29" s="38"/>
      <c r="AI29" s="20"/>
      <c r="AJ29" s="5"/>
      <c r="AK29" s="41"/>
      <c r="AL29" s="38"/>
      <c r="AM29" s="38"/>
      <c r="AN29" s="20"/>
      <c r="AO29" s="20"/>
      <c r="AP29" s="40"/>
      <c r="AQ29" s="38"/>
      <c r="AR29" s="38"/>
      <c r="AS29" s="38"/>
      <c r="AT29" s="38"/>
      <c r="AU29" s="20"/>
      <c r="AV29" s="6"/>
      <c r="AW29" s="16"/>
      <c r="AX29" s="16"/>
      <c r="AY29" s="38"/>
      <c r="AZ29" s="20"/>
      <c r="BA29" s="16"/>
      <c r="BB29" s="20"/>
      <c r="BC29" s="16"/>
      <c r="BD29" s="16"/>
      <c r="BE29" s="20"/>
      <c r="BF29" s="20"/>
      <c r="BG29" s="20"/>
      <c r="BH29" s="20"/>
      <c r="BI29" s="20"/>
      <c r="BJ29" s="20"/>
      <c r="BK29" s="6"/>
      <c r="BL29" s="20"/>
      <c r="BM29" s="20"/>
      <c r="BN29" s="20"/>
      <c r="BO29" s="20"/>
      <c r="BP29" s="38"/>
      <c r="BQ29" s="13"/>
      <c r="BR29" s="38"/>
      <c r="BS29" s="38"/>
      <c r="BT29" s="38"/>
      <c r="BU29" s="38"/>
      <c r="BV29" s="38"/>
      <c r="BW29" s="38"/>
      <c r="BY29" s="13"/>
      <c r="BZ29" s="13"/>
      <c r="CA29" s="13"/>
      <c r="CB29" s="13"/>
      <c r="CC29" s="13"/>
      <c r="CD29" s="38"/>
      <c r="CE29" s="38"/>
      <c r="CF29" s="38"/>
      <c r="CG29" s="38"/>
      <c r="CH29" s="38"/>
      <c r="CI29" s="38"/>
      <c r="CJ29" s="38"/>
      <c r="CK29" s="38"/>
      <c r="CL29" s="38"/>
      <c r="CM29" s="38"/>
    </row>
    <row r="30" spans="1:91">
      <c r="B30" s="13">
        <f t="shared" si="0"/>
        <v>16.957894736842107</v>
      </c>
      <c r="C30" s="13">
        <f ca="1">Energy!Q30</f>
        <v>5.4761750379593801</v>
      </c>
      <c r="D30" s="13">
        <f t="shared" ca="1" si="1"/>
        <v>92.86439985423749</v>
      </c>
      <c r="E30" s="20">
        <f t="shared" si="2"/>
        <v>7.3684328499999996</v>
      </c>
      <c r="G30" s="20">
        <f t="shared" ca="1" si="3"/>
        <v>3.9183291077737334</v>
      </c>
      <c r="H30" s="20">
        <f t="shared" ca="1" si="4"/>
        <v>3.8906003171558647</v>
      </c>
      <c r="I30" s="5"/>
      <c r="J30" s="20">
        <f t="shared" ca="1" si="5"/>
        <v>11.259033167155865</v>
      </c>
      <c r="K30" s="97"/>
      <c r="L30" s="20"/>
      <c r="M30" s="20"/>
      <c r="N30" s="13"/>
      <c r="P30" s="20"/>
      <c r="Q30" s="20"/>
      <c r="R30" s="20"/>
      <c r="S30" s="20"/>
      <c r="T30" s="20"/>
      <c r="U30" s="16"/>
      <c r="V30" s="16"/>
      <c r="W30" s="16"/>
      <c r="X30" s="16"/>
      <c r="Y30" s="38"/>
      <c r="Z30" s="20"/>
      <c r="AA30" s="20"/>
      <c r="AB30" s="38"/>
      <c r="AC30" s="20"/>
      <c r="AD30" s="6"/>
      <c r="AE30" s="6"/>
      <c r="AF30" s="41"/>
      <c r="AG30" s="38"/>
      <c r="AH30" s="38"/>
      <c r="AI30" s="20"/>
      <c r="AJ30" s="5"/>
      <c r="AK30" s="41"/>
      <c r="AL30" s="38"/>
      <c r="AM30" s="38"/>
      <c r="AN30" s="20"/>
      <c r="AO30" s="20"/>
      <c r="AP30" s="40"/>
      <c r="AQ30" s="38"/>
      <c r="AR30" s="38"/>
      <c r="AS30" s="38"/>
      <c r="AT30" s="38"/>
      <c r="AU30" s="20"/>
      <c r="AV30" s="6"/>
      <c r="AW30" s="16"/>
      <c r="AX30" s="16"/>
      <c r="AY30" s="38"/>
      <c r="AZ30" s="20"/>
      <c r="BA30" s="16"/>
      <c r="BB30" s="20"/>
      <c r="BC30" s="16"/>
      <c r="BD30" s="16"/>
      <c r="BE30" s="20"/>
      <c r="BF30" s="20"/>
      <c r="BG30" s="20"/>
      <c r="BH30" s="20"/>
      <c r="BI30" s="20"/>
      <c r="BJ30" s="20"/>
      <c r="BK30" s="6"/>
      <c r="BL30" s="20"/>
      <c r="BM30" s="20"/>
      <c r="BN30" s="20"/>
      <c r="BO30" s="20"/>
      <c r="BP30" s="38"/>
      <c r="BQ30" s="13"/>
      <c r="BR30" s="38"/>
      <c r="BS30" s="38"/>
      <c r="BT30" s="38"/>
      <c r="BU30" s="38"/>
      <c r="BV30" s="38"/>
      <c r="BW30" s="38"/>
      <c r="BY30" s="13"/>
      <c r="BZ30" s="13"/>
      <c r="CA30" s="13"/>
      <c r="CB30" s="13"/>
      <c r="CC30" s="13"/>
      <c r="CD30" s="38"/>
      <c r="CE30" s="38"/>
      <c r="CF30" s="38"/>
      <c r="CG30" s="38"/>
      <c r="CH30" s="38"/>
      <c r="CI30" s="38"/>
      <c r="CJ30" s="38"/>
      <c r="CK30" s="38"/>
      <c r="CL30" s="38"/>
      <c r="CM30" s="38"/>
    </row>
    <row r="31" spans="1:91">
      <c r="B31" s="13">
        <f t="shared" si="0"/>
        <v>16.957894736842107</v>
      </c>
      <c r="C31" s="13">
        <f ca="1">Energy!Q31</f>
        <v>5.4796635530624078</v>
      </c>
      <c r="D31" s="13">
        <f t="shared" ca="1" si="1"/>
        <v>92.923557726142519</v>
      </c>
      <c r="E31" s="20">
        <f t="shared" si="2"/>
        <v>7.3684328499999996</v>
      </c>
      <c r="G31" s="20">
        <f t="shared" ca="1" si="3"/>
        <v>3.9208252205123419</v>
      </c>
      <c r="H31" s="20">
        <f t="shared" ca="1" si="4"/>
        <v>3.8930787656846575</v>
      </c>
      <c r="I31" s="5"/>
      <c r="J31" s="20">
        <f t="shared" ca="1" si="5"/>
        <v>11.261511615684658</v>
      </c>
      <c r="K31" s="97"/>
      <c r="L31" s="20"/>
      <c r="M31" s="20"/>
      <c r="N31" s="13"/>
      <c r="P31" s="20"/>
      <c r="Q31" s="20"/>
      <c r="R31" s="20"/>
      <c r="S31" s="20"/>
      <c r="T31" s="20"/>
      <c r="U31" s="16"/>
      <c r="V31" s="16"/>
      <c r="W31" s="16"/>
      <c r="X31" s="16"/>
      <c r="Y31" s="38"/>
      <c r="Z31" s="20"/>
      <c r="AA31" s="20"/>
      <c r="AB31" s="38"/>
      <c r="AC31" s="20"/>
      <c r="AD31" s="6"/>
      <c r="AE31" s="6"/>
      <c r="AF31" s="41"/>
      <c r="AG31" s="38"/>
      <c r="AH31" s="38"/>
      <c r="AI31" s="20"/>
      <c r="AJ31" s="5"/>
      <c r="AK31" s="41"/>
      <c r="AL31" s="38"/>
      <c r="AM31" s="38"/>
      <c r="AN31" s="20"/>
      <c r="AO31" s="20"/>
      <c r="AP31" s="40"/>
      <c r="AQ31" s="38"/>
      <c r="AR31" s="38"/>
      <c r="AS31" s="38"/>
      <c r="AT31" s="38"/>
      <c r="AU31" s="20"/>
      <c r="AV31" s="6"/>
      <c r="AW31" s="16"/>
      <c r="AX31" s="16"/>
      <c r="AY31" s="38"/>
      <c r="AZ31" s="20"/>
      <c r="BA31" s="16"/>
      <c r="BB31" s="20"/>
      <c r="BC31" s="16"/>
      <c r="BD31" s="16"/>
      <c r="BE31" s="20"/>
      <c r="BF31" s="20"/>
      <c r="BG31" s="20"/>
      <c r="BH31" s="20"/>
      <c r="BI31" s="20"/>
      <c r="BJ31" s="20"/>
      <c r="BK31" s="6"/>
      <c r="BL31" s="20"/>
      <c r="BM31" s="20"/>
      <c r="BN31" s="20"/>
      <c r="BO31" s="20"/>
      <c r="BP31" s="38"/>
      <c r="BQ31" s="13"/>
      <c r="BR31" s="38"/>
      <c r="BS31" s="38"/>
      <c r="BT31" s="38"/>
      <c r="BU31" s="38"/>
      <c r="BV31" s="38"/>
      <c r="BW31" s="38"/>
      <c r="BY31" s="13"/>
      <c r="BZ31" s="13"/>
      <c r="CA31" s="13"/>
      <c r="CB31" s="13"/>
      <c r="CC31" s="13"/>
      <c r="CD31" s="38"/>
      <c r="CE31" s="38"/>
      <c r="CF31" s="38"/>
      <c r="CG31" s="38"/>
      <c r="CH31" s="38"/>
      <c r="CI31" s="38"/>
      <c r="CJ31" s="38"/>
      <c r="CK31" s="38"/>
      <c r="CL31" s="38"/>
      <c r="CM31" s="38"/>
    </row>
    <row r="32" spans="1:91">
      <c r="B32" s="13">
        <f t="shared" si="0"/>
        <v>16.957894736842107</v>
      </c>
      <c r="C32" s="13">
        <f ca="1">Energy!Q32</f>
        <v>5.4830507515367808</v>
      </c>
      <c r="D32" s="13">
        <f t="shared" ca="1" si="1"/>
        <v>92.98099748132374</v>
      </c>
      <c r="E32" s="20">
        <f t="shared" si="2"/>
        <v>7.3684328499999996</v>
      </c>
      <c r="G32" s="20">
        <f t="shared" ca="1" si="3"/>
        <v>3.9232488388744189</v>
      </c>
      <c r="H32" s="20">
        <f t="shared" ca="1" si="4"/>
        <v>3.8954852328569669</v>
      </c>
      <c r="I32" s="5"/>
      <c r="J32" s="20">
        <f t="shared" ca="1" si="5"/>
        <v>11.263918082856966</v>
      </c>
      <c r="K32" s="97"/>
      <c r="L32" s="20"/>
      <c r="M32" s="20"/>
      <c r="N32" s="13"/>
      <c r="P32" s="20"/>
      <c r="Q32" s="20"/>
      <c r="R32" s="20"/>
      <c r="S32" s="20"/>
      <c r="T32" s="20"/>
      <c r="U32" s="16"/>
      <c r="V32" s="16"/>
      <c r="W32" s="16"/>
      <c r="X32" s="16"/>
      <c r="Y32" s="38"/>
      <c r="Z32" s="20"/>
      <c r="AA32" s="20"/>
      <c r="AB32" s="38"/>
      <c r="AC32" s="20"/>
      <c r="AD32" s="6"/>
      <c r="AE32" s="6"/>
      <c r="AF32" s="41"/>
      <c r="AG32" s="38"/>
      <c r="AH32" s="38"/>
      <c r="AI32" s="20"/>
      <c r="AJ32" s="5"/>
      <c r="AK32" s="41"/>
      <c r="AL32" s="38"/>
      <c r="AM32" s="38"/>
      <c r="AN32" s="20"/>
      <c r="AO32" s="20"/>
      <c r="AP32" s="40"/>
      <c r="AQ32" s="38"/>
      <c r="AR32" s="38"/>
      <c r="AS32" s="38"/>
      <c r="AT32" s="38"/>
      <c r="AU32" s="20"/>
      <c r="AV32" s="6"/>
      <c r="AW32" s="16"/>
      <c r="AX32" s="16"/>
      <c r="AY32" s="38"/>
      <c r="AZ32" s="20"/>
      <c r="BA32" s="16"/>
      <c r="BB32" s="20"/>
      <c r="BC32" s="16"/>
      <c r="BD32" s="16"/>
      <c r="BE32" s="20"/>
      <c r="BF32" s="20"/>
      <c r="BG32" s="20"/>
      <c r="BH32" s="20"/>
      <c r="BI32" s="20"/>
      <c r="BJ32" s="20"/>
      <c r="BK32" s="6"/>
      <c r="BL32" s="20"/>
      <c r="BM32" s="20"/>
      <c r="BN32" s="20"/>
      <c r="BO32" s="20"/>
      <c r="BP32" s="38"/>
      <c r="BQ32" s="13"/>
      <c r="BR32" s="38"/>
      <c r="BS32" s="38"/>
      <c r="BT32" s="38"/>
      <c r="BU32" s="38"/>
      <c r="BV32" s="38"/>
      <c r="BW32" s="38"/>
      <c r="BY32" s="13"/>
      <c r="BZ32" s="13"/>
      <c r="CA32" s="13"/>
      <c r="CB32" s="13"/>
      <c r="CC32" s="13"/>
      <c r="CD32" s="38"/>
      <c r="CE32" s="38"/>
      <c r="CF32" s="38"/>
      <c r="CG32" s="38"/>
      <c r="CH32" s="38"/>
      <c r="CI32" s="38"/>
      <c r="CJ32" s="38"/>
      <c r="CK32" s="38"/>
      <c r="CL32" s="38"/>
      <c r="CM32" s="38"/>
    </row>
    <row r="33" spans="2:91">
      <c r="B33" s="13">
        <f t="shared" si="0"/>
        <v>16.957894736842107</v>
      </c>
      <c r="C33" s="13">
        <f ca="1">Energy!Q33</f>
        <v>5.4863401402612997</v>
      </c>
      <c r="D33" s="13">
        <f t="shared" ca="1" si="1"/>
        <v>93.036778589062678</v>
      </c>
      <c r="E33" s="20">
        <f t="shared" si="2"/>
        <v>7.3684328499999996</v>
      </c>
      <c r="G33" s="20">
        <f t="shared" ca="1" si="3"/>
        <v>3.9256024721123488</v>
      </c>
      <c r="H33" s="20">
        <f t="shared" ca="1" si="4"/>
        <v>3.8978222101679822</v>
      </c>
      <c r="I33" s="5"/>
      <c r="J33" s="20">
        <f t="shared" ca="1" si="5"/>
        <v>11.266255060167982</v>
      </c>
      <c r="K33" s="97"/>
      <c r="L33" s="20"/>
      <c r="M33" s="20"/>
      <c r="N33" s="13"/>
      <c r="P33" s="20"/>
      <c r="Q33" s="20"/>
      <c r="R33" s="20"/>
      <c r="S33" s="20"/>
      <c r="T33" s="20"/>
      <c r="U33" s="16"/>
      <c r="V33" s="16"/>
      <c r="W33" s="16"/>
      <c r="X33" s="16"/>
      <c r="Y33" s="38"/>
      <c r="Z33" s="20"/>
      <c r="AA33" s="20"/>
      <c r="AB33" s="38"/>
      <c r="AC33" s="20"/>
      <c r="AD33" s="6"/>
      <c r="AE33" s="6"/>
      <c r="AF33" s="41"/>
      <c r="AG33" s="38"/>
      <c r="AH33" s="38"/>
      <c r="AI33" s="20"/>
      <c r="AJ33" s="5"/>
      <c r="AK33" s="41"/>
      <c r="AL33" s="38"/>
      <c r="AM33" s="38"/>
      <c r="AN33" s="20"/>
      <c r="AO33" s="20"/>
      <c r="AP33" s="40"/>
      <c r="AQ33" s="38"/>
      <c r="AR33" s="38"/>
      <c r="AS33" s="38"/>
      <c r="AT33" s="38"/>
      <c r="AU33" s="20"/>
      <c r="AV33" s="6"/>
      <c r="AW33" s="16"/>
      <c r="AX33" s="16"/>
      <c r="AY33" s="38"/>
      <c r="AZ33" s="20"/>
      <c r="BA33" s="16"/>
      <c r="BB33" s="20"/>
      <c r="BC33" s="16"/>
      <c r="BD33" s="16"/>
      <c r="BE33" s="20"/>
      <c r="BF33" s="20"/>
      <c r="BG33" s="20"/>
      <c r="BH33" s="20"/>
      <c r="BI33" s="20"/>
      <c r="BJ33" s="20"/>
      <c r="BK33" s="6"/>
      <c r="BL33" s="20"/>
      <c r="BM33" s="20"/>
      <c r="BN33" s="20"/>
      <c r="BO33" s="20"/>
      <c r="BP33" s="38"/>
      <c r="BQ33" s="13"/>
      <c r="BR33" s="38"/>
      <c r="BS33" s="38"/>
      <c r="BT33" s="38"/>
      <c r="BU33" s="38"/>
      <c r="BV33" s="38"/>
      <c r="BW33" s="38"/>
      <c r="BY33" s="13"/>
      <c r="BZ33" s="13"/>
      <c r="CA33" s="13"/>
      <c r="CB33" s="13"/>
      <c r="CC33" s="13"/>
      <c r="CD33" s="38"/>
      <c r="CE33" s="38"/>
      <c r="CF33" s="38"/>
      <c r="CG33" s="38"/>
      <c r="CH33" s="38"/>
      <c r="CI33" s="38"/>
      <c r="CJ33" s="38"/>
      <c r="CK33" s="38"/>
      <c r="CL33" s="38"/>
      <c r="CM33" s="38"/>
    </row>
    <row r="34" spans="2:91">
      <c r="B34" s="13">
        <f t="shared" si="0"/>
        <v>16.957894736842107</v>
      </c>
      <c r="C34" s="13">
        <f ca="1">Energy!Q34</f>
        <v>5.4895355284824463</v>
      </c>
      <c r="D34" s="13">
        <f t="shared" ca="1" si="1"/>
        <v>93.090965646160228</v>
      </c>
      <c r="E34" s="20">
        <f t="shared" si="2"/>
        <v>7.3684328499999996</v>
      </c>
      <c r="G34" s="20">
        <f t="shared" ca="1" si="3"/>
        <v>3.9278888458295449</v>
      </c>
      <c r="H34" s="20">
        <f t="shared" ca="1" si="4"/>
        <v>3.9000924039328737</v>
      </c>
      <c r="I34" s="5"/>
      <c r="J34" s="20">
        <f t="shared" ca="1" si="5"/>
        <v>11.268525253932873</v>
      </c>
      <c r="K34" s="97"/>
      <c r="L34" s="20"/>
      <c r="M34" s="20"/>
      <c r="N34" s="13"/>
      <c r="P34" s="20"/>
      <c r="Q34" s="20"/>
      <c r="R34" s="20"/>
      <c r="S34" s="20"/>
      <c r="T34" s="20"/>
      <c r="U34" s="16"/>
      <c r="V34" s="16"/>
      <c r="W34" s="16"/>
      <c r="X34" s="16"/>
      <c r="Y34" s="38"/>
      <c r="Z34" s="20"/>
      <c r="AA34" s="20"/>
      <c r="AB34" s="38"/>
      <c r="AC34" s="20"/>
      <c r="AD34" s="6"/>
      <c r="AE34" s="6"/>
      <c r="AF34" s="41"/>
      <c r="AG34" s="38"/>
      <c r="AH34" s="38"/>
      <c r="AI34" s="20"/>
      <c r="AJ34" s="5"/>
      <c r="AK34" s="41"/>
      <c r="AL34" s="38"/>
      <c r="AM34" s="38"/>
      <c r="AN34" s="20"/>
      <c r="AO34" s="20"/>
      <c r="AP34" s="40"/>
      <c r="AQ34" s="38"/>
      <c r="AR34" s="38"/>
      <c r="AS34" s="38"/>
      <c r="AT34" s="38"/>
      <c r="AU34" s="20"/>
      <c r="AV34" s="6"/>
      <c r="AW34" s="16"/>
      <c r="AX34" s="16"/>
      <c r="AY34" s="38"/>
      <c r="AZ34" s="20"/>
      <c r="BA34" s="16"/>
      <c r="BB34" s="20"/>
      <c r="BC34" s="16"/>
      <c r="BD34" s="16"/>
      <c r="BE34" s="20"/>
      <c r="BF34" s="20"/>
      <c r="BG34" s="20"/>
      <c r="BH34" s="20"/>
      <c r="BI34" s="20"/>
      <c r="BJ34" s="20"/>
      <c r="BK34" s="6"/>
      <c r="BL34" s="20"/>
      <c r="BM34" s="20"/>
      <c r="BN34" s="20"/>
      <c r="BO34" s="20"/>
      <c r="BP34" s="38"/>
      <c r="BQ34" s="13"/>
      <c r="BR34" s="38"/>
      <c r="BS34" s="38"/>
      <c r="BT34" s="38"/>
      <c r="BU34" s="38"/>
      <c r="BV34" s="38"/>
      <c r="BW34" s="38"/>
      <c r="BY34" s="13"/>
      <c r="BZ34" s="13"/>
      <c r="CA34" s="13"/>
      <c r="CB34" s="13"/>
      <c r="CC34" s="13"/>
      <c r="CD34" s="38"/>
      <c r="CE34" s="38"/>
      <c r="CF34" s="38"/>
      <c r="CG34" s="38"/>
      <c r="CH34" s="38"/>
      <c r="CI34" s="38"/>
      <c r="CJ34" s="38"/>
      <c r="CK34" s="38"/>
      <c r="CL34" s="38"/>
      <c r="CM34" s="38"/>
    </row>
    <row r="35" spans="2:91">
      <c r="B35" s="13">
        <f t="shared" si="0"/>
        <v>16.957894736842107</v>
      </c>
      <c r="C35" s="13">
        <f ca="1">Energy!Q35</f>
        <v>5.4926418231838641</v>
      </c>
      <c r="D35" s="13">
        <f t="shared" ca="1" si="1"/>
        <v>93.14364186472848</v>
      </c>
      <c r="E35" s="20">
        <f t="shared" si="2"/>
        <v>7.3684328499999996</v>
      </c>
      <c r="G35" s="20">
        <f t="shared" ca="1" si="3"/>
        <v>3.9301114710855893</v>
      </c>
      <c r="H35" s="20">
        <f t="shared" ca="1" si="4"/>
        <v>3.9022993003645512</v>
      </c>
      <c r="I35" s="5"/>
      <c r="J35" s="20">
        <f t="shared" ca="1" si="5"/>
        <v>11.270732150364552</v>
      </c>
      <c r="K35" s="97"/>
      <c r="L35" s="20"/>
      <c r="M35" s="20"/>
      <c r="N35" s="13"/>
      <c r="P35" s="20"/>
      <c r="Q35" s="20"/>
      <c r="R35" s="20"/>
      <c r="S35" s="20"/>
      <c r="T35" s="20"/>
      <c r="U35" s="16"/>
      <c r="V35" s="16"/>
      <c r="W35" s="16"/>
      <c r="X35" s="16"/>
      <c r="Y35" s="38"/>
      <c r="Z35" s="20"/>
      <c r="AA35" s="20"/>
      <c r="AB35" s="38"/>
      <c r="AC35" s="20"/>
      <c r="AD35" s="6"/>
      <c r="AE35" s="6"/>
      <c r="AF35" s="41"/>
      <c r="AG35" s="38"/>
      <c r="AH35" s="38"/>
      <c r="AI35" s="20"/>
      <c r="AJ35" s="5"/>
      <c r="AK35" s="41"/>
      <c r="AL35" s="38"/>
      <c r="AM35" s="38"/>
      <c r="AN35" s="20"/>
      <c r="AO35" s="20"/>
      <c r="AP35" s="40"/>
      <c r="AQ35" s="38"/>
      <c r="AR35" s="38"/>
      <c r="AS35" s="38"/>
      <c r="AT35" s="38"/>
      <c r="AU35" s="20"/>
      <c r="AV35" s="6"/>
      <c r="AW35" s="16"/>
      <c r="AX35" s="16"/>
      <c r="AY35" s="38"/>
      <c r="AZ35" s="20"/>
      <c r="BA35" s="16"/>
      <c r="BB35" s="20"/>
      <c r="BC35" s="16"/>
      <c r="BD35" s="16"/>
      <c r="BE35" s="20"/>
      <c r="BF35" s="20"/>
      <c r="BG35" s="20"/>
      <c r="BH35" s="20"/>
      <c r="BI35" s="20"/>
      <c r="BJ35" s="20"/>
      <c r="BK35" s="6"/>
      <c r="BL35" s="20"/>
      <c r="BM35" s="20"/>
      <c r="BN35" s="20"/>
      <c r="BO35" s="20"/>
      <c r="BP35" s="38"/>
      <c r="BQ35" s="13"/>
      <c r="BR35" s="38"/>
      <c r="BS35" s="38"/>
      <c r="BT35" s="38"/>
      <c r="BU35" s="38"/>
      <c r="BV35" s="38"/>
      <c r="BW35" s="38"/>
      <c r="BY35" s="13"/>
      <c r="BZ35" s="13"/>
      <c r="CA35" s="13"/>
      <c r="CB35" s="13"/>
      <c r="CC35" s="13"/>
      <c r="CD35" s="38"/>
      <c r="CE35" s="38"/>
      <c r="CF35" s="38"/>
      <c r="CG35" s="38"/>
      <c r="CH35" s="38"/>
      <c r="CI35" s="38"/>
      <c r="CJ35" s="38"/>
      <c r="CK35" s="38"/>
      <c r="CL35" s="38"/>
      <c r="CM35" s="38"/>
    </row>
    <row r="36" spans="2:91">
      <c r="B36" s="13">
        <f t="shared" si="0"/>
        <v>16.957894736842107</v>
      </c>
      <c r="C36" s="13">
        <f ca="1">Energy!Q36</f>
        <v>5.4956599140057643</v>
      </c>
      <c r="D36" s="13">
        <f t="shared" ca="1" si="1"/>
        <v>93.194822331192498</v>
      </c>
      <c r="E36" s="20">
        <f t="shared" si="2"/>
        <v>7.3684328499999996</v>
      </c>
      <c r="G36" s="20">
        <f t="shared" ca="1" si="3"/>
        <v>3.9322709844385018</v>
      </c>
      <c r="H36" s="20">
        <f t="shared" ca="1" si="4"/>
        <v>3.9044435315163128</v>
      </c>
      <c r="I36" s="5"/>
      <c r="J36" s="20">
        <f t="shared" ca="1" si="5"/>
        <v>11.272876381516312</v>
      </c>
      <c r="K36" s="97"/>
      <c r="L36" s="20"/>
      <c r="M36" s="20"/>
      <c r="N36" s="13"/>
      <c r="P36" s="20"/>
      <c r="Q36" s="20"/>
      <c r="R36" s="20"/>
      <c r="S36" s="20"/>
      <c r="T36" s="20"/>
      <c r="U36" s="16"/>
      <c r="V36" s="16"/>
      <c r="W36" s="16"/>
      <c r="X36" s="16"/>
      <c r="Y36" s="38"/>
      <c r="Z36" s="20"/>
      <c r="AA36" s="20"/>
      <c r="AB36" s="38"/>
      <c r="AC36" s="20"/>
      <c r="AD36" s="6"/>
      <c r="AE36" s="6"/>
      <c r="AF36" s="41"/>
      <c r="AG36" s="38"/>
      <c r="AH36" s="38"/>
      <c r="AI36" s="20"/>
      <c r="AJ36" s="5"/>
      <c r="AK36" s="41"/>
      <c r="AL36" s="38"/>
      <c r="AM36" s="38"/>
      <c r="AN36" s="20"/>
      <c r="AO36" s="20"/>
      <c r="AP36" s="40"/>
      <c r="AQ36" s="38"/>
      <c r="AR36" s="38"/>
      <c r="AS36" s="38"/>
      <c r="AT36" s="38"/>
      <c r="AU36" s="20"/>
      <c r="AV36" s="6"/>
      <c r="AW36" s="16"/>
      <c r="AX36" s="16"/>
      <c r="AY36" s="38"/>
      <c r="AZ36" s="20"/>
      <c r="BA36" s="16"/>
      <c r="BB36" s="20"/>
      <c r="BC36" s="16"/>
      <c r="BD36" s="16"/>
      <c r="BE36" s="20"/>
      <c r="BF36" s="20"/>
      <c r="BG36" s="20"/>
      <c r="BH36" s="20"/>
      <c r="BI36" s="20"/>
      <c r="BJ36" s="20"/>
      <c r="BK36" s="6"/>
      <c r="BL36" s="20"/>
      <c r="BM36" s="20"/>
      <c r="BN36" s="20"/>
      <c r="BO36" s="20"/>
      <c r="BP36" s="38"/>
      <c r="BQ36" s="13"/>
      <c r="BR36" s="38"/>
      <c r="BS36" s="38"/>
      <c r="BT36" s="38"/>
      <c r="BU36" s="38"/>
      <c r="BV36" s="38"/>
      <c r="BW36" s="38"/>
      <c r="BY36" s="13"/>
      <c r="BZ36" s="13"/>
      <c r="CA36" s="13"/>
      <c r="CB36" s="13"/>
      <c r="CC36" s="13"/>
      <c r="CD36" s="38"/>
      <c r="CE36" s="38"/>
      <c r="CF36" s="38"/>
      <c r="CG36" s="38"/>
      <c r="CH36" s="38"/>
      <c r="CI36" s="38"/>
      <c r="CJ36" s="38"/>
      <c r="CK36" s="38"/>
      <c r="CL36" s="38"/>
      <c r="CM36" s="38"/>
    </row>
    <row r="37" spans="2:91">
      <c r="B37" s="13">
        <f t="shared" si="0"/>
        <v>16.957894736842107</v>
      </c>
      <c r="C37" s="13">
        <f ca="1">Energy!Q37</f>
        <v>5.4985928649654934</v>
      </c>
      <c r="D37" s="13">
        <f t="shared" ca="1" si="1"/>
        <v>93.244559004835907</v>
      </c>
      <c r="E37" s="20">
        <f t="shared" si="2"/>
        <v>7.3684328499999996</v>
      </c>
      <c r="G37" s="20">
        <f t="shared" ca="1" si="3"/>
        <v>3.9343695782631181</v>
      </c>
      <c r="H37" s="20">
        <f t="shared" ca="1" si="4"/>
        <v>3.9065272742482429</v>
      </c>
      <c r="I37" s="5"/>
      <c r="J37" s="20">
        <f t="shared" ca="1" si="5"/>
        <v>11.274960124248242</v>
      </c>
      <c r="K37" s="97"/>
      <c r="L37" s="20"/>
      <c r="M37" s="20"/>
      <c r="N37" s="13"/>
      <c r="P37" s="20"/>
      <c r="Q37" s="20"/>
      <c r="R37" s="20"/>
      <c r="S37" s="20"/>
      <c r="T37" s="20"/>
      <c r="U37" s="16"/>
      <c r="V37" s="16"/>
      <c r="W37" s="16"/>
      <c r="X37" s="16"/>
      <c r="Y37" s="38"/>
      <c r="Z37" s="20"/>
      <c r="AA37" s="20"/>
      <c r="AB37" s="38"/>
      <c r="AC37" s="20"/>
      <c r="AD37" s="6"/>
      <c r="AE37" s="6"/>
      <c r="AF37" s="41"/>
      <c r="AG37" s="38"/>
      <c r="AH37" s="38"/>
      <c r="AI37" s="20"/>
      <c r="AJ37" s="5"/>
      <c r="AK37" s="41"/>
      <c r="AL37" s="38"/>
      <c r="AM37" s="38"/>
      <c r="AN37" s="20"/>
      <c r="AO37" s="20"/>
      <c r="AP37" s="40"/>
      <c r="AQ37" s="38"/>
      <c r="AR37" s="38"/>
      <c r="AS37" s="38"/>
      <c r="AT37" s="38"/>
      <c r="AU37" s="20"/>
      <c r="AV37" s="6"/>
      <c r="AW37" s="16"/>
      <c r="AX37" s="16"/>
      <c r="AY37" s="38"/>
      <c r="AZ37" s="20"/>
      <c r="BA37" s="16"/>
      <c r="BB37" s="20"/>
      <c r="BC37" s="16"/>
      <c r="BD37" s="16"/>
      <c r="BE37" s="20"/>
      <c r="BF37" s="20"/>
      <c r="BG37" s="20"/>
      <c r="BH37" s="20"/>
      <c r="BI37" s="20"/>
      <c r="BJ37" s="20"/>
      <c r="BK37" s="6"/>
      <c r="BL37" s="20"/>
      <c r="BM37" s="20"/>
      <c r="BN37" s="20"/>
      <c r="BO37" s="20"/>
      <c r="BP37" s="38"/>
      <c r="BQ37" s="13"/>
      <c r="BR37" s="38"/>
      <c r="BS37" s="38"/>
      <c r="BT37" s="38"/>
      <c r="BU37" s="38"/>
      <c r="BV37" s="38"/>
      <c r="BW37" s="38"/>
      <c r="BY37" s="13"/>
      <c r="BZ37" s="13"/>
      <c r="CA37" s="13"/>
      <c r="CB37" s="13"/>
      <c r="CC37" s="13"/>
      <c r="CD37" s="38"/>
      <c r="CE37" s="38"/>
      <c r="CF37" s="38"/>
      <c r="CG37" s="38"/>
      <c r="CH37" s="38"/>
      <c r="CI37" s="38"/>
      <c r="CJ37" s="38"/>
      <c r="CK37" s="38"/>
      <c r="CL37" s="38"/>
      <c r="CM37" s="38"/>
    </row>
    <row r="38" spans="2:91">
      <c r="B38" s="13">
        <f t="shared" si="0"/>
        <v>16.957894736842107</v>
      </c>
      <c r="C38" s="13">
        <f ca="1">Energy!Q38</f>
        <v>5.501443623745665</v>
      </c>
      <c r="D38" s="13">
        <f t="shared" ca="1" si="1"/>
        <v>93.292901872150182</v>
      </c>
      <c r="E38" s="20">
        <f t="shared" si="2"/>
        <v>7.3684328499999996</v>
      </c>
      <c r="G38" s="20">
        <f t="shared" ca="1" si="3"/>
        <v>3.9364093616940998</v>
      </c>
      <c r="H38" s="20">
        <f t="shared" ca="1" si="4"/>
        <v>3.9085526227693164</v>
      </c>
      <c r="I38" s="5"/>
      <c r="J38" s="20">
        <f t="shared" ca="1" si="5"/>
        <v>11.276985472769315</v>
      </c>
      <c r="K38" s="97"/>
      <c r="L38" s="20"/>
      <c r="M38" s="20"/>
      <c r="N38" s="13"/>
      <c r="P38" s="20"/>
      <c r="Q38" s="20"/>
      <c r="R38" s="20"/>
      <c r="S38" s="20"/>
      <c r="T38" s="20"/>
      <c r="U38" s="16"/>
      <c r="V38" s="16"/>
      <c r="W38" s="16"/>
      <c r="X38" s="16"/>
      <c r="Y38" s="38"/>
      <c r="Z38" s="20"/>
      <c r="AA38" s="20"/>
      <c r="AB38" s="38"/>
      <c r="AC38" s="20"/>
      <c r="AD38" s="6"/>
      <c r="AE38" s="6"/>
      <c r="AF38" s="41"/>
      <c r="AG38" s="38"/>
      <c r="AH38" s="38"/>
      <c r="AI38" s="20"/>
      <c r="AJ38" s="5"/>
      <c r="AK38" s="41"/>
      <c r="AL38" s="38"/>
      <c r="AM38" s="38"/>
      <c r="AN38" s="20"/>
      <c r="AO38" s="20"/>
      <c r="AP38" s="40"/>
      <c r="AQ38" s="38"/>
      <c r="AR38" s="38"/>
      <c r="AS38" s="38"/>
      <c r="AT38" s="38"/>
      <c r="AU38" s="20"/>
      <c r="AV38" s="6"/>
      <c r="AW38" s="16"/>
      <c r="AX38" s="16"/>
      <c r="AY38" s="38"/>
      <c r="AZ38" s="20"/>
      <c r="BA38" s="16"/>
      <c r="BB38" s="20"/>
      <c r="BC38" s="16"/>
      <c r="BD38" s="16"/>
      <c r="BE38" s="20"/>
      <c r="BF38" s="20"/>
      <c r="BG38" s="20"/>
      <c r="BH38" s="20"/>
      <c r="BI38" s="20"/>
      <c r="BJ38" s="20"/>
      <c r="BK38" s="6"/>
      <c r="BL38" s="20"/>
      <c r="BM38" s="20"/>
      <c r="BN38" s="20"/>
      <c r="BO38" s="20"/>
      <c r="BP38" s="38"/>
      <c r="BQ38" s="13"/>
      <c r="BR38" s="38"/>
      <c r="BS38" s="38"/>
      <c r="BT38" s="38"/>
      <c r="BU38" s="38"/>
      <c r="BV38" s="38"/>
      <c r="BW38" s="38"/>
      <c r="BY38" s="13"/>
      <c r="BZ38" s="13"/>
      <c r="CA38" s="13"/>
      <c r="CB38" s="13"/>
      <c r="CC38" s="13"/>
      <c r="CD38" s="38"/>
      <c r="CE38" s="38"/>
      <c r="CF38" s="38"/>
      <c r="CG38" s="38"/>
      <c r="CH38" s="38"/>
      <c r="CI38" s="38"/>
      <c r="CJ38" s="38"/>
      <c r="CK38" s="38"/>
      <c r="CL38" s="38"/>
      <c r="CM38" s="38"/>
    </row>
    <row r="39" spans="2:91">
      <c r="B39" s="13">
        <f t="shared" si="0"/>
        <v>16.957894736842107</v>
      </c>
      <c r="C39" s="13">
        <f ca="1">Energy!Q39</f>
        <v>5.5042150242628631</v>
      </c>
      <c r="D39" s="13">
        <f t="shared" ca="1" si="1"/>
        <v>93.33989899039446</v>
      </c>
      <c r="E39" s="20">
        <f t="shared" si="2"/>
        <v>7.3684328499999996</v>
      </c>
      <c r="G39" s="20">
        <f t="shared" ca="1" si="3"/>
        <v>3.9383923624639006</v>
      </c>
      <c r="H39" s="20">
        <f t="shared" ca="1" si="4"/>
        <v>3.9105215904623569</v>
      </c>
      <c r="I39" s="5"/>
      <c r="J39" s="20">
        <f t="shared" ca="1" si="5"/>
        <v>11.278954440462357</v>
      </c>
      <c r="K39" s="97"/>
      <c r="L39" s="20"/>
      <c r="M39" s="20"/>
      <c r="N39" s="13"/>
      <c r="P39" s="20"/>
      <c r="Q39" s="20"/>
      <c r="R39" s="20"/>
      <c r="S39" s="20"/>
      <c r="T39" s="20"/>
      <c r="U39" s="16"/>
      <c r="V39" s="16"/>
      <c r="W39" s="16"/>
      <c r="X39" s="16"/>
      <c r="Y39" s="38"/>
      <c r="Z39" s="20"/>
      <c r="AA39" s="20"/>
      <c r="AB39" s="38"/>
      <c r="AC39" s="20"/>
      <c r="AD39" s="6"/>
      <c r="AE39" s="6"/>
      <c r="AF39" s="41"/>
      <c r="AG39" s="38"/>
      <c r="AH39" s="38"/>
      <c r="AI39" s="20"/>
      <c r="AJ39" s="5"/>
      <c r="AK39" s="41"/>
      <c r="AL39" s="38"/>
      <c r="AM39" s="38"/>
      <c r="AN39" s="20"/>
      <c r="AO39" s="20"/>
      <c r="AP39" s="40"/>
      <c r="AQ39" s="38"/>
      <c r="AR39" s="38"/>
      <c r="AS39" s="38"/>
      <c r="AT39" s="38"/>
      <c r="AU39" s="20"/>
      <c r="AV39" s="6"/>
      <c r="AW39" s="16"/>
      <c r="AX39" s="16"/>
      <c r="AY39" s="38"/>
      <c r="AZ39" s="20"/>
      <c r="BA39" s="16"/>
      <c r="BB39" s="20"/>
      <c r="BC39" s="16"/>
      <c r="BD39" s="16"/>
      <c r="BE39" s="20"/>
      <c r="BF39" s="20"/>
      <c r="BG39" s="20"/>
      <c r="BH39" s="20"/>
      <c r="BI39" s="20"/>
      <c r="BJ39" s="20"/>
      <c r="BK39" s="6"/>
      <c r="BL39" s="20"/>
      <c r="BM39" s="20"/>
      <c r="BN39" s="20"/>
      <c r="BO39" s="20"/>
      <c r="BP39" s="38"/>
      <c r="BQ39" s="13"/>
      <c r="BR39" s="38"/>
      <c r="BS39" s="38"/>
      <c r="BT39" s="38"/>
      <c r="BU39" s="38"/>
      <c r="BV39" s="38"/>
      <c r="BW39" s="38"/>
      <c r="BY39" s="13"/>
      <c r="BZ39" s="13"/>
      <c r="CA39" s="13"/>
      <c r="CB39" s="13"/>
      <c r="CC39" s="13"/>
      <c r="CD39" s="38"/>
      <c r="CE39" s="38"/>
      <c r="CF39" s="38"/>
      <c r="CG39" s="38"/>
      <c r="CH39" s="38"/>
      <c r="CI39" s="38"/>
      <c r="CJ39" s="38"/>
      <c r="CK39" s="38"/>
      <c r="CL39" s="38"/>
      <c r="CM39" s="38"/>
    </row>
    <row r="40" spans="2:91">
      <c r="B40" s="13">
        <f t="shared" si="0"/>
        <v>16.957894736842107</v>
      </c>
      <c r="C40" s="13">
        <f ca="1">Energy!Q40</f>
        <v>5.5164888678978814</v>
      </c>
      <c r="D40" s="13">
        <f t="shared" ca="1" si="1"/>
        <v>93.548037538773556</v>
      </c>
      <c r="E40" s="20">
        <f t="shared" si="2"/>
        <v>7.3684328499999996</v>
      </c>
      <c r="G40" s="20">
        <f t="shared" ca="1" si="3"/>
        <v>3.9471745796950861</v>
      </c>
      <c r="H40" s="20">
        <f t="shared" ca="1" si="4"/>
        <v>3.9192416586866403</v>
      </c>
      <c r="I40" s="5"/>
      <c r="J40" s="20">
        <f t="shared" ca="1" si="5"/>
        <v>11.28767450868664</v>
      </c>
      <c r="K40" s="97"/>
      <c r="L40" s="20"/>
      <c r="M40" s="20"/>
      <c r="N40" s="13"/>
      <c r="P40" s="20"/>
      <c r="Q40" s="20"/>
      <c r="R40" s="20"/>
      <c r="S40" s="20"/>
      <c r="T40" s="20"/>
      <c r="U40" s="16"/>
      <c r="V40" s="16"/>
      <c r="W40" s="16"/>
      <c r="X40" s="16"/>
      <c r="Y40" s="38"/>
      <c r="Z40" s="20"/>
      <c r="AA40" s="20"/>
      <c r="AB40" s="38"/>
      <c r="AC40" s="20"/>
      <c r="AD40" s="6"/>
      <c r="AE40" s="6"/>
      <c r="AF40" s="41"/>
      <c r="AG40" s="38"/>
      <c r="AH40" s="38"/>
      <c r="AI40" s="20"/>
      <c r="AJ40" s="5"/>
      <c r="AK40" s="41"/>
      <c r="AL40" s="38"/>
      <c r="AM40" s="38"/>
      <c r="AN40" s="20"/>
      <c r="AO40" s="20"/>
      <c r="AP40" s="40"/>
      <c r="AQ40" s="38"/>
      <c r="AR40" s="38"/>
      <c r="AS40" s="38"/>
      <c r="AT40" s="38"/>
      <c r="AU40" s="20"/>
      <c r="AV40" s="6"/>
      <c r="AW40" s="16"/>
      <c r="AX40" s="16"/>
      <c r="AY40" s="38"/>
      <c r="AZ40" s="20"/>
      <c r="BA40" s="16"/>
      <c r="BB40" s="20"/>
      <c r="BC40" s="16"/>
      <c r="BD40" s="16"/>
      <c r="BE40" s="20"/>
      <c r="BF40" s="20"/>
      <c r="BG40" s="20"/>
      <c r="BH40" s="20"/>
      <c r="BI40" s="20"/>
      <c r="BJ40" s="20"/>
      <c r="BK40" s="6"/>
      <c r="BL40" s="20"/>
      <c r="BM40" s="20"/>
      <c r="BN40" s="20"/>
      <c r="BO40" s="20"/>
      <c r="BP40" s="38"/>
      <c r="BQ40" s="13"/>
      <c r="BR40" s="38"/>
      <c r="BS40" s="38"/>
      <c r="BT40" s="38"/>
      <c r="BU40" s="38"/>
      <c r="BV40" s="38"/>
      <c r="BW40" s="38"/>
      <c r="BY40" s="13"/>
      <c r="BZ40" s="13"/>
      <c r="CA40" s="13"/>
      <c r="CB40" s="13"/>
      <c r="CC40" s="13"/>
      <c r="CD40" s="38"/>
      <c r="CE40" s="38"/>
      <c r="CF40" s="38"/>
      <c r="CG40" s="38"/>
      <c r="CH40" s="38"/>
      <c r="CI40" s="38"/>
      <c r="CJ40" s="38"/>
      <c r="CK40" s="38"/>
      <c r="CL40" s="38"/>
      <c r="CM40" s="38"/>
    </row>
    <row r="41" spans="2:91">
      <c r="B41" s="36"/>
      <c r="C41" s="35"/>
      <c r="D41" s="36"/>
      <c r="E41" s="40"/>
      <c r="F41" s="36"/>
      <c r="G41" s="40"/>
      <c r="H41" s="39"/>
      <c r="I41" s="40"/>
      <c r="J41" s="38"/>
      <c r="K41" s="40"/>
      <c r="L41" s="40"/>
      <c r="M41" s="38"/>
      <c r="N41" s="38"/>
      <c r="O41" s="39"/>
      <c r="P41" s="39"/>
      <c r="Q41" s="39"/>
      <c r="R41" s="40"/>
      <c r="S41" s="40"/>
      <c r="T41" s="40"/>
      <c r="U41" s="35"/>
      <c r="V41" s="36"/>
      <c r="W41" s="35"/>
      <c r="X41" s="35"/>
      <c r="Y41" s="35"/>
      <c r="Z41" s="36"/>
      <c r="AA41" s="36"/>
      <c r="AB41" s="36"/>
      <c r="AC41" s="38"/>
      <c r="AD41" s="41"/>
      <c r="AE41" s="40"/>
      <c r="AF41" s="38"/>
      <c r="AG41" s="40"/>
      <c r="AH41" s="40"/>
      <c r="AI41" s="36"/>
      <c r="AJ41" s="36"/>
      <c r="AK41" s="36"/>
      <c r="AL41" s="40"/>
      <c r="AM41" s="40"/>
      <c r="AN41" s="38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</row>
    <row r="42" spans="2:91">
      <c r="B42" s="36"/>
      <c r="C42" s="35"/>
      <c r="D42" s="36"/>
      <c r="E42" s="40"/>
      <c r="F42" s="36"/>
      <c r="G42" s="40"/>
      <c r="H42" s="39"/>
      <c r="I42" s="40"/>
      <c r="J42" s="38"/>
      <c r="K42" s="40"/>
      <c r="L42" s="40"/>
      <c r="M42" s="38"/>
      <c r="N42" s="38"/>
      <c r="O42" s="39"/>
      <c r="P42" s="39"/>
      <c r="Q42" s="39"/>
      <c r="R42" s="40"/>
      <c r="S42" s="40"/>
      <c r="T42" s="40"/>
      <c r="U42" s="35"/>
      <c r="V42" s="36"/>
      <c r="W42" s="35"/>
      <c r="X42" s="35"/>
      <c r="Y42" s="35"/>
      <c r="Z42" s="36"/>
      <c r="AA42" s="36"/>
      <c r="AB42" s="36"/>
      <c r="AC42" s="38"/>
      <c r="AD42" s="41"/>
      <c r="AE42" s="40"/>
      <c r="AF42" s="38"/>
      <c r="AG42" s="40"/>
      <c r="AH42" s="40"/>
      <c r="AI42" s="36"/>
      <c r="AJ42" s="36"/>
      <c r="AK42" s="36"/>
      <c r="AL42" s="40"/>
      <c r="AM42" s="40"/>
      <c r="AN42" s="38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</row>
    <row r="43" spans="2:91">
      <c r="B43" s="36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6"/>
      <c r="AA43" s="36"/>
      <c r="AB43" s="36"/>
      <c r="AC43" s="38"/>
      <c r="AD43" s="41"/>
      <c r="AE43" s="40"/>
      <c r="AF43" s="38"/>
      <c r="AG43" s="40"/>
      <c r="AH43" s="40"/>
      <c r="AI43" s="36"/>
      <c r="AJ43" s="36"/>
      <c r="AK43" s="36"/>
      <c r="AL43" s="40"/>
      <c r="AM43" s="40"/>
      <c r="AN43" s="38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23"/>
      <c r="BE43" s="23"/>
      <c r="BF43" s="23"/>
      <c r="BG43" s="23"/>
      <c r="BH43" s="6"/>
      <c r="BI43" s="6"/>
      <c r="BJ43" s="6"/>
      <c r="BK43" s="6"/>
      <c r="BL43" s="6"/>
      <c r="BM43" s="6"/>
      <c r="BN43" s="6"/>
      <c r="BO43" s="6"/>
    </row>
    <row r="44" spans="2:91"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6"/>
      <c r="AA44" s="36"/>
      <c r="AB44" s="36"/>
      <c r="AC44" s="38"/>
      <c r="AD44" s="41"/>
      <c r="AE44" s="40"/>
      <c r="AF44" s="38"/>
      <c r="AG44" s="40"/>
      <c r="AH44" s="40"/>
      <c r="AI44" s="36"/>
      <c r="AJ44" s="36"/>
      <c r="AK44" s="36"/>
      <c r="AL44" s="40"/>
      <c r="AM44" s="40"/>
      <c r="AN44" s="38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23"/>
      <c r="BE44" s="23"/>
      <c r="BF44" s="23"/>
      <c r="BG44" s="23"/>
      <c r="BH44" s="6"/>
      <c r="BI44" s="6"/>
      <c r="BJ44" s="6"/>
      <c r="BK44" s="6"/>
      <c r="BL44" s="6"/>
      <c r="BM44" s="6"/>
      <c r="BN44" s="6"/>
      <c r="BO44" s="6"/>
    </row>
    <row r="45" spans="2:91">
      <c r="B45" s="36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6"/>
      <c r="AA45" s="36"/>
      <c r="AB45" s="36"/>
      <c r="AC45" s="38"/>
      <c r="AD45" s="41"/>
      <c r="AE45" s="40"/>
      <c r="AF45" s="38"/>
      <c r="AG45" s="40"/>
      <c r="AH45" s="40"/>
      <c r="AI45" s="36"/>
      <c r="AJ45" s="36"/>
      <c r="AK45" s="36"/>
      <c r="AL45" s="40"/>
      <c r="AM45" s="40"/>
      <c r="AN45" s="38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</row>
    <row r="46" spans="2:91">
      <c r="B46" s="36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6"/>
      <c r="AA46" s="36"/>
      <c r="AB46" s="36"/>
      <c r="AC46" s="38"/>
      <c r="AD46" s="41"/>
      <c r="AE46" s="40"/>
      <c r="AF46" s="38"/>
      <c r="AG46" s="40"/>
      <c r="AH46" s="40"/>
      <c r="AI46" s="36"/>
      <c r="AJ46" s="36"/>
      <c r="AK46" s="36"/>
      <c r="AL46" s="40"/>
      <c r="AM46" s="40"/>
      <c r="AN46" s="38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8"/>
      <c r="BD46" s="16"/>
      <c r="BE46" s="20"/>
      <c r="BF46" s="20"/>
      <c r="BG46" s="20"/>
      <c r="BH46" s="6"/>
      <c r="BI46" s="6"/>
      <c r="BJ46" s="6"/>
      <c r="BK46" s="6"/>
      <c r="BL46" s="6"/>
      <c r="BM46" s="6"/>
      <c r="BN46" s="6"/>
      <c r="BO46" s="6"/>
    </row>
    <row r="47" spans="2:91">
      <c r="B47" s="36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6"/>
      <c r="AA47" s="36"/>
      <c r="AB47" s="36"/>
      <c r="AC47" s="38"/>
      <c r="AD47" s="41"/>
      <c r="AE47" s="40"/>
      <c r="AF47" s="38"/>
      <c r="AG47" s="40"/>
      <c r="AH47" s="40"/>
      <c r="AI47" s="36"/>
      <c r="AJ47" s="36"/>
      <c r="AK47" s="36"/>
      <c r="AL47" s="40"/>
      <c r="AM47" s="40"/>
      <c r="AN47" s="38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16"/>
      <c r="BE47" s="20"/>
      <c r="BF47" s="20"/>
      <c r="BG47" s="20"/>
      <c r="BH47" s="6"/>
      <c r="BI47" s="6"/>
      <c r="BJ47" s="6"/>
      <c r="BK47" s="6"/>
      <c r="BL47" s="6"/>
      <c r="BM47" s="6"/>
      <c r="BN47" s="6"/>
      <c r="BO47" s="6"/>
    </row>
    <row r="48" spans="2:91"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6"/>
      <c r="AA48" s="36"/>
      <c r="AB48" s="36"/>
      <c r="AC48" s="38"/>
      <c r="AD48" s="41"/>
      <c r="AE48" s="40"/>
      <c r="AF48" s="38"/>
      <c r="AG48" s="40"/>
      <c r="AH48" s="40"/>
      <c r="AI48" s="36"/>
      <c r="AJ48" s="36"/>
      <c r="AK48" s="36"/>
      <c r="AL48" s="40"/>
      <c r="AM48" s="40"/>
      <c r="AN48" s="38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16"/>
      <c r="BE48" s="20"/>
      <c r="BF48" s="20"/>
      <c r="BG48" s="20"/>
      <c r="BH48" s="6"/>
      <c r="BI48" s="6"/>
      <c r="BJ48" s="6"/>
      <c r="BK48" s="6"/>
      <c r="BL48" s="6"/>
      <c r="BM48" s="6"/>
      <c r="BN48" s="6"/>
      <c r="BO48" s="6"/>
    </row>
    <row r="49" spans="2:67"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6"/>
      <c r="AA49" s="36"/>
      <c r="AB49" s="36"/>
      <c r="AC49" s="38"/>
      <c r="AD49" s="41"/>
      <c r="AE49" s="40"/>
      <c r="AF49" s="38"/>
      <c r="AG49" s="40"/>
      <c r="AH49" s="40"/>
      <c r="AI49" s="36"/>
      <c r="AJ49" s="36"/>
      <c r="AK49" s="36"/>
      <c r="AL49" s="40"/>
      <c r="AM49" s="40"/>
      <c r="AN49" s="38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16"/>
      <c r="BE49" s="20"/>
      <c r="BF49" s="20"/>
      <c r="BG49" s="20"/>
      <c r="BH49" s="6"/>
      <c r="BI49" s="6"/>
      <c r="BJ49" s="6"/>
      <c r="BK49" s="6"/>
      <c r="BL49" s="6"/>
      <c r="BM49" s="6"/>
      <c r="BN49" s="6"/>
      <c r="BO49" s="6"/>
    </row>
    <row r="50" spans="2:67"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6"/>
      <c r="AA50" s="36"/>
      <c r="AB50" s="36"/>
      <c r="AC50" s="38"/>
      <c r="AD50" s="41"/>
      <c r="AE50" s="40"/>
      <c r="AF50" s="38"/>
      <c r="AG50" s="40"/>
      <c r="AH50" s="40"/>
      <c r="AI50" s="36"/>
      <c r="AJ50" s="36"/>
      <c r="AK50" s="36"/>
      <c r="AL50" s="40"/>
      <c r="AM50" s="40"/>
      <c r="AN50" s="38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16"/>
      <c r="BE50" s="20"/>
      <c r="BF50" s="20"/>
      <c r="BG50" s="20"/>
      <c r="BH50" s="6"/>
      <c r="BI50" s="6"/>
      <c r="BJ50" s="6"/>
      <c r="BK50" s="6"/>
      <c r="BL50" s="6"/>
      <c r="BM50" s="6"/>
      <c r="BN50" s="6"/>
      <c r="BO50" s="6"/>
    </row>
    <row r="51" spans="2:67"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6"/>
      <c r="AA51" s="36"/>
      <c r="AB51" s="36"/>
      <c r="AC51" s="38"/>
      <c r="AD51" s="41"/>
      <c r="AE51" s="40"/>
      <c r="AF51" s="38"/>
      <c r="AG51" s="40"/>
      <c r="AH51" s="40"/>
      <c r="AI51" s="36"/>
      <c r="AJ51" s="36"/>
      <c r="AK51" s="36"/>
      <c r="AL51" s="40"/>
      <c r="AM51" s="40"/>
      <c r="AN51" s="38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16"/>
      <c r="BE51" s="20"/>
      <c r="BF51" s="20"/>
      <c r="BG51" s="20"/>
      <c r="BH51" s="6"/>
      <c r="BI51" s="6"/>
      <c r="BJ51" s="6"/>
      <c r="BK51" s="6"/>
      <c r="BL51" s="6"/>
      <c r="BM51" s="6"/>
      <c r="BN51" s="6"/>
      <c r="BO51" s="6"/>
    </row>
    <row r="52" spans="2:67"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6"/>
      <c r="AA52" s="36"/>
      <c r="AB52" s="36"/>
      <c r="AC52" s="38"/>
      <c r="AD52" s="41"/>
      <c r="AE52" s="40"/>
      <c r="AF52" s="38"/>
      <c r="AG52" s="40"/>
      <c r="AH52" s="40"/>
      <c r="AI52" s="36"/>
      <c r="AJ52" s="36"/>
      <c r="AK52" s="36"/>
      <c r="AL52" s="40"/>
      <c r="AM52" s="40"/>
      <c r="AN52" s="38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16"/>
      <c r="BE52" s="20"/>
      <c r="BF52" s="20"/>
      <c r="BG52" s="20"/>
      <c r="BH52" s="6"/>
      <c r="BI52" s="6"/>
      <c r="BJ52" s="6"/>
      <c r="BK52" s="6"/>
      <c r="BL52" s="6"/>
      <c r="BM52" s="6"/>
      <c r="BN52" s="6"/>
      <c r="BO52" s="6"/>
    </row>
    <row r="53" spans="2:67"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6"/>
      <c r="AA53" s="36"/>
      <c r="AB53" s="36"/>
      <c r="AC53" s="38"/>
      <c r="AD53" s="41"/>
      <c r="AE53" s="40"/>
      <c r="AF53" s="38"/>
      <c r="AG53" s="40"/>
      <c r="AH53" s="40"/>
      <c r="AI53" s="36"/>
      <c r="AJ53" s="36"/>
      <c r="AK53" s="36"/>
      <c r="AL53" s="40"/>
      <c r="AM53" s="40"/>
      <c r="AN53" s="38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16"/>
      <c r="BE53" s="20"/>
      <c r="BF53" s="20"/>
      <c r="BG53" s="20"/>
      <c r="BH53" s="6"/>
      <c r="BI53" s="6"/>
      <c r="BJ53" s="6"/>
      <c r="BK53" s="6"/>
      <c r="BL53" s="6"/>
      <c r="BM53" s="6"/>
      <c r="BN53" s="6"/>
      <c r="BO53" s="6"/>
    </row>
    <row r="54" spans="2:67"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6"/>
      <c r="AA54" s="36"/>
      <c r="AB54" s="36"/>
      <c r="AC54" s="38"/>
      <c r="AD54" s="41"/>
      <c r="AE54" s="40"/>
      <c r="AF54" s="38"/>
      <c r="AG54" s="40"/>
      <c r="AH54" s="40"/>
      <c r="AI54" s="36"/>
      <c r="AJ54" s="36"/>
      <c r="AK54" s="36"/>
      <c r="AL54" s="40"/>
      <c r="AM54" s="40"/>
      <c r="AN54" s="38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16"/>
      <c r="BE54" s="20"/>
      <c r="BF54" s="20"/>
      <c r="BG54" s="20"/>
      <c r="BH54" s="6"/>
      <c r="BI54" s="6"/>
      <c r="BJ54" s="6"/>
      <c r="BK54" s="6"/>
      <c r="BL54" s="6"/>
      <c r="BM54" s="6"/>
      <c r="BN54" s="6"/>
      <c r="BO54" s="6"/>
    </row>
    <row r="55" spans="2:67"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6"/>
      <c r="AA55" s="36"/>
      <c r="AB55" s="36"/>
      <c r="AC55" s="38"/>
      <c r="AD55" s="41"/>
      <c r="AE55" s="40"/>
      <c r="AF55" s="38"/>
      <c r="AG55" s="40"/>
      <c r="AH55" s="40"/>
      <c r="AI55" s="36"/>
      <c r="AJ55" s="36"/>
      <c r="AK55" s="36"/>
      <c r="AL55" s="40"/>
      <c r="AM55" s="40"/>
      <c r="AN55" s="38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16"/>
      <c r="BE55" s="20"/>
      <c r="BF55" s="20"/>
      <c r="BG55" s="20"/>
      <c r="BH55" s="6"/>
      <c r="BI55" s="6"/>
      <c r="BJ55" s="6"/>
      <c r="BK55" s="6"/>
      <c r="BL55" s="6"/>
      <c r="BM55" s="6"/>
      <c r="BN55" s="6"/>
      <c r="BO55" s="6"/>
    </row>
    <row r="56" spans="2:67"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16"/>
      <c r="BE56" s="20"/>
      <c r="BF56" s="20"/>
      <c r="BG56" s="20"/>
      <c r="BH56" s="6"/>
      <c r="BI56" s="6"/>
      <c r="BJ56" s="6"/>
      <c r="BK56" s="6"/>
      <c r="BL56" s="6"/>
      <c r="BM56" s="6"/>
      <c r="BN56" s="6"/>
      <c r="BO56" s="6"/>
    </row>
    <row r="57" spans="2:67"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16"/>
      <c r="BE57" s="20"/>
      <c r="BF57" s="20"/>
      <c r="BG57" s="20"/>
      <c r="BH57" s="6"/>
      <c r="BI57" s="6"/>
      <c r="BJ57" s="6"/>
      <c r="BK57" s="6"/>
      <c r="BL57" s="6"/>
      <c r="BM57" s="6"/>
      <c r="BN57" s="6"/>
      <c r="BO57" s="6"/>
    </row>
    <row r="58" spans="2:67"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16"/>
      <c r="BE58" s="20"/>
      <c r="BF58" s="20"/>
      <c r="BG58" s="20"/>
      <c r="BH58" s="6"/>
      <c r="BI58" s="6"/>
      <c r="BJ58" s="6"/>
      <c r="BK58" s="6"/>
      <c r="BL58" s="6"/>
      <c r="BM58" s="6"/>
      <c r="BN58" s="6"/>
      <c r="BO58" s="6"/>
    </row>
    <row r="59" spans="2:67"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</row>
    <row r="60" spans="2:67"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</row>
    <row r="61" spans="2:67"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</row>
    <row r="62" spans="2:67"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</row>
    <row r="63" spans="2:67"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</row>
    <row r="64" spans="2:67"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</row>
    <row r="65" spans="2:67"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</row>
    <row r="66" spans="2:67"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</row>
    <row r="67" spans="2:67"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</row>
    <row r="68" spans="2:67"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</row>
    <row r="69" spans="2:67"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</row>
    <row r="70" spans="2:67"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</row>
    <row r="71" spans="2:67"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</row>
    <row r="72" spans="2:67"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</row>
    <row r="73" spans="2:67"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</row>
    <row r="74" spans="2:67"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</row>
    <row r="75" spans="2:67"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</row>
    <row r="76" spans="2:67"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</row>
    <row r="77" spans="2:67"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</row>
    <row r="78" spans="2:67"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</row>
    <row r="79" spans="2:67"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</row>
    <row r="80" spans="2:67"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</row>
    <row r="81" spans="2:55"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</row>
    <row r="82" spans="2:55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</row>
    <row r="83" spans="2:55"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</row>
    <row r="84" spans="2:55"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</row>
    <row r="85" spans="2:55"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</row>
    <row r="86" spans="2:55"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</row>
    <row r="87" spans="2:55"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</row>
    <row r="88" spans="2:55"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</row>
    <row r="89" spans="2:55"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</row>
    <row r="90" spans="2:55"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</row>
    <row r="91" spans="2:55"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</row>
    <row r="92" spans="2:55"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</row>
    <row r="93" spans="2:55"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</row>
    <row r="94" spans="2:55"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</row>
    <row r="95" spans="2:55"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</row>
    <row r="96" spans="2:55"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</row>
    <row r="97" spans="2:55"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</row>
    <row r="98" spans="2:55"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</row>
    <row r="99" spans="2:55"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</row>
    <row r="100" spans="2:55"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</row>
    <row r="101" spans="2:55"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</row>
    <row r="102" spans="2:55"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</row>
    <row r="103" spans="2:55"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</row>
    <row r="104" spans="2:55"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</row>
    <row r="105" spans="2:55"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</row>
    <row r="106" spans="2:55"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</row>
    <row r="107" spans="2:55"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</row>
    <row r="108" spans="2:55"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</row>
    <row r="109" spans="2:55"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</row>
    <row r="110" spans="2:55"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</row>
    <row r="111" spans="2:5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</row>
    <row r="112" spans="2:55"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</row>
    <row r="113" spans="2:55"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</row>
    <row r="114" spans="2:55"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</row>
    <row r="115" spans="2:55"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</row>
    <row r="116" spans="2:55"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</row>
    <row r="117" spans="2:55"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</row>
    <row r="118" spans="2:55"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</row>
    <row r="119" spans="2:55"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</row>
    <row r="120" spans="2:55"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</row>
    <row r="121" spans="2:55"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</row>
    <row r="122" spans="2:55"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</row>
    <row r="123" spans="2:55"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</row>
    <row r="124" spans="2:55"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</row>
    <row r="125" spans="2:55"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</row>
    <row r="126" spans="2:55"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</row>
    <row r="127" spans="2:55"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</row>
    <row r="128" spans="2:55"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</row>
    <row r="129" spans="2:55"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</row>
    <row r="130" spans="2:55"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</row>
    <row r="131" spans="2:55"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</row>
    <row r="132" spans="2:55"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</row>
    <row r="133" spans="2:55"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</row>
    <row r="134" spans="2:55"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</row>
    <row r="135" spans="2:55"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</row>
    <row r="136" spans="2:55"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</row>
    <row r="137" spans="2:55"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</row>
    <row r="138" spans="2:55"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</row>
    <row r="139" spans="2:55"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</row>
    <row r="140" spans="2:55"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</row>
    <row r="141" spans="2:55"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</row>
    <row r="142" spans="2:55"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</row>
    <row r="143" spans="2:55"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</row>
    <row r="144" spans="2:55"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</row>
    <row r="145" spans="2:55"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</row>
    <row r="146" spans="2:55"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</row>
    <row r="147" spans="2:55"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</row>
    <row r="148" spans="2:55"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</row>
    <row r="149" spans="2:55"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</row>
    <row r="150" spans="2:55"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</row>
    <row r="151" spans="2:55"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</row>
    <row r="152" spans="2:55"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C152"/>
  <sheetViews>
    <sheetView zoomScale="110" zoomScaleNormal="110" workbookViewId="0">
      <selection activeCell="B9" sqref="B9"/>
    </sheetView>
  </sheetViews>
  <sheetFormatPr defaultRowHeight="12.75"/>
  <sheetData>
    <row r="1" spans="1:55">
      <c r="A1" s="17" t="s">
        <v>267</v>
      </c>
    </row>
    <row r="2" spans="1:55">
      <c r="Y2" s="35"/>
      <c r="Z2" s="35"/>
      <c r="AA2" s="35"/>
      <c r="AB2" s="35"/>
      <c r="AC2" s="35"/>
      <c r="AD2" s="35"/>
      <c r="AE2" s="35"/>
    </row>
    <row r="3" spans="1:55">
      <c r="A3" t="s">
        <v>270</v>
      </c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Y3" s="35"/>
      <c r="Z3" s="35"/>
      <c r="AA3" s="35"/>
      <c r="AB3" s="35"/>
      <c r="AC3" s="35"/>
      <c r="AD3" s="35"/>
      <c r="AE3" s="35"/>
    </row>
    <row r="4" spans="1:55">
      <c r="D4" s="17"/>
      <c r="I4" s="17"/>
      <c r="Y4" s="35"/>
      <c r="Z4" s="35"/>
      <c r="AA4" s="35"/>
      <c r="AB4" s="35"/>
      <c r="AC4" s="35"/>
      <c r="AD4" s="35"/>
      <c r="AE4" s="35"/>
    </row>
    <row r="5" spans="1:55">
      <c r="A5" s="46" t="s">
        <v>200</v>
      </c>
      <c r="E5" s="6"/>
      <c r="F5" s="6"/>
      <c r="G5" s="46" t="s">
        <v>317</v>
      </c>
      <c r="Y5" s="35"/>
      <c r="Z5" s="35"/>
      <c r="AA5" s="35"/>
      <c r="AB5" s="35"/>
      <c r="AC5" s="35"/>
      <c r="AD5" s="35"/>
      <c r="AE5" s="35"/>
    </row>
    <row r="6" spans="1:55">
      <c r="A6" t="s">
        <v>271</v>
      </c>
      <c r="B6" s="8" t="s">
        <v>218</v>
      </c>
      <c r="C6" s="8"/>
      <c r="D6" s="8"/>
      <c r="E6" s="52"/>
      <c r="F6" s="6"/>
      <c r="G6" s="3" t="s">
        <v>318</v>
      </c>
      <c r="H6" s="12">
        <v>0.95</v>
      </c>
      <c r="I6" s="3"/>
      <c r="Y6" s="35"/>
      <c r="Z6" s="37"/>
      <c r="AA6" s="40"/>
      <c r="AB6" s="35"/>
      <c r="AC6" s="35"/>
      <c r="AD6" s="35"/>
      <c r="AE6" s="35"/>
    </row>
    <row r="7" spans="1:55">
      <c r="A7" s="3" t="s">
        <v>91</v>
      </c>
      <c r="B7" s="21">
        <v>1200</v>
      </c>
      <c r="C7" s="3" t="s">
        <v>97</v>
      </c>
      <c r="E7" s="56"/>
      <c r="F7" s="6"/>
      <c r="G7" s="67" t="s">
        <v>425</v>
      </c>
      <c r="H7" s="12">
        <f>0.05*ISA!B5</f>
        <v>0.4903325</v>
      </c>
      <c r="I7" s="67" t="s">
        <v>35</v>
      </c>
      <c r="Y7" s="35"/>
      <c r="Z7" s="37"/>
      <c r="AA7" s="36"/>
      <c r="AB7" s="35"/>
      <c r="AC7" s="35"/>
      <c r="AD7" s="35"/>
      <c r="AE7" s="35"/>
    </row>
    <row r="8" spans="1:55">
      <c r="A8" s="3" t="s">
        <v>99</v>
      </c>
      <c r="B8" s="18">
        <v>2.2999999999999998</v>
      </c>
      <c r="C8" s="3" t="s">
        <v>100</v>
      </c>
      <c r="E8" s="56"/>
      <c r="F8" s="6"/>
      <c r="G8" s="6"/>
      <c r="H8" s="56"/>
      <c r="I8" s="6"/>
      <c r="Y8" s="35"/>
      <c r="Z8" s="37"/>
      <c r="AA8" s="40"/>
      <c r="AB8" s="35"/>
      <c r="AC8" s="35"/>
      <c r="AD8" s="35"/>
      <c r="AE8" s="35"/>
    </row>
    <row r="9" spans="1:55">
      <c r="A9" s="3" t="s">
        <v>101</v>
      </c>
      <c r="B9" s="18">
        <v>3.9E-2</v>
      </c>
      <c r="C9" s="3" t="s">
        <v>102</v>
      </c>
      <c r="E9" s="56"/>
      <c r="F9" s="6"/>
      <c r="G9" s="6"/>
      <c r="H9" s="56"/>
      <c r="I9" s="6"/>
      <c r="Y9" s="35"/>
      <c r="Z9" s="37"/>
      <c r="AA9" s="36"/>
      <c r="AB9" s="35"/>
      <c r="AC9" s="35"/>
      <c r="AD9" s="35"/>
      <c r="AE9" s="35"/>
    </row>
    <row r="10" spans="1:55">
      <c r="A10" s="3" t="s">
        <v>241</v>
      </c>
      <c r="B10" s="18">
        <v>47</v>
      </c>
      <c r="C10" s="3" t="s">
        <v>100</v>
      </c>
      <c r="E10" s="56"/>
      <c r="F10" s="6"/>
      <c r="G10" s="6"/>
      <c r="H10" s="56"/>
      <c r="I10" s="6"/>
      <c r="Y10" s="35"/>
      <c r="Z10" s="35"/>
      <c r="AA10" s="35"/>
      <c r="AB10" s="35"/>
      <c r="AC10" s="35"/>
      <c r="AD10" s="35"/>
      <c r="AE10" s="35"/>
    </row>
    <row r="11" spans="1:55">
      <c r="A11" s="3" t="s">
        <v>206</v>
      </c>
      <c r="B11" s="18">
        <f>0.151*ISA!B5</f>
        <v>1.4808041499999998</v>
      </c>
      <c r="C11" s="3" t="s">
        <v>35</v>
      </c>
      <c r="E11" s="56"/>
      <c r="F11" s="6"/>
      <c r="G11" s="6"/>
      <c r="H11" s="56"/>
      <c r="I11" s="6"/>
      <c r="Y11" s="35"/>
      <c r="Z11" s="35"/>
      <c r="AA11" s="35"/>
      <c r="AB11" s="35"/>
      <c r="AC11" s="35"/>
      <c r="AD11" s="35"/>
      <c r="AE11" s="35"/>
    </row>
    <row r="12" spans="1:55">
      <c r="E12" s="56"/>
      <c r="F12" s="6"/>
      <c r="G12" s="6"/>
      <c r="H12" s="56"/>
      <c r="I12" s="6"/>
      <c r="Y12" s="35"/>
      <c r="Z12" s="35"/>
      <c r="AA12" s="35"/>
      <c r="AB12" s="35"/>
      <c r="AC12" s="35"/>
      <c r="AD12" s="35"/>
      <c r="AE12" s="35"/>
    </row>
    <row r="13" spans="1:55">
      <c r="Y13" s="35"/>
      <c r="Z13" s="35"/>
      <c r="AA13" s="35"/>
      <c r="AB13" s="35"/>
      <c r="AC13" s="35"/>
      <c r="AD13" s="35"/>
      <c r="AE13" s="35"/>
    </row>
    <row r="15" spans="1:55"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7"/>
      <c r="AF15" s="35"/>
      <c r="AG15" s="35"/>
      <c r="AH15" s="35"/>
      <c r="AI15" s="35"/>
      <c r="AJ15" s="35"/>
      <c r="AK15" s="37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</row>
    <row r="16" spans="1:55"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7"/>
      <c r="AF16" s="35"/>
      <c r="AG16" s="35"/>
      <c r="AH16" s="35"/>
      <c r="AI16" s="35"/>
      <c r="AJ16" s="35"/>
      <c r="AK16" s="37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</row>
    <row r="17" spans="2:55"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</row>
    <row r="18" spans="2:55">
      <c r="B18" s="37"/>
      <c r="C18" s="35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5"/>
      <c r="W18" s="37"/>
      <c r="X18" s="35"/>
      <c r="Y18" s="35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</row>
    <row r="19" spans="2:55">
      <c r="B19" s="37"/>
      <c r="C19" s="35"/>
      <c r="D19" s="37"/>
      <c r="E19" s="37"/>
      <c r="F19" s="35"/>
      <c r="G19" s="37"/>
      <c r="H19" s="35"/>
      <c r="I19" s="37"/>
      <c r="J19" s="37"/>
      <c r="K19" s="37"/>
      <c r="L19" s="37"/>
      <c r="M19" s="37"/>
      <c r="N19" s="37"/>
      <c r="O19" s="37"/>
      <c r="P19" s="37"/>
      <c r="Q19" s="37"/>
      <c r="R19" s="35"/>
      <c r="S19" s="37"/>
      <c r="T19" s="37"/>
      <c r="U19" s="37"/>
      <c r="V19" s="35"/>
      <c r="W19" s="35"/>
      <c r="X19" s="35"/>
      <c r="Y19" s="35"/>
      <c r="Z19" s="35"/>
      <c r="AA19" s="35"/>
      <c r="AB19" s="37"/>
      <c r="AC19" s="37"/>
      <c r="AD19" s="37"/>
      <c r="AE19" s="37"/>
      <c r="AF19" s="37"/>
      <c r="AG19" s="37"/>
      <c r="AH19" s="37"/>
      <c r="AI19" s="35"/>
      <c r="AJ19" s="35"/>
      <c r="AK19" s="35"/>
      <c r="AL19" s="37"/>
      <c r="AM19" s="37"/>
      <c r="AN19" s="37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</row>
    <row r="20" spans="2:55"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</row>
    <row r="21" spans="2:55">
      <c r="B21" s="36"/>
      <c r="C21" s="35"/>
      <c r="D21" s="36"/>
      <c r="E21" s="40"/>
      <c r="F21" s="36"/>
      <c r="G21" s="40"/>
      <c r="H21" s="39"/>
      <c r="I21" s="38"/>
      <c r="J21" s="40"/>
      <c r="K21" s="38"/>
      <c r="L21" s="40"/>
      <c r="M21" s="40"/>
      <c r="N21" s="38"/>
      <c r="O21" s="38"/>
      <c r="P21" s="39"/>
      <c r="Q21" s="39"/>
      <c r="R21" s="39"/>
      <c r="S21" s="40"/>
      <c r="T21" s="40"/>
      <c r="U21" s="40"/>
      <c r="V21" s="35"/>
      <c r="W21" s="36"/>
      <c r="X21" s="35"/>
      <c r="Y21" s="35"/>
      <c r="Z21" s="36"/>
      <c r="AA21" s="36"/>
      <c r="AB21" s="36"/>
      <c r="AC21" s="38"/>
      <c r="AD21" s="41"/>
      <c r="AE21" s="40"/>
      <c r="AF21" s="38"/>
      <c r="AG21" s="40"/>
      <c r="AH21" s="40"/>
      <c r="AI21" s="36"/>
      <c r="AJ21" s="36"/>
      <c r="AK21" s="36"/>
      <c r="AL21" s="40"/>
      <c r="AM21" s="40"/>
      <c r="AN21" s="38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</row>
    <row r="22" spans="2:55">
      <c r="B22" s="36"/>
      <c r="C22" s="35"/>
      <c r="D22" s="36"/>
      <c r="E22" s="40"/>
      <c r="F22" s="36"/>
      <c r="G22" s="40"/>
      <c r="H22" s="39"/>
      <c r="I22" s="38"/>
      <c r="J22" s="40"/>
      <c r="K22" s="38"/>
      <c r="L22" s="40"/>
      <c r="M22" s="40"/>
      <c r="N22" s="38"/>
      <c r="O22" s="38"/>
      <c r="P22" s="39"/>
      <c r="Q22" s="39"/>
      <c r="R22" s="39"/>
      <c r="S22" s="40"/>
      <c r="T22" s="40"/>
      <c r="U22" s="40"/>
      <c r="V22" s="35"/>
      <c r="W22" s="36"/>
      <c r="X22" s="35"/>
      <c r="Y22" s="35"/>
      <c r="Z22" s="36"/>
      <c r="AA22" s="36"/>
      <c r="AB22" s="36"/>
      <c r="AC22" s="38"/>
      <c r="AD22" s="41"/>
      <c r="AE22" s="40"/>
      <c r="AF22" s="38"/>
      <c r="AG22" s="40"/>
      <c r="AH22" s="40"/>
      <c r="AI22" s="36"/>
      <c r="AJ22" s="36"/>
      <c r="AK22" s="36"/>
      <c r="AL22" s="40"/>
      <c r="AM22" s="40"/>
      <c r="AN22" s="38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</row>
    <row r="23" spans="2:55">
      <c r="B23" s="36"/>
      <c r="C23" s="35"/>
      <c r="D23" s="36"/>
      <c r="E23" s="40"/>
      <c r="F23" s="36"/>
      <c r="G23" s="40"/>
      <c r="H23" s="39"/>
      <c r="I23" s="38"/>
      <c r="J23" s="40"/>
      <c r="K23" s="38"/>
      <c r="L23" s="40"/>
      <c r="M23" s="40"/>
      <c r="N23" s="38"/>
      <c r="O23" s="38"/>
      <c r="P23" s="39"/>
      <c r="Q23" s="39"/>
      <c r="R23" s="39"/>
      <c r="S23" s="40"/>
      <c r="T23" s="40"/>
      <c r="U23" s="40"/>
      <c r="V23" s="35"/>
      <c r="W23" s="36"/>
      <c r="X23" s="35"/>
      <c r="Y23" s="35"/>
      <c r="Z23" s="36"/>
      <c r="AA23" s="36"/>
      <c r="AB23" s="36"/>
      <c r="AC23" s="38"/>
      <c r="AD23" s="41"/>
      <c r="AE23" s="40"/>
      <c r="AF23" s="38"/>
      <c r="AG23" s="40"/>
      <c r="AH23" s="40"/>
      <c r="AI23" s="36"/>
      <c r="AJ23" s="36"/>
      <c r="AK23" s="36"/>
      <c r="AL23" s="40"/>
      <c r="AM23" s="40"/>
      <c r="AN23" s="38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</row>
    <row r="24" spans="2:55">
      <c r="B24" s="36"/>
      <c r="C24" s="38"/>
      <c r="D24" s="36"/>
      <c r="E24" s="40"/>
      <c r="F24" s="36"/>
      <c r="G24" s="40"/>
      <c r="H24" s="39"/>
      <c r="I24" s="38"/>
      <c r="J24" s="40"/>
      <c r="K24" s="38"/>
      <c r="L24" s="40"/>
      <c r="M24" s="40"/>
      <c r="N24" s="38"/>
      <c r="O24" s="38"/>
      <c r="P24" s="39"/>
      <c r="Q24" s="39"/>
      <c r="R24" s="39"/>
      <c r="S24" s="40"/>
      <c r="T24" s="40"/>
      <c r="U24" s="40"/>
      <c r="V24" s="35"/>
      <c r="W24" s="36"/>
      <c r="X24" s="35"/>
      <c r="Y24" s="35"/>
      <c r="Z24" s="36"/>
      <c r="AA24" s="36"/>
      <c r="AB24" s="36"/>
      <c r="AC24" s="38"/>
      <c r="AD24" s="41"/>
      <c r="AE24" s="40"/>
      <c r="AF24" s="38"/>
      <c r="AG24" s="40"/>
      <c r="AH24" s="40"/>
      <c r="AI24" s="36"/>
      <c r="AJ24" s="36"/>
      <c r="AK24" s="36"/>
      <c r="AL24" s="40"/>
      <c r="AM24" s="40"/>
      <c r="AN24" s="38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</row>
    <row r="25" spans="2:55">
      <c r="B25" s="36"/>
      <c r="C25" s="35"/>
      <c r="D25" s="36"/>
      <c r="E25" s="40"/>
      <c r="F25" s="36"/>
      <c r="G25" s="40"/>
      <c r="H25" s="39"/>
      <c r="I25" s="38"/>
      <c r="J25" s="40"/>
      <c r="K25" s="38"/>
      <c r="L25" s="40"/>
      <c r="M25" s="40"/>
      <c r="N25" s="38"/>
      <c r="O25" s="38"/>
      <c r="P25" s="39"/>
      <c r="Q25" s="39"/>
      <c r="R25" s="39"/>
      <c r="S25" s="40"/>
      <c r="T25" s="40"/>
      <c r="U25" s="40"/>
      <c r="V25" s="35"/>
      <c r="W25" s="36"/>
      <c r="X25" s="35"/>
      <c r="Y25" s="35"/>
      <c r="Z25" s="36"/>
      <c r="AA25" s="36"/>
      <c r="AB25" s="36"/>
      <c r="AC25" s="38"/>
      <c r="AD25" s="41"/>
      <c r="AE25" s="40"/>
      <c r="AF25" s="38"/>
      <c r="AG25" s="40"/>
      <c r="AH25" s="40"/>
      <c r="AI25" s="36"/>
      <c r="AJ25" s="36"/>
      <c r="AK25" s="36"/>
      <c r="AL25" s="40"/>
      <c r="AM25" s="40"/>
      <c r="AN25" s="38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</row>
    <row r="26" spans="2:55">
      <c r="B26" s="36"/>
      <c r="C26" s="35"/>
      <c r="D26" s="36"/>
      <c r="E26" s="40"/>
      <c r="F26" s="36"/>
      <c r="G26" s="40"/>
      <c r="H26" s="39"/>
      <c r="I26" s="38"/>
      <c r="J26" s="40"/>
      <c r="K26" s="38"/>
      <c r="L26" s="40"/>
      <c r="M26" s="40"/>
      <c r="N26" s="38"/>
      <c r="O26" s="38"/>
      <c r="P26" s="39"/>
      <c r="Q26" s="39"/>
      <c r="R26" s="39"/>
      <c r="S26" s="40"/>
      <c r="T26" s="40"/>
      <c r="U26" s="40"/>
      <c r="V26" s="35"/>
      <c r="W26" s="36"/>
      <c r="X26" s="35"/>
      <c r="Y26" s="35"/>
      <c r="Z26" s="36"/>
      <c r="AA26" s="36"/>
      <c r="AB26" s="36"/>
      <c r="AC26" s="38"/>
      <c r="AD26" s="41"/>
      <c r="AE26" s="40"/>
      <c r="AF26" s="38"/>
      <c r="AG26" s="40"/>
      <c r="AH26" s="40"/>
      <c r="AI26" s="36"/>
      <c r="AJ26" s="36"/>
      <c r="AK26" s="36"/>
      <c r="AL26" s="40"/>
      <c r="AM26" s="40"/>
      <c r="AN26" s="38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</row>
    <row r="27" spans="2:55">
      <c r="B27" s="36"/>
      <c r="C27" s="35"/>
      <c r="D27" s="36"/>
      <c r="E27" s="40"/>
      <c r="F27" s="36"/>
      <c r="G27" s="40"/>
      <c r="H27" s="39"/>
      <c r="I27" s="38"/>
      <c r="J27" s="40"/>
      <c r="K27" s="38"/>
      <c r="L27" s="40"/>
      <c r="M27" s="40"/>
      <c r="N27" s="38"/>
      <c r="O27" s="38"/>
      <c r="P27" s="39"/>
      <c r="Q27" s="39"/>
      <c r="R27" s="39"/>
      <c r="S27" s="40"/>
      <c r="T27" s="40"/>
      <c r="U27" s="40"/>
      <c r="V27" s="35"/>
      <c r="W27" s="36"/>
      <c r="X27" s="35"/>
      <c r="Y27" s="35"/>
      <c r="Z27" s="36"/>
      <c r="AA27" s="36"/>
      <c r="AB27" s="36"/>
      <c r="AC27" s="38"/>
      <c r="AD27" s="41"/>
      <c r="AE27" s="40"/>
      <c r="AF27" s="38"/>
      <c r="AG27" s="40"/>
      <c r="AH27" s="40"/>
      <c r="AI27" s="36"/>
      <c r="AJ27" s="36"/>
      <c r="AK27" s="36"/>
      <c r="AL27" s="40"/>
      <c r="AM27" s="40"/>
      <c r="AN27" s="38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</row>
    <row r="28" spans="2:55">
      <c r="B28" s="36"/>
      <c r="C28" s="35"/>
      <c r="D28" s="36"/>
      <c r="E28" s="40"/>
      <c r="F28" s="36"/>
      <c r="G28" s="40"/>
      <c r="H28" s="39"/>
      <c r="I28" s="38"/>
      <c r="J28" s="40"/>
      <c r="K28" s="38"/>
      <c r="L28" s="40"/>
      <c r="M28" s="40"/>
      <c r="N28" s="38"/>
      <c r="O28" s="38"/>
      <c r="P28" s="39"/>
      <c r="Q28" s="39"/>
      <c r="R28" s="39"/>
      <c r="S28" s="40"/>
      <c r="T28" s="40"/>
      <c r="U28" s="40"/>
      <c r="V28" s="35"/>
      <c r="W28" s="36"/>
      <c r="X28" s="35"/>
      <c r="Y28" s="35"/>
      <c r="Z28" s="36"/>
      <c r="AA28" s="36"/>
      <c r="AB28" s="36"/>
      <c r="AC28" s="38"/>
      <c r="AD28" s="41"/>
      <c r="AE28" s="40"/>
      <c r="AF28" s="38"/>
      <c r="AG28" s="40"/>
      <c r="AH28" s="40"/>
      <c r="AI28" s="36"/>
      <c r="AJ28" s="36"/>
      <c r="AK28" s="36"/>
      <c r="AL28" s="40"/>
      <c r="AM28" s="40"/>
      <c r="AN28" s="38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</row>
    <row r="29" spans="2:55">
      <c r="B29" s="36"/>
      <c r="C29" s="35"/>
      <c r="D29" s="36"/>
      <c r="E29" s="40"/>
      <c r="F29" s="36"/>
      <c r="G29" s="40"/>
      <c r="H29" s="39"/>
      <c r="I29" s="38"/>
      <c r="J29" s="40"/>
      <c r="K29" s="38"/>
      <c r="L29" s="40"/>
      <c r="M29" s="40"/>
      <c r="N29" s="38"/>
      <c r="O29" s="38"/>
      <c r="P29" s="39"/>
      <c r="Q29" s="39"/>
      <c r="R29" s="39"/>
      <c r="S29" s="40"/>
      <c r="T29" s="40"/>
      <c r="U29" s="40"/>
      <c r="V29" s="35"/>
      <c r="W29" s="36"/>
      <c r="X29" s="35"/>
      <c r="Y29" s="35"/>
      <c r="Z29" s="36"/>
      <c r="AA29" s="36"/>
      <c r="AB29" s="36"/>
      <c r="AC29" s="38"/>
      <c r="AD29" s="41"/>
      <c r="AE29" s="40"/>
      <c r="AF29" s="38"/>
      <c r="AG29" s="40"/>
      <c r="AH29" s="40"/>
      <c r="AI29" s="36"/>
      <c r="AJ29" s="36"/>
      <c r="AK29" s="36"/>
      <c r="AL29" s="40"/>
      <c r="AM29" s="40"/>
      <c r="AN29" s="38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</row>
    <row r="30" spans="2:55">
      <c r="B30" s="36"/>
      <c r="C30" s="35"/>
      <c r="D30" s="36"/>
      <c r="E30" s="40"/>
      <c r="F30" s="36"/>
      <c r="G30" s="40"/>
      <c r="H30" s="39"/>
      <c r="I30" s="38"/>
      <c r="J30" s="40"/>
      <c r="K30" s="38"/>
      <c r="L30" s="40"/>
      <c r="M30" s="40"/>
      <c r="N30" s="38"/>
      <c r="O30" s="38"/>
      <c r="P30" s="39"/>
      <c r="Q30" s="39"/>
      <c r="R30" s="39"/>
      <c r="S30" s="40"/>
      <c r="T30" s="40"/>
      <c r="U30" s="40"/>
      <c r="V30" s="35"/>
      <c r="W30" s="36"/>
      <c r="X30" s="35"/>
      <c r="Y30" s="35"/>
      <c r="Z30" s="36"/>
      <c r="AA30" s="36"/>
      <c r="AB30" s="36"/>
      <c r="AC30" s="38"/>
      <c r="AD30" s="41"/>
      <c r="AE30" s="40"/>
      <c r="AF30" s="38"/>
      <c r="AG30" s="40"/>
      <c r="AH30" s="40"/>
      <c r="AI30" s="36"/>
      <c r="AJ30" s="36"/>
      <c r="AK30" s="36"/>
      <c r="AL30" s="40"/>
      <c r="AM30" s="40"/>
      <c r="AN30" s="38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</row>
    <row r="31" spans="2:55">
      <c r="B31" s="36"/>
      <c r="C31" s="35"/>
      <c r="D31" s="36"/>
      <c r="E31" s="40"/>
      <c r="F31" s="36"/>
      <c r="G31" s="40"/>
      <c r="H31" s="39"/>
      <c r="I31" s="38"/>
      <c r="J31" s="40"/>
      <c r="K31" s="38"/>
      <c r="L31" s="40"/>
      <c r="M31" s="40"/>
      <c r="N31" s="38"/>
      <c r="O31" s="38"/>
      <c r="P31" s="39"/>
      <c r="Q31" s="39"/>
      <c r="R31" s="39"/>
      <c r="S31" s="40"/>
      <c r="T31" s="40"/>
      <c r="U31" s="40"/>
      <c r="V31" s="35"/>
      <c r="W31" s="36"/>
      <c r="X31" s="35"/>
      <c r="Y31" s="35"/>
      <c r="Z31" s="36"/>
      <c r="AA31" s="36"/>
      <c r="AB31" s="36"/>
      <c r="AC31" s="38"/>
      <c r="AD31" s="41"/>
      <c r="AE31" s="40"/>
      <c r="AF31" s="38"/>
      <c r="AG31" s="40"/>
      <c r="AH31" s="40"/>
      <c r="AI31" s="36"/>
      <c r="AJ31" s="36"/>
      <c r="AK31" s="36"/>
      <c r="AL31" s="40"/>
      <c r="AM31" s="40"/>
      <c r="AN31" s="38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</row>
    <row r="32" spans="2:55">
      <c r="B32" s="36"/>
      <c r="C32" s="35"/>
      <c r="D32" s="36"/>
      <c r="E32" s="40"/>
      <c r="F32" s="36"/>
      <c r="G32" s="40"/>
      <c r="H32" s="39"/>
      <c r="I32" s="38"/>
      <c r="J32" s="40"/>
      <c r="K32" s="38"/>
      <c r="L32" s="40"/>
      <c r="M32" s="40"/>
      <c r="N32" s="38"/>
      <c r="O32" s="38"/>
      <c r="P32" s="39"/>
      <c r="Q32" s="39"/>
      <c r="R32" s="39"/>
      <c r="S32" s="40"/>
      <c r="T32" s="40"/>
      <c r="U32" s="40"/>
      <c r="V32" s="35"/>
      <c r="W32" s="36"/>
      <c r="X32" s="35"/>
      <c r="Y32" s="35"/>
      <c r="Z32" s="36"/>
      <c r="AA32" s="36"/>
      <c r="AB32" s="36"/>
      <c r="AC32" s="38"/>
      <c r="AD32" s="41"/>
      <c r="AE32" s="40"/>
      <c r="AF32" s="38"/>
      <c r="AG32" s="40"/>
      <c r="AH32" s="40"/>
      <c r="AI32" s="36"/>
      <c r="AJ32" s="36"/>
      <c r="AK32" s="36"/>
      <c r="AL32" s="40"/>
      <c r="AM32" s="40"/>
      <c r="AN32" s="38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</row>
    <row r="33" spans="2:55">
      <c r="B33" s="36"/>
      <c r="C33" s="35"/>
      <c r="D33" s="36"/>
      <c r="E33" s="40"/>
      <c r="F33" s="36"/>
      <c r="G33" s="40"/>
      <c r="H33" s="39"/>
      <c r="I33" s="38"/>
      <c r="J33" s="40"/>
      <c r="K33" s="38"/>
      <c r="L33" s="40"/>
      <c r="M33" s="40"/>
      <c r="N33" s="38"/>
      <c r="O33" s="38"/>
      <c r="P33" s="39"/>
      <c r="Q33" s="39"/>
      <c r="R33" s="39"/>
      <c r="S33" s="40"/>
      <c r="T33" s="40"/>
      <c r="U33" s="40"/>
      <c r="V33" s="35"/>
      <c r="W33" s="36"/>
      <c r="X33" s="35"/>
      <c r="Y33" s="35"/>
      <c r="Z33" s="36"/>
      <c r="AA33" s="36"/>
      <c r="AB33" s="36"/>
      <c r="AC33" s="38"/>
      <c r="AD33" s="41"/>
      <c r="AE33" s="40"/>
      <c r="AF33" s="38"/>
      <c r="AG33" s="40"/>
      <c r="AH33" s="40"/>
      <c r="AI33" s="36"/>
      <c r="AJ33" s="36"/>
      <c r="AK33" s="36"/>
      <c r="AL33" s="40"/>
      <c r="AM33" s="40"/>
      <c r="AN33" s="38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</row>
    <row r="34" spans="2:55">
      <c r="B34" s="36"/>
      <c r="C34" s="35"/>
      <c r="D34" s="36"/>
      <c r="E34" s="40"/>
      <c r="F34" s="36"/>
      <c r="G34" s="40"/>
      <c r="H34" s="39"/>
      <c r="I34" s="38"/>
      <c r="J34" s="40"/>
      <c r="K34" s="38"/>
      <c r="L34" s="40"/>
      <c r="M34" s="40"/>
      <c r="N34" s="38"/>
      <c r="O34" s="38"/>
      <c r="P34" s="39"/>
      <c r="Q34" s="39"/>
      <c r="R34" s="39"/>
      <c r="S34" s="40"/>
      <c r="T34" s="40"/>
      <c r="U34" s="40"/>
      <c r="V34" s="35"/>
      <c r="W34" s="36"/>
      <c r="X34" s="35"/>
      <c r="Y34" s="35"/>
      <c r="Z34" s="36"/>
      <c r="AA34" s="36"/>
      <c r="AB34" s="36"/>
      <c r="AC34" s="38"/>
      <c r="AD34" s="41"/>
      <c r="AE34" s="40"/>
      <c r="AF34" s="38"/>
      <c r="AG34" s="40"/>
      <c r="AH34" s="40"/>
      <c r="AI34" s="36"/>
      <c r="AJ34" s="36"/>
      <c r="AK34" s="36"/>
      <c r="AL34" s="40"/>
      <c r="AM34" s="40"/>
      <c r="AN34" s="38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</row>
    <row r="35" spans="2:55">
      <c r="B35" s="36"/>
      <c r="C35" s="35"/>
      <c r="D35" s="36"/>
      <c r="E35" s="40"/>
      <c r="F35" s="36"/>
      <c r="G35" s="40"/>
      <c r="H35" s="39"/>
      <c r="I35" s="38"/>
      <c r="J35" s="40"/>
      <c r="K35" s="38"/>
      <c r="L35" s="40"/>
      <c r="M35" s="40"/>
      <c r="N35" s="38"/>
      <c r="O35" s="38"/>
      <c r="P35" s="39"/>
      <c r="Q35" s="39"/>
      <c r="R35" s="39"/>
      <c r="S35" s="40"/>
      <c r="T35" s="40"/>
      <c r="U35" s="40"/>
      <c r="V35" s="35"/>
      <c r="W35" s="36"/>
      <c r="X35" s="35"/>
      <c r="Y35" s="35"/>
      <c r="Z35" s="36"/>
      <c r="AA35" s="36"/>
      <c r="AB35" s="36"/>
      <c r="AC35" s="38"/>
      <c r="AD35" s="41"/>
      <c r="AE35" s="40"/>
      <c r="AF35" s="38"/>
      <c r="AG35" s="40"/>
      <c r="AH35" s="40"/>
      <c r="AI35" s="36"/>
      <c r="AJ35" s="36"/>
      <c r="AK35" s="36"/>
      <c r="AL35" s="40"/>
      <c r="AM35" s="40"/>
      <c r="AN35" s="38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</row>
    <row r="36" spans="2:55">
      <c r="B36" s="36"/>
      <c r="C36" s="35"/>
      <c r="D36" s="36"/>
      <c r="E36" s="40"/>
      <c r="F36" s="36"/>
      <c r="G36" s="40"/>
      <c r="H36" s="39"/>
      <c r="I36" s="38"/>
      <c r="J36" s="40"/>
      <c r="K36" s="38"/>
      <c r="L36" s="40"/>
      <c r="M36" s="40"/>
      <c r="N36" s="38"/>
      <c r="O36" s="38"/>
      <c r="P36" s="39"/>
      <c r="Q36" s="39"/>
      <c r="R36" s="39"/>
      <c r="S36" s="40"/>
      <c r="T36" s="40"/>
      <c r="U36" s="40"/>
      <c r="V36" s="35"/>
      <c r="W36" s="36"/>
      <c r="X36" s="35"/>
      <c r="Y36" s="35"/>
      <c r="Z36" s="36"/>
      <c r="AA36" s="36"/>
      <c r="AB36" s="36"/>
      <c r="AC36" s="38"/>
      <c r="AD36" s="41"/>
      <c r="AE36" s="40"/>
      <c r="AF36" s="38"/>
      <c r="AG36" s="40"/>
      <c r="AH36" s="40"/>
      <c r="AI36" s="36"/>
      <c r="AJ36" s="36"/>
      <c r="AK36" s="36"/>
      <c r="AL36" s="40"/>
      <c r="AM36" s="40"/>
      <c r="AN36" s="38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</row>
    <row r="37" spans="2:55">
      <c r="B37" s="36"/>
      <c r="C37" s="35"/>
      <c r="D37" s="36"/>
      <c r="E37" s="40"/>
      <c r="F37" s="36"/>
      <c r="G37" s="40"/>
      <c r="H37" s="39"/>
      <c r="I37" s="38"/>
      <c r="J37" s="40"/>
      <c r="K37" s="38"/>
      <c r="L37" s="40"/>
      <c r="M37" s="40"/>
      <c r="N37" s="38"/>
      <c r="O37" s="38"/>
      <c r="P37" s="39"/>
      <c r="Q37" s="39"/>
      <c r="R37" s="39"/>
      <c r="S37" s="40"/>
      <c r="T37" s="40"/>
      <c r="U37" s="40"/>
      <c r="V37" s="35"/>
      <c r="W37" s="36"/>
      <c r="X37" s="35"/>
      <c r="Y37" s="35"/>
      <c r="Z37" s="36"/>
      <c r="AA37" s="36"/>
      <c r="AB37" s="36"/>
      <c r="AC37" s="38"/>
      <c r="AD37" s="41"/>
      <c r="AE37" s="40"/>
      <c r="AF37" s="38"/>
      <c r="AG37" s="40"/>
      <c r="AH37" s="40"/>
      <c r="AI37" s="36"/>
      <c r="AJ37" s="36"/>
      <c r="AK37" s="36"/>
      <c r="AL37" s="40"/>
      <c r="AM37" s="40"/>
      <c r="AN37" s="38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</row>
    <row r="38" spans="2:55">
      <c r="B38" s="36"/>
      <c r="C38" s="35"/>
      <c r="D38" s="36"/>
      <c r="E38" s="40"/>
      <c r="F38" s="36"/>
      <c r="G38" s="40"/>
      <c r="H38" s="39"/>
      <c r="I38" s="38"/>
      <c r="J38" s="40"/>
      <c r="K38" s="38"/>
      <c r="L38" s="40"/>
      <c r="M38" s="40"/>
      <c r="N38" s="38"/>
      <c r="O38" s="38"/>
      <c r="P38" s="39"/>
      <c r="Q38" s="39"/>
      <c r="R38" s="39"/>
      <c r="S38" s="40"/>
      <c r="T38" s="40"/>
      <c r="U38" s="40"/>
      <c r="V38" s="35"/>
      <c r="W38" s="36"/>
      <c r="X38" s="35"/>
      <c r="Y38" s="35"/>
      <c r="Z38" s="36"/>
      <c r="AA38" s="36"/>
      <c r="AB38" s="36"/>
      <c r="AC38" s="38"/>
      <c r="AD38" s="41"/>
      <c r="AE38" s="40"/>
      <c r="AF38" s="38"/>
      <c r="AG38" s="40"/>
      <c r="AH38" s="40"/>
      <c r="AI38" s="36"/>
      <c r="AJ38" s="36"/>
      <c r="AK38" s="36"/>
      <c r="AL38" s="40"/>
      <c r="AM38" s="40"/>
      <c r="AN38" s="38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</row>
    <row r="39" spans="2:55">
      <c r="B39" s="36"/>
      <c r="C39" s="35"/>
      <c r="D39" s="36"/>
      <c r="E39" s="40"/>
      <c r="F39" s="36"/>
      <c r="G39" s="40"/>
      <c r="H39" s="39"/>
      <c r="I39" s="38"/>
      <c r="J39" s="40"/>
      <c r="K39" s="38"/>
      <c r="L39" s="40"/>
      <c r="M39" s="40"/>
      <c r="N39" s="38"/>
      <c r="O39" s="38"/>
      <c r="P39" s="39"/>
      <c r="Q39" s="39"/>
      <c r="R39" s="39"/>
      <c r="S39" s="40"/>
      <c r="T39" s="40"/>
      <c r="U39" s="40"/>
      <c r="V39" s="35"/>
      <c r="W39" s="36"/>
      <c r="X39" s="35"/>
      <c r="Y39" s="35"/>
      <c r="Z39" s="36"/>
      <c r="AA39" s="36"/>
      <c r="AB39" s="36"/>
      <c r="AC39" s="38"/>
      <c r="AD39" s="41"/>
      <c r="AE39" s="40"/>
      <c r="AF39" s="38"/>
      <c r="AG39" s="40"/>
      <c r="AH39" s="40"/>
      <c r="AI39" s="36"/>
      <c r="AJ39" s="36"/>
      <c r="AK39" s="36"/>
      <c r="AL39" s="40"/>
      <c r="AM39" s="40"/>
      <c r="AN39" s="38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</row>
    <row r="40" spans="2:55">
      <c r="B40" s="36"/>
      <c r="C40" s="35"/>
      <c r="D40" s="36"/>
      <c r="E40" s="40"/>
      <c r="F40" s="36"/>
      <c r="G40" s="40"/>
      <c r="H40" s="39"/>
      <c r="I40" s="38"/>
      <c r="J40" s="40"/>
      <c r="K40" s="38"/>
      <c r="L40" s="40"/>
      <c r="M40" s="40"/>
      <c r="N40" s="38"/>
      <c r="O40" s="38"/>
      <c r="P40" s="39"/>
      <c r="Q40" s="39"/>
      <c r="R40" s="39"/>
      <c r="S40" s="40"/>
      <c r="T40" s="40"/>
      <c r="U40" s="40"/>
      <c r="V40" s="35"/>
      <c r="W40" s="36"/>
      <c r="X40" s="35"/>
      <c r="Y40" s="35"/>
      <c r="Z40" s="36"/>
      <c r="AA40" s="36"/>
      <c r="AB40" s="36"/>
      <c r="AC40" s="38"/>
      <c r="AD40" s="41"/>
      <c r="AE40" s="40"/>
      <c r="AF40" s="38"/>
      <c r="AG40" s="40"/>
      <c r="AH40" s="40"/>
      <c r="AI40" s="36"/>
      <c r="AJ40" s="36"/>
      <c r="AK40" s="36"/>
      <c r="AL40" s="40"/>
      <c r="AM40" s="40"/>
      <c r="AN40" s="38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</row>
    <row r="41" spans="2:55">
      <c r="B41" s="36"/>
      <c r="C41" s="35"/>
      <c r="D41" s="36"/>
      <c r="E41" s="40"/>
      <c r="F41" s="36"/>
      <c r="G41" s="40"/>
      <c r="H41" s="39"/>
      <c r="I41" s="40"/>
      <c r="J41" s="38"/>
      <c r="K41" s="40"/>
      <c r="L41" s="40"/>
      <c r="M41" s="38"/>
      <c r="N41" s="38"/>
      <c r="O41" s="39"/>
      <c r="P41" s="39"/>
      <c r="Q41" s="39"/>
      <c r="R41" s="40"/>
      <c r="S41" s="40"/>
      <c r="T41" s="40"/>
      <c r="U41" s="35"/>
      <c r="V41" s="36"/>
      <c r="W41" s="35"/>
      <c r="X41" s="35"/>
      <c r="Y41" s="35"/>
      <c r="Z41" s="36"/>
      <c r="AA41" s="36"/>
      <c r="AB41" s="36"/>
      <c r="AC41" s="38"/>
      <c r="AD41" s="41"/>
      <c r="AE41" s="40"/>
      <c r="AF41" s="38"/>
      <c r="AG41" s="40"/>
      <c r="AH41" s="40"/>
      <c r="AI41" s="36"/>
      <c r="AJ41" s="36"/>
      <c r="AK41" s="36"/>
      <c r="AL41" s="40"/>
      <c r="AM41" s="40"/>
      <c r="AN41" s="38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</row>
    <row r="42" spans="2:55">
      <c r="B42" s="36"/>
      <c r="C42" s="35"/>
      <c r="D42" s="36"/>
      <c r="E42" s="40"/>
      <c r="F42" s="36"/>
      <c r="G42" s="40"/>
      <c r="H42" s="39"/>
      <c r="I42" s="40"/>
      <c r="J42" s="38"/>
      <c r="K42" s="40"/>
      <c r="L42" s="40"/>
      <c r="M42" s="38"/>
      <c r="N42" s="38"/>
      <c r="O42" s="39"/>
      <c r="P42" s="39"/>
      <c r="Q42" s="39"/>
      <c r="R42" s="40"/>
      <c r="S42" s="40"/>
      <c r="T42" s="40"/>
      <c r="U42" s="35"/>
      <c r="V42" s="36"/>
      <c r="W42" s="35"/>
      <c r="X42" s="35"/>
      <c r="Y42" s="35"/>
      <c r="Z42" s="36"/>
      <c r="AA42" s="36"/>
      <c r="AB42" s="36"/>
      <c r="AC42" s="38"/>
      <c r="AD42" s="41"/>
      <c r="AE42" s="40"/>
      <c r="AF42" s="38"/>
      <c r="AG42" s="40"/>
      <c r="AH42" s="40"/>
      <c r="AI42" s="36"/>
      <c r="AJ42" s="36"/>
      <c r="AK42" s="36"/>
      <c r="AL42" s="40"/>
      <c r="AM42" s="40"/>
      <c r="AN42" s="38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</row>
    <row r="43" spans="2:55">
      <c r="B43" s="36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6"/>
      <c r="AA43" s="36"/>
      <c r="AB43" s="36"/>
      <c r="AC43" s="38"/>
      <c r="AD43" s="41"/>
      <c r="AE43" s="40"/>
      <c r="AF43" s="38"/>
      <c r="AG43" s="40"/>
      <c r="AH43" s="40"/>
      <c r="AI43" s="36"/>
      <c r="AJ43" s="36"/>
      <c r="AK43" s="36"/>
      <c r="AL43" s="40"/>
      <c r="AM43" s="40"/>
      <c r="AN43" s="38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</row>
    <row r="44" spans="2:55"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6"/>
      <c r="AA44" s="36"/>
      <c r="AB44" s="36"/>
      <c r="AC44" s="38"/>
      <c r="AD44" s="41"/>
      <c r="AE44" s="40"/>
      <c r="AF44" s="38"/>
      <c r="AG44" s="40"/>
      <c r="AH44" s="40"/>
      <c r="AI44" s="36"/>
      <c r="AJ44" s="36"/>
      <c r="AK44" s="36"/>
      <c r="AL44" s="40"/>
      <c r="AM44" s="40"/>
      <c r="AN44" s="38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</row>
    <row r="45" spans="2:55">
      <c r="B45" s="36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6"/>
      <c r="AA45" s="36"/>
      <c r="AB45" s="36"/>
      <c r="AC45" s="38"/>
      <c r="AD45" s="41"/>
      <c r="AE45" s="40"/>
      <c r="AF45" s="38"/>
      <c r="AG45" s="40"/>
      <c r="AH45" s="40"/>
      <c r="AI45" s="36"/>
      <c r="AJ45" s="36"/>
      <c r="AK45" s="36"/>
      <c r="AL45" s="40"/>
      <c r="AM45" s="40"/>
      <c r="AN45" s="38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</row>
    <row r="46" spans="2:55">
      <c r="B46" s="36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6"/>
      <c r="AA46" s="36"/>
      <c r="AB46" s="36"/>
      <c r="AC46" s="38"/>
      <c r="AD46" s="41"/>
      <c r="AE46" s="40"/>
      <c r="AF46" s="38"/>
      <c r="AG46" s="40"/>
      <c r="AH46" s="40"/>
      <c r="AI46" s="36"/>
      <c r="AJ46" s="36"/>
      <c r="AK46" s="36"/>
      <c r="AL46" s="40"/>
      <c r="AM46" s="40"/>
      <c r="AN46" s="38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</row>
    <row r="47" spans="2:55">
      <c r="B47" s="36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6"/>
      <c r="AA47" s="36"/>
      <c r="AB47" s="36"/>
      <c r="AC47" s="38"/>
      <c r="AD47" s="41"/>
      <c r="AE47" s="40"/>
      <c r="AF47" s="38"/>
      <c r="AG47" s="40"/>
      <c r="AH47" s="40"/>
      <c r="AI47" s="36"/>
      <c r="AJ47" s="36"/>
      <c r="AK47" s="36"/>
      <c r="AL47" s="40"/>
      <c r="AM47" s="40"/>
      <c r="AN47" s="38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</row>
    <row r="48" spans="2:55"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6"/>
      <c r="AA48" s="36"/>
      <c r="AB48" s="36"/>
      <c r="AC48" s="38"/>
      <c r="AD48" s="41"/>
      <c r="AE48" s="40"/>
      <c r="AF48" s="38"/>
      <c r="AG48" s="40"/>
      <c r="AH48" s="40"/>
      <c r="AI48" s="36"/>
      <c r="AJ48" s="36"/>
      <c r="AK48" s="36"/>
      <c r="AL48" s="40"/>
      <c r="AM48" s="40"/>
      <c r="AN48" s="38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</row>
    <row r="49" spans="2:55"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6"/>
      <c r="AA49" s="36"/>
      <c r="AB49" s="36"/>
      <c r="AC49" s="38"/>
      <c r="AD49" s="41"/>
      <c r="AE49" s="40"/>
      <c r="AF49" s="38"/>
      <c r="AG49" s="40"/>
      <c r="AH49" s="40"/>
      <c r="AI49" s="36"/>
      <c r="AJ49" s="36"/>
      <c r="AK49" s="36"/>
      <c r="AL49" s="40"/>
      <c r="AM49" s="40"/>
      <c r="AN49" s="38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</row>
    <row r="50" spans="2:55"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6"/>
      <c r="AA50" s="36"/>
      <c r="AB50" s="36"/>
      <c r="AC50" s="38"/>
      <c r="AD50" s="41"/>
      <c r="AE50" s="40"/>
      <c r="AF50" s="38"/>
      <c r="AG50" s="40"/>
      <c r="AH50" s="40"/>
      <c r="AI50" s="36"/>
      <c r="AJ50" s="36"/>
      <c r="AK50" s="36"/>
      <c r="AL50" s="40"/>
      <c r="AM50" s="40"/>
      <c r="AN50" s="38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</row>
    <row r="51" spans="2:55"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6"/>
      <c r="AA51" s="36"/>
      <c r="AB51" s="36"/>
      <c r="AC51" s="38"/>
      <c r="AD51" s="41"/>
      <c r="AE51" s="40"/>
      <c r="AF51" s="38"/>
      <c r="AG51" s="40"/>
      <c r="AH51" s="40"/>
      <c r="AI51" s="36"/>
      <c r="AJ51" s="36"/>
      <c r="AK51" s="36"/>
      <c r="AL51" s="40"/>
      <c r="AM51" s="40"/>
      <c r="AN51" s="38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</row>
    <row r="52" spans="2:55"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6"/>
      <c r="AA52" s="36"/>
      <c r="AB52" s="36"/>
      <c r="AC52" s="38"/>
      <c r="AD52" s="41"/>
      <c r="AE52" s="40"/>
      <c r="AF52" s="38"/>
      <c r="AG52" s="40"/>
      <c r="AH52" s="40"/>
      <c r="AI52" s="36"/>
      <c r="AJ52" s="36"/>
      <c r="AK52" s="36"/>
      <c r="AL52" s="40"/>
      <c r="AM52" s="40"/>
      <c r="AN52" s="38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</row>
    <row r="53" spans="2:55"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6"/>
      <c r="AA53" s="36"/>
      <c r="AB53" s="36"/>
      <c r="AC53" s="38"/>
      <c r="AD53" s="41"/>
      <c r="AE53" s="40"/>
      <c r="AF53" s="38"/>
      <c r="AG53" s="40"/>
      <c r="AH53" s="40"/>
      <c r="AI53" s="36"/>
      <c r="AJ53" s="36"/>
      <c r="AK53" s="36"/>
      <c r="AL53" s="40"/>
      <c r="AM53" s="40"/>
      <c r="AN53" s="38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</row>
    <row r="54" spans="2:55"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6"/>
      <c r="AA54" s="36"/>
      <c r="AB54" s="36"/>
      <c r="AC54" s="38"/>
      <c r="AD54" s="41"/>
      <c r="AE54" s="40"/>
      <c r="AF54" s="38"/>
      <c r="AG54" s="40"/>
      <c r="AH54" s="40"/>
      <c r="AI54" s="36"/>
      <c r="AJ54" s="36"/>
      <c r="AK54" s="36"/>
      <c r="AL54" s="40"/>
      <c r="AM54" s="40"/>
      <c r="AN54" s="38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</row>
    <row r="55" spans="2:55"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6"/>
      <c r="AA55" s="36"/>
      <c r="AB55" s="36"/>
      <c r="AC55" s="38"/>
      <c r="AD55" s="41"/>
      <c r="AE55" s="40"/>
      <c r="AF55" s="38"/>
      <c r="AG55" s="40"/>
      <c r="AH55" s="40"/>
      <c r="AI55" s="36"/>
      <c r="AJ55" s="36"/>
      <c r="AK55" s="36"/>
      <c r="AL55" s="40"/>
      <c r="AM55" s="40"/>
      <c r="AN55" s="38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</row>
    <row r="56" spans="2:55"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</row>
    <row r="57" spans="2:55"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</row>
    <row r="58" spans="2:55"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</row>
    <row r="59" spans="2:55"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</row>
    <row r="60" spans="2:55"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</row>
    <row r="61" spans="2:55"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</row>
    <row r="62" spans="2:55"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</row>
    <row r="63" spans="2:55"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</row>
    <row r="64" spans="2:55"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</row>
    <row r="65" spans="2:55"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</row>
    <row r="66" spans="2:55"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</row>
    <row r="67" spans="2:55"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</row>
    <row r="68" spans="2:55"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</row>
    <row r="69" spans="2:55"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</row>
    <row r="70" spans="2:55"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</row>
    <row r="71" spans="2:55"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</row>
    <row r="72" spans="2:55"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</row>
    <row r="73" spans="2:55"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</row>
    <row r="74" spans="2:55"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</row>
    <row r="75" spans="2:55"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</row>
    <row r="76" spans="2:55"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</row>
    <row r="77" spans="2:55"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</row>
    <row r="78" spans="2:55"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</row>
    <row r="79" spans="2:55"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</row>
    <row r="80" spans="2:55"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</row>
    <row r="81" spans="2:55"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</row>
    <row r="82" spans="2:55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</row>
    <row r="83" spans="2:55"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</row>
    <row r="84" spans="2:55"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</row>
    <row r="85" spans="2:55"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</row>
    <row r="86" spans="2:55"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</row>
    <row r="87" spans="2:55"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</row>
    <row r="88" spans="2:55"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</row>
    <row r="89" spans="2:55"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</row>
    <row r="90" spans="2:55"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</row>
    <row r="91" spans="2:55"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</row>
    <row r="92" spans="2:55"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</row>
    <row r="93" spans="2:55"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</row>
    <row r="94" spans="2:55"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</row>
    <row r="95" spans="2:55"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</row>
    <row r="96" spans="2:55"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</row>
    <row r="97" spans="2:55"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</row>
    <row r="98" spans="2:55"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</row>
    <row r="99" spans="2:55"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</row>
    <row r="100" spans="2:55"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</row>
    <row r="101" spans="2:55"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</row>
    <row r="102" spans="2:55"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</row>
    <row r="103" spans="2:55"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</row>
    <row r="104" spans="2:55"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</row>
    <row r="105" spans="2:55"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</row>
    <row r="106" spans="2:55"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</row>
    <row r="107" spans="2:55"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</row>
    <row r="108" spans="2:55"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</row>
    <row r="109" spans="2:55"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</row>
    <row r="110" spans="2:55"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</row>
    <row r="111" spans="2:5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</row>
    <row r="112" spans="2:55"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</row>
    <row r="113" spans="2:55"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</row>
    <row r="114" spans="2:55"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</row>
    <row r="115" spans="2:55"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</row>
    <row r="116" spans="2:55"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</row>
    <row r="117" spans="2:55"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</row>
    <row r="118" spans="2:55"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</row>
    <row r="119" spans="2:55"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</row>
    <row r="120" spans="2:55"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</row>
    <row r="121" spans="2:55"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</row>
    <row r="122" spans="2:55"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</row>
    <row r="123" spans="2:55"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</row>
    <row r="124" spans="2:55"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</row>
    <row r="125" spans="2:55"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</row>
    <row r="126" spans="2:55"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</row>
    <row r="127" spans="2:55"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</row>
    <row r="128" spans="2:55"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</row>
    <row r="129" spans="2:55"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</row>
    <row r="130" spans="2:55"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</row>
    <row r="131" spans="2:55"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</row>
    <row r="132" spans="2:55"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</row>
    <row r="133" spans="2:55"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</row>
    <row r="134" spans="2:55"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</row>
    <row r="135" spans="2:55"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</row>
    <row r="136" spans="2:55"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</row>
    <row r="137" spans="2:55"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</row>
    <row r="138" spans="2:55"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</row>
    <row r="139" spans="2:55"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</row>
    <row r="140" spans="2:55"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</row>
    <row r="141" spans="2:55"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</row>
    <row r="142" spans="2:55"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</row>
    <row r="143" spans="2:55"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</row>
    <row r="144" spans="2:55"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</row>
    <row r="145" spans="2:55"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</row>
    <row r="146" spans="2:55"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</row>
    <row r="147" spans="2:55"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</row>
    <row r="148" spans="2:55"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</row>
    <row r="149" spans="2:55"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</row>
    <row r="150" spans="2:55"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</row>
    <row r="151" spans="2:55"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</row>
    <row r="152" spans="2:55"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A106"/>
  <sheetViews>
    <sheetView zoomScale="110" zoomScaleNormal="110" workbookViewId="0">
      <selection activeCell="L9" sqref="L9"/>
    </sheetView>
  </sheetViews>
  <sheetFormatPr defaultRowHeight="12.75"/>
  <sheetData>
    <row r="1" spans="1:53">
      <c r="A1" s="17" t="s">
        <v>266</v>
      </c>
      <c r="Y1" s="6"/>
      <c r="Z1" s="6"/>
      <c r="AA1" s="6"/>
      <c r="AB1" s="6"/>
      <c r="AC1" s="6"/>
    </row>
    <row r="2" spans="1:53">
      <c r="Y2" s="6"/>
      <c r="Z2" s="6"/>
      <c r="AA2" s="6"/>
      <c r="AB2" s="6"/>
      <c r="AC2" s="6"/>
    </row>
    <row r="3" spans="1:53">
      <c r="A3" t="s">
        <v>79</v>
      </c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Y3" s="6"/>
      <c r="Z3" s="6"/>
      <c r="AA3" s="6"/>
      <c r="AB3" s="6"/>
      <c r="AC3" s="6"/>
    </row>
    <row r="4" spans="1:53">
      <c r="D4" s="17"/>
      <c r="I4" s="17"/>
      <c r="Y4" s="6"/>
      <c r="Z4" s="6"/>
      <c r="AA4" s="6"/>
      <c r="AB4" s="6"/>
      <c r="AC4" s="6"/>
    </row>
    <row r="5" spans="1:53">
      <c r="A5" t="s">
        <v>266</v>
      </c>
      <c r="J5" s="58"/>
      <c r="K5" s="6"/>
      <c r="L5" s="6"/>
      <c r="M5" s="6"/>
      <c r="N5" s="6"/>
      <c r="Y5" s="6"/>
      <c r="Z5" s="6"/>
      <c r="AA5" s="6"/>
      <c r="AB5" s="6"/>
      <c r="AC5" s="6"/>
    </row>
    <row r="6" spans="1:53">
      <c r="A6" t="s">
        <v>271</v>
      </c>
      <c r="B6" s="8" t="s">
        <v>229</v>
      </c>
      <c r="C6" s="8"/>
      <c r="D6" s="8"/>
      <c r="E6" s="8"/>
      <c r="G6" s="9" t="s">
        <v>40</v>
      </c>
      <c r="H6" s="9" t="s">
        <v>35</v>
      </c>
      <c r="I6" s="9" t="s">
        <v>291</v>
      </c>
      <c r="J6" s="9" t="s">
        <v>141</v>
      </c>
      <c r="K6" s="9" t="s">
        <v>116</v>
      </c>
      <c r="L6" s="9" t="s">
        <v>115</v>
      </c>
      <c r="M6" s="9" t="s">
        <v>137</v>
      </c>
      <c r="N6" s="6"/>
      <c r="Y6" s="6"/>
      <c r="Z6" s="23"/>
      <c r="AA6" s="19"/>
      <c r="AB6" s="6"/>
      <c r="AC6" s="6"/>
    </row>
    <row r="7" spans="1:53">
      <c r="A7" s="3" t="s">
        <v>57</v>
      </c>
      <c r="B7" s="11">
        <v>12</v>
      </c>
      <c r="C7" s="3" t="s">
        <v>541</v>
      </c>
      <c r="G7" s="9" t="s">
        <v>1</v>
      </c>
      <c r="H7" s="9" t="s">
        <v>98</v>
      </c>
      <c r="I7" s="9" t="s">
        <v>34</v>
      </c>
      <c r="J7" s="9" t="s">
        <v>34</v>
      </c>
      <c r="N7" s="6"/>
      <c r="Y7" s="6"/>
      <c r="Z7" s="23"/>
      <c r="AA7" s="16"/>
      <c r="AB7" s="6"/>
      <c r="AC7" s="6"/>
    </row>
    <row r="8" spans="1:53">
      <c r="A8" s="3" t="s">
        <v>57</v>
      </c>
      <c r="B8" s="1">
        <f>B7*0.0254</f>
        <v>0.30479999999999996</v>
      </c>
      <c r="C8" s="3" t="s">
        <v>4</v>
      </c>
      <c r="N8" s="6"/>
      <c r="Y8" s="6"/>
      <c r="Z8" s="23"/>
      <c r="AA8" s="19"/>
      <c r="AB8" s="6"/>
      <c r="AC8" s="6"/>
    </row>
    <row r="9" spans="1:53">
      <c r="A9" s="3" t="s">
        <v>114</v>
      </c>
      <c r="B9" s="11">
        <v>6</v>
      </c>
      <c r="C9" s="3" t="s">
        <v>541</v>
      </c>
      <c r="G9" s="8">
        <v>1</v>
      </c>
      <c r="H9" s="8">
        <v>7000</v>
      </c>
      <c r="I9" s="18">
        <v>166.7</v>
      </c>
      <c r="J9" s="11">
        <v>11.88</v>
      </c>
      <c r="K9" s="10">
        <f>G9/(H9/60*$B$8)</f>
        <v>2.8121484814398204E-2</v>
      </c>
      <c r="L9" s="10">
        <f>I9/(1.225*(H9/60)^3*$B$8^5)</f>
        <v>3.2574992837848468E-2</v>
      </c>
      <c r="M9" s="10">
        <f>J9/I9</f>
        <v>7.1265746850629877E-2</v>
      </c>
      <c r="N9" s="6"/>
      <c r="Y9" s="6"/>
      <c r="Z9" s="23"/>
      <c r="AA9" s="16"/>
      <c r="AB9" s="6"/>
      <c r="AC9" s="6"/>
    </row>
    <row r="10" spans="1:53">
      <c r="A10" s="3" t="s">
        <v>114</v>
      </c>
      <c r="B10" s="1">
        <f>B9*0.0254</f>
        <v>0.15239999999999998</v>
      </c>
      <c r="C10" s="3" t="s">
        <v>4</v>
      </c>
      <c r="G10" s="8">
        <v>3</v>
      </c>
      <c r="H10" s="8">
        <v>7000</v>
      </c>
      <c r="I10" s="18">
        <v>166.3</v>
      </c>
      <c r="J10" s="11">
        <v>34.82</v>
      </c>
      <c r="K10" s="10">
        <f t="shared" ref="K10:K16" si="0">G10/(H10/60*$B$8)</f>
        <v>8.4364454443194611E-2</v>
      </c>
      <c r="L10" s="10">
        <f t="shared" ref="L10:L16" si="1">I10/(1.225*(H10/60)^3*$B$8^5)</f>
        <v>3.2496828487907622E-2</v>
      </c>
      <c r="M10" s="10">
        <f t="shared" ref="M10:M16" si="2">J10/I10</f>
        <v>0.20938063740228502</v>
      </c>
      <c r="N10" s="6"/>
      <c r="Y10" s="6"/>
      <c r="Z10" s="6"/>
      <c r="AA10" s="6"/>
      <c r="AB10" s="6"/>
      <c r="AC10" s="6"/>
    </row>
    <row r="11" spans="1:53">
      <c r="A11" s="3" t="s">
        <v>428</v>
      </c>
      <c r="B11" s="12">
        <f>(0.0235+0.05)*ISA!B5</f>
        <v>0.72078877500000005</v>
      </c>
      <c r="C11" s="3" t="s">
        <v>35</v>
      </c>
      <c r="G11" s="8">
        <v>6</v>
      </c>
      <c r="H11" s="8">
        <v>7000</v>
      </c>
      <c r="I11" s="18">
        <v>163.79</v>
      </c>
      <c r="J11" s="11">
        <v>64.930000000000007</v>
      </c>
      <c r="K11" s="10">
        <f t="shared" si="0"/>
        <v>0.16872890888638922</v>
      </c>
      <c r="L11" s="10">
        <f t="shared" si="1"/>
        <v>3.20063471920288E-2</v>
      </c>
      <c r="M11" s="10">
        <f t="shared" si="2"/>
        <v>0.39642224800048848</v>
      </c>
      <c r="N11" s="6"/>
      <c r="Y11" s="6"/>
      <c r="Z11" s="6"/>
      <c r="AA11" s="6"/>
      <c r="AB11" s="6"/>
      <c r="AC11" s="6"/>
    </row>
    <row r="12" spans="1:53">
      <c r="A12" s="3" t="s">
        <v>474</v>
      </c>
      <c r="B12" s="12">
        <v>0.56000000000000005</v>
      </c>
      <c r="G12" s="8">
        <v>9</v>
      </c>
      <c r="H12" s="8">
        <v>7000</v>
      </c>
      <c r="I12" s="18">
        <v>157.61000000000001</v>
      </c>
      <c r="J12" s="11">
        <v>86.75</v>
      </c>
      <c r="K12" s="10">
        <f t="shared" si="0"/>
        <v>0.25309336332958382</v>
      </c>
      <c r="L12" s="10">
        <f t="shared" si="1"/>
        <v>3.0798707985442698E-2</v>
      </c>
      <c r="M12" s="10">
        <f t="shared" si="2"/>
        <v>0.55040923799251307</v>
      </c>
      <c r="N12" s="6"/>
      <c r="Y12" s="6"/>
      <c r="Z12" s="6"/>
      <c r="AA12" s="6"/>
      <c r="AB12" s="6"/>
      <c r="AC12" s="6"/>
    </row>
    <row r="13" spans="1:53">
      <c r="A13" s="3" t="s">
        <v>475</v>
      </c>
      <c r="B13" s="1">
        <f>B23+B24*B12+B25*B12^2+B26*B12^3+B27*B12^4+B28*B12^5+B29*B12^6</f>
        <v>6.867525404079089E-3</v>
      </c>
      <c r="C13" s="24" t="s">
        <v>186</v>
      </c>
      <c r="D13" s="25">
        <v>0</v>
      </c>
      <c r="G13" s="8">
        <v>12</v>
      </c>
      <c r="H13" s="8">
        <v>7000</v>
      </c>
      <c r="I13" s="18">
        <v>146.34</v>
      </c>
      <c r="J13" s="11">
        <v>97.07</v>
      </c>
      <c r="K13" s="10">
        <f t="shared" si="0"/>
        <v>0.33745781777277845</v>
      </c>
      <c r="L13" s="10">
        <f t="shared" si="1"/>
        <v>2.85964274258593E-2</v>
      </c>
      <c r="M13" s="10">
        <f t="shared" si="2"/>
        <v>0.66331829984966506</v>
      </c>
      <c r="N13" s="6"/>
      <c r="Y13" s="6"/>
      <c r="Z13" s="6"/>
      <c r="AA13" s="6"/>
      <c r="AB13" s="6"/>
      <c r="AC13" s="6"/>
    </row>
    <row r="14" spans="1:53">
      <c r="D14" s="35"/>
      <c r="G14" s="8">
        <v>15</v>
      </c>
      <c r="H14" s="8">
        <v>7000</v>
      </c>
      <c r="I14" s="18">
        <v>128.66</v>
      </c>
      <c r="J14" s="11">
        <v>92.91</v>
      </c>
      <c r="K14" s="10">
        <f t="shared" si="0"/>
        <v>0.42182227221597307</v>
      </c>
      <c r="L14" s="10">
        <f t="shared" si="1"/>
        <v>2.5141563158473809E-2</v>
      </c>
      <c r="M14" s="10">
        <f t="shared" si="2"/>
        <v>0.72213586196175972</v>
      </c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</row>
    <row r="15" spans="1:53">
      <c r="A15" t="s">
        <v>230</v>
      </c>
      <c r="B15" s="52">
        <v>2.3680476999999998E-2</v>
      </c>
      <c r="D15" s="35"/>
      <c r="G15" s="8">
        <v>16</v>
      </c>
      <c r="H15" s="8">
        <v>7000</v>
      </c>
      <c r="I15" s="18">
        <v>121.13</v>
      </c>
      <c r="J15" s="11">
        <v>87.81</v>
      </c>
      <c r="K15" s="10">
        <f t="shared" si="0"/>
        <v>0.44994375703037126</v>
      </c>
      <c r="L15" s="10">
        <f t="shared" si="1"/>
        <v>2.3670119270837342E-2</v>
      </c>
      <c r="M15" s="10">
        <f t="shared" si="2"/>
        <v>0.7249236357632296</v>
      </c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7"/>
      <c r="AF15" s="35"/>
      <c r="AG15" s="35"/>
      <c r="AH15" s="35"/>
      <c r="AI15" s="35"/>
      <c r="AJ15" s="35"/>
      <c r="AK15" s="37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</row>
    <row r="16" spans="1:53">
      <c r="B16" s="52">
        <v>2.2389395999999999E-3</v>
      </c>
      <c r="C16" t="s">
        <v>116</v>
      </c>
      <c r="D16" s="35"/>
      <c r="G16" s="8">
        <v>18</v>
      </c>
      <c r="H16" s="8">
        <v>7000</v>
      </c>
      <c r="I16" s="18">
        <v>103.32</v>
      </c>
      <c r="J16" s="11">
        <v>71.44</v>
      </c>
      <c r="K16" s="10">
        <f t="shared" si="0"/>
        <v>0.50618672665916764</v>
      </c>
      <c r="L16" s="10">
        <f t="shared" si="1"/>
        <v>2.0189851589721079E-2</v>
      </c>
      <c r="M16" s="10">
        <f t="shared" si="2"/>
        <v>0.69144405729771585</v>
      </c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7"/>
      <c r="AF16" s="35"/>
      <c r="AG16" s="35"/>
      <c r="AH16" s="35"/>
      <c r="AI16" s="35"/>
      <c r="AJ16" s="35"/>
      <c r="AK16" s="37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</row>
    <row r="17" spans="1:53">
      <c r="B17" s="52">
        <v>-8.2939108999999997E-3</v>
      </c>
      <c r="C17" t="s">
        <v>542</v>
      </c>
      <c r="D17" s="35"/>
      <c r="G17" s="8">
        <v>20</v>
      </c>
      <c r="H17" s="8">
        <v>7000</v>
      </c>
      <c r="I17" s="18">
        <v>81.56</v>
      </c>
      <c r="J17" s="11">
        <v>46.16</v>
      </c>
      <c r="K17" s="10">
        <f>G17/(H17/60*$B$8)</f>
        <v>0.56242969628796413</v>
      </c>
      <c r="L17" s="10">
        <f>I17/(1.225*(H17/60)^3*$B$8^5)</f>
        <v>1.593771095293894E-2</v>
      </c>
      <c r="M17" s="10">
        <f>J17/I17</f>
        <v>0.56596370769985282</v>
      </c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</row>
    <row r="18" spans="1:53">
      <c r="B18" s="52">
        <v>-0.12301036999999999</v>
      </c>
      <c r="C18" t="s">
        <v>543</v>
      </c>
      <c r="D18" s="37"/>
      <c r="G18" s="8">
        <v>21</v>
      </c>
      <c r="H18" s="8">
        <v>7000</v>
      </c>
      <c r="I18" s="18">
        <v>69.099999999999994</v>
      </c>
      <c r="J18" s="11">
        <v>29.93</v>
      </c>
      <c r="K18" s="10">
        <f>G18/(H18/60*$B$8)</f>
        <v>0.59055118110236227</v>
      </c>
      <c r="L18" s="10">
        <f>I18/(1.225*(H18/60)^3*$B$8^5)</f>
        <v>1.3502891452281517E-2</v>
      </c>
      <c r="M18" s="10">
        <f>J18/I18</f>
        <v>0.43314037626628077</v>
      </c>
      <c r="N18" s="37"/>
      <c r="O18" s="37"/>
      <c r="P18" s="37"/>
      <c r="Q18" s="37"/>
      <c r="R18" s="37"/>
      <c r="S18" s="37"/>
      <c r="T18" s="37"/>
      <c r="U18" s="37"/>
      <c r="V18" s="35"/>
      <c r="W18" s="37"/>
      <c r="X18" s="35"/>
      <c r="Y18" s="35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</row>
    <row r="19" spans="1:53">
      <c r="B19" s="52">
        <v>3.1545190000000001E-2</v>
      </c>
      <c r="C19" t="s">
        <v>544</v>
      </c>
      <c r="D19" s="37"/>
      <c r="G19" s="8">
        <v>22</v>
      </c>
      <c r="H19" s="8">
        <v>7000</v>
      </c>
      <c r="I19" s="18">
        <v>55.51</v>
      </c>
      <c r="J19" s="11">
        <v>11.18</v>
      </c>
      <c r="K19" s="10">
        <f>G19/(H19/60*$B$8)</f>
        <v>0.61867266591676051</v>
      </c>
      <c r="L19" s="10">
        <f>I19/(1.225*(H19/60)^3*$B$8^5)</f>
        <v>1.0847257663041203E-2</v>
      </c>
      <c r="M19" s="10">
        <f>J19/I19</f>
        <v>0.20140515222482436</v>
      </c>
      <c r="N19" s="37"/>
      <c r="O19" s="37"/>
      <c r="P19" s="37"/>
      <c r="Q19" s="37"/>
      <c r="R19" s="35"/>
      <c r="S19" s="37"/>
      <c r="T19" s="37"/>
      <c r="U19" s="37"/>
      <c r="V19" s="35"/>
      <c r="W19" s="35"/>
      <c r="X19" s="35"/>
      <c r="Y19" s="35"/>
      <c r="Z19" s="35"/>
      <c r="AA19" s="35"/>
      <c r="AB19" s="37"/>
      <c r="AC19" s="37"/>
      <c r="AD19" s="37"/>
      <c r="AE19" s="37"/>
      <c r="AF19" s="37"/>
      <c r="AG19" s="37"/>
      <c r="AH19" s="37"/>
      <c r="AI19" s="35"/>
      <c r="AJ19" s="35"/>
      <c r="AK19" s="35"/>
      <c r="AL19" s="37"/>
      <c r="AM19" s="37"/>
      <c r="AN19" s="37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</row>
    <row r="20" spans="1:53">
      <c r="B20" s="52">
        <v>0</v>
      </c>
      <c r="C20" t="s">
        <v>545</v>
      </c>
      <c r="D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</row>
    <row r="21" spans="1:53">
      <c r="B21" s="52">
        <v>0</v>
      </c>
      <c r="C21" t="s">
        <v>546</v>
      </c>
      <c r="D21" s="36"/>
      <c r="M21" s="40"/>
      <c r="N21" s="38"/>
      <c r="O21" s="38"/>
      <c r="P21" s="39"/>
      <c r="Q21" s="39"/>
      <c r="R21" s="39"/>
      <c r="S21" s="40"/>
      <c r="T21" s="40"/>
      <c r="U21" s="40"/>
      <c r="V21" s="35"/>
      <c r="W21" s="36"/>
      <c r="X21" s="35"/>
      <c r="Y21" s="35"/>
      <c r="Z21" s="36"/>
      <c r="AA21" s="36"/>
      <c r="AB21" s="36"/>
      <c r="AC21" s="38"/>
      <c r="AD21" s="41"/>
      <c r="AE21" s="40"/>
      <c r="AF21" s="38"/>
      <c r="AG21" s="40"/>
      <c r="AH21" s="40"/>
      <c r="AI21" s="36"/>
      <c r="AJ21" s="36"/>
      <c r="AK21" s="36"/>
      <c r="AL21" s="40"/>
      <c r="AM21" s="40"/>
      <c r="AN21" s="38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</row>
    <row r="22" spans="1:53">
      <c r="A22" s="35"/>
      <c r="B22" s="35"/>
      <c r="C22" s="35"/>
      <c r="D22" s="36"/>
      <c r="M22" s="40"/>
      <c r="N22" s="38"/>
      <c r="O22" s="38"/>
      <c r="P22" s="39"/>
      <c r="Q22" s="39"/>
      <c r="R22" s="39"/>
      <c r="S22" s="40"/>
      <c r="T22" s="40"/>
      <c r="U22" s="40"/>
      <c r="V22" s="35"/>
      <c r="W22" s="36"/>
      <c r="X22" s="35"/>
      <c r="Y22" s="35"/>
      <c r="Z22" s="36"/>
      <c r="AA22" s="36"/>
      <c r="AB22" s="36"/>
      <c r="AC22" s="38"/>
      <c r="AD22" s="41"/>
      <c r="AE22" s="40"/>
      <c r="AF22" s="38"/>
      <c r="AG22" s="40"/>
      <c r="AH22" s="40"/>
      <c r="AI22" s="36"/>
      <c r="AJ22" s="36"/>
      <c r="AK22" s="36"/>
      <c r="AL22" s="40"/>
      <c r="AM22" s="40"/>
      <c r="AN22" s="38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</row>
    <row r="23" spans="1:53">
      <c r="A23" t="s">
        <v>236</v>
      </c>
      <c r="B23" s="52">
        <v>0</v>
      </c>
      <c r="D23" s="36"/>
      <c r="M23" s="40"/>
      <c r="N23" s="38"/>
      <c r="O23" s="38"/>
      <c r="P23" s="39"/>
      <c r="Q23" s="39"/>
      <c r="R23" s="39"/>
      <c r="S23" s="40"/>
      <c r="T23" s="40"/>
      <c r="U23" s="40"/>
      <c r="V23" s="35"/>
      <c r="W23" s="36"/>
      <c r="X23" s="35"/>
      <c r="Y23" s="35"/>
      <c r="Z23" s="36"/>
      <c r="AA23" s="36"/>
      <c r="AB23" s="36"/>
      <c r="AC23" s="38"/>
      <c r="AD23" s="41"/>
      <c r="AE23" s="40"/>
      <c r="AF23" s="38"/>
      <c r="AG23" s="40"/>
      <c r="AH23" s="40"/>
      <c r="AI23" s="36"/>
      <c r="AJ23" s="36"/>
      <c r="AK23" s="36"/>
      <c r="AL23" s="40"/>
      <c r="AM23" s="40"/>
      <c r="AN23" s="38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</row>
    <row r="24" spans="1:53">
      <c r="B24" s="52">
        <v>3.7337273</v>
      </c>
      <c r="C24" t="s">
        <v>116</v>
      </c>
      <c r="D24" s="36"/>
      <c r="E24" s="40"/>
      <c r="M24" s="40"/>
      <c r="N24" s="38"/>
      <c r="O24" s="38"/>
      <c r="P24" s="39"/>
      <c r="Q24" s="39"/>
      <c r="R24" s="39"/>
      <c r="S24" s="40"/>
      <c r="T24" s="40"/>
      <c r="U24" s="40"/>
      <c r="V24" s="35"/>
      <c r="W24" s="36"/>
      <c r="X24" s="35"/>
      <c r="Y24" s="35"/>
      <c r="Z24" s="36"/>
      <c r="AA24" s="36"/>
      <c r="AB24" s="36"/>
      <c r="AC24" s="38"/>
      <c r="AD24" s="41"/>
      <c r="AE24" s="40"/>
      <c r="AF24" s="38"/>
      <c r="AG24" s="40"/>
      <c r="AH24" s="40"/>
      <c r="AI24" s="36"/>
      <c r="AJ24" s="36"/>
      <c r="AK24" s="36"/>
      <c r="AL24" s="40"/>
      <c r="AM24" s="40"/>
      <c r="AN24" s="38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</row>
    <row r="25" spans="1:53">
      <c r="B25" s="52">
        <v>-11.92845</v>
      </c>
      <c r="C25" t="s">
        <v>542</v>
      </c>
      <c r="D25" s="36"/>
      <c r="E25" s="40"/>
      <c r="M25" s="40"/>
      <c r="N25" s="38"/>
      <c r="O25" s="38"/>
      <c r="P25" s="39"/>
      <c r="Q25" s="39"/>
      <c r="R25" s="39"/>
      <c r="S25" s="40"/>
      <c r="T25" s="40"/>
      <c r="U25" s="40"/>
      <c r="V25" s="35"/>
      <c r="W25" s="36"/>
      <c r="X25" s="35"/>
      <c r="Y25" s="35"/>
      <c r="Z25" s="36"/>
      <c r="AA25" s="36"/>
      <c r="AB25" s="36"/>
      <c r="AC25" s="38"/>
      <c r="AD25" s="41"/>
      <c r="AE25" s="40"/>
      <c r="AF25" s="38"/>
      <c r="AG25" s="40"/>
      <c r="AH25" s="40"/>
      <c r="AI25" s="36"/>
      <c r="AJ25" s="36"/>
      <c r="AK25" s="36"/>
      <c r="AL25" s="40"/>
      <c r="AM25" s="40"/>
      <c r="AN25" s="38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</row>
    <row r="26" spans="1:53">
      <c r="B26" s="52">
        <v>74.091875999999999</v>
      </c>
      <c r="C26" t="s">
        <v>543</v>
      </c>
      <c r="D26" s="36"/>
      <c r="E26" s="40"/>
      <c r="M26" s="40"/>
      <c r="N26" s="38"/>
      <c r="O26" s="38"/>
      <c r="P26" s="39"/>
      <c r="Q26" s="39"/>
      <c r="R26" s="39"/>
      <c r="S26" s="40"/>
      <c r="T26" s="40"/>
      <c r="U26" s="40"/>
      <c r="V26" s="35"/>
      <c r="W26" s="36"/>
      <c r="X26" s="35"/>
      <c r="Y26" s="35"/>
      <c r="Z26" s="36"/>
      <c r="AA26" s="36"/>
      <c r="AB26" s="36"/>
      <c r="AC26" s="38"/>
      <c r="AD26" s="41"/>
      <c r="AE26" s="40"/>
      <c r="AF26" s="38"/>
      <c r="AG26" s="40"/>
      <c r="AH26" s="40"/>
      <c r="AI26" s="36"/>
      <c r="AJ26" s="36"/>
      <c r="AK26" s="36"/>
      <c r="AL26" s="40"/>
      <c r="AM26" s="40"/>
      <c r="AN26" s="38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</row>
    <row r="27" spans="1:53">
      <c r="B27" s="52">
        <v>-326.36234999999999</v>
      </c>
      <c r="C27" t="s">
        <v>544</v>
      </c>
      <c r="D27" s="36"/>
      <c r="E27" s="40"/>
      <c r="M27" s="40"/>
      <c r="N27" s="38"/>
      <c r="O27" s="38"/>
      <c r="P27" s="39"/>
      <c r="Q27" s="39"/>
      <c r="R27" s="39"/>
      <c r="S27" s="40"/>
      <c r="T27" s="40"/>
      <c r="U27" s="40"/>
      <c r="V27" s="35"/>
      <c r="W27" s="36"/>
      <c r="X27" s="35"/>
      <c r="Y27" s="35"/>
      <c r="Z27" s="36"/>
      <c r="AA27" s="36"/>
      <c r="AB27" s="36"/>
      <c r="AC27" s="38"/>
      <c r="AD27" s="41"/>
      <c r="AE27" s="40"/>
      <c r="AF27" s="38"/>
      <c r="AG27" s="40"/>
      <c r="AH27" s="40"/>
      <c r="AI27" s="36"/>
      <c r="AJ27" s="36"/>
      <c r="AK27" s="36"/>
      <c r="AL27" s="40"/>
      <c r="AM27" s="40"/>
      <c r="AN27" s="38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</row>
    <row r="28" spans="1:53">
      <c r="B28" s="52">
        <v>673.94340999999997</v>
      </c>
      <c r="C28" t="s">
        <v>545</v>
      </c>
      <c r="D28" s="36"/>
      <c r="E28" s="40"/>
      <c r="M28" s="40"/>
      <c r="N28" s="38"/>
      <c r="O28" s="38"/>
      <c r="P28" s="39"/>
      <c r="Q28" s="39"/>
      <c r="R28" s="39"/>
      <c r="S28" s="40"/>
      <c r="T28" s="40"/>
      <c r="U28" s="40"/>
      <c r="V28" s="35"/>
      <c r="W28" s="36"/>
      <c r="X28" s="35"/>
      <c r="Y28" s="35"/>
      <c r="Z28" s="36"/>
      <c r="AA28" s="36"/>
      <c r="AB28" s="36"/>
      <c r="AC28" s="38"/>
      <c r="AD28" s="41"/>
      <c r="AE28" s="40"/>
      <c r="AF28" s="38"/>
      <c r="AG28" s="40"/>
      <c r="AH28" s="40"/>
      <c r="AI28" s="36"/>
      <c r="AJ28" s="36"/>
      <c r="AK28" s="36"/>
      <c r="AL28" s="40"/>
      <c r="AM28" s="40"/>
      <c r="AN28" s="38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</row>
    <row r="29" spans="1:53">
      <c r="B29" s="52">
        <v>-530.95231999999999</v>
      </c>
      <c r="C29" t="s">
        <v>546</v>
      </c>
      <c r="D29" s="36"/>
      <c r="E29" s="40"/>
      <c r="F29" s="36"/>
      <c r="G29" s="40"/>
      <c r="H29" s="39"/>
      <c r="I29" s="38"/>
      <c r="J29" s="40"/>
      <c r="K29" s="38"/>
      <c r="L29" s="40"/>
      <c r="M29" s="40"/>
      <c r="N29" s="38"/>
      <c r="O29" s="38"/>
      <c r="P29" s="39"/>
      <c r="Q29" s="39"/>
      <c r="R29" s="39"/>
      <c r="S29" s="40"/>
      <c r="T29" s="40"/>
      <c r="U29" s="40"/>
      <c r="V29" s="35"/>
      <c r="W29" s="36"/>
      <c r="X29" s="35"/>
      <c r="Y29" s="35"/>
      <c r="Z29" s="36"/>
      <c r="AA29" s="36"/>
      <c r="AB29" s="36"/>
      <c r="AC29" s="38"/>
      <c r="AD29" s="41"/>
      <c r="AE29" s="40"/>
      <c r="AF29" s="38"/>
      <c r="AG29" s="40"/>
      <c r="AH29" s="40"/>
      <c r="AI29" s="36"/>
      <c r="AJ29" s="36"/>
      <c r="AK29" s="36"/>
      <c r="AL29" s="40"/>
      <c r="AM29" s="40"/>
      <c r="AN29" s="38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</row>
    <row r="30" spans="1:53">
      <c r="A30" s="35"/>
      <c r="B30" s="36"/>
      <c r="C30" s="35"/>
      <c r="D30" s="36"/>
      <c r="E30" s="40"/>
      <c r="F30" s="36"/>
      <c r="G30" s="40"/>
      <c r="H30" s="39"/>
      <c r="I30" s="38"/>
      <c r="J30" s="40"/>
      <c r="K30" s="38"/>
      <c r="L30" s="40"/>
      <c r="M30" s="40"/>
      <c r="N30" s="38"/>
      <c r="O30" s="38"/>
      <c r="P30" s="39"/>
      <c r="Q30" s="39"/>
      <c r="R30" s="39"/>
      <c r="S30" s="40"/>
      <c r="T30" s="40"/>
      <c r="U30" s="40"/>
      <c r="V30" s="35"/>
      <c r="W30" s="36"/>
      <c r="X30" s="35"/>
      <c r="Y30" s="35"/>
      <c r="Z30" s="36"/>
      <c r="AA30" s="36"/>
      <c r="AB30" s="36"/>
      <c r="AC30" s="38"/>
      <c r="AD30" s="41"/>
      <c r="AE30" s="40"/>
      <c r="AF30" s="38"/>
      <c r="AG30" s="40"/>
      <c r="AH30" s="40"/>
      <c r="AI30" s="36"/>
      <c r="AJ30" s="36"/>
      <c r="AK30" s="36"/>
      <c r="AL30" s="40"/>
      <c r="AM30" s="40"/>
      <c r="AN30" s="38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</row>
    <row r="31" spans="1:53">
      <c r="A31" t="s">
        <v>230</v>
      </c>
      <c r="B31" s="52">
        <v>3.256833E-2</v>
      </c>
      <c r="D31" s="36"/>
      <c r="E31" s="40"/>
      <c r="F31" s="36"/>
      <c r="G31" s="40"/>
      <c r="H31" s="39"/>
      <c r="I31" s="38"/>
      <c r="J31" s="40"/>
      <c r="K31" s="38"/>
      <c r="L31" s="40"/>
      <c r="M31" s="40"/>
      <c r="N31" s="38"/>
      <c r="O31" s="38"/>
      <c r="P31" s="39"/>
      <c r="Q31" s="39"/>
      <c r="R31" s="39"/>
      <c r="S31" s="40"/>
      <c r="T31" s="40"/>
      <c r="U31" s="40"/>
      <c r="V31" s="35"/>
      <c r="W31" s="36"/>
      <c r="X31" s="35"/>
      <c r="Y31" s="35"/>
      <c r="Z31" s="36"/>
      <c r="AA31" s="36"/>
      <c r="AB31" s="36"/>
      <c r="AC31" s="38"/>
      <c r="AD31" s="41"/>
      <c r="AE31" s="40"/>
      <c r="AF31" s="38"/>
      <c r="AG31" s="40"/>
      <c r="AH31" s="40"/>
      <c r="AI31" s="36"/>
      <c r="AJ31" s="36"/>
      <c r="AK31" s="36"/>
      <c r="AL31" s="40"/>
      <c r="AM31" s="40"/>
      <c r="AN31" s="38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</row>
    <row r="32" spans="1:53">
      <c r="B32" s="52">
        <v>5.0329719999999995E-4</v>
      </c>
      <c r="C32" t="s">
        <v>116</v>
      </c>
      <c r="D32" s="36"/>
      <c r="E32" s="40"/>
      <c r="F32" s="36"/>
      <c r="G32" s="40"/>
      <c r="H32" s="39"/>
      <c r="I32" s="38"/>
      <c r="J32" s="40"/>
      <c r="K32" s="38"/>
      <c r="L32" s="40"/>
      <c r="M32" s="40"/>
      <c r="N32" s="38"/>
      <c r="O32" s="38"/>
      <c r="P32" s="39"/>
      <c r="Q32" s="39"/>
      <c r="R32" s="39"/>
      <c r="S32" s="40"/>
      <c r="T32" s="40"/>
      <c r="U32" s="40"/>
      <c r="V32" s="35"/>
      <c r="W32" s="36"/>
      <c r="X32" s="35"/>
      <c r="Y32" s="35"/>
      <c r="Z32" s="36"/>
      <c r="AA32" s="36"/>
      <c r="AB32" s="36"/>
      <c r="AC32" s="38"/>
      <c r="AD32" s="41"/>
      <c r="AE32" s="40"/>
      <c r="AF32" s="38"/>
      <c r="AG32" s="40"/>
      <c r="AH32" s="40"/>
      <c r="AI32" s="36"/>
      <c r="AJ32" s="36"/>
      <c r="AK32" s="36"/>
      <c r="AL32" s="40"/>
      <c r="AM32" s="40"/>
      <c r="AN32" s="38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</row>
    <row r="33" spans="1:53">
      <c r="B33" s="52">
        <v>-8.4503643000000007E-3</v>
      </c>
      <c r="C33" t="s">
        <v>231</v>
      </c>
      <c r="D33" s="36"/>
      <c r="E33" s="40"/>
      <c r="F33" s="36"/>
      <c r="G33" s="40"/>
      <c r="H33" s="39"/>
      <c r="I33" s="38"/>
      <c r="J33" s="40"/>
      <c r="K33" s="38"/>
      <c r="L33" s="40"/>
      <c r="M33" s="40"/>
      <c r="N33" s="38"/>
      <c r="O33" s="38"/>
      <c r="P33" s="39"/>
      <c r="Q33" s="39"/>
      <c r="R33" s="39"/>
      <c r="S33" s="40"/>
      <c r="T33" s="40"/>
      <c r="U33" s="40"/>
      <c r="V33" s="35"/>
      <c r="W33" s="36"/>
      <c r="X33" s="35"/>
      <c r="Y33" s="35"/>
      <c r="Z33" s="36"/>
      <c r="AA33" s="36"/>
      <c r="AB33" s="36"/>
      <c r="AC33" s="38"/>
      <c r="AD33" s="41"/>
      <c r="AE33" s="40"/>
      <c r="AF33" s="38"/>
      <c r="AG33" s="40"/>
      <c r="AH33" s="40"/>
      <c r="AI33" s="36"/>
      <c r="AJ33" s="36"/>
      <c r="AK33" s="36"/>
      <c r="AL33" s="40"/>
      <c r="AM33" s="40"/>
      <c r="AN33" s="38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</row>
    <row r="34" spans="1:53">
      <c r="B34" s="52">
        <v>-8.6743539999999994E-2</v>
      </c>
      <c r="C34" t="s">
        <v>232</v>
      </c>
      <c r="D34" s="36"/>
      <c r="E34" s="40"/>
      <c r="F34" s="36"/>
      <c r="G34" s="40"/>
      <c r="H34" s="39"/>
      <c r="I34" s="38"/>
      <c r="J34" s="40"/>
      <c r="K34" s="38"/>
      <c r="L34" s="40"/>
      <c r="M34" s="40"/>
      <c r="N34" s="38"/>
      <c r="O34" s="38"/>
      <c r="P34" s="39"/>
      <c r="Q34" s="39"/>
      <c r="R34" s="39"/>
      <c r="S34" s="40"/>
      <c r="T34" s="40"/>
      <c r="U34" s="40"/>
      <c r="V34" s="35"/>
      <c r="W34" s="36"/>
      <c r="X34" s="35"/>
      <c r="Y34" s="35"/>
      <c r="Z34" s="36"/>
      <c r="AA34" s="36"/>
      <c r="AB34" s="36"/>
      <c r="AC34" s="38"/>
      <c r="AD34" s="41"/>
      <c r="AE34" s="40"/>
      <c r="AF34" s="38"/>
      <c r="AG34" s="40"/>
      <c r="AH34" s="40"/>
      <c r="AI34" s="36"/>
      <c r="AJ34" s="36"/>
      <c r="AK34" s="36"/>
      <c r="AL34" s="40"/>
      <c r="AM34" s="40"/>
      <c r="AN34" s="38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</row>
    <row r="35" spans="1:53">
      <c r="B35" s="52">
        <v>1.1906995E-2</v>
      </c>
      <c r="C35" t="s">
        <v>233</v>
      </c>
      <c r="D35" s="36"/>
      <c r="E35" s="40"/>
      <c r="F35" s="36"/>
      <c r="G35" s="40"/>
      <c r="H35" s="39"/>
      <c r="I35" s="38"/>
      <c r="J35" s="40"/>
      <c r="K35" s="38"/>
      <c r="L35" s="40"/>
      <c r="M35" s="40"/>
      <c r="N35" s="38"/>
      <c r="O35" s="38"/>
      <c r="P35" s="39"/>
      <c r="Q35" s="39"/>
      <c r="R35" s="39"/>
      <c r="S35" s="40"/>
      <c r="T35" s="40"/>
      <c r="U35" s="40"/>
      <c r="V35" s="35"/>
      <c r="W35" s="36"/>
      <c r="X35" s="35"/>
      <c r="Y35" s="35"/>
      <c r="Z35" s="36"/>
      <c r="AA35" s="36"/>
      <c r="AB35" s="36"/>
      <c r="AC35" s="38"/>
      <c r="AD35" s="41"/>
      <c r="AE35" s="40"/>
      <c r="AF35" s="38"/>
      <c r="AG35" s="40"/>
      <c r="AH35" s="40"/>
      <c r="AI35" s="36"/>
      <c r="AJ35" s="36"/>
      <c r="AK35" s="36"/>
      <c r="AL35" s="40"/>
      <c r="AM35" s="40"/>
      <c r="AN35" s="38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</row>
    <row r="36" spans="1:53">
      <c r="B36" s="52">
        <v>0</v>
      </c>
      <c r="C36" t="s">
        <v>234</v>
      </c>
      <c r="D36" s="36"/>
      <c r="E36" s="40"/>
      <c r="F36" s="36"/>
      <c r="G36" s="40"/>
      <c r="H36" s="39"/>
      <c r="I36" s="38"/>
      <c r="J36" s="40"/>
      <c r="K36" s="38"/>
      <c r="L36" s="40"/>
      <c r="M36" s="40"/>
      <c r="N36" s="38"/>
      <c r="O36" s="38"/>
      <c r="P36" s="39"/>
      <c r="Q36" s="39"/>
      <c r="R36" s="39"/>
      <c r="S36" s="40"/>
      <c r="T36" s="40"/>
      <c r="U36" s="40"/>
      <c r="V36" s="35"/>
      <c r="W36" s="36"/>
      <c r="X36" s="35"/>
      <c r="Y36" s="35"/>
      <c r="Z36" s="36"/>
      <c r="AA36" s="36"/>
      <c r="AB36" s="36"/>
      <c r="AC36" s="38"/>
      <c r="AD36" s="41"/>
      <c r="AE36" s="40"/>
      <c r="AF36" s="38"/>
      <c r="AG36" s="40"/>
      <c r="AH36" s="40"/>
      <c r="AI36" s="36"/>
      <c r="AJ36" s="36"/>
      <c r="AK36" s="36"/>
      <c r="AL36" s="40"/>
      <c r="AM36" s="40"/>
      <c r="AN36" s="38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</row>
    <row r="37" spans="1:53">
      <c r="B37" s="52">
        <v>0</v>
      </c>
      <c r="C37" t="s">
        <v>235</v>
      </c>
      <c r="D37" s="36"/>
      <c r="E37" s="40"/>
      <c r="F37" s="36"/>
      <c r="G37" s="40"/>
      <c r="H37" s="39"/>
      <c r="I37" s="38"/>
      <c r="J37" s="40"/>
      <c r="K37" s="38"/>
      <c r="L37" s="40"/>
      <c r="M37" s="40"/>
      <c r="N37" s="38"/>
      <c r="O37" s="38"/>
      <c r="P37" s="39"/>
      <c r="Q37" s="39"/>
      <c r="R37" s="39"/>
      <c r="S37" s="40"/>
      <c r="T37" s="40"/>
      <c r="U37" s="40"/>
      <c r="V37" s="35"/>
      <c r="W37" s="36"/>
      <c r="X37" s="35"/>
      <c r="Y37" s="35"/>
      <c r="Z37" s="36"/>
      <c r="AA37" s="36"/>
      <c r="AB37" s="36"/>
      <c r="AC37" s="38"/>
      <c r="AD37" s="41"/>
      <c r="AE37" s="40"/>
      <c r="AF37" s="38"/>
      <c r="AG37" s="40"/>
      <c r="AH37" s="40"/>
      <c r="AI37" s="36"/>
      <c r="AJ37" s="36"/>
      <c r="AK37" s="36"/>
      <c r="AL37" s="40"/>
      <c r="AM37" s="40"/>
      <c r="AN37" s="38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</row>
    <row r="38" spans="1:53">
      <c r="A38" s="35"/>
      <c r="B38" s="35"/>
      <c r="C38" s="35"/>
      <c r="D38" s="36"/>
      <c r="E38" s="40"/>
      <c r="F38" s="36"/>
      <c r="G38" s="40"/>
      <c r="H38" s="39"/>
      <c r="I38" s="38"/>
      <c r="J38" s="40"/>
      <c r="K38" s="38"/>
      <c r="L38" s="40"/>
      <c r="M38" s="40"/>
      <c r="N38" s="38"/>
      <c r="O38" s="38"/>
      <c r="P38" s="39"/>
      <c r="Q38" s="39"/>
      <c r="R38" s="39"/>
      <c r="S38" s="40"/>
      <c r="T38" s="40"/>
      <c r="U38" s="40"/>
      <c r="V38" s="35"/>
      <c r="W38" s="36"/>
      <c r="X38" s="35"/>
      <c r="Y38" s="35"/>
      <c r="Z38" s="36"/>
      <c r="AA38" s="36"/>
      <c r="AB38" s="36"/>
      <c r="AC38" s="38"/>
      <c r="AD38" s="41"/>
      <c r="AE38" s="40"/>
      <c r="AF38" s="38"/>
      <c r="AG38" s="40"/>
      <c r="AH38" s="40"/>
      <c r="AI38" s="36"/>
      <c r="AJ38" s="36"/>
      <c r="AK38" s="36"/>
      <c r="AL38" s="40"/>
      <c r="AM38" s="40"/>
      <c r="AN38" s="38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</row>
    <row r="39" spans="1:53">
      <c r="A39" t="s">
        <v>236</v>
      </c>
      <c r="B39" s="52">
        <v>0</v>
      </c>
      <c r="D39" s="36"/>
      <c r="E39" s="40"/>
      <c r="F39" s="36"/>
      <c r="G39" s="40"/>
      <c r="H39" s="39"/>
      <c r="I39" s="38"/>
      <c r="J39" s="40"/>
      <c r="K39" s="38"/>
      <c r="L39" s="40"/>
      <c r="M39" s="40"/>
      <c r="N39" s="38"/>
      <c r="O39" s="38"/>
      <c r="P39" s="39"/>
      <c r="Q39" s="39"/>
      <c r="R39" s="39"/>
      <c r="S39" s="40"/>
      <c r="T39" s="40"/>
      <c r="U39" s="40"/>
      <c r="V39" s="35"/>
      <c r="W39" s="36"/>
      <c r="X39" s="35"/>
      <c r="Y39" s="35"/>
      <c r="Z39" s="36"/>
      <c r="AA39" s="36"/>
      <c r="AB39" s="36"/>
      <c r="AC39" s="38"/>
      <c r="AD39" s="41"/>
      <c r="AE39" s="40"/>
      <c r="AF39" s="38"/>
      <c r="AG39" s="40"/>
      <c r="AH39" s="40"/>
      <c r="AI39" s="36"/>
      <c r="AJ39" s="36"/>
      <c r="AK39" s="36"/>
      <c r="AL39" s="40"/>
      <c r="AM39" s="40"/>
      <c r="AN39" s="38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</row>
    <row r="40" spans="1:53">
      <c r="B40" s="52">
        <v>2.8614575000000002</v>
      </c>
      <c r="C40" t="s">
        <v>116</v>
      </c>
      <c r="D40" s="36"/>
      <c r="E40" s="40"/>
      <c r="F40" s="36"/>
      <c r="G40" s="40"/>
      <c r="H40" s="39"/>
      <c r="I40" s="38"/>
      <c r="J40" s="40"/>
      <c r="K40" s="38"/>
      <c r="L40" s="40"/>
      <c r="M40" s="40"/>
      <c r="N40" s="38"/>
      <c r="O40" s="38"/>
      <c r="P40" s="39"/>
      <c r="Q40" s="39"/>
      <c r="R40" s="39"/>
      <c r="S40" s="40"/>
      <c r="T40" s="40"/>
      <c r="U40" s="40"/>
      <c r="V40" s="35"/>
      <c r="W40" s="36"/>
      <c r="X40" s="35"/>
      <c r="Y40" s="35"/>
      <c r="Z40" s="36"/>
      <c r="AA40" s="36"/>
      <c r="AB40" s="36"/>
      <c r="AC40" s="38"/>
      <c r="AD40" s="41"/>
      <c r="AE40" s="40"/>
      <c r="AF40" s="38"/>
      <c r="AG40" s="40"/>
      <c r="AH40" s="40"/>
      <c r="AI40" s="36"/>
      <c r="AJ40" s="36"/>
      <c r="AK40" s="36"/>
      <c r="AL40" s="40"/>
      <c r="AM40" s="40"/>
      <c r="AN40" s="38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</row>
    <row r="41" spans="1:53">
      <c r="B41" s="52">
        <v>-8.7585204000000001</v>
      </c>
      <c r="C41" t="s">
        <v>231</v>
      </c>
      <c r="D41" s="36"/>
      <c r="E41" s="40"/>
      <c r="F41" s="36"/>
      <c r="G41" s="40"/>
      <c r="H41" s="39"/>
      <c r="I41" s="40"/>
      <c r="J41" s="38"/>
      <c r="K41" s="40"/>
      <c r="L41" s="40"/>
      <c r="M41" s="38"/>
      <c r="N41" s="38"/>
      <c r="O41" s="39"/>
      <c r="P41" s="39"/>
      <c r="Q41" s="39"/>
      <c r="R41" s="40"/>
      <c r="S41" s="40"/>
      <c r="T41" s="40"/>
      <c r="U41" s="35"/>
      <c r="V41" s="36"/>
      <c r="W41" s="35"/>
      <c r="X41" s="35"/>
      <c r="Y41" s="35"/>
      <c r="Z41" s="36"/>
      <c r="AA41" s="36"/>
      <c r="AB41" s="36"/>
      <c r="AC41" s="38"/>
      <c r="AD41" s="41"/>
      <c r="AE41" s="40"/>
      <c r="AF41" s="38"/>
      <c r="AG41" s="40"/>
      <c r="AH41" s="40"/>
      <c r="AI41" s="36"/>
      <c r="AJ41" s="36"/>
      <c r="AK41" s="36"/>
      <c r="AL41" s="40"/>
      <c r="AM41" s="40"/>
      <c r="AN41" s="38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</row>
    <row r="42" spans="1:53">
      <c r="B42" s="52">
        <v>67.054867000000002</v>
      </c>
      <c r="C42" t="s">
        <v>232</v>
      </c>
      <c r="D42" s="36"/>
      <c r="E42" s="40"/>
      <c r="F42" s="36"/>
      <c r="G42" s="40"/>
      <c r="H42" s="39"/>
      <c r="I42" s="40"/>
      <c r="J42" s="38"/>
      <c r="K42" s="40"/>
      <c r="L42" s="40"/>
      <c r="M42" s="38"/>
      <c r="N42" s="38"/>
      <c r="O42" s="39"/>
      <c r="P42" s="39"/>
      <c r="Q42" s="39"/>
      <c r="R42" s="40"/>
      <c r="S42" s="40"/>
      <c r="T42" s="40"/>
      <c r="U42" s="35"/>
      <c r="V42" s="36"/>
      <c r="W42" s="35"/>
      <c r="X42" s="35"/>
      <c r="Y42" s="35"/>
      <c r="Z42" s="36"/>
      <c r="AA42" s="36"/>
      <c r="AB42" s="36"/>
      <c r="AC42" s="38"/>
      <c r="AD42" s="41"/>
      <c r="AE42" s="40"/>
      <c r="AF42" s="38"/>
      <c r="AG42" s="40"/>
      <c r="AH42" s="40"/>
      <c r="AI42" s="36"/>
      <c r="AJ42" s="36"/>
      <c r="AK42" s="36"/>
      <c r="AL42" s="40"/>
      <c r="AM42" s="40"/>
      <c r="AN42" s="38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</row>
    <row r="43" spans="1:53">
      <c r="B43" s="52">
        <v>-270.40703999999999</v>
      </c>
      <c r="C43" t="s">
        <v>233</v>
      </c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6"/>
      <c r="AA43" s="36"/>
      <c r="AB43" s="36"/>
      <c r="AC43" s="38"/>
      <c r="AD43" s="41"/>
      <c r="AE43" s="40"/>
      <c r="AF43" s="38"/>
      <c r="AG43" s="40"/>
      <c r="AH43" s="40"/>
      <c r="AI43" s="36"/>
      <c r="AJ43" s="36"/>
      <c r="AK43" s="36"/>
      <c r="AL43" s="40"/>
      <c r="AM43" s="40"/>
      <c r="AN43" s="38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</row>
    <row r="44" spans="1:53">
      <c r="B44" s="52">
        <v>478.67766999999998</v>
      </c>
      <c r="C44" t="s">
        <v>234</v>
      </c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6"/>
      <c r="AA44" s="36"/>
      <c r="AB44" s="36"/>
      <c r="AC44" s="38"/>
      <c r="AD44" s="41"/>
      <c r="AE44" s="40"/>
      <c r="AF44" s="38"/>
      <c r="AG44" s="40"/>
      <c r="AH44" s="40"/>
      <c r="AI44" s="36"/>
      <c r="AJ44" s="36"/>
      <c r="AK44" s="36"/>
      <c r="AL44" s="40"/>
      <c r="AM44" s="40"/>
      <c r="AN44" s="38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</row>
    <row r="45" spans="1:53">
      <c r="B45" s="52">
        <v>-318.55277999999998</v>
      </c>
      <c r="C45" t="s">
        <v>235</v>
      </c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6"/>
      <c r="AA45" s="36"/>
      <c r="AB45" s="36"/>
      <c r="AC45" s="38"/>
      <c r="AD45" s="41"/>
      <c r="AE45" s="40"/>
      <c r="AF45" s="38"/>
      <c r="AG45" s="40"/>
      <c r="AH45" s="40"/>
      <c r="AI45" s="36"/>
      <c r="AJ45" s="36"/>
      <c r="AK45" s="36"/>
      <c r="AL45" s="40"/>
      <c r="AM45" s="40"/>
      <c r="AN45" s="38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</row>
    <row r="46" spans="1:53">
      <c r="A46" s="35"/>
      <c r="B46" s="36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6"/>
      <c r="AA46" s="36"/>
      <c r="AB46" s="36"/>
      <c r="AC46" s="38"/>
      <c r="AD46" s="41"/>
      <c r="AE46" s="40"/>
      <c r="AF46" s="38"/>
      <c r="AG46" s="40"/>
      <c r="AH46" s="40"/>
      <c r="AI46" s="36"/>
      <c r="AJ46" s="36"/>
      <c r="AK46" s="36"/>
      <c r="AL46" s="40"/>
      <c r="AM46" s="40"/>
      <c r="AN46" s="38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</row>
    <row r="47" spans="1:53">
      <c r="A47" s="35"/>
      <c r="B47" s="36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6"/>
      <c r="AA47" s="36"/>
      <c r="AB47" s="36"/>
      <c r="AC47" s="38"/>
      <c r="AD47" s="41"/>
      <c r="AE47" s="40"/>
      <c r="AF47" s="38"/>
      <c r="AG47" s="40"/>
      <c r="AH47" s="40"/>
      <c r="AI47" s="36"/>
      <c r="AJ47" s="36"/>
      <c r="AK47" s="36"/>
      <c r="AL47" s="40"/>
      <c r="AM47" s="40"/>
      <c r="AN47" s="38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</row>
    <row r="48" spans="1:53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6"/>
      <c r="AA48" s="36"/>
      <c r="AB48" s="36"/>
      <c r="AC48" s="38"/>
      <c r="AD48" s="41"/>
      <c r="AE48" s="40"/>
      <c r="AF48" s="38"/>
      <c r="AG48" s="40"/>
      <c r="AH48" s="40"/>
      <c r="AI48" s="36"/>
      <c r="AJ48" s="36"/>
      <c r="AK48" s="36"/>
      <c r="AL48" s="40"/>
      <c r="AM48" s="40"/>
      <c r="AN48" s="38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</row>
    <row r="49" spans="1:53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6"/>
      <c r="AA49" s="36"/>
      <c r="AB49" s="36"/>
      <c r="AC49" s="38"/>
      <c r="AD49" s="41"/>
      <c r="AE49" s="40"/>
      <c r="AF49" s="38"/>
      <c r="AG49" s="40"/>
      <c r="AH49" s="40"/>
      <c r="AI49" s="36"/>
      <c r="AJ49" s="36"/>
      <c r="AK49" s="36"/>
      <c r="AL49" s="40"/>
      <c r="AM49" s="40"/>
      <c r="AN49" s="38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</row>
    <row r="50" spans="1:53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6"/>
      <c r="AA50" s="36"/>
      <c r="AB50" s="36"/>
      <c r="AC50" s="38"/>
      <c r="AD50" s="41"/>
      <c r="AE50" s="40"/>
      <c r="AF50" s="38"/>
      <c r="AG50" s="40"/>
      <c r="AH50" s="40"/>
      <c r="AI50" s="36"/>
      <c r="AJ50" s="36"/>
      <c r="AK50" s="36"/>
      <c r="AL50" s="40"/>
      <c r="AM50" s="40"/>
      <c r="AN50" s="38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</row>
    <row r="51" spans="1:53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6"/>
      <c r="AA51" s="36"/>
      <c r="AB51" s="36"/>
      <c r="AC51" s="38"/>
      <c r="AD51" s="41"/>
      <c r="AE51" s="40"/>
      <c r="AF51" s="38"/>
      <c r="AG51" s="40"/>
      <c r="AH51" s="40"/>
      <c r="AI51" s="36"/>
      <c r="AJ51" s="36"/>
      <c r="AK51" s="36"/>
      <c r="AL51" s="40"/>
      <c r="AM51" s="40"/>
      <c r="AN51" s="38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</row>
    <row r="52" spans="1:53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6"/>
      <c r="AA52" s="36"/>
      <c r="AB52" s="36"/>
      <c r="AC52" s="38"/>
      <c r="AD52" s="41"/>
      <c r="AE52" s="40"/>
      <c r="AF52" s="38"/>
      <c r="AG52" s="40"/>
      <c r="AH52" s="40"/>
      <c r="AI52" s="36"/>
      <c r="AJ52" s="36"/>
      <c r="AK52" s="36"/>
      <c r="AL52" s="40"/>
      <c r="AM52" s="40"/>
      <c r="AN52" s="38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</row>
    <row r="53" spans="1:53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6"/>
      <c r="AA53" s="36"/>
      <c r="AB53" s="36"/>
      <c r="AC53" s="38"/>
      <c r="AD53" s="41"/>
      <c r="AE53" s="40"/>
      <c r="AF53" s="38"/>
      <c r="AG53" s="40"/>
      <c r="AH53" s="40"/>
      <c r="AI53" s="36"/>
      <c r="AJ53" s="36"/>
      <c r="AK53" s="36"/>
      <c r="AL53" s="40"/>
      <c r="AM53" s="40"/>
      <c r="AN53" s="38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</row>
    <row r="54" spans="1:53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6"/>
      <c r="AA54" s="36"/>
      <c r="AB54" s="36"/>
      <c r="AC54" s="38"/>
      <c r="AD54" s="41"/>
      <c r="AE54" s="40"/>
      <c r="AF54" s="38"/>
      <c r="AG54" s="40"/>
      <c r="AH54" s="40"/>
      <c r="AI54" s="36"/>
      <c r="AJ54" s="36"/>
      <c r="AK54" s="36"/>
      <c r="AL54" s="40"/>
      <c r="AM54" s="40"/>
      <c r="AN54" s="38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</row>
    <row r="55" spans="1:53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6"/>
      <c r="AA55" s="36"/>
      <c r="AB55" s="36"/>
      <c r="AC55" s="38"/>
      <c r="AD55" s="41"/>
      <c r="AE55" s="40"/>
      <c r="AF55" s="38"/>
      <c r="AG55" s="40"/>
      <c r="AH55" s="40"/>
      <c r="AI55" s="36"/>
      <c r="AJ55" s="36"/>
      <c r="AK55" s="36"/>
      <c r="AL55" s="40"/>
      <c r="AM55" s="40"/>
      <c r="AN55" s="38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</row>
    <row r="56" spans="1:53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</row>
    <row r="57" spans="1:53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</row>
    <row r="58" spans="1:53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</row>
    <row r="59" spans="1:53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</row>
    <row r="60" spans="1:53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</row>
    <row r="61" spans="1:53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</row>
    <row r="62" spans="1:53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</row>
    <row r="63" spans="1:53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</row>
    <row r="64" spans="1:53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</row>
    <row r="65" spans="1:53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</row>
    <row r="66" spans="1:53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</row>
    <row r="67" spans="1:53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</row>
    <row r="68" spans="1:53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</row>
    <row r="69" spans="1:53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</row>
    <row r="70" spans="1:53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</row>
    <row r="71" spans="1:53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</row>
    <row r="72" spans="1:53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</row>
    <row r="73" spans="1:53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</row>
    <row r="74" spans="1:53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</row>
    <row r="75" spans="1:53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</row>
    <row r="76" spans="1:53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</row>
    <row r="77" spans="1:53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</row>
    <row r="78" spans="1:53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</row>
    <row r="79" spans="1:53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</row>
    <row r="80" spans="1:53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</row>
    <row r="81" spans="1:53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</row>
    <row r="82" spans="1:53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</row>
    <row r="83" spans="1:53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</row>
    <row r="84" spans="1:53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</row>
    <row r="85" spans="1:53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</row>
    <row r="86" spans="1:53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</row>
    <row r="87" spans="1:53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</row>
    <row r="88" spans="1:53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</row>
    <row r="89" spans="1:53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</row>
    <row r="90" spans="1:53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</row>
    <row r="91" spans="1:53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</row>
    <row r="92" spans="1:53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</row>
    <row r="93" spans="1:53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</row>
    <row r="94" spans="1:53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</row>
    <row r="95" spans="1:53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</row>
    <row r="96" spans="1:53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</row>
    <row r="97" spans="1:53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</row>
    <row r="98" spans="1:53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</row>
    <row r="99" spans="1:53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</row>
    <row r="100" spans="1:53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</row>
    <row r="101" spans="1:53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</row>
    <row r="102" spans="1:53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</row>
    <row r="103" spans="1:53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</row>
    <row r="104" spans="1:53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</row>
    <row r="105" spans="1:53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</row>
    <row r="106" spans="1:53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AI48"/>
  <sheetViews>
    <sheetView zoomScale="80" zoomScaleNormal="80" workbookViewId="0">
      <selection activeCell="AB18" sqref="AB18"/>
    </sheetView>
  </sheetViews>
  <sheetFormatPr defaultRowHeight="12.75"/>
  <cols>
    <col min="22" max="22" width="9.28515625" bestFit="1" customWidth="1"/>
  </cols>
  <sheetData>
    <row r="2" spans="1:20">
      <c r="A2" t="s">
        <v>500</v>
      </c>
      <c r="B2" t="s">
        <v>501</v>
      </c>
      <c r="C2" t="s">
        <v>502</v>
      </c>
      <c r="D2">
        <v>1.22</v>
      </c>
    </row>
    <row r="3" spans="1:20">
      <c r="A3" t="s">
        <v>500</v>
      </c>
    </row>
    <row r="4" spans="1:20">
      <c r="A4" t="s">
        <v>500</v>
      </c>
      <c r="B4" t="s">
        <v>503</v>
      </c>
      <c r="C4" t="s">
        <v>504</v>
      </c>
    </row>
    <row r="5" spans="1:20">
      <c r="A5" t="s">
        <v>500</v>
      </c>
    </row>
    <row r="6" spans="1:20">
      <c r="A6" t="s">
        <v>500</v>
      </c>
      <c r="B6" t="s">
        <v>505</v>
      </c>
      <c r="C6" t="s">
        <v>506</v>
      </c>
    </row>
    <row r="7" spans="1:20">
      <c r="A7" t="s">
        <v>500</v>
      </c>
      <c r="B7" s="4">
        <v>3.9E-2</v>
      </c>
      <c r="C7" t="s">
        <v>507</v>
      </c>
      <c r="D7" t="s">
        <v>508</v>
      </c>
    </row>
    <row r="8" spans="1:20">
      <c r="A8" t="s">
        <v>500</v>
      </c>
      <c r="B8">
        <v>2.2999999999999998</v>
      </c>
      <c r="C8" t="s">
        <v>509</v>
      </c>
      <c r="D8" t="s">
        <v>510</v>
      </c>
    </row>
    <row r="9" spans="1:20">
      <c r="A9" t="s">
        <v>500</v>
      </c>
      <c r="B9">
        <v>1200</v>
      </c>
      <c r="C9" t="s">
        <v>91</v>
      </c>
      <c r="D9" t="s">
        <v>511</v>
      </c>
    </row>
    <row r="10" spans="1:20">
      <c r="A10" t="s">
        <v>500</v>
      </c>
    </row>
    <row r="11" spans="1:20">
      <c r="A11" t="s">
        <v>500</v>
      </c>
      <c r="B11" t="s">
        <v>29</v>
      </c>
      <c r="C11" t="s">
        <v>512</v>
      </c>
      <c r="D11">
        <v>1.2250000000000001</v>
      </c>
      <c r="E11" t="s">
        <v>513</v>
      </c>
    </row>
    <row r="12" spans="1:20">
      <c r="A12" t="s">
        <v>500</v>
      </c>
      <c r="B12" t="s">
        <v>514</v>
      </c>
      <c r="C12" t="s">
        <v>512</v>
      </c>
      <c r="D12" s="4">
        <v>1.7799999999999999E-5</v>
      </c>
      <c r="E12" t="s">
        <v>515</v>
      </c>
    </row>
    <row r="13" spans="1:20">
      <c r="A13" t="s">
        <v>500</v>
      </c>
      <c r="B13" t="s">
        <v>8</v>
      </c>
      <c r="C13" t="s">
        <v>512</v>
      </c>
      <c r="D13">
        <v>340</v>
      </c>
      <c r="E13" t="s">
        <v>1</v>
      </c>
    </row>
    <row r="14" spans="1:20">
      <c r="A14" t="s">
        <v>500</v>
      </c>
    </row>
    <row r="15" spans="1:20">
      <c r="A15" t="s">
        <v>500</v>
      </c>
      <c r="B15">
        <v>1</v>
      </c>
      <c r="C15">
        <v>2</v>
      </c>
      <c r="D15">
        <v>3</v>
      </c>
      <c r="E15">
        <v>4</v>
      </c>
      <c r="F15">
        <v>5</v>
      </c>
      <c r="G15">
        <v>6</v>
      </c>
      <c r="H15">
        <v>7</v>
      </c>
      <c r="I15">
        <v>8</v>
      </c>
      <c r="J15">
        <v>9</v>
      </c>
      <c r="K15">
        <v>10</v>
      </c>
      <c r="L15">
        <v>11</v>
      </c>
      <c r="M15">
        <v>12</v>
      </c>
      <c r="N15">
        <v>13</v>
      </c>
      <c r="O15">
        <v>14</v>
      </c>
      <c r="P15">
        <v>15</v>
      </c>
      <c r="Q15">
        <v>16</v>
      </c>
      <c r="R15">
        <v>17</v>
      </c>
      <c r="S15">
        <v>18</v>
      </c>
      <c r="T15">
        <v>19</v>
      </c>
    </row>
    <row r="16" spans="1:20">
      <c r="A16" t="s">
        <v>500</v>
      </c>
    </row>
    <row r="17" spans="1:35">
      <c r="A17" t="s">
        <v>500</v>
      </c>
      <c r="B17" t="s">
        <v>516</v>
      </c>
      <c r="C17" t="s">
        <v>98</v>
      </c>
      <c r="D17" t="s">
        <v>517</v>
      </c>
      <c r="E17" t="s">
        <v>518</v>
      </c>
      <c r="F17" t="s">
        <v>519</v>
      </c>
      <c r="G17" t="s">
        <v>520</v>
      </c>
      <c r="H17" t="s">
        <v>521</v>
      </c>
      <c r="I17" t="s">
        <v>522</v>
      </c>
      <c r="J17" t="s">
        <v>523</v>
      </c>
      <c r="K17" t="s">
        <v>524</v>
      </c>
      <c r="L17" t="s">
        <v>525</v>
      </c>
      <c r="M17" t="s">
        <v>526</v>
      </c>
      <c r="N17" t="s">
        <v>527</v>
      </c>
      <c r="O17" t="s">
        <v>528</v>
      </c>
      <c r="P17" t="s">
        <v>529</v>
      </c>
      <c r="Q17" t="s">
        <v>530</v>
      </c>
      <c r="R17" t="s">
        <v>141</v>
      </c>
      <c r="S17" t="s">
        <v>531</v>
      </c>
      <c r="T17" t="s">
        <v>532</v>
      </c>
      <c r="V17" s="9" t="s">
        <v>116</v>
      </c>
      <c r="W17" s="9" t="s">
        <v>527</v>
      </c>
    </row>
    <row r="18" spans="1:35">
      <c r="B18">
        <v>0</v>
      </c>
      <c r="C18" s="4">
        <v>10190</v>
      </c>
      <c r="D18">
        <v>0</v>
      </c>
      <c r="E18">
        <v>25.18</v>
      </c>
      <c r="F18">
        <v>0.35039999999999999</v>
      </c>
      <c r="G18">
        <v>374</v>
      </c>
      <c r="H18">
        <v>10.3</v>
      </c>
      <c r="I18">
        <v>46.3339</v>
      </c>
      <c r="J18">
        <v>0.78359999999999996</v>
      </c>
      <c r="K18">
        <v>0</v>
      </c>
      <c r="L18">
        <v>0</v>
      </c>
      <c r="M18" s="4">
        <v>1.4420000000000001E-2</v>
      </c>
      <c r="N18" s="4">
        <v>1.1950000000000001E-3</v>
      </c>
      <c r="O18">
        <v>21.533000000000001</v>
      </c>
      <c r="P18">
        <v>0</v>
      </c>
      <c r="Q18">
        <v>477.2</v>
      </c>
      <c r="R18">
        <v>0</v>
      </c>
      <c r="S18">
        <v>0.97050000000000003</v>
      </c>
      <c r="T18" s="4">
        <v>1.438E-2</v>
      </c>
      <c r="V18" s="1">
        <f>B18/(C18/60*12*0.0254)</f>
        <v>0</v>
      </c>
      <c r="W18">
        <f>G18/($D$11*(C18/60)^3*(12*0.0254)^5)</f>
        <v>2.3691464042072171E-2</v>
      </c>
      <c r="AE18" t="s">
        <v>230</v>
      </c>
      <c r="AF18" s="52">
        <v>2.3680476999999998E-2</v>
      </c>
      <c r="AI18" t="s">
        <v>534</v>
      </c>
    </row>
    <row r="19" spans="1:35">
      <c r="B19">
        <v>1</v>
      </c>
      <c r="C19" s="4">
        <v>10190</v>
      </c>
      <c r="D19">
        <v>0</v>
      </c>
      <c r="E19">
        <v>24.59</v>
      </c>
      <c r="F19">
        <v>0.35089999999999999</v>
      </c>
      <c r="G19">
        <v>374.4</v>
      </c>
      <c r="H19">
        <v>10.3</v>
      </c>
      <c r="I19">
        <v>46.400599999999997</v>
      </c>
      <c r="J19">
        <v>0.78339999999999999</v>
      </c>
      <c r="K19">
        <v>6.5699999999999995E-2</v>
      </c>
      <c r="L19">
        <v>5.5799999999999999E-3</v>
      </c>
      <c r="M19" s="4">
        <v>1.409E-2</v>
      </c>
      <c r="N19" s="4">
        <v>1.1969999999999999E-3</v>
      </c>
      <c r="O19">
        <v>20.3017</v>
      </c>
      <c r="P19">
        <v>5.1400000000000001E-2</v>
      </c>
      <c r="Q19">
        <v>477.9</v>
      </c>
      <c r="R19">
        <v>24.59</v>
      </c>
      <c r="S19">
        <v>0.94679999999999997</v>
      </c>
      <c r="T19" s="4">
        <v>1.406E-2</v>
      </c>
      <c r="V19" s="1">
        <f t="shared" ref="V19:V48" si="0">B19/(C19/60*12*0.0254)</f>
        <v>1.9317997419115544E-2</v>
      </c>
      <c r="W19">
        <f t="shared" ref="W19:W48" si="1">G19/($D$11*(C19/60)^3*(12*0.0254)^5)</f>
        <v>2.3716802506288288E-2</v>
      </c>
      <c r="AF19" s="52">
        <v>2.2389395999999999E-3</v>
      </c>
      <c r="AG19" t="s">
        <v>116</v>
      </c>
    </row>
    <row r="20" spans="1:35">
      <c r="B20">
        <v>2</v>
      </c>
      <c r="C20" s="4">
        <v>10190</v>
      </c>
      <c r="D20">
        <v>0</v>
      </c>
      <c r="E20">
        <v>23.98</v>
      </c>
      <c r="F20">
        <v>0.3513</v>
      </c>
      <c r="G20">
        <v>374.7</v>
      </c>
      <c r="H20">
        <v>10.3</v>
      </c>
      <c r="I20">
        <v>46.444099999999999</v>
      </c>
      <c r="J20">
        <v>0.7833</v>
      </c>
      <c r="K20">
        <v>0.128</v>
      </c>
      <c r="L20">
        <v>1.116E-2</v>
      </c>
      <c r="M20" s="4">
        <v>1.375E-2</v>
      </c>
      <c r="N20" s="4">
        <v>1.199E-3</v>
      </c>
      <c r="O20">
        <v>19.108499999999999</v>
      </c>
      <c r="P20">
        <v>0.1003</v>
      </c>
      <c r="Q20">
        <v>478.4</v>
      </c>
      <c r="R20">
        <v>47.96</v>
      </c>
      <c r="S20">
        <v>0.92220000000000002</v>
      </c>
      <c r="T20" s="4">
        <v>1.38E-2</v>
      </c>
      <c r="V20" s="1">
        <f t="shared" si="0"/>
        <v>3.8635994838231089E-2</v>
      </c>
      <c r="W20">
        <f t="shared" si="1"/>
        <v>2.373580635445038E-2</v>
      </c>
      <c r="AF20" s="52">
        <v>-8.2939108999999997E-3</v>
      </c>
      <c r="AG20" t="s">
        <v>231</v>
      </c>
      <c r="AI20" t="s">
        <v>533</v>
      </c>
    </row>
    <row r="21" spans="1:35">
      <c r="B21">
        <v>3</v>
      </c>
      <c r="C21" s="4">
        <v>10190</v>
      </c>
      <c r="D21">
        <v>0</v>
      </c>
      <c r="E21">
        <v>23.36</v>
      </c>
      <c r="F21">
        <v>0.35139999999999999</v>
      </c>
      <c r="G21">
        <v>374.8</v>
      </c>
      <c r="H21">
        <v>10.3</v>
      </c>
      <c r="I21">
        <v>46.461500000000001</v>
      </c>
      <c r="J21">
        <v>0.7833</v>
      </c>
      <c r="K21">
        <v>0.18690000000000001</v>
      </c>
      <c r="L21">
        <v>1.6740000000000001E-2</v>
      </c>
      <c r="M21" s="4">
        <v>1.3390000000000001E-2</v>
      </c>
      <c r="N21" s="4">
        <v>1.1999999999999999E-3</v>
      </c>
      <c r="O21">
        <v>17.954599999999999</v>
      </c>
      <c r="P21">
        <v>0.1464</v>
      </c>
      <c r="Q21">
        <v>478.6</v>
      </c>
      <c r="R21">
        <v>70.069999999999993</v>
      </c>
      <c r="S21">
        <v>0.89690000000000003</v>
      </c>
      <c r="T21" s="4">
        <v>1.359E-2</v>
      </c>
      <c r="V21" s="1">
        <f t="shared" si="0"/>
        <v>5.7953992257346633E-2</v>
      </c>
      <c r="W21">
        <f t="shared" si="1"/>
        <v>2.3742140970504411E-2</v>
      </c>
      <c r="AF21" s="52">
        <v>-0.12301036999999999</v>
      </c>
      <c r="AG21" t="s">
        <v>232</v>
      </c>
    </row>
    <row r="22" spans="1:35">
      <c r="B22">
        <v>4</v>
      </c>
      <c r="C22" s="4">
        <v>10190</v>
      </c>
      <c r="D22">
        <v>0</v>
      </c>
      <c r="E22">
        <v>22.72</v>
      </c>
      <c r="F22">
        <v>0.3513</v>
      </c>
      <c r="G22">
        <v>374.8</v>
      </c>
      <c r="H22">
        <v>10.3</v>
      </c>
      <c r="I22">
        <v>46.448799999999999</v>
      </c>
      <c r="J22">
        <v>0.7833</v>
      </c>
      <c r="K22">
        <v>0.24249999999999999</v>
      </c>
      <c r="L22">
        <v>2.232E-2</v>
      </c>
      <c r="M22" s="4">
        <v>1.303E-2</v>
      </c>
      <c r="N22" s="4">
        <v>1.199E-3</v>
      </c>
      <c r="O22">
        <v>16.840800000000002</v>
      </c>
      <c r="P22">
        <v>0.19</v>
      </c>
      <c r="Q22">
        <v>478.4</v>
      </c>
      <c r="R22">
        <v>90.88</v>
      </c>
      <c r="S22">
        <v>0.87080000000000002</v>
      </c>
      <c r="T22" s="4">
        <v>1.3440000000000001E-2</v>
      </c>
      <c r="V22" s="1">
        <f t="shared" si="0"/>
        <v>7.7271989676462177E-2</v>
      </c>
      <c r="W22">
        <f t="shared" si="1"/>
        <v>2.3742140970504411E-2</v>
      </c>
      <c r="AF22" s="52">
        <v>3.1545190000000001E-2</v>
      </c>
      <c r="AG22" t="s">
        <v>233</v>
      </c>
    </row>
    <row r="23" spans="1:35">
      <c r="B23">
        <v>5</v>
      </c>
      <c r="C23" s="4">
        <v>10190</v>
      </c>
      <c r="D23">
        <v>0</v>
      </c>
      <c r="E23">
        <v>22.07</v>
      </c>
      <c r="F23">
        <v>0.35089999999999999</v>
      </c>
      <c r="G23">
        <v>374.4</v>
      </c>
      <c r="H23">
        <v>10.3</v>
      </c>
      <c r="I23">
        <v>46.398499999999999</v>
      </c>
      <c r="J23">
        <v>0.78349999999999997</v>
      </c>
      <c r="K23">
        <v>0.29470000000000002</v>
      </c>
      <c r="L23">
        <v>2.7890000000000002E-2</v>
      </c>
      <c r="M23" s="4">
        <v>1.265E-2</v>
      </c>
      <c r="N23" s="4">
        <v>1.1969999999999999E-3</v>
      </c>
      <c r="O23">
        <v>15.7684</v>
      </c>
      <c r="P23">
        <v>0.23089999999999999</v>
      </c>
      <c r="Q23">
        <v>477.9</v>
      </c>
      <c r="R23">
        <v>110.3</v>
      </c>
      <c r="S23">
        <v>0.84379999999999999</v>
      </c>
      <c r="T23" s="4">
        <v>1.3339999999999999E-2</v>
      </c>
      <c r="V23" s="1">
        <f t="shared" si="0"/>
        <v>9.6589987095577728E-2</v>
      </c>
      <c r="W23">
        <f t="shared" si="1"/>
        <v>2.3716802506288288E-2</v>
      </c>
      <c r="AF23" s="52">
        <v>0</v>
      </c>
      <c r="AG23" t="s">
        <v>234</v>
      </c>
    </row>
    <row r="24" spans="1:35">
      <c r="B24">
        <v>6</v>
      </c>
      <c r="C24" s="4">
        <v>10190</v>
      </c>
      <c r="D24">
        <v>0</v>
      </c>
      <c r="E24">
        <v>21.4</v>
      </c>
      <c r="F24">
        <v>0.35020000000000001</v>
      </c>
      <c r="G24">
        <v>373.8</v>
      </c>
      <c r="H24">
        <v>10.3</v>
      </c>
      <c r="I24">
        <v>46.304299999999998</v>
      </c>
      <c r="J24">
        <v>0.78369999999999995</v>
      </c>
      <c r="K24">
        <v>0.34350000000000003</v>
      </c>
      <c r="L24">
        <v>3.3459999999999997E-2</v>
      </c>
      <c r="M24" s="4">
        <v>1.225E-2</v>
      </c>
      <c r="N24" s="4">
        <v>1.194E-3</v>
      </c>
      <c r="O24">
        <v>14.738</v>
      </c>
      <c r="P24">
        <v>0.26919999999999999</v>
      </c>
      <c r="Q24">
        <v>476.9</v>
      </c>
      <c r="R24">
        <v>128.4</v>
      </c>
      <c r="S24">
        <v>0.81610000000000005</v>
      </c>
      <c r="T24" s="4">
        <v>1.328E-2</v>
      </c>
      <c r="V24" s="1">
        <f t="shared" si="0"/>
        <v>0.11590798451469327</v>
      </c>
      <c r="W24">
        <f t="shared" si="1"/>
        <v>2.3678794809964109E-2</v>
      </c>
      <c r="AF24" s="52">
        <v>0</v>
      </c>
      <c r="AG24" t="s">
        <v>235</v>
      </c>
    </row>
    <row r="25" spans="1:35">
      <c r="B25">
        <v>7</v>
      </c>
      <c r="C25" s="4">
        <v>10200</v>
      </c>
      <c r="D25">
        <v>0</v>
      </c>
      <c r="E25">
        <v>20.72</v>
      </c>
      <c r="F25">
        <v>0.34899999999999998</v>
      </c>
      <c r="G25">
        <v>372.8</v>
      </c>
      <c r="H25">
        <v>10.3</v>
      </c>
      <c r="I25">
        <v>46.161000000000001</v>
      </c>
      <c r="J25">
        <v>0.78410000000000002</v>
      </c>
      <c r="K25">
        <v>0.3891</v>
      </c>
      <c r="L25">
        <v>3.9010000000000003E-2</v>
      </c>
      <c r="M25" s="4">
        <v>1.1849999999999999E-2</v>
      </c>
      <c r="N25" s="4">
        <v>1.188E-3</v>
      </c>
      <c r="O25">
        <v>13.7502</v>
      </c>
      <c r="P25">
        <v>0.30509999999999998</v>
      </c>
      <c r="Q25">
        <v>475.5</v>
      </c>
      <c r="R25">
        <v>145.1</v>
      </c>
      <c r="S25">
        <v>0.78769999999999996</v>
      </c>
      <c r="T25" s="4">
        <v>1.3259999999999999E-2</v>
      </c>
      <c r="V25" s="1">
        <f t="shared" si="0"/>
        <v>0.13509340744171686</v>
      </c>
      <c r="W25">
        <f t="shared" si="1"/>
        <v>2.3546059520556367E-2</v>
      </c>
      <c r="AE25" s="35"/>
      <c r="AF25" s="35"/>
      <c r="AG25" s="35"/>
    </row>
    <row r="26" spans="1:35">
      <c r="B26">
        <v>8</v>
      </c>
      <c r="C26" s="4">
        <v>10210</v>
      </c>
      <c r="D26">
        <v>0</v>
      </c>
      <c r="E26">
        <v>20.03</v>
      </c>
      <c r="F26">
        <v>0.34749999999999998</v>
      </c>
      <c r="G26">
        <v>371.5</v>
      </c>
      <c r="H26">
        <v>10.3</v>
      </c>
      <c r="I26">
        <v>45.963700000000003</v>
      </c>
      <c r="J26">
        <v>0.78459999999999996</v>
      </c>
      <c r="K26">
        <v>0.43140000000000001</v>
      </c>
      <c r="L26">
        <v>4.4540000000000003E-2</v>
      </c>
      <c r="M26" s="4">
        <v>1.1429999999999999E-2</v>
      </c>
      <c r="N26" s="4">
        <v>1.181E-3</v>
      </c>
      <c r="O26">
        <v>12.805099999999999</v>
      </c>
      <c r="P26">
        <v>0.33850000000000002</v>
      </c>
      <c r="Q26">
        <v>473.4</v>
      </c>
      <c r="R26">
        <v>160.30000000000001</v>
      </c>
      <c r="S26">
        <v>0.75849999999999995</v>
      </c>
      <c r="T26" s="4">
        <v>1.328E-2</v>
      </c>
      <c r="V26" s="1">
        <f t="shared" si="0"/>
        <v>0.15424124873714978</v>
      </c>
      <c r="W26">
        <f t="shared" si="1"/>
        <v>2.3395074954506167E-2</v>
      </c>
      <c r="AE26" t="s">
        <v>236</v>
      </c>
      <c r="AF26" s="52">
        <v>0</v>
      </c>
    </row>
    <row r="27" spans="1:35">
      <c r="B27">
        <v>9</v>
      </c>
      <c r="C27" s="4">
        <v>10220</v>
      </c>
      <c r="D27">
        <v>0</v>
      </c>
      <c r="E27">
        <v>19.329999999999998</v>
      </c>
      <c r="F27">
        <v>0.34539999999999998</v>
      </c>
      <c r="G27">
        <v>369.7</v>
      </c>
      <c r="H27">
        <v>10.3</v>
      </c>
      <c r="I27">
        <v>45.707599999999999</v>
      </c>
      <c r="J27">
        <v>0.7853</v>
      </c>
      <c r="K27">
        <v>0.47049999999999997</v>
      </c>
      <c r="L27">
        <v>5.0049999999999997E-2</v>
      </c>
      <c r="M27" s="4">
        <v>1.1010000000000001E-2</v>
      </c>
      <c r="N27" s="4">
        <v>1.1709999999999999E-3</v>
      </c>
      <c r="O27">
        <v>11.9024</v>
      </c>
      <c r="P27">
        <v>0.3695</v>
      </c>
      <c r="Q27">
        <v>470.8</v>
      </c>
      <c r="R27">
        <v>174</v>
      </c>
      <c r="S27">
        <v>0.72870000000000001</v>
      </c>
      <c r="T27" s="4">
        <v>1.333E-2</v>
      </c>
      <c r="V27" s="1">
        <f t="shared" si="0"/>
        <v>0.17335161871889301</v>
      </c>
      <c r="W27">
        <f t="shared" si="1"/>
        <v>2.321344582397071E-2</v>
      </c>
      <c r="AF27" s="52">
        <v>3.7337273</v>
      </c>
      <c r="AG27" t="s">
        <v>116</v>
      </c>
    </row>
    <row r="28" spans="1:35">
      <c r="B28">
        <v>10</v>
      </c>
      <c r="C28" s="4">
        <v>10240</v>
      </c>
      <c r="D28">
        <v>0</v>
      </c>
      <c r="E28">
        <v>18.62</v>
      </c>
      <c r="F28">
        <v>0.34289999999999998</v>
      </c>
      <c r="G28">
        <v>367.5</v>
      </c>
      <c r="H28">
        <v>10.3</v>
      </c>
      <c r="I28">
        <v>45.387999999999998</v>
      </c>
      <c r="J28">
        <v>0.78620000000000001</v>
      </c>
      <c r="K28">
        <v>0.50649999999999995</v>
      </c>
      <c r="L28">
        <v>5.5530000000000003E-2</v>
      </c>
      <c r="M28" s="4">
        <v>1.057E-2</v>
      </c>
      <c r="N28" s="4">
        <v>1.1590000000000001E-3</v>
      </c>
      <c r="O28">
        <v>11.0419</v>
      </c>
      <c r="P28">
        <v>0.3982</v>
      </c>
      <c r="Q28">
        <v>467.5</v>
      </c>
      <c r="R28">
        <v>186.2</v>
      </c>
      <c r="S28">
        <v>0.69820000000000004</v>
      </c>
      <c r="T28" s="4">
        <v>1.342E-2</v>
      </c>
      <c r="V28" s="1">
        <f t="shared" si="0"/>
        <v>0.1922367125984252</v>
      </c>
      <c r="W28">
        <f t="shared" si="1"/>
        <v>2.2940364947819068E-2</v>
      </c>
      <c r="AF28" s="52">
        <v>-11.92845</v>
      </c>
      <c r="AG28" t="s">
        <v>231</v>
      </c>
    </row>
    <row r="29" spans="1:35">
      <c r="B29">
        <v>11</v>
      </c>
      <c r="C29" s="4">
        <v>10250</v>
      </c>
      <c r="D29">
        <v>0</v>
      </c>
      <c r="E29">
        <v>17.89</v>
      </c>
      <c r="F29">
        <v>0.33979999999999999</v>
      </c>
      <c r="G29">
        <v>364.9</v>
      </c>
      <c r="H29">
        <v>10.3</v>
      </c>
      <c r="I29">
        <v>45.000100000000003</v>
      </c>
      <c r="J29">
        <v>0.78720000000000001</v>
      </c>
      <c r="K29">
        <v>0.5393</v>
      </c>
      <c r="L29">
        <v>6.0979999999999999E-2</v>
      </c>
      <c r="M29" s="4">
        <v>1.0120000000000001E-2</v>
      </c>
      <c r="N29" s="4">
        <v>1.1440000000000001E-3</v>
      </c>
      <c r="O29">
        <v>10.222899999999999</v>
      </c>
      <c r="P29">
        <v>0.42459999999999998</v>
      </c>
      <c r="Q29">
        <v>463.5</v>
      </c>
      <c r="R29">
        <v>196.8</v>
      </c>
      <c r="S29">
        <v>0.66720000000000002</v>
      </c>
      <c r="T29" s="4">
        <v>1.355E-2</v>
      </c>
      <c r="V29" s="1">
        <f t="shared" si="0"/>
        <v>0.21125408104474747</v>
      </c>
      <c r="W29">
        <f t="shared" si="1"/>
        <v>2.2711463277994257E-2</v>
      </c>
      <c r="AF29" s="52">
        <v>74.091875999999999</v>
      </c>
      <c r="AG29" t="s">
        <v>232</v>
      </c>
    </row>
    <row r="30" spans="1:35">
      <c r="B30">
        <v>12</v>
      </c>
      <c r="C30" s="4">
        <v>10280</v>
      </c>
      <c r="D30">
        <v>0</v>
      </c>
      <c r="E30">
        <v>17.149999999999999</v>
      </c>
      <c r="F30">
        <v>0.33610000000000001</v>
      </c>
      <c r="G30">
        <v>361.7</v>
      </c>
      <c r="H30">
        <v>10.3</v>
      </c>
      <c r="I30">
        <v>44.539900000000003</v>
      </c>
      <c r="J30">
        <v>0.78839999999999999</v>
      </c>
      <c r="K30">
        <v>0.56910000000000005</v>
      </c>
      <c r="L30">
        <v>6.6379999999999995E-2</v>
      </c>
      <c r="M30" s="4">
        <v>9.665E-3</v>
      </c>
      <c r="N30" s="4">
        <v>1.127E-3</v>
      </c>
      <c r="O30">
        <v>9.4443999999999999</v>
      </c>
      <c r="P30">
        <v>0.44869999999999999</v>
      </c>
      <c r="Q30">
        <v>458.8</v>
      </c>
      <c r="R30">
        <v>205.9</v>
      </c>
      <c r="S30">
        <v>0.63560000000000005</v>
      </c>
      <c r="T30" s="4">
        <v>1.372E-2</v>
      </c>
      <c r="V30" s="1">
        <f t="shared" si="0"/>
        <v>0.22978645179080243</v>
      </c>
      <c r="W30">
        <f t="shared" si="1"/>
        <v>2.2315777051939198E-2</v>
      </c>
      <c r="AF30" s="52">
        <v>-326.36234999999999</v>
      </c>
      <c r="AG30" t="s">
        <v>233</v>
      </c>
    </row>
    <row r="31" spans="1:35">
      <c r="B31">
        <v>13</v>
      </c>
      <c r="C31" s="4">
        <v>10300</v>
      </c>
      <c r="D31">
        <v>0</v>
      </c>
      <c r="E31">
        <v>16.41</v>
      </c>
      <c r="F31">
        <v>0.33189999999999997</v>
      </c>
      <c r="G31">
        <v>358</v>
      </c>
      <c r="H31">
        <v>10.3</v>
      </c>
      <c r="I31">
        <v>44.003100000000003</v>
      </c>
      <c r="J31">
        <v>0.78979999999999995</v>
      </c>
      <c r="K31">
        <v>0.59589999999999999</v>
      </c>
      <c r="L31">
        <v>7.1739999999999998E-2</v>
      </c>
      <c r="M31" s="4">
        <v>9.1999999999999998E-3</v>
      </c>
      <c r="N31" s="4">
        <v>1.108E-3</v>
      </c>
      <c r="O31">
        <v>8.7053999999999991</v>
      </c>
      <c r="P31">
        <v>0.47060000000000002</v>
      </c>
      <c r="Q31">
        <v>453.2</v>
      </c>
      <c r="R31">
        <v>213.3</v>
      </c>
      <c r="S31">
        <v>0.60360000000000003</v>
      </c>
      <c r="T31" s="4">
        <v>1.393E-2</v>
      </c>
      <c r="V31" s="1">
        <f t="shared" si="0"/>
        <v>0.24845195321458605</v>
      </c>
      <c r="W31">
        <f t="shared" si="1"/>
        <v>2.1959083070694947E-2</v>
      </c>
      <c r="AF31" s="52">
        <v>673.94340999999997</v>
      </c>
      <c r="AG31" t="s">
        <v>234</v>
      </c>
    </row>
    <row r="32" spans="1:35">
      <c r="B32">
        <v>14</v>
      </c>
      <c r="C32" s="4">
        <v>10330</v>
      </c>
      <c r="D32">
        <v>0</v>
      </c>
      <c r="E32">
        <v>15.65</v>
      </c>
      <c r="F32">
        <v>0.32690000000000002</v>
      </c>
      <c r="G32">
        <v>353.7</v>
      </c>
      <c r="H32">
        <v>10.3</v>
      </c>
      <c r="I32">
        <v>43.385599999999997</v>
      </c>
      <c r="J32">
        <v>0.79139999999999999</v>
      </c>
      <c r="K32">
        <v>0.61960000000000004</v>
      </c>
      <c r="L32">
        <v>7.7039999999999997E-2</v>
      </c>
      <c r="M32" s="4">
        <v>8.7270000000000004E-3</v>
      </c>
      <c r="N32" s="4">
        <v>1.085E-3</v>
      </c>
      <c r="O32">
        <v>8.0045000000000002</v>
      </c>
      <c r="P32">
        <v>0.4904</v>
      </c>
      <c r="Q32">
        <v>446.9</v>
      </c>
      <c r="R32">
        <v>219.1</v>
      </c>
      <c r="S32">
        <v>0.57120000000000004</v>
      </c>
      <c r="T32" s="4">
        <v>1.4189999999999999E-2</v>
      </c>
      <c r="V32" s="1">
        <f t="shared" si="0"/>
        <v>0.2667865935925483</v>
      </c>
      <c r="W32">
        <f t="shared" si="1"/>
        <v>2.150685684626084E-2</v>
      </c>
      <c r="AF32" s="52">
        <v>-530.95231999999999</v>
      </c>
      <c r="AG32" t="s">
        <v>235</v>
      </c>
    </row>
    <row r="33" spans="2:23">
      <c r="B33">
        <v>15</v>
      </c>
      <c r="C33" s="4">
        <v>10360</v>
      </c>
      <c r="D33">
        <v>0</v>
      </c>
      <c r="E33">
        <v>14.89</v>
      </c>
      <c r="F33">
        <v>0.32140000000000002</v>
      </c>
      <c r="G33">
        <v>348.7</v>
      </c>
      <c r="H33">
        <v>10.3</v>
      </c>
      <c r="I33">
        <v>42.683500000000002</v>
      </c>
      <c r="J33">
        <v>0.79320000000000002</v>
      </c>
      <c r="K33">
        <v>0.64029999999999998</v>
      </c>
      <c r="L33">
        <v>8.2280000000000006E-2</v>
      </c>
      <c r="M33" s="4">
        <v>8.2470000000000009E-3</v>
      </c>
      <c r="N33" s="4">
        <v>1.06E-3</v>
      </c>
      <c r="O33">
        <v>7.3404999999999996</v>
      </c>
      <c r="P33">
        <v>0.50790000000000002</v>
      </c>
      <c r="Q33">
        <v>439.6</v>
      </c>
      <c r="R33">
        <v>223.3</v>
      </c>
      <c r="S33">
        <v>0.53849999999999998</v>
      </c>
      <c r="T33" s="4">
        <v>1.4500000000000001E-2</v>
      </c>
      <c r="V33" s="1">
        <f t="shared" si="0"/>
        <v>0.28501504879457634</v>
      </c>
      <c r="W33">
        <f t="shared" si="1"/>
        <v>2.101916842935463E-2</v>
      </c>
    </row>
    <row r="34" spans="2:23">
      <c r="B34">
        <v>16</v>
      </c>
      <c r="C34" s="4">
        <v>10400</v>
      </c>
      <c r="D34">
        <v>0</v>
      </c>
      <c r="E34">
        <v>14.11</v>
      </c>
      <c r="F34">
        <v>0.31509999999999999</v>
      </c>
      <c r="G34">
        <v>343.1</v>
      </c>
      <c r="H34">
        <v>10.3</v>
      </c>
      <c r="I34">
        <v>41.893099999999997</v>
      </c>
      <c r="J34">
        <v>0.79520000000000002</v>
      </c>
      <c r="K34">
        <v>0.65800000000000003</v>
      </c>
      <c r="L34">
        <v>8.745E-2</v>
      </c>
      <c r="M34" s="4">
        <v>7.7619999999999998E-3</v>
      </c>
      <c r="N34" s="4">
        <v>1.0319999999999999E-3</v>
      </c>
      <c r="O34">
        <v>6.7117000000000004</v>
      </c>
      <c r="P34">
        <v>0.5232</v>
      </c>
      <c r="Q34">
        <v>431.5</v>
      </c>
      <c r="R34">
        <v>225.8</v>
      </c>
      <c r="S34">
        <v>0.50570000000000004</v>
      </c>
      <c r="T34" s="4">
        <v>1.485E-2</v>
      </c>
      <c r="V34" s="1">
        <f t="shared" si="0"/>
        <v>0.30284675953967294</v>
      </c>
      <c r="W34">
        <f t="shared" si="1"/>
        <v>2.0443890646766664E-2</v>
      </c>
    </row>
    <row r="35" spans="2:23">
      <c r="B35">
        <v>17</v>
      </c>
      <c r="C35" s="4">
        <v>10440</v>
      </c>
      <c r="D35">
        <v>0</v>
      </c>
      <c r="E35">
        <v>13.33</v>
      </c>
      <c r="F35">
        <v>0.30809999999999998</v>
      </c>
      <c r="G35">
        <v>336.8</v>
      </c>
      <c r="H35">
        <v>10.3</v>
      </c>
      <c r="I35">
        <v>41.011000000000003</v>
      </c>
      <c r="J35">
        <v>0.79730000000000001</v>
      </c>
      <c r="K35">
        <v>0.67259999999999998</v>
      </c>
      <c r="L35">
        <v>9.2549999999999993E-2</v>
      </c>
      <c r="M35" s="4">
        <v>7.273E-3</v>
      </c>
      <c r="N35" s="4">
        <v>1.0009999999999999E-3</v>
      </c>
      <c r="O35">
        <v>6.1166999999999998</v>
      </c>
      <c r="P35">
        <v>0.5363</v>
      </c>
      <c r="Q35">
        <v>422.4</v>
      </c>
      <c r="R35">
        <v>226.6</v>
      </c>
      <c r="S35">
        <v>0.47260000000000002</v>
      </c>
      <c r="T35" s="4">
        <v>1.524E-2</v>
      </c>
      <c r="V35" s="1">
        <f t="shared" si="0"/>
        <v>0.32054182882312127</v>
      </c>
      <c r="W35">
        <f t="shared" si="1"/>
        <v>1.9838710316957657E-2</v>
      </c>
    </row>
    <row r="36" spans="2:23">
      <c r="B36">
        <v>18</v>
      </c>
      <c r="C36" s="4">
        <v>10490</v>
      </c>
      <c r="D36">
        <v>0</v>
      </c>
      <c r="E36">
        <v>12.53</v>
      </c>
      <c r="F36">
        <v>0.30030000000000001</v>
      </c>
      <c r="G36">
        <v>329.7</v>
      </c>
      <c r="H36">
        <v>10.3</v>
      </c>
      <c r="I36">
        <v>40.034199999999998</v>
      </c>
      <c r="J36">
        <v>0.79969999999999997</v>
      </c>
      <c r="K36">
        <v>0.68420000000000003</v>
      </c>
      <c r="L36">
        <v>9.7570000000000004E-2</v>
      </c>
      <c r="M36" s="4">
        <v>6.7809999999999997E-3</v>
      </c>
      <c r="N36" s="4">
        <v>9.6699999999999998E-4</v>
      </c>
      <c r="O36">
        <v>5.5537000000000001</v>
      </c>
      <c r="P36">
        <v>0.54710000000000003</v>
      </c>
      <c r="Q36">
        <v>412.4</v>
      </c>
      <c r="R36">
        <v>225.6</v>
      </c>
      <c r="S36">
        <v>0.43959999999999999</v>
      </c>
      <c r="T36" s="4">
        <v>1.5679999999999999E-2</v>
      </c>
      <c r="V36" s="1">
        <f t="shared" si="0"/>
        <v>0.33777951254663235</v>
      </c>
      <c r="W36">
        <f t="shared" si="1"/>
        <v>1.9144116640929309E-2</v>
      </c>
    </row>
    <row r="37" spans="2:23">
      <c r="B37">
        <v>19</v>
      </c>
      <c r="C37" s="4">
        <v>10540</v>
      </c>
      <c r="D37">
        <v>0</v>
      </c>
      <c r="E37">
        <v>11.73</v>
      </c>
      <c r="F37">
        <v>0.29170000000000001</v>
      </c>
      <c r="G37">
        <v>321.89999999999998</v>
      </c>
      <c r="H37">
        <v>10.3</v>
      </c>
      <c r="I37">
        <v>38.959899999999998</v>
      </c>
      <c r="J37">
        <v>0.80220000000000002</v>
      </c>
      <c r="K37">
        <v>0.6925</v>
      </c>
      <c r="L37">
        <v>0.10249999999999999</v>
      </c>
      <c r="M37" s="4">
        <v>6.2859999999999999E-3</v>
      </c>
      <c r="N37" s="4">
        <v>9.3050000000000001E-4</v>
      </c>
      <c r="O37">
        <v>5.0210999999999997</v>
      </c>
      <c r="P37">
        <v>0.55549999999999999</v>
      </c>
      <c r="Q37">
        <v>401.3</v>
      </c>
      <c r="R37">
        <v>222.9</v>
      </c>
      <c r="S37">
        <v>0.40660000000000002</v>
      </c>
      <c r="T37" s="4">
        <v>1.6150000000000001E-2</v>
      </c>
      <c r="V37" s="1">
        <f t="shared" si="0"/>
        <v>0.35485365088377235</v>
      </c>
      <c r="W37">
        <f t="shared" si="1"/>
        <v>1.842646358246891E-2</v>
      </c>
    </row>
    <row r="38" spans="2:23">
      <c r="B38">
        <v>20</v>
      </c>
      <c r="C38" s="4">
        <v>10590</v>
      </c>
      <c r="D38">
        <v>0</v>
      </c>
      <c r="E38">
        <v>10.92</v>
      </c>
      <c r="F38">
        <v>0.28239999999999998</v>
      </c>
      <c r="G38">
        <v>313.2</v>
      </c>
      <c r="H38">
        <v>10.3</v>
      </c>
      <c r="I38">
        <v>37.785600000000002</v>
      </c>
      <c r="J38">
        <v>0.80479999999999996</v>
      </c>
      <c r="K38">
        <v>0.69740000000000002</v>
      </c>
      <c r="L38">
        <v>0.10732999999999999</v>
      </c>
      <c r="M38" s="4">
        <v>5.7910000000000001E-3</v>
      </c>
      <c r="N38" s="4">
        <v>8.9139999999999998E-4</v>
      </c>
      <c r="O38">
        <v>4.5171000000000001</v>
      </c>
      <c r="P38">
        <v>0.56120000000000003</v>
      </c>
      <c r="Q38">
        <v>389.2</v>
      </c>
      <c r="R38">
        <v>218.4</v>
      </c>
      <c r="S38">
        <v>0.37369999999999998</v>
      </c>
      <c r="T38" s="4">
        <v>1.6660000000000001E-2</v>
      </c>
      <c r="V38" s="1">
        <f t="shared" si="0"/>
        <v>0.37176656034143041</v>
      </c>
      <c r="W38">
        <f t="shared" si="1"/>
        <v>1.7675704080815025E-2</v>
      </c>
    </row>
    <row r="39" spans="2:23">
      <c r="B39">
        <v>21</v>
      </c>
      <c r="C39" s="4">
        <v>10650</v>
      </c>
      <c r="D39">
        <v>0</v>
      </c>
      <c r="E39">
        <v>10.1</v>
      </c>
      <c r="F39">
        <v>0.2722</v>
      </c>
      <c r="G39">
        <v>303.60000000000002</v>
      </c>
      <c r="H39">
        <v>10.3</v>
      </c>
      <c r="I39">
        <v>36.509399999999999</v>
      </c>
      <c r="J39">
        <v>0.8075</v>
      </c>
      <c r="K39">
        <v>0.6986</v>
      </c>
      <c r="L39">
        <v>0.11207</v>
      </c>
      <c r="M39" s="4">
        <v>5.2969999999999996E-3</v>
      </c>
      <c r="N39" s="4">
        <v>8.497E-4</v>
      </c>
      <c r="O39">
        <v>4.0400999999999998</v>
      </c>
      <c r="P39">
        <v>0.56410000000000005</v>
      </c>
      <c r="Q39">
        <v>376</v>
      </c>
      <c r="R39">
        <v>212.1</v>
      </c>
      <c r="S39">
        <v>0.34110000000000001</v>
      </c>
      <c r="T39" s="4">
        <v>1.721E-2</v>
      </c>
      <c r="V39" s="1">
        <f t="shared" si="0"/>
        <v>0.3881557058888766</v>
      </c>
      <c r="W39">
        <f t="shared" si="1"/>
        <v>1.6845961080993416E-2</v>
      </c>
    </row>
    <row r="40" spans="2:23">
      <c r="B40">
        <v>22</v>
      </c>
      <c r="C40" s="4">
        <v>10720</v>
      </c>
      <c r="D40">
        <v>0</v>
      </c>
      <c r="E40">
        <v>9.2750000000000004</v>
      </c>
      <c r="F40">
        <v>0.26129999999999998</v>
      </c>
      <c r="G40">
        <v>293.2</v>
      </c>
      <c r="H40">
        <v>10.3</v>
      </c>
      <c r="I40">
        <v>35.1297</v>
      </c>
      <c r="J40">
        <v>0.81020000000000003</v>
      </c>
      <c r="K40">
        <v>0.69599999999999995</v>
      </c>
      <c r="L40">
        <v>0.1167</v>
      </c>
      <c r="M40" s="4">
        <v>4.8050000000000002E-3</v>
      </c>
      <c r="N40" s="4">
        <v>8.0559999999999996E-4</v>
      </c>
      <c r="O40">
        <v>3.5884999999999998</v>
      </c>
      <c r="P40">
        <v>0.56389999999999996</v>
      </c>
      <c r="Q40">
        <v>361.8</v>
      </c>
      <c r="R40">
        <v>204</v>
      </c>
      <c r="S40">
        <v>0.30869999999999997</v>
      </c>
      <c r="T40" s="4">
        <v>1.779E-2</v>
      </c>
      <c r="V40" s="1">
        <f t="shared" si="0"/>
        <v>0.40398401692325775</v>
      </c>
      <c r="W40">
        <f t="shared" si="1"/>
        <v>1.5952268800142416E-2</v>
      </c>
    </row>
    <row r="41" spans="2:23">
      <c r="B41">
        <v>23</v>
      </c>
      <c r="C41" s="4">
        <v>10790</v>
      </c>
      <c r="D41">
        <v>0</v>
      </c>
      <c r="E41">
        <v>8.4390000000000001</v>
      </c>
      <c r="F41">
        <v>0.24940000000000001</v>
      </c>
      <c r="G41">
        <v>281.7</v>
      </c>
      <c r="H41">
        <v>10.3</v>
      </c>
      <c r="I41">
        <v>33.6449</v>
      </c>
      <c r="J41">
        <v>0.81299999999999994</v>
      </c>
      <c r="K41">
        <v>0.68889999999999996</v>
      </c>
      <c r="L41">
        <v>0.12121</v>
      </c>
      <c r="M41" s="4">
        <v>4.3160000000000004E-3</v>
      </c>
      <c r="N41" s="4">
        <v>7.5929999999999997E-4</v>
      </c>
      <c r="O41">
        <v>3.1606000000000001</v>
      </c>
      <c r="P41">
        <v>0.56010000000000004</v>
      </c>
      <c r="Q41">
        <v>346.5</v>
      </c>
      <c r="R41">
        <v>194.1</v>
      </c>
      <c r="S41">
        <v>0.2767</v>
      </c>
      <c r="T41" s="4">
        <v>1.839E-2</v>
      </c>
      <c r="V41" s="1">
        <f t="shared" si="0"/>
        <v>0.41960695598870351</v>
      </c>
      <c r="W41">
        <f t="shared" si="1"/>
        <v>1.5030220850351609E-2</v>
      </c>
    </row>
    <row r="42" spans="2:23">
      <c r="B42">
        <v>24</v>
      </c>
      <c r="C42" s="4">
        <v>10860</v>
      </c>
      <c r="D42">
        <v>0</v>
      </c>
      <c r="E42">
        <v>7.5940000000000003</v>
      </c>
      <c r="F42">
        <v>0.23680000000000001</v>
      </c>
      <c r="G42">
        <v>269.3</v>
      </c>
      <c r="H42">
        <v>10.3</v>
      </c>
      <c r="I42">
        <v>32.054299999999998</v>
      </c>
      <c r="J42">
        <v>0.81559999999999999</v>
      </c>
      <c r="K42">
        <v>0.67679999999999996</v>
      </c>
      <c r="L42">
        <v>0.12562000000000001</v>
      </c>
      <c r="M42" s="4">
        <v>3.8310000000000002E-3</v>
      </c>
      <c r="N42" s="4">
        <v>7.1089999999999999E-4</v>
      </c>
      <c r="O42">
        <v>2.7549000000000001</v>
      </c>
      <c r="P42">
        <v>0.55200000000000005</v>
      </c>
      <c r="Q42">
        <v>330.2</v>
      </c>
      <c r="R42">
        <v>182.3</v>
      </c>
      <c r="S42">
        <v>0.2452</v>
      </c>
      <c r="T42" s="4">
        <v>1.9019999999999999E-2</v>
      </c>
      <c r="V42" s="1">
        <f t="shared" si="0"/>
        <v>0.43502849436638102</v>
      </c>
      <c r="W42">
        <f t="shared" si="1"/>
        <v>1.4092554620947001E-2</v>
      </c>
    </row>
    <row r="43" spans="2:23">
      <c r="B43">
        <v>25</v>
      </c>
      <c r="C43" s="4">
        <v>10940</v>
      </c>
      <c r="D43">
        <v>0</v>
      </c>
      <c r="E43">
        <v>6.74</v>
      </c>
      <c r="F43">
        <v>0.2233</v>
      </c>
      <c r="G43">
        <v>255.8</v>
      </c>
      <c r="H43">
        <v>10.3</v>
      </c>
      <c r="I43">
        <v>30.357199999999999</v>
      </c>
      <c r="J43">
        <v>0.81799999999999995</v>
      </c>
      <c r="K43">
        <v>0.65880000000000005</v>
      </c>
      <c r="L43">
        <v>0.12989999999999999</v>
      </c>
      <c r="M43" s="4">
        <v>3.3509999999999998E-3</v>
      </c>
      <c r="N43" s="4">
        <v>6.6069999999999996E-4</v>
      </c>
      <c r="O43">
        <v>2.3698999999999999</v>
      </c>
      <c r="P43">
        <v>0.53890000000000005</v>
      </c>
      <c r="Q43">
        <v>312.7</v>
      </c>
      <c r="R43">
        <v>168.5</v>
      </c>
      <c r="S43">
        <v>0.2142</v>
      </c>
      <c r="T43" s="4">
        <v>1.966E-2</v>
      </c>
      <c r="V43" s="1">
        <f t="shared" si="0"/>
        <v>0.44984093624494381</v>
      </c>
      <c r="W43">
        <f t="shared" si="1"/>
        <v>1.3094575476896001E-2</v>
      </c>
    </row>
    <row r="44" spans="2:23">
      <c r="B44">
        <v>26</v>
      </c>
      <c r="C44" s="4">
        <v>11020</v>
      </c>
      <c r="D44">
        <v>0</v>
      </c>
      <c r="E44">
        <v>5.8780000000000001</v>
      </c>
      <c r="F44">
        <v>0.2089</v>
      </c>
      <c r="G44">
        <v>241.2</v>
      </c>
      <c r="H44">
        <v>10.3</v>
      </c>
      <c r="I44">
        <v>28.5532</v>
      </c>
      <c r="J44">
        <v>0.82</v>
      </c>
      <c r="K44">
        <v>0.63370000000000004</v>
      </c>
      <c r="L44">
        <v>0.13406000000000001</v>
      </c>
      <c r="M44" s="4">
        <v>2.8779999999999999E-3</v>
      </c>
      <c r="N44" s="4">
        <v>6.0880000000000005E-4</v>
      </c>
      <c r="O44">
        <v>2.0042</v>
      </c>
      <c r="P44">
        <v>0.51970000000000005</v>
      </c>
      <c r="Q44">
        <v>294.10000000000002</v>
      </c>
      <c r="R44">
        <v>152.80000000000001</v>
      </c>
      <c r="S44">
        <v>0.18379999999999999</v>
      </c>
      <c r="T44" s="4">
        <v>2.0320000000000001E-2</v>
      </c>
      <c r="V44" s="1">
        <f t="shared" si="0"/>
        <v>0.46443831544650382</v>
      </c>
      <c r="W44">
        <f t="shared" si="1"/>
        <v>1.2080234616723858E-2</v>
      </c>
    </row>
    <row r="45" spans="2:23">
      <c r="B45">
        <v>27</v>
      </c>
      <c r="C45" s="4">
        <v>11110</v>
      </c>
      <c r="D45">
        <v>0</v>
      </c>
      <c r="E45">
        <v>4.9960000000000004</v>
      </c>
      <c r="F45">
        <v>0.19400000000000001</v>
      </c>
      <c r="G45">
        <v>225.7</v>
      </c>
      <c r="H45">
        <v>10.3</v>
      </c>
      <c r="I45">
        <v>26.678000000000001</v>
      </c>
      <c r="J45">
        <v>0.82150000000000001</v>
      </c>
      <c r="K45">
        <v>0.59760000000000002</v>
      </c>
      <c r="L45">
        <v>0.13811999999999999</v>
      </c>
      <c r="M45" s="4">
        <v>2.4069999999999999E-3</v>
      </c>
      <c r="N45" s="4">
        <v>5.5639999999999997E-4</v>
      </c>
      <c r="O45">
        <v>1.6529</v>
      </c>
      <c r="P45">
        <v>0.4909</v>
      </c>
      <c r="Q45">
        <v>274.8</v>
      </c>
      <c r="R45">
        <v>134.9</v>
      </c>
      <c r="S45">
        <v>0.154</v>
      </c>
      <c r="T45" s="4">
        <v>2.1440000000000001E-2</v>
      </c>
      <c r="V45" s="1">
        <f t="shared" si="0"/>
        <v>0.47839429612252565</v>
      </c>
      <c r="W45">
        <f t="shared" si="1"/>
        <v>1.1031440613802195E-2</v>
      </c>
    </row>
    <row r="46" spans="2:23">
      <c r="B46">
        <v>28</v>
      </c>
      <c r="C46" s="4">
        <v>11200</v>
      </c>
      <c r="D46">
        <v>0</v>
      </c>
      <c r="E46">
        <v>4.1230000000000002</v>
      </c>
      <c r="F46">
        <v>0.17810000000000001</v>
      </c>
      <c r="G46">
        <v>209</v>
      </c>
      <c r="H46">
        <v>10.3</v>
      </c>
      <c r="I46">
        <v>24.681799999999999</v>
      </c>
      <c r="J46">
        <v>0.82210000000000005</v>
      </c>
      <c r="K46">
        <v>0.5524</v>
      </c>
      <c r="L46">
        <v>0.14204</v>
      </c>
      <c r="M46" s="4">
        <v>1.9530000000000001E-3</v>
      </c>
      <c r="N46" s="4">
        <v>5.0239999999999996E-4</v>
      </c>
      <c r="O46">
        <v>1.3242</v>
      </c>
      <c r="P46">
        <v>0.4541</v>
      </c>
      <c r="Q46">
        <v>254.2</v>
      </c>
      <c r="R46">
        <v>115.4</v>
      </c>
      <c r="S46">
        <v>0.12529999999999999</v>
      </c>
      <c r="T46" s="4">
        <v>2.214E-2</v>
      </c>
      <c r="V46" s="1">
        <f t="shared" si="0"/>
        <v>0.49212598425196852</v>
      </c>
      <c r="W46">
        <f t="shared" si="1"/>
        <v>9.970916221702434E-3</v>
      </c>
    </row>
    <row r="47" spans="2:23">
      <c r="B47">
        <v>29</v>
      </c>
      <c r="C47" s="4">
        <v>11300</v>
      </c>
      <c r="D47">
        <v>0</v>
      </c>
      <c r="E47">
        <v>3.24</v>
      </c>
      <c r="F47">
        <v>0.16139999999999999</v>
      </c>
      <c r="G47">
        <v>191</v>
      </c>
      <c r="H47">
        <v>10.3</v>
      </c>
      <c r="I47">
        <v>22.580400000000001</v>
      </c>
      <c r="J47">
        <v>0.82140000000000002</v>
      </c>
      <c r="K47">
        <v>0.49180000000000001</v>
      </c>
      <c r="L47">
        <v>0.14582999999999999</v>
      </c>
      <c r="M47" s="4">
        <v>1.5089999999999999E-3</v>
      </c>
      <c r="N47" s="4">
        <v>4.4729999999999998E-4</v>
      </c>
      <c r="O47">
        <v>1.0108999999999999</v>
      </c>
      <c r="P47">
        <v>0.40400000000000003</v>
      </c>
      <c r="Q47">
        <v>232.6</v>
      </c>
      <c r="R47">
        <v>93.96</v>
      </c>
      <c r="S47">
        <v>9.7199999999999995E-2</v>
      </c>
      <c r="T47" s="4">
        <v>2.2849999999999999E-2</v>
      </c>
      <c r="V47" s="1">
        <f t="shared" si="0"/>
        <v>0.50519127586927748</v>
      </c>
      <c r="W47">
        <f t="shared" si="1"/>
        <v>8.8723953575251483E-3</v>
      </c>
    </row>
    <row r="48" spans="2:23">
      <c r="B48">
        <v>30</v>
      </c>
      <c r="C48" s="4">
        <v>11400</v>
      </c>
      <c r="D48">
        <v>0</v>
      </c>
      <c r="E48">
        <v>2.3319999999999999</v>
      </c>
      <c r="F48">
        <v>0.1444</v>
      </c>
      <c r="G48">
        <v>172.4</v>
      </c>
      <c r="H48">
        <v>10.3</v>
      </c>
      <c r="I48">
        <v>20.446300000000001</v>
      </c>
      <c r="J48">
        <v>0.81879999999999997</v>
      </c>
      <c r="K48">
        <v>0.40579999999999999</v>
      </c>
      <c r="L48">
        <v>0.14954000000000001</v>
      </c>
      <c r="M48" s="4">
        <v>1.067E-3</v>
      </c>
      <c r="N48" s="4">
        <v>3.9330000000000002E-4</v>
      </c>
      <c r="O48">
        <v>0.70740000000000003</v>
      </c>
      <c r="P48">
        <v>0.33229999999999998</v>
      </c>
      <c r="Q48">
        <v>210.6</v>
      </c>
      <c r="R48">
        <v>69.97</v>
      </c>
      <c r="S48">
        <v>7.0000000000000007E-2</v>
      </c>
      <c r="T48" s="4">
        <v>2.4230000000000002E-2</v>
      </c>
      <c r="V48" s="1">
        <f t="shared" si="0"/>
        <v>0.51802735184417736</v>
      </c>
      <c r="W48">
        <f t="shared" si="1"/>
        <v>7.7994783447575024E-3</v>
      </c>
    </row>
  </sheetData>
  <phoneticPr fontId="29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BC242"/>
  <sheetViews>
    <sheetView zoomScale="90" workbookViewId="0">
      <selection activeCell="W4" sqref="W4:W209"/>
    </sheetView>
  </sheetViews>
  <sheetFormatPr defaultRowHeight="12.75"/>
  <cols>
    <col min="10" max="11" width="9.28515625" bestFit="1" customWidth="1"/>
    <col min="12" max="12" width="9.28515625" customWidth="1"/>
  </cols>
  <sheetData>
    <row r="1" spans="1:55">
      <c r="B1" s="58" t="s">
        <v>598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98"/>
      <c r="R1" s="98"/>
      <c r="S1" s="126"/>
    </row>
    <row r="2" spans="1:55">
      <c r="B2" s="58" t="s">
        <v>599</v>
      </c>
      <c r="C2" s="58"/>
      <c r="D2" s="6" t="s">
        <v>613</v>
      </c>
      <c r="E2" s="6" t="s">
        <v>614</v>
      </c>
      <c r="F2" s="58" t="s">
        <v>600</v>
      </c>
      <c r="G2" s="6" t="s">
        <v>644</v>
      </c>
      <c r="H2" s="6" t="s">
        <v>645</v>
      </c>
      <c r="I2" s="6" t="s">
        <v>646</v>
      </c>
      <c r="J2" s="6" t="s">
        <v>647</v>
      </c>
      <c r="K2" s="6" t="s">
        <v>601</v>
      </c>
      <c r="L2" s="6" t="s">
        <v>648</v>
      </c>
      <c r="M2" s="6" t="s">
        <v>649</v>
      </c>
      <c r="N2" s="6" t="s">
        <v>602</v>
      </c>
      <c r="O2" s="6" t="s">
        <v>642</v>
      </c>
      <c r="P2" s="6" t="s">
        <v>650</v>
      </c>
      <c r="Q2" s="19" t="s">
        <v>651</v>
      </c>
      <c r="R2" s="6" t="s">
        <v>786</v>
      </c>
      <c r="S2" s="5" t="s">
        <v>652</v>
      </c>
      <c r="T2" s="6" t="s">
        <v>653</v>
      </c>
      <c r="U2" s="6" t="s">
        <v>654</v>
      </c>
      <c r="V2" s="6" t="s">
        <v>631</v>
      </c>
      <c r="W2" s="6" t="s">
        <v>802</v>
      </c>
      <c r="X2" s="6" t="s">
        <v>656</v>
      </c>
      <c r="Y2" s="6" t="s">
        <v>655</v>
      </c>
      <c r="Z2" s="6" t="s">
        <v>657</v>
      </c>
      <c r="AA2" s="6" t="s">
        <v>787</v>
      </c>
      <c r="AB2" s="109" t="s">
        <v>668</v>
      </c>
      <c r="AC2" s="3" t="s">
        <v>658</v>
      </c>
      <c r="AD2" s="110" t="s">
        <v>659</v>
      </c>
      <c r="AE2" s="110" t="s">
        <v>660</v>
      </c>
      <c r="AF2" s="110" t="s">
        <v>661</v>
      </c>
      <c r="AG2" s="110" t="s">
        <v>662</v>
      </c>
      <c r="AH2" s="110" t="s">
        <v>663</v>
      </c>
      <c r="AI2" s="110" t="s">
        <v>664</v>
      </c>
      <c r="AJ2" s="110" t="s">
        <v>665</v>
      </c>
      <c r="AK2" s="110" t="s">
        <v>666</v>
      </c>
      <c r="AL2" s="110" t="s">
        <v>667</v>
      </c>
      <c r="AM2" s="110" t="s">
        <v>670</v>
      </c>
      <c r="AN2" s="6"/>
      <c r="AO2" s="19"/>
      <c r="AP2" s="5"/>
      <c r="AQ2" s="6"/>
      <c r="AR2" s="6"/>
      <c r="AS2" s="6"/>
    </row>
    <row r="3" spans="1:55">
      <c r="A3" s="7">
        <v>2</v>
      </c>
      <c r="B3" s="58" t="s">
        <v>603</v>
      </c>
      <c r="C3" s="58" t="s">
        <v>604</v>
      </c>
      <c r="D3" s="58" t="s">
        <v>720</v>
      </c>
      <c r="E3" s="72"/>
      <c r="F3" s="58" t="str">
        <f>IF([1]Variáveis!$J$7=1," ",IF([1]Variáveis!$J$7=2," m"," m"))</f>
        <v xml:space="preserve"> </v>
      </c>
      <c r="G3" s="58" t="s">
        <v>604</v>
      </c>
      <c r="H3" s="58" t="s">
        <v>605</v>
      </c>
      <c r="I3" s="58">
        <f>COUNT(Main!C21:C40)</f>
        <v>20</v>
      </c>
      <c r="J3" s="58" t="s">
        <v>606</v>
      </c>
      <c r="K3" s="58">
        <f>COUNT(Main!B45:B54)</f>
        <v>10</v>
      </c>
      <c r="M3" s="58"/>
      <c r="N3" s="58"/>
      <c r="O3" s="58"/>
      <c r="P3" s="58"/>
      <c r="Q3" s="17"/>
      <c r="R3" s="17"/>
      <c r="AF3" s="28"/>
      <c r="AG3" s="6"/>
      <c r="AH3" s="6"/>
      <c r="AI3" s="6"/>
      <c r="AJ3" s="6"/>
      <c r="AK3" s="6"/>
      <c r="AL3" s="6"/>
      <c r="AM3" s="6"/>
      <c r="AN3" s="6"/>
      <c r="AO3" s="6"/>
    </row>
    <row r="4" spans="1:55">
      <c r="A4" s="7">
        <v>1</v>
      </c>
      <c r="C4" s="58"/>
      <c r="D4" s="1">
        <f ca="1">IF(AND(Energy!$F$11=$A$3,Main!$B$43=A4),Main!C21,D4)</f>
        <v>4</v>
      </c>
      <c r="E4" s="72">
        <f ca="1">IF(AND(Energy!$F$11=$A$3,Main!$B$43=A4),Main!B21,E4)</f>
        <v>0.2</v>
      </c>
      <c r="F4" s="72">
        <f ca="1">IF(Main!$D$6=1,U4,IF(Main!$D$6=2,N4,IF(Main!$D$6=3,K4,IF(Main!$D$6=4,V4,J4))))</f>
        <v>555.82943505280559</v>
      </c>
      <c r="G4" s="72">
        <f ca="1">IF(AND(Energy!$F$11=$A$3,Main!$B$43=A4),Weight!H21,G4)</f>
        <v>15</v>
      </c>
      <c r="H4" s="72">
        <f ca="1">IF(AND(Energy!$F$11=$A$3,Main!$B$43=A4),Weight!U21,H4)</f>
        <v>10.446450879146298</v>
      </c>
      <c r="I4" s="72">
        <f ca="1">IF(AND(Energy!$F$11=$A$3,Main!$B$43=A4),Weight!V21,I4)</f>
        <v>38.874491582271304</v>
      </c>
      <c r="J4" s="72">
        <f ca="1">IF(AND(Energy!$F$11=$A$3,Main!$B$43=A4),Weight!I21,J4)</f>
        <v>23.490392428125002</v>
      </c>
      <c r="K4" s="72">
        <f ca="1">IF(AND(Energy!$F$11=$A$3,Main!$B$43=A4),Weight!W21,K4)</f>
        <v>53.874491582271304</v>
      </c>
      <c r="L4" s="72">
        <f ca="1">IF(AND(Energy!$F$11=$A$3,Main!$B$43=A4),'Aerodynamics-Cruise'!BI21,L4)</f>
        <v>53.874491582271304</v>
      </c>
      <c r="M4" s="72">
        <f ca="1">IF(AND(Energy!$F$11=$A$3,Main!$B$43=A4),'Aerodynamics-Cruise'!BJ21,M4)</f>
        <v>2.6597300484665451</v>
      </c>
      <c r="N4" s="72">
        <f ca="1">IF(AND(Energy!$F$11=$A$3,Main!$B$43=A4),'Aerodynamics-Cruise'!BK21,N4)</f>
        <v>20.255623916920587</v>
      </c>
      <c r="O4" s="72">
        <f t="shared" ref="O4:O35" ca="1" si="0">L4^(3/2)/M4</f>
        <v>148.674750135474</v>
      </c>
      <c r="P4" s="72">
        <f ca="1">IF(AND(Energy!$F$11=$A$3,Main!$B$43=A4),'Aerodynamics-Cruise'!H21,P4)</f>
        <v>11.085213689716081</v>
      </c>
      <c r="Q4" s="72">
        <f ca="1">IF(AND(Energy!$F$11=$A$3,Main!$B$43=A4),'Aerodynamics-Cruise'!I21,Q4)</f>
        <v>9.4606149338084045</v>
      </c>
      <c r="R4" s="72">
        <f ca="1">IF(AND(Energy!$F$11=$A$3,Main!$B$43=$A4),Summary!R21,R4)</f>
        <v>6.8753138136593615</v>
      </c>
      <c r="S4" s="72">
        <f ca="1">IF(AND(Energy!$F$11=$A$3,Main!$B$43=A4),'Aerodynamics-Cruise'!W21,S4)</f>
        <v>1</v>
      </c>
      <c r="T4" s="72">
        <f ca="1">IF(AND(Energy!$F$11=$A$3,Main!$B$43=A4),'Aerodynamics-Cruise'!BL21,T4)</f>
        <v>29.483675944210564</v>
      </c>
      <c r="U4" s="72">
        <f ca="1">IF(AND(Energy!$F$11=$A$3,Main!$B$43=A4),'Propulsion-Cruise'!M21,U4)</f>
        <v>60.346324897207374</v>
      </c>
      <c r="V4" s="72">
        <f ca="1">IF(AND(Energy!$F$11=$A$3,Main!$B$43=A4),Endurance!AP21,V4)</f>
        <v>555.82943505280559</v>
      </c>
      <c r="W4" s="72">
        <f ca="1">IF(AND(Energy!$F$11=$A$3,Main!$B$43=$A4),Summary!W21,W4)</f>
        <v>0.8</v>
      </c>
      <c r="X4" s="13">
        <f ca="1">IF(AND(Energy!$F$11=$A$3,Main!$B$43=A4),Energy!D21,X4)</f>
        <v>1182.0301388888888</v>
      </c>
      <c r="Y4" s="126">
        <f ca="1">IF(AND(Energy!$F$11=$A$3,Main!$B$43=A4),'Aerodynamics-Cruise'!V21,Y4)</f>
        <v>140611.01475421232</v>
      </c>
      <c r="Z4" s="126">
        <f ca="1">IF(AND(Energy!$F$11=$A$3,Main!$B$43=$A4),Summary!Z21,Z4)</f>
        <v>106279.68433035338</v>
      </c>
      <c r="AA4" s="126">
        <f ca="1">IF(AND(Energy!$F$11=$A$3,Main!$B$43=$A4),Summary!AA21,AA4)</f>
        <v>106279.68433035338</v>
      </c>
      <c r="AB4" s="72">
        <f ca="1">IF(AND(Energy!$F$11=$A$3,Main!$B$43=$A4),Summary!AB21,AB4)</f>
        <v>6.8753138136593615</v>
      </c>
      <c r="AC4" s="72">
        <f ca="1">IF(AND(Energy!$F$11=$A$3,Main!$B$43=$A4),Summary!AC21,AC4)</f>
        <v>3.1513266546476371</v>
      </c>
      <c r="AD4" s="72">
        <f ca="1">IF(AND(Energy!$F$11=$A$3,Main!$B$43=$A4),Summary!AD21,AD4)</f>
        <v>0.44683921635721746</v>
      </c>
      <c r="AE4" s="72">
        <f ca="1">IF(AND(Energy!$F$11=$A$3,Main!$B$43=$A4),Summary!AE21,AE4)</f>
        <v>0.8</v>
      </c>
      <c r="AF4" s="72">
        <f ca="1">IF(AND(Energy!$F$11=$A$3,Main!$B$43=$A4),Summary!AF21,AF4)</f>
        <v>20</v>
      </c>
      <c r="AG4" s="72">
        <f ca="1">IF(AND(Energy!$F$11=$A$3,Main!$B$43=$A4),Summary!AG21,AG4)</f>
        <v>11.620160986249022</v>
      </c>
      <c r="AH4" s="72">
        <f ca="1">IF(AND(Energy!$F$11=$A$3,Main!$B$43=$A4),Summary!AH21,AH4)</f>
        <v>47</v>
      </c>
      <c r="AI4" s="72">
        <f ca="1">IF(AND(Energy!$F$11=$A$3,Main!$B$43=$A4),Summary!AI21,AI4)</f>
        <v>2.6909490678313812</v>
      </c>
      <c r="AJ4" s="72">
        <f ca="1">IF(AND(Energy!$F$11=$A$3,Main!$B$43=$A4),Summary!AJ21,AJ4)</f>
        <v>0.26540403419551023</v>
      </c>
      <c r="AK4" s="72">
        <f ca="1">IF(AND(Energy!$F$11=$A$3,Main!$B$43=$A4),Summary!AK21,AK4)</f>
        <v>0.01</v>
      </c>
      <c r="AL4" s="72">
        <f ca="1">IF(AND(Energy!$F$11=$A$3,Main!$B$43=$A4),Summary!AL21,AL4)</f>
        <v>-0.47109267657140574</v>
      </c>
      <c r="AM4" s="72">
        <f ca="1">IF(AND(Energy!$F$11=$A$3,Main!$B$43=$A4),Summary!AM21,AM4)</f>
        <v>0</v>
      </c>
      <c r="AN4" s="6"/>
      <c r="AO4" s="6"/>
    </row>
    <row r="5" spans="1:55">
      <c r="A5">
        <f t="shared" ref="A5:A23" si="1">A4</f>
        <v>1</v>
      </c>
      <c r="D5" s="1">
        <f ca="1">IF(AND(Energy!$F$11=$A$3,Main!$B$43=A5),Main!C22,D5)</f>
        <v>4.1578947368421053</v>
      </c>
      <c r="E5" s="72">
        <f ca="1">IF(AND(Energy!$F$11=$A$3,Main!$B$43=A5),Main!B22,E5)</f>
        <v>0.2</v>
      </c>
      <c r="F5" s="72">
        <f ca="1">IF(Main!$D$6=1,U5,IF(Main!$D$6=2,N5,IF(Main!$D$6=3,K5,IF(Main!$D$6=4,V5,J5))))</f>
        <v>550.77918703351577</v>
      </c>
      <c r="G5" s="72">
        <f ca="1">IF(AND(Energy!$F$11=$A$3,Main!$B$43=A5),Weight!H22,G5)</f>
        <v>15</v>
      </c>
      <c r="H5" s="72">
        <f ca="1">IF(AND(Energy!$F$11=$A$3,Main!$B$43=A5),Weight!U22,H5)</f>
        <v>10.776850264182151</v>
      </c>
      <c r="I5" s="72">
        <f ca="1">IF(AND(Energy!$F$11=$A$3,Main!$B$43=A5),Weight!V22,I5)</f>
        <v>39.204890967307151</v>
      </c>
      <c r="J5" s="72">
        <f ca="1">IF(AND(Energy!$F$11=$A$3,Main!$B$43=A5),Weight!I22,J5)</f>
        <v>23.490392428125002</v>
      </c>
      <c r="K5" s="72">
        <f ca="1">IF(AND(Energy!$F$11=$A$3,Main!$B$43=A5),Weight!W22,K5)</f>
        <v>54.204890967307158</v>
      </c>
      <c r="L5" s="72">
        <f ca="1">IF(AND(Energy!$F$11=$A$3,Main!$B$43=A5),'Aerodynamics-Cruise'!BI22,L5)</f>
        <v>54.204890967307144</v>
      </c>
      <c r="M5" s="72">
        <f ca="1">IF(AND(Energy!$F$11=$A$3,Main!$B$43=A5),'Aerodynamics-Cruise'!BJ22,M5)</f>
        <v>2.6657653105304728</v>
      </c>
      <c r="N5" s="72">
        <f ca="1">IF(AND(Energy!$F$11=$A$3,Main!$B$43=A5),'Aerodynamics-Cruise'!BK22,N5)</f>
        <v>20.333707079608093</v>
      </c>
      <c r="O5" s="72">
        <f t="shared" ca="1" si="0"/>
        <v>149.70482590979486</v>
      </c>
      <c r="P5" s="72">
        <f ca="1">IF(AND(Energy!$F$11=$A$3,Main!$B$43=A5),'Aerodynamics-Cruise'!H22,P5)</f>
        <v>10.905934575461826</v>
      </c>
      <c r="Q5" s="72">
        <f ca="1">IF(AND(Energy!$F$11=$A$3,Main!$B$43=A5),'Aerodynamics-Cruise'!I22,Q5)</f>
        <v>9.3138180417523966</v>
      </c>
      <c r="R5" s="72">
        <f ca="1">IF(AND(Energy!$F$11=$A$3,Main!$B$43=$A5),Summary!R22,R5)</f>
        <v>6.6981861021741125</v>
      </c>
      <c r="S5" s="72">
        <f ca="1">IF(AND(Energy!$F$11=$A$3,Main!$B$43=A5),'Aerodynamics-Cruise'!W22,S5)</f>
        <v>1</v>
      </c>
      <c r="T5" s="72">
        <f ca="1">IF(AND(Energy!$F$11=$A$3,Main!$B$43=A5),'Aerodynamics-Cruise'!BL22,T5)</f>
        <v>29.072662070181014</v>
      </c>
      <c r="U5" s="72">
        <f ca="1">IF(AND(Energy!$F$11=$A$3,Main!$B$43=A5),'Propulsion-Cruise'!M22,U5)</f>
        <v>59.674788654589449</v>
      </c>
      <c r="V5" s="72">
        <f ca="1">IF(AND(Energy!$F$11=$A$3,Main!$B$43=A5),Endurance!AP22,V5)</f>
        <v>550.77918703351577</v>
      </c>
      <c r="W5" s="72">
        <f ca="1">IF(AND(Energy!$F$11=$A$3,Main!$B$43=$A5),Summary!W22,W5)</f>
        <v>0.83157894736842108</v>
      </c>
      <c r="X5" s="13">
        <f ca="1">IF(AND(Energy!$F$11=$A$3,Main!$B$43=A5),Energy!D22,X5)</f>
        <v>1182.0301388888888</v>
      </c>
      <c r="Y5" s="126">
        <f ca="1">IF(AND(Energy!$F$11=$A$3,Main!$B$43=A5),'Aerodynamics-Cruise'!V22,Y5)</f>
        <v>138336.93877470156</v>
      </c>
      <c r="Z5" s="126">
        <f ca="1">IF(AND(Energy!$F$11=$A$3,Main!$B$43=$A5),Summary!Z22,Z5)</f>
        <v>104627.85972958594</v>
      </c>
      <c r="AA5" s="126">
        <f ca="1">IF(AND(Energy!$F$11=$A$3,Main!$B$43=$A5),Summary!AA22,AA5)</f>
        <v>104627.85972958594</v>
      </c>
      <c r="AB5" s="72">
        <f ca="1">IF(AND(Energy!$F$11=$A$3,Main!$B$43=$A5),Summary!AB22,AB5)</f>
        <v>6.6981861021741125</v>
      </c>
      <c r="AC5" s="72">
        <f ca="1">IF(AND(Energy!$F$11=$A$3,Main!$B$43=$A5),Summary!AC22,AC5)</f>
        <v>3.0962493641281492</v>
      </c>
      <c r="AD5" s="72">
        <f ca="1">IF(AND(Energy!$F$11=$A$3,Main!$B$43=$A5),Summary!AD22,AD5)</f>
        <v>0.44286596841134074</v>
      </c>
      <c r="AE5" s="72">
        <f ca="1">IF(AND(Energy!$F$11=$A$3,Main!$B$43=$A5),Summary!AE22,AE5)</f>
        <v>0.83157894736842108</v>
      </c>
      <c r="AF5" s="72">
        <f ca="1">IF(AND(Energy!$F$11=$A$3,Main!$B$43=$A5),Summary!AF22,AF5)</f>
        <v>20.789473684210524</v>
      </c>
      <c r="AG5" s="72">
        <f ca="1">IF(AND(Energy!$F$11=$A$3,Main!$B$43=$A5),Summary!AG22,AG5)</f>
        <v>11.57059079256894</v>
      </c>
      <c r="AH5" s="72">
        <f ca="1">IF(AND(Energy!$F$11=$A$3,Main!$B$43=$A5),Summary!AH22,AH5)</f>
        <v>47</v>
      </c>
      <c r="AI5" s="72">
        <f ca="1">IF(AND(Energy!$F$11=$A$3,Main!$B$43=$A5),Summary!AI22,AI5)</f>
        <v>2.6873630971617462</v>
      </c>
      <c r="AJ5" s="72">
        <f ca="1">IF(AND(Energy!$F$11=$A$3,Main!$B$43=$A5),Summary!AJ22,AJ5)</f>
        <v>0.26614084688973688</v>
      </c>
      <c r="AK5" s="72">
        <f ca="1">IF(AND(Energy!$F$11=$A$3,Main!$B$43=$A5),Summary!AK22,AK5)</f>
        <v>0.01</v>
      </c>
      <c r="AL5" s="72">
        <f ca="1">IF(AND(Energy!$F$11=$A$3,Main!$B$43=$A5),Summary!AL22,AL5)</f>
        <v>-0.46979689405037167</v>
      </c>
      <c r="AM5" s="72">
        <f ca="1">IF(AND(Energy!$F$11=$A$3,Main!$B$43=$A5),Summary!AM22,AM5)</f>
        <v>0</v>
      </c>
      <c r="AN5" s="6"/>
      <c r="AO5" s="6"/>
    </row>
    <row r="6" spans="1:55">
      <c r="A6">
        <f t="shared" si="1"/>
        <v>1</v>
      </c>
      <c r="C6" s="58"/>
      <c r="D6" s="1">
        <f ca="1">IF(AND(Energy!$F$11=$A$3,Main!$B$43=A6),Main!C23,D6)</f>
        <v>4.3157894736842106</v>
      </c>
      <c r="E6" s="72">
        <f ca="1">IF(AND(Energy!$F$11=$A$3,Main!$B$43=A6),Main!B23,E6)</f>
        <v>0.2</v>
      </c>
      <c r="F6" s="72">
        <f ca="1">IF(Main!$D$6=1,U6,IF(Main!$D$6=2,N6,IF(Main!$D$6=3,K6,IF(Main!$D$6=4,V6,J6))))</f>
        <v>546.5938081430354</v>
      </c>
      <c r="G6" s="72">
        <f ca="1">IF(AND(Energy!$F$11=$A$3,Main!$B$43=A6),Weight!H23,G6)</f>
        <v>15</v>
      </c>
      <c r="H6" s="72">
        <f ca="1">IF(AND(Energy!$F$11=$A$3,Main!$B$43=A6),Weight!U23,H6)</f>
        <v>11.113869162179085</v>
      </c>
      <c r="I6" s="72">
        <f ca="1">IF(AND(Energy!$F$11=$A$3,Main!$B$43=A6),Weight!V23,I6)</f>
        <v>39.541909865304092</v>
      </c>
      <c r="J6" s="72">
        <f ca="1">IF(AND(Energy!$F$11=$A$3,Main!$B$43=A6),Weight!I23,J6)</f>
        <v>23.490392428125002</v>
      </c>
      <c r="K6" s="72">
        <f ca="1">IF(AND(Energy!$F$11=$A$3,Main!$B$43=A6),Weight!W23,K6)</f>
        <v>54.541909865304092</v>
      </c>
      <c r="L6" s="72">
        <f ca="1">IF(AND(Energy!$F$11=$A$3,Main!$B$43=A6),'Aerodynamics-Cruise'!BI23,L6)</f>
        <v>54.541909865304092</v>
      </c>
      <c r="M6" s="72">
        <f ca="1">IF(AND(Energy!$F$11=$A$3,Main!$B$43=A6),'Aerodynamics-Cruise'!BJ23,M6)</f>
        <v>2.6740394697692742</v>
      </c>
      <c r="N6" s="72">
        <f ca="1">IF(AND(Energy!$F$11=$A$3,Main!$B$43=A6),'Aerodynamics-Cruise'!BK23,N6)</f>
        <v>20.3968230394184</v>
      </c>
      <c r="O6" s="72">
        <f t="shared" ca="1" si="0"/>
        <v>150.63562672268176</v>
      </c>
      <c r="P6" s="72">
        <f ca="1">IF(AND(Energy!$F$11=$A$3,Main!$B$43=A6),'Aerodynamics-Cruise'!H23,P6)</f>
        <v>10.73775738810067</v>
      </c>
      <c r="Q6" s="72">
        <f ca="1">IF(AND(Energy!$F$11=$A$3,Main!$B$43=A6),'Aerodynamics-Cruise'!I23,Q6)</f>
        <v>9.1760192285117075</v>
      </c>
      <c r="R6" s="72">
        <f ca="1">IF(AND(Energy!$F$11=$A$3,Main!$B$43=$A6),Summary!R23,R6)</f>
        <v>6.5363863967743301</v>
      </c>
      <c r="S6" s="72">
        <f ca="1">IF(AND(Energy!$F$11=$A$3,Main!$B$43=A6),'Aerodynamics-Cruise'!W23,S6)</f>
        <v>1</v>
      </c>
      <c r="T6" s="72">
        <f ca="1">IF(AND(Energy!$F$11=$A$3,Main!$B$43=A6),'Aerodynamics-Cruise'!BL23,T6)</f>
        <v>28.713187072587822</v>
      </c>
      <c r="U6" s="72">
        <f ca="1">IF(AND(Energy!$F$11=$A$3,Main!$B$43=A6),'Propulsion-Cruise'!M23,U6)</f>
        <v>59.102463866684623</v>
      </c>
      <c r="V6" s="72">
        <f ca="1">IF(AND(Energy!$F$11=$A$3,Main!$B$43=A6),Endurance!AP23,V6)</f>
        <v>546.5938081430354</v>
      </c>
      <c r="W6" s="72">
        <f ca="1">IF(AND(Energy!$F$11=$A$3,Main!$B$43=$A6),Summary!W23,W6)</f>
        <v>0.86315789473684212</v>
      </c>
      <c r="X6" s="13">
        <f ca="1">IF(AND(Energy!$F$11=$A$3,Main!$B$43=A6),Energy!D23,X6)</f>
        <v>1182.0301388888888</v>
      </c>
      <c r="Y6" s="126">
        <f ca="1">IF(AND(Energy!$F$11=$A$3,Main!$B$43=A6),'Aerodynamics-Cruise'!V23,Y6)</f>
        <v>136203.68580951067</v>
      </c>
      <c r="Z6" s="126">
        <f ca="1">IF(AND(Energy!$F$11=$A$3,Main!$B$43=$A6),Summary!Z23,Z6)</f>
        <v>103077.32617009971</v>
      </c>
      <c r="AA6" s="126">
        <f ca="1">IF(AND(Energy!$F$11=$A$3,Main!$B$43=$A6),Summary!AA23,AA6)</f>
        <v>103077.32617009971</v>
      </c>
      <c r="AB6" s="72">
        <f ca="1">IF(AND(Energy!$F$11=$A$3,Main!$B$43=$A6),Summary!AB23,AB6)</f>
        <v>6.5363863967743301</v>
      </c>
      <c r="AC6" s="72">
        <f ca="1">IF(AND(Energy!$F$11=$A$3,Main!$B$43=$A6),Summary!AC23,AC6)</f>
        <v>3.0427003449659948</v>
      </c>
      <c r="AD6" s="72">
        <f ca="1">IF(AND(Energy!$F$11=$A$3,Main!$B$43=$A6),Summary!AD23,AD6)</f>
        <v>0.43924792872531609</v>
      </c>
      <c r="AE6" s="72">
        <f ca="1">IF(AND(Energy!$F$11=$A$3,Main!$B$43=$A6),Summary!AE23,AE6)</f>
        <v>0.86315789473684212</v>
      </c>
      <c r="AF6" s="72">
        <f ca="1">IF(AND(Energy!$F$11=$A$3,Main!$B$43=$A6),Summary!AF23,AF6)</f>
        <v>21.578947368421055</v>
      </c>
      <c r="AG6" s="72">
        <f ca="1">IF(AND(Energy!$F$11=$A$3,Main!$B$43=$A6),Summary!AG23,AG6)</f>
        <v>11.5308898778756</v>
      </c>
      <c r="AH6" s="72">
        <f ca="1">IF(AND(Energy!$F$11=$A$3,Main!$B$43=$A6),Summary!AH23,AH6)</f>
        <v>47</v>
      </c>
      <c r="AI6" s="72">
        <f ca="1">IF(AND(Energy!$F$11=$A$3,Main!$B$43=$A6),Summary!AI23,AI6)</f>
        <v>2.6839512036854152</v>
      </c>
      <c r="AJ6" s="72">
        <f ca="1">IF(AND(Energy!$F$11=$A$3,Main!$B$43=$A6),Summary!AJ23,AJ6)</f>
        <v>0.26682791690476565</v>
      </c>
      <c r="AK6" s="72">
        <f ca="1">IF(AND(Energy!$F$11=$A$3,Main!$B$43=$A6),Summary!AK23,AK6)</f>
        <v>0.01</v>
      </c>
      <c r="AL6" s="72">
        <f ca="1">IF(AND(Energy!$F$11=$A$3,Main!$B$43=$A6),Summary!AL23,AL6)</f>
        <v>-0.46859522883767663</v>
      </c>
      <c r="AM6" s="72">
        <f ca="1">IF(AND(Energy!$F$11=$A$3,Main!$B$43=$A6),Summary!AM23,AM6)</f>
        <v>0</v>
      </c>
      <c r="AN6" s="6"/>
      <c r="AO6" s="6"/>
    </row>
    <row r="7" spans="1:55">
      <c r="A7">
        <f t="shared" si="1"/>
        <v>1</v>
      </c>
      <c r="C7" s="58"/>
      <c r="D7" s="1">
        <f ca="1">IF(AND(Energy!$F$11=$A$3,Main!$B$43=A7),Main!C24,D7)</f>
        <v>4.4736842105263159</v>
      </c>
      <c r="E7" s="72">
        <f ca="1">IF(AND(Energy!$F$11=$A$3,Main!$B$43=A7),Main!B24,E7)</f>
        <v>0.2</v>
      </c>
      <c r="F7" s="72">
        <f ca="1">IF(Main!$D$6=1,U7,IF(Main!$D$6=2,N7,IF(Main!$D$6=3,K7,IF(Main!$D$6=4,V7,J7))))</f>
        <v>543.17579958860358</v>
      </c>
      <c r="G7" s="72">
        <f ca="1">IF(AND(Energy!$F$11=$A$3,Main!$B$43=A7),Weight!H24,G7)</f>
        <v>15</v>
      </c>
      <c r="H7" s="72">
        <f ca="1">IF(AND(Energy!$F$11=$A$3,Main!$B$43=A7),Weight!U24,H7)</f>
        <v>11.457484407258718</v>
      </c>
      <c r="I7" s="72">
        <f ca="1">IF(AND(Energy!$F$11=$A$3,Main!$B$43=A7),Weight!V24,I7)</f>
        <v>39.885525110383725</v>
      </c>
      <c r="J7" s="72">
        <f ca="1">IF(AND(Energy!$F$11=$A$3,Main!$B$43=A7),Weight!I24,J7)</f>
        <v>23.490392428125002</v>
      </c>
      <c r="K7" s="72">
        <f ca="1">IF(AND(Energy!$F$11=$A$3,Main!$B$43=A7),Weight!W24,K7)</f>
        <v>54.885525110383725</v>
      </c>
      <c r="L7" s="72">
        <f ca="1">IF(AND(Energy!$F$11=$A$3,Main!$B$43=A7),'Aerodynamics-Cruise'!BI24,L7)</f>
        <v>54.885525110383725</v>
      </c>
      <c r="M7" s="72">
        <f ca="1">IF(AND(Energy!$F$11=$A$3,Main!$B$43=A7),'Aerodynamics-Cruise'!BJ24,M7)</f>
        <v>2.6843160636848249</v>
      </c>
      <c r="N7" s="72">
        <f ca="1">IF(AND(Energy!$F$11=$A$3,Main!$B$43=A7),'Aerodynamics-Cruise'!BK24,N7)</f>
        <v>20.446744648631672</v>
      </c>
      <c r="O7" s="72">
        <f t="shared" ca="1" si="0"/>
        <v>151.47922869271935</v>
      </c>
      <c r="P7" s="72">
        <f ca="1">IF(AND(Energy!$F$11=$A$3,Main!$B$43=A7),'Aerodynamics-Cruise'!H24,P7)</f>
        <v>10.57969459257048</v>
      </c>
      <c r="Q7" s="72">
        <f ca="1">IF(AND(Energy!$F$11=$A$3,Main!$B$43=A7),'Aerodynamics-Cruise'!I24,Q7)</f>
        <v>9.0464251465196117</v>
      </c>
      <c r="R7" s="72">
        <f ca="1">IF(AND(Energy!$F$11=$A$3,Main!$B$43=$A7),Summary!R24,R7)</f>
        <v>6.3882936856805239</v>
      </c>
      <c r="S7" s="72">
        <f ca="1">IF(AND(Energy!$F$11=$A$3,Main!$B$43=A7),'Aerodynamics-Cruise'!W24,S7)</f>
        <v>1</v>
      </c>
      <c r="T7" s="72">
        <f ca="1">IF(AND(Energy!$F$11=$A$3,Main!$B$43=A7),'Aerodynamics-Cruise'!BL24,T7)</f>
        <v>28.399244143716416</v>
      </c>
      <c r="U7" s="72">
        <f ca="1">IF(AND(Energy!$F$11=$A$3,Main!$B$43=A7),'Propulsion-Cruise'!M24,U7)</f>
        <v>58.618029828254755</v>
      </c>
      <c r="V7" s="72">
        <f ca="1">IF(AND(Energy!$F$11=$A$3,Main!$B$43=A7),Endurance!AP24,V7)</f>
        <v>543.17579958860358</v>
      </c>
      <c r="W7" s="72">
        <f ca="1">IF(AND(Energy!$F$11=$A$3,Main!$B$43=$A7),Summary!W24,W7)</f>
        <v>0.89473684210526327</v>
      </c>
      <c r="X7" s="13">
        <f ca="1">IF(AND(Energy!$F$11=$A$3,Main!$B$43=A7),Energy!D24,X7)</f>
        <v>1182.0301388888888</v>
      </c>
      <c r="Y7" s="126">
        <f ca="1">IF(AND(Energy!$F$11=$A$3,Main!$B$43=A7),'Aerodynamics-Cruise'!V24,Y7)</f>
        <v>134198.72941475877</v>
      </c>
      <c r="Z7" s="126">
        <f ca="1">IF(AND(Energy!$F$11=$A$3,Main!$B$43=$A7),Summary!Z24,Z7)</f>
        <v>101619.1498578022</v>
      </c>
      <c r="AA7" s="126">
        <f ca="1">IF(AND(Energy!$F$11=$A$3,Main!$B$43=$A7),Summary!AA24,AA7)</f>
        <v>101619.1498578022</v>
      </c>
      <c r="AB7" s="72">
        <f ca="1">IF(AND(Energy!$F$11=$A$3,Main!$B$43=$A7),Summary!AB24,AB7)</f>
        <v>6.3882936856805239</v>
      </c>
      <c r="AC7" s="72">
        <f ca="1">IF(AND(Energy!$F$11=$A$3,Main!$B$43=$A7),Summary!AC24,AC7)</f>
        <v>2.990634149472128</v>
      </c>
      <c r="AD7" s="72">
        <f ca="1">IF(AND(Energy!$F$11=$A$3,Main!$B$43=$A7),Summary!AD24,AD7)</f>
        <v>0.43595154681658083</v>
      </c>
      <c r="AE7" s="72">
        <f ca="1">IF(AND(Energy!$F$11=$A$3,Main!$B$43=$A7),Summary!AE24,AE7)</f>
        <v>0.89473684210526327</v>
      </c>
      <c r="AF7" s="72">
        <f ca="1">IF(AND(Energy!$F$11=$A$3,Main!$B$43=$A7),Summary!AF24,AF7)</f>
        <v>22.368421052631575</v>
      </c>
      <c r="AG7" s="72">
        <f ca="1">IF(AND(Energy!$F$11=$A$3,Main!$B$43=$A7),Summary!AG24,AG7)</f>
        <v>11.499973750634883</v>
      </c>
      <c r="AH7" s="72">
        <f ca="1">IF(AND(Energy!$F$11=$A$3,Main!$B$43=$A7),Summary!AH24,AH7)</f>
        <v>47</v>
      </c>
      <c r="AI7" s="72">
        <f ca="1">IF(AND(Energy!$F$11=$A$3,Main!$B$43=$A7),Summary!AI24,AI7)</f>
        <v>2.6807008078790999</v>
      </c>
      <c r="AJ7" s="72">
        <f ca="1">IF(AND(Energy!$F$11=$A$3,Main!$B$43=$A7),Summary!AJ24,AJ7)</f>
        <v>0.26747029776202347</v>
      </c>
      <c r="AK7" s="72">
        <f ca="1">IF(AND(Energy!$F$11=$A$3,Main!$B$43=$A7),Summary!AK24,AK7)</f>
        <v>0.01</v>
      </c>
      <c r="AL7" s="72">
        <f ca="1">IF(AND(Energy!$F$11=$A$3,Main!$B$43=$A7),Summary!AL24,AL7)</f>
        <v>-0.46747747542933343</v>
      </c>
      <c r="AM7" s="72">
        <f ca="1">IF(AND(Energy!$F$11=$A$3,Main!$B$43=$A7),Summary!AM24,AM7)</f>
        <v>0</v>
      </c>
      <c r="AN7" s="6"/>
      <c r="AO7" s="6"/>
    </row>
    <row r="8" spans="1:55">
      <c r="A8">
        <f t="shared" si="1"/>
        <v>1</v>
      </c>
      <c r="C8" s="58"/>
      <c r="D8" s="1">
        <f ca="1">IF(AND(Energy!$F$11=$A$3,Main!$B$43=A8),Main!C25,D8)</f>
        <v>4.6315789473684212</v>
      </c>
      <c r="E8" s="72">
        <f ca="1">IF(AND(Energy!$F$11=$A$3,Main!$B$43=A8),Main!B25,E8)</f>
        <v>0.2</v>
      </c>
      <c r="F8" s="72">
        <f ca="1">IF(Main!$D$6=1,U8,IF(Main!$D$6=2,N8,IF(Main!$D$6=3,K8,IF(Main!$D$6=4,V8,J8))))</f>
        <v>540.44237991177874</v>
      </c>
      <c r="G8" s="72">
        <f ca="1">IF(AND(Energy!$F$11=$A$3,Main!$B$43=A8),Weight!H25,G8)</f>
        <v>15</v>
      </c>
      <c r="H8" s="72">
        <f ca="1">IF(AND(Energy!$F$11=$A$3,Main!$B$43=A8),Weight!U25,H8)</f>
        <v>11.807679011571032</v>
      </c>
      <c r="I8" s="72">
        <f ca="1">IF(AND(Energy!$F$11=$A$3,Main!$B$43=A8),Weight!V25,I8)</f>
        <v>40.235719714696032</v>
      </c>
      <c r="J8" s="72">
        <f ca="1">IF(AND(Energy!$F$11=$A$3,Main!$B$43=A8),Weight!I25,J8)</f>
        <v>23.490392428125002</v>
      </c>
      <c r="K8" s="72">
        <f ca="1">IF(AND(Energy!$F$11=$A$3,Main!$B$43=A8),Weight!W25,K8)</f>
        <v>55.235719714696039</v>
      </c>
      <c r="L8" s="72">
        <f ca="1">IF(AND(Energy!$F$11=$A$3,Main!$B$43=A8),'Aerodynamics-Cruise'!BI25,L8)</f>
        <v>55.235719714696039</v>
      </c>
      <c r="M8" s="72">
        <f ca="1">IF(AND(Energy!$F$11=$A$3,Main!$B$43=A8),'Aerodynamics-Cruise'!BJ25,M8)</f>
        <v>2.6963920984025878</v>
      </c>
      <c r="N8" s="72">
        <f ca="1">IF(AND(Energy!$F$11=$A$3,Main!$B$43=A8),'Aerodynamics-Cruise'!BK25,N8)</f>
        <v>20.485047314676194</v>
      </c>
      <c r="O8" s="72">
        <f t="shared" ca="1" si="0"/>
        <v>152.24638171103163</v>
      </c>
      <c r="P8" s="72">
        <f ca="1">IF(AND(Energy!$F$11=$A$3,Main!$B$43=A8),'Aerodynamics-Cruise'!H25,P8)</f>
        <v>10.430877875904091</v>
      </c>
      <c r="Q8" s="72">
        <f ca="1">IF(AND(Energy!$F$11=$A$3,Main!$B$43=A8),'Aerodynamics-Cruise'!I25,Q8)</f>
        <v>8.9243376261310434</v>
      </c>
      <c r="R8" s="72">
        <f ca="1">IF(AND(Energy!$F$11=$A$3,Main!$B$43=$A8),Summary!R25,R8)</f>
        <v>6.2525133958315742</v>
      </c>
      <c r="S8" s="72">
        <f ca="1">IF(AND(Energy!$F$11=$A$3,Main!$B$43=A8),'Aerodynamics-Cruise'!W25,S8)</f>
        <v>1</v>
      </c>
      <c r="T8" s="72">
        <f ca="1">IF(AND(Energy!$F$11=$A$3,Main!$B$43=A8),'Aerodynamics-Cruise'!BL25,T8)</f>
        <v>28.125736683990159</v>
      </c>
      <c r="U8" s="72">
        <f ca="1">IF(AND(Energy!$F$11=$A$3,Main!$B$43=A8),'Propulsion-Cruise'!M25,U8)</f>
        <v>58.211875841671365</v>
      </c>
      <c r="V8" s="72">
        <f ca="1">IF(AND(Energy!$F$11=$A$3,Main!$B$43=A8),Endurance!AP25,V8)</f>
        <v>540.44237991177874</v>
      </c>
      <c r="W8" s="72">
        <f ca="1">IF(AND(Energy!$F$11=$A$3,Main!$B$43=$A8),Summary!W25,W8)</f>
        <v>0.92631578947368431</v>
      </c>
      <c r="X8" s="13">
        <f ca="1">IF(AND(Energy!$F$11=$A$3,Main!$B$43=A8),Energy!D25,X8)</f>
        <v>1182.0301388888888</v>
      </c>
      <c r="Y8" s="126">
        <f ca="1">IF(AND(Energy!$F$11=$A$3,Main!$B$43=A8),'Aerodynamics-Cruise'!V25,Y8)</f>
        <v>132311.05542591505</v>
      </c>
      <c r="Z8" s="126">
        <f ca="1">IF(AND(Energy!$F$11=$A$3,Main!$B$43=$A8),Summary!Z25,Z8)</f>
        <v>100245.46905148969</v>
      </c>
      <c r="AA8" s="126">
        <f ca="1">IF(AND(Energy!$F$11=$A$3,Main!$B$43=$A8),Summary!AA25,AA8)</f>
        <v>100245.46905148969</v>
      </c>
      <c r="AB8" s="72">
        <f ca="1">IF(AND(Energy!$F$11=$A$3,Main!$B$43=$A8),Summary!AB25,AB8)</f>
        <v>6.2525133958315742</v>
      </c>
      <c r="AC8" s="72">
        <f ca="1">IF(AND(Energy!$F$11=$A$3,Main!$B$43=$A8),Summary!AC25,AC8)</f>
        <v>2.9400018923318205</v>
      </c>
      <c r="AD8" s="72">
        <f ca="1">IF(AND(Energy!$F$11=$A$3,Main!$B$43=$A8),Summary!AD25,AD8)</f>
        <v>0.43294748099809061</v>
      </c>
      <c r="AE8" s="72">
        <f ca="1">IF(AND(Energy!$F$11=$A$3,Main!$B$43=$A8),Summary!AE25,AE8)</f>
        <v>0.92631578947368431</v>
      </c>
      <c r="AF8" s="72">
        <f ca="1">IF(AND(Energy!$F$11=$A$3,Main!$B$43=$A8),Summary!AF25,AF8)</f>
        <v>23.157894736842103</v>
      </c>
      <c r="AG8" s="72">
        <f ca="1">IF(AND(Energy!$F$11=$A$3,Main!$B$43=$A8),Summary!AG25,AG8)</f>
        <v>11.476913056504234</v>
      </c>
      <c r="AH8" s="72">
        <f ca="1">IF(AND(Energy!$F$11=$A$3,Main!$B$43=$A8),Summary!AH25,AH8)</f>
        <v>47</v>
      </c>
      <c r="AI8" s="72">
        <f ca="1">IF(AND(Energy!$F$11=$A$3,Main!$B$43=$A8),Summary!AI25,AI8)</f>
        <v>2.677600672793703</v>
      </c>
      <c r="AJ8" s="72">
        <f ca="1">IF(AND(Energy!$F$11=$A$3,Main!$B$43=$A8),Summary!AJ25,AJ8)</f>
        <v>0.26807362257963535</v>
      </c>
      <c r="AK8" s="72">
        <f ca="1">IF(AND(Energy!$F$11=$A$3,Main!$B$43=$A8),Summary!AK25,AK8)</f>
        <v>0.01</v>
      </c>
      <c r="AL8" s="72">
        <f ca="1">IF(AND(Energy!$F$11=$A$3,Main!$B$43=$A8),Summary!AL25,AL8)</f>
        <v>-0.46643267169870634</v>
      </c>
      <c r="AM8" s="72">
        <f ca="1">IF(AND(Energy!$F$11=$A$3,Main!$B$43=$A8),Summary!AM25,AM8)</f>
        <v>0</v>
      </c>
      <c r="AN8" s="6"/>
      <c r="AO8" s="6"/>
    </row>
    <row r="9" spans="1:55">
      <c r="A9">
        <f t="shared" si="1"/>
        <v>1</v>
      </c>
      <c r="C9" s="68"/>
      <c r="D9" s="1">
        <f ca="1">IF(AND(Energy!$F$11=$A$3,Main!$B$43=A9),Main!C26,D9)</f>
        <v>4.7894736842105265</v>
      </c>
      <c r="E9" s="72">
        <f ca="1">IF(AND(Energy!$F$11=$A$3,Main!$B$43=A9),Main!B26,E9)</f>
        <v>0.2</v>
      </c>
      <c r="F9" s="72">
        <f ca="1">IF(Main!$D$6=1,U9,IF(Main!$D$6=2,N9,IF(Main!$D$6=3,K9,IF(Main!$D$6=4,V9,J9))))</f>
        <v>538.322877685496</v>
      </c>
      <c r="G9" s="72">
        <f ca="1">IF(AND(Energy!$F$11=$A$3,Main!$B$43=A9),Weight!H26,G9)</f>
        <v>15</v>
      </c>
      <c r="H9" s="72">
        <f ca="1">IF(AND(Energy!$F$11=$A$3,Main!$B$43=A9),Weight!U26,H9)</f>
        <v>12.164441576171235</v>
      </c>
      <c r="I9" s="72">
        <f ca="1">IF(AND(Energy!$F$11=$A$3,Main!$B$43=A9),Weight!V26,I9)</f>
        <v>40.592482279296235</v>
      </c>
      <c r="J9" s="72">
        <f ca="1">IF(AND(Energy!$F$11=$A$3,Main!$B$43=A9),Weight!I26,J9)</f>
        <v>23.490392428125002</v>
      </c>
      <c r="K9" s="72">
        <f ca="1">IF(AND(Energy!$F$11=$A$3,Main!$B$43=A9),Weight!W26,K9)</f>
        <v>55.592482279296242</v>
      </c>
      <c r="L9" s="72">
        <f ca="1">IF(AND(Energy!$F$11=$A$3,Main!$B$43=A9),'Aerodynamics-Cruise'!BI26,L9)</f>
        <v>55.592482279296235</v>
      </c>
      <c r="M9" s="72">
        <f ca="1">IF(AND(Energy!$F$11=$A$3,Main!$B$43=A9),'Aerodynamics-Cruise'!BJ26,M9)</f>
        <v>2.7100924734867364</v>
      </c>
      <c r="N9" s="72">
        <f ca="1">IF(AND(Energy!$F$11=$A$3,Main!$B$43=A9),'Aerodynamics-Cruise'!BK26,N9)</f>
        <v>20.513131128611398</v>
      </c>
      <c r="O9" s="72">
        <f t="shared" ca="1" si="0"/>
        <v>152.94665716161833</v>
      </c>
      <c r="P9" s="72">
        <f ca="1">IF(AND(Energy!$F$11=$A$3,Main!$B$43=A9),'Aerodynamics-Cruise'!H26,P9)</f>
        <v>10.290540273812521</v>
      </c>
      <c r="Q9" s="72">
        <f ca="1">IF(AND(Energy!$F$11=$A$3,Main!$B$43=A9),'Aerodynamics-Cruise'!I26,Q9)</f>
        <v>8.8091394781711525</v>
      </c>
      <c r="R9" s="72">
        <f ca="1">IF(AND(Energy!$F$11=$A$3,Main!$B$43=$A9),Summary!R26,R9)</f>
        <v>6.1278394111909424</v>
      </c>
      <c r="S9" s="72">
        <f ca="1">IF(AND(Energy!$F$11=$A$3,Main!$B$43=A9),'Aerodynamics-Cruise'!W26,S9)</f>
        <v>1</v>
      </c>
      <c r="T9" s="72">
        <f ca="1">IF(AND(Energy!$F$11=$A$3,Main!$B$43=A9),'Aerodynamics-Cruise'!BL26,T9)</f>
        <v>27.888315744171454</v>
      </c>
      <c r="U9" s="72">
        <f ca="1">IF(AND(Energy!$F$11=$A$3,Main!$B$43=A9),'Propulsion-Cruise'!M26,U9)</f>
        <v>57.875797951400486</v>
      </c>
      <c r="V9" s="72">
        <f ca="1">IF(AND(Energy!$F$11=$A$3,Main!$B$43=A9),Endurance!AP26,V9)</f>
        <v>538.322877685496</v>
      </c>
      <c r="W9" s="72">
        <f ca="1">IF(AND(Energy!$F$11=$A$3,Main!$B$43=$A9),Summary!W26,W9)</f>
        <v>0.95789473684210535</v>
      </c>
      <c r="X9" s="13">
        <f ca="1">IF(AND(Energy!$F$11=$A$3,Main!$B$43=A9),Energy!D26,X9)</f>
        <v>1182.0301388888888</v>
      </c>
      <c r="Y9" s="126">
        <f ca="1">IF(AND(Energy!$F$11=$A$3,Main!$B$43=A9),'Aerodynamics-Cruise'!V26,Y9)</f>
        <v>130530.9352414413</v>
      </c>
      <c r="Z9" s="126">
        <f ca="1">IF(AND(Energy!$F$11=$A$3,Main!$B$43=$A9),Summary!Z26,Z9)</f>
        <v>98949.334115809834</v>
      </c>
      <c r="AA9" s="126">
        <f ca="1">IF(AND(Energy!$F$11=$A$3,Main!$B$43=$A9),Summary!AA26,AA9)</f>
        <v>98949.334115809834</v>
      </c>
      <c r="AB9" s="72">
        <f ca="1">IF(AND(Energy!$F$11=$A$3,Main!$B$43=$A9),Summary!AB26,AB9)</f>
        <v>6.1278394111909424</v>
      </c>
      <c r="AC9" s="72">
        <f ca="1">IF(AND(Energy!$F$11=$A$3,Main!$B$43=$A9),Summary!AC26,AC9)</f>
        <v>2.8907528942533713</v>
      </c>
      <c r="AD9" s="72">
        <f ca="1">IF(AND(Energy!$F$11=$A$3,Main!$B$43=$A9),Summary!AD26,AD9)</f>
        <v>0.43020995548989355</v>
      </c>
      <c r="AE9" s="72">
        <f ca="1">IF(AND(Energy!$F$11=$A$3,Main!$B$43=$A9),Summary!AE26,AE9)</f>
        <v>0.95789473684210535</v>
      </c>
      <c r="AF9" s="72">
        <f ca="1">IF(AND(Energy!$F$11=$A$3,Main!$B$43=$A9),Summary!AF26,AF9)</f>
        <v>23.947368421052634</v>
      </c>
      <c r="AG9" s="72">
        <f ca="1">IF(AND(Energy!$F$11=$A$3,Main!$B$43=$A9),Summary!AG26,AG9)</f>
        <v>11.460907679182823</v>
      </c>
      <c r="AH9" s="72">
        <f ca="1">IF(AND(Energy!$F$11=$A$3,Main!$B$43=$A9),Summary!AH26,AH9)</f>
        <v>47</v>
      </c>
      <c r="AI9" s="72">
        <f ca="1">IF(AND(Energy!$F$11=$A$3,Main!$B$43=$A9),Summary!AI26,AI9)</f>
        <v>2.6746407184375682</v>
      </c>
      <c r="AJ9" s="72">
        <f ca="1">IF(AND(Energy!$F$11=$A$3,Main!$B$43=$A9),Summary!AJ26,AJ9)</f>
        <v>0.26864085057178277</v>
      </c>
      <c r="AK9" s="72">
        <f ca="1">IF(AND(Energy!$F$11=$A$3,Main!$B$43=$A9),Summary!AK26,AK9)</f>
        <v>0.01</v>
      </c>
      <c r="AL9" s="72">
        <f ca="1">IF(AND(Energy!$F$11=$A$3,Main!$B$43=$A9),Summary!AL26,AL9)</f>
        <v>-0.46545477533454382</v>
      </c>
      <c r="AM9" s="72">
        <f ca="1">IF(AND(Energy!$F$11=$A$3,Main!$B$43=$A9),Summary!AM26,AM9)</f>
        <v>0</v>
      </c>
      <c r="AN9" s="6"/>
      <c r="AO9" s="6"/>
    </row>
    <row r="10" spans="1:55">
      <c r="A10">
        <f t="shared" si="1"/>
        <v>1</v>
      </c>
      <c r="C10" s="68"/>
      <c r="D10" s="1">
        <f ca="1">IF(AND(Energy!$F$11=$A$3,Main!$B$43=A10),Main!C27,D10)</f>
        <v>4.9473684210526319</v>
      </c>
      <c r="E10" s="72">
        <f ca="1">IF(AND(Energy!$F$11=$A$3,Main!$B$43=A10),Main!B27,E10)</f>
        <v>0.2</v>
      </c>
      <c r="F10" s="72">
        <f ca="1">IF(Main!$D$6=1,U10,IF(Main!$D$6=2,N10,IF(Main!$D$6=3,K10,IF(Main!$D$6=4,V10,J10))))</f>
        <v>536.75627657187476</v>
      </c>
      <c r="G10" s="72">
        <f ca="1">IF(AND(Energy!$F$11=$A$3,Main!$B$43=A10),Weight!H27,G10)</f>
        <v>15</v>
      </c>
      <c r="H10" s="72">
        <f ca="1">IF(AND(Energy!$F$11=$A$3,Main!$B$43=A10),Weight!U27,H10)</f>
        <v>12.527765781165428</v>
      </c>
      <c r="I10" s="72">
        <f ca="1">IF(AND(Energy!$F$11=$A$3,Main!$B$43=A10),Weight!V27,I10)</f>
        <v>40.955806484290434</v>
      </c>
      <c r="J10" s="72">
        <f ca="1">IF(AND(Energy!$F$11=$A$3,Main!$B$43=A10),Weight!I27,J10)</f>
        <v>23.490392428125002</v>
      </c>
      <c r="K10" s="72">
        <f ca="1">IF(AND(Energy!$F$11=$A$3,Main!$B$43=A10),Weight!W27,K10)</f>
        <v>55.955806484290434</v>
      </c>
      <c r="L10" s="72">
        <f ca="1">IF(AND(Energy!$F$11=$A$3,Main!$B$43=A10),'Aerodynamics-Cruise'!BI27,L10)</f>
        <v>55.95580648429042</v>
      </c>
      <c r="M10" s="72">
        <f ca="1">IF(AND(Energy!$F$11=$A$3,Main!$B$43=A10),'Aerodynamics-Cruise'!BJ27,M10)</f>
        <v>2.7252635258143831</v>
      </c>
      <c r="N10" s="72">
        <f ca="1">IF(AND(Energy!$F$11=$A$3,Main!$B$43=A10),'Aerodynamics-Cruise'!BK27,N10)</f>
        <v>20.532255304583543</v>
      </c>
      <c r="O10" s="72">
        <f t="shared" ca="1" si="0"/>
        <v>153.58868977415548</v>
      </c>
      <c r="P10" s="72">
        <f ca="1">IF(AND(Energy!$F$11=$A$3,Main!$B$43=A10),'Aerodynamics-Cruise'!H27,P10)</f>
        <v>10.15800146575757</v>
      </c>
      <c r="Q10" s="72">
        <f ca="1">IF(AND(Energy!$F$11=$A$3,Main!$B$43=A10),'Aerodynamics-Cruise'!I27,Q10)</f>
        <v>8.7002828026184673</v>
      </c>
      <c r="R10" s="72">
        <f ca="1">IF(AND(Energy!$F$11=$A$3,Main!$B$43=$A10),Summary!R27,R10)</f>
        <v>6.0132234223189815</v>
      </c>
      <c r="S10" s="72">
        <f ca="1">IF(AND(Energy!$F$11=$A$3,Main!$B$43=A10),'Aerodynamics-Cruise'!W27,S10)</f>
        <v>1</v>
      </c>
      <c r="T10" s="72">
        <f ca="1">IF(AND(Energy!$F$11=$A$3,Main!$B$43=A10),'Aerodynamics-Cruise'!BL27,T10)</f>
        <v>27.683230889798146</v>
      </c>
      <c r="U10" s="72">
        <f ca="1">IF(AND(Energy!$F$11=$A$3,Main!$B$43=A10),'Propulsion-Cruise'!M27,U10)</f>
        <v>57.60271488371545</v>
      </c>
      <c r="V10" s="72">
        <f ca="1">IF(AND(Energy!$F$11=$A$3,Main!$B$43=A10),Endurance!AP27,V10)</f>
        <v>536.75627657187476</v>
      </c>
      <c r="W10" s="72">
        <f ca="1">IF(AND(Energy!$F$11=$A$3,Main!$B$43=$A10),Summary!W27,W10)</f>
        <v>0.98947368421052639</v>
      </c>
      <c r="X10" s="13">
        <f ca="1">IF(AND(Energy!$F$11=$A$3,Main!$B$43=A10),Energy!D27,X10)</f>
        <v>1182.0301388888888</v>
      </c>
      <c r="Y10" s="126">
        <f ca="1">IF(AND(Energy!$F$11=$A$3,Main!$B$43=A10),'Aerodynamics-Cruise'!V27,Y10)</f>
        <v>128849.73929731533</v>
      </c>
      <c r="Z10" s="126">
        <f ca="1">IF(AND(Energy!$F$11=$A$3,Main!$B$43=$A10),Summary!Z27,Z10)</f>
        <v>97724.575812834868</v>
      </c>
      <c r="AA10" s="126">
        <f ca="1">IF(AND(Energy!$F$11=$A$3,Main!$B$43=$A10),Summary!AA27,AA10)</f>
        <v>97724.575812834868</v>
      </c>
      <c r="AB10" s="72">
        <f ca="1">IF(AND(Energy!$F$11=$A$3,Main!$B$43=$A10),Summary!AB27,AB10)</f>
        <v>6.0132234223189815</v>
      </c>
      <c r="AC10" s="72">
        <f ca="1">IF(AND(Energy!$F$11=$A$3,Main!$B$43=$A10),Summary!AC27,AC10)</f>
        <v>2.8428362226128732</v>
      </c>
      <c r="AD10" s="72">
        <f ca="1">IF(AND(Energy!$F$11=$A$3,Main!$B$43=$A10),Summary!AD27,AD10)</f>
        <v>0.42771614858388213</v>
      </c>
      <c r="AE10" s="72">
        <f ca="1">IF(AND(Energy!$F$11=$A$3,Main!$B$43=$A10),Summary!AE27,AE10)</f>
        <v>0.98947368421052639</v>
      </c>
      <c r="AF10" s="72">
        <f ca="1">IF(AND(Energy!$F$11=$A$3,Main!$B$43=$A10),Summary!AF27,AF10)</f>
        <v>24.736842105263161</v>
      </c>
      <c r="AG10" s="72">
        <f ca="1">IF(AND(Energy!$F$11=$A$3,Main!$B$43=$A10),Summary!AG27,AG10)</f>
        <v>11.451259545907416</v>
      </c>
      <c r="AH10" s="72">
        <f ca="1">IF(AND(Energy!$F$11=$A$3,Main!$B$43=$A10),Summary!AH27,AH10)</f>
        <v>47</v>
      </c>
      <c r="AI10" s="72">
        <f ca="1">IF(AND(Energy!$F$11=$A$3,Main!$B$43=$A10),Summary!AI27,AI10)</f>
        <v>2.671811867248322</v>
      </c>
      <c r="AJ10" s="72">
        <f ca="1">IF(AND(Energy!$F$11=$A$3,Main!$B$43=$A10),Summary!AJ27,AJ10)</f>
        <v>0.26954603059762511</v>
      </c>
      <c r="AK10" s="72">
        <f ca="1">IF(AND(Energy!$F$11=$A$3,Main!$B$43=$A10),Summary!AK27,AK10)</f>
        <v>0.01</v>
      </c>
      <c r="AL10" s="72">
        <f ca="1">IF(AND(Energy!$F$11=$A$3,Main!$B$43=$A10),Summary!AL27,AL10)</f>
        <v>-0.46389274426642513</v>
      </c>
      <c r="AM10" s="72">
        <f ca="1">IF(AND(Energy!$F$11=$A$3,Main!$B$43=$A10),Summary!AM27,AM10)</f>
        <v>0</v>
      </c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</row>
    <row r="11" spans="1:55">
      <c r="A11">
        <f t="shared" si="1"/>
        <v>1</v>
      </c>
      <c r="C11" s="58"/>
      <c r="D11" s="1">
        <f ca="1">IF(AND(Energy!$F$11=$A$3,Main!$B$43=A11),Main!C28,D11)</f>
        <v>5.1052631578947372</v>
      </c>
      <c r="E11" s="72">
        <f ca="1">IF(AND(Energy!$F$11=$A$3,Main!$B$43=A11),Main!B28,E11)</f>
        <v>0.2</v>
      </c>
      <c r="F11" s="72">
        <f ca="1">IF(Main!$D$6=1,U11,IF(Main!$D$6=2,N11,IF(Main!$D$6=3,K11,IF(Main!$D$6=4,V11,J11))))</f>
        <v>535.69072036077159</v>
      </c>
      <c r="G11" s="72">
        <f ca="1">IF(AND(Energy!$F$11=$A$3,Main!$B$43=A11),Weight!H28,G11)</f>
        <v>15</v>
      </c>
      <c r="H11" s="72">
        <f ca="1">IF(AND(Energy!$F$11=$A$3,Main!$B$43=A11),Weight!U28,H11)</f>
        <v>12.897649942010361</v>
      </c>
      <c r="I11" s="72">
        <f ca="1">IF(AND(Energy!$F$11=$A$3,Main!$B$43=A11),Weight!V28,I11)</f>
        <v>41.325690645135367</v>
      </c>
      <c r="J11" s="72">
        <f ca="1">IF(AND(Energy!$F$11=$A$3,Main!$B$43=A11),Weight!I28,J11)</f>
        <v>23.490392428125002</v>
      </c>
      <c r="K11" s="72">
        <f ca="1">IF(AND(Energy!$F$11=$A$3,Main!$B$43=A11),Weight!W28,K11)</f>
        <v>56.325690645135367</v>
      </c>
      <c r="L11" s="72">
        <f ca="1">IF(AND(Energy!$F$11=$A$3,Main!$B$43=A11),'Aerodynamics-Cruise'!BI28,L11)</f>
        <v>56.325690645135367</v>
      </c>
      <c r="M11" s="72">
        <f ca="1">IF(AND(Energy!$F$11=$A$3,Main!$B$43=A11),'Aerodynamics-Cruise'!BJ28,M11)</f>
        <v>2.7417754385705906</v>
      </c>
      <c r="N11" s="72">
        <f ca="1">IF(AND(Energy!$F$11=$A$3,Main!$B$43=A11),'Aerodynamics-Cruise'!BK28,N11)</f>
        <v>20.54350981949873</v>
      </c>
      <c r="O11" s="72">
        <f t="shared" ca="1" si="0"/>
        <v>154.17995223111245</v>
      </c>
      <c r="P11" s="72">
        <f ca="1">IF(AND(Energy!$F$11=$A$3,Main!$B$43=A11),'Aerodynamics-Cruise'!H28,P11)</f>
        <v>10.032655595449668</v>
      </c>
      <c r="Q11" s="72">
        <f ca="1">IF(AND(Energy!$F$11=$A$3,Main!$B$43=A11),'Aerodynamics-Cruise'!I28,Q11)</f>
        <v>8.5972792966990337</v>
      </c>
      <c r="R11" s="72">
        <f ca="1">IF(AND(Energy!$F$11=$A$3,Main!$B$43=$A11),Summary!R28,R11)</f>
        <v>5.9077503183598195</v>
      </c>
      <c r="S11" s="72">
        <f ca="1">IF(AND(Energy!$F$11=$A$3,Main!$B$43=A11),'Aerodynamics-Cruise'!W28,S11)</f>
        <v>1</v>
      </c>
      <c r="T11" s="72">
        <f ca="1">IF(AND(Energy!$F$11=$A$3,Main!$B$43=A11),'Aerodynamics-Cruise'!BL28,T11)</f>
        <v>27.507288695241705</v>
      </c>
      <c r="U11" s="72">
        <f ca="1">IF(AND(Energy!$F$11=$A$3,Main!$B$43=A11),'Propulsion-Cruise'!M28,U11)</f>
        <v>57.386606062767306</v>
      </c>
      <c r="V11" s="72">
        <f ca="1">IF(AND(Energy!$F$11=$A$3,Main!$B$43=A11),Endurance!AP28,V11)</f>
        <v>535.69072036077159</v>
      </c>
      <c r="W11" s="72">
        <f ca="1">IF(AND(Energy!$F$11=$A$3,Main!$B$43=$A11),Summary!W28,W11)</f>
        <v>1.0210526315789474</v>
      </c>
      <c r="X11" s="13">
        <f ca="1">IF(AND(Energy!$F$11=$A$3,Main!$B$43=A11),Energy!D28,X11)</f>
        <v>1182.0301388888888</v>
      </c>
      <c r="Y11" s="126">
        <f ca="1">IF(AND(Energy!$F$11=$A$3,Main!$B$43=A11),'Aerodynamics-Cruise'!V28,Y11)</f>
        <v>127259.78257545305</v>
      </c>
      <c r="Z11" s="126">
        <f ca="1">IF(AND(Energy!$F$11=$A$3,Main!$B$43=$A11),Summary!Z28,Z11)</f>
        <v>96565.696121735906</v>
      </c>
      <c r="AA11" s="126">
        <f ca="1">IF(AND(Energy!$F$11=$A$3,Main!$B$43=$A11),Summary!AA28,AA11)</f>
        <v>96565.696121735906</v>
      </c>
      <c r="AB11" s="72">
        <f ca="1">IF(AND(Energy!$F$11=$A$3,Main!$B$43=$A11),Summary!AB28,AB11)</f>
        <v>5.9077503183598195</v>
      </c>
      <c r="AC11" s="72">
        <f ca="1">IF(AND(Energy!$F$11=$A$3,Main!$B$43=$A11),Summary!AC28,AC11)</f>
        <v>2.7962004249749013</v>
      </c>
      <c r="AD11" s="72">
        <f ca="1">IF(AND(Energy!$F$11=$A$3,Main!$B$43=$A11),Summary!AD28,AD11)</f>
        <v>0.42544601972875851</v>
      </c>
      <c r="AE11" s="72">
        <f ca="1">IF(AND(Energy!$F$11=$A$3,Main!$B$43=$A11),Summary!AE28,AE11)</f>
        <v>1.0210526315789474</v>
      </c>
      <c r="AF11" s="72">
        <f ca="1">IF(AND(Energy!$F$11=$A$3,Main!$B$43=$A11),Summary!AF28,AF11)</f>
        <v>25.526315789473685</v>
      </c>
      <c r="AG11" s="72">
        <f ca="1">IF(AND(Energy!$F$11=$A$3,Main!$B$43=$A11),Summary!AG28,AG11)</f>
        <v>11.447374889379638</v>
      </c>
      <c r="AH11" s="72">
        <f ca="1">IF(AND(Energy!$F$11=$A$3,Main!$B$43=$A11),Summary!AH28,AH11)</f>
        <v>47</v>
      </c>
      <c r="AI11" s="72">
        <f ca="1">IF(AND(Energy!$F$11=$A$3,Main!$B$43=$A11),Summary!AI28,AI11)</f>
        <v>2.6691059145930058</v>
      </c>
      <c r="AJ11" s="72">
        <f ca="1">IF(AND(Energy!$F$11=$A$3,Main!$B$43=$A11),Summary!AJ28,AJ11)</f>
        <v>0.27042936263441175</v>
      </c>
      <c r="AK11" s="72">
        <f ca="1">IF(AND(Energy!$F$11=$A$3,Main!$B$43=$A11),Summary!AK28,AK11)</f>
        <v>0.01</v>
      </c>
      <c r="AL11" s="72">
        <f ca="1">IF(AND(Energy!$F$11=$A$3,Main!$B$43=$A11),Summary!AL28,AL11)</f>
        <v>-0.46237815333629201</v>
      </c>
      <c r="AM11" s="72">
        <f ca="1">IF(AND(Energy!$F$11=$A$3,Main!$B$43=$A11),Summary!AM28,AM11)</f>
        <v>0</v>
      </c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58"/>
      <c r="BA11" s="58"/>
      <c r="BB11" s="58"/>
    </row>
    <row r="12" spans="1:55">
      <c r="A12">
        <f t="shared" si="1"/>
        <v>1</v>
      </c>
      <c r="C12" s="72"/>
      <c r="D12" s="1">
        <f ca="1">IF(AND(Energy!$F$11=$A$3,Main!$B$43=A12),Main!C29,D12)</f>
        <v>5.2631578947368425</v>
      </c>
      <c r="E12" s="72">
        <f ca="1">IF(AND(Energy!$F$11=$A$3,Main!$B$43=A12),Main!B29,E12)</f>
        <v>0.2</v>
      </c>
      <c r="F12" s="72">
        <f ca="1">IF(Main!$D$6=1,U12,IF(Main!$D$6=2,N12,IF(Main!$D$6=3,K12,IF(Main!$D$6=4,V12,J12))))</f>
        <v>535.08094556714445</v>
      </c>
      <c r="G12" s="72">
        <f ca="1">IF(AND(Energy!$F$11=$A$3,Main!$B$43=A12),Weight!H29,G12)</f>
        <v>15</v>
      </c>
      <c r="H12" s="72">
        <f ca="1">IF(AND(Energy!$F$11=$A$3,Main!$B$43=A12),Weight!U29,H12)</f>
        <v>13.27409662139339</v>
      </c>
      <c r="I12" s="72">
        <f ca="1">IF(AND(Energy!$F$11=$A$3,Main!$B$43=A12),Weight!V29,I12)</f>
        <v>41.70213732451839</v>
      </c>
      <c r="J12" s="72">
        <f ca="1">IF(AND(Energy!$F$11=$A$3,Main!$B$43=A12),Weight!I29,J12)</f>
        <v>23.490392428125002</v>
      </c>
      <c r="K12" s="72">
        <f ca="1">IF(AND(Energy!$F$11=$A$3,Main!$B$43=A12),Weight!W29,K12)</f>
        <v>56.702137324518397</v>
      </c>
      <c r="L12" s="72">
        <f ca="1">IF(AND(Energy!$F$11=$A$3,Main!$B$43=A12),'Aerodynamics-Cruise'!BI29,L12)</f>
        <v>56.702137324518397</v>
      </c>
      <c r="M12" s="72">
        <f ca="1">IF(AND(Energy!$F$11=$A$3,Main!$B$43=A12),'Aerodynamics-Cruise'!BJ29,M12)</f>
        <v>2.7595129358509838</v>
      </c>
      <c r="N12" s="72">
        <f ca="1">IF(AND(Energy!$F$11=$A$3,Main!$B$43=A12),'Aerodynamics-Cruise'!BK29,N12)</f>
        <v>20.54787878971565</v>
      </c>
      <c r="O12" s="72">
        <f t="shared" ca="1" si="0"/>
        <v>154.72721548413705</v>
      </c>
      <c r="P12" s="72">
        <f ca="1">IF(AND(Energy!$F$11=$A$3,Main!$B$43=A12),'Aerodynamics-Cruise'!H29,P12)</f>
        <v>9.9139611197446644</v>
      </c>
      <c r="Q12" s="72">
        <f ca="1">IF(AND(Energy!$F$11=$A$3,Main!$B$43=A12),'Aerodynamics-Cruise'!I29,Q12)</f>
        <v>8.4996921703504089</v>
      </c>
      <c r="R12" s="72">
        <f ca="1">IF(AND(Energy!$F$11=$A$3,Main!$B$43=$A12),Summary!R29,R12)</f>
        <v>5.8106176692626113</v>
      </c>
      <c r="S12" s="72">
        <f ca="1">IF(AND(Energy!$F$11=$A$3,Main!$B$43=A12),'Aerodynamics-Cruise'!W29,S12)</f>
        <v>1</v>
      </c>
      <c r="T12" s="72">
        <f ca="1">IF(AND(Energy!$F$11=$A$3,Main!$B$43=A12),'Aerodynamics-Cruise'!BL29,T12)</f>
        <v>27.357703955459105</v>
      </c>
      <c r="U12" s="72">
        <f ca="1">IF(AND(Energy!$F$11=$A$3,Main!$B$43=A12),'Propulsion-Cruise'!M29,U12)</f>
        <v>57.222217459853297</v>
      </c>
      <c r="V12" s="72">
        <f ca="1">IF(AND(Energy!$F$11=$A$3,Main!$B$43=A12),Endurance!AP29,V12)</f>
        <v>535.08094556714445</v>
      </c>
      <c r="W12" s="72">
        <f ca="1">IF(AND(Energy!$F$11=$A$3,Main!$B$43=$A12),Summary!W29,W12)</f>
        <v>1.0526315789473686</v>
      </c>
      <c r="X12" s="13">
        <f ca="1">IF(AND(Energy!$F$11=$A$3,Main!$B$43=A12),Energy!D29,X12)</f>
        <v>1182.0301388888888</v>
      </c>
      <c r="Y12" s="126">
        <f ca="1">IF(AND(Energy!$F$11=$A$3,Main!$B$43=A12),'Aerodynamics-Cruise'!V29,Y12)</f>
        <v>125754.19584147037</v>
      </c>
      <c r="Z12" s="126">
        <f ca="1">IF(AND(Energy!$F$11=$A$3,Main!$B$43=$A12),Summary!Z29,Z12)</f>
        <v>95467.777168635497</v>
      </c>
      <c r="AA12" s="126">
        <f ca="1">IF(AND(Energy!$F$11=$A$3,Main!$B$43=$A12),Summary!AA29,AA12)</f>
        <v>95467.777168635497</v>
      </c>
      <c r="AB12" s="72">
        <f ca="1">IF(AND(Energy!$F$11=$A$3,Main!$B$43=$A12),Summary!AB29,AB12)</f>
        <v>5.8106176692626113</v>
      </c>
      <c r="AC12" s="72">
        <f ca="1">IF(AND(Energy!$F$11=$A$3,Main!$B$43=$A12),Summary!AC29,AC12)</f>
        <v>2.7507953019943332</v>
      </c>
      <c r="AD12" s="72">
        <f ca="1">IF(AND(Energy!$F$11=$A$3,Main!$B$43=$A12),Summary!AD29,AD12)</f>
        <v>0.4233816725462573</v>
      </c>
      <c r="AE12" s="72">
        <f ca="1">IF(AND(Energy!$F$11=$A$3,Main!$B$43=$A12),Summary!AE29,AE12)</f>
        <v>1.0526315789473686</v>
      </c>
      <c r="AF12" s="72">
        <f ca="1">IF(AND(Energy!$F$11=$A$3,Main!$B$43=$A12),Summary!AF29,AF12)</f>
        <v>26.315789473684212</v>
      </c>
      <c r="AG12" s="72">
        <f ca="1">IF(AND(Energy!$F$11=$A$3,Main!$B$43=$A12),Summary!AG29,AG12)</f>
        <v>11.448730282296351</v>
      </c>
      <c r="AH12" s="72">
        <f ca="1">IF(AND(Energy!$F$11=$A$3,Main!$B$43=$A12),Summary!AH29,AH12)</f>
        <v>47</v>
      </c>
      <c r="AI12" s="72">
        <f ca="1">IF(AND(Energy!$F$11=$A$3,Main!$B$43=$A12),Summary!AI29,AI12)</f>
        <v>2.6665154195738658</v>
      </c>
      <c r="AJ12" s="72">
        <f ca="1">IF(AND(Energy!$F$11=$A$3,Main!$B$43=$A12),Summary!AJ29,AJ12)</f>
        <v>0.27126728482739393</v>
      </c>
      <c r="AK12" s="72">
        <f ca="1">IF(AND(Energy!$F$11=$A$3,Main!$B$43=$A12),Summary!AK29,AK12)</f>
        <v>0.01</v>
      </c>
      <c r="AL12" s="72">
        <f ca="1">IF(AND(Energy!$F$11=$A$3,Main!$B$43=$A12),Summary!AL29,AL12)</f>
        <v>-0.46095060999782078</v>
      </c>
      <c r="AM12" s="72">
        <f ca="1">IF(AND(Energy!$F$11=$A$3,Main!$B$43=$A12),Summary!AM29,AM12)</f>
        <v>0</v>
      </c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</row>
    <row r="13" spans="1:55">
      <c r="A13">
        <f t="shared" si="1"/>
        <v>1</v>
      </c>
      <c r="C13" s="72"/>
      <c r="D13" s="1">
        <f ca="1">IF(AND(Energy!$F$11=$A$3,Main!$B$43=A13),Main!C30,D13)</f>
        <v>5.4210526315789478</v>
      </c>
      <c r="E13" s="72">
        <f ca="1">IF(AND(Energy!$F$11=$A$3,Main!$B$43=A13),Main!B30,E13)</f>
        <v>0.2</v>
      </c>
      <c r="F13" s="72">
        <f ca="1">IF(Main!$D$6=1,U13,IF(Main!$D$6=2,N13,IF(Main!$D$6=3,K13,IF(Main!$D$6=4,V13,J13))))</f>
        <v>534.88756823869846</v>
      </c>
      <c r="G13" s="72">
        <f ca="1">IF(AND(Energy!$F$11=$A$3,Main!$B$43=A13),Weight!H30,G13)</f>
        <v>15</v>
      </c>
      <c r="H13" s="72">
        <f ca="1">IF(AND(Energy!$F$11=$A$3,Main!$B$43=A13),Weight!U30,H13)</f>
        <v>13.657112288100109</v>
      </c>
      <c r="I13" s="72">
        <f ca="1">IF(AND(Energy!$F$11=$A$3,Main!$B$43=A13),Weight!V30,I13)</f>
        <v>42.085152991225115</v>
      </c>
      <c r="J13" s="72">
        <f ca="1">IF(AND(Energy!$F$11=$A$3,Main!$B$43=A13),Weight!I30,J13)</f>
        <v>23.490392428125002</v>
      </c>
      <c r="K13" s="72">
        <f ca="1">IF(AND(Energy!$F$11=$A$3,Main!$B$43=A13),Weight!W30,K13)</f>
        <v>57.085152991225115</v>
      </c>
      <c r="L13" s="72">
        <f ca="1">IF(AND(Energy!$F$11=$A$3,Main!$B$43=A13),'Aerodynamics-Cruise'!BI30,L13)</f>
        <v>57.085152991225115</v>
      </c>
      <c r="M13" s="72">
        <f ca="1">IF(AND(Energy!$F$11=$A$3,Main!$B$43=A13),'Aerodynamics-Cruise'!BJ30,M13)</f>
        <v>2.778374806023463</v>
      </c>
      <c r="N13" s="72">
        <f ca="1">IF(AND(Energy!$F$11=$A$3,Main!$B$43=A13),'Aerodynamics-Cruise'!BK30,N13)</f>
        <v>20.546239070216735</v>
      </c>
      <c r="O13" s="72">
        <f t="shared" ca="1" si="0"/>
        <v>155.23652835548458</v>
      </c>
      <c r="P13" s="72">
        <f ca="1">IF(AND(Energy!$F$11=$A$3,Main!$B$43=A13),'Aerodynamics-Cruise'!H30,P13)</f>
        <v>9.8014322984668425</v>
      </c>
      <c r="Q13" s="72">
        <f ca="1">IF(AND(Energy!$F$11=$A$3,Main!$B$43=A13),'Aerodynamics-Cruise'!I30,Q13)</f>
        <v>8.4071293631365993</v>
      </c>
      <c r="R13" s="72">
        <f ca="1">IF(AND(Energy!$F$11=$A$3,Main!$B$43=$A13),Summary!R30,R13)</f>
        <v>5.7211191282557152</v>
      </c>
      <c r="S13" s="72">
        <f ca="1">IF(AND(Energy!$F$11=$A$3,Main!$B$43=A13),'Aerodynamics-Cruise'!W30,S13)</f>
        <v>1</v>
      </c>
      <c r="T13" s="72">
        <f ca="1">IF(AND(Energy!$F$11=$A$3,Main!$B$43=A13),'Aerodynamics-Cruise'!BL30,T13)</f>
        <v>27.23205256100492</v>
      </c>
      <c r="U13" s="72">
        <f ca="1">IF(AND(Energy!$F$11=$A$3,Main!$B$43=A13),'Propulsion-Cruise'!M30,U13)</f>
        <v>57.104977343044162</v>
      </c>
      <c r="V13" s="72">
        <f ca="1">IF(AND(Energy!$F$11=$A$3,Main!$B$43=A13),Endurance!AP30,V13)</f>
        <v>534.88756823869846</v>
      </c>
      <c r="W13" s="72">
        <f ca="1">IF(AND(Energy!$F$11=$A$3,Main!$B$43=$A13),Summary!W30,W13)</f>
        <v>1.0842105263157895</v>
      </c>
      <c r="X13" s="13">
        <f ca="1">IF(AND(Energy!$F$11=$A$3,Main!$B$43=A13),Energy!D30,X13)</f>
        <v>1182.0301388888888</v>
      </c>
      <c r="Y13" s="126">
        <f ca="1">IF(AND(Energy!$F$11=$A$3,Main!$B$43=A13),'Aerodynamics-Cruise'!V30,Y13)</f>
        <v>124326.81769686598</v>
      </c>
      <c r="Z13" s="126">
        <f ca="1">IF(AND(Energy!$F$11=$A$3,Main!$B$43=$A13),Summary!Z30,Z13)</f>
        <v>94426.404819360279</v>
      </c>
      <c r="AA13" s="126">
        <f ca="1">IF(AND(Energy!$F$11=$A$3,Main!$B$43=$A13),Summary!AA30,AA13)</f>
        <v>94426.404819360279</v>
      </c>
      <c r="AB13" s="72">
        <f ca="1">IF(AND(Energy!$F$11=$A$3,Main!$B$43=$A13),Summary!AB30,AB13)</f>
        <v>5.7211191282557152</v>
      </c>
      <c r="AC13" s="72">
        <f ca="1">IF(AND(Energy!$F$11=$A$3,Main!$B$43=$A13),Summary!AC30,AC13)</f>
        <v>2.7065719426765278</v>
      </c>
      <c r="AD13" s="72">
        <f ca="1">IF(AND(Energy!$F$11=$A$3,Main!$B$43=$A13),Summary!AD30,AD13)</f>
        <v>0.42150713892827346</v>
      </c>
      <c r="AE13" s="72">
        <f ca="1">IF(AND(Energy!$F$11=$A$3,Main!$B$43=$A13),Summary!AE30,AE13)</f>
        <v>1.0842105263157895</v>
      </c>
      <c r="AF13" s="72">
        <f ca="1">IF(AND(Energy!$F$11=$A$3,Main!$B$43=$A13),Summary!AF30,AF13)</f>
        <v>27.10526315789474</v>
      </c>
      <c r="AG13" s="72">
        <f ca="1">IF(AND(Energy!$F$11=$A$3,Main!$B$43=$A13),Summary!AG30,AG13)</f>
        <v>11.454867388944287</v>
      </c>
      <c r="AH13" s="72">
        <f ca="1">IF(AND(Energy!$F$11=$A$3,Main!$B$43=$A13),Summary!AH30,AH13)</f>
        <v>47</v>
      </c>
      <c r="AI13" s="72">
        <f ca="1">IF(AND(Energy!$F$11=$A$3,Main!$B$43=$A13),Summary!AI30,AI13)</f>
        <v>2.6640336124271657</v>
      </c>
      <c r="AJ13" s="72">
        <f ca="1">IF(AND(Energy!$F$11=$A$3,Main!$B$43=$A13),Summary!AJ30,AJ13)</f>
        <v>0.27206302515334102</v>
      </c>
      <c r="AK13" s="72">
        <f ca="1">IF(AND(Energy!$F$11=$A$3,Main!$B$43=$A13),Summary!AK30,AK13)</f>
        <v>0.01</v>
      </c>
      <c r="AL13" s="72">
        <f ca="1">IF(AND(Energy!$F$11=$A$3,Main!$B$43=$A13),Summary!AL30,AL13)</f>
        <v>-0.45960313674136771</v>
      </c>
      <c r="AM13" s="72">
        <f ca="1">IF(AND(Energy!$F$11=$A$3,Main!$B$43=$A13),Summary!AM30,AM13)</f>
        <v>0</v>
      </c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6"/>
    </row>
    <row r="14" spans="1:55">
      <c r="A14">
        <f t="shared" si="1"/>
        <v>1</v>
      </c>
      <c r="C14" s="72"/>
      <c r="D14" s="1">
        <f ca="1">IF(AND(Energy!$F$11=$A$3,Main!$B$43=A14),Main!C31,D14)</f>
        <v>5.5789473684210531</v>
      </c>
      <c r="E14" s="72">
        <f ca="1">IF(AND(Energy!$F$11=$A$3,Main!$B$43=A14),Main!B31,E14)</f>
        <v>0.2</v>
      </c>
      <c r="F14" s="72">
        <f ca="1">IF(Main!$D$6=1,U14,IF(Main!$D$6=2,N14,IF(Main!$D$6=3,K14,IF(Main!$D$6=4,V14,J14))))</f>
        <v>535.07621200855999</v>
      </c>
      <c r="G14" s="72">
        <f ca="1">IF(AND(Energy!$F$11=$A$3,Main!$B$43=A14),Weight!H31,G14)</f>
        <v>15</v>
      </c>
      <c r="H14" s="72">
        <f ca="1">IF(AND(Energy!$F$11=$A$3,Main!$B$43=A14),Weight!U31,H14)</f>
        <v>14.046707015833945</v>
      </c>
      <c r="I14" s="72">
        <f ca="1">IF(AND(Energy!$F$11=$A$3,Main!$B$43=A14),Weight!V31,I14)</f>
        <v>42.474747718958952</v>
      </c>
      <c r="J14" s="72">
        <f ca="1">IF(AND(Energy!$F$11=$A$3,Main!$B$43=A14),Weight!I31,J14)</f>
        <v>23.490392428125002</v>
      </c>
      <c r="K14" s="72">
        <f ca="1">IF(AND(Energy!$F$11=$A$3,Main!$B$43=A14),Weight!W31,K14)</f>
        <v>57.474747718958952</v>
      </c>
      <c r="L14" s="72">
        <f ca="1">IF(AND(Energy!$F$11=$A$3,Main!$B$43=A14),'Aerodynamics-Cruise'!BI31,L14)</f>
        <v>57.474747718958952</v>
      </c>
      <c r="M14" s="72">
        <f ca="1">IF(AND(Energy!$F$11=$A$3,Main!$B$43=A14),'Aerodynamics-Cruise'!BJ31,M14)</f>
        <v>2.7982720040704798</v>
      </c>
      <c r="N14" s="72">
        <f ca="1">IF(AND(Energy!$F$11=$A$3,Main!$B$43=A14),'Aerodynamics-Cruise'!BK31,N14)</f>
        <v>20.539371310349335</v>
      </c>
      <c r="O14" s="72">
        <f t="shared" ca="1" si="0"/>
        <v>155.71329076806785</v>
      </c>
      <c r="P14" s="72">
        <f ca="1">IF(AND(Energy!$F$11=$A$3,Main!$B$43=A14),'Aerodynamics-Cruise'!H31,P14)</f>
        <v>9.6946320206514702</v>
      </c>
      <c r="Q14" s="72">
        <f ca="1">IF(AND(Energy!$F$11=$A$3,Main!$B$43=A14),'Aerodynamics-Cruise'!I31,Q14)</f>
        <v>8.3192378219813747</v>
      </c>
      <c r="R14" s="72">
        <f ca="1">IF(AND(Energy!$F$11=$A$3,Main!$B$43=$A14),Summary!R31,R14)</f>
        <v>5.6386306324761328</v>
      </c>
      <c r="S14" s="72">
        <f ca="1">IF(AND(Energy!$F$11=$A$3,Main!$B$43=A14),'Aerodynamics-Cruise'!W31,S14)</f>
        <v>1</v>
      </c>
      <c r="T14" s="72">
        <f ca="1">IF(AND(Energy!$F$11=$A$3,Main!$B$43=A14),'Aerodynamics-Cruise'!BL31,T14)</f>
        <v>27.128217373154236</v>
      </c>
      <c r="U14" s="72">
        <f ca="1">IF(AND(Energy!$F$11=$A$3,Main!$B$43=A14),'Propulsion-Cruise'!M31,U14)</f>
        <v>57.030894798872382</v>
      </c>
      <c r="V14" s="72">
        <f ca="1">IF(AND(Energy!$F$11=$A$3,Main!$B$43=A14),Endurance!AP31,V14)</f>
        <v>535.07621200855999</v>
      </c>
      <c r="W14" s="72">
        <f ca="1">IF(AND(Energy!$F$11=$A$3,Main!$B$43=$A14),Summary!W31,W14)</f>
        <v>1.1157894736842107</v>
      </c>
      <c r="X14" s="13">
        <f ca="1">IF(AND(Energy!$F$11=$A$3,Main!$B$43=A14),Energy!D31,X14)</f>
        <v>1182.0301388888888</v>
      </c>
      <c r="Y14" s="126">
        <f ca="1">IF(AND(Energy!$F$11=$A$3,Main!$B$43=A14),'Aerodynamics-Cruise'!V31,Y14)</f>
        <v>122972.10358309268</v>
      </c>
      <c r="Z14" s="126">
        <f ca="1">IF(AND(Energy!$F$11=$A$3,Main!$B$43=$A14),Summary!Z31,Z14)</f>
        <v>93437.604223597416</v>
      </c>
      <c r="AA14" s="126">
        <f ca="1">IF(AND(Energy!$F$11=$A$3,Main!$B$43=$A14),Summary!AA31,AA14)</f>
        <v>93437.604223597416</v>
      </c>
      <c r="AB14" s="72">
        <f ca="1">IF(AND(Energy!$F$11=$A$3,Main!$B$43=$A14),Summary!AB31,AB14)</f>
        <v>5.6386306324761328</v>
      </c>
      <c r="AC14" s="72">
        <f ca="1">IF(AND(Energy!$F$11=$A$3,Main!$B$43=$A14),Summary!AC31,AC14)</f>
        <v>2.6634829749838351</v>
      </c>
      <c r="AD14" s="72">
        <f ca="1">IF(AND(Energy!$F$11=$A$3,Main!$B$43=$A14),Summary!AD31,AD14)</f>
        <v>0.4198081306563583</v>
      </c>
      <c r="AE14" s="72">
        <f ca="1">IF(AND(Energy!$F$11=$A$3,Main!$B$43=$A14),Summary!AE31,AE14)</f>
        <v>1.1157894736842107</v>
      </c>
      <c r="AF14" s="72">
        <f ca="1">IF(AND(Energy!$F$11=$A$3,Main!$B$43=$A14),Summary!AF31,AF14)</f>
        <v>27.894736842105264</v>
      </c>
      <c r="AG14" s="72">
        <f ca="1">IF(AND(Energy!$F$11=$A$3,Main!$B$43=$A14),Summary!AG31,AG14)</f>
        <v>11.465383874745323</v>
      </c>
      <c r="AH14" s="72">
        <f ca="1">IF(AND(Energy!$F$11=$A$3,Main!$B$43=$A14),Summary!AH31,AH14)</f>
        <v>47</v>
      </c>
      <c r="AI14" s="72">
        <f ca="1">IF(AND(Energy!$F$11=$A$3,Main!$B$43=$A14),Summary!AI31,AI14)</f>
        <v>2.6616543155723624</v>
      </c>
      <c r="AJ14" s="72">
        <f ca="1">IF(AND(Energy!$F$11=$A$3,Main!$B$43=$A14),Summary!AJ31,AJ14)</f>
        <v>0.27281947370167425</v>
      </c>
      <c r="AK14" s="72">
        <f ca="1">IF(AND(Energy!$F$11=$A$3,Main!$B$43=$A14),Summary!AK31,AK14)</f>
        <v>0.01</v>
      </c>
      <c r="AL14" s="72">
        <f ca="1">IF(AND(Energy!$F$11=$A$3,Main!$B$43=$A14),Summary!AL31,AL14)</f>
        <v>-0.45832954823554867</v>
      </c>
      <c r="AM14" s="72">
        <f ca="1">IF(AND(Energy!$F$11=$A$3,Main!$B$43=$A14),Summary!AM31,AM14)</f>
        <v>0</v>
      </c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6"/>
    </row>
    <row r="15" spans="1:55">
      <c r="A15">
        <f t="shared" si="1"/>
        <v>1</v>
      </c>
      <c r="C15" s="72"/>
      <c r="D15" s="1">
        <f ca="1">IF(AND(Energy!$F$11=$A$3,Main!$B$43=A15),Main!C32,D15)</f>
        <v>5.7368421052631584</v>
      </c>
      <c r="E15" s="72">
        <f ca="1">IF(AND(Energy!$F$11=$A$3,Main!$B$43=A15),Main!B32,E15)</f>
        <v>0.2</v>
      </c>
      <c r="F15" s="72">
        <f ca="1">IF(Main!$D$6=1,U15,IF(Main!$D$6=2,N15,IF(Main!$D$6=3,K15,IF(Main!$D$6=4,V15,J15))))</f>
        <v>535.61676447557841</v>
      </c>
      <c r="G15" s="72">
        <f ca="1">IF(AND(Energy!$F$11=$A$3,Main!$B$43=A15),Weight!H32,G15)</f>
        <v>15</v>
      </c>
      <c r="H15" s="72">
        <f ca="1">IF(AND(Energy!$F$11=$A$3,Main!$B$43=A15),Weight!U32,H15)</f>
        <v>14.442894216188648</v>
      </c>
      <c r="I15" s="72">
        <f ca="1">IF(AND(Energy!$F$11=$A$3,Main!$B$43=A15),Weight!V32,I15)</f>
        <v>42.870934919313655</v>
      </c>
      <c r="J15" s="72">
        <f ca="1">IF(AND(Energy!$F$11=$A$3,Main!$B$43=A15),Weight!I32,J15)</f>
        <v>23.490392428125002</v>
      </c>
      <c r="K15" s="72">
        <f ca="1">IF(AND(Energy!$F$11=$A$3,Main!$B$43=A15),Weight!W32,K15)</f>
        <v>57.870934919313655</v>
      </c>
      <c r="L15" s="72">
        <f ca="1">IF(AND(Energy!$F$11=$A$3,Main!$B$43=A15),'Aerodynamics-Cruise'!BI32,L15)</f>
        <v>57.870934919313648</v>
      </c>
      <c r="M15" s="72">
        <f ca="1">IF(AND(Energy!$F$11=$A$3,Main!$B$43=A15),'Aerodynamics-Cruise'!BJ32,M15)</f>
        <v>2.819125941888545</v>
      </c>
      <c r="N15" s="72">
        <f ca="1">IF(AND(Energy!$F$11=$A$3,Main!$B$43=A15),'Aerodynamics-Cruise'!BK32,N15)</f>
        <v>20.527970765486856</v>
      </c>
      <c r="O15" s="72">
        <f t="shared" ca="1" si="0"/>
        <v>156.16232626429485</v>
      </c>
      <c r="P15" s="72">
        <f ca="1">IF(AND(Energy!$F$11=$A$3,Main!$B$43=A15),'Aerodynamics-Cruise'!H32,P15)</f>
        <v>9.5931657260910139</v>
      </c>
      <c r="Q15" s="72">
        <f ca="1">IF(AND(Energy!$F$11=$A$3,Main!$B$43=A15),'Aerodynamics-Cruise'!I32,Q15)</f>
        <v>8.2356986490169728</v>
      </c>
      <c r="R15" s="72">
        <f ca="1">IF(AND(Energy!$F$11=$A$3,Main!$B$43=$A15),Summary!R32,R15)</f>
        <v>5.5625989121704436</v>
      </c>
      <c r="S15" s="72">
        <f ca="1">IF(AND(Energy!$F$11=$A$3,Main!$B$43=A15),'Aerodynamics-Cruise'!W32,S15)</f>
        <v>1</v>
      </c>
      <c r="T15" s="72">
        <f ca="1">IF(AND(Energy!$F$11=$A$3,Main!$B$43=A15),'Aerodynamics-Cruise'!BL32,T15)</f>
        <v>27.044342363259236</v>
      </c>
      <c r="U15" s="72">
        <f ca="1">IF(AND(Energy!$F$11=$A$3,Main!$B$43=A15),'Propulsion-Cruise'!M32,U15)</f>
        <v>56.996473296186636</v>
      </c>
      <c r="V15" s="72">
        <f ca="1">IF(AND(Energy!$F$11=$A$3,Main!$B$43=A15),Endurance!AP32,V15)</f>
        <v>535.61676447557841</v>
      </c>
      <c r="W15" s="72">
        <f ca="1">IF(AND(Energy!$F$11=$A$3,Main!$B$43=$A15),Summary!W32,W15)</f>
        <v>1.1473684210526318</v>
      </c>
      <c r="X15" s="13">
        <f ca="1">IF(AND(Energy!$F$11=$A$3,Main!$B$43=A15),Energy!D32,X15)</f>
        <v>1182.0301388888888</v>
      </c>
      <c r="Y15" s="126">
        <f ca="1">IF(AND(Energy!$F$11=$A$3,Main!$B$43=A15),'Aerodynamics-Cruise'!V32,Y15)</f>
        <v>121685.04867906937</v>
      </c>
      <c r="Z15" s="126">
        <f ca="1">IF(AND(Energy!$F$11=$A$3,Main!$B$43=$A15),Summary!Z32,Z15)</f>
        <v>92497.785161648251</v>
      </c>
      <c r="AA15" s="126">
        <f ca="1">IF(AND(Energy!$F$11=$A$3,Main!$B$43=$A15),Summary!AA32,AA15)</f>
        <v>92497.785161648251</v>
      </c>
      <c r="AB15" s="72">
        <f ca="1">IF(AND(Energy!$F$11=$A$3,Main!$B$43=$A15),Summary!AB32,AB15)</f>
        <v>5.5625989121704436</v>
      </c>
      <c r="AC15" s="72">
        <f ca="1">IF(AND(Energy!$F$11=$A$3,Main!$B$43=$A15),Summary!AC32,AC15)</f>
        <v>2.6214827438796311</v>
      </c>
      <c r="AD15" s="72">
        <f ca="1">IF(AND(Energy!$F$11=$A$3,Main!$B$43=$A15),Summary!AD32,AD15)</f>
        <v>0.41827182381222006</v>
      </c>
      <c r="AE15" s="72">
        <f ca="1">IF(AND(Energy!$F$11=$A$3,Main!$B$43=$A15),Summary!AE32,AE15)</f>
        <v>1.1473684210526318</v>
      </c>
      <c r="AF15" s="72">
        <f ca="1">IF(AND(Energy!$F$11=$A$3,Main!$B$43=$A15),Summary!AF32,AF15)</f>
        <v>28.684210526315791</v>
      </c>
      <c r="AG15" s="72">
        <f ca="1">IF(AND(Energy!$F$11=$A$3,Main!$B$43=$A15),Summary!AG32,AG15)</f>
        <v>11.47992542000784</v>
      </c>
      <c r="AH15" s="72">
        <f ca="1">IF(AND(Energy!$F$11=$A$3,Main!$B$43=$A15),Summary!AH32,AH15)</f>
        <v>47</v>
      </c>
      <c r="AI15" s="72">
        <f ca="1">IF(AND(Energy!$F$11=$A$3,Main!$B$43=$A15),Summary!AI32,AI15)</f>
        <v>2.6593718759614817</v>
      </c>
      <c r="AJ15" s="72">
        <f ca="1">IF(AND(Energy!$F$11=$A$3,Main!$B$43=$A15),Summary!AJ32,AJ15)</f>
        <v>0.27353922873433256</v>
      </c>
      <c r="AK15" s="72">
        <f ca="1">IF(AND(Energy!$F$11=$A$3,Main!$B$43=$A15),Summary!AK32,AK15)</f>
        <v>0.01</v>
      </c>
      <c r="AL15" s="72">
        <f ca="1">IF(AND(Energy!$F$11=$A$3,Main!$B$43=$A15),Summary!AL32,AL15)</f>
        <v>-0.45712433691573473</v>
      </c>
      <c r="AM15" s="72">
        <f ca="1">IF(AND(Energy!$F$11=$A$3,Main!$B$43=$A15),Summary!AM32,AM15)</f>
        <v>0</v>
      </c>
      <c r="AN15" s="72"/>
      <c r="AO15" s="72"/>
      <c r="AP15" s="72"/>
      <c r="AQ15" s="72"/>
      <c r="AR15" s="58"/>
      <c r="AS15" s="72"/>
      <c r="AT15" s="58"/>
      <c r="AU15" s="72"/>
      <c r="AV15" s="72"/>
      <c r="AW15" s="72"/>
      <c r="AX15" s="72"/>
      <c r="AY15" s="72"/>
      <c r="AZ15" s="58"/>
      <c r="BA15" s="58"/>
      <c r="BB15" s="58"/>
      <c r="BC15" s="6"/>
    </row>
    <row r="16" spans="1:55">
      <c r="A16">
        <f t="shared" si="1"/>
        <v>1</v>
      </c>
      <c r="C16" s="72"/>
      <c r="D16" s="1">
        <f ca="1">IF(AND(Energy!$F$11=$A$3,Main!$B$43=A16),Main!C33,D16)</f>
        <v>5.8947368421052637</v>
      </c>
      <c r="E16" s="72">
        <f ca="1">IF(AND(Energy!$F$11=$A$3,Main!$B$43=A16),Main!B33,E16)</f>
        <v>0.2</v>
      </c>
      <c r="F16" s="72">
        <f ca="1">IF(Main!$D$6=1,U16,IF(Main!$D$6=2,N16,IF(Main!$D$6=3,K16,IF(Main!$D$6=4,V16,J16))))</f>
        <v>536.48278455153843</v>
      </c>
      <c r="G16" s="72">
        <f ca="1">IF(AND(Energy!$F$11=$A$3,Main!$B$43=A16),Weight!H33,G16)</f>
        <v>15</v>
      </c>
      <c r="H16" s="72">
        <f ca="1">IF(AND(Energy!$F$11=$A$3,Main!$B$43=A16),Weight!U33,H16)</f>
        <v>14.845690400961367</v>
      </c>
      <c r="I16" s="72">
        <f ca="1">IF(AND(Energy!$F$11=$A$3,Main!$B$43=A16),Weight!V33,I16)</f>
        <v>43.273731104086366</v>
      </c>
      <c r="J16" s="72">
        <f ca="1">IF(AND(Energy!$F$11=$A$3,Main!$B$43=A16),Weight!I33,J16)</f>
        <v>23.490392428125002</v>
      </c>
      <c r="K16" s="72">
        <f ca="1">IF(AND(Energy!$F$11=$A$3,Main!$B$43=A16),Weight!W33,K16)</f>
        <v>58.273731104086373</v>
      </c>
      <c r="L16" s="72">
        <f ca="1">IF(AND(Energy!$F$11=$A$3,Main!$B$43=A16),'Aerodynamics-Cruise'!BI33,L16)</f>
        <v>58.273731104086387</v>
      </c>
      <c r="M16" s="72">
        <f ca="1">IF(AND(Energy!$F$11=$A$3,Main!$B$43=A16),'Aerodynamics-Cruise'!BJ33,M16)</f>
        <v>2.8408670564608549</v>
      </c>
      <c r="N16" s="72">
        <f ca="1">IF(AND(Energy!$F$11=$A$3,Main!$B$43=A16),'Aerodynamics-Cruise'!BK33,N16)</f>
        <v>20.512656856489318</v>
      </c>
      <c r="O16" s="72">
        <f t="shared" ca="1" si="0"/>
        <v>156.5879461645462</v>
      </c>
      <c r="P16" s="72">
        <f ca="1">IF(AND(Energy!$F$11=$A$3,Main!$B$43=A16),'Aerodynamics-Cruise'!H33,P16)</f>
        <v>9.4966762299072691</v>
      </c>
      <c r="Q16" s="72">
        <f ca="1">IF(AND(Energy!$F$11=$A$3,Main!$B$43=A16),'Aerodynamics-Cruise'!I33,Q16)</f>
        <v>8.1562229673470021</v>
      </c>
      <c r="R16" s="72">
        <f ca="1">IF(AND(Energy!$F$11=$A$3,Main!$B$43=$A16),Summary!R33,R16)</f>
        <v>5.4925318741341229</v>
      </c>
      <c r="S16" s="72">
        <f ca="1">IF(AND(Energy!$F$11=$A$3,Main!$B$43=A16),'Aerodynamics-Cruise'!W33,S16)</f>
        <v>1</v>
      </c>
      <c r="T16" s="72">
        <f ca="1">IF(AND(Energy!$F$11=$A$3,Main!$B$43=A16),'Aerodynamics-Cruise'!BL33,T16)</f>
        <v>26.978794647418432</v>
      </c>
      <c r="U16" s="72">
        <f ca="1">IF(AND(Energy!$F$11=$A$3,Main!$B$43=A16),'Propulsion-Cruise'!M33,U16)</f>
        <v>56.998639024071373</v>
      </c>
      <c r="V16" s="72">
        <f ca="1">IF(AND(Energy!$F$11=$A$3,Main!$B$43=A16),Endurance!AP33,V16)</f>
        <v>536.48278455153843</v>
      </c>
      <c r="W16" s="72">
        <f ca="1">IF(AND(Energy!$F$11=$A$3,Main!$B$43=$A16),Summary!W33,W16)</f>
        <v>1.1789473684210527</v>
      </c>
      <c r="X16" s="13">
        <f ca="1">IF(AND(Energy!$F$11=$A$3,Main!$B$43=A16),Energy!D33,X16)</f>
        <v>1182.0301388888888</v>
      </c>
      <c r="Y16" s="126">
        <f ca="1">IF(AND(Energy!$F$11=$A$3,Main!$B$43=A16),'Aerodynamics-Cruise'!V33,Y16)</f>
        <v>120461.12225317596</v>
      </c>
      <c r="Z16" s="126">
        <f ca="1">IF(AND(Energy!$F$11=$A$3,Main!$B$43=$A16),Summary!Z33,Z16)</f>
        <v>91603.695478860624</v>
      </c>
      <c r="AA16" s="126">
        <f ca="1">IF(AND(Energy!$F$11=$A$3,Main!$B$43=$A16),Summary!AA33,AA16)</f>
        <v>91603.695478860624</v>
      </c>
      <c r="AB16" s="72">
        <f ca="1">IF(AND(Energy!$F$11=$A$3,Main!$B$43=$A16),Summary!AB33,AB16)</f>
        <v>5.4925318741341229</v>
      </c>
      <c r="AC16" s="72">
        <f ca="1">IF(AND(Energy!$F$11=$A$3,Main!$B$43=$A16),Summary!AC33,AC16)</f>
        <v>2.5805274147632051</v>
      </c>
      <c r="AD16" s="72">
        <f ca="1">IF(AND(Energy!$F$11=$A$3,Main!$B$43=$A16),Summary!AD33,AD16)</f>
        <v>0.41688667568719623</v>
      </c>
      <c r="AE16" s="72">
        <f ca="1">IF(AND(Energy!$F$11=$A$3,Main!$B$43=$A16),Summary!AE33,AE16)</f>
        <v>1.1789473684210527</v>
      </c>
      <c r="AF16" s="72">
        <f ca="1">IF(AND(Energy!$F$11=$A$3,Main!$B$43=$A16),Summary!AF33,AF16)</f>
        <v>29.473684210526322</v>
      </c>
      <c r="AG16" s="72">
        <f ca="1">IF(AND(Energy!$F$11=$A$3,Main!$B$43=$A16),Summary!AG33,AG16)</f>
        <v>11.498179030809979</v>
      </c>
      <c r="AH16" s="72">
        <f ca="1">IF(AND(Energy!$F$11=$A$3,Main!$B$43=$A16),Summary!AH33,AH16)</f>
        <v>47</v>
      </c>
      <c r="AI16" s="72">
        <f ca="1">IF(AND(Energy!$F$11=$A$3,Main!$B$43=$A16),Summary!AI33,AI16)</f>
        <v>2.6571811068382378</v>
      </c>
      <c r="AJ16" s="72">
        <f ca="1">IF(AND(Energy!$F$11=$A$3,Main!$B$43=$A16),Summary!AJ33,AJ16)</f>
        <v>0.27422463506105843</v>
      </c>
      <c r="AK16" s="72">
        <f ca="1">IF(AND(Energy!$F$11=$A$3,Main!$B$43=$A16),Summary!AK33,AK16)</f>
        <v>0.01</v>
      </c>
      <c r="AL16" s="72">
        <f ca="1">IF(AND(Energy!$F$11=$A$3,Main!$B$43=$A16),Summary!AL33,AL16)</f>
        <v>-0.45598257848662754</v>
      </c>
      <c r="AM16" s="72">
        <f ca="1">IF(AND(Energy!$F$11=$A$3,Main!$B$43=$A16),Summary!AM33,AM16)</f>
        <v>0</v>
      </c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6"/>
    </row>
    <row r="17" spans="1:55">
      <c r="A17">
        <f t="shared" si="1"/>
        <v>1</v>
      </c>
      <c r="C17" s="72"/>
      <c r="D17" s="1">
        <f ca="1">IF(AND(Energy!$F$11=$A$3,Main!$B$43=A17),Main!C34,D17)</f>
        <v>6.052631578947369</v>
      </c>
      <c r="E17" s="72">
        <f ca="1">IF(AND(Energy!$F$11=$A$3,Main!$B$43=A17),Main!B34,E17)</f>
        <v>0.2</v>
      </c>
      <c r="F17" s="72">
        <f ca="1">IF(Main!$D$6=1,U17,IF(Main!$D$6=2,N17,IF(Main!$D$6=3,K17,IF(Main!$D$6=4,V17,J17))))</f>
        <v>537.65072954102175</v>
      </c>
      <c r="G17" s="72">
        <f ca="1">IF(AND(Energy!$F$11=$A$3,Main!$B$43=A17),Weight!H34,G17)</f>
        <v>15</v>
      </c>
      <c r="H17" s="72">
        <f ca="1">IF(AND(Energy!$F$11=$A$3,Main!$B$43=A17),Weight!U34,H17)</f>
        <v>15.255114969790334</v>
      </c>
      <c r="I17" s="72">
        <f ca="1">IF(AND(Energy!$F$11=$A$3,Main!$B$43=A17),Weight!V34,I17)</f>
        <v>43.683155672915333</v>
      </c>
      <c r="J17" s="72">
        <f ca="1">IF(AND(Energy!$F$11=$A$3,Main!$B$43=A17),Weight!I34,J17)</f>
        <v>23.490392428125002</v>
      </c>
      <c r="K17" s="72">
        <f ca="1">IF(AND(Energy!$F$11=$A$3,Main!$B$43=A17),Weight!W34,K17)</f>
        <v>58.683155672915341</v>
      </c>
      <c r="L17" s="72">
        <f ca="1">IF(AND(Energy!$F$11=$A$3,Main!$B$43=A17),'Aerodynamics-Cruise'!BI34,L17)</f>
        <v>58.683155672915333</v>
      </c>
      <c r="M17" s="72">
        <f ca="1">IF(AND(Energy!$F$11=$A$3,Main!$B$43=A17),'Aerodynamics-Cruise'!BJ34,M17)</f>
        <v>2.8634336086856362</v>
      </c>
      <c r="N17" s="72">
        <f ca="1">IF(AND(Energy!$F$11=$A$3,Main!$B$43=A17),'Aerodynamics-Cruise'!BK34,N17)</f>
        <v>20.493981594304149</v>
      </c>
      <c r="O17" s="72">
        <f t="shared" ca="1" si="0"/>
        <v>156.99400611661889</v>
      </c>
      <c r="P17" s="72">
        <f ca="1">IF(AND(Energy!$F$11=$A$3,Main!$B$43=A17),'Aerodynamics-Cruise'!H34,P17)</f>
        <v>9.4048392957932787</v>
      </c>
      <c r="Q17" s="72">
        <f ca="1">IF(AND(Energy!$F$11=$A$3,Main!$B$43=A17),'Aerodynamics-Cruise'!I34,Q17)</f>
        <v>8.0805483824437427</v>
      </c>
      <c r="R17" s="72">
        <f ca="1">IF(AND(Energy!$F$11=$A$3,Main!$B$43=$A17),Summary!R34,R17)</f>
        <v>5.4279905108798632</v>
      </c>
      <c r="S17" s="72">
        <f ca="1">IF(AND(Energy!$F$11=$A$3,Main!$B$43=A17),'Aerodynamics-Cruise'!W34,S17)</f>
        <v>1</v>
      </c>
      <c r="T17" s="72">
        <f ca="1">IF(AND(Energy!$F$11=$A$3,Main!$B$43=A17),'Aerodynamics-Cruise'!BL34,T17)</f>
        <v>26.930132923861827</v>
      </c>
      <c r="U17" s="72">
        <f ca="1">IF(AND(Energy!$F$11=$A$3,Main!$B$43=A17),'Propulsion-Cruise'!M34,U17)</f>
        <v>57.034681151138301</v>
      </c>
      <c r="V17" s="72">
        <f ca="1">IF(AND(Energy!$F$11=$A$3,Main!$B$43=A17),Endurance!AP34,V17)</f>
        <v>537.65072954102175</v>
      </c>
      <c r="W17" s="72">
        <f ca="1">IF(AND(Energy!$F$11=$A$3,Main!$B$43=$A17),Summary!W34,W17)</f>
        <v>1.2105263157894739</v>
      </c>
      <c r="X17" s="13">
        <f ca="1">IF(AND(Energy!$F$11=$A$3,Main!$B$43=A17),Energy!D34,X17)</f>
        <v>1182.0301388888888</v>
      </c>
      <c r="Y17" s="126">
        <f ca="1">IF(AND(Energy!$F$11=$A$3,Main!$B$43=A17),'Aerodynamics-Cruise'!V34,Y17)</f>
        <v>119296.21151179224</v>
      </c>
      <c r="Z17" s="126">
        <f ca="1">IF(AND(Energy!$F$11=$A$3,Main!$B$43=$A17),Summary!Z34,Z17)</f>
        <v>90752.381230000057</v>
      </c>
      <c r="AA17" s="126">
        <f ca="1">IF(AND(Energy!$F$11=$A$3,Main!$B$43=$A17),Summary!AA34,AA17)</f>
        <v>90752.381230000057</v>
      </c>
      <c r="AB17" s="72">
        <f ca="1">IF(AND(Energy!$F$11=$A$3,Main!$B$43=$A17),Summary!AB34,AB17)</f>
        <v>5.4279905108798632</v>
      </c>
      <c r="AC17" s="72">
        <f ca="1">IF(AND(Energy!$F$11=$A$3,Main!$B$43=$A17),Summary!AC34,AC17)</f>
        <v>2.5405750294682239</v>
      </c>
      <c r="AD17" s="72">
        <f ca="1">IF(AND(Energy!$F$11=$A$3,Main!$B$43=$A17),Summary!AD34,AD17)</f>
        <v>0.41564226799343329</v>
      </c>
      <c r="AE17" s="72">
        <f ca="1">IF(AND(Energy!$F$11=$A$3,Main!$B$43=$A17),Summary!AE34,AE17)</f>
        <v>1.2105263157894739</v>
      </c>
      <c r="AF17" s="72">
        <f ca="1">IF(AND(Energy!$F$11=$A$3,Main!$B$43=$A17),Summary!AF34,AF17)</f>
        <v>30.263157894736842</v>
      </c>
      <c r="AG17" s="72">
        <f ca="1">IF(AND(Energy!$F$11=$A$3,Main!$B$43=$A17),Summary!AG34,AG17)</f>
        <v>11.519867418389255</v>
      </c>
      <c r="AH17" s="72">
        <f ca="1">IF(AND(Energy!$F$11=$A$3,Main!$B$43=$A17),Summary!AH34,AH17)</f>
        <v>47</v>
      </c>
      <c r="AI17" s="72">
        <f ca="1">IF(AND(Energy!$F$11=$A$3,Main!$B$43=$A17),Summary!AI34,AI17)</f>
        <v>2.6550772373759948</v>
      </c>
      <c r="AJ17" s="72">
        <f ca="1">IF(AND(Energy!$F$11=$A$3,Main!$B$43=$A17),Summary!AJ34,AJ17)</f>
        <v>0.27487477602521626</v>
      </c>
      <c r="AK17" s="72">
        <f ca="1">IF(AND(Energy!$F$11=$A$3,Main!$B$43=$A17),Summary!AK34,AK17)</f>
        <v>0.01</v>
      </c>
      <c r="AL17" s="72">
        <f ca="1">IF(AND(Energy!$F$11=$A$3,Main!$B$43=$A17),Summary!AL34,AL17)</f>
        <v>-0.45490492875364991</v>
      </c>
      <c r="AM17" s="72">
        <f ca="1">IF(AND(Energy!$F$11=$A$3,Main!$B$43=$A17),Summary!AM34,AM17)</f>
        <v>0</v>
      </c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6"/>
    </row>
    <row r="18" spans="1:55">
      <c r="A18">
        <f t="shared" si="1"/>
        <v>1</v>
      </c>
      <c r="D18" s="1">
        <f ca="1">IF(AND(Energy!$F$11=$A$3,Main!$B$43=A18),Main!C35,D18)</f>
        <v>6.2105263157894743</v>
      </c>
      <c r="E18" s="72">
        <f ca="1">IF(AND(Energy!$F$11=$A$3,Main!$B$43=A18),Main!B35,E18)</f>
        <v>0.2</v>
      </c>
      <c r="F18" s="72">
        <f ca="1">IF(Main!$D$6=1,U18,IF(Main!$D$6=2,N18,IF(Main!$D$6=3,K18,IF(Main!$D$6=4,V18,J18))))</f>
        <v>539.10317836404056</v>
      </c>
      <c r="G18" s="72">
        <f ca="1">IF(AND(Energy!$F$11=$A$3,Main!$B$43=A18),Weight!H35,G18)</f>
        <v>15</v>
      </c>
      <c r="H18" s="72">
        <f ca="1">IF(AND(Energy!$F$11=$A$3,Main!$B$43=A18),Weight!U35,H18)</f>
        <v>15.671190019745886</v>
      </c>
      <c r="I18" s="72">
        <f ca="1">IF(AND(Energy!$F$11=$A$3,Main!$B$43=A18),Weight!V35,I18)</f>
        <v>44.099230722870885</v>
      </c>
      <c r="J18" s="72">
        <f ca="1">IF(AND(Energy!$F$11=$A$3,Main!$B$43=A18),Weight!I35,J18)</f>
        <v>23.490392428125002</v>
      </c>
      <c r="K18" s="72">
        <f ca="1">IF(AND(Energy!$F$11=$A$3,Main!$B$43=A18),Weight!W35,K18)</f>
        <v>59.099230722870892</v>
      </c>
      <c r="L18" s="72">
        <f ca="1">IF(AND(Energy!$F$11=$A$3,Main!$B$43=A18),'Aerodynamics-Cruise'!BI35,L18)</f>
        <v>59.099230722870885</v>
      </c>
      <c r="M18" s="72">
        <f ca="1">IF(AND(Energy!$F$11=$A$3,Main!$B$43=A18),'Aerodynamics-Cruise'!BJ35,M18)</f>
        <v>2.8867706570694778</v>
      </c>
      <c r="N18" s="72">
        <f ca="1">IF(AND(Energy!$F$11=$A$3,Main!$B$43=A18),'Aerodynamics-Cruise'!BK35,N18)</f>
        <v>20.472437108275798</v>
      </c>
      <c r="O18" s="72">
        <f t="shared" ca="1" si="0"/>
        <v>157.38395673049723</v>
      </c>
      <c r="P18" s="72">
        <f ca="1">IF(AND(Energy!$F$11=$A$3,Main!$B$43=A18),'Aerodynamics-Cruise'!H35,P18)</f>
        <v>9.3173598332313681</v>
      </c>
      <c r="Q18" s="72">
        <f ca="1">IF(AND(Energy!$F$11=$A$3,Main!$B$43=A18),'Aerodynamics-Cruise'!I35,Q18)</f>
        <v>8.0084359403237642</v>
      </c>
      <c r="R18" s="72">
        <f ca="1">IF(AND(Energy!$F$11=$A$3,Main!$B$43=$A18),Summary!R35,R18)</f>
        <v>5.3685820642687592</v>
      </c>
      <c r="S18" s="72">
        <f ca="1">IF(AND(Energy!$F$11=$A$3,Main!$B$43=A18),'Aerodynamics-Cruise'!W35,S18)</f>
        <v>1</v>
      </c>
      <c r="T18" s="72">
        <f ca="1">IF(AND(Energy!$F$11=$A$3,Main!$B$43=A18),'Aerodynamics-Cruise'!BL35,T18)</f>
        <v>26.897080967930076</v>
      </c>
      <c r="U18" s="72">
        <f ca="1">IF(AND(Energy!$F$11=$A$3,Main!$B$43=A18),'Propulsion-Cruise'!M35,U18)</f>
        <v>57.102201725305427</v>
      </c>
      <c r="V18" s="72">
        <f ca="1">IF(AND(Energy!$F$11=$A$3,Main!$B$43=A18),Endurance!AP35,V18)</f>
        <v>539.10317836404056</v>
      </c>
      <c r="W18" s="72">
        <f ca="1">IF(AND(Energy!$F$11=$A$3,Main!$B$43=$A18),Summary!W35,W18)</f>
        <v>1.242105263157895</v>
      </c>
      <c r="X18" s="13">
        <f ca="1">IF(AND(Energy!$F$11=$A$3,Main!$B$43=A18),Energy!D35,X18)</f>
        <v>1182.0301388888888</v>
      </c>
      <c r="Y18" s="126">
        <f ca="1">IF(AND(Energy!$F$11=$A$3,Main!$B$43=A18),'Aerodynamics-Cruise'!V35,Y18)</f>
        <v>118186.57336269684</v>
      </c>
      <c r="Z18" s="126">
        <f ca="1">IF(AND(Energy!$F$11=$A$3,Main!$B$43=$A18),Summary!Z35,Z18)</f>
        <v>89941.152419772377</v>
      </c>
      <c r="AA18" s="126">
        <f ca="1">IF(AND(Energy!$F$11=$A$3,Main!$B$43=$A18),Summary!AA35,AA18)</f>
        <v>89941.152419772377</v>
      </c>
      <c r="AB18" s="72">
        <f ca="1">IF(AND(Energy!$F$11=$A$3,Main!$B$43=$A18),Summary!AB35,AB18)</f>
        <v>5.3685820642687592</v>
      </c>
      <c r="AC18" s="72">
        <f ca="1">IF(AND(Energy!$F$11=$A$3,Main!$B$43=$A18),Summary!AC35,AC18)</f>
        <v>2.5105499410050918</v>
      </c>
      <c r="AD18" s="72">
        <f ca="1">IF(AND(Energy!$F$11=$A$3,Main!$B$43=$A18),Summary!AD35,AD18)</f>
        <v>0.41452917301635256</v>
      </c>
      <c r="AE18" s="72">
        <f ca="1">IF(AND(Energy!$F$11=$A$3,Main!$B$43=$A18),Summary!AE35,AE18)</f>
        <v>1.242105263157895</v>
      </c>
      <c r="AF18" s="72">
        <f ca="1">IF(AND(Energy!$F$11=$A$3,Main!$B$43=$A18),Summary!AF35,AF18)</f>
        <v>31.05263157894737</v>
      </c>
      <c r="AG18" s="72">
        <f ca="1">IF(AND(Energy!$F$11=$A$3,Main!$B$43=$A18),Summary!AG35,AG18)</f>
        <v>11.544744235137594</v>
      </c>
      <c r="AH18" s="72">
        <f ca="1">IF(AND(Energy!$F$11=$A$3,Main!$B$43=$A18),Summary!AH35,AH18)</f>
        <v>47</v>
      </c>
      <c r="AI18" s="72">
        <f ca="1">IF(AND(Energy!$F$11=$A$3,Main!$B$43=$A18),Summary!AI35,AI18)</f>
        <v>2.6530558689471206</v>
      </c>
      <c r="AJ18" s="72">
        <f ca="1">IF(AND(Energy!$F$11=$A$3,Main!$B$43=$A18),Summary!AJ35,AJ18)</f>
        <v>0.27548648184015134</v>
      </c>
      <c r="AK18" s="72">
        <f ca="1">IF(AND(Energy!$F$11=$A$3,Main!$B$43=$A18),Summary!AK35,AK18)</f>
        <v>0.01</v>
      </c>
      <c r="AL18" s="72">
        <f ca="1">IF(AND(Energy!$F$11=$A$3,Main!$B$43=$A18),Summary!AL35,AL18)</f>
        <v>-0.453895813577958</v>
      </c>
      <c r="AM18" s="72">
        <f ca="1">IF(AND(Energy!$F$11=$A$3,Main!$B$43=$A18),Summary!AM35,AM18)</f>
        <v>0</v>
      </c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58"/>
      <c r="BB18" s="58"/>
      <c r="BC18" s="6"/>
    </row>
    <row r="19" spans="1:55">
      <c r="A19">
        <f t="shared" si="1"/>
        <v>1</v>
      </c>
      <c r="C19" s="72"/>
      <c r="D19" s="1">
        <f ca="1">IF(AND(Energy!$F$11=$A$3,Main!$B$43=A19),Main!C36,D19)</f>
        <v>6.3684210526315796</v>
      </c>
      <c r="E19" s="72">
        <f ca="1">IF(AND(Energy!$F$11=$A$3,Main!$B$43=A19),Main!B36,E19)</f>
        <v>0.2</v>
      </c>
      <c r="F19" s="72">
        <f ca="1">IF(Main!$D$6=1,U19,IF(Main!$D$6=2,N19,IF(Main!$D$6=3,K19,IF(Main!$D$6=4,V19,J19))))</f>
        <v>540.81862751573726</v>
      </c>
      <c r="G19" s="72">
        <f ca="1">IF(AND(Energy!$F$11=$A$3,Main!$B$43=A19),Weight!H36,G19)</f>
        <v>15</v>
      </c>
      <c r="H19" s="72">
        <f ca="1">IF(AND(Energy!$F$11=$A$3,Main!$B$43=A19),Weight!U36,H19)</f>
        <v>16.093940174030031</v>
      </c>
      <c r="I19" s="72">
        <f ca="1">IF(AND(Energy!$F$11=$A$3,Main!$B$43=A19),Weight!V36,I19)</f>
        <v>44.52198087715503</v>
      </c>
      <c r="J19" s="72">
        <f ca="1">IF(AND(Energy!$F$11=$A$3,Main!$B$43=A19),Weight!I36,J19)</f>
        <v>23.490392428125002</v>
      </c>
      <c r="K19" s="72">
        <f ca="1">IF(AND(Energy!$F$11=$A$3,Main!$B$43=A19),Weight!W36,K19)</f>
        <v>59.521980877155038</v>
      </c>
      <c r="L19" s="72">
        <f ca="1">IF(AND(Energy!$F$11=$A$3,Main!$B$43=A19),'Aerodynamics-Cruise'!BI36,L19)</f>
        <v>59.521980877155038</v>
      </c>
      <c r="M19" s="72">
        <f ca="1">IF(AND(Energy!$F$11=$A$3,Main!$B$43=A19),'Aerodynamics-Cruise'!BJ36,M19)</f>
        <v>2.9108291750652455</v>
      </c>
      <c r="N19" s="72">
        <f ca="1">IF(AND(Energy!$F$11=$A$3,Main!$B$43=A19),'Aerodynamics-Cruise'!BK36,N19)</f>
        <v>20.44846237870378</v>
      </c>
      <c r="O19" s="72">
        <f t="shared" ca="1" si="0"/>
        <v>157.76088896760999</v>
      </c>
      <c r="P19" s="72">
        <f ca="1">IF(AND(Energy!$F$11=$A$3,Main!$B$43=A19),'Aerodynamics-Cruise'!H36,P19)</f>
        <v>9.2339686173570286</v>
      </c>
      <c r="Q19" s="72">
        <f ca="1">IF(AND(Energy!$F$11=$A$3,Main!$B$43=A19),'Aerodynamics-Cruise'!I36,Q19)</f>
        <v>7.9396675021097911</v>
      </c>
      <c r="R19" s="72">
        <f ca="1">IF(AND(Energy!$F$11=$A$3,Main!$B$43=$A19),Summary!R36,R19)</f>
        <v>5.3139542344186674</v>
      </c>
      <c r="S19" s="72">
        <f ca="1">IF(AND(Energy!$F$11=$A$3,Main!$B$43=A19),'Aerodynamics-Cruise'!W36,S19)</f>
        <v>1</v>
      </c>
      <c r="T19" s="72">
        <f ca="1">IF(AND(Energy!$F$11=$A$3,Main!$B$43=A19),'Aerodynamics-Cruise'!BL36,T19)</f>
        <v>26.878505253039727</v>
      </c>
      <c r="U19" s="72">
        <f ca="1">IF(AND(Energy!$F$11=$A$3,Main!$B$43=A19),'Propulsion-Cruise'!M36,U19)</f>
        <v>57.199074023257964</v>
      </c>
      <c r="V19" s="72">
        <f ca="1">IF(AND(Energy!$F$11=$A$3,Main!$B$43=A19),Endurance!AP36,V19)</f>
        <v>540.81862751573726</v>
      </c>
      <c r="W19" s="72">
        <f ca="1">IF(AND(Energy!$F$11=$A$3,Main!$B$43=$A19),Summary!W36,W19)</f>
        <v>1.273684210526316</v>
      </c>
      <c r="X19" s="13">
        <f ca="1">IF(AND(Energy!$F$11=$A$3,Main!$B$43=A19),Energy!D36,X19)</f>
        <v>1182.0301388888888</v>
      </c>
      <c r="Y19" s="126">
        <f ca="1">IF(AND(Energy!$F$11=$A$3,Main!$B$43=A19),'Aerodynamics-Cruise'!V36,Y19)</f>
        <v>117128.79280799662</v>
      </c>
      <c r="Z19" s="126">
        <f ca="1">IF(AND(Energy!$F$11=$A$3,Main!$B$43=$A19),Summary!Z36,Z19)</f>
        <v>89167.553433765061</v>
      </c>
      <c r="AA19" s="126">
        <f ca="1">IF(AND(Energy!$F$11=$A$3,Main!$B$43=$A19),Summary!AA36,AA19)</f>
        <v>89167.553433765061</v>
      </c>
      <c r="AB19" s="72">
        <f ca="1">IF(AND(Energy!$F$11=$A$3,Main!$B$43=$A19),Summary!AB36,AB19)</f>
        <v>5.3139542344186674</v>
      </c>
      <c r="AC19" s="72">
        <f ca="1">IF(AND(Energy!$F$11=$A$3,Main!$B$43=$A19),Summary!AC36,AC19)</f>
        <v>2.4635205719131741</v>
      </c>
      <c r="AD19" s="72">
        <f ca="1">IF(AND(Energy!$F$11=$A$3,Main!$B$43=$A19),Summary!AD36,AD19)</f>
        <v>0.41353884541360086</v>
      </c>
      <c r="AE19" s="72">
        <f ca="1">IF(AND(Energy!$F$11=$A$3,Main!$B$43=$A19),Summary!AE36,AE19)</f>
        <v>1.273684210526316</v>
      </c>
      <c r="AF19" s="72">
        <f ca="1">IF(AND(Energy!$F$11=$A$3,Main!$B$43=$A19),Summary!AF36,AF19)</f>
        <v>31.842105263157897</v>
      </c>
      <c r="AG19" s="72">
        <f ca="1">IF(AND(Energy!$F$11=$A$3,Main!$B$43=$A19),Summary!AG36,AG19)</f>
        <v>11.572589982781722</v>
      </c>
      <c r="AH19" s="72">
        <f ca="1">IF(AND(Energy!$F$11=$A$3,Main!$B$43=$A19),Summary!AH36,AH19)</f>
        <v>47</v>
      </c>
      <c r="AI19" s="72">
        <f ca="1">IF(AND(Energy!$F$11=$A$3,Main!$B$43=$A19),Summary!AI36,AI19)</f>
        <v>2.6511129370010487</v>
      </c>
      <c r="AJ19" s="72">
        <f ca="1">IF(AND(Energy!$F$11=$A$3,Main!$B$43=$A19),Summary!AJ36,AJ19)</f>
        <v>0.27608627740824548</v>
      </c>
      <c r="AK19" s="72">
        <f ca="1">IF(AND(Energy!$F$11=$A$3,Main!$B$43=$A19),Summary!AK36,AK19)</f>
        <v>0.01</v>
      </c>
      <c r="AL19" s="72">
        <f ca="1">IF(AND(Energy!$F$11=$A$3,Main!$B$43=$A19),Summary!AL36,AL19)</f>
        <v>-0.45291047978963594</v>
      </c>
      <c r="AM19" s="72">
        <f ca="1">IF(AND(Energy!$F$11=$A$3,Main!$B$43=$A19),Summary!AM36,AM19)</f>
        <v>0</v>
      </c>
      <c r="AN19" s="68"/>
      <c r="AO19" s="68"/>
      <c r="AP19" s="68"/>
      <c r="AQ19" s="68"/>
      <c r="AR19" s="58"/>
      <c r="AS19" s="68"/>
      <c r="AT19" s="68"/>
      <c r="AU19" s="68"/>
      <c r="AV19" s="68"/>
      <c r="AW19" s="68"/>
      <c r="AX19" s="68"/>
      <c r="AY19" s="68"/>
      <c r="AZ19" s="68"/>
      <c r="BA19" s="58"/>
      <c r="BB19" s="58"/>
      <c r="BC19" s="6"/>
    </row>
    <row r="20" spans="1:55">
      <c r="A20">
        <f t="shared" si="1"/>
        <v>1</v>
      </c>
      <c r="C20" s="72"/>
      <c r="D20" s="1">
        <f ca="1">IF(AND(Energy!$F$11=$A$3,Main!$B$43=A20),Main!C37,D20)</f>
        <v>6.526315789473685</v>
      </c>
      <c r="E20" s="72">
        <f ca="1">IF(AND(Energy!$F$11=$A$3,Main!$B$43=A20),Main!B37,E20)</f>
        <v>0.2</v>
      </c>
      <c r="F20" s="72">
        <f ca="1">IF(Main!$D$6=1,U20,IF(Main!$D$6=2,N20,IF(Main!$D$6=3,K20,IF(Main!$D$6=4,V20,J20))))</f>
        <v>542.77948735255427</v>
      </c>
      <c r="G20" s="72">
        <f ca="1">IF(AND(Energy!$F$11=$A$3,Main!$B$43=A20),Weight!H37,G20)</f>
        <v>15</v>
      </c>
      <c r="H20" s="72">
        <f ca="1">IF(AND(Energy!$F$11=$A$3,Main!$B$43=A20),Weight!U37,H20)</f>
        <v>16.523392427372613</v>
      </c>
      <c r="I20" s="72">
        <f ca="1">IF(AND(Energy!$F$11=$A$3,Main!$B$43=A20),Weight!V37,I20)</f>
        <v>44.95143313049762</v>
      </c>
      <c r="J20" s="72">
        <f ca="1">IF(AND(Energy!$F$11=$A$3,Main!$B$43=A20),Weight!I37,J20)</f>
        <v>23.490392428125002</v>
      </c>
      <c r="K20" s="72">
        <f ca="1">IF(AND(Energy!$F$11=$A$3,Main!$B$43=A20),Weight!W37,K20)</f>
        <v>59.95143313049762</v>
      </c>
      <c r="L20" s="72">
        <f ca="1">IF(AND(Energy!$F$11=$A$3,Main!$B$43=A20),'Aerodynamics-Cruise'!BI37,L20)</f>
        <v>59.951433130497612</v>
      </c>
      <c r="M20" s="72">
        <f ca="1">IF(AND(Energy!$F$11=$A$3,Main!$B$43=A20),'Aerodynamics-Cruise'!BJ37,M20)</f>
        <v>2.9355653754862012</v>
      </c>
      <c r="N20" s="72">
        <f ca="1">IF(AND(Energy!$F$11=$A$3,Main!$B$43=A20),'Aerodynamics-Cruise'!BK37,N20)</f>
        <v>20.422448646904414</v>
      </c>
      <c r="O20" s="72">
        <f t="shared" ca="1" si="0"/>
        <v>158.1275701091094</v>
      </c>
      <c r="P20" s="72">
        <f ca="1">IF(AND(Energy!$F$11=$A$3,Main!$B$43=A20),'Aerodynamics-Cruise'!H37,P20)</f>
        <v>9.1544194486617698</v>
      </c>
      <c r="Q20" s="72">
        <f ca="1">IF(AND(Energy!$F$11=$A$3,Main!$B$43=A20),'Aerodynamics-Cruise'!I37,Q20)</f>
        <v>7.8740434692367316</v>
      </c>
      <c r="R20" s="72">
        <f ca="1">IF(AND(Energy!$F$11=$A$3,Main!$B$43=$A20),Summary!R37,R20)</f>
        <v>5.2637901953865116</v>
      </c>
      <c r="S20" s="72">
        <f ca="1">IF(AND(Energy!$F$11=$A$3,Main!$B$43=A20),'Aerodynamics-Cruise'!W37,S20)</f>
        <v>1</v>
      </c>
      <c r="T20" s="72">
        <f ca="1">IF(AND(Energy!$F$11=$A$3,Main!$B$43=A20),'Aerodynamics-Cruise'!BL37,T20)</f>
        <v>26.873396766168973</v>
      </c>
      <c r="U20" s="72">
        <f ca="1">IF(AND(Energy!$F$11=$A$3,Main!$B$43=A20),'Propulsion-Cruise'!M37,U20)</f>
        <v>57.323406297476261</v>
      </c>
      <c r="V20" s="72">
        <f ca="1">IF(AND(Energy!$F$11=$A$3,Main!$B$43=A20),Endurance!AP37,V20)</f>
        <v>542.77948735255427</v>
      </c>
      <c r="W20" s="72">
        <f ca="1">IF(AND(Energy!$F$11=$A$3,Main!$B$43=$A20),Summary!W37,W20)</f>
        <v>1.3052631578947371</v>
      </c>
      <c r="X20" s="13">
        <f ca="1">IF(AND(Energy!$F$11=$A$3,Main!$B$43=A20),Energy!D37,X20)</f>
        <v>1182.0301388888888</v>
      </c>
      <c r="Y20" s="126">
        <f ca="1">IF(AND(Energy!$F$11=$A$3,Main!$B$43=A20),'Aerodynamics-Cruise'!V37,Y20)</f>
        <v>116119.74691621817</v>
      </c>
      <c r="Z20" s="126">
        <f ca="1">IF(AND(Energy!$F$11=$A$3,Main!$B$43=$A20),Summary!Z37,Z20)</f>
        <v>88429.337419148185</v>
      </c>
      <c r="AA20" s="126">
        <f ca="1">IF(AND(Energy!$F$11=$A$3,Main!$B$43=$A20),Summary!AA37,AA20)</f>
        <v>88429.337419148185</v>
      </c>
      <c r="AB20" s="72">
        <f ca="1">IF(AND(Energy!$F$11=$A$3,Main!$B$43=$A20),Summary!AB37,AB20)</f>
        <v>5.2637901953865116</v>
      </c>
      <c r="AC20" s="72">
        <f ca="1">IF(AND(Energy!$F$11=$A$3,Main!$B$43=$A20),Summary!AC37,AC20)</f>
        <v>2.4263438430270101</v>
      </c>
      <c r="AD20" s="72">
        <f ca="1">IF(AND(Energy!$F$11=$A$3,Main!$B$43=$A20),Summary!AD37,AD20)</f>
        <v>0.4126635082732748</v>
      </c>
      <c r="AE20" s="72">
        <f ca="1">IF(AND(Energy!$F$11=$A$3,Main!$B$43=$A20),Summary!AE37,AE20)</f>
        <v>1.3052631578947371</v>
      </c>
      <c r="AF20" s="72">
        <f ca="1">IF(AND(Energy!$F$11=$A$3,Main!$B$43=$A20),Summary!AF37,AF20)</f>
        <v>32.631578947368418</v>
      </c>
      <c r="AG20" s="72">
        <f ca="1">IF(AND(Energy!$F$11=$A$3,Main!$B$43=$A20),Summary!AG37,AG20)</f>
        <v>11.603208727565669</v>
      </c>
      <c r="AH20" s="72">
        <f ca="1">IF(AND(Energy!$F$11=$A$3,Main!$B$43=$A20),Summary!AH37,AH20)</f>
        <v>47</v>
      </c>
      <c r="AI20" s="72">
        <f ca="1">IF(AND(Energy!$F$11=$A$3,Main!$B$43=$A20),Summary!AI37,AI20)</f>
        <v>2.6492446777081242</v>
      </c>
      <c r="AJ20" s="72">
        <f ca="1">IF(AND(Energy!$F$11=$A$3,Main!$B$43=$A20),Summary!AJ37,AJ20)</f>
        <v>0.27665925018443477</v>
      </c>
      <c r="AK20" s="72">
        <f ca="1">IF(AND(Energy!$F$11=$A$3,Main!$B$43=$A20),Summary!AK37,AK20)</f>
        <v>0.01</v>
      </c>
      <c r="AL20" s="72">
        <f ca="1">IF(AND(Energy!$F$11=$A$3,Main!$B$43=$A20),Summary!AL37,AL20)</f>
        <v>-0.45197324286844937</v>
      </c>
      <c r="AM20" s="72">
        <f ca="1">IF(AND(Energy!$F$11=$A$3,Main!$B$43=$A20),Summary!AM37,AM20)</f>
        <v>0</v>
      </c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6"/>
    </row>
    <row r="21" spans="1:55">
      <c r="A21">
        <f t="shared" si="1"/>
        <v>1</v>
      </c>
      <c r="C21" s="72"/>
      <c r="D21" s="1">
        <f ca="1">IF(AND(Energy!$F$11=$A$3,Main!$B$43=A21),Main!C38,D21)</f>
        <v>6.6842105263157903</v>
      </c>
      <c r="E21" s="72">
        <f ca="1">IF(AND(Energy!$F$11=$A$3,Main!$B$43=A21),Main!B38,E21)</f>
        <v>0.2</v>
      </c>
      <c r="F21" s="72">
        <f ca="1">IF(Main!$D$6=1,U21,IF(Main!$D$6=2,N21,IF(Main!$D$6=3,K21,IF(Main!$D$6=4,V21,J21))))</f>
        <v>544.97284182547492</v>
      </c>
      <c r="G21" s="72">
        <f ca="1">IF(AND(Energy!$F$11=$A$3,Main!$B$43=A21),Weight!H38,G21)</f>
        <v>15</v>
      </c>
      <c r="H21" s="72">
        <f ca="1">IF(AND(Energy!$F$11=$A$3,Main!$B$43=A21),Weight!U38,H21)</f>
        <v>16.959576006068822</v>
      </c>
      <c r="I21" s="72">
        <f ca="1">IF(AND(Energy!$F$11=$A$3,Main!$B$43=A21),Weight!V38,I21)</f>
        <v>45.387616709193821</v>
      </c>
      <c r="J21" s="72">
        <f ca="1">IF(AND(Energy!$F$11=$A$3,Main!$B$43=A21),Weight!I38,J21)</f>
        <v>23.490392428125002</v>
      </c>
      <c r="K21" s="72">
        <f ca="1">IF(AND(Energy!$F$11=$A$3,Main!$B$43=A21),Weight!W38,K21)</f>
        <v>60.387616709193829</v>
      </c>
      <c r="L21" s="72">
        <f ca="1">IF(AND(Energy!$F$11=$A$3,Main!$B$43=A21),'Aerodynamics-Cruise'!BI38,L21)</f>
        <v>60.387616709193843</v>
      </c>
      <c r="M21" s="72">
        <f ca="1">IF(AND(Energy!$F$11=$A$3,Main!$B$43=A21),'Aerodynamics-Cruise'!BJ38,M21)</f>
        <v>2.9609400160673225</v>
      </c>
      <c r="N21" s="72">
        <f ca="1">IF(AND(Energy!$F$11=$A$3,Main!$B$43=A21),'Aerodynamics-Cruise'!BK38,N21)</f>
        <v>20.394745040934602</v>
      </c>
      <c r="O21" s="72">
        <f t="shared" ca="1" si="0"/>
        <v>158.48648204676658</v>
      </c>
      <c r="P21" s="72">
        <f ca="1">IF(AND(Energy!$F$11=$A$3,Main!$B$43=A21),'Aerodynamics-Cruise'!H38,P21)</f>
        <v>9.0784866845049983</v>
      </c>
      <c r="Q21" s="72">
        <f ca="1">IF(AND(Energy!$F$11=$A$3,Main!$B$43=A21),'Aerodynamics-Cruise'!I38,Q21)</f>
        <v>7.8113808052551255</v>
      </c>
      <c r="R21" s="72">
        <f ca="1">IF(AND(Energy!$F$11=$A$3,Main!$B$43=$A21),Summary!R38,R21)</f>
        <v>5.2178043831080485</v>
      </c>
      <c r="S21" s="72">
        <f ca="1">IF(AND(Energy!$F$11=$A$3,Main!$B$43=A21),'Aerodynamics-Cruise'!W38,S21)</f>
        <v>1</v>
      </c>
      <c r="T21" s="72">
        <f ca="1">IF(AND(Energy!$F$11=$A$3,Main!$B$43=A21),'Aerodynamics-Cruise'!BL38,T21)</f>
        <v>26.880854509485204</v>
      </c>
      <c r="U21" s="72">
        <f ca="1">IF(AND(Energy!$F$11=$A$3,Main!$B$43=A21),'Propulsion-Cruise'!M38,U21)</f>
        <v>57.473511947882614</v>
      </c>
      <c r="V21" s="72">
        <f ca="1">IF(AND(Energy!$F$11=$A$3,Main!$B$43=A21),Endurance!AP38,V21)</f>
        <v>544.97284182547492</v>
      </c>
      <c r="W21" s="72">
        <f ca="1">IF(AND(Energy!$F$11=$A$3,Main!$B$43=$A21),Summary!W38,W21)</f>
        <v>1.3368421052631581</v>
      </c>
      <c r="X21" s="13">
        <f ca="1">IF(AND(Energy!$F$11=$A$3,Main!$B$43=A21),Energy!D38,X21)</f>
        <v>1182.0301388888888</v>
      </c>
      <c r="Y21" s="126">
        <f ca="1">IF(AND(Energy!$F$11=$A$3,Main!$B$43=A21),'Aerodynamics-Cruise'!V38,Y21)</f>
        <v>115156.57351063186</v>
      </c>
      <c r="Z21" s="126">
        <f ca="1">IF(AND(Energy!$F$11=$A$3,Main!$B$43=$A21),Summary!Z38,Z21)</f>
        <v>87724.444006253267</v>
      </c>
      <c r="AA21" s="126">
        <f ca="1">IF(AND(Energy!$F$11=$A$3,Main!$B$43=$A21),Summary!AA38,AA21)</f>
        <v>87724.444006253267</v>
      </c>
      <c r="AB21" s="72">
        <f ca="1">IF(AND(Energy!$F$11=$A$3,Main!$B$43=$A21),Summary!AB38,AB21)</f>
        <v>5.2178043831080485</v>
      </c>
      <c r="AC21" s="72">
        <f ca="1">IF(AND(Energy!$F$11=$A$3,Main!$B$43=$A21),Summary!AC38,AC21)</f>
        <v>2.3900206738327641</v>
      </c>
      <c r="AD21" s="72">
        <f ca="1">IF(AND(Energy!$F$11=$A$3,Main!$B$43=$A21),Summary!AD38,AD21)</f>
        <v>0.4118960781874621</v>
      </c>
      <c r="AE21" s="72">
        <f ca="1">IF(AND(Energy!$F$11=$A$3,Main!$B$43=$A21),Summary!AE38,AE21)</f>
        <v>1.3368421052631581</v>
      </c>
      <c r="AF21" s="72">
        <f ca="1">IF(AND(Energy!$F$11=$A$3,Main!$B$43=$A21),Summary!AF38,AF21)</f>
        <v>33.421052631578952</v>
      </c>
      <c r="AG21" s="72">
        <f ca="1">IF(AND(Energy!$F$11=$A$3,Main!$B$43=$A21),Summary!AG38,AG21)</f>
        <v>11.63642502762416</v>
      </c>
      <c r="AH21" s="72">
        <f ca="1">IF(AND(Energy!$F$11=$A$3,Main!$B$43=$A21),Summary!AH38,AH21)</f>
        <v>47</v>
      </c>
      <c r="AI21" s="72">
        <f ca="1">IF(AND(Energy!$F$11=$A$3,Main!$B$43=$A21),Summary!AI38,AI21)</f>
        <v>2.6474475986706665</v>
      </c>
      <c r="AJ21" s="72">
        <f ca="1">IF(AND(Energy!$F$11=$A$3,Main!$B$43=$A21),Summary!AJ38,AJ21)</f>
        <v>0.27720693138026081</v>
      </c>
      <c r="AK21" s="72">
        <f ca="1">IF(AND(Energy!$F$11=$A$3,Main!$B$43=$A21),Summary!AK38,AK21)</f>
        <v>0.01</v>
      </c>
      <c r="AL21" s="72">
        <f ca="1">IF(AND(Energy!$F$11=$A$3,Main!$B$43=$A21),Summary!AL38,AL21)</f>
        <v>-0.45108103856806975</v>
      </c>
      <c r="AM21" s="72">
        <f ca="1">IF(AND(Energy!$F$11=$A$3,Main!$B$43=$A21),Summary!AM38,AM21)</f>
        <v>0</v>
      </c>
      <c r="AN21" s="98"/>
      <c r="AO21" s="98"/>
      <c r="AP21" s="98"/>
      <c r="AQ21" s="98"/>
      <c r="AR21" s="72"/>
      <c r="AS21" s="72"/>
      <c r="AT21" s="72"/>
      <c r="AU21" s="98"/>
      <c r="AV21" s="98"/>
      <c r="AW21" s="98"/>
      <c r="AX21" s="98"/>
      <c r="AY21" s="98"/>
      <c r="AZ21" s="127"/>
      <c r="BA21" s="58"/>
      <c r="BB21" s="58"/>
      <c r="BC21" s="6"/>
    </row>
    <row r="22" spans="1:55">
      <c r="A22">
        <f t="shared" si="1"/>
        <v>1</v>
      </c>
      <c r="C22" s="72"/>
      <c r="D22" s="1">
        <f ca="1">IF(AND(Energy!$F$11=$A$3,Main!$B$43=A22),Main!C39,D22)</f>
        <v>6.8421052631578956</v>
      </c>
      <c r="E22" s="72">
        <f ca="1">IF(AND(Energy!$F$11=$A$3,Main!$B$43=A22),Main!B39,E22)</f>
        <v>0.2</v>
      </c>
      <c r="F22" s="72">
        <f ca="1">IF(Main!$D$6=1,U22,IF(Main!$D$6=2,N22,IF(Main!$D$6=3,K22,IF(Main!$D$6=4,V22,J22))))</f>
        <v>547.3857633737199</v>
      </c>
      <c r="G22" s="72">
        <f ca="1">IF(AND(Energy!$F$11=$A$3,Main!$B$43=A22),Weight!H39,G22)</f>
        <v>15</v>
      </c>
      <c r="H22" s="72">
        <f ca="1">IF(AND(Energy!$F$11=$A$3,Main!$B$43=A22),Weight!U39,H22)</f>
        <v>17.402522240899366</v>
      </c>
      <c r="I22" s="72">
        <f ca="1">IF(AND(Energy!$F$11=$A$3,Main!$B$43=A22),Weight!V39,I22)</f>
        <v>45.830562944024365</v>
      </c>
      <c r="J22" s="72">
        <f ca="1">IF(AND(Energy!$F$11=$A$3,Main!$B$43=A22),Weight!I39,J22)</f>
        <v>23.490392428125002</v>
      </c>
      <c r="K22" s="72">
        <f ca="1">IF(AND(Energy!$F$11=$A$3,Main!$B$43=A22),Weight!W39,K22)</f>
        <v>60.830562944024372</v>
      </c>
      <c r="L22" s="72">
        <f ca="1">IF(AND(Energy!$F$11=$A$3,Main!$B$43=A22),'Aerodynamics-Cruise'!BI39,L22)</f>
        <v>60.830562944024372</v>
      </c>
      <c r="M22" s="72">
        <f ca="1">IF(AND(Energy!$F$11=$A$3,Main!$B$43=A22),'Aerodynamics-Cruise'!BJ39,M22)</f>
        <v>2.9869178776767669</v>
      </c>
      <c r="N22" s="72">
        <f ca="1">IF(AND(Energy!$F$11=$A$3,Main!$B$43=A22),'Aerodynamics-Cruise'!BK39,N22)</f>
        <v>20.3656630129177</v>
      </c>
      <c r="O22" s="72">
        <f t="shared" ca="1" si="0"/>
        <v>158.83985102926681</v>
      </c>
      <c r="P22" s="72">
        <f ca="1">IF(AND(Energy!$F$11=$A$3,Main!$B$43=A22),'Aerodynamics-Cruise'!H39,P22)</f>
        <v>9.0059630862628577</v>
      </c>
      <c r="Q22" s="72">
        <f ca="1">IF(AND(Energy!$F$11=$A$3,Main!$B$43=A22),'Aerodynamics-Cruise'!I39,Q22)</f>
        <v>7.7515113095768449</v>
      </c>
      <c r="R22" s="72">
        <f ca="1">IF(AND(Energy!$F$11=$A$3,Main!$B$43=$A22),Summary!R39,R22)</f>
        <v>5.1757388437253038</v>
      </c>
      <c r="S22" s="72">
        <f ca="1">IF(AND(Energy!$F$11=$A$3,Main!$B$43=A22),'Aerodynamics-Cruise'!W39,S22)</f>
        <v>1</v>
      </c>
      <c r="T22" s="72">
        <f ca="1">IF(AND(Energy!$F$11=$A$3,Main!$B$43=A22),'Aerodynamics-Cruise'!BL39,T22)</f>
        <v>26.90007214805556</v>
      </c>
      <c r="U22" s="72">
        <f ca="1">IF(AND(Energy!$F$11=$A$3,Main!$B$43=A22),'Propulsion-Cruise'!M39,U22)</f>
        <v>57.647883746039092</v>
      </c>
      <c r="V22" s="72">
        <f ca="1">IF(AND(Energy!$F$11=$A$3,Main!$B$43=A22),Endurance!AP39,V22)</f>
        <v>547.3857633737199</v>
      </c>
      <c r="W22" s="72">
        <f ca="1">IF(AND(Energy!$F$11=$A$3,Main!$B$43=$A22),Summary!W39,W22)</f>
        <v>1.3684210526315792</v>
      </c>
      <c r="X22" s="13">
        <f ca="1">IF(AND(Energy!$F$11=$A$3,Main!$B$43=A22),Energy!D39,X22)</f>
        <v>1182.0301388888888</v>
      </c>
      <c r="Y22" s="126">
        <f ca="1">IF(AND(Energy!$F$11=$A$3,Main!$B$43=A22),'Aerodynamics-Cruise'!V39,Y22)</f>
        <v>114236.64386129052</v>
      </c>
      <c r="Z22" s="126">
        <f ca="1">IF(AND(Energy!$F$11=$A$3,Main!$B$43=$A22),Summary!Z39,Z22)</f>
        <v>87050.979867966045</v>
      </c>
      <c r="AA22" s="126">
        <f ca="1">IF(AND(Energy!$F$11=$A$3,Main!$B$43=$A22),Summary!AA39,AA22)</f>
        <v>87050.979867966045</v>
      </c>
      <c r="AB22" s="72">
        <f ca="1">IF(AND(Energy!$F$11=$A$3,Main!$B$43=$A22),Summary!AB39,AB22)</f>
        <v>5.1757388437253038</v>
      </c>
      <c r="AC22" s="72">
        <f ca="1">IF(AND(Energy!$F$11=$A$3,Main!$B$43=$A22),Summary!AC39,AC22)</f>
        <v>2.3545181163351274</v>
      </c>
      <c r="AD22" s="72">
        <f ca="1">IF(AND(Energy!$F$11=$A$3,Main!$B$43=$A22),Summary!AD39,AD22)</f>
        <v>0.41123008728476718</v>
      </c>
      <c r="AE22" s="72">
        <f ca="1">IF(AND(Energy!$F$11=$A$3,Main!$B$43=$A22),Summary!AE39,AE22)</f>
        <v>1.3684210526315792</v>
      </c>
      <c r="AF22" s="72">
        <f ca="1">IF(AND(Energy!$F$11=$A$3,Main!$B$43=$A22),Summary!AF39,AF22)</f>
        <v>34.210526315789473</v>
      </c>
      <c r="AG22" s="72">
        <f ca="1">IF(AND(Energy!$F$11=$A$3,Main!$B$43=$A22),Summary!AG39,AG22)</f>
        <v>11.672081459521294</v>
      </c>
      <c r="AH22" s="72">
        <f ca="1">IF(AND(Energy!$F$11=$A$3,Main!$B$43=$A22),Summary!AH39,AH22)</f>
        <v>47</v>
      </c>
      <c r="AI22" s="72">
        <f ca="1">IF(AND(Energy!$F$11=$A$3,Main!$B$43=$A22),Summary!AI39,AI22)</f>
        <v>2.6457184531194509</v>
      </c>
      <c r="AJ22" s="72">
        <f ca="1">IF(AND(Energy!$F$11=$A$3,Main!$B$43=$A22),Summary!AJ39,AJ22)</f>
        <v>0.27773073085825989</v>
      </c>
      <c r="AK22" s="72">
        <f ca="1">IF(AND(Energy!$F$11=$A$3,Main!$B$43=$A22),Summary!AK39,AK22)</f>
        <v>0.01</v>
      </c>
      <c r="AL22" s="72">
        <f ca="1">IF(AND(Energy!$F$11=$A$3,Main!$B$43=$A22),Summary!AL39,AL22)</f>
        <v>-0.45023106911844485</v>
      </c>
      <c r="AM22" s="72">
        <f ca="1">IF(AND(Energy!$F$11=$A$3,Main!$B$43=$A22),Summary!AM39,AM22)</f>
        <v>0</v>
      </c>
      <c r="AN22" s="98"/>
      <c r="AO22" s="98"/>
      <c r="AP22" s="98"/>
      <c r="AQ22" s="98"/>
      <c r="AR22" s="72"/>
      <c r="AS22" s="72"/>
      <c r="AT22" s="72"/>
      <c r="AU22" s="98"/>
      <c r="AV22" s="98"/>
      <c r="AW22" s="98"/>
      <c r="AX22" s="98"/>
      <c r="AY22" s="98"/>
      <c r="AZ22" s="127"/>
      <c r="BA22" s="58"/>
      <c r="BB22" s="58"/>
      <c r="BC22" s="6"/>
    </row>
    <row r="23" spans="1:55">
      <c r="A23">
        <f t="shared" si="1"/>
        <v>1</v>
      </c>
      <c r="C23" s="72"/>
      <c r="D23" s="1">
        <f ca="1">IF(AND(Energy!$F$11=$A$3,Main!$B$43=A23),Main!C40,D23)</f>
        <v>7</v>
      </c>
      <c r="E23" s="72">
        <f ca="1">IF(AND(Energy!$F$11=$A$3,Main!$B$43=A23),Main!B40,E23)</f>
        <v>0.2</v>
      </c>
      <c r="F23" s="72">
        <f ca="1">IF(Main!$D$6=1,U23,IF(Main!$D$6=2,N23,IF(Main!$D$6=3,K23,IF(Main!$D$6=4,V23,J23))))</f>
        <v>550.00666404648427</v>
      </c>
      <c r="G23" s="72">
        <f ca="1">IF(AND(Energy!$F$11=$A$3,Main!$B$43=A23),Weight!H40,G23)</f>
        <v>15</v>
      </c>
      <c r="H23" s="72">
        <f ca="1">IF(AND(Energy!$F$11=$A$3,Main!$B$43=A23),Weight!U40,H23)</f>
        <v>17.852264451422492</v>
      </c>
      <c r="I23" s="72">
        <f ca="1">IF(AND(Energy!$F$11=$A$3,Main!$B$43=A23),Weight!V40,I23)</f>
        <v>46.280305154547491</v>
      </c>
      <c r="J23" s="72">
        <f ca="1">IF(AND(Energy!$F$11=$A$3,Main!$B$43=A23),Weight!I40,J23)</f>
        <v>23.490392428125002</v>
      </c>
      <c r="K23" s="72">
        <f ca="1">IF(AND(Energy!$F$11=$A$3,Main!$B$43=A23),Weight!W40,K23)</f>
        <v>61.280305154547499</v>
      </c>
      <c r="L23" s="72">
        <f ca="1">IF(AND(Energy!$F$11=$A$3,Main!$B$43=A23),'Aerodynamics-Cruise'!BI40,L23)</f>
        <v>61.28030515454752</v>
      </c>
      <c r="M23" s="72">
        <f ca="1">IF(AND(Energy!$F$11=$A$3,Main!$B$43=A23),'Aerodynamics-Cruise'!BJ40,M23)</f>
        <v>3.0134672957324655</v>
      </c>
      <c r="N23" s="72">
        <f ca="1">IF(AND(Energy!$F$11=$A$3,Main!$B$43=A23),'Aerodynamics-Cruise'!BK40,N23)</f>
        <v>20.335480408674048</v>
      </c>
      <c r="O23" s="72">
        <f t="shared" ca="1" si="0"/>
        <v>159.18967509047235</v>
      </c>
      <c r="P23" s="72">
        <f ca="1">IF(AND(Energy!$F$11=$A$3,Main!$B$43=A23),'Aerodynamics-Cruise'!H40,P23)</f>
        <v>8.9366579355108815</v>
      </c>
      <c r="Q23" s="72">
        <f ca="1">IF(AND(Energy!$F$11=$A$3,Main!$B$43=A23),'Aerodynamics-Cruise'!I40,Q23)</f>
        <v>7.6942801060916421</v>
      </c>
      <c r="R23" s="72">
        <f ca="1">IF(AND(Energy!$F$11=$A$3,Main!$B$43=$A23),Summary!R40,R23)</f>
        <v>5.1373601458932212</v>
      </c>
      <c r="S23" s="72">
        <f ca="1">IF(AND(Energy!$F$11=$A$3,Main!$B$43=A23),'Aerodynamics-Cruise'!W40,S23)</f>
        <v>1</v>
      </c>
      <c r="T23" s="72">
        <f ca="1">IF(AND(Energy!$F$11=$A$3,Main!$B$43=A23),'Aerodynamics-Cruise'!BL40,T23)</f>
        <v>26.930326421810054</v>
      </c>
      <c r="U23" s="72">
        <f ca="1">IF(AND(Energy!$F$11=$A$3,Main!$B$43=A23),'Propulsion-Cruise'!M40,U23)</f>
        <v>57.84517182736127</v>
      </c>
      <c r="V23" s="72">
        <f ca="1">IF(AND(Energy!$F$11=$A$3,Main!$B$43=A23),Endurance!AP40,V23)</f>
        <v>550.00666404648427</v>
      </c>
      <c r="W23" s="72">
        <f ca="1">IF(AND(Energy!$F$11=$A$3,Main!$B$43=$A23),Summary!W40,W23)</f>
        <v>1.4000000000000001</v>
      </c>
      <c r="X23" s="13">
        <f ca="1">IF(AND(Energy!$F$11=$A$3,Main!$B$43=A23),Energy!D40,X23)</f>
        <v>1182.0301388888888</v>
      </c>
      <c r="Y23" s="126">
        <f ca="1">IF(AND(Energy!$F$11=$A$3,Main!$B$43=A23),'Aerodynamics-Cruise'!V40,Y23)</f>
        <v>113357.53878964271</v>
      </c>
      <c r="Z23" s="126">
        <f ca="1">IF(AND(Energy!$F$11=$A$3,Main!$B$43=$A23),Summary!Z40,Z23)</f>
        <v>86407.201699312485</v>
      </c>
      <c r="AA23" s="126">
        <f ca="1">IF(AND(Energy!$F$11=$A$3,Main!$B$43=$A23),Summary!AA40,AA23)</f>
        <v>86407.201699312485</v>
      </c>
      <c r="AB23" s="72">
        <f ca="1">IF(AND(Energy!$F$11=$A$3,Main!$B$43=$A23),Summary!AB40,AB23)</f>
        <v>5.1373601458932212</v>
      </c>
      <c r="AC23" s="72">
        <f ca="1">IF(AND(Energy!$F$11=$A$3,Main!$B$43=$A23),Summary!AC40,AC23)</f>
        <v>2.3198048133975244</v>
      </c>
      <c r="AD23" s="72">
        <f ca="1">IF(AND(Energy!$F$11=$A$3,Main!$B$43=$A23),Summary!AD40,AD23)</f>
        <v>0.4106596178361116</v>
      </c>
      <c r="AE23" s="72">
        <f ca="1">IF(AND(Energy!$F$11=$A$3,Main!$B$43=$A23),Summary!AE40,AE23)</f>
        <v>1.4000000000000001</v>
      </c>
      <c r="AF23" s="72">
        <f ca="1">IF(AND(Energy!$F$11=$A$3,Main!$B$43=$A23),Summary!AF40,AF23)</f>
        <v>35</v>
      </c>
      <c r="AG23" s="72">
        <f ca="1">IF(AND(Energy!$F$11=$A$3,Main!$B$43=$A23),Summary!AG40,AG23)</f>
        <v>11.710036452254286</v>
      </c>
      <c r="AH23" s="72">
        <f ca="1">IF(AND(Energy!$F$11=$A$3,Main!$B$43=$A23),Summary!AH40,AH23)</f>
        <v>47</v>
      </c>
      <c r="AI23" s="72">
        <f ca="1">IF(AND(Energy!$F$11=$A$3,Main!$B$43=$A23),Summary!AI40,AI23)</f>
        <v>2.6440542171088306</v>
      </c>
      <c r="AJ23" s="72">
        <f ca="1">IF(AND(Energy!$F$11=$A$3,Main!$B$43=$A23),Summary!AJ40,AJ23)</f>
        <v>0.27823172929002754</v>
      </c>
      <c r="AK23" s="72">
        <f ca="1">IF(AND(Energy!$F$11=$A$3,Main!$B$43=$A23),Summary!AK40,AK23)</f>
        <v>0.01</v>
      </c>
      <c r="AL23" s="72">
        <f ca="1">IF(AND(Energy!$F$11=$A$3,Main!$B$43=$A23),Summary!AL40,AL23)</f>
        <v>-0.44942113277408713</v>
      </c>
      <c r="AM23" s="72">
        <f ca="1">IF(AND(Energy!$F$11=$A$3,Main!$B$43=$A23),Summary!AM40,AM23)</f>
        <v>0</v>
      </c>
      <c r="AN23" s="98"/>
      <c r="AO23" s="98"/>
      <c r="AP23" s="98"/>
      <c r="AQ23" s="98"/>
      <c r="AR23" s="72"/>
      <c r="AS23" s="72"/>
      <c r="AT23" s="72"/>
      <c r="AU23" s="98"/>
      <c r="AV23" s="98"/>
      <c r="AW23" s="98"/>
      <c r="AX23" s="98"/>
      <c r="AY23" s="98"/>
      <c r="AZ23" s="127"/>
      <c r="BA23" s="58"/>
      <c r="BB23" s="58"/>
      <c r="BC23" s="6"/>
    </row>
    <row r="24" spans="1:55">
      <c r="A24" s="7">
        <f>A4+1</f>
        <v>2</v>
      </c>
      <c r="D24" s="1">
        <f ca="1">IF(AND(Energy!$F$11=$A$3,Main!$B$43=A24),Main!C21,D24)</f>
        <v>4</v>
      </c>
      <c r="E24" s="72">
        <f ca="1">IF(AND(Energy!$F$11=$A$3,Main!$B$43=A24),Main!B21,E24)</f>
        <v>0.22222222222222224</v>
      </c>
      <c r="F24" s="72">
        <f ca="1">IF(Main!$D$6=1,U24,IF(Main!$D$6=2,N24,IF(Main!$D$6=3,K24,IF(Main!$D$6=4,V24,J24))))</f>
        <v>545.40060822486885</v>
      </c>
      <c r="G24" s="72">
        <f ca="1">IF(AND(Energy!$F$11=$A$3,Main!$B$43=A24),Weight!H21,G24)</f>
        <v>15</v>
      </c>
      <c r="H24" s="72">
        <f ca="1">IF(AND(Energy!$F$11=$A$3,Main!$B$43=A24),Weight!U21,H24)</f>
        <v>11.194751280082279</v>
      </c>
      <c r="I24" s="72">
        <f ca="1">IF(AND(Energy!$F$11=$A$3,Main!$B$43=A24),Weight!V21,I24)</f>
        <v>39.622791983207279</v>
      </c>
      <c r="J24" s="72">
        <f ca="1">IF(AND(Energy!$F$11=$A$3,Main!$B$43=A24),Weight!I21,J24)</f>
        <v>23.490392428125002</v>
      </c>
      <c r="K24" s="72">
        <f ca="1">IF(AND(Energy!$F$11=$A$3,Main!$B$43=A24),Weight!W21,K24)</f>
        <v>54.622791983207286</v>
      </c>
      <c r="L24" s="72">
        <f ca="1">IF(AND(Energy!$F$11=$A$3,Main!$B$43=A24),'Aerodynamics-Cruise'!BI21,L24)</f>
        <v>54.622791983207279</v>
      </c>
      <c r="M24" s="72">
        <f ca="1">IF(AND(Energy!$F$11=$A$3,Main!$B$43=A24),'Aerodynamics-Cruise'!BJ21,M24)</f>
        <v>2.6944559140728308</v>
      </c>
      <c r="N24" s="72">
        <f ca="1">IF(AND(Energy!$F$11=$A$3,Main!$B$43=A24),'Aerodynamics-Cruise'!BK21,N24)</f>
        <v>20.272290111676636</v>
      </c>
      <c r="O24" s="72">
        <f t="shared" ca="1" si="0"/>
        <v>149.82688836220396</v>
      </c>
      <c r="P24" s="72">
        <f ca="1">IF(AND(Energy!$F$11=$A$3,Main!$B$43=A24),'Aerodynamics-Cruise'!H21,P24)</f>
        <v>10.597596058254569</v>
      </c>
      <c r="Q24" s="72">
        <f ca="1">IF(AND(Energy!$F$11=$A$3,Main!$B$43=A24),'Aerodynamics-Cruise'!I21,Q24)</f>
        <v>9.0151185992379634</v>
      </c>
      <c r="R24" s="72">
        <f ca="1">IF(AND(Energy!$F$11=$A$3,Main!$B$43=$A24),Summary!R21,R24)</f>
        <v>6.3082207745906151</v>
      </c>
      <c r="S24" s="72">
        <f ca="1">IF(AND(Energy!$F$11=$A$3,Main!$B$43=A24),'Aerodynamics-Cruise'!W21,S24)</f>
        <v>1</v>
      </c>
      <c r="T24" s="72">
        <f ca="1">IF(AND(Energy!$F$11=$A$3,Main!$B$43=A24),'Aerodynamics-Cruise'!BL21,T24)</f>
        <v>28.55475537411894</v>
      </c>
      <c r="U24" s="72">
        <f ca="1">IF(AND(Energy!$F$11=$A$3,Main!$B$43=A24),'Propulsion-Cruise'!M21,U24)</f>
        <v>58.904275825453148</v>
      </c>
      <c r="V24" s="72">
        <f ca="1">IF(AND(Energy!$F$11=$A$3,Main!$B$43=A24),Endurance!AP21,V24)</f>
        <v>545.40060822486885</v>
      </c>
      <c r="W24" s="72">
        <f ca="1">IF(AND(Energy!$F$11=$A$3,Main!$B$43=$A24),Summary!W21,W24)</f>
        <v>0.88888888888888895</v>
      </c>
      <c r="X24" s="13">
        <f ca="1">IF(AND(Energy!$F$11=$A$3,Main!$B$43=A24),Energy!D21,X24)</f>
        <v>1182.0301388888888</v>
      </c>
      <c r="Y24" s="126">
        <f ca="1">IF(AND(Energy!$F$11=$A$3,Main!$B$43=A24),'Aerodynamics-Cruise'!V21,Y24)</f>
        <v>149362.00173357854</v>
      </c>
      <c r="Z24" s="126">
        <f ca="1">IF(AND(Energy!$F$11=$A$3,Main!$B$43=$A24),Summary!Z21,Z24)</f>
        <v>112542.06585862464</v>
      </c>
      <c r="AA24" s="126">
        <f ca="1">IF(AND(Energy!$F$11=$A$3,Main!$B$43=$A24),Summary!AA21,AA24)</f>
        <v>112542.06585862464</v>
      </c>
      <c r="AB24" s="72">
        <f ca="1">IF(AND(Energy!$F$11=$A$3,Main!$B$43=$A24),Summary!AB21,AB24)</f>
        <v>6.3082207745906151</v>
      </c>
      <c r="AC24" s="72">
        <f ca="1">IF(AND(Energy!$F$11=$A$3,Main!$B$43=$A24),Summary!AC21,AC24)</f>
        <v>2.9978548653519121</v>
      </c>
      <c r="AD24" s="72">
        <f ca="1">IF(AND(Energy!$F$11=$A$3,Main!$B$43=$A24),Summary!AD21,AD24)</f>
        <v>0.44300533629319278</v>
      </c>
      <c r="AE24" s="72">
        <f ca="1">IF(AND(Energy!$F$11=$A$3,Main!$B$43=$A24),Summary!AE21,AE24)</f>
        <v>0.88888888888888895</v>
      </c>
      <c r="AF24" s="72">
        <f ca="1">IF(AND(Energy!$F$11=$A$3,Main!$B$43=$A24),Summary!AF21,AF24)</f>
        <v>18</v>
      </c>
      <c r="AG24" s="72">
        <f ca="1">IF(AND(Energy!$F$11=$A$3,Main!$B$43=$A24),Summary!AG21,AG24)</f>
        <v>11.534133621369415</v>
      </c>
      <c r="AH24" s="72">
        <f ca="1">IF(AND(Energy!$F$11=$A$3,Main!$B$43=$A24),Summary!AH21,AH24)</f>
        <v>47</v>
      </c>
      <c r="AI24" s="72">
        <f ca="1">IF(AND(Energy!$F$11=$A$3,Main!$B$43=$A24),Summary!AI21,AI24)</f>
        <v>2.7084941749359954</v>
      </c>
      <c r="AJ24" s="72">
        <f ca="1">IF(AND(Energy!$F$11=$A$3,Main!$B$43=$A24),Summary!AJ21,AJ24)</f>
        <v>0.2474977128229951</v>
      </c>
      <c r="AK24" s="72">
        <f ca="1">IF(AND(Energy!$F$11=$A$3,Main!$B$43=$A24),Summary!AK21,AK24)</f>
        <v>0.01</v>
      </c>
      <c r="AL24" s="72">
        <f ca="1">IF(AND(Energy!$F$11=$A$3,Main!$B$43=$A24),Summary!AL21,AL24)</f>
        <v>-0.50498345230544284</v>
      </c>
      <c r="AM24" s="72">
        <f ca="1">IF(AND(Energy!$F$11=$A$3,Main!$B$43=$A24),Summary!AJ41,AM24)</f>
        <v>0</v>
      </c>
      <c r="AN24" s="98"/>
      <c r="AO24" s="98"/>
      <c r="AP24" s="98"/>
      <c r="AQ24" s="98"/>
      <c r="AR24" s="72"/>
      <c r="AS24" s="72"/>
      <c r="AT24" s="72"/>
      <c r="AU24" s="98"/>
      <c r="AV24" s="98"/>
      <c r="AW24" s="98"/>
      <c r="AX24" s="98"/>
      <c r="AY24" s="98"/>
      <c r="AZ24" s="127"/>
      <c r="BA24" s="58"/>
      <c r="BB24" s="58"/>
      <c r="BC24" s="6"/>
    </row>
    <row r="25" spans="1:55">
      <c r="A25">
        <f t="shared" ref="A25:A43" si="2">A24</f>
        <v>2</v>
      </c>
      <c r="D25" s="1">
        <f ca="1">IF(AND(Energy!$F$11=$A$3,Main!$B$43=A25),Main!C22,D25)</f>
        <v>4.1578947368421053</v>
      </c>
      <c r="E25" s="72">
        <f ca="1">IF(AND(Energy!$F$11=$A$3,Main!$B$43=A25),Main!B22,E25)</f>
        <v>0.22222222222222224</v>
      </c>
      <c r="F25" s="72">
        <f ca="1">IF(Main!$D$6=1,U25,IF(Main!$D$6=2,N25,IF(Main!$D$6=3,K25,IF(Main!$D$6=4,V25,J25))))</f>
        <v>540.17640292978422</v>
      </c>
      <c r="G25" s="72">
        <f ca="1">IF(AND(Energy!$F$11=$A$3,Main!$B$43=A25),Weight!H22,G25)</f>
        <v>15</v>
      </c>
      <c r="H25" s="72">
        <f ca="1">IF(AND(Energy!$F$11=$A$3,Main!$B$43=A25),Weight!U22,H25)</f>
        <v>11.562478503058102</v>
      </c>
      <c r="I25" s="72">
        <f ca="1">IF(AND(Energy!$F$11=$A$3,Main!$B$43=A25),Weight!V22,I25)</f>
        <v>39.990519206183109</v>
      </c>
      <c r="J25" s="72">
        <f ca="1">IF(AND(Energy!$F$11=$A$3,Main!$B$43=A25),Weight!I22,J25)</f>
        <v>23.490392428125002</v>
      </c>
      <c r="K25" s="72">
        <f ca="1">IF(AND(Energy!$F$11=$A$3,Main!$B$43=A25),Weight!W22,K25)</f>
        <v>54.990519206183109</v>
      </c>
      <c r="L25" s="72">
        <f ca="1">IF(AND(Energy!$F$11=$A$3,Main!$B$43=A25),'Aerodynamics-Cruise'!BI22,L25)</f>
        <v>54.990519206183116</v>
      </c>
      <c r="M25" s="72">
        <f ca="1">IF(AND(Energy!$F$11=$A$3,Main!$B$43=A25),'Aerodynamics-Cruise'!BJ22,M25)</f>
        <v>2.6961797172300854</v>
      </c>
      <c r="N25" s="72">
        <f ca="1">IF(AND(Energy!$F$11=$A$3,Main!$B$43=A25),'Aerodynamics-Cruise'!BK22,N25)</f>
        <v>20.395717264232488</v>
      </c>
      <c r="O25" s="72">
        <f t="shared" ca="1" si="0"/>
        <v>151.24565011610022</v>
      </c>
      <c r="P25" s="72">
        <f ca="1">IF(AND(Energy!$F$11=$A$3,Main!$B$43=A25),'Aerodynamics-Cruise'!H22,P25)</f>
        <v>10.429296317361501</v>
      </c>
      <c r="Q25" s="72">
        <f ca="1">IF(AND(Energy!$F$11=$A$3,Main!$B$43=A25),'Aerodynamics-Cruise'!I22,Q25)</f>
        <v>8.8777705175193393</v>
      </c>
      <c r="R25" s="72">
        <f ca="1">IF(AND(Energy!$F$11=$A$3,Main!$B$43=$A25),Summary!R22,R25)</f>
        <v>6.1529312909083185</v>
      </c>
      <c r="S25" s="72">
        <f ca="1">IF(AND(Energy!$F$11=$A$3,Main!$B$43=A25),'Aerodynamics-Cruise'!W22,S25)</f>
        <v>1</v>
      </c>
      <c r="T25" s="72">
        <f ca="1">IF(AND(Energy!$F$11=$A$3,Main!$B$43=A25),'Aerodynamics-Cruise'!BL22,T25)</f>
        <v>28.119257195852505</v>
      </c>
      <c r="U25" s="72">
        <f ca="1">IF(AND(Energy!$F$11=$A$3,Main!$B$43=A25),'Propulsion-Cruise'!M22,U25)</f>
        <v>58.202838725418559</v>
      </c>
      <c r="V25" s="72">
        <f ca="1">IF(AND(Energy!$F$11=$A$3,Main!$B$43=A25),Endurance!AP22,V25)</f>
        <v>540.17640292978422</v>
      </c>
      <c r="W25" s="72">
        <f ca="1">IF(AND(Energy!$F$11=$A$3,Main!$B$43=$A25),Summary!W22,W25)</f>
        <v>0.92397660818713456</v>
      </c>
      <c r="X25" s="13">
        <f ca="1">IF(AND(Energy!$F$11=$A$3,Main!$B$43=A25),Energy!D22,X25)</f>
        <v>1182.0301388888888</v>
      </c>
      <c r="Y25" s="126">
        <f ca="1">IF(AND(Energy!$F$11=$A$3,Main!$B$43=A25),'Aerodynamics-Cruise'!V22,Y25)</f>
        <v>146989.99339764548</v>
      </c>
      <c r="Z25" s="126">
        <f ca="1">IF(AND(Energy!$F$11=$A$3,Main!$B$43=$A25),Summary!Z22,Z25)</f>
        <v>110824.61742353679</v>
      </c>
      <c r="AA25" s="126">
        <f ca="1">IF(AND(Energy!$F$11=$A$3,Main!$B$43=$A25),Summary!AA22,AA25)</f>
        <v>110824.61742353679</v>
      </c>
      <c r="AB25" s="72">
        <f ca="1">IF(AND(Energy!$F$11=$A$3,Main!$B$43=$A25),Summary!AB22,AB25)</f>
        <v>6.1529312909083185</v>
      </c>
      <c r="AC25" s="72">
        <f ca="1">IF(AND(Energy!$F$11=$A$3,Main!$B$43=$A25),Summary!AC22,AC25)</f>
        <v>2.9442917168918341</v>
      </c>
      <c r="AD25" s="72">
        <f ca="1">IF(AND(Energy!$F$11=$A$3,Main!$B$43=$A25),Summary!AD22,AD25)</f>
        <v>0.43910701207089015</v>
      </c>
      <c r="AE25" s="72">
        <f ca="1">IF(AND(Energy!$F$11=$A$3,Main!$B$43=$A25),Summary!AE22,AE25)</f>
        <v>0.92397660818713456</v>
      </c>
      <c r="AF25" s="72">
        <f ca="1">IF(AND(Energy!$F$11=$A$3,Main!$B$43=$A25),Summary!AF22,AF25)</f>
        <v>18.710526315789473</v>
      </c>
      <c r="AG25" s="72">
        <f ca="1">IF(AND(Energy!$F$11=$A$3,Main!$B$43=$A25),Summary!AG22,AG25)</f>
        <v>11.476036248187086</v>
      </c>
      <c r="AH25" s="72">
        <f ca="1">IF(AND(Energy!$F$11=$A$3,Main!$B$43=$A25),Summary!AH22,AH25)</f>
        <v>47</v>
      </c>
      <c r="AI25" s="72">
        <f ca="1">IF(AND(Energy!$F$11=$A$3,Main!$B$43=$A25),Summary!AI22,AI25)</f>
        <v>2.7049438577612066</v>
      </c>
      <c r="AJ25" s="72">
        <f ca="1">IF(AND(Energy!$F$11=$A$3,Main!$B$43=$A25),Summary!AJ22,AJ25)</f>
        <v>0.24858931853797109</v>
      </c>
      <c r="AK25" s="72">
        <f ca="1">IF(AND(Energy!$F$11=$A$3,Main!$B$43=$A25),Summary!AK22,AK25)</f>
        <v>0.01</v>
      </c>
      <c r="AL25" s="72">
        <f ca="1">IF(AND(Energy!$F$11=$A$3,Main!$B$43=$A25),Summary!AL22,AL25)</f>
        <v>-0.50276754474106877</v>
      </c>
      <c r="AM25" s="72">
        <f ca="1">IF(AND(Energy!$F$11=$A$3,Main!$B$43=$A25),Summary!AJ42,AM25)</f>
        <v>0</v>
      </c>
      <c r="AN25" s="98"/>
      <c r="AO25" s="98"/>
      <c r="AP25" s="98"/>
      <c r="AQ25" s="98"/>
      <c r="AR25" s="72"/>
      <c r="AS25" s="72"/>
      <c r="AT25" s="72"/>
      <c r="AU25" s="98"/>
      <c r="AV25" s="98"/>
      <c r="AW25" s="98"/>
      <c r="AX25" s="98"/>
      <c r="AY25" s="98"/>
      <c r="AZ25" s="127"/>
      <c r="BA25" s="58"/>
      <c r="BB25" s="58"/>
      <c r="BC25" s="6"/>
    </row>
    <row r="26" spans="1:55">
      <c r="A26">
        <f t="shared" si="2"/>
        <v>2</v>
      </c>
      <c r="D26" s="1">
        <f ca="1">IF(AND(Energy!$F$11=$A$3,Main!$B$43=A26),Main!C23,D26)</f>
        <v>4.3157894736842106</v>
      </c>
      <c r="E26" s="72">
        <f ca="1">IF(AND(Energy!$F$11=$A$3,Main!$B$43=A26),Main!B23,E26)</f>
        <v>0.22222222222222224</v>
      </c>
      <c r="F26" s="72">
        <f ca="1">IF(Main!$D$6=1,U26,IF(Main!$D$6=2,N26,IF(Main!$D$6=3,K26,IF(Main!$D$6=4,V26,J26))))</f>
        <v>535.83204200010357</v>
      </c>
      <c r="G26" s="72">
        <f ca="1">IF(AND(Energy!$F$11=$A$3,Main!$B$43=A26),Weight!H23,G26)</f>
        <v>15</v>
      </c>
      <c r="H26" s="72">
        <f ca="1">IF(AND(Energy!$F$11=$A$3,Main!$B$43=A26),Weight!U23,H26)</f>
        <v>11.937735255768807</v>
      </c>
      <c r="I26" s="72">
        <f ca="1">IF(AND(Energy!$F$11=$A$3,Main!$B$43=A26),Weight!V23,I26)</f>
        <v>40.365775958893806</v>
      </c>
      <c r="J26" s="72">
        <f ca="1">IF(AND(Energy!$F$11=$A$3,Main!$B$43=A26),Weight!I23,J26)</f>
        <v>23.490392428125002</v>
      </c>
      <c r="K26" s="72">
        <f ca="1">IF(AND(Energy!$F$11=$A$3,Main!$B$43=A26),Weight!W23,K26)</f>
        <v>55.365775958893813</v>
      </c>
      <c r="L26" s="72">
        <f ca="1">IF(AND(Energy!$F$11=$A$3,Main!$B$43=A26),'Aerodynamics-Cruise'!BI23,L26)</f>
        <v>55.365775958893821</v>
      </c>
      <c r="M26" s="72">
        <f ca="1">IF(AND(Energy!$F$11=$A$3,Main!$B$43=A26),'Aerodynamics-Cruise'!BJ23,M26)</f>
        <v>2.7004080462644415</v>
      </c>
      <c r="N26" s="72">
        <f ca="1">IF(AND(Energy!$F$11=$A$3,Main!$B$43=A26),'Aerodynamics-Cruise'!BK23,N26)</f>
        <v>20.502744403936664</v>
      </c>
      <c r="O26" s="72">
        <f t="shared" ca="1" si="0"/>
        <v>152.55719436303195</v>
      </c>
      <c r="P26" s="72">
        <f ca="1">IF(AND(Energy!$F$11=$A$3,Main!$B$43=A26),'Aerodynamics-Cruise'!H23,P26)</f>
        <v>10.271553206629717</v>
      </c>
      <c r="Q26" s="72">
        <f ca="1">IF(AND(Energy!$F$11=$A$3,Main!$B$43=A26),'Aerodynamics-Cruise'!I23,Q26)</f>
        <v>8.748952087876475</v>
      </c>
      <c r="R26" s="72">
        <f ca="1">IF(AND(Energy!$F$11=$A$3,Main!$B$43=$A26),Summary!R23,R26)</f>
        <v>6.0114428983367008</v>
      </c>
      <c r="S26" s="72">
        <f ca="1">IF(AND(Energy!$F$11=$A$3,Main!$B$43=A26),'Aerodynamics-Cruise'!W23,S26)</f>
        <v>1</v>
      </c>
      <c r="T26" s="72">
        <f ca="1">IF(AND(Energy!$F$11=$A$3,Main!$B$43=A26),'Aerodynamics-Cruise'!BL23,T26)</f>
        <v>27.737384926816212</v>
      </c>
      <c r="U26" s="72">
        <f ca="1">IF(AND(Energy!$F$11=$A$3,Main!$B$43=A26),'Propulsion-Cruise'!M23,U26)</f>
        <v>57.602165607914728</v>
      </c>
      <c r="V26" s="72">
        <f ca="1">IF(AND(Energy!$F$11=$A$3,Main!$B$43=A26),Endurance!AP23,V26)</f>
        <v>535.83204200010357</v>
      </c>
      <c r="W26" s="72">
        <f ca="1">IF(AND(Energy!$F$11=$A$3,Main!$B$43=$A26),Summary!W23,W26)</f>
        <v>0.95906432748538017</v>
      </c>
      <c r="X26" s="13">
        <f ca="1">IF(AND(Energy!$F$11=$A$3,Main!$B$43=A26),Energy!D23,X26)</f>
        <v>1182.0301388888888</v>
      </c>
      <c r="Y26" s="126">
        <f ca="1">IF(AND(Energy!$F$11=$A$3,Main!$B$43=A26),'Aerodynamics-Cruise'!V23,Y26)</f>
        <v>144766.76969209299</v>
      </c>
      <c r="Z26" s="126">
        <f ca="1">IF(AND(Energy!$F$11=$A$3,Main!$B$43=$A26),Summary!Z23,Z26)</f>
        <v>109213.86854188671</v>
      </c>
      <c r="AA26" s="126">
        <f ca="1">IF(AND(Energy!$F$11=$A$3,Main!$B$43=$A26),Summary!AA23,AA26)</f>
        <v>109213.86854188671</v>
      </c>
      <c r="AB26" s="72">
        <f ca="1">IF(AND(Energy!$F$11=$A$3,Main!$B$43=$A26),Summary!AB23,AB26)</f>
        <v>6.0114428983367008</v>
      </c>
      <c r="AC26" s="72">
        <f ca="1">IF(AND(Energy!$F$11=$A$3,Main!$B$43=$A26),Summary!AC23,AC26)</f>
        <v>2.8922370970217197</v>
      </c>
      <c r="AD26" s="72">
        <f ca="1">IF(AND(Energy!$F$11=$A$3,Main!$B$43=$A26),Summary!AD23,AD26)</f>
        <v>0.43556298860283615</v>
      </c>
      <c r="AE26" s="72">
        <f ca="1">IF(AND(Energy!$F$11=$A$3,Main!$B$43=$A26),Summary!AE23,AE26)</f>
        <v>0.95906432748538017</v>
      </c>
      <c r="AF26" s="72">
        <f ca="1">IF(AND(Energy!$F$11=$A$3,Main!$B$43=$A26),Summary!AF23,AF26)</f>
        <v>19.421052631578949</v>
      </c>
      <c r="AG26" s="72">
        <f ca="1">IF(AND(Energy!$F$11=$A$3,Main!$B$43=$A26),Summary!AG23,AG26)</f>
        <v>11.428334537196847</v>
      </c>
      <c r="AH26" s="72">
        <f ca="1">IF(AND(Energy!$F$11=$A$3,Main!$B$43=$A26),Summary!AH23,AH26)</f>
        <v>47</v>
      </c>
      <c r="AI26" s="72">
        <f ca="1">IF(AND(Energy!$F$11=$A$3,Main!$B$43=$A26),Summary!AI23,AI26)</f>
        <v>2.7015700638815527</v>
      </c>
      <c r="AJ26" s="72">
        <f ca="1">IF(AND(Energy!$F$11=$A$3,Main!$B$43=$A26),Summary!AJ23,AJ26)</f>
        <v>0.2496178856342797</v>
      </c>
      <c r="AK26" s="72">
        <f ca="1">IF(AND(Energy!$F$11=$A$3,Main!$B$43=$A26),Summary!AK23,AK26)</f>
        <v>0.01</v>
      </c>
      <c r="AL26" s="72">
        <f ca="1">IF(AND(Energy!$F$11=$A$3,Main!$B$43=$A26),Summary!AL23,AL26)</f>
        <v>-0.50069735380152414</v>
      </c>
      <c r="AM26" s="72">
        <f ca="1">IF(AND(Energy!$F$11=$A$3,Main!$B$43=$A26),Summary!AJ43,AM26)</f>
        <v>0</v>
      </c>
      <c r="AN26" s="98"/>
      <c r="AO26" s="98"/>
      <c r="AP26" s="98"/>
      <c r="AQ26" s="98"/>
      <c r="AR26" s="72"/>
      <c r="AS26" s="72"/>
      <c r="AT26" s="72"/>
      <c r="AU26" s="98"/>
      <c r="AV26" s="98"/>
      <c r="AW26" s="98"/>
      <c r="AX26" s="98"/>
      <c r="AY26" s="98"/>
      <c r="AZ26" s="127"/>
      <c r="BA26" s="58"/>
      <c r="BB26" s="58"/>
      <c r="BC26" s="6"/>
    </row>
    <row r="27" spans="1:55">
      <c r="A27">
        <f t="shared" si="2"/>
        <v>2</v>
      </c>
      <c r="D27" s="1">
        <f ca="1">IF(AND(Energy!$F$11=$A$3,Main!$B$43=A27),Main!C24,D27)</f>
        <v>4.4736842105263159</v>
      </c>
      <c r="E27" s="72">
        <f ca="1">IF(AND(Energy!$F$11=$A$3,Main!$B$43=A27),Main!B24,E27)</f>
        <v>0.22222222222222224</v>
      </c>
      <c r="F27" s="72">
        <f ca="1">IF(Main!$D$6=1,U27,IF(Main!$D$6=2,N27,IF(Main!$D$6=3,K27,IF(Main!$D$6=4,V27,J27))))</f>
        <v>532.26901505010414</v>
      </c>
      <c r="G27" s="72">
        <f ca="1">IF(AND(Energy!$F$11=$A$3,Main!$B$43=A27),Weight!H24,G27)</f>
        <v>15</v>
      </c>
      <c r="H27" s="72">
        <f ca="1">IF(AND(Energy!$F$11=$A$3,Main!$B$43=A27),Weight!U24,H27)</f>
        <v>12.320506426634218</v>
      </c>
      <c r="I27" s="72">
        <f ca="1">IF(AND(Energy!$F$11=$A$3,Main!$B$43=A27),Weight!V24,I27)</f>
        <v>40.748547129759217</v>
      </c>
      <c r="J27" s="72">
        <f ca="1">IF(AND(Energy!$F$11=$A$3,Main!$B$43=A27),Weight!I24,J27)</f>
        <v>23.490392428125002</v>
      </c>
      <c r="K27" s="72">
        <f ca="1">IF(AND(Energy!$F$11=$A$3,Main!$B$43=A27),Weight!W24,K27)</f>
        <v>55.748547129759224</v>
      </c>
      <c r="L27" s="72">
        <f ca="1">IF(AND(Energy!$F$11=$A$3,Main!$B$43=A27),'Aerodynamics-Cruise'!BI24,L27)</f>
        <v>55.748547129759224</v>
      </c>
      <c r="M27" s="72">
        <f ca="1">IF(AND(Energy!$F$11=$A$3,Main!$B$43=A27),'Aerodynamics-Cruise'!BJ24,M27)</f>
        <v>2.7068793073976392</v>
      </c>
      <c r="N27" s="72">
        <f ca="1">IF(AND(Energy!$F$11=$A$3,Main!$B$43=A27),'Aerodynamics-Cruise'!BK24,N27)</f>
        <v>20.59513587377311</v>
      </c>
      <c r="O27" s="72">
        <f t="shared" ca="1" si="0"/>
        <v>153.77347839795848</v>
      </c>
      <c r="P27" s="72">
        <f ca="1">IF(AND(Energy!$F$11=$A$3,Main!$B$43=A27),'Aerodynamics-Cruise'!H24,P27)</f>
        <v>10.123428305911027</v>
      </c>
      <c r="Q27" s="72">
        <f ca="1">IF(AND(Energy!$F$11=$A$3,Main!$B$43=A27),'Aerodynamics-Cruise'!I24,Q27)</f>
        <v>8.6279118739741367</v>
      </c>
      <c r="R27" s="72">
        <f ca="1">IF(AND(Energy!$F$11=$A$3,Main!$B$43=$A27),Summary!R24,R27)</f>
        <v>5.8823056016554576</v>
      </c>
      <c r="S27" s="72">
        <f ca="1">IF(AND(Energy!$F$11=$A$3,Main!$B$43=A27),'Aerodynamics-Cruise'!W24,S27)</f>
        <v>1</v>
      </c>
      <c r="T27" s="72">
        <f ca="1">IF(AND(Energy!$F$11=$A$3,Main!$B$43=A27),'Aerodynamics-Cruise'!BL24,T27)</f>
        <v>27.402898601194096</v>
      </c>
      <c r="U27" s="72">
        <f ca="1">IF(AND(Energy!$F$11=$A$3,Main!$B$43=A27),'Propulsion-Cruise'!M24,U27)</f>
        <v>57.090824421780788</v>
      </c>
      <c r="V27" s="72">
        <f ca="1">IF(AND(Energy!$F$11=$A$3,Main!$B$43=A27),Endurance!AP24,V27)</f>
        <v>532.26901505010414</v>
      </c>
      <c r="W27" s="72">
        <f ca="1">IF(AND(Energy!$F$11=$A$3,Main!$B$43=$A27),Summary!W24,W27)</f>
        <v>0.99415204678362579</v>
      </c>
      <c r="X27" s="13">
        <f ca="1">IF(AND(Energy!$F$11=$A$3,Main!$B$43=A27),Energy!D24,X27)</f>
        <v>1182.0301388888888</v>
      </c>
      <c r="Y27" s="126">
        <f ca="1">IF(AND(Energy!$F$11=$A$3,Main!$B$43=A27),'Aerodynamics-Cruise'!V24,Y27)</f>
        <v>142679.10456914295</v>
      </c>
      <c r="Z27" s="126">
        <f ca="1">IF(AND(Energy!$F$11=$A$3,Main!$B$43=$A27),Summary!Z24,Z27)</f>
        <v>107700.41597271011</v>
      </c>
      <c r="AA27" s="126">
        <f ca="1">IF(AND(Energy!$F$11=$A$3,Main!$B$43=$A27),Summary!AA24,AA27)</f>
        <v>107700.41597271011</v>
      </c>
      <c r="AB27" s="72">
        <f ca="1">IF(AND(Energy!$F$11=$A$3,Main!$B$43=$A27),Summary!AB24,AB27)</f>
        <v>5.8823056016554576</v>
      </c>
      <c r="AC27" s="72">
        <f ca="1">IF(AND(Energy!$F$11=$A$3,Main!$B$43=$A27),Summary!AC24,AC27)</f>
        <v>2.8416428538280214</v>
      </c>
      <c r="AD27" s="72">
        <f ca="1">IF(AND(Energy!$F$11=$A$3,Main!$B$43=$A27),Summary!AD24,AD27)</f>
        <v>0.43233997022302828</v>
      </c>
      <c r="AE27" s="72">
        <f ca="1">IF(AND(Energy!$F$11=$A$3,Main!$B$43=$A27),Summary!AE24,AE27)</f>
        <v>0.99415204678362579</v>
      </c>
      <c r="AF27" s="72">
        <f ca="1">IF(AND(Energy!$F$11=$A$3,Main!$B$43=$A27),Summary!AF24,AF27)</f>
        <v>20.131578947368421</v>
      </c>
      <c r="AG27" s="72">
        <f ca="1">IF(AND(Energy!$F$11=$A$3,Main!$B$43=$A27),Summary!AG24,AG27)</f>
        <v>11.389905176392709</v>
      </c>
      <c r="AH27" s="72">
        <f ca="1">IF(AND(Energy!$F$11=$A$3,Main!$B$43=$A27),Summary!AH24,AH27)</f>
        <v>47</v>
      </c>
      <c r="AI27" s="72">
        <f ca="1">IF(AND(Energy!$F$11=$A$3,Main!$B$43=$A27),Summary!AI24,AI27)</f>
        <v>2.6983600187449754</v>
      </c>
      <c r="AJ27" s="72">
        <f ca="1">IF(AND(Energy!$F$11=$A$3,Main!$B$43=$A27),Summary!AJ24,AJ27)</f>
        <v>0.25058895743903814</v>
      </c>
      <c r="AK27" s="72">
        <f ca="1">IF(AND(Energy!$F$11=$A$3,Main!$B$43=$A27),Summary!AK24,AK27)</f>
        <v>0.01</v>
      </c>
      <c r="AL27" s="72">
        <f ca="1">IF(AND(Energy!$F$11=$A$3,Main!$B$43=$A27),Summary!AL24,AL27)</f>
        <v>-0.49875849400900107</v>
      </c>
      <c r="AM27" s="72">
        <f ca="1">IF(AND(Energy!$F$11=$A$3,Main!$B$43=$A27),Summary!AJ44,AM27)</f>
        <v>0</v>
      </c>
      <c r="AN27" s="98"/>
      <c r="AO27" s="98"/>
      <c r="AP27" s="98"/>
      <c r="AQ27" s="98"/>
      <c r="AR27" s="72"/>
      <c r="AS27" s="72"/>
      <c r="AT27" s="72"/>
      <c r="AU27" s="98"/>
      <c r="AV27" s="98"/>
      <c r="AW27" s="98"/>
      <c r="AX27" s="98"/>
      <c r="AY27" s="98"/>
      <c r="AZ27" s="127"/>
      <c r="BA27" s="58"/>
      <c r="BB27" s="58"/>
      <c r="BC27" s="6"/>
    </row>
    <row r="28" spans="1:55">
      <c r="A28">
        <f t="shared" si="2"/>
        <v>2</v>
      </c>
      <c r="D28" s="1">
        <f ca="1">IF(AND(Energy!$F$11=$A$3,Main!$B$43=A28),Main!C25,D28)</f>
        <v>4.6315789473684212</v>
      </c>
      <c r="E28" s="72">
        <f ca="1">IF(AND(Energy!$F$11=$A$3,Main!$B$43=A28),Main!B25,E28)</f>
        <v>0.22222222222222224</v>
      </c>
      <c r="F28" s="72">
        <f ca="1">IF(Main!$D$6=1,U28,IF(Main!$D$6=2,N28,IF(Main!$D$6=3,K28,IF(Main!$D$6=4,V28,J28))))</f>
        <v>529.40368791723859</v>
      </c>
      <c r="G28" s="72">
        <f ca="1">IF(AND(Energy!$F$11=$A$3,Main!$B$43=A28),Weight!H25,G28)</f>
        <v>15</v>
      </c>
      <c r="H28" s="72">
        <f ca="1">IF(AND(Energy!$F$11=$A$3,Main!$B$43=A28),Weight!U25,H28)</f>
        <v>12.710783637606198</v>
      </c>
      <c r="I28" s="72">
        <f ca="1">IF(AND(Energy!$F$11=$A$3,Main!$B$43=A28),Weight!V25,I28)</f>
        <v>41.138824340731205</v>
      </c>
      <c r="J28" s="72">
        <f ca="1">IF(AND(Energy!$F$11=$A$3,Main!$B$43=A28),Weight!I25,J28)</f>
        <v>23.490392428125002</v>
      </c>
      <c r="K28" s="72">
        <f ca="1">IF(AND(Energy!$F$11=$A$3,Main!$B$43=A28),Weight!W25,K28)</f>
        <v>56.138824340731205</v>
      </c>
      <c r="L28" s="72">
        <f ca="1">IF(AND(Energy!$F$11=$A$3,Main!$B$43=A28),'Aerodynamics-Cruise'!BI25,L28)</f>
        <v>56.138824340731212</v>
      </c>
      <c r="M28" s="72">
        <f ca="1">IF(AND(Energy!$F$11=$A$3,Main!$B$43=A28),'Aerodynamics-Cruise'!BJ25,M28)</f>
        <v>2.7153687757511791</v>
      </c>
      <c r="N28" s="72">
        <f ca="1">IF(AND(Energy!$F$11=$A$3,Main!$B$43=A28),'Aerodynamics-Cruise'!BK25,N28)</f>
        <v>20.674475173340305</v>
      </c>
      <c r="O28" s="72">
        <f t="shared" ca="1" si="0"/>
        <v>154.90525478328516</v>
      </c>
      <c r="P28" s="72">
        <f ca="1">IF(AND(Energy!$F$11=$A$3,Main!$B$43=A28),'Aerodynamics-Cruise'!H25,P28)</f>
        <v>9.9840965293517776</v>
      </c>
      <c r="Q28" s="72">
        <f ca="1">IF(AND(Energy!$F$11=$A$3,Main!$B$43=A28),'Aerodynamics-Cruise'!I25,Q28)</f>
        <v>8.5139886069878781</v>
      </c>
      <c r="R28" s="72">
        <f ca="1">IF(AND(Energy!$F$11=$A$3,Main!$B$43=$A28),Summary!R25,R28)</f>
        <v>5.7642721497451976</v>
      </c>
      <c r="S28" s="72">
        <f ca="1">IF(AND(Energy!$F$11=$A$3,Main!$B$43=A28),'Aerodynamics-Cruise'!W25,S28)</f>
        <v>1</v>
      </c>
      <c r="T28" s="72">
        <f ca="1">IF(AND(Energy!$F$11=$A$3,Main!$B$43=A28),'Aerodynamics-Cruise'!BL25,T28)</f>
        <v>27.110503969887532</v>
      </c>
      <c r="U28" s="72">
        <f ca="1">IF(AND(Energy!$F$11=$A$3,Main!$B$43=A28),'Propulsion-Cruise'!M25,U28)</f>
        <v>56.659109915869834</v>
      </c>
      <c r="V28" s="72">
        <f ca="1">IF(AND(Energy!$F$11=$A$3,Main!$B$43=A28),Endurance!AP25,V28)</f>
        <v>529.40368791723859</v>
      </c>
      <c r="W28" s="72">
        <f ca="1">IF(AND(Energy!$F$11=$A$3,Main!$B$43=$A28),Summary!W25,W28)</f>
        <v>1.0292397660818715</v>
      </c>
      <c r="X28" s="13">
        <f ca="1">IF(AND(Energy!$F$11=$A$3,Main!$B$43=A28),Energy!D25,X28)</f>
        <v>1182.0301388888888</v>
      </c>
      <c r="Y28" s="126">
        <f ca="1">IF(AND(Energy!$F$11=$A$3,Main!$B$43=A28),'Aerodynamics-Cruise'!V25,Y28)</f>
        <v>140715.36930903408</v>
      </c>
      <c r="Z28" s="126">
        <f ca="1">IF(AND(Energy!$F$11=$A$3,Main!$B$43=$A28),Summary!Z25,Z28)</f>
        <v>106275.98509069681</v>
      </c>
      <c r="AA28" s="126">
        <f ca="1">IF(AND(Energy!$F$11=$A$3,Main!$B$43=$A28),Summary!AA25,AA28)</f>
        <v>106275.98509069681</v>
      </c>
      <c r="AB28" s="72">
        <f ca="1">IF(AND(Energy!$F$11=$A$3,Main!$B$43=$A28),Summary!AB25,AB28)</f>
        <v>5.7642721497451976</v>
      </c>
      <c r="AC28" s="72">
        <f ca="1">IF(AND(Energy!$F$11=$A$3,Main!$B$43=$A28),Summary!AC25,AC28)</f>
        <v>2.792458127321876</v>
      </c>
      <c r="AD28" s="72">
        <f ca="1">IF(AND(Energy!$F$11=$A$3,Main!$B$43=$A28),Summary!AD25,AD28)</f>
        <v>0.42940883897150145</v>
      </c>
      <c r="AE28" s="72">
        <f ca="1">IF(AND(Energy!$F$11=$A$3,Main!$B$43=$A28),Summary!AE25,AE28)</f>
        <v>1.0292397660818715</v>
      </c>
      <c r="AF28" s="72">
        <f ca="1">IF(AND(Energy!$F$11=$A$3,Main!$B$43=$A28),Summary!AF25,AF28)</f>
        <v>20.842105263157894</v>
      </c>
      <c r="AG28" s="72">
        <f ca="1">IF(AND(Energy!$F$11=$A$3,Main!$B$43=$A28),Summary!AG25,AG28)</f>
        <v>11.359784598656832</v>
      </c>
      <c r="AH28" s="72">
        <f ca="1">IF(AND(Energy!$F$11=$A$3,Main!$B$43=$A28),Summary!AH25,AH28)</f>
        <v>47</v>
      </c>
      <c r="AI28" s="72">
        <f ca="1">IF(AND(Energy!$F$11=$A$3,Main!$B$43=$A28),Summary!AI25,AI28)</f>
        <v>2.695302316026714</v>
      </c>
      <c r="AJ28" s="72">
        <f ca="1">IF(AND(Energy!$F$11=$A$3,Main!$B$43=$A28),Summary!AJ25,AJ28)</f>
        <v>0.25150761646435882</v>
      </c>
      <c r="AK28" s="72">
        <f ca="1">IF(AND(Energy!$F$11=$A$3,Main!$B$43=$A28),Summary!AK25,AK28)</f>
        <v>0.01</v>
      </c>
      <c r="AL28" s="72">
        <f ca="1">IF(AND(Energy!$F$11=$A$3,Main!$B$43=$A28),Summary!AL25,AL28)</f>
        <v>-0.49693807253368977</v>
      </c>
      <c r="AM28" s="72">
        <f ca="1">IF(AND(Energy!$F$11=$A$3,Main!$B$43=$A28),Summary!AJ45,AM28)</f>
        <v>0</v>
      </c>
      <c r="AN28" s="98"/>
      <c r="AO28" s="98"/>
      <c r="AP28" s="98"/>
      <c r="AQ28" s="98"/>
      <c r="AR28" s="72"/>
      <c r="AS28" s="72"/>
      <c r="AT28" s="72"/>
      <c r="AU28" s="98"/>
      <c r="AV28" s="98"/>
      <c r="AW28" s="98"/>
      <c r="AX28" s="98"/>
      <c r="AY28" s="98"/>
      <c r="AZ28" s="127"/>
      <c r="BA28" s="58"/>
      <c r="BB28" s="58"/>
      <c r="BC28" s="6"/>
    </row>
    <row r="29" spans="1:55">
      <c r="A29">
        <f t="shared" si="2"/>
        <v>2</v>
      </c>
      <c r="D29" s="1">
        <f ca="1">IF(AND(Energy!$F$11=$A$3,Main!$B$43=A29),Main!C26,D29)</f>
        <v>4.7894736842105265</v>
      </c>
      <c r="E29" s="72">
        <f ca="1">IF(AND(Energy!$F$11=$A$3,Main!$B$43=A29),Main!B26,E29)</f>
        <v>0.22222222222222224</v>
      </c>
      <c r="F29" s="72">
        <f ca="1">IF(Main!$D$6=1,U29,IF(Main!$D$6=2,N29,IF(Main!$D$6=3,K29,IF(Main!$D$6=4,V29,J29))))</f>
        <v>527.16466134492384</v>
      </c>
      <c r="G29" s="72">
        <f ca="1">IF(AND(Energy!$F$11=$A$3,Main!$B$43=A29),Weight!H26,G29)</f>
        <v>15</v>
      </c>
      <c r="H29" s="72">
        <f ca="1">IF(AND(Energy!$F$11=$A$3,Main!$B$43=A29),Weight!U26,H29)</f>
        <v>13.108564610781755</v>
      </c>
      <c r="I29" s="72">
        <f ca="1">IF(AND(Energy!$F$11=$A$3,Main!$B$43=A29),Weight!V26,I29)</f>
        <v>41.536605313906762</v>
      </c>
      <c r="J29" s="72">
        <f ca="1">IF(AND(Energy!$F$11=$A$3,Main!$B$43=A29),Weight!I26,J29)</f>
        <v>23.490392428125002</v>
      </c>
      <c r="K29" s="72">
        <f ca="1">IF(AND(Energy!$F$11=$A$3,Main!$B$43=A29),Weight!W26,K29)</f>
        <v>56.536605313906762</v>
      </c>
      <c r="L29" s="72">
        <f ca="1">IF(AND(Energy!$F$11=$A$3,Main!$B$43=A29),'Aerodynamics-Cruise'!BI26,L29)</f>
        <v>56.536605313906769</v>
      </c>
      <c r="M29" s="72">
        <f ca="1">IF(AND(Energy!$F$11=$A$3,Main!$B$43=A29),'Aerodynamics-Cruise'!BJ26,M29)</f>
        <v>2.725682453538723</v>
      </c>
      <c r="N29" s="72">
        <f ca="1">IF(AND(Energy!$F$11=$A$3,Main!$B$43=A29),'Aerodynamics-Cruise'!BK26,N29)</f>
        <v>20.742183389890457</v>
      </c>
      <c r="O29" s="72">
        <f t="shared" ca="1" si="0"/>
        <v>155.96219320365466</v>
      </c>
      <c r="P29" s="72">
        <f ca="1">IF(AND(Energy!$F$11=$A$3,Main!$B$43=A29),'Aerodynamics-Cruise'!H26,P29)</f>
        <v>9.8528291294449062</v>
      </c>
      <c r="Q29" s="72">
        <f ca="1">IF(AND(Energy!$F$11=$A$3,Main!$B$43=A29),'Aerodynamics-Cruise'!I26,Q29)</f>
        <v>8.4065977338773799</v>
      </c>
      <c r="R29" s="72">
        <f ca="1">IF(AND(Energy!$F$11=$A$3,Main!$B$43=$A29),Summary!R26,R29)</f>
        <v>5.6562640520432446</v>
      </c>
      <c r="S29" s="72">
        <f ca="1">IF(AND(Energy!$F$11=$A$3,Main!$B$43=A29),'Aerodynamics-Cruise'!W26,S29)</f>
        <v>1</v>
      </c>
      <c r="T29" s="72">
        <f ca="1">IF(AND(Energy!$F$11=$A$3,Main!$B$43=A29),'Aerodynamics-Cruise'!BL26,T29)</f>
        <v>26.855683475843193</v>
      </c>
      <c r="U29" s="72">
        <f ca="1">IF(AND(Energy!$F$11=$A$3,Main!$B$43=A29),'Propulsion-Cruise'!M26,U29)</f>
        <v>56.298736650575691</v>
      </c>
      <c r="V29" s="72">
        <f ca="1">IF(AND(Energy!$F$11=$A$3,Main!$B$43=A29),Endurance!AP26,V29)</f>
        <v>527.16466134492384</v>
      </c>
      <c r="W29" s="72">
        <f ca="1">IF(AND(Energy!$F$11=$A$3,Main!$B$43=$A29),Summary!W26,W29)</f>
        <v>1.064327485380117</v>
      </c>
      <c r="X29" s="13">
        <f ca="1">IF(AND(Energy!$F$11=$A$3,Main!$B$43=A29),Energy!D26,X29)</f>
        <v>1182.0301388888888</v>
      </c>
      <c r="Y29" s="126">
        <f ca="1">IF(AND(Energy!$F$11=$A$3,Main!$B$43=A29),'Aerodynamics-Cruise'!V26,Y29)</f>
        <v>138865.29297996126</v>
      </c>
      <c r="Z29" s="126">
        <f ca="1">IF(AND(Energy!$F$11=$A$3,Main!$B$43=$A29),Summary!Z26,Z29)</f>
        <v>104933.26147804038</v>
      </c>
      <c r="AA29" s="126">
        <f ca="1">IF(AND(Energy!$F$11=$A$3,Main!$B$43=$A29),Summary!AA26,AA29)</f>
        <v>104933.26147804038</v>
      </c>
      <c r="AB29" s="72">
        <f ca="1">IF(AND(Energy!$F$11=$A$3,Main!$B$43=$A29),Summary!AB26,AB29)</f>
        <v>5.6562640520432446</v>
      </c>
      <c r="AC29" s="72">
        <f ca="1">IF(AND(Energy!$F$11=$A$3,Main!$B$43=$A29),Summary!AC26,AC29)</f>
        <v>2.7446308550739751</v>
      </c>
      <c r="AD29" s="72">
        <f ca="1">IF(AND(Energy!$F$11=$A$3,Main!$B$43=$A29),Summary!AD26,AD29)</f>
        <v>0.42674401517529981</v>
      </c>
      <c r="AE29" s="72">
        <f ca="1">IF(AND(Energy!$F$11=$A$3,Main!$B$43=$A29),Summary!AE26,AE29)</f>
        <v>1.064327485380117</v>
      </c>
      <c r="AF29" s="72">
        <f ca="1">IF(AND(Energy!$F$11=$A$3,Main!$B$43=$A29),Summary!AF26,AF29)</f>
        <v>21.55263157894737</v>
      </c>
      <c r="AG29" s="72">
        <f ca="1">IF(AND(Energy!$F$11=$A$3,Main!$B$43=$A29),Summary!AG26,AG29)</f>
        <v>11.337142270871031</v>
      </c>
      <c r="AH29" s="72">
        <f ca="1">IF(AND(Energy!$F$11=$A$3,Main!$B$43=$A29),Summary!AH26,AH29)</f>
        <v>47</v>
      </c>
      <c r="AI29" s="72">
        <f ca="1">IF(AND(Energy!$F$11=$A$3,Main!$B$43=$A29),Summary!AI26,AI29)</f>
        <v>2.692386727539688</v>
      </c>
      <c r="AJ29" s="72">
        <f ca="1">IF(AND(Energy!$F$11=$A$3,Main!$B$43=$A29),Summary!AJ26,AJ29)</f>
        <v>0.25237798630499231</v>
      </c>
      <c r="AK29" s="72">
        <f ca="1">IF(AND(Energy!$F$11=$A$3,Main!$B$43=$A29),Summary!AK26,AK29)</f>
        <v>0.01</v>
      </c>
      <c r="AL29" s="72">
        <f ca="1">IF(AND(Energy!$F$11=$A$3,Main!$B$43=$A29),Summary!AL26,AL29)</f>
        <v>-0.49522557646808746</v>
      </c>
      <c r="AM29" s="72">
        <f ca="1">IF(AND(Energy!$F$11=$A$3,Main!$B$43=$A29),Summary!AJ46,AM29)</f>
        <v>0</v>
      </c>
      <c r="AN29" s="98"/>
      <c r="AO29" s="98"/>
      <c r="AP29" s="98"/>
      <c r="AQ29" s="98"/>
      <c r="AR29" s="72"/>
      <c r="AS29" s="72"/>
      <c r="AT29" s="72"/>
      <c r="AU29" s="98"/>
      <c r="AV29" s="98"/>
      <c r="AW29" s="98"/>
      <c r="AX29" s="98"/>
      <c r="AY29" s="98"/>
      <c r="AZ29" s="127"/>
      <c r="BA29" s="58"/>
      <c r="BB29" s="58"/>
      <c r="BC29" s="6"/>
    </row>
    <row r="30" spans="1:55">
      <c r="A30">
        <f t="shared" si="2"/>
        <v>2</v>
      </c>
      <c r="D30" s="1">
        <f ca="1">IF(AND(Energy!$F$11=$A$3,Main!$B$43=A30),Main!C27,D30)</f>
        <v>4.9473684210526319</v>
      </c>
      <c r="E30" s="72">
        <f ca="1">IF(AND(Energy!$F$11=$A$3,Main!$B$43=A30),Main!B27,E30)</f>
        <v>0.22222222222222224</v>
      </c>
      <c r="F30" s="72">
        <f ca="1">IF(Main!$D$6=1,U30,IF(Main!$D$6=2,N30,IF(Main!$D$6=3,K30,IF(Main!$D$6=4,V30,J30))))</f>
        <v>525.49049176434619</v>
      </c>
      <c r="G30" s="72">
        <f ca="1">IF(AND(Energy!$F$11=$A$3,Main!$B$43=A30),Weight!H27,G30)</f>
        <v>15</v>
      </c>
      <c r="H30" s="72">
        <f ca="1">IF(AND(Energy!$F$11=$A$3,Main!$B$43=A30),Weight!U27,H30)</f>
        <v>13.513852620149194</v>
      </c>
      <c r="I30" s="72">
        <f ca="1">IF(AND(Energy!$F$11=$A$3,Main!$B$43=A30),Weight!V27,I30)</f>
        <v>41.941893323274201</v>
      </c>
      <c r="J30" s="72">
        <f ca="1">IF(AND(Energy!$F$11=$A$3,Main!$B$43=A30),Weight!I27,J30)</f>
        <v>23.490392428125002</v>
      </c>
      <c r="K30" s="72">
        <f ca="1">IF(AND(Energy!$F$11=$A$3,Main!$B$43=A30),Weight!W27,K30)</f>
        <v>56.941893323274201</v>
      </c>
      <c r="L30" s="72">
        <f ca="1">IF(AND(Energy!$F$11=$A$3,Main!$B$43=A30),'Aerodynamics-Cruise'!BI27,L30)</f>
        <v>56.941893323274201</v>
      </c>
      <c r="M30" s="72">
        <f ca="1">IF(AND(Energy!$F$11=$A$3,Main!$B$43=A30),'Aerodynamics-Cruise'!BJ27,M30)</f>
        <v>2.7376511061721884</v>
      </c>
      <c r="N30" s="72">
        <f ca="1">IF(AND(Energy!$F$11=$A$3,Main!$B$43=A30),'Aerodynamics-Cruise'!BK27,N30)</f>
        <v>20.799543519221825</v>
      </c>
      <c r="O30" s="72">
        <f t="shared" ca="1" si="0"/>
        <v>156.95304850638612</v>
      </c>
      <c r="P30" s="72">
        <f ca="1">IF(AND(Energy!$F$11=$A$3,Main!$B$43=A30),'Aerodynamics-Cruise'!H27,P30)</f>
        <v>9.7289797148127128</v>
      </c>
      <c r="Q30" s="72">
        <f ca="1">IF(AND(Energy!$F$11=$A$3,Main!$B$43=A30),'Aerodynamics-Cruise'!I27,Q30)</f>
        <v>8.3052203403013785</v>
      </c>
      <c r="R30" s="72">
        <f ca="1">IF(AND(Energy!$F$11=$A$3,Main!$B$43=$A30),Summary!R27,R30)</f>
        <v>5.5573441599619278</v>
      </c>
      <c r="S30" s="72">
        <f ca="1">IF(AND(Energy!$F$11=$A$3,Main!$B$43=A30),'Aerodynamics-Cruise'!W27,S30)</f>
        <v>1</v>
      </c>
      <c r="T30" s="72">
        <f ca="1">IF(AND(Energy!$F$11=$A$3,Main!$B$43=A30),'Aerodynamics-Cruise'!BL27,T30)</f>
        <v>26.634552078183805</v>
      </c>
      <c r="U30" s="72">
        <f ca="1">IF(AND(Energy!$F$11=$A$3,Main!$B$43=A30),'Propulsion-Cruise'!M27,U30)</f>
        <v>56.002574488337778</v>
      </c>
      <c r="V30" s="72">
        <f ca="1">IF(AND(Energy!$F$11=$A$3,Main!$B$43=A30),Endurance!AP27,V30)</f>
        <v>525.49049176434619</v>
      </c>
      <c r="W30" s="72">
        <f ca="1">IF(AND(Energy!$F$11=$A$3,Main!$B$43=$A30),Summary!W27,W30)</f>
        <v>1.0994152046783627</v>
      </c>
      <c r="X30" s="13">
        <f ca="1">IF(AND(Energy!$F$11=$A$3,Main!$B$43=A30),Energy!D27,X30)</f>
        <v>1182.0301388888888</v>
      </c>
      <c r="Y30" s="126">
        <f ca="1">IF(AND(Energy!$F$11=$A$3,Main!$B$43=A30),'Aerodynamics-Cruise'!V27,Y30)</f>
        <v>137119.76537338787</v>
      </c>
      <c r="Z30" s="126">
        <f ca="1">IF(AND(Energy!$F$11=$A$3,Main!$B$43=$A30),Summary!Z27,Z30)</f>
        <v>103665.75225073755</v>
      </c>
      <c r="AA30" s="126">
        <f ca="1">IF(AND(Energy!$F$11=$A$3,Main!$B$43=$A30),Summary!AA27,AA30)</f>
        <v>103665.75225073755</v>
      </c>
      <c r="AB30" s="72">
        <f ca="1">IF(AND(Energy!$F$11=$A$3,Main!$B$43=$A30),Summary!AB27,AB30)</f>
        <v>5.5573441599619278</v>
      </c>
      <c r="AC30" s="72">
        <f ca="1">IF(AND(Energy!$F$11=$A$3,Main!$B$43=$A30),Summary!AC27,AC30)</f>
        <v>2.6981090162679569</v>
      </c>
      <c r="AD30" s="72">
        <f ca="1">IF(AND(Energy!$F$11=$A$3,Main!$B$43=$A30),Summary!AD27,AD30)</f>
        <v>0.42432288567277537</v>
      </c>
      <c r="AE30" s="72">
        <f ca="1">IF(AND(Energy!$F$11=$A$3,Main!$B$43=$A30),Summary!AE27,AE30)</f>
        <v>1.0994152046783627</v>
      </c>
      <c r="AF30" s="72">
        <f ca="1">IF(AND(Energy!$F$11=$A$3,Main!$B$43=$A30),Summary!AF27,AF30)</f>
        <v>22.263157894736842</v>
      </c>
      <c r="AG30" s="72">
        <f ca="1">IF(AND(Energy!$F$11=$A$3,Main!$B$43=$A30),Summary!AG27,AG30)</f>
        <v>11.321256330240471</v>
      </c>
      <c r="AH30" s="72">
        <f ca="1">IF(AND(Energy!$F$11=$A$3,Main!$B$43=$A30),Summary!AH27,AH30)</f>
        <v>47</v>
      </c>
      <c r="AI30" s="72">
        <f ca="1">IF(AND(Energy!$F$11=$A$3,Main!$B$43=$A30),Summary!AI27,AI30)</f>
        <v>2.6896040451525738</v>
      </c>
      <c r="AJ30" s="72">
        <f ca="1">IF(AND(Energy!$F$11=$A$3,Main!$B$43=$A30),Summary!AJ27,AJ30)</f>
        <v>0.25327082532070427</v>
      </c>
      <c r="AK30" s="72">
        <f ca="1">IF(AND(Energy!$F$11=$A$3,Main!$B$43=$A30),Summary!AK27,AK30)</f>
        <v>0.01</v>
      </c>
      <c r="AL30" s="72">
        <f ca="1">IF(AND(Energy!$F$11=$A$3,Main!$B$43=$A30),Summary!AL27,AL30)</f>
        <v>-0.49347994624059321</v>
      </c>
      <c r="AM30" s="72">
        <f ca="1">IF(AND(Energy!$F$11=$A$3,Main!$B$43=$A30),Summary!AJ47,AM30)</f>
        <v>0</v>
      </c>
      <c r="AN30" s="98"/>
      <c r="AO30" s="98"/>
      <c r="AP30" s="98"/>
      <c r="AQ30" s="98"/>
      <c r="AR30" s="72"/>
      <c r="AS30" s="72"/>
      <c r="AT30" s="72"/>
      <c r="AU30" s="98"/>
      <c r="AV30" s="98"/>
      <c r="AW30" s="98"/>
      <c r="AX30" s="98"/>
      <c r="AY30" s="98"/>
      <c r="AZ30" s="127"/>
      <c r="BA30" s="58"/>
      <c r="BB30" s="58"/>
      <c r="BC30" s="6"/>
    </row>
    <row r="31" spans="1:55">
      <c r="A31">
        <f t="shared" si="2"/>
        <v>2</v>
      </c>
      <c r="D31" s="1">
        <f ca="1">IF(AND(Energy!$F$11=$A$3,Main!$B$43=A31),Main!C28,D31)</f>
        <v>5.1052631578947372</v>
      </c>
      <c r="E31" s="72">
        <f ca="1">IF(AND(Energy!$F$11=$A$3,Main!$B$43=A31),Main!B28,E31)</f>
        <v>0.22222222222222224</v>
      </c>
      <c r="F31" s="72">
        <f ca="1">IF(Main!$D$6=1,U31,IF(Main!$D$6=2,N31,IF(Main!$D$6=3,K31,IF(Main!$D$6=4,V31,J31))))</f>
        <v>524.32853753060806</v>
      </c>
      <c r="G31" s="72">
        <f ca="1">IF(AND(Energy!$F$11=$A$3,Main!$B$43=A31),Weight!H28,G31)</f>
        <v>15</v>
      </c>
      <c r="H31" s="72">
        <f ca="1">IF(AND(Energy!$F$11=$A$3,Main!$B$43=A31),Weight!U28,H31)</f>
        <v>13.926656014362834</v>
      </c>
      <c r="I31" s="72">
        <f ca="1">IF(AND(Energy!$F$11=$A$3,Main!$B$43=A31),Weight!V28,I31)</f>
        <v>42.35469671748784</v>
      </c>
      <c r="J31" s="72">
        <f ca="1">IF(AND(Energy!$F$11=$A$3,Main!$B$43=A31),Weight!I28,J31)</f>
        <v>23.490392428125002</v>
      </c>
      <c r="K31" s="72">
        <f ca="1">IF(AND(Energy!$F$11=$A$3,Main!$B$43=A31),Weight!W28,K31)</f>
        <v>57.35469671748784</v>
      </c>
      <c r="L31" s="72">
        <f ca="1">IF(AND(Energy!$F$11=$A$3,Main!$B$43=A31),'Aerodynamics-Cruise'!BI28,L31)</f>
        <v>57.354696717487862</v>
      </c>
      <c r="M31" s="72">
        <f ca="1">IF(AND(Energy!$F$11=$A$3,Main!$B$43=A31),'Aerodynamics-Cruise'!BJ28,M31)</f>
        <v>2.7511292605040021</v>
      </c>
      <c r="N31" s="72">
        <f ca="1">IF(AND(Energy!$F$11=$A$3,Main!$B$43=A31),'Aerodynamics-Cruise'!BK28,N31)</f>
        <v>20.84769245156463</v>
      </c>
      <c r="O31" s="72">
        <f t="shared" ca="1" si="0"/>
        <v>157.88558676042356</v>
      </c>
      <c r="P31" s="72">
        <f ca="1">IF(AND(Energy!$F$11=$A$3,Main!$B$43=A31),'Aerodynamics-Cruise'!H28,P31)</f>
        <v>9.6119726699044641</v>
      </c>
      <c r="Q31" s="72">
        <f ca="1">IF(AND(Energy!$F$11=$A$3,Main!$B$43=A31),'Aerodynamics-Cruise'!I28,Q31)</f>
        <v>8.2093939680175172</v>
      </c>
      <c r="R31" s="72">
        <f ca="1">IF(AND(Energy!$F$11=$A$3,Main!$B$43=$A31),Summary!R28,R31)</f>
        <v>5.466694602391839</v>
      </c>
      <c r="S31" s="72">
        <f ca="1">IF(AND(Energy!$F$11=$A$3,Main!$B$43=A31),'Aerodynamics-Cruise'!W28,S31)</f>
        <v>1</v>
      </c>
      <c r="T31" s="72">
        <f ca="1">IF(AND(Energy!$F$11=$A$3,Main!$B$43=A31),'Aerodynamics-Cruise'!BL28,T31)</f>
        <v>26.443779263338946</v>
      </c>
      <c r="U31" s="72">
        <f ca="1">IF(AND(Energy!$F$11=$A$3,Main!$B$43=A31),'Propulsion-Cruise'!M28,U31)</f>
        <v>55.764513443136451</v>
      </c>
      <c r="V31" s="72">
        <f ca="1">IF(AND(Energy!$F$11=$A$3,Main!$B$43=A31),Endurance!AP28,V31)</f>
        <v>524.32853753060806</v>
      </c>
      <c r="W31" s="72">
        <f ca="1">IF(AND(Energy!$F$11=$A$3,Main!$B$43=$A31),Summary!W28,W31)</f>
        <v>1.1345029239766082</v>
      </c>
      <c r="X31" s="13">
        <f ca="1">IF(AND(Energy!$F$11=$A$3,Main!$B$43=A31),Energy!D28,X31)</f>
        <v>1182.0301388888888</v>
      </c>
      <c r="Y31" s="126">
        <f ca="1">IF(AND(Energy!$F$11=$A$3,Main!$B$43=A31),'Aerodynamics-Cruise'!V28,Y31)</f>
        <v>135470.67379182923</v>
      </c>
      <c r="Z31" s="126">
        <f ca="1">IF(AND(Energy!$F$11=$A$3,Main!$B$43=$A31),Summary!Z28,Z31)</f>
        <v>102467.67110602772</v>
      </c>
      <c r="AA31" s="126">
        <f ca="1">IF(AND(Energy!$F$11=$A$3,Main!$B$43=$A31),Summary!AA28,AA31)</f>
        <v>102467.67110602772</v>
      </c>
      <c r="AB31" s="72">
        <f ca="1">IF(AND(Energy!$F$11=$A$3,Main!$B$43=$A31),Summary!AB28,AB31)</f>
        <v>5.466694602391839</v>
      </c>
      <c r="AC31" s="72">
        <f ca="1">IF(AND(Energy!$F$11=$A$3,Main!$B$43=$A31),Summary!AC28,AC31)</f>
        <v>2.6528408626955291</v>
      </c>
      <c r="AD31" s="72">
        <f ca="1">IF(AND(Energy!$F$11=$A$3,Main!$B$43=$A31),Summary!AD28,AD31)</f>
        <v>0.42212551299683387</v>
      </c>
      <c r="AE31" s="72">
        <f ca="1">IF(AND(Energy!$F$11=$A$3,Main!$B$43=$A31),Summary!AE28,AE31)</f>
        <v>1.1345029239766082</v>
      </c>
      <c r="AF31" s="72">
        <f ca="1">IF(AND(Energy!$F$11=$A$3,Main!$B$43=$A31),Summary!AF28,AF31)</f>
        <v>22.973684210526319</v>
      </c>
      <c r="AG31" s="72">
        <f ca="1">IF(AND(Energy!$F$11=$A$3,Main!$B$43=$A31),Summary!AG28,AG31)</f>
        <v>11.311504434126453</v>
      </c>
      <c r="AH31" s="72">
        <f ca="1">IF(AND(Energy!$F$11=$A$3,Main!$B$43=$A31),Summary!AH28,AH31)</f>
        <v>47</v>
      </c>
      <c r="AI31" s="72">
        <f ca="1">IF(AND(Energy!$F$11=$A$3,Main!$B$43=$A31),Summary!AI28,AI31)</f>
        <v>2.686945948440949</v>
      </c>
      <c r="AJ31" s="72">
        <f ca="1">IF(AND(Energy!$F$11=$A$3,Main!$B$43=$A31),Summary!AJ28,AJ31)</f>
        <v>0.25412410772372596</v>
      </c>
      <c r="AK31" s="72">
        <f ca="1">IF(AND(Energy!$F$11=$A$3,Main!$B$43=$A31),Summary!AK28,AK31)</f>
        <v>0.01</v>
      </c>
      <c r="AL31" s="72">
        <f ca="1">IF(AND(Energy!$F$11=$A$3,Main!$B$43=$A31),Summary!AL28,AL31)</f>
        <v>-0.4918230523342334</v>
      </c>
      <c r="AM31" s="72">
        <f ca="1">IF(AND(Energy!$F$11=$A$3,Main!$B$43=$A31),Summary!AJ48,AM31)</f>
        <v>0</v>
      </c>
      <c r="AN31" s="98"/>
      <c r="AO31" s="98"/>
      <c r="AP31" s="98"/>
      <c r="AQ31" s="98"/>
      <c r="AR31" s="72"/>
      <c r="AS31" s="72"/>
      <c r="AT31" s="72"/>
      <c r="AU31" s="98"/>
      <c r="AV31" s="98"/>
      <c r="AW31" s="98"/>
      <c r="AX31" s="98"/>
      <c r="AY31" s="98"/>
      <c r="AZ31" s="127"/>
      <c r="BA31" s="58"/>
      <c r="BB31" s="58"/>
      <c r="BC31" s="6"/>
    </row>
    <row r="32" spans="1:55">
      <c r="A32">
        <f t="shared" si="2"/>
        <v>2</v>
      </c>
      <c r="D32" s="1">
        <f ca="1">IF(AND(Energy!$F$11=$A$3,Main!$B$43=A32),Main!C29,D32)</f>
        <v>5.2631578947368425</v>
      </c>
      <c r="E32" s="72">
        <f ca="1">IF(AND(Energy!$F$11=$A$3,Main!$B$43=A32),Main!B29,E32)</f>
        <v>0.22222222222222224</v>
      </c>
      <c r="F32" s="72">
        <f ca="1">IF(Main!$D$6=1,U32,IF(Main!$D$6=2,N32,IF(Main!$D$6=3,K32,IF(Main!$D$6=4,V32,J32))))</f>
        <v>523.63305537423901</v>
      </c>
      <c r="G32" s="72">
        <f ca="1">IF(AND(Energy!$F$11=$A$3,Main!$B$43=A32),Weight!H29,G32)</f>
        <v>15</v>
      </c>
      <c r="H32" s="72">
        <f ca="1">IF(AND(Energy!$F$11=$A$3,Main!$B$43=A32),Weight!U29,H32)</f>
        <v>14.346987799178763</v>
      </c>
      <c r="I32" s="72">
        <f ca="1">IF(AND(Energy!$F$11=$A$3,Main!$B$43=A32),Weight!V29,I32)</f>
        <v>42.775028502303769</v>
      </c>
      <c r="J32" s="72">
        <f ca="1">IF(AND(Energy!$F$11=$A$3,Main!$B$43=A32),Weight!I29,J32)</f>
        <v>23.490392428125002</v>
      </c>
      <c r="K32" s="72">
        <f ca="1">IF(AND(Energy!$F$11=$A$3,Main!$B$43=A32),Weight!W29,K32)</f>
        <v>57.775028502303769</v>
      </c>
      <c r="L32" s="72">
        <f ca="1">IF(AND(Energy!$F$11=$A$3,Main!$B$43=A32),'Aerodynamics-Cruise'!BI29,L32)</f>
        <v>57.775028502303762</v>
      </c>
      <c r="M32" s="72">
        <f ca="1">IF(AND(Energy!$F$11=$A$3,Main!$B$43=A32),'Aerodynamics-Cruise'!BJ29,M32)</f>
        <v>2.7659888537068311</v>
      </c>
      <c r="N32" s="72">
        <f ca="1">IF(AND(Energy!$F$11=$A$3,Main!$B$43=A32),'Aerodynamics-Cruise'!BK29,N32)</f>
        <v>20.887657744851989</v>
      </c>
      <c r="O32" s="72">
        <f t="shared" ca="1" si="0"/>
        <v>158.76684950536313</v>
      </c>
      <c r="P32" s="72">
        <f ca="1">IF(AND(Energy!$F$11=$A$3,Main!$B$43=A32),'Aerodynamics-Cruise'!H29,P32)</f>
        <v>9.5012935037719313</v>
      </c>
      <c r="Q32" s="72">
        <f ca="1">IF(AND(Energy!$F$11=$A$3,Main!$B$43=A32),'Aerodynamics-Cruise'!I29,Q32)</f>
        <v>8.1187049552836523</v>
      </c>
      <c r="R32" s="72">
        <f ca="1">IF(AND(Energy!$F$11=$A$3,Main!$B$43=$A32),Summary!R29,R32)</f>
        <v>5.3835984825919869</v>
      </c>
      <c r="S32" s="72">
        <f ca="1">IF(AND(Energy!$F$11=$A$3,Main!$B$43=A32),'Aerodynamics-Cruise'!W29,S32)</f>
        <v>1</v>
      </c>
      <c r="T32" s="72">
        <f ca="1">IF(AND(Energy!$F$11=$A$3,Main!$B$43=A32),'Aerodynamics-Cruise'!BL29,T32)</f>
        <v>26.280471927230284</v>
      </c>
      <c r="U32" s="72">
        <f ca="1">IF(AND(Energy!$F$11=$A$3,Main!$B$43=A32),'Propulsion-Cruise'!M29,U32)</f>
        <v>55.579243607754563</v>
      </c>
      <c r="V32" s="72">
        <f ca="1">IF(AND(Energy!$F$11=$A$3,Main!$B$43=A32),Endurance!AP29,V32)</f>
        <v>523.63305537423901</v>
      </c>
      <c r="W32" s="72">
        <f ca="1">IF(AND(Energy!$F$11=$A$3,Main!$B$43=$A32),Summary!W29,W32)</f>
        <v>1.169590643274854</v>
      </c>
      <c r="X32" s="13">
        <f ca="1">IF(AND(Energy!$F$11=$A$3,Main!$B$43=A32),Energy!D29,X32)</f>
        <v>1182.0301388888888</v>
      </c>
      <c r="Y32" s="126">
        <f ca="1">IF(AND(Energy!$F$11=$A$3,Main!$B$43=A32),'Aerodynamics-Cruise'!V29,Y32)</f>
        <v>133910.76702496564</v>
      </c>
      <c r="Z32" s="126">
        <f ca="1">IF(AND(Energy!$F$11=$A$3,Main!$B$43=$A32),Summary!Z29,Z32)</f>
        <v>101333.84243884614</v>
      </c>
      <c r="AA32" s="126">
        <f ca="1">IF(AND(Energy!$F$11=$A$3,Main!$B$43=$A32),Summary!AA29,AA32)</f>
        <v>101333.84243884614</v>
      </c>
      <c r="AB32" s="72">
        <f ca="1">IF(AND(Energy!$F$11=$A$3,Main!$B$43=$A32),Summary!AB29,AB32)</f>
        <v>5.3835984825919869</v>
      </c>
      <c r="AC32" s="72">
        <f ca="1">IF(AND(Energy!$F$11=$A$3,Main!$B$43=$A32),Summary!AC29,AC32)</f>
        <v>2.6087759766927712</v>
      </c>
      <c r="AD32" s="72">
        <f ca="1">IF(AND(Energy!$F$11=$A$3,Main!$B$43=$A32),Summary!AD29,AD32)</f>
        <v>0.42013413248380937</v>
      </c>
      <c r="AE32" s="72">
        <f ca="1">IF(AND(Energy!$F$11=$A$3,Main!$B$43=$A32),Summary!AE29,AE32)</f>
        <v>1.169590643274854</v>
      </c>
      <c r="AF32" s="72">
        <f ca="1">IF(AND(Energy!$F$11=$A$3,Main!$B$43=$A32),Summary!AF29,AF32)</f>
        <v>23.684210526315791</v>
      </c>
      <c r="AG32" s="72">
        <f ca="1">IF(AND(Energy!$F$11=$A$3,Main!$B$43=$A32),Summary!AG29,AG32)</f>
        <v>11.307340877844096</v>
      </c>
      <c r="AH32" s="72">
        <f ca="1">IF(AND(Energy!$F$11=$A$3,Main!$B$43=$A32),Summary!AH29,AH32)</f>
        <v>47</v>
      </c>
      <c r="AI32" s="72">
        <f ca="1">IF(AND(Energy!$F$11=$A$3,Main!$B$43=$A32),Summary!AI29,AI32)</f>
        <v>2.684404893189968</v>
      </c>
      <c r="AJ32" s="72">
        <f ca="1">IF(AND(Energy!$F$11=$A$3,Main!$B$43=$A32),Summary!AJ29,AJ32)</f>
        <v>0.25493609357564651</v>
      </c>
      <c r="AK32" s="72">
        <f ca="1">IF(AND(Energy!$F$11=$A$3,Main!$B$43=$A32),Summary!AK29,AK32)</f>
        <v>0.01</v>
      </c>
      <c r="AL32" s="72">
        <f ca="1">IF(AND(Energy!$F$11=$A$3,Main!$B$43=$A32),Summary!AL29,AL32)</f>
        <v>-0.49025665525771794</v>
      </c>
      <c r="AM32" s="72">
        <f ca="1">IF(AND(Energy!$F$11=$A$3,Main!$B$43=$A32),Summary!AJ49,AM32)</f>
        <v>0</v>
      </c>
      <c r="AN32" s="98"/>
      <c r="AO32" s="98"/>
      <c r="AP32" s="98"/>
      <c r="AQ32" s="98"/>
      <c r="AR32" s="72"/>
      <c r="AS32" s="72"/>
      <c r="AT32" s="72"/>
      <c r="AU32" s="98"/>
      <c r="AV32" s="98"/>
      <c r="AW32" s="98"/>
      <c r="AX32" s="98"/>
      <c r="AY32" s="98"/>
      <c r="AZ32" s="127"/>
      <c r="BA32" s="58"/>
      <c r="BB32" s="58"/>
      <c r="BC32" s="6"/>
    </row>
    <row r="33" spans="1:55">
      <c r="A33">
        <f t="shared" si="2"/>
        <v>2</v>
      </c>
      <c r="B33" s="10"/>
      <c r="C33" s="72"/>
      <c r="D33" s="1">
        <f ca="1">IF(AND(Energy!$F$11=$A$3,Main!$B$43=A33),Main!C30,D33)</f>
        <v>5.4210526315789478</v>
      </c>
      <c r="E33" s="72">
        <f ca="1">IF(AND(Energy!$F$11=$A$3,Main!$B$43=A33),Main!B30,E33)</f>
        <v>0.22222222222222224</v>
      </c>
      <c r="F33" s="72">
        <f ca="1">IF(Main!$D$6=1,U33,IF(Main!$D$6=2,N33,IF(Main!$D$6=3,K33,IF(Main!$D$6=4,V33,J33))))</f>
        <v>523.36425413369909</v>
      </c>
      <c r="G33" s="72">
        <f ca="1">IF(AND(Energy!$F$11=$A$3,Main!$B$43=A33),Weight!H30,G33)</f>
        <v>15</v>
      </c>
      <c r="H33" s="72">
        <f ca="1">IF(AND(Energy!$F$11=$A$3,Main!$B$43=A33),Weight!U30,H33)</f>
        <v>14.774865270315466</v>
      </c>
      <c r="I33" s="72">
        <f ca="1">IF(AND(Energy!$F$11=$A$3,Main!$B$43=A33),Weight!V30,I33)</f>
        <v>43.202905973440465</v>
      </c>
      <c r="J33" s="72">
        <f ca="1">IF(AND(Energy!$F$11=$A$3,Main!$B$43=A33),Weight!I30,J33)</f>
        <v>23.490392428125002</v>
      </c>
      <c r="K33" s="72">
        <f ca="1">IF(AND(Energy!$F$11=$A$3,Main!$B$43=A33),Weight!W30,K33)</f>
        <v>58.202905973440473</v>
      </c>
      <c r="L33" s="72">
        <f ca="1">IF(AND(Energy!$F$11=$A$3,Main!$B$43=A33),'Aerodynamics-Cruise'!BI30,L33)</f>
        <v>58.202905973440465</v>
      </c>
      <c r="M33" s="72">
        <f ca="1">IF(AND(Energy!$F$11=$A$3,Main!$B$43=A33),'Aerodynamics-Cruise'!BJ30,M33)</f>
        <v>2.7821174347360178</v>
      </c>
      <c r="N33" s="72">
        <f ca="1">IF(AND(Energy!$F$11=$A$3,Main!$B$43=A33),'Aerodynamics-Cruise'!BK30,N33)</f>
        <v>20.920362759224457</v>
      </c>
      <c r="O33" s="72">
        <f t="shared" ca="1" si="0"/>
        <v>159.60318189564589</v>
      </c>
      <c r="P33" s="72">
        <f ca="1">IF(AND(Energy!$F$11=$A$3,Main!$B$43=A33),'Aerodynamics-Cruise'!H30,P33)</f>
        <v>9.3964807593343274</v>
      </c>
      <c r="Q33" s="72">
        <f ca="1">IF(AND(Energy!$F$11=$A$3,Main!$B$43=A33),'Aerodynamics-Cruise'!I30,Q33)</f>
        <v>8.0327820103860645</v>
      </c>
      <c r="R33" s="72">
        <f ca="1">IF(AND(Energy!$F$11=$A$3,Main!$B$43=$A33),Summary!R30,R33)</f>
        <v>5.3074249945020204</v>
      </c>
      <c r="S33" s="72">
        <f ca="1">IF(AND(Energy!$F$11=$A$3,Main!$B$43=A33),'Aerodynamics-Cruise'!W30,S33)</f>
        <v>1</v>
      </c>
      <c r="T33" s="72">
        <f ca="1">IF(AND(Energy!$F$11=$A$3,Main!$B$43=A33),'Aerodynamics-Cruise'!BL30,T33)</f>
        <v>26.142112945705566</v>
      </c>
      <c r="U33" s="72">
        <f ca="1">IF(AND(Energy!$F$11=$A$3,Main!$B$43=A33),'Propulsion-Cruise'!M30,U33)</f>
        <v>55.442144917694478</v>
      </c>
      <c r="V33" s="72">
        <f ca="1">IF(AND(Energy!$F$11=$A$3,Main!$B$43=A33),Endurance!AP30,V33)</f>
        <v>523.36425413369909</v>
      </c>
      <c r="W33" s="72">
        <f ca="1">IF(AND(Energy!$F$11=$A$3,Main!$B$43=$A33),Summary!W30,W33)</f>
        <v>1.2046783625730997</v>
      </c>
      <c r="X33" s="13">
        <f ca="1">IF(AND(Energy!$F$11=$A$3,Main!$B$43=A33),Energy!D30,X33)</f>
        <v>1182.0301388888888</v>
      </c>
      <c r="Y33" s="126">
        <f ca="1">IF(AND(Energy!$F$11=$A$3,Main!$B$43=A33),'Aerodynamics-Cruise'!V30,Y33)</f>
        <v>132433.5413192173</v>
      </c>
      <c r="Z33" s="126">
        <f ca="1">IF(AND(Energy!$F$11=$A$3,Main!$B$43=$A33),Summary!Z30,Z33)</f>
        <v>100259.62089730643</v>
      </c>
      <c r="AA33" s="126">
        <f ca="1">IF(AND(Energy!$F$11=$A$3,Main!$B$43=$A33),Summary!AA30,AA33)</f>
        <v>100259.62089730643</v>
      </c>
      <c r="AB33" s="72">
        <f ca="1">IF(AND(Energy!$F$11=$A$3,Main!$B$43=$A33),Summary!AB30,AB33)</f>
        <v>5.3074249945020204</v>
      </c>
      <c r="AC33" s="72">
        <f ca="1">IF(AND(Energy!$F$11=$A$3,Main!$B$43=$A33),Summary!AC30,AC33)</f>
        <v>2.565865458300078</v>
      </c>
      <c r="AD33" s="72">
        <f ca="1">IF(AND(Energy!$F$11=$A$3,Main!$B$43=$A33),Summary!AD30,AD33)</f>
        <v>0.41833289437899246</v>
      </c>
      <c r="AE33" s="72">
        <f ca="1">IF(AND(Energy!$F$11=$A$3,Main!$B$43=$A33),Summary!AE30,AE33)</f>
        <v>1.2046783625730997</v>
      </c>
      <c r="AF33" s="72">
        <f ca="1">IF(AND(Energy!$F$11=$A$3,Main!$B$43=$A33),Summary!AF30,AF33)</f>
        <v>24.39473684210526</v>
      </c>
      <c r="AG33" s="72">
        <f ca="1">IF(AND(Energy!$F$11=$A$3,Main!$B$43=$A33),Summary!AG30,AG33)</f>
        <v>11.308287321513546</v>
      </c>
      <c r="AH33" s="72">
        <f ca="1">IF(AND(Energy!$F$11=$A$3,Main!$B$43=$A33),Summary!AH30,AH33)</f>
        <v>47</v>
      </c>
      <c r="AI33" s="72">
        <f ca="1">IF(AND(Energy!$F$11=$A$3,Main!$B$43=$A33),Summary!AI30,AI33)</f>
        <v>2.6819740169166963</v>
      </c>
      <c r="AJ33" s="72">
        <f ca="1">IF(AND(Energy!$F$11=$A$3,Main!$B$43=$A33),Summary!AJ30,AJ33)</f>
        <v>0.25570961930518343</v>
      </c>
      <c r="AK33" s="72">
        <f ca="1">IF(AND(Energy!$F$11=$A$3,Main!$B$43=$A33),Summary!AK30,AK33)</f>
        <v>0.01</v>
      </c>
      <c r="AL33" s="72">
        <f ca="1">IF(AND(Energy!$F$11=$A$3,Main!$B$43=$A33),Summary!AL30,AL33)</f>
        <v>-0.48877371153971133</v>
      </c>
      <c r="AM33" s="72">
        <f ca="1">IF(AND(Energy!$F$11=$A$3,Main!$B$43=$A33),Summary!AJ50,AM33)</f>
        <v>0</v>
      </c>
      <c r="AN33" s="98"/>
      <c r="AO33" s="98"/>
      <c r="AP33" s="98"/>
      <c r="AQ33" s="98"/>
      <c r="AR33" s="72"/>
      <c r="AS33" s="72"/>
      <c r="AT33" s="72"/>
      <c r="AU33" s="98"/>
      <c r="AV33" s="98"/>
      <c r="AW33" s="98"/>
      <c r="AX33" s="98"/>
      <c r="AY33" s="98"/>
      <c r="AZ33" s="127"/>
      <c r="BA33" s="58"/>
      <c r="BB33" s="58"/>
      <c r="BC33" s="6"/>
    </row>
    <row r="34" spans="1:55">
      <c r="A34">
        <f t="shared" si="2"/>
        <v>2</v>
      </c>
      <c r="B34" s="10"/>
      <c r="C34" s="72"/>
      <c r="D34" s="1">
        <f ca="1">IF(AND(Energy!$F$11=$A$3,Main!$B$43=A34),Main!C31,D34)</f>
        <v>5.5789473684210531</v>
      </c>
      <c r="E34" s="72">
        <f ca="1">IF(AND(Energy!$F$11=$A$3,Main!$B$43=A34),Main!B31,E34)</f>
        <v>0.22222222222222224</v>
      </c>
      <c r="F34" s="72">
        <f ca="1">IF(Main!$D$6=1,U34,IF(Main!$D$6=2,N34,IF(Main!$D$6=3,K34,IF(Main!$D$6=4,V34,J34))))</f>
        <v>523.48739777190224</v>
      </c>
      <c r="G34" s="72">
        <f ca="1">IF(AND(Energy!$F$11=$A$3,Main!$B$43=A34),Weight!H31,G34)</f>
        <v>15</v>
      </c>
      <c r="H34" s="72">
        <f ca="1">IF(AND(Energy!$F$11=$A$3,Main!$B$43=A34),Weight!U31,H34)</f>
        <v>15.210309689179432</v>
      </c>
      <c r="I34" s="72">
        <f ca="1">IF(AND(Energy!$F$11=$A$3,Main!$B$43=A34),Weight!V31,I34)</f>
        <v>43.638350392304432</v>
      </c>
      <c r="J34" s="72">
        <f ca="1">IF(AND(Energy!$F$11=$A$3,Main!$B$43=A34),Weight!I31,J34)</f>
        <v>23.490392428125002</v>
      </c>
      <c r="K34" s="72">
        <f ca="1">IF(AND(Energy!$F$11=$A$3,Main!$B$43=A34),Weight!W31,K34)</f>
        <v>58.638350392304439</v>
      </c>
      <c r="L34" s="72">
        <f ca="1">IF(AND(Energy!$F$11=$A$3,Main!$B$43=A34),'Aerodynamics-Cruise'!BI31,L34)</f>
        <v>58.638350392304424</v>
      </c>
      <c r="M34" s="72">
        <f ca="1">IF(AND(Energy!$F$11=$A$3,Main!$B$43=A34),'Aerodynamics-Cruise'!BJ31,M34)</f>
        <v>2.7994159825239513</v>
      </c>
      <c r="N34" s="72">
        <f ca="1">IF(AND(Energy!$F$11=$A$3,Main!$B$43=A34),'Aerodynamics-Cruise'!BK31,N34)</f>
        <v>20.94663699799132</v>
      </c>
      <c r="O34" s="72">
        <f t="shared" ca="1" si="0"/>
        <v>160.40030090042805</v>
      </c>
      <c r="P34" s="72">
        <f ca="1">IF(AND(Energy!$F$11=$A$3,Main!$B$43=A34),'Aerodynamics-Cruise'!H31,P34)</f>
        <v>9.2971191934859387</v>
      </c>
      <c r="Q34" s="72">
        <f ca="1">IF(AND(Energy!$F$11=$A$3,Main!$B$43=A34),'Aerodynamics-Cruise'!I31,Q34)</f>
        <v>7.951290790284383</v>
      </c>
      <c r="R34" s="72">
        <f ca="1">IF(AND(Energy!$F$11=$A$3,Main!$B$43=$A34),Summary!R31,R34)</f>
        <v>5.237617068366057</v>
      </c>
      <c r="S34" s="72">
        <f ca="1">IF(AND(Energy!$F$11=$A$3,Main!$B$43=A34),'Aerodynamics-Cruise'!W31,S34)</f>
        <v>1</v>
      </c>
      <c r="T34" s="72">
        <f ca="1">IF(AND(Energy!$F$11=$A$3,Main!$B$43=A34),'Aerodynamics-Cruise'!BL31,T34)</f>
        <v>26.026504061674725</v>
      </c>
      <c r="U34" s="72">
        <f ca="1">IF(AND(Energy!$F$11=$A$3,Main!$B$43=A34),'Propulsion-Cruise'!M31,U34)</f>
        <v>55.349182955894484</v>
      </c>
      <c r="V34" s="72">
        <f ca="1">IF(AND(Energy!$F$11=$A$3,Main!$B$43=A34),Endurance!AP31,V34)</f>
        <v>523.48739777190224</v>
      </c>
      <c r="W34" s="72">
        <f ca="1">IF(AND(Energy!$F$11=$A$3,Main!$B$43=$A34),Summary!W31,W34)</f>
        <v>1.2397660818713452</v>
      </c>
      <c r="X34" s="13">
        <f ca="1">IF(AND(Energy!$F$11=$A$3,Main!$B$43=A34),Energy!D31,X34)</f>
        <v>1182.0301388888888</v>
      </c>
      <c r="Y34" s="126">
        <f ca="1">IF(AND(Energy!$F$11=$A$3,Main!$B$43=A34),'Aerodynamics-Cruise'!V31,Y34)</f>
        <v>131033.14425851424</v>
      </c>
      <c r="Z34" s="126">
        <f ca="1">IF(AND(Energy!$F$11=$A$3,Main!$B$43=$A34),Summary!Z31,Z34)</f>
        <v>99240.823522041159</v>
      </c>
      <c r="AA34" s="126">
        <f ca="1">IF(AND(Energy!$F$11=$A$3,Main!$B$43=$A34),Summary!AA31,AA34)</f>
        <v>99240.823522041159</v>
      </c>
      <c r="AB34" s="72">
        <f ca="1">IF(AND(Energy!$F$11=$A$3,Main!$B$43=$A34),Summary!AB31,AB34)</f>
        <v>5.237617068366057</v>
      </c>
      <c r="AC34" s="72">
        <f ca="1">IF(AND(Energy!$F$11=$A$3,Main!$B$43=$A34),Summary!AC31,AC34)</f>
        <v>2.5240621399946268</v>
      </c>
      <c r="AD34" s="72">
        <f ca="1">IF(AND(Energy!$F$11=$A$3,Main!$B$43=$A34),Summary!AD31,AD34)</f>
        <v>0.41670761429327291</v>
      </c>
      <c r="AE34" s="72">
        <f ca="1">IF(AND(Energy!$F$11=$A$3,Main!$B$43=$A34),Summary!AE31,AE34)</f>
        <v>1.2397660818713452</v>
      </c>
      <c r="AF34" s="72">
        <f ca="1">IF(AND(Energy!$F$11=$A$3,Main!$B$43=$A34),Summary!AF31,AF34)</f>
        <v>25.105263157894736</v>
      </c>
      <c r="AG34" s="72">
        <f ca="1">IF(AND(Energy!$F$11=$A$3,Main!$B$43=$A34),Summary!AG31,AG34)</f>
        <v>11.313923165722354</v>
      </c>
      <c r="AH34" s="72">
        <f ca="1">IF(AND(Energy!$F$11=$A$3,Main!$B$43=$A34),Summary!AH31,AH34)</f>
        <v>47</v>
      </c>
      <c r="AI34" s="72">
        <f ca="1">IF(AND(Energy!$F$11=$A$3,Main!$B$43=$A34),Summary!AI31,AI34)</f>
        <v>2.679647058379182</v>
      </c>
      <c r="AJ34" s="72">
        <f ca="1">IF(AND(Energy!$F$11=$A$3,Main!$B$43=$A34),Summary!AJ31,AJ34)</f>
        <v>0.25644723595455166</v>
      </c>
      <c r="AK34" s="72">
        <f ca="1">IF(AND(Energy!$F$11=$A$3,Main!$B$43=$A34),Summary!AK31,AK34)</f>
        <v>0.01</v>
      </c>
      <c r="AL34" s="72">
        <f ca="1">IF(AND(Energy!$F$11=$A$3,Main!$B$43=$A34),Summary!AL31,AL34)</f>
        <v>-0.48736794999831723</v>
      </c>
      <c r="AM34" s="72">
        <f ca="1">IF(AND(Energy!$F$11=$A$3,Main!$B$43=$A34),Summary!AJ51,AM34)</f>
        <v>0</v>
      </c>
      <c r="AN34" s="98"/>
      <c r="AO34" s="98"/>
      <c r="AP34" s="98"/>
      <c r="AQ34" s="98"/>
      <c r="AR34" s="72"/>
      <c r="AS34" s="72"/>
      <c r="AT34" s="72"/>
      <c r="AU34" s="98"/>
      <c r="AV34" s="98"/>
      <c r="AW34" s="98"/>
      <c r="AX34" s="98"/>
      <c r="AY34" s="98"/>
      <c r="AZ34" s="127"/>
      <c r="BA34" s="58"/>
      <c r="BB34" s="58"/>
      <c r="BC34" s="6"/>
    </row>
    <row r="35" spans="1:55">
      <c r="A35">
        <f t="shared" si="2"/>
        <v>2</v>
      </c>
      <c r="B35" s="10"/>
      <c r="C35" s="72"/>
      <c r="D35" s="1">
        <f ca="1">IF(AND(Energy!$F$11=$A$3,Main!$B$43=A35),Main!C32,D35)</f>
        <v>5.7368421052631584</v>
      </c>
      <c r="E35" s="72">
        <f ca="1">IF(AND(Energy!$F$11=$A$3,Main!$B$43=A35),Main!B32,E35)</f>
        <v>0.22222222222222224</v>
      </c>
      <c r="F35" s="72">
        <f ca="1">IF(Main!$D$6=1,U35,IF(Main!$D$6=2,N35,IF(Main!$D$6=3,K35,IF(Main!$D$6=4,V35,J35))))</f>
        <v>523.97205499781057</v>
      </c>
      <c r="G35" s="72">
        <f ca="1">IF(AND(Energy!$F$11=$A$3,Main!$B$43=A35),Weight!H32,G35)</f>
        <v>15</v>
      </c>
      <c r="H35" s="72">
        <f ca="1">IF(AND(Energy!$F$11=$A$3,Main!$B$43=A35),Weight!U32,H35)</f>
        <v>15.653345995224242</v>
      </c>
      <c r="I35" s="72">
        <f ca="1">IF(AND(Energy!$F$11=$A$3,Main!$B$43=A35),Weight!V32,I35)</f>
        <v>44.081386698349249</v>
      </c>
      <c r="J35" s="72">
        <f ca="1">IF(AND(Energy!$F$11=$A$3,Main!$B$43=A35),Weight!I32,J35)</f>
        <v>23.490392428125002</v>
      </c>
      <c r="K35" s="72">
        <f ca="1">IF(AND(Energy!$F$11=$A$3,Main!$B$43=A35),Weight!W32,K35)</f>
        <v>59.081386698349249</v>
      </c>
      <c r="L35" s="72">
        <f ca="1">IF(AND(Energy!$F$11=$A$3,Main!$B$43=A35),'Aerodynamics-Cruise'!BI32,L35)</f>
        <v>59.081386698349249</v>
      </c>
      <c r="M35" s="72">
        <f ca="1">IF(AND(Energy!$F$11=$A$3,Main!$B$43=A35),'Aerodynamics-Cruise'!BJ32,M35)</f>
        <v>2.8177970244287307</v>
      </c>
      <c r="N35" s="72">
        <f ca="1">IF(AND(Energy!$F$11=$A$3,Main!$B$43=A35),'Aerodynamics-Cruise'!BK32,N35)</f>
        <v>20.967225881121504</v>
      </c>
      <c r="O35" s="72">
        <f t="shared" ca="1" si="0"/>
        <v>161.16336028822906</v>
      </c>
      <c r="P35" s="72">
        <f ca="1">IF(AND(Energy!$F$11=$A$3,Main!$B$43=A35),'Aerodynamics-Cruise'!H32,P35)</f>
        <v>9.2028339987111245</v>
      </c>
      <c r="Q35" s="72">
        <f ca="1">IF(AND(Energy!$F$11=$A$3,Main!$B$43=A35),'Aerodynamics-Cruise'!I32,Q35)</f>
        <v>7.8739293036752152</v>
      </c>
      <c r="R35" s="72">
        <f ca="1">IF(AND(Energy!$F$11=$A$3,Main!$B$43=$A35),Summary!R32,R35)</f>
        <v>5.17368108342023</v>
      </c>
      <c r="S35" s="72">
        <f ca="1">IF(AND(Energy!$F$11=$A$3,Main!$B$43=A35),'Aerodynamics-Cruise'!W32,S35)</f>
        <v>1</v>
      </c>
      <c r="T35" s="72">
        <f ca="1">IF(AND(Energy!$F$11=$A$3,Main!$B$43=A35),'Aerodynamics-Cruise'!BL32,T35)</f>
        <v>25.931718257879766</v>
      </c>
      <c r="U35" s="72">
        <f ca="1">IF(AND(Energy!$F$11=$A$3,Main!$B$43=A35),'Propulsion-Cruise'!M32,U35)</f>
        <v>55.296821828718549</v>
      </c>
      <c r="V35" s="72">
        <f ca="1">IF(AND(Energy!$F$11=$A$3,Main!$B$43=A35),Endurance!AP32,V35)</f>
        <v>523.97205499781057</v>
      </c>
      <c r="W35" s="72">
        <f ca="1">IF(AND(Energy!$F$11=$A$3,Main!$B$43=$A35),Summary!W32,W35)</f>
        <v>1.2748538011695909</v>
      </c>
      <c r="X35" s="13">
        <f ca="1">IF(AND(Energy!$F$11=$A$3,Main!$B$43=A35),Energy!D32,X35)</f>
        <v>1182.0301388888888</v>
      </c>
      <c r="Y35" s="126">
        <f ca="1">IF(AND(Energy!$F$11=$A$3,Main!$B$43=A35),'Aerodynamics-Cruise'!V32,Y35)</f>
        <v>129704.29332401977</v>
      </c>
      <c r="Z35" s="126">
        <f ca="1">IF(AND(Energy!$F$11=$A$3,Main!$B$43=$A35),Summary!Z32,Z35)</f>
        <v>98273.672206758434</v>
      </c>
      <c r="AA35" s="126">
        <f ca="1">IF(AND(Energy!$F$11=$A$3,Main!$B$43=$A35),Summary!AA32,AA35)</f>
        <v>98273.672206758434</v>
      </c>
      <c r="AB35" s="72">
        <f ca="1">IF(AND(Energy!$F$11=$A$3,Main!$B$43=$A35),Summary!AB32,AB35)</f>
        <v>5.17368108342023</v>
      </c>
      <c r="AC35" s="72">
        <f ca="1">IF(AND(Energy!$F$11=$A$3,Main!$B$43=$A35),Summary!AC32,AC35)</f>
        <v>2.4833207229648311</v>
      </c>
      <c r="AD35" s="72">
        <f ca="1">IF(AND(Energy!$F$11=$A$3,Main!$B$43=$A35),Summary!AD32,AD35)</f>
        <v>0.41524555935188073</v>
      </c>
      <c r="AE35" s="72">
        <f ca="1">IF(AND(Energy!$F$11=$A$3,Main!$B$43=$A35),Summary!AE32,AE35)</f>
        <v>1.2748538011695909</v>
      </c>
      <c r="AF35" s="72">
        <f ca="1">IF(AND(Energy!$F$11=$A$3,Main!$B$43=$A35),Summary!AF32,AF35)</f>
        <v>25.815789473684212</v>
      </c>
      <c r="AG35" s="72">
        <f ca="1">IF(AND(Energy!$F$11=$A$3,Main!$B$43=$A35),Summary!AG32,AG35)</f>
        <v>11.32387735624531</v>
      </c>
      <c r="AH35" s="72">
        <f ca="1">IF(AND(Energy!$F$11=$A$3,Main!$B$43=$A35),Summary!AH32,AH35)</f>
        <v>47</v>
      </c>
      <c r="AI35" s="72">
        <f ca="1">IF(AND(Energy!$F$11=$A$3,Main!$B$43=$A35),Summary!AI32,AI35)</f>
        <v>2.6774182886530768</v>
      </c>
      <c r="AJ35" s="72">
        <f ca="1">IF(AND(Energy!$F$11=$A$3,Main!$B$43=$A35),Summary!AJ32,AJ35)</f>
        <v>0.25715124601811407</v>
      </c>
      <c r="AK35" s="72">
        <f ca="1">IF(AND(Energy!$F$11=$A$3,Main!$B$43=$A35),Summary!AK32,AK35)</f>
        <v>0.01</v>
      </c>
      <c r="AL35" s="72">
        <f ca="1">IF(AND(Energy!$F$11=$A$3,Main!$B$43=$A35),Summary!AL32,AL35)</f>
        <v>-0.48603376513384483</v>
      </c>
      <c r="AM35" s="72">
        <f ca="1">IF(AND(Energy!$F$11=$A$3,Main!$B$43=$A35),Summary!AJ52,AM35)</f>
        <v>0</v>
      </c>
      <c r="AN35" s="98"/>
      <c r="AO35" s="98"/>
      <c r="AP35" s="98"/>
      <c r="AQ35" s="98"/>
      <c r="AR35" s="72"/>
      <c r="AS35" s="72"/>
      <c r="AT35" s="72"/>
      <c r="AU35" s="98"/>
      <c r="AV35" s="98"/>
      <c r="AW35" s="98"/>
      <c r="AX35" s="98"/>
      <c r="AY35" s="98"/>
      <c r="AZ35" s="127"/>
      <c r="BA35" s="58"/>
      <c r="BB35" s="58"/>
      <c r="BC35" s="6"/>
    </row>
    <row r="36" spans="1:55">
      <c r="A36">
        <f t="shared" si="2"/>
        <v>2</v>
      </c>
      <c r="B36" s="10"/>
      <c r="C36" s="72"/>
      <c r="D36" s="1">
        <f ca="1">IF(AND(Energy!$F$11=$A$3,Main!$B$43=A36),Main!C33,D36)</f>
        <v>5.8947368421052637</v>
      </c>
      <c r="E36" s="72">
        <f ca="1">IF(AND(Energy!$F$11=$A$3,Main!$B$43=A36),Main!B33,E36)</f>
        <v>0.22222222222222224</v>
      </c>
      <c r="F36" s="72">
        <f ca="1">IF(Main!$D$6=1,U36,IF(Main!$D$6=2,N36,IF(Main!$D$6=3,K36,IF(Main!$D$6=4,V36,J36))))</f>
        <v>524.79147724652671</v>
      </c>
      <c r="G36" s="72">
        <f ca="1">IF(AND(Energy!$F$11=$A$3,Main!$B$43=A36),Weight!H33,G36)</f>
        <v>15</v>
      </c>
      <c r="H36" s="72">
        <f ca="1">IF(AND(Energy!$F$11=$A$3,Main!$B$43=A36),Weight!U33,H36)</f>
        <v>16.104002549773632</v>
      </c>
      <c r="I36" s="72">
        <f ca="1">IF(AND(Energy!$F$11=$A$3,Main!$B$43=A36),Weight!V33,I36)</f>
        <v>44.532043252898632</v>
      </c>
      <c r="J36" s="72">
        <f ca="1">IF(AND(Energy!$F$11=$A$3,Main!$B$43=A36),Weight!I33,J36)</f>
        <v>23.490392428125002</v>
      </c>
      <c r="K36" s="72">
        <f ca="1">IF(AND(Energy!$F$11=$A$3,Main!$B$43=A36),Weight!W33,K36)</f>
        <v>59.532043252898639</v>
      </c>
      <c r="L36" s="72">
        <f ca="1">IF(AND(Energy!$F$11=$A$3,Main!$B$43=A36),'Aerodynamics-Cruise'!BI33,L36)</f>
        <v>59.532043252898639</v>
      </c>
      <c r="M36" s="72">
        <f ca="1">IF(AND(Energy!$F$11=$A$3,Main!$B$43=A36),'Aerodynamics-Cruise'!BJ33,M36)</f>
        <v>2.8371830599748735</v>
      </c>
      <c r="N36" s="72">
        <f ca="1">IF(AND(Energy!$F$11=$A$3,Main!$B$43=A36),'Aerodynamics-Cruise'!BK33,N36)</f>
        <v>20.982799486130396</v>
      </c>
      <c r="O36" s="72">
        <f t="shared" ref="O36:O67" ca="1" si="3">L36^(3/2)/M36</f>
        <v>161.89700878843536</v>
      </c>
      <c r="P36" s="72">
        <f ca="1">IF(AND(Energy!$F$11=$A$3,Main!$B$43=A36),'Aerodynamics-Cruise'!H33,P36)</f>
        <v>9.1132858833337078</v>
      </c>
      <c r="Q36" s="72">
        <f ca="1">IF(AND(Energy!$F$11=$A$3,Main!$B$43=A36),'Aerodynamics-Cruise'!I33,Q36)</f>
        <v>7.800423994259635</v>
      </c>
      <c r="R36" s="72">
        <f ca="1">IF(AND(Energy!$F$11=$A$3,Main!$B$43=$A36),Summary!R33,R36)</f>
        <v>5.1151782578933442</v>
      </c>
      <c r="S36" s="72">
        <f ca="1">IF(AND(Energy!$F$11=$A$3,Main!$B$43=A36),'Aerodynamics-Cruise'!W33,S36)</f>
        <v>1</v>
      </c>
      <c r="T36" s="72">
        <f ca="1">IF(AND(Energy!$F$11=$A$3,Main!$B$43=A36),'Aerodynamics-Cruise'!BL33,T36)</f>
        <v>25.856060328902547</v>
      </c>
      <c r="U36" s="72">
        <f ca="1">IF(AND(Energy!$F$11=$A$3,Main!$B$43=A36),'Propulsion-Cruise'!M33,U36)</f>
        <v>55.281951964250851</v>
      </c>
      <c r="V36" s="72">
        <f ca="1">IF(AND(Energy!$F$11=$A$3,Main!$B$43=A36),Endurance!AP33,V36)</f>
        <v>524.79147724652671</v>
      </c>
      <c r="W36" s="72">
        <f ca="1">IF(AND(Energy!$F$11=$A$3,Main!$B$43=$A36),Summary!W33,W36)</f>
        <v>1.3099415204678364</v>
      </c>
      <c r="X36" s="13">
        <f ca="1">IF(AND(Energy!$F$11=$A$3,Main!$B$43=A36),Energy!D33,X36)</f>
        <v>1182.0301388888888</v>
      </c>
      <c r="Y36" s="126">
        <f ca="1">IF(AND(Energy!$F$11=$A$3,Main!$B$43=A36),'Aerodynamics-Cruise'!V33,Y36)</f>
        <v>128442.20655540565</v>
      </c>
      <c r="Z36" s="126">
        <f ca="1">IF(AND(Energy!$F$11=$A$3,Main!$B$43=$A36),Summary!Z33,Z36)</f>
        <v>97354.744674266403</v>
      </c>
      <c r="AA36" s="126">
        <f ca="1">IF(AND(Energy!$F$11=$A$3,Main!$B$43=$A36),Summary!AA33,AA36)</f>
        <v>97354.744674266403</v>
      </c>
      <c r="AB36" s="72">
        <f ca="1">IF(AND(Energy!$F$11=$A$3,Main!$B$43=$A36),Summary!AB33,AB36)</f>
        <v>5.1151782578933442</v>
      </c>
      <c r="AC36" s="72">
        <f ca="1">IF(AND(Energy!$F$11=$A$3,Main!$B$43=$A36),Summary!AC33,AC36)</f>
        <v>2.4435978465158592</v>
      </c>
      <c r="AD36" s="72">
        <f ca="1">IF(AND(Energy!$F$11=$A$3,Main!$B$43=$A36),Summary!AD33,AD36)</f>
        <v>0.41393526663103464</v>
      </c>
      <c r="AE36" s="72">
        <f ca="1">IF(AND(Energy!$F$11=$A$3,Main!$B$43=$A36),Summary!AE33,AE36)</f>
        <v>1.3099415204678364</v>
      </c>
      <c r="AF36" s="72">
        <f ca="1">IF(AND(Energy!$F$11=$A$3,Main!$B$43=$A36),Summary!AF33,AF36)</f>
        <v>26.526315789473689</v>
      </c>
      <c r="AG36" s="72">
        <f ca="1">IF(AND(Energy!$F$11=$A$3,Main!$B$43=$A36),Summary!AG33,AG36)</f>
        <v>11.337821521423699</v>
      </c>
      <c r="AH36" s="72">
        <f ca="1">IF(AND(Energy!$F$11=$A$3,Main!$B$43=$A36),Summary!AH33,AH36)</f>
        <v>47</v>
      </c>
      <c r="AI36" s="72">
        <f ca="1">IF(AND(Energy!$F$11=$A$3,Main!$B$43=$A36),Summary!AI33,AI36)</f>
        <v>2.6752824518321305</v>
      </c>
      <c r="AJ36" s="72">
        <f ca="1">IF(AND(Energy!$F$11=$A$3,Main!$B$43=$A36),Summary!AJ33,AJ36)</f>
        <v>0.25782373456852825</v>
      </c>
      <c r="AK36" s="72">
        <f ca="1">IF(AND(Energy!$F$11=$A$3,Main!$B$43=$A36),Summary!AK33,AK36)</f>
        <v>0.01</v>
      </c>
      <c r="AL36" s="72">
        <f ca="1">IF(AND(Energy!$F$11=$A$3,Main!$B$43=$A36),Summary!AL33,AL36)</f>
        <v>-0.48476612803050406</v>
      </c>
      <c r="AM36" s="72">
        <f ca="1">IF(AND(Energy!$F$11=$A$3,Main!$B$43=$A36),Summary!AJ53,AM36)</f>
        <v>0</v>
      </c>
      <c r="AN36" s="98"/>
      <c r="AO36" s="98"/>
      <c r="AP36" s="98"/>
      <c r="AQ36" s="98"/>
      <c r="AR36" s="72"/>
      <c r="AS36" s="72"/>
      <c r="AT36" s="72"/>
      <c r="AU36" s="98"/>
      <c r="AV36" s="98"/>
      <c r="AW36" s="98"/>
      <c r="AX36" s="98"/>
      <c r="AY36" s="98"/>
      <c r="AZ36" s="127"/>
      <c r="BA36" s="58"/>
      <c r="BB36" s="58"/>
      <c r="BC36" s="6"/>
    </row>
    <row r="37" spans="1:55">
      <c r="A37">
        <f t="shared" si="2"/>
        <v>2</v>
      </c>
      <c r="B37" s="58"/>
      <c r="C37" s="72"/>
      <c r="D37" s="1">
        <f ca="1">IF(AND(Energy!$F$11=$A$3,Main!$B$43=A37),Main!C34,D37)</f>
        <v>6.052631578947369</v>
      </c>
      <c r="E37" s="72">
        <f ca="1">IF(AND(Energy!$F$11=$A$3,Main!$B$43=A37),Main!B34,E37)</f>
        <v>0.22222222222222224</v>
      </c>
      <c r="F37" s="72">
        <f ca="1">IF(Main!$D$6=1,U37,IF(Main!$D$6=2,N37,IF(Main!$D$6=3,K37,IF(Main!$D$6=4,V37,J37))))</f>
        <v>525.92208146162557</v>
      </c>
      <c r="G37" s="72">
        <f ca="1">IF(AND(Energy!$F$11=$A$3,Main!$B$43=A37),Weight!H34,G37)</f>
        <v>15</v>
      </c>
      <c r="H37" s="72">
        <f ca="1">IF(AND(Energy!$F$11=$A$3,Main!$B$43=A37),Weight!U34,H37)</f>
        <v>16.562310906994426</v>
      </c>
      <c r="I37" s="72">
        <f ca="1">IF(AND(Energy!$F$11=$A$3,Main!$B$43=A37),Weight!V34,I37)</f>
        <v>44.990351610119433</v>
      </c>
      <c r="J37" s="72">
        <f ca="1">IF(AND(Energy!$F$11=$A$3,Main!$B$43=A37),Weight!I34,J37)</f>
        <v>23.490392428125002</v>
      </c>
      <c r="K37" s="72">
        <f ca="1">IF(AND(Energy!$F$11=$A$3,Main!$B$43=A37),Weight!W34,K37)</f>
        <v>59.990351610119433</v>
      </c>
      <c r="L37" s="72">
        <f ca="1">IF(AND(Energy!$F$11=$A$3,Main!$B$43=A37),'Aerodynamics-Cruise'!BI34,L37)</f>
        <v>59.990351610119447</v>
      </c>
      <c r="M37" s="72">
        <f ca="1">IF(AND(Energy!$F$11=$A$3,Main!$B$43=A37),'Aerodynamics-Cruise'!BJ34,M37)</f>
        <v>2.8575052395477059</v>
      </c>
      <c r="N37" s="72">
        <f ca="1">IF(AND(Energy!$F$11=$A$3,Main!$B$43=A37),'Aerodynamics-Cruise'!BK34,N37)</f>
        <v>20.993960318902126</v>
      </c>
      <c r="O37" s="72">
        <f t="shared" ca="1" si="3"/>
        <v>162.60544178926884</v>
      </c>
      <c r="P37" s="72">
        <f ca="1">IF(AND(Energy!$F$11=$A$3,Main!$B$43=A37),'Aerodynamics-Cruise'!H34,P37)</f>
        <v>9.0281668636023014</v>
      </c>
      <c r="Q37" s="72">
        <f ca="1">IF(AND(Energy!$F$11=$A$3,Main!$B$43=A37),'Aerodynamics-Cruise'!I34,Q37)</f>
        <v>7.7305263883520396</v>
      </c>
      <c r="R37" s="72">
        <f ca="1">IF(AND(Energy!$F$11=$A$3,Main!$B$43=$A37),Summary!R34,R37)</f>
        <v>5.0617174058822219</v>
      </c>
      <c r="S37" s="72">
        <f ca="1">IF(AND(Energy!$F$11=$A$3,Main!$B$43=A37),'Aerodynamics-Cruise'!W34,S37)</f>
        <v>1</v>
      </c>
      <c r="T37" s="72">
        <f ca="1">IF(AND(Energy!$F$11=$A$3,Main!$B$43=A37),'Aerodynamics-Cruise'!BL34,T37)</f>
        <v>25.798034116254556</v>
      </c>
      <c r="U37" s="72">
        <f ca="1">IF(AND(Energy!$F$11=$A$3,Main!$B$43=A37),'Propulsion-Cruise'!M34,U37)</f>
        <v>55.301830069217651</v>
      </c>
      <c r="V37" s="72">
        <f ca="1">IF(AND(Energy!$F$11=$A$3,Main!$B$43=A37),Endurance!AP34,V37)</f>
        <v>525.92208146162557</v>
      </c>
      <c r="W37" s="72">
        <f ca="1">IF(AND(Energy!$F$11=$A$3,Main!$B$43=$A37),Summary!W34,W37)</f>
        <v>1.3450292397660821</v>
      </c>
      <c r="X37" s="13">
        <f ca="1">IF(AND(Energy!$F$11=$A$3,Main!$B$43=A37),Energy!D34,X37)</f>
        <v>1182.0301388888888</v>
      </c>
      <c r="Y37" s="126">
        <f ca="1">IF(AND(Energy!$F$11=$A$3,Main!$B$43=A37),'Aerodynamics-Cruise'!V34,Y37)</f>
        <v>127242.54324470791</v>
      </c>
      <c r="Z37" s="126">
        <f ca="1">IF(AND(Energy!$F$11=$A$3,Main!$B$43=$A37),Summary!Z34,Z37)</f>
        <v>96480.932517271169</v>
      </c>
      <c r="AA37" s="126">
        <f ca="1">IF(AND(Energy!$F$11=$A$3,Main!$B$43=$A37),Summary!AA34,AA37)</f>
        <v>96480.932517271169</v>
      </c>
      <c r="AB37" s="72">
        <f ca="1">IF(AND(Energy!$F$11=$A$3,Main!$B$43=$A37),Summary!AB34,AB37)</f>
        <v>5.0617174058822219</v>
      </c>
      <c r="AC37" s="72">
        <f ca="1">IF(AND(Energy!$F$11=$A$3,Main!$B$43=$A37),Summary!AC34,AC37)</f>
        <v>2.4048521102040401</v>
      </c>
      <c r="AD37" s="72">
        <f ca="1">IF(AND(Energy!$F$11=$A$3,Main!$B$43=$A37),Summary!AD34,AD37)</f>
        <v>0.41276638857543807</v>
      </c>
      <c r="AE37" s="72">
        <f ca="1">IF(AND(Energy!$F$11=$A$3,Main!$B$43=$A37),Summary!AE34,AE37)</f>
        <v>1.3450292397660821</v>
      </c>
      <c r="AF37" s="72">
        <f ca="1">IF(AND(Energy!$F$11=$A$3,Main!$B$43=$A37),Summary!AF34,AF37)</f>
        <v>27.236842105263158</v>
      </c>
      <c r="AG37" s="72">
        <f ca="1">IF(AND(Energy!$F$11=$A$3,Main!$B$43=$A37),Summary!AG34,AG37)</f>
        <v>11.355464213865554</v>
      </c>
      <c r="AH37" s="72">
        <f ca="1">IF(AND(Energy!$F$11=$A$3,Main!$B$43=$A37),Summary!AH34,AH37)</f>
        <v>47</v>
      </c>
      <c r="AI37" s="72">
        <f ca="1">IF(AND(Energy!$F$11=$A$3,Main!$B$43=$A37),Summary!AI34,AI37)</f>
        <v>2.6732347137802805</v>
      </c>
      <c r="AJ37" s="72">
        <f ca="1">IF(AND(Energy!$F$11=$A$3,Main!$B$43=$A37),Summary!AJ34,AJ37)</f>
        <v>0.25846604627892567</v>
      </c>
      <c r="AK37" s="72">
        <f ca="1">IF(AND(Energy!$F$11=$A$3,Main!$B$43=$A37),Summary!AK34,AK37)</f>
        <v>0.01</v>
      </c>
      <c r="AL37" s="72">
        <f ca="1">IF(AND(Energy!$F$11=$A$3,Main!$B$43=$A37),Summary!AL34,AL37)</f>
        <v>-0.48356154773594173</v>
      </c>
      <c r="AM37" s="72">
        <f ca="1">IF(AND(Energy!$F$11=$A$3,Main!$B$43=$A37),Summary!AJ54,AM37)</f>
        <v>0</v>
      </c>
      <c r="AN37" s="98"/>
      <c r="AO37" s="98"/>
      <c r="AP37" s="98"/>
      <c r="AQ37" s="98"/>
      <c r="AR37" s="58"/>
      <c r="AS37" s="72"/>
      <c r="AT37" s="72"/>
      <c r="AU37" s="98"/>
      <c r="AV37" s="98"/>
      <c r="AW37" s="98"/>
      <c r="AX37" s="98"/>
      <c r="AY37" s="98"/>
      <c r="AZ37" s="58"/>
      <c r="BA37" s="58"/>
      <c r="BB37" s="58"/>
      <c r="BC37" s="6"/>
    </row>
    <row r="38" spans="1:55">
      <c r="A38">
        <f t="shared" si="2"/>
        <v>2</v>
      </c>
      <c r="B38" s="58"/>
      <c r="C38" s="72"/>
      <c r="D38" s="1">
        <f ca="1">IF(AND(Energy!$F$11=$A$3,Main!$B$43=A38),Main!C35,D38)</f>
        <v>6.2105263157894743</v>
      </c>
      <c r="E38" s="72">
        <f ca="1">IF(AND(Energy!$F$11=$A$3,Main!$B$43=A38),Main!B35,E38)</f>
        <v>0.22222222222222224</v>
      </c>
      <c r="F38" s="72">
        <f ca="1">IF(Main!$D$6=1,U38,IF(Main!$D$6=2,N38,IF(Main!$D$6=3,K38,IF(Main!$D$6=4,V38,J38))))</f>
        <v>527.34301299512799</v>
      </c>
      <c r="G38" s="72">
        <f ca="1">IF(AND(Energy!$F$11=$A$3,Main!$B$43=A38),Weight!H35,G38)</f>
        <v>15</v>
      </c>
      <c r="H38" s="72">
        <f ca="1">IF(AND(Energy!$F$11=$A$3,Main!$B$43=A38),Weight!U35,H38)</f>
        <v>17.028305608397979</v>
      </c>
      <c r="I38" s="72">
        <f ca="1">IF(AND(Energy!$F$11=$A$3,Main!$B$43=A38),Weight!V35,I38)</f>
        <v>45.456346311522978</v>
      </c>
      <c r="J38" s="72">
        <f ca="1">IF(AND(Energy!$F$11=$A$3,Main!$B$43=A38),Weight!I35,J38)</f>
        <v>23.490392428125002</v>
      </c>
      <c r="K38" s="72">
        <f ca="1">IF(AND(Energy!$F$11=$A$3,Main!$B$43=A38),Weight!W35,K38)</f>
        <v>60.456346311522985</v>
      </c>
      <c r="L38" s="72">
        <f ca="1">IF(AND(Energy!$F$11=$A$3,Main!$B$43=A38),'Aerodynamics-Cruise'!BI35,L38)</f>
        <v>60.456346311522992</v>
      </c>
      <c r="M38" s="72">
        <f ca="1">IF(AND(Energy!$F$11=$A$3,Main!$B$43=A38),'Aerodynamics-Cruise'!BJ35,M38)</f>
        <v>2.8787022388522332</v>
      </c>
      <c r="N38" s="72">
        <f ca="1">IF(AND(Energy!$F$11=$A$3,Main!$B$43=A38),'Aerodynamics-Cruise'!BK35,N38)</f>
        <v>21.001250318833783</v>
      </c>
      <c r="O38" s="72">
        <f t="shared" ca="1" si="3"/>
        <v>163.29244803617311</v>
      </c>
      <c r="P38" s="72">
        <f ca="1">IF(AND(Energy!$F$11=$A$3,Main!$B$43=A38),'Aerodynamics-Cruise'!H35,P38)</f>
        <v>8.9471966490289887</v>
      </c>
      <c r="Q38" s="72">
        <f ca="1">IF(AND(Energy!$F$11=$A$3,Main!$B$43=A38),'Aerodynamics-Cruise'!I35,Q38)</f>
        <v>7.664010213163146</v>
      </c>
      <c r="R38" s="72">
        <f ca="1">IF(AND(Energy!$F$11=$A$3,Main!$B$43=$A38),Summary!R35,R38)</f>
        <v>5.0129488151020052</v>
      </c>
      <c r="S38" s="72">
        <f ca="1">IF(AND(Energy!$F$11=$A$3,Main!$B$43=A38),'Aerodynamics-Cruise'!W35,S38)</f>
        <v>1</v>
      </c>
      <c r="T38" s="72">
        <f ca="1">IF(AND(Energy!$F$11=$A$3,Main!$B$43=A38),'Aerodynamics-Cruise'!BL35,T38)</f>
        <v>25.756315025010949</v>
      </c>
      <c r="U38" s="72">
        <f ca="1">IF(AND(Energy!$F$11=$A$3,Main!$B$43=A38),'Propulsion-Cruise'!M35,U38)</f>
        <v>55.354028699148024</v>
      </c>
      <c r="V38" s="72">
        <f ca="1">IF(AND(Energy!$F$11=$A$3,Main!$B$43=A38),Endurance!AP35,V38)</f>
        <v>527.34301299512799</v>
      </c>
      <c r="W38" s="72">
        <f ca="1">IF(AND(Energy!$F$11=$A$3,Main!$B$43=$A38),Summary!W35,W38)</f>
        <v>1.3801169590643276</v>
      </c>
      <c r="X38" s="13">
        <f ca="1">IF(AND(Energy!$F$11=$A$3,Main!$B$43=A38),Energy!D35,X38)</f>
        <v>1182.0301388888888</v>
      </c>
      <c r="Y38" s="126">
        <f ca="1">IF(AND(Energy!$F$11=$A$3,Main!$B$43=A38),'Aerodynamics-Cruise'!V35,Y38)</f>
        <v>126101.35299146672</v>
      </c>
      <c r="Z38" s="126">
        <f ca="1">IF(AND(Energy!$F$11=$A$3,Main!$B$43=$A38),Summary!Z35,Z38)</f>
        <v>95649.405131193562</v>
      </c>
      <c r="AA38" s="126">
        <f ca="1">IF(AND(Energy!$F$11=$A$3,Main!$B$43=$A38),Summary!AA35,AA38)</f>
        <v>95649.405131193562</v>
      </c>
      <c r="AB38" s="72">
        <f ca="1">IF(AND(Energy!$F$11=$A$3,Main!$B$43=$A38),Summary!AB35,AB38)</f>
        <v>5.0129488151020052</v>
      </c>
      <c r="AC38" s="72">
        <f ca="1">IF(AND(Energy!$F$11=$A$3,Main!$B$43=$A38),Summary!AC35,AC38)</f>
        <v>2.3693283877589617</v>
      </c>
      <c r="AD38" s="72">
        <f ca="1">IF(AND(Energy!$F$11=$A$3,Main!$B$43=$A38),Summary!AD35,AD38)</f>
        <v>0.41172956020517887</v>
      </c>
      <c r="AE38" s="72">
        <f ca="1">IF(AND(Energy!$F$11=$A$3,Main!$B$43=$A38),Summary!AE35,AE38)</f>
        <v>1.3801169590643276</v>
      </c>
      <c r="AF38" s="72">
        <f ca="1">IF(AND(Energy!$F$11=$A$3,Main!$B$43=$A38),Summary!AF35,AF38)</f>
        <v>27.947368421052637</v>
      </c>
      <c r="AG38" s="72">
        <f ca="1">IF(AND(Energy!$F$11=$A$3,Main!$B$43=$A38),Summary!AG35,AG38)</f>
        <v>11.376546023107037</v>
      </c>
      <c r="AH38" s="72">
        <f ca="1">IF(AND(Energy!$F$11=$A$3,Main!$B$43=$A38),Summary!AH35,AH38)</f>
        <v>47</v>
      </c>
      <c r="AI38" s="72">
        <f ca="1">IF(AND(Energy!$F$11=$A$3,Main!$B$43=$A38),Summary!AI35,AI38)</f>
        <v>2.6712706176554013</v>
      </c>
      <c r="AJ38" s="72">
        <f ca="1">IF(AND(Energy!$F$11=$A$3,Main!$B$43=$A38),Summary!AJ35,AJ38)</f>
        <v>0.25907898475408414</v>
      </c>
      <c r="AK38" s="72">
        <f ca="1">IF(AND(Energy!$F$11=$A$3,Main!$B$43=$A38),Summary!AK35,AK38)</f>
        <v>0.01</v>
      </c>
      <c r="AL38" s="72">
        <f ca="1">IF(AND(Energy!$F$11=$A$3,Main!$B$43=$A38),Summary!AL35,AL38)</f>
        <v>-0.4824176516186176</v>
      </c>
      <c r="AM38" s="72">
        <f ca="1">IF(AND(Energy!$F$11=$A$3,Main!$B$43=$A38),Summary!AJ55,AM38)</f>
        <v>0</v>
      </c>
      <c r="AN38" s="98"/>
      <c r="AO38" s="98"/>
      <c r="AP38" s="98"/>
      <c r="AQ38" s="98"/>
      <c r="AR38" s="58"/>
      <c r="AS38" s="72"/>
      <c r="AT38" s="72"/>
      <c r="AU38" s="98"/>
      <c r="AV38" s="98"/>
      <c r="AW38" s="98"/>
      <c r="AX38" s="98"/>
      <c r="AY38" s="98"/>
      <c r="AZ38" s="58"/>
      <c r="BA38" s="58"/>
      <c r="BB38" s="58"/>
      <c r="BC38" s="6"/>
    </row>
    <row r="39" spans="1:55">
      <c r="A39">
        <f t="shared" si="2"/>
        <v>2</v>
      </c>
      <c r="B39" s="58"/>
      <c r="C39" s="72"/>
      <c r="D39" s="1">
        <f ca="1">IF(AND(Energy!$F$11=$A$3,Main!$B$43=A39),Main!C36,D39)</f>
        <v>6.3684210526315796</v>
      </c>
      <c r="E39" s="72">
        <f ca="1">IF(AND(Energy!$F$11=$A$3,Main!$B$43=A39),Main!B36,E39)</f>
        <v>0.22222222222222224</v>
      </c>
      <c r="F39" s="72">
        <f ca="1">IF(Main!$D$6=1,U39,IF(Main!$D$6=2,N39,IF(Main!$D$6=3,K39,IF(Main!$D$6=4,V39,J39))))</f>
        <v>529.03577731313203</v>
      </c>
      <c r="G39" s="72">
        <f ca="1">IF(AND(Energy!$F$11=$A$3,Main!$B$43=A39),Weight!H36,G39)</f>
        <v>15</v>
      </c>
      <c r="H39" s="72">
        <f ca="1">IF(AND(Energy!$F$11=$A$3,Main!$B$43=A39),Weight!U36,H39)</f>
        <v>17.502023997815222</v>
      </c>
      <c r="I39" s="72">
        <f ca="1">IF(AND(Energy!$F$11=$A$3,Main!$B$43=A39),Weight!V36,I39)</f>
        <v>45.930064700940221</v>
      </c>
      <c r="J39" s="72">
        <f ca="1">IF(AND(Energy!$F$11=$A$3,Main!$B$43=A39),Weight!I36,J39)</f>
        <v>23.490392428125002</v>
      </c>
      <c r="K39" s="72">
        <f ca="1">IF(AND(Energy!$F$11=$A$3,Main!$B$43=A39),Weight!W36,K39)</f>
        <v>60.930064700940228</v>
      </c>
      <c r="L39" s="72">
        <f ca="1">IF(AND(Energy!$F$11=$A$3,Main!$B$43=A39),'Aerodynamics-Cruise'!BI36,L39)</f>
        <v>60.930064700940228</v>
      </c>
      <c r="M39" s="72">
        <f ca="1">IF(AND(Energy!$F$11=$A$3,Main!$B$43=A39),'Aerodynamics-Cruise'!BJ36,M39)</f>
        <v>2.900719249929824</v>
      </c>
      <c r="N39" s="72">
        <f ca="1">IF(AND(Energy!$F$11=$A$3,Main!$B$43=A39),'Aerodynamics-Cruise'!BK36,N39)</f>
        <v>21.005157497546268</v>
      </c>
      <c r="O39" s="72">
        <f t="shared" ca="1" si="3"/>
        <v>163.96145435292684</v>
      </c>
      <c r="P39" s="72">
        <f ca="1">IF(AND(Energy!$F$11=$A$3,Main!$B$43=A39),'Aerodynamics-Cruise'!H36,P39)</f>
        <v>8.8701195246217299</v>
      </c>
      <c r="Q39" s="72">
        <f ca="1">IF(AND(Energy!$F$11=$A$3,Main!$B$43=A39),'Aerodynamics-Cruise'!I36,Q39)</f>
        <v>7.6006689095855249</v>
      </c>
      <c r="R39" s="72">
        <f ca="1">IF(AND(Energy!$F$11=$A$3,Main!$B$43=$A39),Summary!R36,R39)</f>
        <v>4.9685590487597828</v>
      </c>
      <c r="S39" s="72">
        <f ca="1">IF(AND(Energy!$F$11=$A$3,Main!$B$43=A39),'Aerodynamics-Cruise'!W36,S39)</f>
        <v>1</v>
      </c>
      <c r="T39" s="72">
        <f ca="1">IF(AND(Energy!$F$11=$A$3,Main!$B$43=A39),'Aerodynamics-Cruise'!BL36,T39)</f>
        <v>25.729726454248631</v>
      </c>
      <c r="U39" s="72">
        <f ca="1">IF(AND(Energy!$F$11=$A$3,Main!$B$43=A39),'Propulsion-Cruise'!M36,U39)</f>
        <v>55.436392819236282</v>
      </c>
      <c r="V39" s="72">
        <f ca="1">IF(AND(Energy!$F$11=$A$3,Main!$B$43=A39),Endurance!AP36,V39)</f>
        <v>529.03577731313203</v>
      </c>
      <c r="W39" s="72">
        <f ca="1">IF(AND(Energy!$F$11=$A$3,Main!$B$43=$A39),Summary!W36,W39)</f>
        <v>1.4152046783625734</v>
      </c>
      <c r="X39" s="13">
        <f ca="1">IF(AND(Energy!$F$11=$A$3,Main!$B$43=A39),Energy!D36,X39)</f>
        <v>1182.0301388888888</v>
      </c>
      <c r="Y39" s="126">
        <f ca="1">IF(AND(Energy!$F$11=$A$3,Main!$B$43=A39),'Aerodynamics-Cruise'!V36,Y39)</f>
        <v>125015.03176106191</v>
      </c>
      <c r="Z39" s="126">
        <f ca="1">IF(AND(Energy!$F$11=$A$3,Main!$B$43=$A39),Summary!Z36,Z39)</f>
        <v>94857.578585332376</v>
      </c>
      <c r="AA39" s="126">
        <f ca="1">IF(AND(Energy!$F$11=$A$3,Main!$B$43=$A39),Summary!AA36,AA39)</f>
        <v>94857.578585332376</v>
      </c>
      <c r="AB39" s="72">
        <f ca="1">IF(AND(Energy!$F$11=$A$3,Main!$B$43=$A39),Summary!AB36,AB39)</f>
        <v>4.9685590487597828</v>
      </c>
      <c r="AC39" s="72">
        <f ca="1">IF(AND(Energy!$F$11=$A$3,Main!$B$43=$A39),Summary!AC36,AC39)</f>
        <v>2.3301361356290022</v>
      </c>
      <c r="AD39" s="72">
        <f ca="1">IF(AND(Energy!$F$11=$A$3,Main!$B$43=$A39),Summary!AD36,AD39)</f>
        <v>0.41081628238330953</v>
      </c>
      <c r="AE39" s="72">
        <f ca="1">IF(AND(Energy!$F$11=$A$3,Main!$B$43=$A39),Summary!AE36,AE39)</f>
        <v>1.4152046783625734</v>
      </c>
      <c r="AF39" s="72">
        <f ca="1">IF(AND(Energy!$F$11=$A$3,Main!$B$43=$A39),Summary!AF36,AF39)</f>
        <v>28.65789473684211</v>
      </c>
      <c r="AG39" s="72">
        <f ca="1">IF(AND(Energy!$F$11=$A$3,Main!$B$43=$A39),Summary!AG36,AG39)</f>
        <v>11.400835289687866</v>
      </c>
      <c r="AH39" s="72">
        <f ca="1">IF(AND(Energy!$F$11=$A$3,Main!$B$43=$A39),Summary!AH36,AH39)</f>
        <v>47</v>
      </c>
      <c r="AI39" s="72">
        <f ca="1">IF(AND(Energy!$F$11=$A$3,Main!$B$43=$A39),Summary!AI36,AI39)</f>
        <v>2.6693860451564984</v>
      </c>
      <c r="AJ39" s="72">
        <f ca="1">IF(AND(Energy!$F$11=$A$3,Main!$B$43=$A39),Summary!AJ36,AJ39)</f>
        <v>0.25966860335048281</v>
      </c>
      <c r="AK39" s="72">
        <f ca="1">IF(AND(Energy!$F$11=$A$3,Main!$B$43=$A39),Summary!AK36,AK39)</f>
        <v>0.01</v>
      </c>
      <c r="AL39" s="72">
        <f ca="1">IF(AND(Energy!$F$11=$A$3,Main!$B$43=$A39),Summary!AL36,AL39)</f>
        <v>-0.48132233292927162</v>
      </c>
      <c r="AM39" s="72">
        <f ca="1">IF(AND(Energy!$F$11=$A$3,Main!$B$43=$A39),Summary!AJ56,AM39)</f>
        <v>0</v>
      </c>
      <c r="AN39" s="98"/>
      <c r="AO39" s="98"/>
      <c r="AP39" s="98"/>
      <c r="AQ39" s="98"/>
      <c r="AR39" s="58"/>
      <c r="AS39" s="72"/>
      <c r="AT39" s="72"/>
      <c r="AU39" s="98"/>
      <c r="AV39" s="98"/>
      <c r="AW39" s="98"/>
      <c r="AX39" s="98"/>
      <c r="AY39" s="98"/>
      <c r="AZ39" s="58"/>
      <c r="BA39" s="58"/>
      <c r="BB39" s="58"/>
      <c r="BC39" s="6"/>
    </row>
    <row r="40" spans="1:55">
      <c r="A40">
        <f t="shared" si="2"/>
        <v>2</v>
      </c>
      <c r="B40" s="58"/>
      <c r="C40" s="72"/>
      <c r="D40" s="1">
        <f ca="1">IF(AND(Energy!$F$11=$A$3,Main!$B$43=A40),Main!C37,D40)</f>
        <v>6.526315789473685</v>
      </c>
      <c r="E40" s="72">
        <f ca="1">IF(AND(Energy!$F$11=$A$3,Main!$B$43=A40),Main!B37,E40)</f>
        <v>0.22222222222222224</v>
      </c>
      <c r="F40" s="72">
        <f ca="1">IF(Main!$D$6=1,U40,IF(Main!$D$6=2,N40,IF(Main!$D$6=3,K40,IF(Main!$D$6=4,V40,J40))))</f>
        <v>530.98394783264359</v>
      </c>
      <c r="G40" s="72">
        <f ca="1">IF(AND(Energy!$F$11=$A$3,Main!$B$43=A40),Weight!H37,G40)</f>
        <v>15</v>
      </c>
      <c r="H40" s="72">
        <f ca="1">IF(AND(Energy!$F$11=$A$3,Main!$B$43=A40),Weight!U37,H40)</f>
        <v>17.983506054254377</v>
      </c>
      <c r="I40" s="72">
        <f ca="1">IF(AND(Energy!$F$11=$A$3,Main!$B$43=A40),Weight!V37,I40)</f>
        <v>46.411546757379384</v>
      </c>
      <c r="J40" s="72">
        <f ca="1">IF(AND(Energy!$F$11=$A$3,Main!$B$43=A40),Weight!I37,J40)</f>
        <v>23.490392428125002</v>
      </c>
      <c r="K40" s="72">
        <f ca="1">IF(AND(Energy!$F$11=$A$3,Main!$B$43=A40),Weight!W37,K40)</f>
        <v>61.411546757379384</v>
      </c>
      <c r="L40" s="72">
        <f ca="1">IF(AND(Energy!$F$11=$A$3,Main!$B$43=A40),'Aerodynamics-Cruise'!BI37,L40)</f>
        <v>61.411546757379405</v>
      </c>
      <c r="M40" s="72">
        <f ca="1">IF(AND(Energy!$F$11=$A$3,Main!$B$43=A40),'Aerodynamics-Cruise'!BJ37,M40)</f>
        <v>2.9235072959583603</v>
      </c>
      <c r="N40" s="72">
        <f ca="1">IF(AND(Energy!$F$11=$A$3,Main!$B$43=A40),'Aerodynamics-Cruise'!BK37,N40)</f>
        <v>21.006120573832181</v>
      </c>
      <c r="O40" s="72">
        <f t="shared" ca="1" si="3"/>
        <v>164.61555553660045</v>
      </c>
      <c r="P40" s="72">
        <f ca="1">IF(AND(Energy!$F$11=$A$3,Main!$B$43=A40),'Aerodynamics-Cruise'!H37,P40)</f>
        <v>8.7967016512688438</v>
      </c>
      <c r="Q40" s="72">
        <f ca="1">IF(AND(Energy!$F$11=$A$3,Main!$B$43=A40),'Aerodynamics-Cruise'!I37,Q40)</f>
        <v>7.5403134771914004</v>
      </c>
      <c r="R40" s="72">
        <f ca="1">IF(AND(Energy!$F$11=$A$3,Main!$B$43=$A40),Summary!R37,R40)</f>
        <v>4.9282665102130787</v>
      </c>
      <c r="S40" s="72">
        <f ca="1">IF(AND(Energy!$F$11=$A$3,Main!$B$43=A40),'Aerodynamics-Cruise'!W37,S40)</f>
        <v>1</v>
      </c>
      <c r="T40" s="72">
        <f ca="1">IF(AND(Energy!$F$11=$A$3,Main!$B$43=A40),'Aerodynamics-Cruise'!BL37,T40)</f>
        <v>25.71722145785342</v>
      </c>
      <c r="U40" s="72">
        <f ca="1">IF(AND(Energy!$F$11=$A$3,Main!$B$43=A40),'Propulsion-Cruise'!M37,U40)</f>
        <v>55.547006471274742</v>
      </c>
      <c r="V40" s="72">
        <f ca="1">IF(AND(Energy!$F$11=$A$3,Main!$B$43=A40),Endurance!AP37,V40)</f>
        <v>530.98394783264359</v>
      </c>
      <c r="W40" s="72">
        <f ca="1">IF(AND(Energy!$F$11=$A$3,Main!$B$43=$A40),Summary!W37,W40)</f>
        <v>1.4502923976608191</v>
      </c>
      <c r="X40" s="13">
        <f ca="1">IF(AND(Energy!$F$11=$A$3,Main!$B$43=A40),Energy!D37,X40)</f>
        <v>1182.0301388888888</v>
      </c>
      <c r="Y40" s="126">
        <f ca="1">IF(AND(Energy!$F$11=$A$3,Main!$B$43=A40),'Aerodynamics-Cruise'!V37,Y40)</f>
        <v>123980.28383646368</v>
      </c>
      <c r="Z40" s="126">
        <f ca="1">IF(AND(Energy!$F$11=$A$3,Main!$B$43=$A40),Summary!Z37,Z40)</f>
        <v>94103.08865251836</v>
      </c>
      <c r="AA40" s="126">
        <f ca="1">IF(AND(Energy!$F$11=$A$3,Main!$B$43=$A40),Summary!AA37,AA40)</f>
        <v>94103.08865251836</v>
      </c>
      <c r="AB40" s="72">
        <f ca="1">IF(AND(Energy!$F$11=$A$3,Main!$B$43=$A40),Summary!AB37,AB40)</f>
        <v>4.9282665102130787</v>
      </c>
      <c r="AC40" s="72">
        <f ca="1">IF(AND(Energy!$F$11=$A$3,Main!$B$43=$A40),Summary!AC37,AC40)</f>
        <v>2.2940926491288161</v>
      </c>
      <c r="AD40" s="72">
        <f ca="1">IF(AND(Energy!$F$11=$A$3,Main!$B$43=$A40),Summary!AD37,AD40)</f>
        <v>0.41001882944183587</v>
      </c>
      <c r="AE40" s="72">
        <f ca="1">IF(AND(Energy!$F$11=$A$3,Main!$B$43=$A40),Summary!AE37,AE40)</f>
        <v>1.4502923976608191</v>
      </c>
      <c r="AF40" s="72">
        <f ca="1">IF(AND(Energy!$F$11=$A$3,Main!$B$43=$A40),Summary!AF37,AF40)</f>
        <v>29.368421052631579</v>
      </c>
      <c r="AG40" s="72">
        <f ca="1">IF(AND(Energy!$F$11=$A$3,Main!$B$43=$A40),Summary!AG37,AG40)</f>
        <v>11.428124919049173</v>
      </c>
      <c r="AH40" s="72">
        <f ca="1">IF(AND(Energy!$F$11=$A$3,Main!$B$43=$A40),Summary!AH37,AH40)</f>
        <v>47</v>
      </c>
      <c r="AI40" s="72">
        <f ca="1">IF(AND(Energy!$F$11=$A$3,Main!$B$43=$A40),Summary!AI37,AI40)</f>
        <v>2.6675771826309753</v>
      </c>
      <c r="AJ40" s="72">
        <f ca="1">IF(AND(Energy!$F$11=$A$3,Main!$B$43=$A40),Summary!AJ37,AJ40)</f>
        <v>0.26023336078010378</v>
      </c>
      <c r="AK40" s="72">
        <f ca="1">IF(AND(Energy!$F$11=$A$3,Main!$B$43=$A40),Summary!AK37,AK40)</f>
        <v>0.01</v>
      </c>
      <c r="AL40" s="72">
        <f ca="1">IF(AND(Energy!$F$11=$A$3,Main!$B$43=$A40),Summary!AL37,AL40)</f>
        <v>-0.48027785655476579</v>
      </c>
      <c r="AM40" s="72">
        <f ca="1">IF(AND(Energy!$F$11=$A$3,Main!$B$43=$A40),Summary!AJ57,AM40)</f>
        <v>0</v>
      </c>
      <c r="AN40" s="98"/>
      <c r="AO40" s="98"/>
      <c r="AP40" s="98"/>
      <c r="AQ40" s="98"/>
      <c r="AR40" s="58"/>
      <c r="AS40" s="72"/>
      <c r="AT40" s="72"/>
      <c r="AU40" s="98"/>
      <c r="AV40" s="98"/>
      <c r="AW40" s="98"/>
      <c r="AX40" s="98"/>
      <c r="AY40" s="98"/>
      <c r="AZ40" s="58"/>
      <c r="BA40" s="58"/>
      <c r="BB40" s="58"/>
      <c r="BC40" s="6"/>
    </row>
    <row r="41" spans="1:55">
      <c r="A41">
        <f t="shared" si="2"/>
        <v>2</v>
      </c>
      <c r="B41" s="58"/>
      <c r="C41" s="58"/>
      <c r="D41" s="1">
        <f ca="1">IF(AND(Energy!$F$11=$A$3,Main!$B$43=A41),Main!C38,D41)</f>
        <v>6.6842105263157903</v>
      </c>
      <c r="E41" s="72">
        <f ca="1">IF(AND(Energy!$F$11=$A$3,Main!$B$43=A41),Main!B38,E41)</f>
        <v>0.22222222222222224</v>
      </c>
      <c r="F41" s="72">
        <f ca="1">IF(Main!$D$6=1,U41,IF(Main!$D$6=2,N41,IF(Main!$D$6=3,K41,IF(Main!$D$6=4,V41,J41))))</f>
        <v>533.17288452175046</v>
      </c>
      <c r="G41" s="72">
        <f ca="1">IF(AND(Energy!$F$11=$A$3,Main!$B$43=A41),Weight!H38,G41)</f>
        <v>15</v>
      </c>
      <c r="H41" s="72">
        <f ca="1">IF(AND(Energy!$F$11=$A$3,Main!$B$43=A41),Weight!U38,H41)</f>
        <v>18.472794240434411</v>
      </c>
      <c r="I41" s="72">
        <f ca="1">IF(AND(Energy!$F$11=$A$3,Main!$B$43=A41),Weight!V38,I41)</f>
        <v>46.900834943559417</v>
      </c>
      <c r="J41" s="72">
        <f ca="1">IF(AND(Energy!$F$11=$A$3,Main!$B$43=A41),Weight!I38,J41)</f>
        <v>23.490392428125002</v>
      </c>
      <c r="K41" s="72">
        <f ca="1">IF(AND(Energy!$F$11=$A$3,Main!$B$43=A41),Weight!W38,K41)</f>
        <v>61.900834943559417</v>
      </c>
      <c r="L41" s="72">
        <f ca="1">IF(AND(Energy!$F$11=$A$3,Main!$B$43=A41),'Aerodynamics-Cruise'!BI38,L41)</f>
        <v>61.900834943559403</v>
      </c>
      <c r="M41" s="72">
        <f ca="1">IF(AND(Energy!$F$11=$A$3,Main!$B$43=A41),'Aerodynamics-Cruise'!BJ38,M41)</f>
        <v>2.9470224277260164</v>
      </c>
      <c r="N41" s="72">
        <f ca="1">IF(AND(Energy!$F$11=$A$3,Main!$B$43=A41),'Aerodynamics-Cruise'!BK38,N41)</f>
        <v>21.004534733494843</v>
      </c>
      <c r="O41" s="72">
        <f t="shared" ca="1" si="3"/>
        <v>165.25755366151594</v>
      </c>
      <c r="P41" s="72">
        <f ca="1">IF(AND(Energy!$F$11=$A$3,Main!$B$43=A41),'Aerodynamics-Cruise'!H38,P41)</f>
        <v>8.7267287195880883</v>
      </c>
      <c r="Q41" s="72">
        <f ca="1">IF(AND(Energy!$F$11=$A$3,Main!$B$43=A41),'Aerodynamics-Cruise'!I38,Q41)</f>
        <v>7.4827706002341774</v>
      </c>
      <c r="R41" s="72">
        <f ca="1">IF(AND(Energy!$F$11=$A$3,Main!$B$43=$A41),Summary!R38,R41)</f>
        <v>4.8918176480880691</v>
      </c>
      <c r="S41" s="72">
        <f ca="1">IF(AND(Energy!$F$11=$A$3,Main!$B$43=A41),'Aerodynamics-Cruise'!W38,S41)</f>
        <v>1</v>
      </c>
      <c r="T41" s="72">
        <f ca="1">IF(AND(Energy!$F$11=$A$3,Main!$B$43=A41),'Aerodynamics-Cruise'!BL38,T41)</f>
        <v>25.717865257306837</v>
      </c>
      <c r="U41" s="72">
        <f ca="1">IF(AND(Energy!$F$11=$A$3,Main!$B$43=A41),'Propulsion-Cruise'!M38,U41)</f>
        <v>55.684160323915108</v>
      </c>
      <c r="V41" s="72">
        <f ca="1">IF(AND(Energy!$F$11=$A$3,Main!$B$43=A41),Endurance!AP38,V41)</f>
        <v>533.17288452175046</v>
      </c>
      <c r="W41" s="72">
        <f ca="1">IF(AND(Energy!$F$11=$A$3,Main!$B$43=$A41),Summary!W38,W41)</f>
        <v>1.4853801169590646</v>
      </c>
      <c r="X41" s="13">
        <f ca="1">IF(AND(Energy!$F$11=$A$3,Main!$B$43=A41),Energy!D38,X41)</f>
        <v>1182.0301388888888</v>
      </c>
      <c r="Y41" s="126">
        <f ca="1">IF(AND(Energy!$F$11=$A$3,Main!$B$43=A41),'Aerodynamics-Cruise'!V38,Y41)</f>
        <v>122994.08875169595</v>
      </c>
      <c r="Z41" s="126">
        <f ca="1">IF(AND(Energy!$F$11=$A$3,Main!$B$43=$A41),Summary!Z38,Z41)</f>
        <v>93383.76735616212</v>
      </c>
      <c r="AA41" s="126">
        <f ca="1">IF(AND(Energy!$F$11=$A$3,Main!$B$43=$A41),Summary!AA38,AA41)</f>
        <v>93383.76735616212</v>
      </c>
      <c r="AB41" s="72">
        <f ca="1">IF(AND(Energy!$F$11=$A$3,Main!$B$43=$A41),Summary!AB38,AB41)</f>
        <v>4.8918176480880691</v>
      </c>
      <c r="AC41" s="72">
        <f ca="1">IF(AND(Energy!$F$11=$A$3,Main!$B$43=$A41),Summary!AC38,AC41)</f>
        <v>2.2588796878228097</v>
      </c>
      <c r="AD41" s="72">
        <f ca="1">IF(AND(Energy!$F$11=$A$3,Main!$B$43=$A41),Summary!AD38,AD41)</f>
        <v>0.40933015873576956</v>
      </c>
      <c r="AE41" s="72">
        <f ca="1">IF(AND(Energy!$F$11=$A$3,Main!$B$43=$A41),Summary!AE38,AE41)</f>
        <v>1.4853801169590646</v>
      </c>
      <c r="AF41" s="72">
        <f ca="1">IF(AND(Energy!$F$11=$A$3,Main!$B$43=$A41),Summary!AF38,AF41)</f>
        <v>30.078947368421055</v>
      </c>
      <c r="AG41" s="72">
        <f ca="1">IF(AND(Energy!$F$11=$A$3,Main!$B$43=$A41),Summary!AG38,AG41)</f>
        <v>11.458229082810689</v>
      </c>
      <c r="AH41" s="72">
        <f ca="1">IF(AND(Energy!$F$11=$A$3,Main!$B$43=$A41),Summary!AH38,AH41)</f>
        <v>47</v>
      </c>
      <c r="AI41" s="72">
        <f ca="1">IF(AND(Energy!$F$11=$A$3,Main!$B$43=$A41),Summary!AI38,AI41)</f>
        <v>2.6658404913271561</v>
      </c>
      <c r="AJ41" s="72">
        <f ca="1">IF(AND(Energy!$F$11=$A$3,Main!$B$43=$A41),Summary!AJ38,AJ41)</f>
        <v>0.26077459388326607</v>
      </c>
      <c r="AK41" s="72">
        <f ca="1">IF(AND(Energy!$F$11=$A$3,Main!$B$43=$A41),Summary!AK38,AK41)</f>
        <v>0.01</v>
      </c>
      <c r="AL41" s="72">
        <f ca="1">IF(AND(Energy!$F$11=$A$3,Main!$B$43=$A41),Summary!AL38,AL41)</f>
        <v>-0.47928113608187217</v>
      </c>
      <c r="AM41" s="72">
        <f ca="1">IF(AND(Energy!$F$11=$A$3,Main!$B$43=$A41),Summary!AJ58,AM41)</f>
        <v>0</v>
      </c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</row>
    <row r="42" spans="1:55">
      <c r="A42">
        <f t="shared" si="2"/>
        <v>2</v>
      </c>
      <c r="B42" s="58"/>
      <c r="C42" s="58"/>
      <c r="D42" s="1">
        <f ca="1">IF(AND(Energy!$F$11=$A$3,Main!$B$43=A42),Main!C39,D42)</f>
        <v>6.8421052631578956</v>
      </c>
      <c r="E42" s="72">
        <f ca="1">IF(AND(Energy!$F$11=$A$3,Main!$B$43=A42),Main!B39,E42)</f>
        <v>0.22222222222222224</v>
      </c>
      <c r="F42" s="72">
        <f ca="1">IF(Main!$D$6=1,U42,IF(Main!$D$6=2,N42,IF(Main!$D$6=3,K42,IF(Main!$D$6=4,V42,J42))))</f>
        <v>535.58951888884212</v>
      </c>
      <c r="G42" s="72">
        <f ca="1">IF(AND(Energy!$F$11=$A$3,Main!$B$43=A42),Weight!H39,G42)</f>
        <v>15</v>
      </c>
      <c r="H42" s="72">
        <f ca="1">IF(AND(Energy!$F$11=$A$3,Main!$B$43=A42),Weight!U39,H42)</f>
        <v>18.969933365106002</v>
      </c>
      <c r="I42" s="72">
        <f ca="1">IF(AND(Energy!$F$11=$A$3,Main!$B$43=A42),Weight!V39,I42)</f>
        <v>47.397974068231008</v>
      </c>
      <c r="J42" s="72">
        <f ca="1">IF(AND(Energy!$F$11=$A$3,Main!$B$43=A42),Weight!I39,J42)</f>
        <v>23.490392428125002</v>
      </c>
      <c r="K42" s="72">
        <f ca="1">IF(AND(Energy!$F$11=$A$3,Main!$B$43=A42),Weight!W39,K42)</f>
        <v>62.397974068231008</v>
      </c>
      <c r="L42" s="72">
        <f ca="1">IF(AND(Energy!$F$11=$A$3,Main!$B$43=A42),'Aerodynamics-Cruise'!BI39,L42)</f>
        <v>62.397974068231022</v>
      </c>
      <c r="M42" s="72">
        <f ca="1">IF(AND(Energy!$F$11=$A$3,Main!$B$43=A42),'Aerodynamics-Cruise'!BJ39,M42)</f>
        <v>2.9712251558516636</v>
      </c>
      <c r="N42" s="72">
        <f ca="1">IF(AND(Energy!$F$11=$A$3,Main!$B$43=A42),'Aerodynamics-Cruise'!BK39,N42)</f>
        <v>21.000755848253931</v>
      </c>
      <c r="O42" s="72">
        <f t="shared" ca="1" si="3"/>
        <v>165.88998602244712</v>
      </c>
      <c r="P42" s="72">
        <f ca="1">IF(AND(Energy!$F$11=$A$3,Main!$B$43=A42),'Aerodynamics-Cruise'!H39,P42)</f>
        <v>8.660003903830308</v>
      </c>
      <c r="Q42" s="72">
        <f ca="1">IF(AND(Energy!$F$11=$A$3,Main!$B$43=A42),'Aerodynamics-Cruise'!I39,Q42)</f>
        <v>7.4278810123440735</v>
      </c>
      <c r="R42" s="72">
        <f ca="1">IF(AND(Energy!$F$11=$A$3,Main!$B$43=$A42),Summary!R39,R42)</f>
        <v>4.8589836925045677</v>
      </c>
      <c r="S42" s="72">
        <f ca="1">IF(AND(Energy!$F$11=$A$3,Main!$B$43=A42),'Aerodynamics-Cruise'!W39,S42)</f>
        <v>1</v>
      </c>
      <c r="T42" s="72">
        <f ca="1">IF(AND(Energy!$F$11=$A$3,Main!$B$43=A42),'Aerodynamics-Cruise'!BL39,T42)</f>
        <v>25.730821448834224</v>
      </c>
      <c r="U42" s="72">
        <f ca="1">IF(AND(Energy!$F$11=$A$3,Main!$B$43=A42),'Propulsion-Cruise'!M39,U42)</f>
        <v>55.846326386439053</v>
      </c>
      <c r="V42" s="72">
        <f ca="1">IF(AND(Energy!$F$11=$A$3,Main!$B$43=A42),Endurance!AP39,V42)</f>
        <v>535.58951888884212</v>
      </c>
      <c r="W42" s="72">
        <f ca="1">IF(AND(Energy!$F$11=$A$3,Main!$B$43=$A42),Summary!W39,W42)</f>
        <v>1.5204678362573103</v>
      </c>
      <c r="X42" s="13">
        <f ca="1">IF(AND(Energy!$F$11=$A$3,Main!$B$43=A42),Energy!D39,X42)</f>
        <v>1182.0301388888888</v>
      </c>
      <c r="Y42" s="126">
        <f ca="1">IF(AND(Energy!$F$11=$A$3,Main!$B$43=A42),'Aerodynamics-Cruise'!V39,Y42)</f>
        <v>122053.67245425427</v>
      </c>
      <c r="Z42" s="126">
        <f ca="1">IF(AND(Energy!$F$11=$A$3,Main!$B$43=$A42),Summary!Z39,Z42)</f>
        <v>92697.622505020641</v>
      </c>
      <c r="AA42" s="126">
        <f ca="1">IF(AND(Energy!$F$11=$A$3,Main!$B$43=$A42),Summary!AA39,AA42)</f>
        <v>92697.622505020641</v>
      </c>
      <c r="AB42" s="72">
        <f ca="1">IF(AND(Energy!$F$11=$A$3,Main!$B$43=$A42),Summary!AB39,AB42)</f>
        <v>4.8589836925045677</v>
      </c>
      <c r="AC42" s="72">
        <f ca="1">IF(AND(Energy!$F$11=$A$3,Main!$B$43=$A42),Summary!AC39,AC42)</f>
        <v>2.2244650527762522</v>
      </c>
      <c r="AD42" s="72">
        <f ca="1">IF(AND(Energy!$F$11=$A$3,Main!$B$43=$A42),Summary!AD39,AD42)</f>
        <v>0.40874383791666341</v>
      </c>
      <c r="AE42" s="72">
        <f ca="1">IF(AND(Energy!$F$11=$A$3,Main!$B$43=$A42),Summary!AE39,AE42)</f>
        <v>1.5204678362573103</v>
      </c>
      <c r="AF42" s="72">
        <f ca="1">IF(AND(Energy!$F$11=$A$3,Main!$B$43=$A42),Summary!AF39,AF42)</f>
        <v>30.789473684210527</v>
      </c>
      <c r="AG42" s="72">
        <f ca="1">IF(AND(Energy!$F$11=$A$3,Main!$B$43=$A42),Summary!AG39,AG42)</f>
        <v>11.490980715197569</v>
      </c>
      <c r="AH42" s="72">
        <f ca="1">IF(AND(Energy!$F$11=$A$3,Main!$B$43=$A42),Summary!AH39,AH42)</f>
        <v>47</v>
      </c>
      <c r="AI42" s="72">
        <f ca="1">IF(AND(Energy!$F$11=$A$3,Main!$B$43=$A42),Summary!AI39,AI42)</f>
        <v>2.6641726811971473</v>
      </c>
      <c r="AJ42" s="72">
        <f ca="1">IF(AND(Energy!$F$11=$A$3,Main!$B$43=$A42),Summary!AJ39,AJ42)</f>
        <v>0.26129353377856729</v>
      </c>
      <c r="AK42" s="72">
        <f ca="1">IF(AND(Energy!$F$11=$A$3,Main!$B$43=$A42),Summary!AK39,AK42)</f>
        <v>0.01</v>
      </c>
      <c r="AL42" s="72">
        <f ca="1">IF(AND(Energy!$F$11=$A$3,Main!$B$43=$A42),Summary!AL39,AL42)</f>
        <v>-0.47832935150751915</v>
      </c>
      <c r="AM42" s="72">
        <f ca="1">IF(AND(Energy!$F$11=$A$3,Main!$B$43=$A42),Summary!AJ59,AM42)</f>
        <v>0</v>
      </c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</row>
    <row r="43" spans="1:55">
      <c r="A43">
        <f t="shared" si="2"/>
        <v>2</v>
      </c>
      <c r="D43" s="1">
        <f ca="1">IF(AND(Energy!$F$11=$A$3,Main!$B$43=A43),Main!C40,D43)</f>
        <v>7</v>
      </c>
      <c r="E43" s="72">
        <f ca="1">IF(AND(Energy!$F$11=$A$3,Main!$B$43=A43),Main!B40,E43)</f>
        <v>0.22222222222222224</v>
      </c>
      <c r="F43" s="72">
        <f ca="1">IF(Main!$D$6=1,U43,IF(Main!$D$6=2,N43,IF(Main!$D$6=3,K43,IF(Main!$D$6=4,V43,J43))))</f>
        <v>538.22216184315016</v>
      </c>
      <c r="G43" s="72">
        <f ca="1">IF(AND(Energy!$F$11=$A$3,Main!$B$43=A43),Weight!H40,G43)</f>
        <v>15</v>
      </c>
      <c r="H43" s="72">
        <f ca="1">IF(AND(Energy!$F$11=$A$3,Main!$B$43=A43),Weight!U40,H43)</f>
        <v>19.474970457537054</v>
      </c>
      <c r="I43" s="72">
        <f ca="1">IF(AND(Energy!$F$11=$A$3,Main!$B$43=A43),Weight!V40,I43)</f>
        <v>47.903011160662061</v>
      </c>
      <c r="J43" s="72">
        <f ca="1">IF(AND(Energy!$F$11=$A$3,Main!$B$43=A43),Weight!I40,J43)</f>
        <v>23.490392428125002</v>
      </c>
      <c r="K43" s="72">
        <f ca="1">IF(AND(Energy!$F$11=$A$3,Main!$B$43=A43),Weight!W40,K43)</f>
        <v>62.903011160662061</v>
      </c>
      <c r="L43" s="72">
        <f ca="1">IF(AND(Energy!$F$11=$A$3,Main!$B$43=A43),'Aerodynamics-Cruise'!BI40,L43)</f>
        <v>62.903011160662075</v>
      </c>
      <c r="M43" s="72">
        <f ca="1">IF(AND(Energy!$F$11=$A$3,Main!$B$43=A43),'Aerodynamics-Cruise'!BJ40,M43)</f>
        <v>2.9960799342413873</v>
      </c>
      <c r="N43" s="72">
        <f ca="1">IF(AND(Energy!$F$11=$A$3,Main!$B$43=A43),'Aerodynamics-Cruise'!BK40,N43)</f>
        <v>20.995104450238649</v>
      </c>
      <c r="O43" s="72">
        <f t="shared" ca="1" si="3"/>
        <v>166.5151517037342</v>
      </c>
      <c r="P43" s="72">
        <f ca="1">IF(AND(Energy!$F$11=$A$3,Main!$B$43=A43),'Aerodynamics-Cruise'!H40,P43)</f>
        <v>8.5963460715273126</v>
      </c>
      <c r="Q43" s="72">
        <f ca="1">IF(AND(Energy!$F$11=$A$3,Main!$B$43=A43),'Aerodynamics-Cruise'!I40,Q43)</f>
        <v>7.3754980647937129</v>
      </c>
      <c r="R43" s="72">
        <f ca="1">IF(AND(Energy!$F$11=$A$3,Main!$B$43=$A43),Summary!R40,R43)</f>
        <v>4.82955785425212</v>
      </c>
      <c r="S43" s="72">
        <f ca="1">IF(AND(Energy!$F$11=$A$3,Main!$B$43=A43),'Aerodynamics-Cruise'!W40,S43)</f>
        <v>1</v>
      </c>
      <c r="T43" s="72">
        <f ca="1">IF(AND(Energy!$F$11=$A$3,Main!$B$43=A43),'Aerodynamics-Cruise'!BL40,T43)</f>
        <v>25.755339972697758</v>
      </c>
      <c r="U43" s="72">
        <f ca="1">IF(AND(Energy!$F$11=$A$3,Main!$B$43=A43),'Propulsion-Cruise'!M40,U43)</f>
        <v>56.032135870198317</v>
      </c>
      <c r="V43" s="72">
        <f ca="1">IF(AND(Energy!$F$11=$A$3,Main!$B$43=A43),Endurance!AP40,V43)</f>
        <v>538.22216184315016</v>
      </c>
      <c r="W43" s="72">
        <f ca="1">IF(AND(Energy!$F$11=$A$3,Main!$B$43=$A43),Summary!W40,W43)</f>
        <v>1.5555555555555556</v>
      </c>
      <c r="X43" s="13">
        <f ca="1">IF(AND(Energy!$F$11=$A$3,Main!$B$43=A43),Energy!D40,X43)</f>
        <v>1182.0301388888888</v>
      </c>
      <c r="Y43" s="126">
        <f ca="1">IF(AND(Energy!$F$11=$A$3,Main!$B$43=A43),'Aerodynamics-Cruise'!V40,Y43)</f>
        <v>121156.48207197037</v>
      </c>
      <c r="Z43" s="126">
        <f ca="1">IF(AND(Energy!$F$11=$A$3,Main!$B$43=$A43),Summary!Z40,Z43)</f>
        <v>92042.819775975062</v>
      </c>
      <c r="AA43" s="126">
        <f ca="1">IF(AND(Energy!$F$11=$A$3,Main!$B$43=$A43),Summary!AA40,AA43)</f>
        <v>92042.819775975062</v>
      </c>
      <c r="AB43" s="72">
        <f ca="1">IF(AND(Energy!$F$11=$A$3,Main!$B$43=$A43),Summary!AB40,AB43)</f>
        <v>4.82955785425212</v>
      </c>
      <c r="AC43" s="72">
        <f ca="1">IF(AND(Energy!$F$11=$A$3,Main!$B$43=$A43),Summary!AC40,AC43)</f>
        <v>2.1908181699665685</v>
      </c>
      <c r="AD43" s="72">
        <f ca="1">IF(AND(Energy!$F$11=$A$3,Main!$B$43=$A43),Summary!AD40,AD43)</f>
        <v>0.4082539802013872</v>
      </c>
      <c r="AE43" s="72">
        <f ca="1">IF(AND(Energy!$F$11=$A$3,Main!$B$43=$A43),Summary!AE40,AE43)</f>
        <v>1.5555555555555556</v>
      </c>
      <c r="AF43" s="72">
        <f ca="1">IF(AND(Energy!$F$11=$A$3,Main!$B$43=$A43),Summary!AF40,AF43)</f>
        <v>31.5</v>
      </c>
      <c r="AG43" s="72">
        <f ca="1">IF(AND(Energy!$F$11=$A$3,Main!$B$43=$A43),Summary!AG40,AG43)</f>
        <v>11.526229286884723</v>
      </c>
      <c r="AH43" s="72">
        <f ca="1">IF(AND(Energy!$F$11=$A$3,Main!$B$43=$A43),Summary!AH40,AH43)</f>
        <v>47</v>
      </c>
      <c r="AI43" s="72">
        <f ca="1">IF(AND(Energy!$F$11=$A$3,Main!$B$43=$A43),Summary!AI40,AI43)</f>
        <v>2.6625706877525768</v>
      </c>
      <c r="AJ43" s="72">
        <f ca="1">IF(AND(Energy!$F$11=$A$3,Main!$B$43=$A43),Summary!AJ40,AJ43)</f>
        <v>0.26179127688962434</v>
      </c>
      <c r="AK43" s="72">
        <f ca="1">IF(AND(Energy!$F$11=$A$3,Main!$B$43=$A43),Summary!AK40,AK43)</f>
        <v>0.01</v>
      </c>
      <c r="AL43" s="72">
        <f ca="1">IF(AND(Energy!$F$11=$A$3,Main!$B$43=$A43),Summary!AL40,AL43)</f>
        <v>-0.47741999323970158</v>
      </c>
      <c r="AM43" s="72">
        <f ca="1">IF(AND(Energy!$F$11=$A$3,Main!$B$43=$A43),Summary!AJ60,AM43)</f>
        <v>0</v>
      </c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</row>
    <row r="44" spans="1:55">
      <c r="A44" s="7">
        <f>A24+1</f>
        <v>3</v>
      </c>
      <c r="B44" s="58"/>
      <c r="C44" s="58"/>
      <c r="D44" s="1">
        <f ca="1">IF(AND(Energy!$F$11=$A$3,Main!$B$43=A44),Main!C21,D44)</f>
        <v>4</v>
      </c>
      <c r="E44" s="72">
        <f ca="1">IF(AND(Energy!$F$11=$A$3,Main!$B$43=A44),Main!B21,E44)</f>
        <v>0.24444444444444446</v>
      </c>
      <c r="F44" s="72">
        <f ca="1">IF(Main!$D$6=1,U44,IF(Main!$D$6=2,N44,IF(Main!$D$6=3,K44,IF(Main!$D$6=4,V44,J44))))</f>
        <v>540.81347408685042</v>
      </c>
      <c r="G44" s="72">
        <f ca="1">IF(AND(Energy!$F$11=$A$3,Main!$B$43=A44),Weight!H21,G44)</f>
        <v>15</v>
      </c>
      <c r="H44" s="72">
        <f ca="1">IF(AND(Energy!$F$11=$A$3,Main!$B$43=A44),Weight!U21,H44)</f>
        <v>11.950356568552984</v>
      </c>
      <c r="I44" s="72">
        <f ca="1">IF(AND(Energy!$F$11=$A$3,Main!$B$43=A44),Weight!V21,I44)</f>
        <v>40.378397271677983</v>
      </c>
      <c r="J44" s="72">
        <f ca="1">IF(AND(Energy!$F$11=$A$3,Main!$B$43=A44),Weight!I21,J44)</f>
        <v>23.490392428125002</v>
      </c>
      <c r="K44" s="72">
        <f ca="1">IF(AND(Energy!$F$11=$A$3,Main!$B$43=A44),Weight!W21,K44)</f>
        <v>55.37839727167799</v>
      </c>
      <c r="L44" s="72">
        <f ca="1">IF(AND(Energy!$F$11=$A$3,Main!$B$43=A44),'Aerodynamics-Cruise'!BI21,L44)</f>
        <v>55.378397271677983</v>
      </c>
      <c r="M44" s="72">
        <f ca="1">IF(AND(Energy!$F$11=$A$3,Main!$B$43=A44),'Aerodynamics-Cruise'!BJ21,M44)</f>
        <v>2.7465405925181541</v>
      </c>
      <c r="N44" s="72">
        <f ca="1">IF(AND(Energy!$F$11=$A$3,Main!$B$43=A44),'Aerodynamics-Cruise'!BK21,N44)</f>
        <v>20.162963337419505</v>
      </c>
      <c r="O44" s="72">
        <f t="shared" ca="1" si="3"/>
        <v>150.04604470999405</v>
      </c>
      <c r="P44" s="72">
        <f ca="1">IF(AND(Energy!$F$11=$A$3,Main!$B$43=A44),'Aerodynamics-Cruise'!H21,P44)</f>
        <v>10.182213275124466</v>
      </c>
      <c r="Q44" s="72">
        <f ca="1">IF(AND(Energy!$F$11=$A$3,Main!$B$43=A44),'Aerodynamics-Cruise'!I21,Q44)</f>
        <v>8.6354079342795238</v>
      </c>
      <c r="R44" s="72">
        <f ca="1">IF(AND(Energy!$F$11=$A$3,Main!$B$43=$A44),Summary!R21,R44)</f>
        <v>5.8492674544886505</v>
      </c>
      <c r="S44" s="72">
        <f ca="1">IF(AND(Energy!$F$11=$A$3,Main!$B$43=A44),'Aerodynamics-Cruise'!W21,S44)</f>
        <v>1</v>
      </c>
      <c r="T44" s="72">
        <f ca="1">IF(AND(Energy!$F$11=$A$3,Main!$B$43=A44),'Aerodynamics-Cruise'!BL21,T44)</f>
        <v>27.965862081806566</v>
      </c>
      <c r="U44" s="72">
        <f ca="1">IF(AND(Energy!$F$11=$A$3,Main!$B$43=A44),'Propulsion-Cruise'!M21,U44)</f>
        <v>58.135318322882824</v>
      </c>
      <c r="V44" s="72">
        <f ca="1">IF(AND(Energy!$F$11=$A$3,Main!$B$43=A44),Endurance!AP21,V44)</f>
        <v>540.81347408685042</v>
      </c>
      <c r="W44" s="72">
        <f ca="1">IF(AND(Energy!$F$11=$A$3,Main!$B$43=$A44),Summary!W21,W44)</f>
        <v>0.97777777777777786</v>
      </c>
      <c r="X44" s="13">
        <f ca="1">IF(AND(Energy!$F$11=$A$3,Main!$B$43=A44),Energy!D21,X44)</f>
        <v>1182.0301388888888</v>
      </c>
      <c r="Y44" s="126">
        <f ca="1">IF(AND(Energy!$F$11=$A$3,Main!$B$43=A44),'Aerodynamics-Cruise'!V21,Y44)</f>
        <v>157858.37876249632</v>
      </c>
      <c r="Z44" s="126">
        <f ca="1">IF(AND(Energy!$F$11=$A$3,Main!$B$43=$A44),Summary!Z21,Z44)</f>
        <v>118596.15654819527</v>
      </c>
      <c r="AA44" s="126">
        <f ca="1">IF(AND(Energy!$F$11=$A$3,Main!$B$43=$A44),Summary!AA21,AA44)</f>
        <v>118596.15654819527</v>
      </c>
      <c r="AB44" s="72">
        <f ca="1">IF(AND(Energy!$F$11=$A$3,Main!$B$43=$A44),Summary!AB21,AB44)</f>
        <v>5.8492674544886505</v>
      </c>
      <c r="AC44" s="72">
        <f ca="1">IF(AND(Energy!$F$11=$A$3,Main!$B$43=$A44),Summary!AC21,AC44)</f>
        <v>2.862857013279791</v>
      </c>
      <c r="AD44" s="72">
        <f ca="1">IF(AND(Energy!$F$11=$A$3,Main!$B$43=$A44),Summary!AD21,AD44)</f>
        <v>0.44116749246287601</v>
      </c>
      <c r="AE44" s="72">
        <f ca="1">IF(AND(Energy!$F$11=$A$3,Main!$B$43=$A44),Summary!AE21,AE44)</f>
        <v>0.97777777777777786</v>
      </c>
      <c r="AF44" s="72">
        <f ca="1">IF(AND(Energy!$F$11=$A$3,Main!$B$43=$A44),Summary!AF21,AF44)</f>
        <v>16.363636363636363</v>
      </c>
      <c r="AG44" s="72">
        <f ca="1">IF(AND(Energy!$F$11=$A$3,Main!$B$43=$A44),Summary!AG21,AG44)</f>
        <v>11.517189022025924</v>
      </c>
      <c r="AH44" s="72">
        <f ca="1">IF(AND(Energy!$F$11=$A$3,Main!$B$43=$A44),Summary!AH21,AH44)</f>
        <v>47</v>
      </c>
      <c r="AI44" s="72">
        <f ca="1">IF(AND(Energy!$F$11=$A$3,Main!$B$43=$A44),Summary!AI21,AI44)</f>
        <v>2.725051621127478</v>
      </c>
      <c r="AJ44" s="72">
        <f ca="1">IF(AND(Energy!$F$11=$A$3,Main!$B$43=$A44),Summary!AJ21,AJ44)</f>
        <v>0.22879865992208615</v>
      </c>
      <c r="AK44" s="72">
        <f ca="1">IF(AND(Energy!$F$11=$A$3,Main!$B$43=$A44),Summary!AK21,AK44)</f>
        <v>0.01</v>
      </c>
      <c r="AL44" s="72">
        <f ca="1">IF(AND(Energy!$F$11=$A$3,Main!$B$43=$A44),Summary!AL21,AL44)</f>
        <v>-0.54623919376757724</v>
      </c>
      <c r="AM44" s="72">
        <f ca="1">IF(AND(Energy!$F$11=$A$3,Main!$B$43=$A44),Summary!AJ61,AM44)</f>
        <v>0</v>
      </c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</row>
    <row r="45" spans="1:55">
      <c r="A45">
        <f t="shared" ref="A45:A63" si="4">A44</f>
        <v>3</v>
      </c>
      <c r="B45" s="58"/>
      <c r="C45" s="58"/>
      <c r="D45" s="1">
        <f ca="1">IF(AND(Energy!$F$11=$A$3,Main!$B$43=A45),Main!C22,D45)</f>
        <v>4.1578947368421053</v>
      </c>
      <c r="E45" s="72">
        <f ca="1">IF(AND(Energy!$F$11=$A$3,Main!$B$43=A45),Main!B22,E45)</f>
        <v>0.24444444444444446</v>
      </c>
      <c r="F45" s="72">
        <f ca="1">IF(Main!$D$6=1,U45,IF(Main!$D$6=2,N45,IF(Main!$D$6=3,K45,IF(Main!$D$6=4,V45,J45))))</f>
        <v>535.37581156772922</v>
      </c>
      <c r="G45" s="72">
        <f ca="1">IF(AND(Energy!$F$11=$A$3,Main!$B$43=A45),Weight!H22,G45)</f>
        <v>15</v>
      </c>
      <c r="H45" s="72">
        <f ca="1">IF(AND(Energy!$F$11=$A$3,Main!$B$43=A45),Weight!U22,H45)</f>
        <v>12.35607134542834</v>
      </c>
      <c r="I45" s="72">
        <f ca="1">IF(AND(Energy!$F$11=$A$3,Main!$B$43=A45),Weight!V22,I45)</f>
        <v>40.784112048553339</v>
      </c>
      <c r="J45" s="72">
        <f ca="1">IF(AND(Energy!$F$11=$A$3,Main!$B$43=A45),Weight!I22,J45)</f>
        <v>23.490392428125002</v>
      </c>
      <c r="K45" s="72">
        <f ca="1">IF(AND(Energy!$F$11=$A$3,Main!$B$43=A45),Weight!W22,K45)</f>
        <v>55.784112048553347</v>
      </c>
      <c r="L45" s="72">
        <f ca="1">IF(AND(Energy!$F$11=$A$3,Main!$B$43=A45),'Aerodynamics-Cruise'!BI22,L45)</f>
        <v>55.784112048553361</v>
      </c>
      <c r="M45" s="72">
        <f ca="1">IF(AND(Energy!$F$11=$A$3,Main!$B$43=A45),'Aerodynamics-Cruise'!BJ22,M45)</f>
        <v>2.7442293283916857</v>
      </c>
      <c r="N45" s="72">
        <f ca="1">IF(AND(Energy!$F$11=$A$3,Main!$B$43=A45),'Aerodynamics-Cruise'!BK22,N45)</f>
        <v>20.327788013710514</v>
      </c>
      <c r="O45" s="72">
        <f t="shared" ca="1" si="3"/>
        <v>151.82573258091836</v>
      </c>
      <c r="P45" s="72">
        <f ca="1">IF(AND(Energy!$F$11=$A$3,Main!$B$43=A45),'Aerodynamics-Cruise'!H22,P45)</f>
        <v>10.023453938910803</v>
      </c>
      <c r="Q45" s="72">
        <f ca="1">IF(AND(Energy!$F$11=$A$3,Main!$B$43=A45),'Aerodynamics-Cruise'!I22,Q45)</f>
        <v>8.5062522598804069</v>
      </c>
      <c r="R45" s="72">
        <f ca="1">IF(AND(Energy!$F$11=$A$3,Main!$B$43=$A45),Summary!R22,R45)</f>
        <v>5.7119065795071746</v>
      </c>
      <c r="S45" s="72">
        <f ca="1">IF(AND(Energy!$F$11=$A$3,Main!$B$43=A45),'Aerodynamics-Cruise'!W22,S45)</f>
        <v>1</v>
      </c>
      <c r="T45" s="72">
        <f ca="1">IF(AND(Energy!$F$11=$A$3,Main!$B$43=A45),'Aerodynamics-Cruise'!BL22,T45)</f>
        <v>27.506656270942191</v>
      </c>
      <c r="U45" s="72">
        <f ca="1">IF(AND(Energy!$F$11=$A$3,Main!$B$43=A45),'Propulsion-Cruise'!M22,U45)</f>
        <v>57.399237257010562</v>
      </c>
      <c r="V45" s="72">
        <f ca="1">IF(AND(Energy!$F$11=$A$3,Main!$B$43=A45),Endurance!AP22,V45)</f>
        <v>535.37581156772922</v>
      </c>
      <c r="W45" s="72">
        <f ca="1">IF(AND(Energy!$F$11=$A$3,Main!$B$43=$A45),Summary!W22,W45)</f>
        <v>1.0163742690058482</v>
      </c>
      <c r="X45" s="13">
        <f ca="1">IF(AND(Energy!$F$11=$A$3,Main!$B$43=A45),Energy!D22,X45)</f>
        <v>1182.0301388888888</v>
      </c>
      <c r="Y45" s="126">
        <f ca="1">IF(AND(Energy!$F$11=$A$3,Main!$B$43=A45),'Aerodynamics-Cruise'!V22,Y45)</f>
        <v>155397.07779079842</v>
      </c>
      <c r="Z45" s="126">
        <f ca="1">IF(AND(Energy!$F$11=$A$3,Main!$B$43=$A45),Summary!Z22,Z45)</f>
        <v>116819.42996418058</v>
      </c>
      <c r="AA45" s="126">
        <f ca="1">IF(AND(Energy!$F$11=$A$3,Main!$B$43=$A45),Summary!AA22,AA45)</f>
        <v>116819.42996418058</v>
      </c>
      <c r="AB45" s="72">
        <f ca="1">IF(AND(Energy!$F$11=$A$3,Main!$B$43=$A45),Summary!AB22,AB45)</f>
        <v>5.7119065795071746</v>
      </c>
      <c r="AC45" s="72">
        <f ca="1">IF(AND(Energy!$F$11=$A$3,Main!$B$43=$A45),Summary!AC22,AC45)</f>
        <v>2.810707942481792</v>
      </c>
      <c r="AD45" s="72">
        <f ca="1">IF(AND(Energy!$F$11=$A$3,Main!$B$43=$A45),Summary!AD22,AD45)</f>
        <v>0.43731396916004822</v>
      </c>
      <c r="AE45" s="72">
        <f ca="1">IF(AND(Energy!$F$11=$A$3,Main!$B$43=$A45),Summary!AE22,AE45)</f>
        <v>1.0163742690058482</v>
      </c>
      <c r="AF45" s="72">
        <f ca="1">IF(AND(Energy!$F$11=$A$3,Main!$B$43=$A45),Summary!AF22,AF45)</f>
        <v>17.009569377990427</v>
      </c>
      <c r="AG45" s="72">
        <f ca="1">IF(AND(Energy!$F$11=$A$3,Main!$B$43=$A45),Summary!AG22,AG45)</f>
        <v>11.450859315695016</v>
      </c>
      <c r="AH45" s="72">
        <f ca="1">IF(AND(Energy!$F$11=$A$3,Main!$B$43=$A45),Summary!AH22,AH45)</f>
        <v>47</v>
      </c>
      <c r="AI45" s="72">
        <f ca="1">IF(AND(Energy!$F$11=$A$3,Main!$B$43=$A45),Summary!AI22,AI45)</f>
        <v>2.7215376920916983</v>
      </c>
      <c r="AJ45" s="72">
        <f ca="1">IF(AND(Energy!$F$11=$A$3,Main!$B$43=$A45),Summary!AJ22,AJ45)</f>
        <v>0.22986942544347663</v>
      </c>
      <c r="AK45" s="72">
        <f ca="1">IF(AND(Energy!$F$11=$A$3,Main!$B$43=$A45),Summary!AK22,AK45)</f>
        <v>0.01</v>
      </c>
      <c r="AL45" s="72">
        <f ca="1">IF(AND(Energy!$F$11=$A$3,Main!$B$43=$A45),Summary!AL22,AL45)</f>
        <v>-0.54369502825034366</v>
      </c>
      <c r="AM45" s="72">
        <f ca="1">IF(AND(Energy!$F$11=$A$3,Main!$B$43=$A45),Summary!AJ62,AM45)</f>
        <v>0</v>
      </c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</row>
    <row r="46" spans="1:55">
      <c r="A46">
        <f t="shared" si="4"/>
        <v>3</v>
      </c>
      <c r="B46" s="58"/>
      <c r="C46" s="58"/>
      <c r="D46" s="1">
        <f ca="1">IF(AND(Energy!$F$11=$A$3,Main!$B$43=A46),Main!C23,D46)</f>
        <v>4.3157894736842106</v>
      </c>
      <c r="E46" s="72">
        <f ca="1">IF(AND(Energy!$F$11=$A$3,Main!$B$43=A46),Main!B23,E46)</f>
        <v>0.24444444444444446</v>
      </c>
      <c r="F46" s="72">
        <f ca="1">IF(Main!$D$6=1,U46,IF(Main!$D$6=2,N46,IF(Main!$D$6=3,K46,IF(Main!$D$6=4,V46,J46))))</f>
        <v>530.84154219093909</v>
      </c>
      <c r="G46" s="72">
        <f ca="1">IF(AND(Energy!$F$11=$A$3,Main!$B$43=A46),Weight!H23,G46)</f>
        <v>15</v>
      </c>
      <c r="H46" s="72">
        <f ca="1">IF(AND(Energy!$F$11=$A$3,Main!$B$43=A46),Weight!U23,H46)</f>
        <v>12.770271667643755</v>
      </c>
      <c r="I46" s="72">
        <f ca="1">IF(AND(Energy!$F$11=$A$3,Main!$B$43=A46),Weight!V23,I46)</f>
        <v>41.198312370768761</v>
      </c>
      <c r="J46" s="72">
        <f ca="1">IF(AND(Energy!$F$11=$A$3,Main!$B$43=A46),Weight!I23,J46)</f>
        <v>23.490392428125002</v>
      </c>
      <c r="K46" s="72">
        <f ca="1">IF(AND(Energy!$F$11=$A$3,Main!$B$43=A46),Weight!W23,K46)</f>
        <v>56.198312370768761</v>
      </c>
      <c r="L46" s="72">
        <f ca="1">IF(AND(Energy!$F$11=$A$3,Main!$B$43=A46),'Aerodynamics-Cruise'!BI23,L46)</f>
        <v>56.198312370768761</v>
      </c>
      <c r="M46" s="72">
        <f ca="1">IF(AND(Energy!$F$11=$A$3,Main!$B$43=A46),'Aerodynamics-Cruise'!BJ23,M46)</f>
        <v>2.7446900738741604</v>
      </c>
      <c r="N46" s="72">
        <f ca="1">IF(AND(Energy!$F$11=$A$3,Main!$B$43=A46),'Aerodynamics-Cruise'!BK23,N46)</f>
        <v>20.475285317531032</v>
      </c>
      <c r="O46" s="72">
        <f t="shared" ca="1" si="3"/>
        <v>153.49406906897281</v>
      </c>
      <c r="P46" s="72">
        <f ca="1">IF(AND(Energy!$F$11=$A$3,Main!$B$43=A46),'Aerodynamics-Cruise'!H23,P46)</f>
        <v>9.8747842644507369</v>
      </c>
      <c r="Q46" s="72">
        <f ca="1">IF(AND(Energy!$F$11=$A$3,Main!$B$43=A46),'Aerodynamics-Cruise'!I23,Q46)</f>
        <v>8.3852251696262332</v>
      </c>
      <c r="R46" s="72">
        <f ca="1">IF(AND(Energy!$F$11=$A$3,Main!$B$43=$A46),Summary!R23,R46)</f>
        <v>5.5871187685866976</v>
      </c>
      <c r="S46" s="72">
        <f ca="1">IF(AND(Energy!$F$11=$A$3,Main!$B$43=A46),'Aerodynamics-Cruise'!W23,S46)</f>
        <v>1</v>
      </c>
      <c r="T46" s="72">
        <f ca="1">IF(AND(Energy!$F$11=$A$3,Main!$B$43=A46),'Aerodynamics-Cruise'!BL23,T46)</f>
        <v>27.103222352286689</v>
      </c>
      <c r="U46" s="72">
        <f ca="1">IF(AND(Energy!$F$11=$A$3,Main!$B$43=A46),'Propulsion-Cruise'!M23,U46)</f>
        <v>56.766475115722656</v>
      </c>
      <c r="V46" s="72">
        <f ca="1">IF(AND(Energy!$F$11=$A$3,Main!$B$43=A46),Endurance!AP23,V46)</f>
        <v>530.84154219093909</v>
      </c>
      <c r="W46" s="72">
        <f ca="1">IF(AND(Energy!$F$11=$A$3,Main!$B$43=$A46),Summary!W23,W46)</f>
        <v>1.0549707602339182</v>
      </c>
      <c r="X46" s="13">
        <f ca="1">IF(AND(Energy!$F$11=$A$3,Main!$B$43=A46),Energy!D23,X46)</f>
        <v>1182.0301388888888</v>
      </c>
      <c r="Y46" s="126">
        <f ca="1">IF(AND(Energy!$F$11=$A$3,Main!$B$43=A46),'Aerodynamics-Cruise'!V23,Y46)</f>
        <v>153092.20033957186</v>
      </c>
      <c r="Z46" s="126">
        <f ca="1">IF(AND(Energy!$F$11=$A$3,Main!$B$43=$A46),Summary!Z23,Z46)</f>
        <v>115154.56688204427</v>
      </c>
      <c r="AA46" s="126">
        <f ca="1">IF(AND(Energy!$F$11=$A$3,Main!$B$43=$A46),Summary!AA23,AA46)</f>
        <v>115154.56688204427</v>
      </c>
      <c r="AB46" s="72">
        <f ca="1">IF(AND(Energy!$F$11=$A$3,Main!$B$43=$A46),Summary!AB23,AB46)</f>
        <v>5.5871187685866976</v>
      </c>
      <c r="AC46" s="72">
        <f ca="1">IF(AND(Energy!$F$11=$A$3,Main!$B$43=$A46),Summary!AC23,AC46)</f>
        <v>2.7600327583391313</v>
      </c>
      <c r="AD46" s="72">
        <f ca="1">IF(AND(Energy!$F$11=$A$3,Main!$B$43=$A46),Summary!AD23,AD46)</f>
        <v>0.43381613392371915</v>
      </c>
      <c r="AE46" s="72">
        <f ca="1">IF(AND(Energy!$F$11=$A$3,Main!$B$43=$A46),Summary!AE23,AE46)</f>
        <v>1.0549707602339182</v>
      </c>
      <c r="AF46" s="72">
        <f ca="1">IF(AND(Energy!$F$11=$A$3,Main!$B$43=$A46),Summary!AF23,AF46)</f>
        <v>17.655502392344498</v>
      </c>
      <c r="AG46" s="72">
        <f ca="1">IF(AND(Energy!$F$11=$A$3,Main!$B$43=$A46),Summary!AG23,AG46)</f>
        <v>11.39549395435715</v>
      </c>
      <c r="AH46" s="72">
        <f ca="1">IF(AND(Energy!$F$11=$A$3,Main!$B$43=$A46),Summary!AH23,AH46)</f>
        <v>47</v>
      </c>
      <c r="AI46" s="72">
        <f ca="1">IF(AND(Energy!$F$11=$A$3,Main!$B$43=$A46),Summary!AI23,AI46)</f>
        <v>2.7182027371552775</v>
      </c>
      <c r="AJ46" s="72">
        <f ca="1">IF(AND(Energy!$F$11=$A$3,Main!$B$43=$A46),Summary!AJ23,AJ46)</f>
        <v>0.23087816482793444</v>
      </c>
      <c r="AK46" s="72">
        <f ca="1">IF(AND(Energy!$F$11=$A$3,Main!$B$43=$A46),Summary!AK23,AK46)</f>
        <v>0.01</v>
      </c>
      <c r="AL46" s="72">
        <f ca="1">IF(AND(Energy!$F$11=$A$3,Main!$B$43=$A46),Summary!AL23,AL46)</f>
        <v>-0.54131982239744247</v>
      </c>
      <c r="AM46" s="72">
        <f ca="1">IF(AND(Energy!$F$11=$A$3,Main!$B$43=$A46),Summary!AJ63,AM46)</f>
        <v>0</v>
      </c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</row>
    <row r="47" spans="1:55">
      <c r="A47">
        <f t="shared" si="4"/>
        <v>3</v>
      </c>
      <c r="B47" s="58"/>
      <c r="C47" s="58"/>
      <c r="D47" s="1">
        <f ca="1">IF(AND(Energy!$F$11=$A$3,Main!$B$43=A47),Main!C24,D47)</f>
        <v>4.4736842105263159</v>
      </c>
      <c r="E47" s="72">
        <f ca="1">IF(AND(Energy!$F$11=$A$3,Main!$B$43=A47),Main!B24,E47)</f>
        <v>0.24444444444444446</v>
      </c>
      <c r="F47" s="72">
        <f ca="1">IF(Main!$D$6=1,U47,IF(Main!$D$6=2,N47,IF(Main!$D$6=3,K47,IF(Main!$D$6=4,V47,J47))))</f>
        <v>527.11007814712957</v>
      </c>
      <c r="G47" s="72">
        <f ca="1">IF(AND(Energy!$F$11=$A$3,Main!$B$43=A47),Weight!H24,G47)</f>
        <v>15</v>
      </c>
      <c r="H47" s="72">
        <f ca="1">IF(AND(Energy!$F$11=$A$3,Main!$B$43=A47),Weight!U24,H47)</f>
        <v>13.192952295025606</v>
      </c>
      <c r="I47" s="72">
        <f ca="1">IF(AND(Energy!$F$11=$A$3,Main!$B$43=A47),Weight!V24,I47)</f>
        <v>41.620992998150612</v>
      </c>
      <c r="J47" s="72">
        <f ca="1">IF(AND(Energy!$F$11=$A$3,Main!$B$43=A47),Weight!I24,J47)</f>
        <v>23.490392428125002</v>
      </c>
      <c r="K47" s="72">
        <f ca="1">IF(AND(Energy!$F$11=$A$3,Main!$B$43=A47),Weight!W24,K47)</f>
        <v>56.620992998150612</v>
      </c>
      <c r="L47" s="72">
        <f ca="1">IF(AND(Energy!$F$11=$A$3,Main!$B$43=A47),'Aerodynamics-Cruise'!BI24,L47)</f>
        <v>56.620992998150612</v>
      </c>
      <c r="M47" s="72">
        <f ca="1">IF(AND(Energy!$F$11=$A$3,Main!$B$43=A47),'Aerodynamics-Cruise'!BJ24,M47)</f>
        <v>2.7476358009579958</v>
      </c>
      <c r="N47" s="72">
        <f ca="1">IF(AND(Energy!$F$11=$A$3,Main!$B$43=A47),'Aerodynamics-Cruise'!BK24,N47)</f>
        <v>20.607168161955464</v>
      </c>
      <c r="O47" s="72">
        <f t="shared" ca="1" si="3"/>
        <v>155.06259793412158</v>
      </c>
      <c r="P47" s="72">
        <f ca="1">IF(AND(Energy!$F$11=$A$3,Main!$B$43=A47),'Aerodynamics-Cruise'!H24,P47)</f>
        <v>9.7353079845985295</v>
      </c>
      <c r="Q47" s="72">
        <f ca="1">IF(AND(Energy!$F$11=$A$3,Main!$B$43=A47),'Aerodynamics-Cruise'!I24,Q47)</f>
        <v>8.2716111964443968</v>
      </c>
      <c r="R47" s="72">
        <f ca="1">IF(AND(Energy!$F$11=$A$3,Main!$B$43=$A47),Summary!R24,R47)</f>
        <v>5.4735926415291694</v>
      </c>
      <c r="S47" s="72">
        <f ca="1">IF(AND(Energy!$F$11=$A$3,Main!$B$43=A47),'Aerodynamics-Cruise'!W24,S47)</f>
        <v>1</v>
      </c>
      <c r="T47" s="72">
        <f ca="1">IF(AND(Energy!$F$11=$A$3,Main!$B$43=A47),'Aerodynamics-Cruise'!BL24,T47)</f>
        <v>26.749080751835152</v>
      </c>
      <c r="U47" s="72">
        <f ca="1">IF(AND(Energy!$F$11=$A$3,Main!$B$43=A47),'Propulsion-Cruise'!M24,U47)</f>
        <v>56.225360567973333</v>
      </c>
      <c r="V47" s="72">
        <f ca="1">IF(AND(Energy!$F$11=$A$3,Main!$B$43=A47),Endurance!AP24,V47)</f>
        <v>527.11007814712957</v>
      </c>
      <c r="W47" s="72">
        <f ca="1">IF(AND(Energy!$F$11=$A$3,Main!$B$43=$A47),Summary!W24,W47)</f>
        <v>1.0935672514619885</v>
      </c>
      <c r="X47" s="13">
        <f ca="1">IF(AND(Energy!$F$11=$A$3,Main!$B$43=A47),Energy!D24,X47)</f>
        <v>1182.0301388888888</v>
      </c>
      <c r="Y47" s="126">
        <f ca="1">IF(AND(Energy!$F$11=$A$3,Main!$B$43=A47),'Aerodynamics-Cruise'!V24,Y47)</f>
        <v>150929.8512688562</v>
      </c>
      <c r="Z47" s="126">
        <f ca="1">IF(AND(Energy!$F$11=$A$3,Main!$B$43=$A47),Summary!Z24,Z47)</f>
        <v>113591.71766285937</v>
      </c>
      <c r="AA47" s="126">
        <f ca="1">IF(AND(Energy!$F$11=$A$3,Main!$B$43=$A47),Summary!AA24,AA47)</f>
        <v>113591.71766285937</v>
      </c>
      <c r="AB47" s="72">
        <f ca="1">IF(AND(Energy!$F$11=$A$3,Main!$B$43=$A47),Summary!AB24,AB47)</f>
        <v>5.4735926415291694</v>
      </c>
      <c r="AC47" s="72">
        <f ca="1">IF(AND(Energy!$F$11=$A$3,Main!$B$43=$A47),Summary!AC24,AC47)</f>
        <v>2.7107838666654267</v>
      </c>
      <c r="AD47" s="72">
        <f ca="1">IF(AND(Energy!$F$11=$A$3,Main!$B$43=$A47),Summary!AD24,AD47)</f>
        <v>0.43064072807503906</v>
      </c>
      <c r="AE47" s="72">
        <f ca="1">IF(AND(Energy!$F$11=$A$3,Main!$B$43=$A47),Summary!AE24,AE47)</f>
        <v>1.0935672514619885</v>
      </c>
      <c r="AF47" s="72">
        <f ca="1">IF(AND(Energy!$F$11=$A$3,Main!$B$43=$A47),Summary!AF24,AF47)</f>
        <v>18.301435406698559</v>
      </c>
      <c r="AG47" s="72">
        <f ca="1">IF(AND(Energy!$F$11=$A$3,Main!$B$43=$A47),Summary!AG24,AG47)</f>
        <v>11.349923872994177</v>
      </c>
      <c r="AH47" s="72">
        <f ca="1">IF(AND(Energy!$F$11=$A$3,Main!$B$43=$A47),Summary!AH24,AH47)</f>
        <v>47</v>
      </c>
      <c r="AI47" s="72">
        <f ca="1">IF(AND(Energy!$F$11=$A$3,Main!$B$43=$A47),Summary!AI24,AI47)</f>
        <v>2.715033779103329</v>
      </c>
      <c r="AJ47" s="72">
        <f ca="1">IF(AND(Energy!$F$11=$A$3,Main!$B$43=$A47),Summary!AJ24,AJ47)</f>
        <v>0.2318302692590164</v>
      </c>
      <c r="AK47" s="72">
        <f ca="1">IF(AND(Energy!$F$11=$A$3,Main!$B$43=$A47),Summary!AK24,AK47)</f>
        <v>0.01</v>
      </c>
      <c r="AL47" s="72">
        <f ca="1">IF(AND(Energy!$F$11=$A$3,Main!$B$43=$A47),Summary!AL24,AL47)</f>
        <v>-0.53909692895025796</v>
      </c>
      <c r="AM47" s="72">
        <f ca="1">IF(AND(Energy!$F$11=$A$3,Main!$B$43=$A47),Summary!AJ64,AM47)</f>
        <v>0</v>
      </c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</row>
    <row r="48" spans="1:55">
      <c r="A48">
        <f t="shared" si="4"/>
        <v>3</v>
      </c>
      <c r="D48" s="1">
        <f ca="1">IF(AND(Energy!$F$11=$A$3,Main!$B$43=A48),Main!C25,D48)</f>
        <v>4.6315789473684212</v>
      </c>
      <c r="E48" s="72">
        <f ca="1">IF(AND(Energy!$F$11=$A$3,Main!$B$43=A48),Main!B25,E48)</f>
        <v>0.24444444444444446</v>
      </c>
      <c r="F48" s="72">
        <f ca="1">IF(Main!$D$6=1,U48,IF(Main!$D$6=2,N48,IF(Main!$D$6=3,K48,IF(Main!$D$6=4,V48,J48))))</f>
        <v>524.09602669034302</v>
      </c>
      <c r="G48" s="72">
        <f ca="1">IF(AND(Energy!$F$11=$A$3,Main!$B$43=A48),Weight!H25,G48)</f>
        <v>15</v>
      </c>
      <c r="H48" s="72">
        <f ca="1">IF(AND(Energy!$F$11=$A$3,Main!$B$43=A48),Weight!U25,H48)</f>
        <v>13.624115286081306</v>
      </c>
      <c r="I48" s="72">
        <f ca="1">IF(AND(Energy!$F$11=$A$3,Main!$B$43=A48),Weight!V25,I48)</f>
        <v>42.052155989206312</v>
      </c>
      <c r="J48" s="72">
        <f ca="1">IF(AND(Energy!$F$11=$A$3,Main!$B$43=A48),Weight!I25,J48)</f>
        <v>23.490392428125002</v>
      </c>
      <c r="K48" s="72">
        <f ca="1">IF(AND(Energy!$F$11=$A$3,Main!$B$43=A48),Weight!W25,K48)</f>
        <v>57.052155989206312</v>
      </c>
      <c r="L48" s="72">
        <f ca="1">IF(AND(Energy!$F$11=$A$3,Main!$B$43=A48),'Aerodynamics-Cruise'!BI25,L48)</f>
        <v>57.052155989206319</v>
      </c>
      <c r="M48" s="72">
        <f ca="1">IF(AND(Energy!$F$11=$A$3,Main!$B$43=A48),'Aerodynamics-Cruise'!BJ25,M48)</f>
        <v>2.7528198016620049</v>
      </c>
      <c r="N48" s="72">
        <f ca="1">IF(AND(Energy!$F$11=$A$3,Main!$B$43=A48),'Aerodynamics-Cruise'!BK25,N48)</f>
        <v>20.72498750363583</v>
      </c>
      <c r="O48" s="72">
        <f t="shared" ca="1" si="3"/>
        <v>156.54179444263448</v>
      </c>
      <c r="P48" s="72">
        <f ca="1">IF(AND(Energy!$F$11=$A$3,Main!$B$43=A48),'Aerodynamics-Cruise'!H25,P48)</f>
        <v>9.6042371164818032</v>
      </c>
      <c r="Q48" s="72">
        <f ca="1">IF(AND(Energy!$F$11=$A$3,Main!$B$43=A48),'Aerodynamics-Cruise'!I25,Q48)</f>
        <v>8.1647807408595128</v>
      </c>
      <c r="R48" s="72">
        <f ca="1">IF(AND(Energy!$F$11=$A$3,Main!$B$43=$A48),Summary!R25,R48)</f>
        <v>5.3702004529040845</v>
      </c>
      <c r="S48" s="72">
        <f ca="1">IF(AND(Energy!$F$11=$A$3,Main!$B$43=A48),'Aerodynamics-Cruise'!W25,S48)</f>
        <v>1</v>
      </c>
      <c r="T48" s="72">
        <f ca="1">IF(AND(Energy!$F$11=$A$3,Main!$B$43=A48),'Aerodynamics-Cruise'!BL25,T48)</f>
        <v>26.438734114108303</v>
      </c>
      <c r="U48" s="72">
        <f ca="1">IF(AND(Energy!$F$11=$A$3,Main!$B$43=A48),'Propulsion-Cruise'!M25,U48)</f>
        <v>55.765984806200045</v>
      </c>
      <c r="V48" s="72">
        <f ca="1">IF(AND(Energy!$F$11=$A$3,Main!$B$43=A48),Endurance!AP25,V48)</f>
        <v>524.09602669034302</v>
      </c>
      <c r="W48" s="72">
        <f ca="1">IF(AND(Energy!$F$11=$A$3,Main!$B$43=$A48),Summary!W25,W48)</f>
        <v>1.1321637426900586</v>
      </c>
      <c r="X48" s="13">
        <f ca="1">IF(AND(Energy!$F$11=$A$3,Main!$B$43=A48),Energy!D25,X48)</f>
        <v>1182.0301388888888</v>
      </c>
      <c r="Y48" s="126">
        <f ca="1">IF(AND(Energy!$F$11=$A$3,Main!$B$43=A48),'Aerodynamics-Cruise'!V25,Y48)</f>
        <v>148897.81420728267</v>
      </c>
      <c r="Z48" s="126">
        <f ca="1">IF(AND(Energy!$F$11=$A$3,Main!$B$43=$A48),Summary!Z25,Z48)</f>
        <v>112122.21509366774</v>
      </c>
      <c r="AA48" s="126">
        <f ca="1">IF(AND(Energy!$F$11=$A$3,Main!$B$43=$A48),Summary!AA25,AA48)</f>
        <v>112122.21509366774</v>
      </c>
      <c r="AB48" s="72">
        <f ca="1">IF(AND(Energy!$F$11=$A$3,Main!$B$43=$A48),Summary!AB25,AB48)</f>
        <v>5.3702004529040845</v>
      </c>
      <c r="AC48" s="72">
        <f ca="1">IF(AND(Energy!$F$11=$A$3,Main!$B$43=$A48),Summary!AC25,AC48)</f>
        <v>2.6629110797901574</v>
      </c>
      <c r="AD48" s="72">
        <f ca="1">IF(AND(Energy!$F$11=$A$3,Main!$B$43=$A48),Summary!AD25,AD48)</f>
        <v>0.42775866438121174</v>
      </c>
      <c r="AE48" s="72">
        <f ca="1">IF(AND(Energy!$F$11=$A$3,Main!$B$43=$A48),Summary!AE25,AE48)</f>
        <v>1.1321637426900586</v>
      </c>
      <c r="AF48" s="72">
        <f ca="1">IF(AND(Energy!$F$11=$A$3,Main!$B$43=$A48),Summary!AF25,AF48)</f>
        <v>18.94736842105263</v>
      </c>
      <c r="AG48" s="72">
        <f ca="1">IF(AND(Energy!$F$11=$A$3,Main!$B$43=$A48),Summary!AG25,AG48)</f>
        <v>11.313145333829342</v>
      </c>
      <c r="AH48" s="72">
        <f ca="1">IF(AND(Energy!$F$11=$A$3,Main!$B$43=$A48),Summary!AH25,AH48)</f>
        <v>47</v>
      </c>
      <c r="AI48" s="72">
        <f ca="1">IF(AND(Energy!$F$11=$A$3,Main!$B$43=$A48),Summary!AI25,AI48)</f>
        <v>2.7120192360625341</v>
      </c>
      <c r="AJ48" s="72">
        <f ca="1">IF(AND(Energy!$F$11=$A$3,Main!$B$43=$A48),Summary!AJ25,AJ48)</f>
        <v>0.23273050921870395</v>
      </c>
      <c r="AK48" s="72">
        <f ca="1">IF(AND(Energy!$F$11=$A$3,Main!$B$43=$A48),Summary!AK25,AK48)</f>
        <v>0.01</v>
      </c>
      <c r="AL48" s="72">
        <f ca="1">IF(AND(Energy!$F$11=$A$3,Main!$B$43=$A48),Summary!AL25,AL48)</f>
        <v>-0.5370118485803933</v>
      </c>
      <c r="AM48" s="72">
        <f ca="1">IF(AND(Energy!$F$11=$A$3,Main!$B$43=$A48),Summary!AJ65,AM48)</f>
        <v>0</v>
      </c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</row>
    <row r="49" spans="1:54">
      <c r="A49">
        <f t="shared" si="4"/>
        <v>3</v>
      </c>
      <c r="B49" s="58"/>
      <c r="C49" s="58"/>
      <c r="D49" s="1">
        <f ca="1">IF(AND(Energy!$F$11=$A$3,Main!$B$43=A49),Main!C26,D49)</f>
        <v>4.7894736842105265</v>
      </c>
      <c r="E49" s="72">
        <f ca="1">IF(AND(Energy!$F$11=$A$3,Main!$B$43=A49),Main!B26,E49)</f>
        <v>0.24444444444444446</v>
      </c>
      <c r="F49" s="72">
        <f ca="1">IF(Main!$D$6=1,U49,IF(Main!$D$6=2,N49,IF(Main!$D$6=3,K49,IF(Main!$D$6=4,V49,J49))))</f>
        <v>521.72648922959968</v>
      </c>
      <c r="G49" s="72">
        <f ca="1">IF(AND(Energy!$F$11=$A$3,Main!$B$43=A49),Weight!H26,G49)</f>
        <v>15</v>
      </c>
      <c r="H49" s="72">
        <f ca="1">IF(AND(Energy!$F$11=$A$3,Main!$B$43=A49),Weight!U26,H49)</f>
        <v>14.063769320631771</v>
      </c>
      <c r="I49" s="72">
        <f ca="1">IF(AND(Energy!$F$11=$A$3,Main!$B$43=A49),Weight!V26,I49)</f>
        <v>42.49181002375677</v>
      </c>
      <c r="J49" s="72">
        <f ca="1">IF(AND(Energy!$F$11=$A$3,Main!$B$43=A49),Weight!I26,J49)</f>
        <v>23.490392428125002</v>
      </c>
      <c r="K49" s="72">
        <f ca="1">IF(AND(Energy!$F$11=$A$3,Main!$B$43=A49),Weight!W26,K49)</f>
        <v>57.491810023756777</v>
      </c>
      <c r="L49" s="72">
        <f ca="1">IF(AND(Energy!$F$11=$A$3,Main!$B$43=A49),'Aerodynamics-Cruise'!BI26,L49)</f>
        <v>57.491810023756791</v>
      </c>
      <c r="M49" s="72">
        <f ca="1">IF(AND(Energy!$F$11=$A$3,Main!$B$43=A49),'Aerodynamics-Cruise'!BJ26,M49)</f>
        <v>2.7600289757549676</v>
      </c>
      <c r="N49" s="72">
        <f ca="1">IF(AND(Energy!$F$11=$A$3,Main!$B$43=A49),'Aerodynamics-Cruise'!BK26,N49)</f>
        <v>20.83014726612814</v>
      </c>
      <c r="O49" s="72">
        <f t="shared" ca="1" si="3"/>
        <v>157.94116287359657</v>
      </c>
      <c r="P49" s="72">
        <f ca="1">IF(AND(Energy!$F$11=$A$3,Main!$B$43=A49),'Aerodynamics-Cruise'!H26,P49)</f>
        <v>9.4808757174746567</v>
      </c>
      <c r="Q49" s="72">
        <f ca="1">IF(AND(Energy!$F$11=$A$3,Main!$B$43=A49),'Aerodynamics-Cruise'!I26,Q49)</f>
        <v>8.0641772590758976</v>
      </c>
      <c r="R49" s="72">
        <f ca="1">IF(AND(Energy!$F$11=$A$3,Main!$B$43=$A49),Summary!R26,R49)</f>
        <v>5.275967326524694</v>
      </c>
      <c r="S49" s="72">
        <f ca="1">IF(AND(Energy!$F$11=$A$3,Main!$B$43=A49),'Aerodynamics-Cruise'!W26,S49)</f>
        <v>1</v>
      </c>
      <c r="T49" s="72">
        <f ca="1">IF(AND(Energy!$F$11=$A$3,Main!$B$43=A49),'Aerodynamics-Cruise'!BL26,T49)</f>
        <v>26.167491695761722</v>
      </c>
      <c r="U49" s="72">
        <f ca="1">IF(AND(Energy!$F$11=$A$3,Main!$B$43=A49),'Propulsion-Cruise'!M26,U49)</f>
        <v>55.379887837722748</v>
      </c>
      <c r="V49" s="72">
        <f ca="1">IF(AND(Energy!$F$11=$A$3,Main!$B$43=A49),Endurance!AP26,V49)</f>
        <v>521.72648922959968</v>
      </c>
      <c r="W49" s="72">
        <f ca="1">IF(AND(Energy!$F$11=$A$3,Main!$B$43=$A49),Summary!W26,W49)</f>
        <v>1.1707602339181289</v>
      </c>
      <c r="X49" s="13">
        <f ca="1">IF(AND(Energy!$F$11=$A$3,Main!$B$43=A49),Energy!D26,X49)</f>
        <v>1182.0301388888888</v>
      </c>
      <c r="Y49" s="126">
        <f ca="1">IF(AND(Energy!$F$11=$A$3,Main!$B$43=A49),'Aerodynamics-Cruise'!V26,Y49)</f>
        <v>146985.29971529922</v>
      </c>
      <c r="Z49" s="126">
        <f ca="1">IF(AND(Energy!$F$11=$A$3,Main!$B$43=$A49),Summary!Z26,Z49)</f>
        <v>110738.39792537062</v>
      </c>
      <c r="AA49" s="126">
        <f ca="1">IF(AND(Energy!$F$11=$A$3,Main!$B$43=$A49),Summary!AA26,AA49)</f>
        <v>110738.39792537062</v>
      </c>
      <c r="AB49" s="72">
        <f ca="1">IF(AND(Energy!$F$11=$A$3,Main!$B$43=$A49),Summary!AB26,AB49)</f>
        <v>5.275967326524694</v>
      </c>
      <c r="AC49" s="72">
        <f ca="1">IF(AND(Energy!$F$11=$A$3,Main!$B$43=$A49),Summary!AC26,AC49)</f>
        <v>2.6163631058780035</v>
      </c>
      <c r="AD49" s="72">
        <f ca="1">IF(AND(Energy!$F$11=$A$3,Main!$B$43=$A49),Summary!AD26,AD49)</f>
        <v>0.42514438789201947</v>
      </c>
      <c r="AE49" s="72">
        <f ca="1">IF(AND(Energy!$F$11=$A$3,Main!$B$43=$A49),Summary!AE26,AE49)</f>
        <v>1.1707602339181289</v>
      </c>
      <c r="AF49" s="72">
        <f ca="1">IF(AND(Energy!$F$11=$A$3,Main!$B$43=$A49),Summary!AF26,AF49)</f>
        <v>19.593301435406698</v>
      </c>
      <c r="AG49" s="72">
        <f ca="1">IF(AND(Energy!$F$11=$A$3,Main!$B$43=$A49),Summary!AG26,AG49)</f>
        <v>11.284292296583475</v>
      </c>
      <c r="AH49" s="72">
        <f ca="1">IF(AND(Energy!$F$11=$A$3,Main!$B$43=$A49),Summary!AH26,AH49)</f>
        <v>47</v>
      </c>
      <c r="AI49" s="72">
        <f ca="1">IF(AND(Energy!$F$11=$A$3,Main!$B$43=$A49),Summary!AI26,AI49)</f>
        <v>2.7091487266205672</v>
      </c>
      <c r="AJ49" s="72">
        <f ca="1">IF(AND(Energy!$F$11=$A$3,Main!$B$43=$A49),Summary!AJ26,AJ49)</f>
        <v>0.23358301746793358</v>
      </c>
      <c r="AK49" s="72">
        <f ca="1">IF(AND(Energy!$F$11=$A$3,Main!$B$43=$A49),Summary!AK26,AK49)</f>
        <v>0.01</v>
      </c>
      <c r="AL49" s="72">
        <f ca="1">IF(AND(Energy!$F$11=$A$3,Main!$B$43=$A49),Summary!AL26,AL49)</f>
        <v>-0.53505213398198803</v>
      </c>
      <c r="AM49" s="72">
        <f ca="1">IF(AND(Energy!$F$11=$A$3,Main!$B$43=$A49),Summary!AJ66,AM49)</f>
        <v>0</v>
      </c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</row>
    <row r="50" spans="1:54">
      <c r="A50">
        <f t="shared" si="4"/>
        <v>3</v>
      </c>
      <c r="B50" s="58"/>
      <c r="C50" s="58"/>
      <c r="D50" s="1">
        <f ca="1">IF(AND(Energy!$F$11=$A$3,Main!$B$43=A50),Main!C27,D50)</f>
        <v>4.9473684210526319</v>
      </c>
      <c r="E50" s="72">
        <f ca="1">IF(AND(Energy!$F$11=$A$3,Main!$B$43=A50),Main!B27,E50)</f>
        <v>0.24444444444444446</v>
      </c>
      <c r="F50" s="72">
        <f ca="1">IF(Main!$D$6=1,U50,IF(Main!$D$6=2,N50,IF(Main!$D$6=3,K50,IF(Main!$D$6=4,V50,J50))))</f>
        <v>519.93883224341334</v>
      </c>
      <c r="G50" s="72">
        <f ca="1">IF(AND(Energy!$F$11=$A$3,Main!$B$43=A50),Weight!H27,G50)</f>
        <v>15</v>
      </c>
      <c r="H50" s="72">
        <f ca="1">IF(AND(Energy!$F$11=$A$3,Main!$B$43=A50),Weight!U27,H50)</f>
        <v>14.511929113407213</v>
      </c>
      <c r="I50" s="72">
        <f ca="1">IF(AND(Energy!$F$11=$A$3,Main!$B$43=A50),Weight!V27,I50)</f>
        <v>42.939969816532212</v>
      </c>
      <c r="J50" s="72">
        <f ca="1">IF(AND(Energy!$F$11=$A$3,Main!$B$43=A50),Weight!I27,J50)</f>
        <v>23.490392428125002</v>
      </c>
      <c r="K50" s="72">
        <f ca="1">IF(AND(Energy!$F$11=$A$3,Main!$B$43=A50),Weight!W27,K50)</f>
        <v>57.939969816532219</v>
      </c>
      <c r="L50" s="72">
        <f ca="1">IF(AND(Energy!$F$11=$A$3,Main!$B$43=A50),'Aerodynamics-Cruise'!BI27,L50)</f>
        <v>57.939969816532226</v>
      </c>
      <c r="M50" s="72">
        <f ca="1">IF(AND(Energy!$F$11=$A$3,Main!$B$43=A50),'Aerodynamics-Cruise'!BJ27,M50)</f>
        <v>2.7690779495463769</v>
      </c>
      <c r="N50" s="72">
        <f ca="1">IF(AND(Energy!$F$11=$A$3,Main!$B$43=A50),'Aerodynamics-Cruise'!BK27,N50)</f>
        <v>20.923921562418929</v>
      </c>
      <c r="O50" s="72">
        <f t="shared" ca="1" si="3"/>
        <v>159.26935292661662</v>
      </c>
      <c r="P50" s="72">
        <f ca="1">IF(AND(Energy!$F$11=$A$3,Main!$B$43=A50),'Aerodynamics-Cruise'!H27,P50)</f>
        <v>9.3646065223937427</v>
      </c>
      <c r="Q50" s="72">
        <f ca="1">IF(AND(Energy!$F$11=$A$3,Main!$B$43=A50),'Aerodynamics-Cruise'!I27,Q50)</f>
        <v>7.9693067128950092</v>
      </c>
      <c r="R50" s="72">
        <f ca="1">IF(AND(Energy!$F$11=$A$3,Main!$B$43=$A50),Summary!R27,R50)</f>
        <v>5.1900464517923917</v>
      </c>
      <c r="S50" s="72">
        <f ca="1">IF(AND(Energy!$F$11=$A$3,Main!$B$43=A50),'Aerodynamics-Cruise'!W27,S50)</f>
        <v>1</v>
      </c>
      <c r="T50" s="72">
        <f ca="1">IF(AND(Energy!$F$11=$A$3,Main!$B$43=A50),'Aerodynamics-Cruise'!BL27,T50)</f>
        <v>25.931325427338692</v>
      </c>
      <c r="U50" s="72">
        <f ca="1">IF(AND(Energy!$F$11=$A$3,Main!$B$43=A50),'Propulsion-Cruise'!M27,U50)</f>
        <v>55.059799786092761</v>
      </c>
      <c r="V50" s="72">
        <f ca="1">IF(AND(Energy!$F$11=$A$3,Main!$B$43=A50),Endurance!AP27,V50)</f>
        <v>519.93883224341334</v>
      </c>
      <c r="W50" s="72">
        <f ca="1">IF(AND(Energy!$F$11=$A$3,Main!$B$43=$A50),Summary!W27,W50)</f>
        <v>1.209356725146199</v>
      </c>
      <c r="X50" s="13">
        <f ca="1">IF(AND(Energy!$F$11=$A$3,Main!$B$43=A50),Energy!D27,X50)</f>
        <v>1182.0301388888888</v>
      </c>
      <c r="Y50" s="126">
        <f ca="1">IF(AND(Energy!$F$11=$A$3,Main!$B$43=A50),'Aerodynamics-Cruise'!V27,Y50)</f>
        <v>145182.73811699395</v>
      </c>
      <c r="Z50" s="126">
        <f ca="1">IF(AND(Energy!$F$11=$A$3,Main!$B$43=$A50),Summary!Z27,Z50)</f>
        <v>109433.4655692977</v>
      </c>
      <c r="AA50" s="126">
        <f ca="1">IF(AND(Energy!$F$11=$A$3,Main!$B$43=$A50),Summary!AA27,AA50)</f>
        <v>109433.4655692977</v>
      </c>
      <c r="AB50" s="72">
        <f ca="1">IF(AND(Energy!$F$11=$A$3,Main!$B$43=$A50),Summary!AB27,AB50)</f>
        <v>5.1900464517923917</v>
      </c>
      <c r="AC50" s="72">
        <f ca="1">IF(AND(Energy!$F$11=$A$3,Main!$B$43=$A50),Summary!AC27,AC50)</f>
        <v>2.5710886779359874</v>
      </c>
      <c r="AD50" s="72">
        <f ca="1">IF(AND(Energy!$F$11=$A$3,Main!$B$43=$A50),Summary!AD27,AD50)</f>
        <v>0.42277533028594944</v>
      </c>
      <c r="AE50" s="72">
        <f ca="1">IF(AND(Energy!$F$11=$A$3,Main!$B$43=$A50),Summary!AE27,AE50)</f>
        <v>1.209356725146199</v>
      </c>
      <c r="AF50" s="72">
        <f ca="1">IF(AND(Energy!$F$11=$A$3,Main!$B$43=$A50),Summary!AF27,AF50)</f>
        <v>20.239234449760765</v>
      </c>
      <c r="AG50" s="72">
        <f ca="1">IF(AND(Energy!$F$11=$A$3,Main!$B$43=$A50),Summary!AG27,AG50)</f>
        <v>11.262612841030702</v>
      </c>
      <c r="AH50" s="72">
        <f ca="1">IF(AND(Energy!$F$11=$A$3,Main!$B$43=$A50),Summary!AH27,AH50)</f>
        <v>47</v>
      </c>
      <c r="AI50" s="72">
        <f ca="1">IF(AND(Energy!$F$11=$A$3,Main!$B$43=$A50),Summary!AI27,AI50)</f>
        <v>2.7064129079463091</v>
      </c>
      <c r="AJ50" s="72">
        <f ca="1">IF(AND(Energy!$F$11=$A$3,Main!$B$43=$A50),Summary!AJ27,AJ50)</f>
        <v>0.23440477337801166</v>
      </c>
      <c r="AK50" s="72">
        <f ca="1">IF(AND(Energy!$F$11=$A$3,Main!$B$43=$A50),Summary!AK27,AK50)</f>
        <v>0.01</v>
      </c>
      <c r="AL50" s="72">
        <f ca="1">IF(AND(Energy!$F$11=$A$3,Main!$B$43=$A50),Summary!AL27,AL50)</f>
        <v>-0.53317636809445745</v>
      </c>
      <c r="AM50" s="72">
        <f ca="1">IF(AND(Energy!$F$11=$A$3,Main!$B$43=$A50),Summary!AJ67,AM50)</f>
        <v>0</v>
      </c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</row>
    <row r="51" spans="1:54">
      <c r="A51">
        <f t="shared" si="4"/>
        <v>3</v>
      </c>
      <c r="B51" s="58"/>
      <c r="C51" s="58"/>
      <c r="D51" s="1">
        <f ca="1">IF(AND(Energy!$F$11=$A$3,Main!$B$43=A51),Main!C28,D51)</f>
        <v>5.1052631578947372</v>
      </c>
      <c r="E51" s="72">
        <f ca="1">IF(AND(Energy!$F$11=$A$3,Main!$B$43=A51),Main!B28,E51)</f>
        <v>0.24444444444444446</v>
      </c>
      <c r="F51" s="72">
        <f ca="1">IF(Main!$D$6=1,U51,IF(Main!$D$6=2,N51,IF(Main!$D$6=3,K51,IF(Main!$D$6=4,V51,J51))))</f>
        <v>518.67919980064994</v>
      </c>
      <c r="G51" s="72">
        <f ca="1">IF(AND(Energy!$F$11=$A$3,Main!$B$43=A51),Weight!H28,G51)</f>
        <v>15</v>
      </c>
      <c r="H51" s="72">
        <f ca="1">IF(AND(Energy!$F$11=$A$3,Main!$B$43=A51),Weight!U28,H51)</f>
        <v>14.968614903503322</v>
      </c>
      <c r="I51" s="72">
        <f ca="1">IF(AND(Energy!$F$11=$A$3,Main!$B$43=A51),Weight!V28,I51)</f>
        <v>43.396655606628329</v>
      </c>
      <c r="J51" s="72">
        <f ca="1">IF(AND(Energy!$F$11=$A$3,Main!$B$43=A51),Weight!I28,J51)</f>
        <v>23.490392428125002</v>
      </c>
      <c r="K51" s="72">
        <f ca="1">IF(AND(Energy!$F$11=$A$3,Main!$B$43=A51),Weight!W28,K51)</f>
        <v>58.396655606628329</v>
      </c>
      <c r="L51" s="72">
        <f ca="1">IF(AND(Energy!$F$11=$A$3,Main!$B$43=A51),'Aerodynamics-Cruise'!BI28,L51)</f>
        <v>58.396655606628336</v>
      </c>
      <c r="M51" s="72">
        <f ca="1">IF(AND(Energy!$F$11=$A$3,Main!$B$43=A51),'Aerodynamics-Cruise'!BJ28,M51)</f>
        <v>2.7798060367025399</v>
      </c>
      <c r="N51" s="72">
        <f ca="1">IF(AND(Energy!$F$11=$A$3,Main!$B$43=A51),'Aerodynamics-Cruise'!BK28,N51)</f>
        <v>21.007456936060038</v>
      </c>
      <c r="O51" s="72">
        <f t="shared" ca="1" si="3"/>
        <v>160.5341636383188</v>
      </c>
      <c r="P51" s="72">
        <f ca="1">IF(AND(Energy!$F$11=$A$3,Main!$B$43=A51),'Aerodynamics-Cruise'!H28,P51)</f>
        <v>9.2548798768338525</v>
      </c>
      <c r="Q51" s="72">
        <f ca="1">IF(AND(Energy!$F$11=$A$3,Main!$B$43=A51),'Aerodynamics-Cruise'!I28,Q51)</f>
        <v>7.8797288241011145</v>
      </c>
      <c r="R51" s="72">
        <f ca="1">IF(AND(Energy!$F$11=$A$3,Main!$B$43=$A51),Summary!R28,R51)</f>
        <v>5.1116990438243635</v>
      </c>
      <c r="S51" s="72">
        <f ca="1">IF(AND(Energy!$F$11=$A$3,Main!$B$43=A51),'Aerodynamics-Cruise'!W28,S51)</f>
        <v>1</v>
      </c>
      <c r="T51" s="72">
        <f ca="1">IF(AND(Energy!$F$11=$A$3,Main!$B$43=A51),'Aerodynamics-Cruise'!BL28,T51)</f>
        <v>25.726770950579603</v>
      </c>
      <c r="U51" s="72">
        <f ca="1">IF(AND(Energy!$F$11=$A$3,Main!$B$43=A51),'Propulsion-Cruise'!M28,U51)</f>
        <v>54.799467688643574</v>
      </c>
      <c r="V51" s="72">
        <f ca="1">IF(AND(Energy!$F$11=$A$3,Main!$B$43=A51),Endurance!AP28,V51)</f>
        <v>518.67919980064994</v>
      </c>
      <c r="W51" s="72">
        <f ca="1">IF(AND(Energy!$F$11=$A$3,Main!$B$43=$A51),Summary!W28,W51)</f>
        <v>1.2479532163742693</v>
      </c>
      <c r="X51" s="13">
        <f ca="1">IF(AND(Energy!$F$11=$A$3,Main!$B$43=A51),Energy!D28,X51)</f>
        <v>1182.0301388888888</v>
      </c>
      <c r="Y51" s="126">
        <f ca="1">IF(AND(Energy!$F$11=$A$3,Main!$B$43=A51),'Aerodynamics-Cruise'!V28,Y51)</f>
        <v>143481.60792976365</v>
      </c>
      <c r="Z51" s="126">
        <f ca="1">IF(AND(Energy!$F$11=$A$3,Main!$B$43=$A51),Summary!Z28,Z51)</f>
        <v>108201.35765078171</v>
      </c>
      <c r="AA51" s="126">
        <f ca="1">IF(AND(Energy!$F$11=$A$3,Main!$B$43=$A51),Summary!AA28,AA51)</f>
        <v>108201.35765078171</v>
      </c>
      <c r="AB51" s="72">
        <f ca="1">IF(AND(Energy!$F$11=$A$3,Main!$B$43=$A51),Summary!AB28,AB51)</f>
        <v>5.1116990438243635</v>
      </c>
      <c r="AC51" s="72">
        <f ca="1">IF(AND(Energy!$F$11=$A$3,Main!$B$43=$A51),Summary!AC28,AC51)</f>
        <v>2.5270370675446512</v>
      </c>
      <c r="AD51" s="72">
        <f ca="1">IF(AND(Energy!$F$11=$A$3,Main!$B$43=$A51),Summary!AD28,AD51)</f>
        <v>0.4206315408542321</v>
      </c>
      <c r="AE51" s="72">
        <f ca="1">IF(AND(Energy!$F$11=$A$3,Main!$B$43=$A51),Summary!AE28,AE51)</f>
        <v>1.2479532163742693</v>
      </c>
      <c r="AF51" s="72">
        <f ca="1">IF(AND(Energy!$F$11=$A$3,Main!$B$43=$A51),Summary!AF28,AF51)</f>
        <v>20.885167464114833</v>
      </c>
      <c r="AG51" s="72">
        <f ca="1">IF(AND(Energy!$F$11=$A$3,Main!$B$43=$A51),Summary!AG28,AG51)</f>
        <v>11.247454761653287</v>
      </c>
      <c r="AH51" s="72">
        <f ca="1">IF(AND(Energy!$F$11=$A$3,Main!$B$43=$A51),Summary!AH28,AH51)</f>
        <v>47</v>
      </c>
      <c r="AI51" s="72">
        <f ca="1">IF(AND(Energy!$F$11=$A$3,Main!$B$43=$A51),Summary!AI28,AI51)</f>
        <v>2.7038033404033714</v>
      </c>
      <c r="AJ51" s="72">
        <f ca="1">IF(AND(Energy!$F$11=$A$3,Main!$B$43=$A51),Summary!AJ28,AJ51)</f>
        <v>0.2351860758965772</v>
      </c>
      <c r="AK51" s="72">
        <f ca="1">IF(AND(Energy!$F$11=$A$3,Main!$B$43=$A51),Summary!AK28,AK51)</f>
        <v>0.01</v>
      </c>
      <c r="AL51" s="72">
        <f ca="1">IF(AND(Energy!$F$11=$A$3,Main!$B$43=$A51),Summary!AL28,AL51)</f>
        <v>-0.53140507923808156</v>
      </c>
      <c r="AM51" s="72">
        <f ca="1">IF(AND(Energy!$F$11=$A$3,Main!$B$43=$A51),Summary!AJ68,AM51)</f>
        <v>0</v>
      </c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</row>
    <row r="52" spans="1:54">
      <c r="A52">
        <f t="shared" si="4"/>
        <v>3</v>
      </c>
      <c r="B52" s="58"/>
      <c r="C52" s="58"/>
      <c r="D52" s="1">
        <f ca="1">IF(AND(Energy!$F$11=$A$3,Main!$B$43=A52),Main!C29,D52)</f>
        <v>5.2631578947368425</v>
      </c>
      <c r="E52" s="72">
        <f ca="1">IF(AND(Energy!$F$11=$A$3,Main!$B$43=A52),Main!B29,E52)</f>
        <v>0.24444444444444446</v>
      </c>
      <c r="F52" s="72">
        <f ca="1">IF(Main!$D$6=1,U52,IF(Main!$D$6=2,N52,IF(Main!$D$6=3,K52,IF(Main!$D$6=4,V52,J52))))</f>
        <v>517.90088481955752</v>
      </c>
      <c r="G52" s="72">
        <f ca="1">IF(AND(Energy!$F$11=$A$3,Main!$B$43=A52),Weight!H29,G52)</f>
        <v>15</v>
      </c>
      <c r="H52" s="72">
        <f ca="1">IF(AND(Energy!$F$11=$A$3,Main!$B$43=A52),Weight!U29,H52)</f>
        <v>15.433852007531293</v>
      </c>
      <c r="I52" s="72">
        <f ca="1">IF(AND(Energy!$F$11=$A$3,Main!$B$43=A52),Weight!V29,I52)</f>
        <v>43.861892710656292</v>
      </c>
      <c r="J52" s="72">
        <f ca="1">IF(AND(Energy!$F$11=$A$3,Main!$B$43=A52),Weight!I29,J52)</f>
        <v>23.490392428125002</v>
      </c>
      <c r="K52" s="72">
        <f ca="1">IF(AND(Energy!$F$11=$A$3,Main!$B$43=A52),Weight!W29,K52)</f>
        <v>58.861892710656299</v>
      </c>
      <c r="L52" s="72">
        <f ca="1">IF(AND(Energy!$F$11=$A$3,Main!$B$43=A52),'Aerodynamics-Cruise'!BI29,L52)</f>
        <v>58.861892710656299</v>
      </c>
      <c r="M52" s="72">
        <f ca="1">IF(AND(Energy!$F$11=$A$3,Main!$B$43=A52),'Aerodynamics-Cruise'!BJ29,M52)</f>
        <v>2.7920722753500073</v>
      </c>
      <c r="N52" s="72">
        <f ca="1">IF(AND(Energy!$F$11=$A$3,Main!$B$43=A52),'Aerodynamics-Cruise'!BK29,N52)</f>
        <v>21.081794060391047</v>
      </c>
      <c r="O52" s="72">
        <f t="shared" ca="1" si="3"/>
        <v>161.74269603896698</v>
      </c>
      <c r="P52" s="72">
        <f ca="1">IF(AND(Energy!$F$11=$A$3,Main!$B$43=A52),'Aerodynamics-Cruise'!H29,P52)</f>
        <v>9.1512045145052099</v>
      </c>
      <c r="Q52" s="72">
        <f ca="1">IF(AND(Energy!$F$11=$A$3,Main!$B$43=A52),'Aerodynamics-Cruise'!I29,Q52)</f>
        <v>7.7950497794671225</v>
      </c>
      <c r="R52" s="72">
        <f ca="1">IF(AND(Energy!$F$11=$A$3,Main!$B$43=$A52),Summary!R29,R52)</f>
        <v>5.0402778377876816</v>
      </c>
      <c r="S52" s="72">
        <f ca="1">IF(AND(Energy!$F$11=$A$3,Main!$B$43=A52),'Aerodynamics-Cruise'!W29,S52)</f>
        <v>1</v>
      </c>
      <c r="T52" s="72">
        <f ca="1">IF(AND(Energy!$F$11=$A$3,Main!$B$43=A52),'Aerodynamics-Cruise'!BL29,T52)</f>
        <v>25.55082441100782</v>
      </c>
      <c r="U52" s="72">
        <f ca="1">IF(AND(Energy!$F$11=$A$3,Main!$B$43=A52),'Propulsion-Cruise'!M29,U52)</f>
        <v>54.593466894087385</v>
      </c>
      <c r="V52" s="72">
        <f ca="1">IF(AND(Energy!$F$11=$A$3,Main!$B$43=A52),Endurance!AP29,V52)</f>
        <v>517.90088481955752</v>
      </c>
      <c r="W52" s="72">
        <f ca="1">IF(AND(Energy!$F$11=$A$3,Main!$B$43=$A52),Summary!W29,W52)</f>
        <v>1.2865497076023393</v>
      </c>
      <c r="X52" s="13">
        <f ca="1">IF(AND(Energy!$F$11=$A$3,Main!$B$43=A52),Energy!D29,X52)</f>
        <v>1182.0301388888888</v>
      </c>
      <c r="Y52" s="126">
        <f ca="1">IF(AND(Energy!$F$11=$A$3,Main!$B$43=A52),'Aerodynamics-Cruise'!V29,Y52)</f>
        <v>141874.29288217996</v>
      </c>
      <c r="Z52" s="126">
        <f ca="1">IF(AND(Energy!$F$11=$A$3,Main!$B$43=$A52),Summary!Z29,Z52)</f>
        <v>107036.65354458761</v>
      </c>
      <c r="AA52" s="126">
        <f ca="1">IF(AND(Energy!$F$11=$A$3,Main!$B$43=$A52),Summary!AA29,AA52)</f>
        <v>107036.65354458761</v>
      </c>
      <c r="AB52" s="72">
        <f ca="1">IF(AND(Energy!$F$11=$A$3,Main!$B$43=$A52),Summary!AB29,AB52)</f>
        <v>5.0402778377876816</v>
      </c>
      <c r="AC52" s="72">
        <f ca="1">IF(AND(Energy!$F$11=$A$3,Main!$B$43=$A52),Summary!AC29,AC52)</f>
        <v>2.4841588166279789</v>
      </c>
      <c r="AD52" s="72">
        <f ca="1">IF(AND(Energy!$F$11=$A$3,Main!$B$43=$A52),Summary!AD29,AD52)</f>
        <v>0.41869526406532964</v>
      </c>
      <c r="AE52" s="72">
        <f ca="1">IF(AND(Energy!$F$11=$A$3,Main!$B$43=$A52),Summary!AE29,AE52)</f>
        <v>1.2865497076023393</v>
      </c>
      <c r="AF52" s="72">
        <f ca="1">IF(AND(Energy!$F$11=$A$3,Main!$B$43=$A52),Summary!AF29,AF52)</f>
        <v>21.5311004784689</v>
      </c>
      <c r="AG52" s="72">
        <f ca="1">IF(AND(Energy!$F$11=$A$3,Main!$B$43=$A52),Summary!AG29,AG52)</f>
        <v>11.238246980667455</v>
      </c>
      <c r="AH52" s="72">
        <f ca="1">IF(AND(Energy!$F$11=$A$3,Main!$B$43=$A52),Summary!AH29,AH52)</f>
        <v>47</v>
      </c>
      <c r="AI52" s="72">
        <f ca="1">IF(AND(Energy!$F$11=$A$3,Main!$B$43=$A52),Summary!AI29,AI52)</f>
        <v>2.7013123736027964</v>
      </c>
      <c r="AJ52" s="72">
        <f ca="1">IF(AND(Energy!$F$11=$A$3,Main!$B$43=$A52),Summary!AJ29,AJ52)</f>
        <v>0.23592890740006847</v>
      </c>
      <c r="AK52" s="72">
        <f ca="1">IF(AND(Energy!$F$11=$A$3,Main!$B$43=$A52),Summary!AK29,AK52)</f>
        <v>0.01</v>
      </c>
      <c r="AL52" s="72">
        <f ca="1">IF(AND(Energy!$F$11=$A$3,Main!$B$43=$A52),Summary!AL29,AL52)</f>
        <v>-0.52973188406631133</v>
      </c>
      <c r="AM52" s="72">
        <f ca="1">IF(AND(Energy!$F$11=$A$3,Main!$B$43=$A52),Summary!AJ69,AM52)</f>
        <v>0</v>
      </c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</row>
    <row r="53" spans="1:54">
      <c r="A53">
        <f t="shared" si="4"/>
        <v>3</v>
      </c>
      <c r="B53" s="58"/>
      <c r="C53" s="58"/>
      <c r="D53" s="1">
        <f ca="1">IF(AND(Energy!$F$11=$A$3,Main!$B$43=A53),Main!C30,D53)</f>
        <v>5.4210526315789478</v>
      </c>
      <c r="E53" s="72">
        <f ca="1">IF(AND(Energy!$F$11=$A$3,Main!$B$43=A53),Main!B30,E53)</f>
        <v>0.24444444444444446</v>
      </c>
      <c r="F53" s="72">
        <f ca="1">IF(Main!$D$6=1,U53,IF(Main!$D$6=2,N53,IF(Main!$D$6=3,K53,IF(Main!$D$6=4,V53,J53))))</f>
        <v>517.56326472602677</v>
      </c>
      <c r="G53" s="72">
        <f ca="1">IF(AND(Energy!$F$11=$A$3,Main!$B$43=A53),Weight!H30,G53)</f>
        <v>15</v>
      </c>
      <c r="H53" s="72">
        <f ca="1">IF(AND(Energy!$F$11=$A$3,Main!$B$43=A53),Weight!U30,H53)</f>
        <v>15.907670426580239</v>
      </c>
      <c r="I53" s="72">
        <f ca="1">IF(AND(Energy!$F$11=$A$3,Main!$B$43=A53),Weight!V30,I53)</f>
        <v>44.335711129705246</v>
      </c>
      <c r="J53" s="72">
        <f ca="1">IF(AND(Energy!$F$11=$A$3,Main!$B$43=A53),Weight!I30,J53)</f>
        <v>23.490392428125002</v>
      </c>
      <c r="K53" s="72">
        <f ca="1">IF(AND(Energy!$F$11=$A$3,Main!$B$43=A53),Weight!W30,K53)</f>
        <v>59.335711129705246</v>
      </c>
      <c r="L53" s="72">
        <f ca="1">IF(AND(Energy!$F$11=$A$3,Main!$B$43=A53),'Aerodynamics-Cruise'!BI30,L53)</f>
        <v>59.335711129705253</v>
      </c>
      <c r="M53" s="72">
        <f ca="1">IF(AND(Energy!$F$11=$A$3,Main!$B$43=A53),'Aerodynamics-Cruise'!BJ30,M53)</f>
        <v>2.8057528520335868</v>
      </c>
      <c r="N53" s="72">
        <f ca="1">IF(AND(Energy!$F$11=$A$3,Main!$B$43=A53),'Aerodynamics-Cruise'!BK30,N53)</f>
        <v>21.147875190325195</v>
      </c>
      <c r="O53" s="72">
        <f t="shared" ca="1" si="3"/>
        <v>162.90139916118144</v>
      </c>
      <c r="P53" s="72">
        <f ca="1">IF(AND(Energy!$F$11=$A$3,Main!$B$43=A53),'Aerodynamics-Cruise'!H30,P53)</f>
        <v>9.0531398261473175</v>
      </c>
      <c r="Q53" s="72">
        <f ca="1">IF(AND(Energy!$F$11=$A$3,Main!$B$43=A53),'Aerodynamics-Cruise'!I30,Q53)</f>
        <v>7.7149161102698578</v>
      </c>
      <c r="R53" s="72">
        <f ca="1">IF(AND(Energy!$F$11=$A$3,Main!$B$43=$A53),Summary!R30,R53)</f>
        <v>4.9752135902402994</v>
      </c>
      <c r="S53" s="72">
        <f ca="1">IF(AND(Energy!$F$11=$A$3,Main!$B$43=A53),'Aerodynamics-Cruise'!W30,S53)</f>
        <v>1</v>
      </c>
      <c r="T53" s="72">
        <f ca="1">IF(AND(Energy!$F$11=$A$3,Main!$B$43=A53),'Aerodynamics-Cruise'!BL30,T53)</f>
        <v>25.400872887071685</v>
      </c>
      <c r="U53" s="72">
        <f ca="1">IF(AND(Energy!$F$11=$A$3,Main!$B$43=A53),'Propulsion-Cruise'!M30,U53)</f>
        <v>54.43707739455607</v>
      </c>
      <c r="V53" s="72">
        <f ca="1">IF(AND(Energy!$F$11=$A$3,Main!$B$43=A53),Endurance!AP30,V53)</f>
        <v>517.56326472602677</v>
      </c>
      <c r="W53" s="72">
        <f ca="1">IF(AND(Energy!$F$11=$A$3,Main!$B$43=$A53),Summary!W30,W53)</f>
        <v>1.3251461988304096</v>
      </c>
      <c r="X53" s="13">
        <f ca="1">IF(AND(Energy!$F$11=$A$3,Main!$B$43=A53),Energy!D30,X53)</f>
        <v>1182.0301388888888</v>
      </c>
      <c r="Y53" s="126">
        <f ca="1">IF(AND(Energy!$F$11=$A$3,Main!$B$43=A53),'Aerodynamics-Cruise'!V30,Y53)</f>
        <v>140353.96205628329</v>
      </c>
      <c r="Z53" s="126">
        <f ca="1">IF(AND(Energy!$F$11=$A$3,Main!$B$43=$A53),Summary!Z30,Z53)</f>
        <v>105934.48808823561</v>
      </c>
      <c r="AA53" s="126">
        <f ca="1">IF(AND(Energy!$F$11=$A$3,Main!$B$43=$A53),Summary!AA30,AA53)</f>
        <v>105934.48808823561</v>
      </c>
      <c r="AB53" s="72">
        <f ca="1">IF(AND(Energy!$F$11=$A$3,Main!$B$43=$A53),Summary!AB30,AB53)</f>
        <v>4.9752135902402994</v>
      </c>
      <c r="AC53" s="72">
        <f ca="1">IF(AND(Energy!$F$11=$A$3,Main!$B$43=$A53),Summary!AC30,AC53)</f>
        <v>2.4424060080603582</v>
      </c>
      <c r="AD53" s="72">
        <f ca="1">IF(AND(Energy!$F$11=$A$3,Main!$B$43=$A53),Summary!AD30,AD53)</f>
        <v>0.41695065750603311</v>
      </c>
      <c r="AE53" s="72">
        <f ca="1">IF(AND(Energy!$F$11=$A$3,Main!$B$43=$A53),Summary!AE30,AE53)</f>
        <v>1.3251461988304096</v>
      </c>
      <c r="AF53" s="72">
        <f ca="1">IF(AND(Energy!$F$11=$A$3,Main!$B$43=$A53),Summary!AF30,AF53)</f>
        <v>22.177033492822964</v>
      </c>
      <c r="AG53" s="72">
        <f ca="1">IF(AND(Energy!$F$11=$A$3,Main!$B$43=$A53),Summary!AG30,AG53)</f>
        <v>11.234488397812761</v>
      </c>
      <c r="AH53" s="72">
        <f ca="1">IF(AND(Energy!$F$11=$A$3,Main!$B$43=$A53),Summary!AH30,AH53)</f>
        <v>47</v>
      </c>
      <c r="AI53" s="72">
        <f ca="1">IF(AND(Energy!$F$11=$A$3,Main!$B$43=$A53),Summary!AI30,AI53)</f>
        <v>2.6989330499339044</v>
      </c>
      <c r="AJ53" s="72">
        <f ca="1">IF(AND(Energy!$F$11=$A$3,Main!$B$43=$A53),Summary!AJ30,AJ53)</f>
        <v>0.23663591688480853</v>
      </c>
      <c r="AK53" s="72">
        <f ca="1">IF(AND(Energy!$F$11=$A$3,Main!$B$43=$A53),Summary!AK30,AK53)</f>
        <v>0.01</v>
      </c>
      <c r="AL53" s="72">
        <f ca="1">IF(AND(Energy!$F$11=$A$3,Main!$B$43=$A53),Summary!AL30,AL53)</f>
        <v>-0.52814913044426948</v>
      </c>
      <c r="AM53" s="72">
        <f ca="1">IF(AND(Energy!$F$11=$A$3,Main!$B$43=$A53),Summary!AJ70,AM53)</f>
        <v>0</v>
      </c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</row>
    <row r="54" spans="1:54">
      <c r="A54">
        <f t="shared" si="4"/>
        <v>3</v>
      </c>
      <c r="B54" s="58"/>
      <c r="C54" s="58"/>
      <c r="D54" s="1">
        <f ca="1">IF(AND(Energy!$F$11=$A$3,Main!$B$43=A54),Main!C31,D54)</f>
        <v>5.5789473684210531</v>
      </c>
      <c r="E54" s="72">
        <f ca="1">IF(AND(Energy!$F$11=$A$3,Main!$B$43=A54),Main!B31,E54)</f>
        <v>0.24444444444444446</v>
      </c>
      <c r="F54" s="72">
        <f ca="1">IF(Main!$D$6=1,U54,IF(Main!$D$6=2,N54,IF(Main!$D$6=3,K54,IF(Main!$D$6=4,V54,J54))))</f>
        <v>517.63087817472979</v>
      </c>
      <c r="G54" s="72">
        <f ca="1">IF(AND(Energy!$F$11=$A$3,Main!$B$43=A54),Weight!H31,G54)</f>
        <v>15</v>
      </c>
      <c r="H54" s="72">
        <f ca="1">IF(AND(Energy!$F$11=$A$3,Main!$B$43=A54),Weight!U31,H54)</f>
        <v>16.390104498906595</v>
      </c>
      <c r="I54" s="72">
        <f ca="1">IF(AND(Energy!$F$11=$A$3,Main!$B$43=A54),Weight!V31,I54)</f>
        <v>44.818145202031602</v>
      </c>
      <c r="J54" s="72">
        <f ca="1">IF(AND(Energy!$F$11=$A$3,Main!$B$43=A54),Weight!I31,J54)</f>
        <v>23.490392428125002</v>
      </c>
      <c r="K54" s="72">
        <f ca="1">IF(AND(Energy!$F$11=$A$3,Main!$B$43=A54),Weight!W31,K54)</f>
        <v>59.818145202031602</v>
      </c>
      <c r="L54" s="72">
        <f ca="1">IF(AND(Energy!$F$11=$A$3,Main!$B$43=A54),'Aerodynamics-Cruise'!BI31,L54)</f>
        <v>59.818145202031594</v>
      </c>
      <c r="M54" s="72">
        <f ca="1">IF(AND(Energy!$F$11=$A$3,Main!$B$43=A54),'Aerodynamics-Cruise'!BJ31,M54)</f>
        <v>2.8207386682863462</v>
      </c>
      <c r="N54" s="72">
        <f ca="1">IF(AND(Energy!$F$11=$A$3,Main!$B$43=A54),'Aerodynamics-Cruise'!BK31,N54)</f>
        <v>21.206553401975476</v>
      </c>
      <c r="O54" s="72">
        <f t="shared" ca="1" si="3"/>
        <v>164.01613052469961</v>
      </c>
      <c r="P54" s="72">
        <f ca="1">IF(AND(Energy!$F$11=$A$3,Main!$B$43=A54),'Aerodynamics-Cruise'!H31,P54)</f>
        <v>8.9602893430945141</v>
      </c>
      <c r="Q54" s="72">
        <f ca="1">IF(AND(Energy!$F$11=$A$3,Main!$B$43=A54),'Aerodynamics-Cruise'!I31,Q54)</f>
        <v>7.6390095291330731</v>
      </c>
      <c r="R54" s="72">
        <f ca="1">IF(AND(Energy!$F$11=$A$3,Main!$B$43=$A54),Summary!R31,R54)</f>
        <v>4.9160038905316545</v>
      </c>
      <c r="S54" s="72">
        <f ca="1">IF(AND(Energy!$F$11=$A$3,Main!$B$43=A54),'Aerodynamics-Cruise'!W31,S54)</f>
        <v>1</v>
      </c>
      <c r="T54" s="72">
        <f ca="1">IF(AND(Energy!$F$11=$A$3,Main!$B$43=A54),'Aerodynamics-Cruise'!BL31,T54)</f>
        <v>25.27463462910076</v>
      </c>
      <c r="U54" s="72">
        <f ca="1">IF(AND(Energy!$F$11=$A$3,Main!$B$43=A54),'Propulsion-Cruise'!M31,U54)</f>
        <v>54.326176679841758</v>
      </c>
      <c r="V54" s="72">
        <f ca="1">IF(AND(Energy!$F$11=$A$3,Main!$B$43=A54),Endurance!AP31,V54)</f>
        <v>517.63087817472979</v>
      </c>
      <c r="W54" s="72">
        <f ca="1">IF(AND(Energy!$F$11=$A$3,Main!$B$43=$A54),Summary!W31,W54)</f>
        <v>1.3637426900584797</v>
      </c>
      <c r="X54" s="13">
        <f ca="1">IF(AND(Energy!$F$11=$A$3,Main!$B$43=A54),Energy!D31,X54)</f>
        <v>1182.0301388888888</v>
      </c>
      <c r="Y54" s="126">
        <f ca="1">IF(AND(Energy!$F$11=$A$3,Main!$B$43=A54),'Aerodynamics-Cruise'!V31,Y54)</f>
        <v>138914.4688610427</v>
      </c>
      <c r="Z54" s="126">
        <f ca="1">IF(AND(Energy!$F$11=$A$3,Main!$B$43=$A54),Summary!Z31,Z54)</f>
        <v>104890.48048124189</v>
      </c>
      <c r="AA54" s="126">
        <f ca="1">IF(AND(Energy!$F$11=$A$3,Main!$B$43=$A54),Summary!AA31,AA54)</f>
        <v>104890.48048124189</v>
      </c>
      <c r="AB54" s="72">
        <f ca="1">IF(AND(Energy!$F$11=$A$3,Main!$B$43=$A54),Summary!AB31,AB54)</f>
        <v>4.9160038905316545</v>
      </c>
      <c r="AC54" s="72">
        <f ca="1">IF(AND(Energy!$F$11=$A$3,Main!$B$43=$A54),Summary!AC31,AC54)</f>
        <v>2.4017324754910949</v>
      </c>
      <c r="AD54" s="72">
        <f ca="1">IF(AND(Energy!$F$11=$A$3,Main!$B$43=$A54),Summary!AD31,AD54)</f>
        <v>0.41538354083149792</v>
      </c>
      <c r="AE54" s="72">
        <f ca="1">IF(AND(Energy!$F$11=$A$3,Main!$B$43=$A54),Summary!AE31,AE54)</f>
        <v>1.3637426900584797</v>
      </c>
      <c r="AF54" s="72">
        <f ca="1">IF(AND(Energy!$F$11=$A$3,Main!$B$43=$A54),Summary!AF31,AF54)</f>
        <v>22.822966507177032</v>
      </c>
      <c r="AG54" s="72">
        <f ca="1">IF(AND(Energy!$F$11=$A$3,Main!$B$43=$A54),Summary!AG31,AG54)</f>
        <v>11.235737826051016</v>
      </c>
      <c r="AH54" s="72">
        <f ca="1">IF(AND(Energy!$F$11=$A$3,Main!$B$43=$A54),Summary!AH31,AH54)</f>
        <v>47</v>
      </c>
      <c r="AI54" s="72">
        <f ca="1">IF(AND(Energy!$F$11=$A$3,Main!$B$43=$A54),Summary!AI31,AI54)</f>
        <v>2.6966590224426668</v>
      </c>
      <c r="AJ54" s="72">
        <f ca="1">IF(AND(Energy!$F$11=$A$3,Main!$B$43=$A54),Summary!AJ31,AJ54)</f>
        <v>0.23730948692498938</v>
      </c>
      <c r="AK54" s="72">
        <f ca="1">IF(AND(Energy!$F$11=$A$3,Main!$B$43=$A54),Summary!AK31,AK54)</f>
        <v>0.01</v>
      </c>
      <c r="AL54" s="72">
        <f ca="1">IF(AND(Energy!$F$11=$A$3,Main!$B$43=$A54),Summary!AL31,AL54)</f>
        <v>-0.52665000575810117</v>
      </c>
      <c r="AM54" s="72">
        <f ca="1">IF(AND(Energy!$F$11=$A$3,Main!$B$43=$A54),Summary!AJ71,AM54)</f>
        <v>0</v>
      </c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</row>
    <row r="55" spans="1:54">
      <c r="A55">
        <f t="shared" si="4"/>
        <v>3</v>
      </c>
      <c r="B55" s="58"/>
      <c r="C55" s="58"/>
      <c r="D55" s="1">
        <f ca="1">IF(AND(Energy!$F$11=$A$3,Main!$B$43=A55),Main!C32,D55)</f>
        <v>5.7368421052631584</v>
      </c>
      <c r="E55" s="72">
        <f ca="1">IF(AND(Energy!$F$11=$A$3,Main!$B$43=A55),Main!B32,E55)</f>
        <v>0.24444444444444446</v>
      </c>
      <c r="F55" s="72">
        <f ca="1">IF(Main!$D$6=1,U55,IF(Main!$D$6=2,N55,IF(Main!$D$6=3,K55,IF(Main!$D$6=4,V55,J55))))</f>
        <v>518.07265935881071</v>
      </c>
      <c r="G55" s="72">
        <f ca="1">IF(AND(Energy!$F$11=$A$3,Main!$B$43=A55),Weight!H32,G55)</f>
        <v>15</v>
      </c>
      <c r="H55" s="72">
        <f ca="1">IF(AND(Energy!$F$11=$A$3,Main!$B$43=A55),Weight!U32,H55)</f>
        <v>16.8811925916878</v>
      </c>
      <c r="I55" s="72">
        <f ca="1">IF(AND(Energy!$F$11=$A$3,Main!$B$43=A55),Weight!V32,I55)</f>
        <v>45.309233294812799</v>
      </c>
      <c r="J55" s="72">
        <f ca="1">IF(AND(Energy!$F$11=$A$3,Main!$B$43=A55),Weight!I32,J55)</f>
        <v>23.490392428125002</v>
      </c>
      <c r="K55" s="72">
        <f ca="1">IF(AND(Energy!$F$11=$A$3,Main!$B$43=A55),Weight!W32,K55)</f>
        <v>60.309233294812806</v>
      </c>
      <c r="L55" s="72">
        <f ca="1">IF(AND(Energy!$F$11=$A$3,Main!$B$43=A55),'Aerodynamics-Cruise'!BI32,L55)</f>
        <v>60.309233294812792</v>
      </c>
      <c r="M55" s="72">
        <f ca="1">IF(AND(Energy!$F$11=$A$3,Main!$B$43=A55),'Aerodynamics-Cruise'!BJ32,M55)</f>
        <v>2.8369332838257963</v>
      </c>
      <c r="N55" s="72">
        <f ca="1">IF(AND(Energy!$F$11=$A$3,Main!$B$43=A55),'Aerodynamics-Cruise'!BK32,N55)</f>
        <v>21.258601193991321</v>
      </c>
      <c r="O55" s="72">
        <f t="shared" ca="1" si="3"/>
        <v>165.09221273741986</v>
      </c>
      <c r="P55" s="72">
        <f ca="1">IF(AND(Energy!$F$11=$A$3,Main!$B$43=A55),'Aerodynamics-Cruise'!H32,P55)</f>
        <v>8.872295216245373</v>
      </c>
      <c r="Q55" s="72">
        <f ca="1">IF(AND(Energy!$F$11=$A$3,Main!$B$43=A55),'Aerodynamics-Cruise'!I32,Q55)</f>
        <v>7.5670425520833149</v>
      </c>
      <c r="R55" s="72">
        <f ca="1">IF(AND(Energy!$F$11=$A$3,Main!$B$43=$A55),Summary!R32,R55)</f>
        <v>4.8622038452534717</v>
      </c>
      <c r="S55" s="72">
        <f ca="1">IF(AND(Energy!$F$11=$A$3,Main!$B$43=A55),'Aerodynamics-Cruise'!W32,S55)</f>
        <v>1</v>
      </c>
      <c r="T55" s="72">
        <f ca="1">IF(AND(Energy!$F$11=$A$3,Main!$B$43=A55),'Aerodynamics-Cruise'!BL32,T55)</f>
        <v>25.17010960289489</v>
      </c>
      <c r="U55" s="72">
        <f ca="1">IF(AND(Energy!$F$11=$A$3,Main!$B$43=A55),'Propulsion-Cruise'!M32,U55)</f>
        <v>54.257150910854264</v>
      </c>
      <c r="V55" s="72">
        <f ca="1">IF(AND(Energy!$F$11=$A$3,Main!$B$43=A55),Endurance!AP32,V55)</f>
        <v>518.07265935881071</v>
      </c>
      <c r="W55" s="72">
        <f ca="1">IF(AND(Energy!$F$11=$A$3,Main!$B$43=$A55),Summary!W32,W55)</f>
        <v>1.40233918128655</v>
      </c>
      <c r="X55" s="13">
        <f ca="1">IF(AND(Energy!$F$11=$A$3,Main!$B$43=A55),Energy!D32,X55)</f>
        <v>1182.0301388888888</v>
      </c>
      <c r="Y55" s="126">
        <f ca="1">IF(AND(Energy!$F$11=$A$3,Main!$B$43=A55),'Aerodynamics-Cruise'!V32,Y55)</f>
        <v>137550.26543790655</v>
      </c>
      <c r="Z55" s="126">
        <f ca="1">IF(AND(Energy!$F$11=$A$3,Main!$B$43=$A55),Summary!Z32,Z55)</f>
        <v>103900.67399924986</v>
      </c>
      <c r="AA55" s="126">
        <f ca="1">IF(AND(Energy!$F$11=$A$3,Main!$B$43=$A55),Summary!AA32,AA55)</f>
        <v>103900.67399924986</v>
      </c>
      <c r="AB55" s="72">
        <f ca="1">IF(AND(Energy!$F$11=$A$3,Main!$B$43=$A55),Summary!AB32,AB55)</f>
        <v>4.8622038452534717</v>
      </c>
      <c r="AC55" s="72">
        <f ca="1">IF(AND(Energy!$F$11=$A$3,Main!$B$43=$A55),Summary!AC32,AC55)</f>
        <v>2.3620939290378691</v>
      </c>
      <c r="AD55" s="72">
        <f ca="1">IF(AND(Energy!$F$11=$A$3,Main!$B$43=$A55),Summary!AD32,AD55)</f>
        <v>0.41398118234913139</v>
      </c>
      <c r="AE55" s="72">
        <f ca="1">IF(AND(Energy!$F$11=$A$3,Main!$B$43=$A55),Summary!AE32,AE55)</f>
        <v>1.40233918128655</v>
      </c>
      <c r="AF55" s="72">
        <f ca="1">IF(AND(Energy!$F$11=$A$3,Main!$B$43=$A55),Summary!AF32,AF55)</f>
        <v>23.4688995215311</v>
      </c>
      <c r="AG55" s="72">
        <f ca="1">IF(AND(Energy!$F$11=$A$3,Main!$B$43=$A55),Summary!AG32,AG55)</f>
        <v>11.241605527867703</v>
      </c>
      <c r="AH55" s="72">
        <f ca="1">IF(AND(Energy!$F$11=$A$3,Main!$B$43=$A55),Summary!AH32,AH55)</f>
        <v>47</v>
      </c>
      <c r="AI55" s="72">
        <f ca="1">IF(AND(Energy!$F$11=$A$3,Main!$B$43=$A55),Summary!AI32,AI55)</f>
        <v>2.6944844845638634</v>
      </c>
      <c r="AJ55" s="72">
        <f ca="1">IF(AND(Energy!$F$11=$A$3,Main!$B$43=$A55),Summary!AJ32,AJ55)</f>
        <v>0.23795176788481032</v>
      </c>
      <c r="AK55" s="72">
        <f ca="1">IF(AND(Energy!$F$11=$A$3,Main!$B$43=$A55),Summary!AK32,AK55)</f>
        <v>0.01</v>
      </c>
      <c r="AL55" s="72">
        <f ca="1">IF(AND(Energy!$F$11=$A$3,Main!$B$43=$A55),Summary!AL32,AL55)</f>
        <v>-0.52522842135729686</v>
      </c>
      <c r="AM55" s="72">
        <f ca="1">IF(AND(Energy!$F$11=$A$3,Main!$B$43=$A55),Summary!AJ72,AM55)</f>
        <v>0</v>
      </c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</row>
    <row r="56" spans="1:54">
      <c r="A56">
        <f t="shared" si="4"/>
        <v>3</v>
      </c>
      <c r="B56" s="58"/>
      <c r="C56" s="58"/>
      <c r="D56" s="1">
        <f ca="1">IF(AND(Energy!$F$11=$A$3,Main!$B$43=A56),Main!C33,D56)</f>
        <v>5.8947368421052637</v>
      </c>
      <c r="E56" s="72">
        <f ca="1">IF(AND(Energy!$F$11=$A$3,Main!$B$43=A56),Main!B33,E56)</f>
        <v>0.24444444444444446</v>
      </c>
      <c r="F56" s="72">
        <f ca="1">IF(Main!$D$6=1,U56,IF(Main!$D$6=2,N56,IF(Main!$D$6=3,K56,IF(Main!$D$6=4,V56,J56))))</f>
        <v>518.86130343687182</v>
      </c>
      <c r="G56" s="72">
        <f ca="1">IF(AND(Energy!$F$11=$A$3,Main!$B$43=A56),Weight!H33,G56)</f>
        <v>15</v>
      </c>
      <c r="H56" s="72">
        <f ca="1">IF(AND(Energy!$F$11=$A$3,Main!$B$43=A56),Weight!U33,H56)</f>
        <v>17.380976826314601</v>
      </c>
      <c r="I56" s="72">
        <f ca="1">IF(AND(Energy!$F$11=$A$3,Main!$B$43=A56),Weight!V33,I56)</f>
        <v>45.8090175294396</v>
      </c>
      <c r="J56" s="72">
        <f ca="1">IF(AND(Energy!$F$11=$A$3,Main!$B$43=A56),Weight!I33,J56)</f>
        <v>23.490392428125002</v>
      </c>
      <c r="K56" s="72">
        <f ca="1">IF(AND(Energy!$F$11=$A$3,Main!$B$43=A56),Weight!W33,K56)</f>
        <v>60.809017529439608</v>
      </c>
      <c r="L56" s="72">
        <f ca="1">IF(AND(Energy!$F$11=$A$3,Main!$B$43=A56),'Aerodynamics-Cruise'!BI33,L56)</f>
        <v>60.809017529439615</v>
      </c>
      <c r="M56" s="72">
        <f ca="1">IF(AND(Energy!$F$11=$A$3,Main!$B$43=A56),'Aerodynamics-Cruise'!BJ33,M56)</f>
        <v>2.8542511930476255</v>
      </c>
      <c r="N56" s="72">
        <f ca="1">IF(AND(Energy!$F$11=$A$3,Main!$B$43=A56),'Aerodynamics-Cruise'!BK33,N56)</f>
        <v>21.304718266408365</v>
      </c>
      <c r="O56" s="72">
        <f t="shared" ca="1" si="3"/>
        <v>166.13448473038281</v>
      </c>
      <c r="P56" s="72">
        <f ca="1">IF(AND(Energy!$F$11=$A$3,Main!$B$43=A56),'Aerodynamics-Cruise'!H33,P56)</f>
        <v>8.7888335156176591</v>
      </c>
      <c r="Q56" s="72">
        <f ca="1">IF(AND(Energy!$F$11=$A$3,Main!$B$43=A56),'Aerodynamics-Cruise'!I33,Q56)</f>
        <v>7.4987547684553428</v>
      </c>
      <c r="R56" s="72">
        <f ca="1">IF(AND(Energy!$F$11=$A$3,Main!$B$43=$A56),Summary!R33,R56)</f>
        <v>4.8134182813504021</v>
      </c>
      <c r="S56" s="72">
        <f ca="1">IF(AND(Energy!$F$11=$A$3,Main!$B$43=A56),'Aerodynamics-Cruise'!W33,S56)</f>
        <v>1</v>
      </c>
      <c r="T56" s="72">
        <f ca="1">IF(AND(Energy!$F$11=$A$3,Main!$B$43=A56),'Aerodynamics-Cruise'!BL33,T56)</f>
        <v>25.08553854744866</v>
      </c>
      <c r="U56" s="72">
        <f ca="1">IF(AND(Energy!$F$11=$A$3,Main!$B$43=A56),'Propulsion-Cruise'!M33,U56)</f>
        <v>54.226821322511078</v>
      </c>
      <c r="V56" s="72">
        <f ca="1">IF(AND(Energy!$F$11=$A$3,Main!$B$43=A56),Endurance!AP33,V56)</f>
        <v>518.86130343687182</v>
      </c>
      <c r="W56" s="72">
        <f ca="1">IF(AND(Energy!$F$11=$A$3,Main!$B$43=$A56),Summary!W33,W56)</f>
        <v>1.4409356725146201</v>
      </c>
      <c r="X56" s="13">
        <f ca="1">IF(AND(Energy!$F$11=$A$3,Main!$B$43=A56),Energy!D33,X56)</f>
        <v>1182.0301388888888</v>
      </c>
      <c r="Y56" s="126">
        <f ca="1">IF(AND(Energy!$F$11=$A$3,Main!$B$43=A56),'Aerodynamics-Cruise'!V33,Y56)</f>
        <v>136256.32978817515</v>
      </c>
      <c r="Z56" s="126">
        <f ca="1">IF(AND(Energy!$F$11=$A$3,Main!$B$43=$A56),Summary!Z33,Z56)</f>
        <v>102961.48463082533</v>
      </c>
      <c r="AA56" s="126">
        <f ca="1">IF(AND(Energy!$F$11=$A$3,Main!$B$43=$A56),Summary!AA33,AA56)</f>
        <v>102961.48463082533</v>
      </c>
      <c r="AB56" s="72">
        <f ca="1">IF(AND(Energy!$F$11=$A$3,Main!$B$43=$A56),Summary!AB33,AB56)</f>
        <v>4.8134182813504021</v>
      </c>
      <c r="AC56" s="72">
        <f ca="1">IF(AND(Energy!$F$11=$A$3,Main!$B$43=$A56),Summary!AC33,AC56)</f>
        <v>2.3234480159073478</v>
      </c>
      <c r="AD56" s="72">
        <f ca="1">IF(AND(Energy!$F$11=$A$3,Main!$B$43=$A56),Summary!AD33,AD56)</f>
        <v>0.41273211785115888</v>
      </c>
      <c r="AE56" s="72">
        <f ca="1">IF(AND(Energy!$F$11=$A$3,Main!$B$43=$A56),Summary!AE33,AE56)</f>
        <v>1.4409356725146201</v>
      </c>
      <c r="AF56" s="72">
        <f ca="1">IF(AND(Energy!$F$11=$A$3,Main!$B$43=$A56),Summary!AF33,AF56)</f>
        <v>24.114832535885171</v>
      </c>
      <c r="AG56" s="72">
        <f ca="1">IF(AND(Energy!$F$11=$A$3,Main!$B$43=$A56),Summary!AG33,AG56)</f>
        <v>11.251746127255503</v>
      </c>
      <c r="AH56" s="72">
        <f ca="1">IF(AND(Energy!$F$11=$A$3,Main!$B$43=$A56),Summary!AH33,AH56)</f>
        <v>47</v>
      </c>
      <c r="AI56" s="72">
        <f ca="1">IF(AND(Energy!$F$11=$A$3,Main!$B$43=$A56),Summary!AI33,AI56)</f>
        <v>2.6924041097059228</v>
      </c>
      <c r="AJ56" s="72">
        <f ca="1">IF(AND(Energy!$F$11=$A$3,Main!$B$43=$A56),Summary!AJ33,AJ56)</f>
        <v>0.23856470688989528</v>
      </c>
      <c r="AK56" s="72">
        <f ca="1">IF(AND(Energy!$F$11=$A$3,Main!$B$43=$A56),Summary!AK33,AK56)</f>
        <v>0.01</v>
      </c>
      <c r="AL56" s="72">
        <f ca="1">IF(AND(Energy!$F$11=$A$3,Main!$B$43=$A56),Summary!AL33,AL56)</f>
        <v>-0.52387891583334001</v>
      </c>
      <c r="AM56" s="72">
        <f ca="1">IF(AND(Energy!$F$11=$A$3,Main!$B$43=$A56),Summary!AJ73,AM56)</f>
        <v>0</v>
      </c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</row>
    <row r="57" spans="1:54">
      <c r="A57">
        <f t="shared" si="4"/>
        <v>3</v>
      </c>
      <c r="B57" s="58"/>
      <c r="C57" s="58"/>
      <c r="D57" s="1">
        <f ca="1">IF(AND(Energy!$F$11=$A$3,Main!$B$43=A57),Main!C34,D57)</f>
        <v>6.052631578947369</v>
      </c>
      <c r="E57" s="72">
        <f ca="1">IF(AND(Energy!$F$11=$A$3,Main!$B$43=A57),Main!B34,E57)</f>
        <v>0.24444444444444446</v>
      </c>
      <c r="F57" s="72">
        <f ca="1">IF(Main!$D$6=1,U57,IF(Main!$D$6=2,N57,IF(Main!$D$6=3,K57,IF(Main!$D$6=4,V57,J57))))</f>
        <v>519.97273834049292</v>
      </c>
      <c r="G57" s="72">
        <f ca="1">IF(AND(Energy!$F$11=$A$3,Main!$B$43=A57),Weight!H34,G57)</f>
        <v>15</v>
      </c>
      <c r="H57" s="72">
        <f ca="1">IF(AND(Energy!$F$11=$A$3,Main!$B$43=A57),Weight!U34,H57)</f>
        <v>17.88950283261142</v>
      </c>
      <c r="I57" s="72">
        <f ca="1">IF(AND(Energy!$F$11=$A$3,Main!$B$43=A57),Weight!V34,I57)</f>
        <v>46.317543535736419</v>
      </c>
      <c r="J57" s="72">
        <f ca="1">IF(AND(Energy!$F$11=$A$3,Main!$B$43=A57),Weight!I34,J57)</f>
        <v>23.490392428125002</v>
      </c>
      <c r="K57" s="72">
        <f ca="1">IF(AND(Energy!$F$11=$A$3,Main!$B$43=A57),Weight!W34,K57)</f>
        <v>61.317543535736426</v>
      </c>
      <c r="L57" s="72">
        <f ca="1">IF(AND(Energy!$F$11=$A$3,Main!$B$43=A57),'Aerodynamics-Cruise'!BI34,L57)</f>
        <v>61.317543535736434</v>
      </c>
      <c r="M57" s="72">
        <f ca="1">IF(AND(Energy!$F$11=$A$3,Main!$B$43=A57),'Aerodynamics-Cruise'!BJ34,M57)</f>
        <v>2.8726163768998463</v>
      </c>
      <c r="N57" s="72">
        <f ca="1">IF(AND(Energy!$F$11=$A$3,Main!$B$43=A57),'Aerodynamics-Cruise'!BK34,N57)</f>
        <v>21.34553852328548</v>
      </c>
      <c r="O57" s="72">
        <f t="shared" ca="1" si="3"/>
        <v>167.1473478903653</v>
      </c>
      <c r="P57" s="72">
        <f ca="1">IF(AND(Energy!$F$11=$A$3,Main!$B$43=A57),'Aerodynamics-Cruise'!H34,P57)</f>
        <v>8.709610210164195</v>
      </c>
      <c r="Q57" s="72">
        <f ca="1">IF(AND(Energy!$F$11=$A$3,Main!$B$43=A57),'Aerodynamics-Cruise'!I34,Q57)</f>
        <v>7.4339096482901423</v>
      </c>
      <c r="R57" s="72">
        <f ca="1">IF(AND(Energy!$F$11=$A$3,Main!$B$43=$A57),Summary!R34,R57)</f>
        <v>4.7692951870581091</v>
      </c>
      <c r="S57" s="72">
        <f ca="1">IF(AND(Energy!$F$11=$A$3,Main!$B$43=A57),'Aerodynamics-Cruise'!W34,S57)</f>
        <v>1</v>
      </c>
      <c r="T57" s="72">
        <f ca="1">IF(AND(Energy!$F$11=$A$3,Main!$B$43=A57),'Aerodynamics-Cruise'!BL34,T57)</f>
        <v>25.019368926131779</v>
      </c>
      <c r="U57" s="72">
        <f ca="1">IF(AND(Energy!$F$11=$A$3,Main!$B$43=A57),'Propulsion-Cruise'!M34,U57)</f>
        <v>54.232382979605362</v>
      </c>
      <c r="V57" s="72">
        <f ca="1">IF(AND(Energy!$F$11=$A$3,Main!$B$43=A57),Endurance!AP34,V57)</f>
        <v>519.97273834049292</v>
      </c>
      <c r="W57" s="72">
        <f ca="1">IF(AND(Energy!$F$11=$A$3,Main!$B$43=$A57),Summary!W34,W57)</f>
        <v>1.4795321637426904</v>
      </c>
      <c r="X57" s="13">
        <f ca="1">IF(AND(Energy!$F$11=$A$3,Main!$B$43=A57),Energy!D34,X57)</f>
        <v>1182.0301388888888</v>
      </c>
      <c r="Y57" s="126">
        <f ca="1">IF(AND(Energy!$F$11=$A$3,Main!$B$43=A57),'Aerodynamics-Cruise'!V34,Y57)</f>
        <v>135028.10344669374</v>
      </c>
      <c r="Z57" s="126">
        <f ca="1">IF(AND(Energy!$F$11=$A$3,Main!$B$43=$A57),Summary!Z34,Z57)</f>
        <v>102069.65711676452</v>
      </c>
      <c r="AA57" s="126">
        <f ca="1">IF(AND(Energy!$F$11=$A$3,Main!$B$43=$A57),Summary!AA34,AA57)</f>
        <v>102069.65711676452</v>
      </c>
      <c r="AB57" s="72">
        <f ca="1">IF(AND(Energy!$F$11=$A$3,Main!$B$43=$A57),Summary!AB34,AB57)</f>
        <v>4.7692951870581091</v>
      </c>
      <c r="AC57" s="72">
        <f ca="1">IF(AND(Energy!$F$11=$A$3,Main!$B$43=$A57),Summary!AC34,AC57)</f>
        <v>2.2857543342492406</v>
      </c>
      <c r="AD57" s="72">
        <f ca="1">IF(AND(Energy!$F$11=$A$3,Main!$B$43=$A57),Summary!AD34,AD57)</f>
        <v>0.41162599626914731</v>
      </c>
      <c r="AE57" s="72">
        <f ca="1">IF(AND(Energy!$F$11=$A$3,Main!$B$43=$A57),Summary!AE34,AE57)</f>
        <v>1.4795321637426904</v>
      </c>
      <c r="AF57" s="72">
        <f ca="1">IF(AND(Energy!$F$11=$A$3,Main!$B$43=$A57),Summary!AF34,AF57)</f>
        <v>24.760765550239235</v>
      </c>
      <c r="AG57" s="72">
        <f ca="1">IF(AND(Energy!$F$11=$A$3,Main!$B$43=$A57),Summary!AG34,AG57)</f>
        <v>11.265852654086039</v>
      </c>
      <c r="AH57" s="72">
        <f ca="1">IF(AND(Energy!$F$11=$A$3,Main!$B$43=$A57),Summary!AH34,AH57)</f>
        <v>47</v>
      </c>
      <c r="AI57" s="72">
        <f ca="1">IF(AND(Energy!$F$11=$A$3,Main!$B$43=$A57),Summary!AI34,AI57)</f>
        <v>2.6904129990715813</v>
      </c>
      <c r="AJ57" s="72">
        <f ca="1">IF(AND(Energy!$F$11=$A$3,Main!$B$43=$A57),Summary!AJ34,AJ57)</f>
        <v>0.23914996348710327</v>
      </c>
      <c r="AK57" s="72">
        <f ca="1">IF(AND(Energy!$F$11=$A$3,Main!$B$43=$A57),Summary!AK34,AK57)</f>
        <v>0.01</v>
      </c>
      <c r="AL57" s="72">
        <f ca="1">IF(AND(Energy!$F$11=$A$3,Main!$B$43=$A57),Summary!AL34,AL57)</f>
        <v>-0.52259681360067245</v>
      </c>
      <c r="AM57" s="72">
        <f ca="1">IF(AND(Energy!$F$11=$A$3,Main!$B$43=$A57),Summary!AJ74,AM57)</f>
        <v>0</v>
      </c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</row>
    <row r="58" spans="1:54">
      <c r="A58">
        <f t="shared" si="4"/>
        <v>3</v>
      </c>
      <c r="B58" s="58"/>
      <c r="C58" s="58"/>
      <c r="D58" s="1">
        <f ca="1">IF(AND(Energy!$F$11=$A$3,Main!$B$43=A58),Main!C35,D58)</f>
        <v>6.2105263157894743</v>
      </c>
      <c r="E58" s="72">
        <f ca="1">IF(AND(Energy!$F$11=$A$3,Main!$B$43=A58),Main!B35,E58)</f>
        <v>0.24444444444444446</v>
      </c>
      <c r="F58" s="72">
        <f ca="1">IF(Main!$D$6=1,U58,IF(Main!$D$6=2,N58,IF(Main!$D$6=3,K58,IF(Main!$D$6=4,V58,J58))))</f>
        <v>521.3856817705356</v>
      </c>
      <c r="G58" s="72">
        <f ca="1">IF(AND(Energy!$F$11=$A$3,Main!$B$43=A58),Weight!H35,G58)</f>
        <v>15</v>
      </c>
      <c r="H58" s="72">
        <f ca="1">IF(AND(Energy!$F$11=$A$3,Main!$B$43=A58),Weight!U35,H58)</f>
        <v>18.406819528115726</v>
      </c>
      <c r="I58" s="72">
        <f ca="1">IF(AND(Energy!$F$11=$A$3,Main!$B$43=A58),Weight!V35,I58)</f>
        <v>46.834860231240725</v>
      </c>
      <c r="J58" s="72">
        <f ca="1">IF(AND(Energy!$F$11=$A$3,Main!$B$43=A58),Weight!I35,J58)</f>
        <v>23.490392428125002</v>
      </c>
      <c r="K58" s="72">
        <f ca="1">IF(AND(Energy!$F$11=$A$3,Main!$B$43=A58),Weight!W35,K58)</f>
        <v>61.834860231240732</v>
      </c>
      <c r="L58" s="72">
        <f ca="1">IF(AND(Energy!$F$11=$A$3,Main!$B$43=A58),'Aerodynamics-Cruise'!BI35,L58)</f>
        <v>61.834860231240725</v>
      </c>
      <c r="M58" s="72">
        <f ca="1">IF(AND(Energy!$F$11=$A$3,Main!$B$43=A58),'Aerodynamics-Cruise'!BJ35,M58)</f>
        <v>2.8919610736788468</v>
      </c>
      <c r="N58" s="72">
        <f ca="1">IF(AND(Energy!$F$11=$A$3,Main!$B$43=A58),'Aerodynamics-Cruise'!BK35,N58)</f>
        <v>21.381636424511399</v>
      </c>
      <c r="O58" s="72">
        <f t="shared" ca="1" si="3"/>
        <v>168.13480797566243</v>
      </c>
      <c r="P58" s="72">
        <f ca="1">IF(AND(Energy!$F$11=$A$3,Main!$B$43=A58),'Aerodynamics-Cruise'!H35,P58)</f>
        <v>8.6343577145026877</v>
      </c>
      <c r="Q58" s="72">
        <f ca="1">IF(AND(Energy!$F$11=$A$3,Main!$B$43=A58),'Aerodynamics-Cruise'!I35,Q58)</f>
        <v>7.3722917980099893</v>
      </c>
      <c r="R58" s="72">
        <f ca="1">IF(AND(Energy!$F$11=$A$3,Main!$B$43=$A58),Summary!R35,R58)</f>
        <v>4.7295201675041598</v>
      </c>
      <c r="S58" s="72">
        <f ca="1">IF(AND(Energy!$F$11=$A$3,Main!$B$43=A58),'Aerodynamics-Cruise'!W35,S58)</f>
        <v>1</v>
      </c>
      <c r="T58" s="72">
        <f ca="1">IF(AND(Energy!$F$11=$A$3,Main!$B$43=A58),'Aerodynamics-Cruise'!BL35,T58)</f>
        <v>24.970226406560428</v>
      </c>
      <c r="U58" s="72">
        <f ca="1">IF(AND(Energy!$F$11=$A$3,Main!$B$43=A58),'Propulsion-Cruise'!M35,U58)</f>
        <v>54.271353425561664</v>
      </c>
      <c r="V58" s="72">
        <f ca="1">IF(AND(Energy!$F$11=$A$3,Main!$B$43=A58),Endurance!AP35,V58)</f>
        <v>521.3856817705356</v>
      </c>
      <c r="W58" s="72">
        <f ca="1">IF(AND(Energy!$F$11=$A$3,Main!$B$43=$A58),Summary!W35,W58)</f>
        <v>1.5181286549707604</v>
      </c>
      <c r="X58" s="13">
        <f ca="1">IF(AND(Energy!$F$11=$A$3,Main!$B$43=A58),Energy!D35,X58)</f>
        <v>1182.0301388888888</v>
      </c>
      <c r="Y58" s="126">
        <f ca="1">IF(AND(Energy!$F$11=$A$3,Main!$B$43=A58),'Aerodynamics-Cruise'!V35,Y58)</f>
        <v>133861.43794460894</v>
      </c>
      <c r="Z58" s="126">
        <f ca="1">IF(AND(Energy!$F$11=$A$3,Main!$B$43=$A58),Summary!Z35,Z58)</f>
        <v>101222.2271630246</v>
      </c>
      <c r="AA58" s="126">
        <f ca="1">IF(AND(Energy!$F$11=$A$3,Main!$B$43=$A58),Summary!AA35,AA58)</f>
        <v>101222.2271630246</v>
      </c>
      <c r="AB58" s="72">
        <f ca="1">IF(AND(Energy!$F$11=$A$3,Main!$B$43=$A58),Summary!AB35,AB58)</f>
        <v>4.7295201675041598</v>
      </c>
      <c r="AC58" s="72">
        <f ca="1">IF(AND(Energy!$F$11=$A$3,Main!$B$43=$A58),Summary!AC35,AC58)</f>
        <v>2.2495677166306227</v>
      </c>
      <c r="AD58" s="72">
        <f ca="1">IF(AND(Energy!$F$11=$A$3,Main!$B$43=$A58),Summary!AD35,AD58)</f>
        <v>0.41065344728799041</v>
      </c>
      <c r="AE58" s="72">
        <f ca="1">IF(AND(Energy!$F$11=$A$3,Main!$B$43=$A58),Summary!AE35,AE58)</f>
        <v>1.5181286549707604</v>
      </c>
      <c r="AF58" s="72">
        <f ca="1">IF(AND(Energy!$F$11=$A$3,Main!$B$43=$A58),Summary!AF35,AF58)</f>
        <v>25.406698564593306</v>
      </c>
      <c r="AG58" s="72">
        <f ca="1">IF(AND(Energy!$F$11=$A$3,Main!$B$43=$A58),Summary!AG35,AG58)</f>
        <v>11.28365149939572</v>
      </c>
      <c r="AH58" s="72">
        <f ca="1">IF(AND(Energy!$F$11=$A$3,Main!$B$43=$A58),Summary!AH35,AH58)</f>
        <v>47</v>
      </c>
      <c r="AI58" s="72">
        <f ca="1">IF(AND(Energy!$F$11=$A$3,Main!$B$43=$A58),Summary!AI35,AI58)</f>
        <v>2.6885066363995875</v>
      </c>
      <c r="AJ58" s="72">
        <f ca="1">IF(AND(Energy!$F$11=$A$3,Main!$B$43=$A58),Summary!AJ35,AJ58)</f>
        <v>0.23970896581879847</v>
      </c>
      <c r="AK58" s="72">
        <f ca="1">IF(AND(Energy!$F$11=$A$3,Main!$B$43=$A58),Summary!AK35,AK58)</f>
        <v>0.01</v>
      </c>
      <c r="AL58" s="72">
        <f ca="1">IF(AND(Energy!$F$11=$A$3,Main!$B$43=$A58),Summary!AL35,AL58)</f>
        <v>-0.52137807353026733</v>
      </c>
      <c r="AM58" s="72">
        <f ca="1">IF(AND(Energy!$F$11=$A$3,Main!$B$43=$A58),Summary!AJ75,AM58)</f>
        <v>0</v>
      </c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</row>
    <row r="59" spans="1:54">
      <c r="A59">
        <f t="shared" si="4"/>
        <v>3</v>
      </c>
      <c r="B59" s="58"/>
      <c r="C59" s="58"/>
      <c r="D59" s="1">
        <f ca="1">IF(AND(Energy!$F$11=$A$3,Main!$B$43=A59),Main!C36,D59)</f>
        <v>6.3684210526315796</v>
      </c>
      <c r="E59" s="72">
        <f ca="1">IF(AND(Energy!$F$11=$A$3,Main!$B$43=A59),Main!B36,E59)</f>
        <v>0.24444444444444446</v>
      </c>
      <c r="F59" s="72">
        <f ca="1">IF(Main!$D$6=1,U59,IF(Main!$D$6=2,N59,IF(Main!$D$6=3,K59,IF(Main!$D$6=4,V59,J59))))</f>
        <v>523.08126307505847</v>
      </c>
      <c r="G59" s="72">
        <f ca="1">IF(AND(Energy!$F$11=$A$3,Main!$B$43=A59),Weight!H36,G59)</f>
        <v>15</v>
      </c>
      <c r="H59" s="72">
        <f ca="1">IF(AND(Energy!$F$11=$A$3,Main!$B$43=A59),Weight!U36,H59)</f>
        <v>18.932978919152767</v>
      </c>
      <c r="I59" s="72">
        <f ca="1">IF(AND(Energy!$F$11=$A$3,Main!$B$43=A59),Weight!V36,I59)</f>
        <v>47.361019622277766</v>
      </c>
      <c r="J59" s="72">
        <f ca="1">IF(AND(Energy!$F$11=$A$3,Main!$B$43=A59),Weight!I36,J59)</f>
        <v>23.490392428125002</v>
      </c>
      <c r="K59" s="72">
        <f ca="1">IF(AND(Energy!$F$11=$A$3,Main!$B$43=A59),Weight!W36,K59)</f>
        <v>62.361019622277773</v>
      </c>
      <c r="L59" s="72">
        <f ca="1">IF(AND(Energy!$F$11=$A$3,Main!$B$43=A59),'Aerodynamics-Cruise'!BI36,L59)</f>
        <v>62.36101962227778</v>
      </c>
      <c r="M59" s="72">
        <f ca="1">IF(AND(Energy!$F$11=$A$3,Main!$B$43=A59),'Aerodynamics-Cruise'!BJ36,M59)</f>
        <v>2.9122247023506254</v>
      </c>
      <c r="N59" s="72">
        <f ca="1">IF(AND(Energy!$F$11=$A$3,Main!$B$43=A59),'Aerodynamics-Cruise'!BK36,N59)</f>
        <v>21.413532950236494</v>
      </c>
      <c r="O59" s="72">
        <f t="shared" ca="1" si="3"/>
        <v>169.10051481317913</v>
      </c>
      <c r="P59" s="72">
        <f ca="1">IF(AND(Energy!$F$11=$A$3,Main!$B$43=A59),'Aerodynamics-Cruise'!H36,P59)</f>
        <v>8.5628319104588488</v>
      </c>
      <c r="Q59" s="72">
        <f ca="1">IF(AND(Energy!$F$11=$A$3,Main!$B$43=A59),'Aerodynamics-Cruise'!I36,Q59)</f>
        <v>7.3137045918198469</v>
      </c>
      <c r="R59" s="72">
        <f ca="1">IF(AND(Energy!$F$11=$A$3,Main!$B$43=$A59),Summary!R36,R59)</f>
        <v>4.6938117358987679</v>
      </c>
      <c r="S59" s="72">
        <f ca="1">IF(AND(Energy!$F$11=$A$3,Main!$B$43=A59),'Aerodynamics-Cruise'!W36,S59)</f>
        <v>1</v>
      </c>
      <c r="T59" s="72">
        <f ca="1">IF(AND(Energy!$F$11=$A$3,Main!$B$43=A59),'Aerodynamics-Cruise'!BL36,T59)</f>
        <v>24.936890611714457</v>
      </c>
      <c r="U59" s="72">
        <f ca="1">IF(AND(Energy!$F$11=$A$3,Main!$B$43=A59),'Propulsion-Cruise'!M36,U59)</f>
        <v>54.34152887659657</v>
      </c>
      <c r="V59" s="72">
        <f ca="1">IF(AND(Energy!$F$11=$A$3,Main!$B$43=A59),Endurance!AP36,V59)</f>
        <v>523.08126307505847</v>
      </c>
      <c r="W59" s="72">
        <f ca="1">IF(AND(Energy!$F$11=$A$3,Main!$B$43=$A59),Summary!W36,W59)</f>
        <v>1.5567251461988307</v>
      </c>
      <c r="X59" s="13">
        <f ca="1">IF(AND(Energy!$F$11=$A$3,Main!$B$43=A59),Energy!D36,X59)</f>
        <v>1182.0301388888888</v>
      </c>
      <c r="Y59" s="126">
        <f ca="1">IF(AND(Energy!$F$11=$A$3,Main!$B$43=A59),'Aerodynamics-Cruise'!V36,Y59)</f>
        <v>132752.54863332055</v>
      </c>
      <c r="Z59" s="126">
        <f ca="1">IF(AND(Energy!$F$11=$A$3,Main!$B$43=$A59),Summary!Z36,Z59)</f>
        <v>100416.48882796538</v>
      </c>
      <c r="AA59" s="126">
        <f ca="1">IF(AND(Energy!$F$11=$A$3,Main!$B$43=$A59),Summary!AA36,AA59)</f>
        <v>100416.48882796538</v>
      </c>
      <c r="AB59" s="72">
        <f ca="1">IF(AND(Energy!$F$11=$A$3,Main!$B$43=$A59),Summary!AB36,AB59)</f>
        <v>4.6938117358987679</v>
      </c>
      <c r="AC59" s="72">
        <f ca="1">IF(AND(Energy!$F$11=$A$3,Main!$B$43=$A59),Summary!AC36,AC59)</f>
        <v>2.2130716712392791</v>
      </c>
      <c r="AD59" s="72">
        <f ca="1">IF(AND(Energy!$F$11=$A$3,Main!$B$43=$A59),Summary!AD36,AD59)</f>
        <v>0.40980596598135882</v>
      </c>
      <c r="AE59" s="72">
        <f ca="1">IF(AND(Energy!$F$11=$A$3,Main!$B$43=$A59),Summary!AE36,AE59)</f>
        <v>1.5567251461988307</v>
      </c>
      <c r="AF59" s="72">
        <f ca="1">IF(AND(Energy!$F$11=$A$3,Main!$B$43=$A59),Summary!AF36,AF59)</f>
        <v>26.05263157894737</v>
      </c>
      <c r="AG59" s="72">
        <f ca="1">IF(AND(Energy!$F$11=$A$3,Main!$B$43=$A59),Summary!AG36,AG59)</f>
        <v>11.304898048861242</v>
      </c>
      <c r="AH59" s="72">
        <f ca="1">IF(AND(Energy!$F$11=$A$3,Main!$B$43=$A59),Summary!AH36,AH59)</f>
        <v>47</v>
      </c>
      <c r="AI59" s="72">
        <f ca="1">IF(AND(Energy!$F$11=$A$3,Main!$B$43=$A59),Summary!AI36,AI59)</f>
        <v>2.6866808485516875</v>
      </c>
      <c r="AJ59" s="72">
        <f ca="1">IF(AND(Energy!$F$11=$A$3,Main!$B$43=$A59),Summary!AJ36,AJ59)</f>
        <v>0.24024407355313307</v>
      </c>
      <c r="AK59" s="72">
        <f ca="1">IF(AND(Energy!$F$11=$A$3,Main!$B$43=$A59),Summary!AK36,AK59)</f>
        <v>0.01</v>
      </c>
      <c r="AL59" s="72">
        <f ca="1">IF(AND(Energy!$F$11=$A$3,Main!$B$43=$A59),Summary!AL36,AL59)</f>
        <v>-0.52021672961734022</v>
      </c>
      <c r="AM59" s="72">
        <f ca="1">IF(AND(Energy!$F$11=$A$3,Main!$B$43=$A59),Summary!AJ76,AM59)</f>
        <v>0</v>
      </c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</row>
    <row r="60" spans="1:54">
      <c r="A60">
        <f t="shared" si="4"/>
        <v>3</v>
      </c>
      <c r="B60" s="58"/>
      <c r="C60" s="58"/>
      <c r="D60" s="1">
        <f ca="1">IF(AND(Energy!$F$11=$A$3,Main!$B$43=A60),Main!C37,D60)</f>
        <v>6.526315789473685</v>
      </c>
      <c r="E60" s="72">
        <f ca="1">IF(AND(Energy!$F$11=$A$3,Main!$B$43=A60),Main!B37,E60)</f>
        <v>0.24444444444444446</v>
      </c>
      <c r="F60" s="72">
        <f ca="1">IF(Main!$D$6=1,U60,IF(Main!$D$6=2,N60,IF(Main!$D$6=3,K60,IF(Main!$D$6=4,V60,J60))))</f>
        <v>525.04272084292882</v>
      </c>
      <c r="G60" s="72">
        <f ca="1">IF(AND(Energy!$F$11=$A$3,Main!$B$43=A60),Weight!H37,G60)</f>
        <v>15</v>
      </c>
      <c r="H60" s="72">
        <f ca="1">IF(AND(Energy!$F$11=$A$3,Main!$B$43=A60),Weight!U37,H60)</f>
        <v>19.468035920938618</v>
      </c>
      <c r="I60" s="72">
        <f ca="1">IF(AND(Energy!$F$11=$A$3,Main!$B$43=A60),Weight!V37,I60)</f>
        <v>47.896076624063625</v>
      </c>
      <c r="J60" s="72">
        <f ca="1">IF(AND(Energy!$F$11=$A$3,Main!$B$43=A60),Weight!I37,J60)</f>
        <v>23.490392428125002</v>
      </c>
      <c r="K60" s="72">
        <f ca="1">IF(AND(Energy!$F$11=$A$3,Main!$B$43=A60),Weight!W37,K60)</f>
        <v>62.896076624063625</v>
      </c>
      <c r="L60" s="72">
        <f ca="1">IF(AND(Energy!$F$11=$A$3,Main!$B$43=A60),'Aerodynamics-Cruise'!BI37,L60)</f>
        <v>62.896076624063618</v>
      </c>
      <c r="M60" s="72">
        <f ca="1">IF(AND(Energy!$F$11=$A$3,Main!$B$43=A60),'Aerodynamics-Cruise'!BJ37,M60)</f>
        <v>2.9333530469968681</v>
      </c>
      <c r="N60" s="72">
        <f ca="1">IF(AND(Energy!$F$11=$A$3,Main!$B$43=A60),'Aerodynamics-Cruise'!BK37,N60)</f>
        <v>21.441700203272795</v>
      </c>
      <c r="O60" s="72">
        <f t="shared" ca="1" si="3"/>
        <v>170.04779201770688</v>
      </c>
      <c r="P60" s="72">
        <f ca="1">IF(AND(Energy!$F$11=$A$3,Main!$B$43=A60),'Aerodynamics-Cruise'!H37,P60)</f>
        <v>8.4948095681650226</v>
      </c>
      <c r="Q60" s="72">
        <f ca="1">IF(AND(Energy!$F$11=$A$3,Main!$B$43=A60),'Aerodynamics-Cruise'!I37,Q60)</f>
        <v>7.2579681195063062</v>
      </c>
      <c r="R60" s="72">
        <f ca="1">IF(AND(Energy!$F$11=$A$3,Main!$B$43=$A60),Summary!R37,R60)</f>
        <v>4.6619173002506402</v>
      </c>
      <c r="S60" s="72">
        <f ca="1">IF(AND(Energy!$F$11=$A$3,Main!$B$43=A60),'Aerodynamics-Cruise'!W37,S60)</f>
        <v>1</v>
      </c>
      <c r="T60" s="72">
        <f ca="1">IF(AND(Energy!$F$11=$A$3,Main!$B$43=A60),'Aerodynamics-Cruise'!BL37,T60)</f>
        <v>24.918275530435018</v>
      </c>
      <c r="U60" s="72">
        <f ca="1">IF(AND(Energy!$F$11=$A$3,Main!$B$43=A60),'Propulsion-Cruise'!M37,U60)</f>
        <v>54.440949161272108</v>
      </c>
      <c r="V60" s="72">
        <f ca="1">IF(AND(Energy!$F$11=$A$3,Main!$B$43=A60),Endurance!AP37,V60)</f>
        <v>525.04272084292882</v>
      </c>
      <c r="W60" s="72">
        <f ca="1">IF(AND(Energy!$F$11=$A$3,Main!$B$43=$A60),Summary!W37,W60)</f>
        <v>1.5953216374269008</v>
      </c>
      <c r="X60" s="13">
        <f ca="1">IF(AND(Energy!$F$11=$A$3,Main!$B$43=A60),Energy!D37,X60)</f>
        <v>1182.0301388888888</v>
      </c>
      <c r="Y60" s="126">
        <f ca="1">IF(AND(Energy!$F$11=$A$3,Main!$B$43=A60),'Aerodynamics-Cruise'!V37,Y60)</f>
        <v>131697.97470288008</v>
      </c>
      <c r="Z60" s="126">
        <f ca="1">IF(AND(Energy!$F$11=$A$3,Main!$B$43=$A60),Summary!Z37,Z60)</f>
        <v>99649.966266735617</v>
      </c>
      <c r="AA60" s="126">
        <f ca="1">IF(AND(Energy!$F$11=$A$3,Main!$B$43=$A60),Summary!AA37,AA60)</f>
        <v>99649.966266735617</v>
      </c>
      <c r="AB60" s="72">
        <f ca="1">IF(AND(Energy!$F$11=$A$3,Main!$B$43=$A60),Summary!AB37,AB60)</f>
        <v>4.6619173002506402</v>
      </c>
      <c r="AC60" s="72">
        <f ca="1">IF(AND(Energy!$F$11=$A$3,Main!$B$43=$A60),Summary!AC37,AC60)</f>
        <v>2.178011355837044</v>
      </c>
      <c r="AD60" s="72">
        <f ca="1">IF(AND(Energy!$F$11=$A$3,Main!$B$43=$A60),Summary!AD37,AD60)</f>
        <v>0.40907581809410593</v>
      </c>
      <c r="AE60" s="72">
        <f ca="1">IF(AND(Energy!$F$11=$A$3,Main!$B$43=$A60),Summary!AE37,AE60)</f>
        <v>1.5953216374269008</v>
      </c>
      <c r="AF60" s="72">
        <f ca="1">IF(AND(Energy!$F$11=$A$3,Main!$B$43=$A60),Summary!AF37,AF60)</f>
        <v>26.698564593301437</v>
      </c>
      <c r="AG60" s="72">
        <f ca="1">IF(AND(Energy!$F$11=$A$3,Main!$B$43=$A60),Summary!AG37,AG60)</f>
        <v>11.329373234059132</v>
      </c>
      <c r="AH60" s="72">
        <f ca="1">IF(AND(Energy!$F$11=$A$3,Main!$B$43=$A60),Summary!AH37,AH60)</f>
        <v>47</v>
      </c>
      <c r="AI60" s="72">
        <f ca="1">IF(AND(Energy!$F$11=$A$3,Main!$B$43=$A60),Summary!AI37,AI60)</f>
        <v>2.6849317710597349</v>
      </c>
      <c r="AJ60" s="72">
        <f ca="1">IF(AND(Energy!$F$11=$A$3,Main!$B$43=$A60),Summary!AJ37,AJ60)</f>
        <v>0.2407560422267456</v>
      </c>
      <c r="AK60" s="72">
        <f ca="1">IF(AND(Energy!$F$11=$A$3,Main!$B$43=$A60),Summary!AK37,AK60)</f>
        <v>0.01</v>
      </c>
      <c r="AL60" s="72">
        <f ca="1">IF(AND(Energy!$F$11=$A$3,Main!$B$43=$A60),Summary!AL37,AL60)</f>
        <v>-0.5191104340778494</v>
      </c>
      <c r="AM60" s="72">
        <f ca="1">IF(AND(Energy!$F$11=$A$3,Main!$B$43=$A60),Summary!AJ77,AM60)</f>
        <v>0</v>
      </c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</row>
    <row r="61" spans="1:54">
      <c r="A61">
        <f t="shared" si="4"/>
        <v>3</v>
      </c>
      <c r="B61" s="58"/>
      <c r="C61" s="58"/>
      <c r="D61" s="1">
        <f ca="1">IF(AND(Energy!$F$11=$A$3,Main!$B$43=A61),Main!C38,D61)</f>
        <v>6.6842105263157903</v>
      </c>
      <c r="E61" s="72">
        <f ca="1">IF(AND(Energy!$F$11=$A$3,Main!$B$43=A61),Main!B38,E61)</f>
        <v>0.24444444444444446</v>
      </c>
      <c r="F61" s="72">
        <f ca="1">IF(Main!$D$6=1,U61,IF(Main!$D$6=2,N61,IF(Main!$D$6=3,K61,IF(Main!$D$6=4,V61,J61))))</f>
        <v>527.25512530497019</v>
      </c>
      <c r="G61" s="72">
        <f ca="1">IF(AND(Energy!$F$11=$A$3,Main!$B$43=A61),Weight!H38,G61)</f>
        <v>15</v>
      </c>
      <c r="H61" s="72">
        <f ca="1">IF(AND(Energy!$F$11=$A$3,Main!$B$43=A61),Weight!U38,H61)</f>
        <v>20.012048194354961</v>
      </c>
      <c r="I61" s="72">
        <f ca="1">IF(AND(Energy!$F$11=$A$3,Main!$B$43=A61),Weight!V38,I61)</f>
        <v>48.440088897479967</v>
      </c>
      <c r="J61" s="72">
        <f ca="1">IF(AND(Energy!$F$11=$A$3,Main!$B$43=A61),Weight!I38,J61)</f>
        <v>23.490392428125002</v>
      </c>
      <c r="K61" s="72">
        <f ca="1">IF(AND(Energy!$F$11=$A$3,Main!$B$43=A61),Weight!W38,K61)</f>
        <v>63.440088897479967</v>
      </c>
      <c r="L61" s="72">
        <f ca="1">IF(AND(Energy!$F$11=$A$3,Main!$B$43=A61),'Aerodynamics-Cruise'!BI38,L61)</f>
        <v>63.44008889747996</v>
      </c>
      <c r="M61" s="72">
        <f ca="1">IF(AND(Energy!$F$11=$A$3,Main!$B$43=A61),'Aerodynamics-Cruise'!BJ38,M61)</f>
        <v>2.9552974325810428</v>
      </c>
      <c r="N61" s="72">
        <f ca="1">IF(AND(Energy!$F$11=$A$3,Main!$B$43=A61),'Aerodynamics-Cruise'!BK38,N61)</f>
        <v>21.466566511403162</v>
      </c>
      <c r="O61" s="72">
        <f t="shared" ca="1" si="3"/>
        <v>170.97967129474506</v>
      </c>
      <c r="P61" s="72">
        <f ca="1">IF(AND(Energy!$F$11=$A$3,Main!$B$43=A61),'Aerodynamics-Cruise'!H38,P61)</f>
        <v>8.4300861048916378</v>
      </c>
      <c r="Q61" s="72">
        <f ca="1">IF(AND(Energy!$F$11=$A$3,Main!$B$43=A61),'Aerodynamics-Cruise'!I38,Q61)</f>
        <v>7.2049174018607509</v>
      </c>
      <c r="R61" s="72">
        <f ca="1">IF(AND(Energy!$F$11=$A$3,Main!$B$43=$A61),Summary!R38,R61)</f>
        <v>4.6336097240811647</v>
      </c>
      <c r="S61" s="72">
        <f ca="1">IF(AND(Energy!$F$11=$A$3,Main!$B$43=A61),'Aerodynamics-Cruise'!W38,S61)</f>
        <v>1</v>
      </c>
      <c r="T61" s="72">
        <f ca="1">IF(AND(Energy!$F$11=$A$3,Main!$B$43=A61),'Aerodynamics-Cruise'!BL38,T61)</f>
        <v>24.913411822223381</v>
      </c>
      <c r="U61" s="72">
        <f ca="1">IF(AND(Energy!$F$11=$A$3,Main!$B$43=A61),'Propulsion-Cruise'!M38,U61)</f>
        <v>54.567865590584717</v>
      </c>
      <c r="V61" s="72">
        <f ca="1">IF(AND(Energy!$F$11=$A$3,Main!$B$43=A61),Endurance!AP38,V61)</f>
        <v>527.25512530497019</v>
      </c>
      <c r="W61" s="72">
        <f ca="1">IF(AND(Energy!$F$11=$A$3,Main!$B$43=$A61),Summary!W38,W61)</f>
        <v>1.6339181286549711</v>
      </c>
      <c r="X61" s="13">
        <f ca="1">IF(AND(Energy!$F$11=$A$3,Main!$B$43=A61),Energy!D38,X61)</f>
        <v>1182.0301388888888</v>
      </c>
      <c r="Y61" s="126">
        <f ca="1">IF(AND(Energy!$F$11=$A$3,Main!$B$43=A61),'Aerodynamics-Cruise'!V38,Y61)</f>
        <v>130694.54443637887</v>
      </c>
      <c r="Z61" s="126">
        <f ca="1">IF(AND(Energy!$F$11=$A$3,Main!$B$43=$A61),Summary!Z38,Z61)</f>
        <v>98920.389161040963</v>
      </c>
      <c r="AA61" s="126">
        <f ca="1">IF(AND(Energy!$F$11=$A$3,Main!$B$43=$A61),Summary!AA38,AA61)</f>
        <v>98920.389161040963</v>
      </c>
      <c r="AB61" s="72">
        <f ca="1">IF(AND(Energy!$F$11=$A$3,Main!$B$43=$A61),Summary!AB38,AB61)</f>
        <v>4.6336097240811647</v>
      </c>
      <c r="AC61" s="72">
        <f ca="1">IF(AND(Energy!$F$11=$A$3,Main!$B$43=$A61),Summary!AC38,AC61)</f>
        <v>2.1437604758565971</v>
      </c>
      <c r="AD61" s="72">
        <f ca="1">IF(AND(Energy!$F$11=$A$3,Main!$B$43=$A61),Summary!AD38,AD61)</f>
        <v>0.40845595202265217</v>
      </c>
      <c r="AE61" s="72">
        <f ca="1">IF(AND(Energy!$F$11=$A$3,Main!$B$43=$A61),Summary!AE38,AE61)</f>
        <v>1.6339181286549711</v>
      </c>
      <c r="AF61" s="72">
        <f ca="1">IF(AND(Energy!$F$11=$A$3,Main!$B$43=$A61),Summary!AF38,AF61)</f>
        <v>27.344497607655505</v>
      </c>
      <c r="AG61" s="72">
        <f ca="1">IF(AND(Energy!$F$11=$A$3,Main!$B$43=$A61),Summary!AG38,AG61)</f>
        <v>11.356880250444132</v>
      </c>
      <c r="AH61" s="72">
        <f ca="1">IF(AND(Energy!$F$11=$A$3,Main!$B$43=$A61),Summary!AH38,AH61)</f>
        <v>47</v>
      </c>
      <c r="AI61" s="72">
        <f ca="1">IF(AND(Energy!$F$11=$A$3,Main!$B$43=$A61),Summary!AI38,AI61)</f>
        <v>2.683255817900656</v>
      </c>
      <c r="AJ61" s="72">
        <f ca="1">IF(AND(Energy!$F$11=$A$3,Main!$B$43=$A61),Summary!AJ38,AJ61)</f>
        <v>0.24124611144833666</v>
      </c>
      <c r="AK61" s="72">
        <f ca="1">IF(AND(Energy!$F$11=$A$3,Main!$B$43=$A61),Summary!AK38,AK61)</f>
        <v>0.01</v>
      </c>
      <c r="AL61" s="72">
        <f ca="1">IF(AND(Energy!$F$11=$A$3,Main!$B$43=$A61),Summary!AL38,AL61)</f>
        <v>-0.51805585614417216</v>
      </c>
      <c r="AM61" s="72">
        <f ca="1">IF(AND(Energy!$F$11=$A$3,Main!$B$43=$A61),Summary!AJ78,AM61)</f>
        <v>0</v>
      </c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</row>
    <row r="62" spans="1:54">
      <c r="A62">
        <f t="shared" si="4"/>
        <v>3</v>
      </c>
      <c r="B62" s="58"/>
      <c r="C62" s="58"/>
      <c r="D62" s="1">
        <f ca="1">IF(AND(Energy!$F$11=$A$3,Main!$B$43=A62),Main!C39,D62)</f>
        <v>6.8421052631578956</v>
      </c>
      <c r="E62" s="72">
        <f ca="1">IF(AND(Energy!$F$11=$A$3,Main!$B$43=A62),Main!B39,E62)</f>
        <v>0.24444444444444446</v>
      </c>
      <c r="F62" s="72">
        <f ca="1">IF(Main!$D$6=1,U62,IF(Main!$D$6=2,N62,IF(Main!$D$6=3,K62,IF(Main!$D$6=4,V62,J62))))</f>
        <v>529.70515343884381</v>
      </c>
      <c r="G62" s="72">
        <f ca="1">IF(AND(Energy!$F$11=$A$3,Main!$B$43=A62),Weight!H39,G62)</f>
        <v>15</v>
      </c>
      <c r="H62" s="72">
        <f ca="1">IF(AND(Energy!$F$11=$A$3,Main!$B$43=A62),Weight!U39,H62)</f>
        <v>20.565075997379253</v>
      </c>
      <c r="I62" s="72">
        <f ca="1">IF(AND(Energy!$F$11=$A$3,Main!$B$43=A62),Weight!V39,I62)</f>
        <v>48.99311670050426</v>
      </c>
      <c r="J62" s="72">
        <f ca="1">IF(AND(Energy!$F$11=$A$3,Main!$B$43=A62),Weight!I39,J62)</f>
        <v>23.490392428125002</v>
      </c>
      <c r="K62" s="72">
        <f ca="1">IF(AND(Energy!$F$11=$A$3,Main!$B$43=A62),Weight!W39,K62)</f>
        <v>63.99311670050426</v>
      </c>
      <c r="L62" s="72">
        <f ca="1">IF(AND(Energy!$F$11=$A$3,Main!$B$43=A62),'Aerodynamics-Cruise'!BI39,L62)</f>
        <v>63.993116700504267</v>
      </c>
      <c r="M62" s="72">
        <f ca="1">IF(AND(Energy!$F$11=$A$3,Main!$B$43=A62),'Aerodynamics-Cruise'!BJ39,M62)</f>
        <v>2.9780140865927427</v>
      </c>
      <c r="N62" s="72">
        <f ca="1">IF(AND(Energy!$F$11=$A$3,Main!$B$43=A62),'Aerodynamics-Cruise'!BK39,N62)</f>
        <v>21.488520483703013</v>
      </c>
      <c r="O62" s="72">
        <f t="shared" ca="1" si="3"/>
        <v>171.89891912590761</v>
      </c>
      <c r="P62" s="72">
        <f ca="1">IF(AND(Energy!$F$11=$A$3,Main!$B$43=A62),'Aerodynamics-Cruise'!H39,P62)</f>
        <v>8.368473630568813</v>
      </c>
      <c r="Q62" s="72">
        <f ca="1">IF(AND(Energy!$F$11=$A$3,Main!$B$43=A62),'Aerodynamics-Cruise'!I39,Q62)</f>
        <v>7.1544008334293494</v>
      </c>
      <c r="R62" s="72">
        <f ca="1">IF(AND(Energy!$F$11=$A$3,Main!$B$43=$A62),Summary!R39,R62)</f>
        <v>4.6086843716340233</v>
      </c>
      <c r="S62" s="72">
        <f ca="1">IF(AND(Energy!$F$11=$A$3,Main!$B$43=A62),'Aerodynamics-Cruise'!W39,S62)</f>
        <v>1</v>
      </c>
      <c r="T62" s="72">
        <f ca="1">IF(AND(Energy!$F$11=$A$3,Main!$B$43=A62),'Aerodynamics-Cruise'!BL39,T62)</f>
        <v>24.921432355113836</v>
      </c>
      <c r="U62" s="72">
        <f ca="1">IF(AND(Energy!$F$11=$A$3,Main!$B$43=A62),'Propulsion-Cruise'!M39,U62)</f>
        <v>54.72071491335565</v>
      </c>
      <c r="V62" s="72">
        <f ca="1">IF(AND(Energy!$F$11=$A$3,Main!$B$43=A62),Endurance!AP39,V62)</f>
        <v>529.70515343884381</v>
      </c>
      <c r="W62" s="72">
        <f ca="1">IF(AND(Energy!$F$11=$A$3,Main!$B$43=$A62),Summary!W39,W62)</f>
        <v>1.6725146198830412</v>
      </c>
      <c r="X62" s="13">
        <f ca="1">IF(AND(Energy!$F$11=$A$3,Main!$B$43=A62),Energy!D39,X62)</f>
        <v>1182.0301388888888</v>
      </c>
      <c r="Y62" s="126">
        <f ca="1">IF(AND(Energy!$F$11=$A$3,Main!$B$43=A62),'Aerodynamics-Cruise'!V39,Y62)</f>
        <v>129739.34490899238</v>
      </c>
      <c r="Z62" s="126">
        <f ca="1">IF(AND(Energy!$F$11=$A$3,Main!$B$43=$A62),Summary!Z39,Z62)</f>
        <v>98225.671279288756</v>
      </c>
      <c r="AA62" s="126">
        <f ca="1">IF(AND(Energy!$F$11=$A$3,Main!$B$43=$A62),Summary!AA39,AA62)</f>
        <v>98225.671279288756</v>
      </c>
      <c r="AB62" s="72">
        <f ca="1">IF(AND(Energy!$F$11=$A$3,Main!$B$43=$A62),Summary!AB39,AB62)</f>
        <v>4.6086843716340233</v>
      </c>
      <c r="AC62" s="72">
        <f ca="1">IF(AND(Energy!$F$11=$A$3,Main!$B$43=$A62),Summary!AC39,AC62)</f>
        <v>2.110287725553873</v>
      </c>
      <c r="AD62" s="72">
        <f ca="1">IF(AND(Energy!$F$11=$A$3,Main!$B$43=$A62),Summary!AD39,AD62)</f>
        <v>0.40793992562744341</v>
      </c>
      <c r="AE62" s="72">
        <f ca="1">IF(AND(Energy!$F$11=$A$3,Main!$B$43=$A62),Summary!AE39,AE62)</f>
        <v>1.6725146198830412</v>
      </c>
      <c r="AF62" s="72">
        <f ca="1">IF(AND(Energy!$F$11=$A$3,Main!$B$43=$A62),Summary!AF39,AF62)</f>
        <v>27.990430622009573</v>
      </c>
      <c r="AG62" s="72">
        <f ca="1">IF(AND(Energy!$F$11=$A$3,Main!$B$43=$A62),Summary!AG39,AG62)</f>
        <v>11.38724192599086</v>
      </c>
      <c r="AH62" s="72">
        <f ca="1">IF(AND(Energy!$F$11=$A$3,Main!$B$43=$A62),Summary!AH39,AH62)</f>
        <v>47</v>
      </c>
      <c r="AI62" s="72">
        <f ca="1">IF(AND(Energy!$F$11=$A$3,Main!$B$43=$A62),Summary!AI39,AI62)</f>
        <v>2.6816496548903221</v>
      </c>
      <c r="AJ62" s="72">
        <f ca="1">IF(AND(Energy!$F$11=$A$3,Main!$B$43=$A62),Summary!AJ39,AJ62)</f>
        <v>0.24171542220511533</v>
      </c>
      <c r="AK62" s="72">
        <f ca="1">IF(AND(Energy!$F$11=$A$3,Main!$B$43=$A62),Summary!AK39,AK62)</f>
        <v>0.01</v>
      </c>
      <c r="AL62" s="72">
        <f ca="1">IF(AND(Energy!$F$11=$A$3,Main!$B$43=$A62),Summary!AL39,AL62)</f>
        <v>-0.51704995393230768</v>
      </c>
      <c r="AM62" s="72">
        <f ca="1">IF(AND(Energy!$F$11=$A$3,Main!$B$43=$A62),Summary!AJ79,AM62)</f>
        <v>0</v>
      </c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</row>
    <row r="63" spans="1:54">
      <c r="A63">
        <f t="shared" si="4"/>
        <v>3</v>
      </c>
      <c r="D63" s="1">
        <f ca="1">IF(AND(Energy!$F$11=$A$3,Main!$B$43=A63),Main!C40,D63)</f>
        <v>7</v>
      </c>
      <c r="E63" s="72">
        <f ca="1">IF(AND(Energy!$F$11=$A$3,Main!$B$43=A63),Main!B40,E63)</f>
        <v>0.24444444444444446</v>
      </c>
      <c r="F63" s="72">
        <f ca="1">IF(Main!$D$6=1,U63,IF(Main!$D$6=2,N63,IF(Main!$D$6=3,K63,IF(Main!$D$6=4,V63,J63))))</f>
        <v>532.38089404070615</v>
      </c>
      <c r="G63" s="72">
        <f ca="1">IF(AND(Energy!$F$11=$A$3,Main!$B$43=A63),Weight!H40,G63)</f>
        <v>15</v>
      </c>
      <c r="H63" s="72">
        <f ca="1">IF(AND(Energy!$F$11=$A$3,Main!$B$43=A63),Weight!U40,H63)</f>
        <v>21.127182049438503</v>
      </c>
      <c r="I63" s="72">
        <f ca="1">IF(AND(Energy!$F$11=$A$3,Main!$B$43=A63),Weight!V40,I63)</f>
        <v>49.555222752563509</v>
      </c>
      <c r="J63" s="72">
        <f ca="1">IF(AND(Energy!$F$11=$A$3,Main!$B$43=A63),Weight!I40,J63)</f>
        <v>23.490392428125002</v>
      </c>
      <c r="K63" s="72">
        <f ca="1">IF(AND(Energy!$F$11=$A$3,Main!$B$43=A63),Weight!W40,K63)</f>
        <v>64.555222752563509</v>
      </c>
      <c r="L63" s="72">
        <f ca="1">IF(AND(Energy!$F$11=$A$3,Main!$B$43=A63),'Aerodynamics-Cruise'!BI40,L63)</f>
        <v>64.555222752563509</v>
      </c>
      <c r="M63" s="72">
        <f ca="1">IF(AND(Energy!$F$11=$A$3,Main!$B$43=A63),'Aerodynamics-Cruise'!BJ40,M63)</f>
        <v>3.0014635730409798</v>
      </c>
      <c r="N63" s="72">
        <f ca="1">IF(AND(Energy!$F$11=$A$3,Main!$B$43=A63),'Aerodynamics-Cruise'!BK40,N63)</f>
        <v>21.507914782773252</v>
      </c>
      <c r="O63" s="72">
        <f t="shared" ca="1" si="3"/>
        <v>172.80806174958846</v>
      </c>
      <c r="P63" s="72">
        <f ca="1">IF(AND(Energy!$F$11=$A$3,Main!$B$43=A63),'Aerodynamics-Cruise'!H40,P63)</f>
        <v>8.3097992376536194</v>
      </c>
      <c r="Q63" s="72">
        <f ca="1">IF(AND(Energy!$F$11=$A$3,Main!$B$43=A63),'Aerodynamics-Cruise'!I40,Q63)</f>
        <v>7.1062788191366479</v>
      </c>
      <c r="R63" s="72">
        <f ca="1">IF(AND(Energy!$F$11=$A$3,Main!$B$43=$A63),Summary!R40,R63)</f>
        <v>4.5869565622474093</v>
      </c>
      <c r="S63" s="72">
        <f ca="1">IF(AND(Energy!$F$11=$A$3,Main!$B$43=A63),'Aerodynamics-Cruise'!W40,S63)</f>
        <v>1</v>
      </c>
      <c r="T63" s="72">
        <f ca="1">IF(AND(Energy!$F$11=$A$3,Main!$B$43=A63),'Aerodynamics-Cruise'!BL40,T63)</f>
        <v>24.941559711101043</v>
      </c>
      <c r="U63" s="72">
        <f ca="1">IF(AND(Energy!$F$11=$A$3,Main!$B$43=A63),'Propulsion-Cruise'!M40,U63)</f>
        <v>54.898096753492098</v>
      </c>
      <c r="V63" s="72">
        <f ca="1">IF(AND(Energy!$F$11=$A$3,Main!$B$43=A63),Endurance!AP40,V63)</f>
        <v>532.38089404070615</v>
      </c>
      <c r="W63" s="72">
        <f ca="1">IF(AND(Energy!$F$11=$A$3,Main!$B$43=$A63),Summary!W40,W63)</f>
        <v>1.7111111111111112</v>
      </c>
      <c r="X63" s="13">
        <f ca="1">IF(AND(Energy!$F$11=$A$3,Main!$B$43=A63),Energy!D40,X63)</f>
        <v>1182.0301388888888</v>
      </c>
      <c r="Y63" s="126">
        <f ca="1">IF(AND(Energy!$F$11=$A$3,Main!$B$43=A63),'Aerodynamics-Cruise'!V40,Y63)</f>
        <v>128829.69547520041</v>
      </c>
      <c r="Z63" s="126">
        <f ca="1">IF(AND(Energy!$F$11=$A$3,Main!$B$43=$A63),Summary!Z40,Z63)</f>
        <v>97563.891706378563</v>
      </c>
      <c r="AA63" s="126">
        <f ca="1">IF(AND(Energy!$F$11=$A$3,Main!$B$43=$A63),Summary!AA40,AA63)</f>
        <v>97563.891706378563</v>
      </c>
      <c r="AB63" s="72">
        <f ca="1">IF(AND(Energy!$F$11=$A$3,Main!$B$43=$A63),Summary!AB40,AB63)</f>
        <v>4.5869565622474093</v>
      </c>
      <c r="AC63" s="72">
        <f ca="1">IF(AND(Energy!$F$11=$A$3,Main!$B$43=$A63),Summary!AC40,AC63)</f>
        <v>2.0775634033933152</v>
      </c>
      <c r="AD63" s="72">
        <f ca="1">IF(AND(Energy!$F$11=$A$3,Main!$B$43=$A63),Summary!AD40,AD63)</f>
        <v>0.407521841667631</v>
      </c>
      <c r="AE63" s="72">
        <f ca="1">IF(AND(Energy!$F$11=$A$3,Main!$B$43=$A63),Summary!AE40,AE63)</f>
        <v>1.7111111111111112</v>
      </c>
      <c r="AF63" s="72">
        <f ca="1">IF(AND(Energy!$F$11=$A$3,Main!$B$43=$A63),Summary!AF40,AF63)</f>
        <v>28.636363636363633</v>
      </c>
      <c r="AG63" s="72">
        <f ca="1">IF(AND(Energy!$F$11=$A$3,Main!$B$43=$A63),Summary!AG40,AG63)</f>
        <v>11.420298414391388</v>
      </c>
      <c r="AH63" s="72">
        <f ca="1">IF(AND(Energy!$F$11=$A$3,Main!$B$43=$A63),Summary!AH40,AH63)</f>
        <v>47</v>
      </c>
      <c r="AI63" s="72">
        <f ca="1">IF(AND(Energy!$F$11=$A$3,Main!$B$43=$A63),Summary!AI40,AI63)</f>
        <v>2.6801101761875414</v>
      </c>
      <c r="AJ63" s="72">
        <f ca="1">IF(AND(Energy!$F$11=$A$3,Main!$B$43=$A63),Summary!AJ40,AJ63)</f>
        <v>0.24216501918573866</v>
      </c>
      <c r="AK63" s="72">
        <f ca="1">IF(AND(Energy!$F$11=$A$3,Main!$B$43=$A63),Summary!AK40,AK63)</f>
        <v>0.01</v>
      </c>
      <c r="AL63" s="72">
        <f ca="1">IF(AND(Energy!$F$11=$A$3,Main!$B$43=$A63),Summary!AL40,AL63)</f>
        <v>-0.51608995949189873</v>
      </c>
      <c r="AM63" s="72">
        <f ca="1">IF(AND(Energy!$F$11=$A$3,Main!$B$43=$A63),Summary!AJ80,AM63)</f>
        <v>0</v>
      </c>
    </row>
    <row r="64" spans="1:54">
      <c r="A64" s="7">
        <f>A44+1</f>
        <v>4</v>
      </c>
      <c r="D64" s="1">
        <f ca="1">IF(AND(Energy!$F$11=$A$3,Main!$B$43=A64),Main!C21,D64)</f>
        <v>4</v>
      </c>
      <c r="E64" s="72">
        <f ca="1">IF(AND(Energy!$F$11=$A$3,Main!$B$43=A64),Main!B21,E64)</f>
        <v>0.26666666666666666</v>
      </c>
      <c r="F64" s="72">
        <f ca="1">IF(Main!$D$6=1,U64,IF(Main!$D$6=2,N64,IF(Main!$D$6=3,K64,IF(Main!$D$6=4,V64,J64))))</f>
        <v>540.64006187761436</v>
      </c>
      <c r="G64" s="72">
        <f ca="1">IF(AND(Energy!$F$11=$A$3,Main!$B$43=A64),Weight!H21,G64)</f>
        <v>15</v>
      </c>
      <c r="H64" s="72">
        <f ca="1">IF(AND(Energy!$F$11=$A$3,Main!$B$43=A64),Weight!U21,H64)</f>
        <v>12.714224716131326</v>
      </c>
      <c r="I64" s="72">
        <f ca="1">IF(AND(Energy!$F$11=$A$3,Main!$B$43=A64),Weight!V21,I64)</f>
        <v>41.142265419256333</v>
      </c>
      <c r="J64" s="72">
        <f ca="1">IF(AND(Energy!$F$11=$A$3,Main!$B$43=A64),Weight!I21,J64)</f>
        <v>23.490392428125002</v>
      </c>
      <c r="K64" s="72">
        <f ca="1">IF(AND(Energy!$F$11=$A$3,Main!$B$43=A64),Weight!W21,K64)</f>
        <v>56.142265419256333</v>
      </c>
      <c r="L64" s="72">
        <f ca="1">IF(AND(Energy!$F$11=$A$3,Main!$B$43=A64),'Aerodynamics-Cruise'!BI21,L64)</f>
        <v>56.14226541925634</v>
      </c>
      <c r="M64" s="72">
        <f ca="1">IF(AND(Energy!$F$11=$A$3,Main!$B$43=A64),'Aerodynamics-Cruise'!BJ21,M64)</f>
        <v>2.8123569652123166</v>
      </c>
      <c r="N64" s="72">
        <f ca="1">IF(AND(Energy!$F$11=$A$3,Main!$B$43=A64),'Aerodynamics-Cruise'!BK21,N64)</f>
        <v>19.962709611088762</v>
      </c>
      <c r="O64" s="72">
        <f t="shared" ca="1" si="3"/>
        <v>149.57687508820734</v>
      </c>
      <c r="P64" s="72">
        <f ca="1">IF(AND(Energy!$F$11=$A$3,Main!$B$43=A64),'Aerodynamics-Cruise'!H21,P64)</f>
        <v>9.8236268947097027</v>
      </c>
      <c r="Q64" s="72">
        <f ca="1">IF(AND(Energy!$F$11=$A$3,Main!$B$43=A64),'Aerodynamics-Cruise'!I21,Q64)</f>
        <v>8.3073272776064222</v>
      </c>
      <c r="R64" s="72">
        <f ca="1">IF(AND(Energy!$F$11=$A$3,Main!$B$43=$A64),Summary!R21,R64)</f>
        <v>5.4726371134654865</v>
      </c>
      <c r="S64" s="72">
        <f ca="1">IF(AND(Energy!$F$11=$A$3,Main!$B$43=A64),'Aerodynamics-Cruise'!W21,S64)</f>
        <v>1</v>
      </c>
      <c r="T64" s="72">
        <f ca="1">IF(AND(Energy!$F$11=$A$3,Main!$B$43=A64),'Aerodynamics-Cruise'!BL21,T64)</f>
        <v>27.627545520983873</v>
      </c>
      <c r="U64" s="72">
        <f ca="1">IF(AND(Energy!$F$11=$A$3,Main!$B$43=A64),'Propulsion-Cruise'!M21,U64)</f>
        <v>57.873027671742292</v>
      </c>
      <c r="V64" s="72">
        <f ca="1">IF(AND(Energy!$F$11=$A$3,Main!$B$43=A64),Endurance!AP21,V64)</f>
        <v>540.64006187761436</v>
      </c>
      <c r="W64" s="72">
        <f ca="1">IF(AND(Energy!$F$11=$A$3,Main!$B$43=$A64),Summary!W21,W64)</f>
        <v>1.0666666666666667</v>
      </c>
      <c r="X64" s="13">
        <f ca="1">IF(AND(Energy!$F$11=$A$3,Main!$B$43=A64),Energy!D21,X64)</f>
        <v>1182.0301388888888</v>
      </c>
      <c r="Y64" s="126">
        <f ca="1">IF(AND(Energy!$F$11=$A$3,Main!$B$43=A64),'Aerodynamics-Cruise'!V21,Y64)</f>
        <v>166144.46173023741</v>
      </c>
      <c r="Z64" s="126">
        <f ca="1">IF(AND(Energy!$F$11=$A$3,Main!$B$43=$A64),Summary!Z21,Z64)</f>
        <v>124476.23769638866</v>
      </c>
      <c r="AA64" s="126">
        <f ca="1">IF(AND(Energy!$F$11=$A$3,Main!$B$43=$A64),Summary!AA21,AA64)</f>
        <v>124476.23769638866</v>
      </c>
      <c r="AB64" s="72">
        <f ca="1">IF(AND(Energy!$F$11=$A$3,Main!$B$43=$A64),Summary!AB21,AB64)</f>
        <v>5.4726371134654865</v>
      </c>
      <c r="AC64" s="72">
        <f ca="1">IF(AND(Energy!$F$11=$A$3,Main!$B$43=$A64),Summary!AC21,AC64)</f>
        <v>2.7398664716234826</v>
      </c>
      <c r="AD64" s="72">
        <f ca="1">IF(AND(Energy!$F$11=$A$3,Main!$B$43=$A64),Summary!AD21,AD64)</f>
        <v>0.44087125126588994</v>
      </c>
      <c r="AE64" s="72">
        <f ca="1">IF(AND(Energy!$F$11=$A$3,Main!$B$43=$A64),Summary!AE21,AE64)</f>
        <v>1.0666666666666667</v>
      </c>
      <c r="AF64" s="72">
        <f ca="1">IF(AND(Energy!$F$11=$A$3,Main!$B$43=$A64),Summary!AF21,AF64)</f>
        <v>15</v>
      </c>
      <c r="AG64" s="72">
        <f ca="1">IF(AND(Energy!$F$11=$A$3,Main!$B$43=$A64),Summary!AG21,AG64)</f>
        <v>11.552758837079923</v>
      </c>
      <c r="AH64" s="72">
        <f ca="1">IF(AND(Energy!$F$11=$A$3,Main!$B$43=$A64),Summary!AH21,AH64)</f>
        <v>47</v>
      </c>
      <c r="AI64" s="72">
        <f ca="1">IF(AND(Energy!$F$11=$A$3,Main!$B$43=$A64),Summary!AI21,AI64)</f>
        <v>2.7407987620439993</v>
      </c>
      <c r="AJ64" s="72">
        <f ca="1">IF(AND(Energy!$F$11=$A$3,Main!$B$43=$A64),Summary!AJ21,AJ64)</f>
        <v>0.2242217539570483</v>
      </c>
      <c r="AK64" s="72">
        <f ca="1">IF(AND(Energy!$F$11=$A$3,Main!$B$43=$A64),Summary!AK21,AK64)</f>
        <v>0.01</v>
      </c>
      <c r="AL64" s="72">
        <f ca="1">IF(AND(Energy!$F$11=$A$3,Main!$B$43=$A64),Summary!AL21,AL64)</f>
        <v>-0.55745923758448535</v>
      </c>
      <c r="AM64" s="72">
        <f ca="1">IF(AND(Energy!$F$11=$A$3,Main!$B$43=$A64),Summary!AJ81,AM64)</f>
        <v>0</v>
      </c>
    </row>
    <row r="65" spans="1:39">
      <c r="A65">
        <f t="shared" ref="A65:A83" si="5">A64</f>
        <v>4</v>
      </c>
      <c r="D65" s="1">
        <f ca="1">IF(AND(Energy!$F$11=$A$3,Main!$B$43=A65),Main!C22,D65)</f>
        <v>4.1578947368421053</v>
      </c>
      <c r="E65" s="72">
        <f ca="1">IF(AND(Energy!$F$11=$A$3,Main!$B$43=A65),Main!B22,E65)</f>
        <v>0.26666666666666666</v>
      </c>
      <c r="F65" s="72">
        <f ca="1">IF(Main!$D$6=1,U65,IF(Main!$D$6=2,N65,IF(Main!$D$6=3,K65,IF(Main!$D$6=4,V65,J65))))</f>
        <v>534.96825661435309</v>
      </c>
      <c r="G65" s="72">
        <f ca="1">IF(AND(Energy!$F$11=$A$3,Main!$B$43=A65),Weight!H22,G65)</f>
        <v>15</v>
      </c>
      <c r="H65" s="72">
        <f ca="1">IF(AND(Energy!$F$11=$A$3,Main!$B$43=A65),Weight!U22,H65)</f>
        <v>13.158637208173936</v>
      </c>
      <c r="I65" s="72">
        <f ca="1">IF(AND(Energy!$F$11=$A$3,Main!$B$43=A65),Weight!V22,I65)</f>
        <v>41.586677911298935</v>
      </c>
      <c r="J65" s="72">
        <f ca="1">IF(AND(Energy!$F$11=$A$3,Main!$B$43=A65),Weight!I22,J65)</f>
        <v>23.490392428125002</v>
      </c>
      <c r="K65" s="72">
        <f ca="1">IF(AND(Energy!$F$11=$A$3,Main!$B$43=A65),Weight!W22,K65)</f>
        <v>56.586677911298942</v>
      </c>
      <c r="L65" s="72">
        <f ca="1">IF(AND(Energy!$F$11=$A$3,Main!$B$43=A65),'Aerodynamics-Cruise'!BI22,L65)</f>
        <v>56.586677911298928</v>
      </c>
      <c r="M65" s="72">
        <f ca="1">IF(AND(Energy!$F$11=$A$3,Main!$B$43=A65),'Aerodynamics-Cruise'!BJ22,M65)</f>
        <v>2.8062528945521152</v>
      </c>
      <c r="N65" s="72">
        <f ca="1">IF(AND(Energy!$F$11=$A$3,Main!$B$43=A65),'Aerodynamics-Cruise'!BK22,N65)</f>
        <v>20.164496942222414</v>
      </c>
      <c r="O65" s="72">
        <f t="shared" ca="1" si="3"/>
        <v>151.68564789300825</v>
      </c>
      <c r="P65" s="72">
        <f ca="1">IF(AND(Energy!$F$11=$A$3,Main!$B$43=A65),'Aerodynamics-Cruise'!H22,P65)</f>
        <v>9.6732749804364087</v>
      </c>
      <c r="Q65" s="72">
        <f ca="1">IF(AND(Energy!$F$11=$A$3,Main!$B$43=A65),'Aerodynamics-Cruise'!I22,Q65)</f>
        <v>8.1853762529427776</v>
      </c>
      <c r="R65" s="72">
        <f ca="1">IF(AND(Energy!$F$11=$A$3,Main!$B$43=$A65),Summary!R22,R65)</f>
        <v>5.3502593060390673</v>
      </c>
      <c r="S65" s="72">
        <f ca="1">IF(AND(Energy!$F$11=$A$3,Main!$B$43=A65),'Aerodynamics-Cruise'!W22,S65)</f>
        <v>1</v>
      </c>
      <c r="T65" s="72">
        <f ca="1">IF(AND(Energy!$F$11=$A$3,Main!$B$43=A65),'Aerodynamics-Cruise'!BL22,T65)</f>
        <v>27.145655913648227</v>
      </c>
      <c r="U65" s="72">
        <f ca="1">IF(AND(Energy!$F$11=$A$3,Main!$B$43=A65),'Propulsion-Cruise'!M22,U65)</f>
        <v>57.099693497501796</v>
      </c>
      <c r="V65" s="72">
        <f ca="1">IF(AND(Energy!$F$11=$A$3,Main!$B$43=A65),Endurance!AP22,V65)</f>
        <v>534.96825661435309</v>
      </c>
      <c r="W65" s="72">
        <f ca="1">IF(AND(Energy!$F$11=$A$3,Main!$B$43=$A65),Summary!W22,W65)</f>
        <v>1.1087719298245613</v>
      </c>
      <c r="X65" s="13">
        <f ca="1">IF(AND(Energy!$F$11=$A$3,Main!$B$43=A65),Energy!D22,X65)</f>
        <v>1182.0301388888888</v>
      </c>
      <c r="Y65" s="126">
        <f ca="1">IF(AND(Energy!$F$11=$A$3,Main!$B$43=A65),'Aerodynamics-Cruise'!V22,Y65)</f>
        <v>163601.59867825202</v>
      </c>
      <c r="Z65" s="126">
        <f ca="1">IF(AND(Energy!$F$11=$A$3,Main!$B$43=$A65),Summary!Z22,Z65)</f>
        <v>122645.89746752614</v>
      </c>
      <c r="AA65" s="126">
        <f ca="1">IF(AND(Energy!$F$11=$A$3,Main!$B$43=$A65),Summary!AA22,AA65)</f>
        <v>122645.89746752614</v>
      </c>
      <c r="AB65" s="72">
        <f ca="1">IF(AND(Energy!$F$11=$A$3,Main!$B$43=$A65),Summary!AB22,AB65)</f>
        <v>5.3502593060390673</v>
      </c>
      <c r="AC65" s="72">
        <f ca="1">IF(AND(Energy!$F$11=$A$3,Main!$B$43=$A65),Summary!AC22,AC65)</f>
        <v>2.6890962459022565</v>
      </c>
      <c r="AD65" s="72">
        <f ca="1">IF(AND(Energy!$F$11=$A$3,Main!$B$43=$A65),Summary!AD22,AD65)</f>
        <v>0.43704282183621163</v>
      </c>
      <c r="AE65" s="72">
        <f ca="1">IF(AND(Energy!$F$11=$A$3,Main!$B$43=$A65),Summary!AE22,AE65)</f>
        <v>1.1087719298245613</v>
      </c>
      <c r="AF65" s="72">
        <f ca="1">IF(AND(Energy!$F$11=$A$3,Main!$B$43=$A65),Summary!AF22,AF65)</f>
        <v>15.592105263157896</v>
      </c>
      <c r="AG65" s="72">
        <f ca="1">IF(AND(Energy!$F$11=$A$3,Main!$B$43=$A65),Summary!AG22,AG65)</f>
        <v>11.478604558438622</v>
      </c>
      <c r="AH65" s="72">
        <f ca="1">IF(AND(Energy!$F$11=$A$3,Main!$B$43=$A65),Summary!AH22,AH65)</f>
        <v>47</v>
      </c>
      <c r="AI65" s="72">
        <f ca="1">IF(AND(Energy!$F$11=$A$3,Main!$B$43=$A65),Summary!AI22,AI65)</f>
        <v>2.7373217239968279</v>
      </c>
      <c r="AJ65" s="72">
        <f ca="1">IF(AND(Energy!$F$11=$A$3,Main!$B$43=$A65),Summary!AJ22,AJ65)</f>
        <v>0.22527298381475544</v>
      </c>
      <c r="AK65" s="72">
        <f ca="1">IF(AND(Energy!$F$11=$A$3,Main!$B$43=$A65),Summary!AK22,AK65)</f>
        <v>0.01</v>
      </c>
      <c r="AL65" s="72">
        <f ca="1">IF(AND(Energy!$F$11=$A$3,Main!$B$43=$A65),Summary!AL22,AL65)</f>
        <v>-0.55485787546520604</v>
      </c>
      <c r="AM65" s="72">
        <f ca="1">IF(AND(Energy!$F$11=$A$3,Main!$B$43=$A65),Summary!AJ82,AM65)</f>
        <v>0</v>
      </c>
    </row>
    <row r="66" spans="1:39">
      <c r="A66">
        <f t="shared" si="5"/>
        <v>4</v>
      </c>
      <c r="D66" s="1">
        <f ca="1">IF(AND(Energy!$F$11=$A$3,Main!$B$43=A66),Main!C23,D66)</f>
        <v>4.3157894736842106</v>
      </c>
      <c r="E66" s="72">
        <f ca="1">IF(AND(Energy!$F$11=$A$3,Main!$B$43=A66),Main!B23,E66)</f>
        <v>0.26666666666666666</v>
      </c>
      <c r="F66" s="72">
        <f ca="1">IF(Main!$D$6=1,U66,IF(Main!$D$6=2,N66,IF(Main!$D$6=3,K66,IF(Main!$D$6=4,V66,J66))))</f>
        <v>530.22946390831942</v>
      </c>
      <c r="G66" s="72">
        <f ca="1">IF(AND(Energy!$F$11=$A$3,Main!$B$43=A66),Weight!H23,G66)</f>
        <v>15</v>
      </c>
      <c r="H66" s="72">
        <f ca="1">IF(AND(Energy!$F$11=$A$3,Main!$B$43=A66),Weight!U23,H66)</f>
        <v>13.612538557522726</v>
      </c>
      <c r="I66" s="72">
        <f ca="1">IF(AND(Energy!$F$11=$A$3,Main!$B$43=A66),Weight!V23,I66)</f>
        <v>42.040579260647732</v>
      </c>
      <c r="J66" s="72">
        <f ca="1">IF(AND(Energy!$F$11=$A$3,Main!$B$43=A66),Weight!I23,J66)</f>
        <v>23.490392428125002</v>
      </c>
      <c r="K66" s="72">
        <f ca="1">IF(AND(Energy!$F$11=$A$3,Main!$B$43=A66),Weight!W23,K66)</f>
        <v>57.040579260647732</v>
      </c>
      <c r="L66" s="72">
        <f ca="1">IF(AND(Energy!$F$11=$A$3,Main!$B$43=A66),'Aerodynamics-Cruise'!BI23,L66)</f>
        <v>57.040579260647746</v>
      </c>
      <c r="M66" s="72">
        <f ca="1">IF(AND(Energy!$F$11=$A$3,Main!$B$43=A66),'Aerodynamics-Cruise'!BJ23,M66)</f>
        <v>2.803189447581206</v>
      </c>
      <c r="N66" s="72">
        <f ca="1">IF(AND(Energy!$F$11=$A$3,Main!$B$43=A66),'Aerodynamics-Cruise'!BK23,N66)</f>
        <v>20.348456758734759</v>
      </c>
      <c r="O66" s="72">
        <f t="shared" ca="1" si="3"/>
        <v>153.68215480830489</v>
      </c>
      <c r="P66" s="72">
        <f ca="1">IF(AND(Energy!$F$11=$A$3,Main!$B$43=A66),'Aerodynamics-Cruise'!H23,P66)</f>
        <v>9.5326074232522515</v>
      </c>
      <c r="Q66" s="72">
        <f ca="1">IF(AND(Energy!$F$11=$A$3,Main!$B$43=A66),'Aerodynamics-Cruise'!I23,Q66)</f>
        <v>8.0712056579547973</v>
      </c>
      <c r="R66" s="72">
        <f ca="1">IF(AND(Energy!$F$11=$A$3,Main!$B$43=$A66),Summary!R23,R66)</f>
        <v>5.2394530363981282</v>
      </c>
      <c r="S66" s="72">
        <f ca="1">IF(AND(Energy!$F$11=$A$3,Main!$B$43=A66),'Aerodynamics-Cruise'!W23,S66)</f>
        <v>1</v>
      </c>
      <c r="T66" s="72">
        <f ca="1">IF(AND(Energy!$F$11=$A$3,Main!$B$43=A66),'Aerodynamics-Cruise'!BL23,T66)</f>
        <v>26.721704536794984</v>
      </c>
      <c r="U66" s="72">
        <f ca="1">IF(AND(Energy!$F$11=$A$3,Main!$B$43=A66),'Propulsion-Cruise'!M23,U66)</f>
        <v>56.43293595347393</v>
      </c>
      <c r="V66" s="72">
        <f ca="1">IF(AND(Energy!$F$11=$A$3,Main!$B$43=A66),Endurance!AP23,V66)</f>
        <v>530.22946390831942</v>
      </c>
      <c r="W66" s="72">
        <f ca="1">IF(AND(Energy!$F$11=$A$3,Main!$B$43=$A66),Summary!W23,W66)</f>
        <v>1.1508771929824562</v>
      </c>
      <c r="X66" s="13">
        <f ca="1">IF(AND(Energy!$F$11=$A$3,Main!$B$43=A66),Energy!D23,X66)</f>
        <v>1182.0301388888888</v>
      </c>
      <c r="Y66" s="126">
        <f ca="1">IF(AND(Energy!$F$11=$A$3,Main!$B$43=A66),'Aerodynamics-Cruise'!V23,Y66)</f>
        <v>161222.524653784</v>
      </c>
      <c r="Z66" s="126">
        <f ca="1">IF(AND(Energy!$F$11=$A$3,Main!$B$43=$A66),Summary!Z23,Z66)</f>
        <v>120932.37604659019</v>
      </c>
      <c r="AA66" s="126">
        <f ca="1">IF(AND(Energy!$F$11=$A$3,Main!$B$43=$A66),Summary!AA23,AA66)</f>
        <v>120932.37604659019</v>
      </c>
      <c r="AB66" s="72">
        <f ca="1">IF(AND(Energy!$F$11=$A$3,Main!$B$43=$A66),Summary!AB23,AB66)</f>
        <v>5.2394530363981282</v>
      </c>
      <c r="AC66" s="72">
        <f ca="1">IF(AND(Energy!$F$11=$A$3,Main!$B$43=$A66),Summary!AC23,AC66)</f>
        <v>2.6397562337326486</v>
      </c>
      <c r="AD66" s="72">
        <f ca="1">IF(AND(Energy!$F$11=$A$3,Main!$B$43=$A66),Summary!AD23,AD66)</f>
        <v>0.43357303729050933</v>
      </c>
      <c r="AE66" s="72">
        <f ca="1">IF(AND(Energy!$F$11=$A$3,Main!$B$43=$A66),Summary!AE23,AE66)</f>
        <v>1.1508771929824562</v>
      </c>
      <c r="AF66" s="72">
        <f ca="1">IF(AND(Energy!$F$11=$A$3,Main!$B$43=$A66),Summary!AF23,AF66)</f>
        <v>16.184210526315791</v>
      </c>
      <c r="AG66" s="72">
        <f ca="1">IF(AND(Energy!$F$11=$A$3,Main!$B$43=$A66),Summary!AG23,AG66)</f>
        <v>11.416004632637016</v>
      </c>
      <c r="AH66" s="72">
        <f ca="1">IF(AND(Energy!$F$11=$A$3,Main!$B$43=$A66),Summary!AH23,AH66)</f>
        <v>47</v>
      </c>
      <c r="AI66" s="72">
        <f ca="1">IF(AND(Energy!$F$11=$A$3,Main!$B$43=$A66),Summary!AI23,AI66)</f>
        <v>2.7340261273093747</v>
      </c>
      <c r="AJ66" s="72">
        <f ca="1">IF(AND(Energy!$F$11=$A$3,Main!$B$43=$A66),Summary!AJ23,AJ66)</f>
        <v>0.22626173180591935</v>
      </c>
      <c r="AK66" s="72">
        <f ca="1">IF(AND(Energy!$F$11=$A$3,Main!$B$43=$A66),Summary!AK23,AK66)</f>
        <v>0.01</v>
      </c>
      <c r="AL66" s="72">
        <f ca="1">IF(AND(Energy!$F$11=$A$3,Main!$B$43=$A66),Summary!AL23,AL66)</f>
        <v>-0.55243318132847474</v>
      </c>
      <c r="AM66" s="72">
        <f ca="1">IF(AND(Energy!$F$11=$A$3,Main!$B$43=$A66),Summary!AJ83,AM66)</f>
        <v>0</v>
      </c>
    </row>
    <row r="67" spans="1:39">
      <c r="A67">
        <f t="shared" si="5"/>
        <v>4</v>
      </c>
      <c r="D67" s="1">
        <f ca="1">IF(AND(Energy!$F$11=$A$3,Main!$B$43=A67),Main!C24,D67)</f>
        <v>4.4736842105263159</v>
      </c>
      <c r="E67" s="72">
        <f ca="1">IF(AND(Energy!$F$11=$A$3,Main!$B$43=A67),Main!B24,E67)</f>
        <v>0.26666666666666666</v>
      </c>
      <c r="F67" s="72">
        <f ca="1">IF(Main!$D$6=1,U67,IF(Main!$D$6=2,N67,IF(Main!$D$6=3,K67,IF(Main!$D$6=4,V67,J67))))</f>
        <v>526.32026609397417</v>
      </c>
      <c r="G67" s="72">
        <f ca="1">IF(AND(Energy!$F$11=$A$3,Main!$B$43=A67),Weight!H24,G67)</f>
        <v>15</v>
      </c>
      <c r="H67" s="72">
        <f ca="1">IF(AND(Energy!$F$11=$A$3,Main!$B$43=A67),Weight!U24,H67)</f>
        <v>14.075935229585873</v>
      </c>
      <c r="I67" s="72">
        <f ca="1">IF(AND(Energy!$F$11=$A$3,Main!$B$43=A67),Weight!V24,I67)</f>
        <v>42.503975932710873</v>
      </c>
      <c r="J67" s="72">
        <f ca="1">IF(AND(Energy!$F$11=$A$3,Main!$B$43=A67),Weight!I24,J67)</f>
        <v>23.490392428125002</v>
      </c>
      <c r="K67" s="72">
        <f ca="1">IF(AND(Energy!$F$11=$A$3,Main!$B$43=A67),Weight!W24,K67)</f>
        <v>57.50397593271088</v>
      </c>
      <c r="L67" s="72">
        <f ca="1">IF(AND(Energy!$F$11=$A$3,Main!$B$43=A67),'Aerodynamics-Cruise'!BI24,L67)</f>
        <v>57.503975932710873</v>
      </c>
      <c r="M67" s="72">
        <f ca="1">IF(AND(Energy!$F$11=$A$3,Main!$B$43=A67),'Aerodynamics-Cruise'!BJ24,M67)</f>
        <v>2.8028539743012653</v>
      </c>
      <c r="N67" s="72">
        <f ca="1">IF(AND(Energy!$F$11=$A$3,Main!$B$43=A67),'Aerodynamics-Cruise'!BK24,N67)</f>
        <v>20.516222557418914</v>
      </c>
      <c r="O67" s="72">
        <f t="shared" ca="1" si="3"/>
        <v>155.57733878276923</v>
      </c>
      <c r="P67" s="72">
        <f ca="1">IF(AND(Energy!$F$11=$A$3,Main!$B$43=A67),'Aerodynamics-Cruise'!H24,P67)</f>
        <v>9.4007646279471082</v>
      </c>
      <c r="Q67" s="72">
        <f ca="1">IF(AND(Energy!$F$11=$A$3,Main!$B$43=A67),'Aerodynamics-Cruise'!I24,Q67)</f>
        <v>7.9641313268256022</v>
      </c>
      <c r="R67" s="72">
        <f ca="1">IF(AND(Energy!$F$11=$A$3,Main!$B$43=$A67),Summary!R24,R67)</f>
        <v>5.1390211505242709</v>
      </c>
      <c r="S67" s="72">
        <f ca="1">IF(AND(Energy!$F$11=$A$3,Main!$B$43=A67),'Aerodynamics-Cruise'!W24,S67)</f>
        <v>1</v>
      </c>
      <c r="T67" s="72">
        <f ca="1">IF(AND(Energy!$F$11=$A$3,Main!$B$43=A67),'Aerodynamics-Cruise'!BL24,T67)</f>
        <v>26.348970498912308</v>
      </c>
      <c r="U67" s="72">
        <f ca="1">IF(AND(Energy!$F$11=$A$3,Main!$B$43=A67),'Propulsion-Cruise'!M24,U67)</f>
        <v>55.860753976258124</v>
      </c>
      <c r="V67" s="72">
        <f ca="1">IF(AND(Energy!$F$11=$A$3,Main!$B$43=A67),Endurance!AP24,V67)</f>
        <v>526.32026609397417</v>
      </c>
      <c r="W67" s="72">
        <f ca="1">IF(AND(Energy!$F$11=$A$3,Main!$B$43=$A67),Summary!W24,W67)</f>
        <v>1.1929824561403508</v>
      </c>
      <c r="X67" s="13">
        <f ca="1">IF(AND(Energy!$F$11=$A$3,Main!$B$43=A67),Energy!D24,X67)</f>
        <v>1182.0301388888888</v>
      </c>
      <c r="Y67" s="126">
        <f ca="1">IF(AND(Energy!$F$11=$A$3,Main!$B$43=A67),'Aerodynamics-Cruise'!V24,Y67)</f>
        <v>158992.70154529653</v>
      </c>
      <c r="Z67" s="126">
        <f ca="1">IF(AND(Energy!$F$11=$A$3,Main!$B$43=$A67),Summary!Z24,Z67)</f>
        <v>119325.39727122843</v>
      </c>
      <c r="AA67" s="126">
        <f ca="1">IF(AND(Energy!$F$11=$A$3,Main!$B$43=$A67),Summary!AA24,AA67)</f>
        <v>119325.39727122843</v>
      </c>
      <c r="AB67" s="72">
        <f ca="1">IF(AND(Energy!$F$11=$A$3,Main!$B$43=$A67),Summary!AB24,AB67)</f>
        <v>5.1390211505242709</v>
      </c>
      <c r="AC67" s="72">
        <f ca="1">IF(AND(Energy!$F$11=$A$3,Main!$B$43=$A67),Summary!AC24,AC67)</f>
        <v>2.5918009564161912</v>
      </c>
      <c r="AD67" s="72">
        <f ca="1">IF(AND(Energy!$F$11=$A$3,Main!$B$43=$A67),Summary!AD24,AD67)</f>
        <v>0.43042851994305803</v>
      </c>
      <c r="AE67" s="72">
        <f ca="1">IF(AND(Energy!$F$11=$A$3,Main!$B$43=$A67),Summary!AE24,AE67)</f>
        <v>1.1929824561403508</v>
      </c>
      <c r="AF67" s="72">
        <f ca="1">IF(AND(Energy!$F$11=$A$3,Main!$B$43=$A67),Summary!AF24,AF67)</f>
        <v>16.776315789473685</v>
      </c>
      <c r="AG67" s="72">
        <f ca="1">IF(AND(Energy!$F$11=$A$3,Main!$B$43=$A67),Summary!AG24,AG67)</f>
        <v>11.363739992007723</v>
      </c>
      <c r="AH67" s="72">
        <f ca="1">IF(AND(Energy!$F$11=$A$3,Main!$B$43=$A67),Summary!AH24,AH67)</f>
        <v>47</v>
      </c>
      <c r="AI67" s="72">
        <f ca="1">IF(AND(Energy!$F$11=$A$3,Main!$B$43=$A67),Summary!AI24,AI67)</f>
        <v>2.7308987834637524</v>
      </c>
      <c r="AJ67" s="72">
        <f ca="1">IF(AND(Energy!$F$11=$A$3,Main!$B$43=$A67),Summary!AJ24,AJ67)</f>
        <v>0.22719347487761904</v>
      </c>
      <c r="AK67" s="72">
        <f ca="1">IF(AND(Energy!$F$11=$A$3,Main!$B$43=$A67),Summary!AK24,AK67)</f>
        <v>0.01</v>
      </c>
      <c r="AL67" s="72">
        <f ca="1">IF(AND(Energy!$F$11=$A$3,Main!$B$43=$A67),Summary!AL24,AL67)</f>
        <v>-0.55016758594706494</v>
      </c>
      <c r="AM67" s="72">
        <f ca="1">IF(AND(Energy!$F$11=$A$3,Main!$B$43=$A67),Summary!AJ84,AM67)</f>
        <v>0</v>
      </c>
    </row>
    <row r="68" spans="1:39">
      <c r="A68">
        <f t="shared" si="5"/>
        <v>4</v>
      </c>
      <c r="D68" s="1">
        <f ca="1">IF(AND(Energy!$F$11=$A$3,Main!$B$43=A68),Main!C25,D68)</f>
        <v>4.6315789473684212</v>
      </c>
      <c r="E68" s="72">
        <f ca="1">IF(AND(Energy!$F$11=$A$3,Main!$B$43=A68),Main!B25,E68)</f>
        <v>0.26666666666666666</v>
      </c>
      <c r="F68" s="72">
        <f ca="1">IF(Main!$D$6=1,U68,IF(Main!$D$6=2,N68,IF(Main!$D$6=3,K68,IF(Main!$D$6=4,V68,J68))))</f>
        <v>523.15287669203781</v>
      </c>
      <c r="G68" s="72">
        <f ca="1">IF(AND(Energy!$F$11=$A$3,Main!$B$43=A68),Weight!H25,G68)</f>
        <v>15</v>
      </c>
      <c r="H68" s="72">
        <f ca="1">IF(AND(Energy!$F$11=$A$3,Main!$B$43=A68),Weight!U25,H68)</f>
        <v>14.548841564813713</v>
      </c>
      <c r="I68" s="72">
        <f ca="1">IF(AND(Energy!$F$11=$A$3,Main!$B$43=A68),Weight!V25,I68)</f>
        <v>42.97688226793872</v>
      </c>
      <c r="J68" s="72">
        <f ca="1">IF(AND(Energy!$F$11=$A$3,Main!$B$43=A68),Weight!I25,J68)</f>
        <v>23.490392428125002</v>
      </c>
      <c r="K68" s="72">
        <f ca="1">IF(AND(Energy!$F$11=$A$3,Main!$B$43=A68),Weight!W25,K68)</f>
        <v>57.97688226793872</v>
      </c>
      <c r="L68" s="72">
        <f ca="1">IF(AND(Energy!$F$11=$A$3,Main!$B$43=A68),'Aerodynamics-Cruise'!BI25,L68)</f>
        <v>57.97688226793872</v>
      </c>
      <c r="M68" s="72">
        <f ca="1">IF(AND(Energy!$F$11=$A$3,Main!$B$43=A68),'Aerodynamics-Cruise'!BJ25,M68)</f>
        <v>2.8049776310235752</v>
      </c>
      <c r="N68" s="72">
        <f ca="1">IF(AND(Energy!$F$11=$A$3,Main!$B$43=A68),'Aerodynamics-Cruise'!BK25,N68)</f>
        <v>20.669285069051391</v>
      </c>
      <c r="O68" s="72">
        <f t="shared" ref="O68:O99" ca="1" si="6">L68^(3/2)/M68</f>
        <v>157.38121134066796</v>
      </c>
      <c r="P68" s="72">
        <f ca="1">IF(AND(Energy!$F$11=$A$3,Main!$B$43=A68),'Aerodynamics-Cruise'!H25,P68)</f>
        <v>9.2769908929820399</v>
      </c>
      <c r="Q68" s="72">
        <f ca="1">IF(AND(Energy!$F$11=$A$3,Main!$B$43=A68),'Aerodynamics-Cruise'!I25,Q68)</f>
        <v>7.8635512193358394</v>
      </c>
      <c r="R68" s="72">
        <f ca="1">IF(AND(Energy!$F$11=$A$3,Main!$B$43=$A68),Summary!R25,R68)</f>
        <v>5.047934461678941</v>
      </c>
      <c r="S68" s="72">
        <f ca="1">IF(AND(Energy!$F$11=$A$3,Main!$B$43=A68),'Aerodynamics-Cruise'!W25,S68)</f>
        <v>1</v>
      </c>
      <c r="T68" s="72">
        <f ca="1">IF(AND(Energy!$F$11=$A$3,Main!$B$43=A68),'Aerodynamics-Cruise'!BL25,T68)</f>
        <v>26.021751938024043</v>
      </c>
      <c r="U68" s="72">
        <f ca="1">IF(AND(Energy!$F$11=$A$3,Main!$B$43=A68),'Propulsion-Cruise'!M25,U68)</f>
        <v>55.37295867476616</v>
      </c>
      <c r="V68" s="72">
        <f ca="1">IF(AND(Energy!$F$11=$A$3,Main!$B$43=A68),Endurance!AP25,V68)</f>
        <v>523.15287669203781</v>
      </c>
      <c r="W68" s="72">
        <f ca="1">IF(AND(Energy!$F$11=$A$3,Main!$B$43=$A68),Summary!W25,W68)</f>
        <v>1.2350877192982457</v>
      </c>
      <c r="X68" s="13">
        <f ca="1">IF(AND(Energy!$F$11=$A$3,Main!$B$43=A68),Energy!D25,X68)</f>
        <v>1182.0301388888888</v>
      </c>
      <c r="Y68" s="126">
        <f ca="1">IF(AND(Energy!$F$11=$A$3,Main!$B$43=A68),'Aerodynamics-Cruise'!V25,Y68)</f>
        <v>156899.34836805126</v>
      </c>
      <c r="Z68" s="126">
        <f ca="1">IF(AND(Energy!$F$11=$A$3,Main!$B$43=$A68),Summary!Z25,Z68)</f>
        <v>117815.91883886213</v>
      </c>
      <c r="AA68" s="126">
        <f ca="1">IF(AND(Energy!$F$11=$A$3,Main!$B$43=$A68),Summary!AA25,AA68)</f>
        <v>117815.91883886213</v>
      </c>
      <c r="AB68" s="72">
        <f ca="1">IF(AND(Energy!$F$11=$A$3,Main!$B$43=$A68),Summary!AB25,AB68)</f>
        <v>5.047934461678941</v>
      </c>
      <c r="AC68" s="72">
        <f ca="1">IF(AND(Energy!$F$11=$A$3,Main!$B$43=$A68),Summary!AC25,AC68)</f>
        <v>2.5451822217050144</v>
      </c>
      <c r="AD68" s="72">
        <f ca="1">IF(AND(Energy!$F$11=$A$3,Main!$B$43=$A68),Summary!AD25,AD68)</f>
        <v>0.42758007617532984</v>
      </c>
      <c r="AE68" s="72">
        <f ca="1">IF(AND(Energy!$F$11=$A$3,Main!$B$43=$A68),Summary!AE25,AE68)</f>
        <v>1.2350877192982457</v>
      </c>
      <c r="AF68" s="72">
        <f ca="1">IF(AND(Energy!$F$11=$A$3,Main!$B$43=$A68),Summary!AF25,AF68)</f>
        <v>17.368421052631579</v>
      </c>
      <c r="AG68" s="72">
        <f ca="1">IF(AND(Energy!$F$11=$A$3,Main!$B$43=$A68),Summary!AG25,AG68)</f>
        <v>11.320763157425159</v>
      </c>
      <c r="AH68" s="72">
        <f ca="1">IF(AND(Energy!$F$11=$A$3,Main!$B$43=$A68),Summary!AH25,AH68)</f>
        <v>47</v>
      </c>
      <c r="AI68" s="72">
        <f ca="1">IF(AND(Energy!$F$11=$A$3,Main!$B$43=$A68),Summary!AI25,AI68)</f>
        <v>2.7279279279683322</v>
      </c>
      <c r="AJ68" s="72">
        <f ca="1">IF(AND(Energy!$F$11=$A$3,Main!$B$43=$A68),Summary!AJ25,AJ68)</f>
        <v>0.22807301849629699</v>
      </c>
      <c r="AK68" s="72">
        <f ca="1">IF(AND(Energy!$F$11=$A$3,Main!$B$43=$A68),Summary!AK25,AK68)</f>
        <v>0.01</v>
      </c>
      <c r="AL68" s="72">
        <f ca="1">IF(AND(Energy!$F$11=$A$3,Main!$B$43=$A68),Summary!AL25,AL68)</f>
        <v>-0.54804589383983582</v>
      </c>
      <c r="AM68" s="72">
        <f ca="1">IF(AND(Energy!$F$11=$A$3,Main!$B$43=$A68),Summary!AJ85,AM68)</f>
        <v>0</v>
      </c>
    </row>
    <row r="69" spans="1:39">
      <c r="A69">
        <f t="shared" si="5"/>
        <v>4</v>
      </c>
      <c r="D69" s="1">
        <f ca="1">IF(AND(Energy!$F$11=$A$3,Main!$B$43=A69),Main!C26,D69)</f>
        <v>4.7894736842105265</v>
      </c>
      <c r="E69" s="72">
        <f ca="1">IF(AND(Energy!$F$11=$A$3,Main!$B$43=A69),Main!B26,E69)</f>
        <v>0.26666666666666666</v>
      </c>
      <c r="F69" s="72">
        <f ca="1">IF(Main!$D$6=1,U69,IF(Main!$D$6=2,N69,IF(Main!$D$6=3,K69,IF(Main!$D$6=4,V69,J69))))</f>
        <v>520.65236014983168</v>
      </c>
      <c r="G69" s="72">
        <f ca="1">IF(AND(Energy!$F$11=$A$3,Main!$B$43=A69),Weight!H26,G69)</f>
        <v>15</v>
      </c>
      <c r="H69" s="72">
        <f ca="1">IF(AND(Energy!$F$11=$A$3,Main!$B$43=A69),Weight!U26,H69)</f>
        <v>15.031279057422417</v>
      </c>
      <c r="I69" s="72">
        <f ca="1">IF(AND(Energy!$F$11=$A$3,Main!$B$43=A69),Weight!V26,I69)</f>
        <v>43.459319760547416</v>
      </c>
      <c r="J69" s="72">
        <f ca="1">IF(AND(Energy!$F$11=$A$3,Main!$B$43=A69),Weight!I26,J69)</f>
        <v>23.490392428125002</v>
      </c>
      <c r="K69" s="72">
        <f ca="1">IF(AND(Energy!$F$11=$A$3,Main!$B$43=A69),Weight!W26,K69)</f>
        <v>58.459319760547423</v>
      </c>
      <c r="L69" s="72">
        <f ca="1">IF(AND(Energy!$F$11=$A$3,Main!$B$43=A69),'Aerodynamics-Cruise'!BI26,L69)</f>
        <v>58.459319760547416</v>
      </c>
      <c r="M69" s="72">
        <f ca="1">IF(AND(Energy!$F$11=$A$3,Main!$B$43=A69),'Aerodynamics-Cruise'!BJ26,M69)</f>
        <v>2.8093280936922334</v>
      </c>
      <c r="N69" s="72">
        <f ca="1">IF(AND(Energy!$F$11=$A$3,Main!$B$43=A69),'Aerodynamics-Cruise'!BK26,N69)</f>
        <v>20.809004078877706</v>
      </c>
      <c r="O69" s="72">
        <f t="shared" ca="1" si="6"/>
        <v>159.1029287268893</v>
      </c>
      <c r="P69" s="72">
        <f ca="1">IF(AND(Energy!$F$11=$A$3,Main!$B$43=A69),'Aerodynamics-Cruise'!H26,P69)</f>
        <v>9.1606188195251796</v>
      </c>
      <c r="Q69" s="72">
        <f ca="1">IF(AND(Energy!$F$11=$A$3,Main!$B$43=A69),'Aerodynamics-Cruise'!I26,Q69)</f>
        <v>7.7689331655742784</v>
      </c>
      <c r="R69" s="72">
        <f ca="1">IF(AND(Energy!$F$11=$A$3,Main!$B$43=$A69),Summary!R26,R69)</f>
        <v>4.9653036210582071</v>
      </c>
      <c r="S69" s="72">
        <f ca="1">IF(AND(Energy!$F$11=$A$3,Main!$B$43=A69),'Aerodynamics-Cruise'!W26,S69)</f>
        <v>1</v>
      </c>
      <c r="T69" s="72">
        <f ca="1">IF(AND(Energy!$F$11=$A$3,Main!$B$43=A69),'Aerodynamics-Cruise'!BL26,T69)</f>
        <v>25.735183805297869</v>
      </c>
      <c r="U69" s="72">
        <f ca="1">IF(AND(Energy!$F$11=$A$3,Main!$B$43=A69),'Propulsion-Cruise'!M26,U69)</f>
        <v>54.960850574596741</v>
      </c>
      <c r="V69" s="72">
        <f ca="1">IF(AND(Energy!$F$11=$A$3,Main!$B$43=A69),Endurance!AP26,V69)</f>
        <v>520.65236014983168</v>
      </c>
      <c r="W69" s="72">
        <f ca="1">IF(AND(Energy!$F$11=$A$3,Main!$B$43=$A69),Summary!W26,W69)</f>
        <v>1.2771929824561403</v>
      </c>
      <c r="X69" s="13">
        <f ca="1">IF(AND(Energy!$F$11=$A$3,Main!$B$43=A69),Energy!D26,X69)</f>
        <v>1182.0301388888888</v>
      </c>
      <c r="Y69" s="126">
        <f ca="1">IF(AND(Energy!$F$11=$A$3,Main!$B$43=A69),'Aerodynamics-Cruise'!V26,Y69)</f>
        <v>154931.17757816368</v>
      </c>
      <c r="Z69" s="126">
        <f ca="1">IF(AND(Energy!$F$11=$A$3,Main!$B$43=$A69),Summary!Z26,Z69)</f>
        <v>116395.94814153615</v>
      </c>
      <c r="AA69" s="126">
        <f ca="1">IF(AND(Energy!$F$11=$A$3,Main!$B$43=$A69),Summary!AA26,AA69)</f>
        <v>116395.94814153615</v>
      </c>
      <c r="AB69" s="72">
        <f ca="1">IF(AND(Energy!$F$11=$A$3,Main!$B$43=$A69),Summary!AB26,AB69)</f>
        <v>4.9653036210582071</v>
      </c>
      <c r="AC69" s="72">
        <f ca="1">IF(AND(Energy!$F$11=$A$3,Main!$B$43=$A69),Summary!AC26,AC69)</f>
        <v>2.4998506326971164</v>
      </c>
      <c r="AD69" s="72">
        <f ca="1">IF(AND(Energy!$F$11=$A$3,Main!$B$43=$A69),Summary!AD26,AD69)</f>
        <v>0.42500205497135052</v>
      </c>
      <c r="AE69" s="72">
        <f ca="1">IF(AND(Energy!$F$11=$A$3,Main!$B$43=$A69),Summary!AE26,AE69)</f>
        <v>1.2771929824561403</v>
      </c>
      <c r="AF69" s="72">
        <f ca="1">IF(AND(Energy!$F$11=$A$3,Main!$B$43=$A69),Summary!AF26,AF69)</f>
        <v>17.960526315789476</v>
      </c>
      <c r="AG69" s="72">
        <f ca="1">IF(AND(Energy!$F$11=$A$3,Main!$B$43=$A69),Summary!AG26,AG69)</f>
        <v>11.286169596584074</v>
      </c>
      <c r="AH69" s="72">
        <f ca="1">IF(AND(Energy!$F$11=$A$3,Main!$B$43=$A69),Summary!AH26,AH69)</f>
        <v>47</v>
      </c>
      <c r="AI69" s="72">
        <f ca="1">IF(AND(Energy!$F$11=$A$3,Main!$B$43=$A69),Summary!AI26,AI69)</f>
        <v>2.7251030203521438</v>
      </c>
      <c r="AJ69" s="72">
        <f ca="1">IF(AND(Energy!$F$11=$A$3,Main!$B$43=$A69),Summary!AJ26,AJ69)</f>
        <v>0.22890457628441097</v>
      </c>
      <c r="AK69" s="72">
        <f ca="1">IF(AND(Energy!$F$11=$A$3,Main!$B$43=$A69),Summary!AK26,AK69)</f>
        <v>0.01</v>
      </c>
      <c r="AL69" s="72">
        <f ca="1">IF(AND(Energy!$F$11=$A$3,Main!$B$43=$A69),Summary!AL26,AL69)</f>
        <v>-0.54605494373844665</v>
      </c>
      <c r="AM69" s="72">
        <f ca="1">IF(AND(Energy!$F$11=$A$3,Main!$B$43=$A69),Summary!AJ86,AM69)</f>
        <v>0</v>
      </c>
    </row>
    <row r="70" spans="1:39">
      <c r="A70">
        <f t="shared" si="5"/>
        <v>4</v>
      </c>
      <c r="D70" s="1">
        <f ca="1">IF(AND(Energy!$F$11=$A$3,Main!$B$43=A70),Main!C27,D70)</f>
        <v>4.9473684210526319</v>
      </c>
      <c r="E70" s="72">
        <f ca="1">IF(AND(Energy!$F$11=$A$3,Main!$B$43=A70),Main!B27,E70)</f>
        <v>0.26666666666666666</v>
      </c>
      <c r="F70" s="72">
        <f ca="1">IF(Main!$D$6=1,U70,IF(Main!$D$6=2,N70,IF(Main!$D$6=3,K70,IF(Main!$D$6=4,V70,J70))))</f>
        <v>518.75439956103696</v>
      </c>
      <c r="G70" s="72">
        <f ca="1">IF(AND(Energy!$F$11=$A$3,Main!$B$43=A70),Weight!H27,G70)</f>
        <v>15</v>
      </c>
      <c r="H70" s="72">
        <f ca="1">IF(AND(Energy!$F$11=$A$3,Main!$B$43=A70),Weight!U27,H70)</f>
        <v>15.523275730891179</v>
      </c>
      <c r="I70" s="72">
        <f ca="1">IF(AND(Energy!$F$11=$A$3,Main!$B$43=A70),Weight!V27,I70)</f>
        <v>43.951316434016178</v>
      </c>
      <c r="J70" s="72">
        <f ca="1">IF(AND(Energy!$F$11=$A$3,Main!$B$43=A70),Weight!I27,J70)</f>
        <v>23.490392428125002</v>
      </c>
      <c r="K70" s="72">
        <f ca="1">IF(AND(Energy!$F$11=$A$3,Main!$B$43=A70),Weight!W27,K70)</f>
        <v>58.951316434016185</v>
      </c>
      <c r="L70" s="72">
        <f ca="1">IF(AND(Energy!$F$11=$A$3,Main!$B$43=A70),'Aerodynamics-Cruise'!BI27,L70)</f>
        <v>58.951316434016171</v>
      </c>
      <c r="M70" s="72">
        <f ca="1">IF(AND(Energy!$F$11=$A$3,Main!$B$43=A70),'Aerodynamics-Cruise'!BJ27,M70)</f>
        <v>2.8157035558087524</v>
      </c>
      <c r="N70" s="72">
        <f ca="1">IF(AND(Energy!$F$11=$A$3,Main!$B$43=A70),'Aerodynamics-Cruise'!BK27,N70)</f>
        <v>20.936620374115922</v>
      </c>
      <c r="O70" s="72">
        <f t="shared" ca="1" si="6"/>
        <v>160.75087008623501</v>
      </c>
      <c r="P70" s="72">
        <f ca="1">IF(AND(Energy!$F$11=$A$3,Main!$B$43=A70),'Aerodynamics-Cruise'!H27,P70)</f>
        <v>9.0510564867290189</v>
      </c>
      <c r="Q70" s="72">
        <f ca="1">IF(AND(Energy!$F$11=$A$3,Main!$B$43=A70),'Aerodynamics-Cruise'!I27,Q70)</f>
        <v>7.6798047743526361</v>
      </c>
      <c r="R70" s="72">
        <f ca="1">IF(AND(Energy!$F$11=$A$3,Main!$B$43=$A70),Summary!R27,R70)</f>
        <v>4.8903564549295826</v>
      </c>
      <c r="S70" s="72">
        <f ca="1">IF(AND(Energy!$F$11=$A$3,Main!$B$43=A70),'Aerodynamics-Cruise'!W27,S70)</f>
        <v>1</v>
      </c>
      <c r="T70" s="72">
        <f ca="1">IF(AND(Energy!$F$11=$A$3,Main!$B$43=A70),'Aerodynamics-Cruise'!BL27,T70)</f>
        <v>25.485091933508773</v>
      </c>
      <c r="U70" s="72">
        <f ca="1">IF(AND(Energy!$F$11=$A$3,Main!$B$43=A70),'Propulsion-Cruise'!M27,U70)</f>
        <v>54.616960568485489</v>
      </c>
      <c r="V70" s="72">
        <f ca="1">IF(AND(Energy!$F$11=$A$3,Main!$B$43=A70),Endurance!AP27,V70)</f>
        <v>518.75439956103696</v>
      </c>
      <c r="W70" s="72">
        <f ca="1">IF(AND(Energy!$F$11=$A$3,Main!$B$43=$A70),Summary!W27,W70)</f>
        <v>1.3192982456140352</v>
      </c>
      <c r="X70" s="13">
        <f ca="1">IF(AND(Energy!$F$11=$A$3,Main!$B$43=A70),Energy!D27,X70)</f>
        <v>1182.0301388888888</v>
      </c>
      <c r="Y70" s="126">
        <f ca="1">IF(AND(Energy!$F$11=$A$3,Main!$B$43=A70),'Aerodynamics-Cruise'!V27,Y70)</f>
        <v>153078.17817138348</v>
      </c>
      <c r="Z70" s="126">
        <f ca="1">IF(AND(Energy!$F$11=$A$3,Main!$B$43=$A70),Summary!Z27,Z70)</f>
        <v>115058.39062199809</v>
      </c>
      <c r="AA70" s="126">
        <f ca="1">IF(AND(Energy!$F$11=$A$3,Main!$B$43=$A70),Summary!AA27,AA70)</f>
        <v>115058.39062199809</v>
      </c>
      <c r="AB70" s="72">
        <f ca="1">IF(AND(Energy!$F$11=$A$3,Main!$B$43=$A70),Summary!AB27,AB70)</f>
        <v>4.8903564549295826</v>
      </c>
      <c r="AC70" s="72">
        <f ca="1">IF(AND(Energy!$F$11=$A$3,Main!$B$43=$A70),Summary!AC27,AC70)</f>
        <v>2.4557566726946689</v>
      </c>
      <c r="AD70" s="72">
        <f ca="1">IF(AND(Energy!$F$11=$A$3,Main!$B$43=$A70),Summary!AD27,AD70)</f>
        <v>0.42267181657096792</v>
      </c>
      <c r="AE70" s="72">
        <f ca="1">IF(AND(Energy!$F$11=$A$3,Main!$B$43=$A70),Summary!AE27,AE70)</f>
        <v>1.3192982456140352</v>
      </c>
      <c r="AF70" s="72">
        <f ca="1">IF(AND(Energy!$F$11=$A$3,Main!$B$43=$A70),Summary!AF27,AF70)</f>
        <v>18.55263157894737</v>
      </c>
      <c r="AG70" s="72">
        <f ca="1">IF(AND(Energy!$F$11=$A$3,Main!$B$43=$A70),Summary!AG27,AG70)</f>
        <v>11.259174271759003</v>
      </c>
      <c r="AH70" s="72">
        <f ca="1">IF(AND(Energy!$F$11=$A$3,Main!$B$43=$A70),Summary!AH27,AH70)</f>
        <v>47</v>
      </c>
      <c r="AI70" s="72">
        <f ca="1">IF(AND(Energy!$F$11=$A$3,Main!$B$43=$A70),Summary!AI27,AI70)</f>
        <v>2.7224145782301301</v>
      </c>
      <c r="AJ70" s="72">
        <f ca="1">IF(AND(Energy!$F$11=$A$3,Main!$B$43=$A70),Summary!AJ27,AJ70)</f>
        <v>0.22969479555727662</v>
      </c>
      <c r="AK70" s="72">
        <f ca="1">IF(AND(Energy!$F$11=$A$3,Main!$B$43=$A70),Summary!AK27,AK70)</f>
        <v>0.01</v>
      </c>
      <c r="AL70" s="72">
        <f ca="1">IF(AND(Energy!$F$11=$A$3,Main!$B$43=$A70),Summary!AL27,AL70)</f>
        <v>-0.54417626806231878</v>
      </c>
      <c r="AM70" s="72">
        <f ca="1">IF(AND(Energy!$F$11=$A$3,Main!$B$43=$A70),Summary!AJ87,AM70)</f>
        <v>0</v>
      </c>
    </row>
    <row r="71" spans="1:39">
      <c r="A71">
        <f t="shared" si="5"/>
        <v>4</v>
      </c>
      <c r="D71" s="1">
        <f ca="1">IF(AND(Energy!$F$11=$A$3,Main!$B$43=A71),Main!C28,D71)</f>
        <v>5.1052631578947372</v>
      </c>
      <c r="E71" s="72">
        <f ca="1">IF(AND(Energy!$F$11=$A$3,Main!$B$43=A71),Main!B28,E71)</f>
        <v>0.26666666666666666</v>
      </c>
      <c r="F71" s="72">
        <f ca="1">IF(Main!$D$6=1,U71,IF(Main!$D$6=2,N71,IF(Main!$D$6=3,K71,IF(Main!$D$6=4,V71,J71))))</f>
        <v>517.40358197522369</v>
      </c>
      <c r="G71" s="72">
        <f ca="1">IF(AND(Energy!$F$11=$A$3,Main!$B$43=A71),Weight!H28,G71)</f>
        <v>15</v>
      </c>
      <c r="H71" s="72">
        <f ca="1">IF(AND(Energy!$F$11=$A$3,Main!$B$43=A71),Weight!U28,H71)</f>
        <v>16.024865594119831</v>
      </c>
      <c r="I71" s="72">
        <f ca="1">IF(AND(Energy!$F$11=$A$3,Main!$B$43=A71),Weight!V28,I71)</f>
        <v>44.452906297244837</v>
      </c>
      <c r="J71" s="72">
        <f ca="1">IF(AND(Energy!$F$11=$A$3,Main!$B$43=A71),Weight!I28,J71)</f>
        <v>23.490392428125002</v>
      </c>
      <c r="K71" s="72">
        <f ca="1">IF(AND(Energy!$F$11=$A$3,Main!$B$43=A71),Weight!W28,K71)</f>
        <v>59.452906297244837</v>
      </c>
      <c r="L71" s="72">
        <f ca="1">IF(AND(Energy!$F$11=$A$3,Main!$B$43=A71),'Aerodynamics-Cruise'!BI28,L71)</f>
        <v>59.45290629724483</v>
      </c>
      <c r="M71" s="72">
        <f ca="1">IF(AND(Energy!$F$11=$A$3,Main!$B$43=A71),'Aerodynamics-Cruise'!BJ28,M71)</f>
        <v>2.8239282889202779</v>
      </c>
      <c r="N71" s="72">
        <f ca="1">IF(AND(Energy!$F$11=$A$3,Main!$B$43=A71),'Aerodynamics-Cruise'!BK28,N71)</f>
        <v>21.053263473619051</v>
      </c>
      <c r="O71" s="72">
        <f t="shared" ca="1" si="6"/>
        <v>162.3326843666936</v>
      </c>
      <c r="P71" s="72">
        <f ca="1">IF(AND(Energy!$F$11=$A$3,Main!$B$43=A71),'Aerodynamics-Cruise'!H28,P71)</f>
        <v>8.9477768313399277</v>
      </c>
      <c r="Q71" s="72">
        <f ca="1">IF(AND(Energy!$F$11=$A$3,Main!$B$43=A71),'Aerodynamics-Cruise'!I28,Q71)</f>
        <v>7.5957450677814444</v>
      </c>
      <c r="R71" s="72">
        <f ca="1">IF(AND(Energy!$F$11=$A$3,Main!$B$43=$A71),Summary!R28,R71)</f>
        <v>4.8224195934608698</v>
      </c>
      <c r="S71" s="72">
        <f ca="1">IF(AND(Energy!$F$11=$A$3,Main!$B$43=A71),'Aerodynamics-Cruise'!W28,S71)</f>
        <v>1</v>
      </c>
      <c r="T71" s="72">
        <f ca="1">IF(AND(Energy!$F$11=$A$3,Main!$B$43=A71),'Aerodynamics-Cruise'!BL28,T71)</f>
        <v>25.267880116966268</v>
      </c>
      <c r="U71" s="72">
        <f ca="1">IF(AND(Energy!$F$11=$A$3,Main!$B$43=A71),'Propulsion-Cruise'!M28,U71)</f>
        <v>54.334850803479164</v>
      </c>
      <c r="V71" s="72">
        <f ca="1">IF(AND(Energy!$F$11=$A$3,Main!$B$43=A71),Endurance!AP28,V71)</f>
        <v>517.40358197522369</v>
      </c>
      <c r="W71" s="72">
        <f ca="1">IF(AND(Energy!$F$11=$A$3,Main!$B$43=$A71),Summary!W28,W71)</f>
        <v>1.3614035087719298</v>
      </c>
      <c r="X71" s="13">
        <f ca="1">IF(AND(Energy!$F$11=$A$3,Main!$B$43=A71),Energy!D28,X71)</f>
        <v>1182.0301388888888</v>
      </c>
      <c r="Y71" s="126">
        <f ca="1">IF(AND(Energy!$F$11=$A$3,Main!$B$43=A71),'Aerodynamics-Cruise'!V28,Y71)</f>
        <v>151331.4360631764</v>
      </c>
      <c r="Z71" s="126">
        <f ca="1">IF(AND(Energy!$F$11=$A$3,Main!$B$43=$A71),Summary!Z28,Z71)</f>
        <v>113796.9240734006</v>
      </c>
      <c r="AA71" s="126">
        <f ca="1">IF(AND(Energy!$F$11=$A$3,Main!$B$43=$A71),Summary!AA28,AA71)</f>
        <v>113796.9240734006</v>
      </c>
      <c r="AB71" s="72">
        <f ca="1">IF(AND(Energy!$F$11=$A$3,Main!$B$43=$A71),Summary!AB28,AB71)</f>
        <v>4.8224195934608698</v>
      </c>
      <c r="AC71" s="72">
        <f ca="1">IF(AND(Energy!$F$11=$A$3,Main!$B$43=$A71),Summary!AC28,AC71)</f>
        <v>2.4128513970575058</v>
      </c>
      <c r="AD71" s="72">
        <f ca="1">IF(AND(Energy!$F$11=$A$3,Main!$B$43=$A71),Summary!AD28,AD71)</f>
        <v>0.4205693142400832</v>
      </c>
      <c r="AE71" s="72">
        <f ca="1">IF(AND(Energy!$F$11=$A$3,Main!$B$43=$A71),Summary!AE28,AE71)</f>
        <v>1.3614035087719298</v>
      </c>
      <c r="AF71" s="72">
        <f ca="1">IF(AND(Energy!$F$11=$A$3,Main!$B$43=$A71),Summary!AF28,AF71)</f>
        <v>19.144736842105267</v>
      </c>
      <c r="AG71" s="72">
        <f ca="1">IF(AND(Energy!$F$11=$A$3,Main!$B$43=$A71),Summary!AG28,AG71)</f>
        <v>11.239093769969196</v>
      </c>
      <c r="AH71" s="72">
        <f ca="1">IF(AND(Energy!$F$11=$A$3,Main!$B$43=$A71),Summary!AH28,AH71)</f>
        <v>47</v>
      </c>
      <c r="AI71" s="72">
        <f ca="1">IF(AND(Energy!$F$11=$A$3,Main!$B$43=$A71),Summary!AI28,AI71)</f>
        <v>2.7198540386795722</v>
      </c>
      <c r="AJ71" s="72">
        <f ca="1">IF(AND(Energy!$F$11=$A$3,Main!$B$43=$A71),Summary!AJ28,AJ71)</f>
        <v>0.23044414370073646</v>
      </c>
      <c r="AK71" s="72">
        <f ca="1">IF(AND(Energy!$F$11=$A$3,Main!$B$43=$A71),Summary!AK28,AK71)</f>
        <v>0.01</v>
      </c>
      <c r="AL71" s="72">
        <f ca="1">IF(AND(Energy!$F$11=$A$3,Main!$B$43=$A71),Summary!AL28,AL71)</f>
        <v>-0.54240665181633552</v>
      </c>
      <c r="AM71" s="72">
        <f ca="1">IF(AND(Energy!$F$11=$A$3,Main!$B$43=$A71),Summary!AJ88,AM71)</f>
        <v>0</v>
      </c>
    </row>
    <row r="72" spans="1:39">
      <c r="A72">
        <f t="shared" si="5"/>
        <v>4</v>
      </c>
      <c r="D72" s="1">
        <f ca="1">IF(AND(Energy!$F$11=$A$3,Main!$B$43=A72),Main!C29,D72)</f>
        <v>5.2631578947368425</v>
      </c>
      <c r="E72" s="72">
        <f ca="1">IF(AND(Energy!$F$11=$A$3,Main!$B$43=A72),Main!B29,E72)</f>
        <v>0.26666666666666666</v>
      </c>
      <c r="F72" s="72">
        <f ca="1">IF(Main!$D$6=1,U72,IF(Main!$D$6=2,N72,IF(Main!$D$6=3,K72,IF(Main!$D$6=4,V72,J72))))</f>
        <v>516.55190563624365</v>
      </c>
      <c r="G72" s="72">
        <f ca="1">IF(AND(Energy!$F$11=$A$3,Main!$B$43=A72),Weight!H29,G72)</f>
        <v>15</v>
      </c>
      <c r="H72" s="72">
        <f ca="1">IF(AND(Energy!$F$11=$A$3,Main!$B$43=A72),Weight!U29,H72)</f>
        <v>16.536088165273483</v>
      </c>
      <c r="I72" s="72">
        <f ca="1">IF(AND(Energy!$F$11=$A$3,Main!$B$43=A72),Weight!V29,I72)</f>
        <v>44.96412886839849</v>
      </c>
      <c r="J72" s="72">
        <f ca="1">IF(AND(Energy!$F$11=$A$3,Main!$B$43=A72),Weight!I29,J72)</f>
        <v>23.490392428125002</v>
      </c>
      <c r="K72" s="72">
        <f ca="1">IF(AND(Energy!$F$11=$A$3,Main!$B$43=A72),Weight!W29,K72)</f>
        <v>59.96412886839849</v>
      </c>
      <c r="L72" s="72">
        <f ca="1">IF(AND(Energy!$F$11=$A$3,Main!$B$43=A72),'Aerodynamics-Cruise'!BI29,L72)</f>
        <v>59.964128868398483</v>
      </c>
      <c r="M72" s="72">
        <f ca="1">IF(AND(Energy!$F$11=$A$3,Main!$B$43=A72),'Aerodynamics-Cruise'!BJ29,M72)</f>
        <v>2.8338483788045266</v>
      </c>
      <c r="N72" s="72">
        <f ca="1">IF(AND(Energy!$F$11=$A$3,Main!$B$43=A72),'Aerodynamics-Cruise'!BK29,N72)</f>
        <v>21.159963714676454</v>
      </c>
      <c r="O72" s="72">
        <f t="shared" ca="1" si="6"/>
        <v>163.85537152662198</v>
      </c>
      <c r="P72" s="72">
        <f ca="1">IF(AND(Energy!$F$11=$A$3,Main!$B$43=A72),'Aerodynamics-Cruise'!H29,P72)</f>
        <v>8.8503087974514791</v>
      </c>
      <c r="Q72" s="72">
        <f ca="1">IF(AND(Energy!$F$11=$A$3,Main!$B$43=A72),'Aerodynamics-Cruise'!I29,Q72)</f>
        <v>7.5163775034991653</v>
      </c>
      <c r="R72" s="72">
        <f ca="1">IF(AND(Energy!$F$11=$A$3,Main!$B$43=$A72),Summary!R29,R72)</f>
        <v>4.7609034265375341</v>
      </c>
      <c r="S72" s="72">
        <f ca="1">IF(AND(Energy!$F$11=$A$3,Main!$B$43=A72),'Aerodynamics-Cruise'!W29,S72)</f>
        <v>1</v>
      </c>
      <c r="T72" s="72">
        <f ca="1">IF(AND(Energy!$F$11=$A$3,Main!$B$43=A72),'Aerodynamics-Cruise'!BL29,T72)</f>
        <v>25.080433237577314</v>
      </c>
      <c r="U72" s="72">
        <f ca="1">IF(AND(Energy!$F$11=$A$3,Main!$B$43=A72),'Propulsion-Cruise'!M29,U72)</f>
        <v>54.108941618185625</v>
      </c>
      <c r="V72" s="72">
        <f ca="1">IF(AND(Energy!$F$11=$A$3,Main!$B$43=A72),Endurance!AP29,V72)</f>
        <v>516.55190563624365</v>
      </c>
      <c r="W72" s="72">
        <f ca="1">IF(AND(Energy!$F$11=$A$3,Main!$B$43=$A72),Summary!W29,W72)</f>
        <v>1.4035087719298247</v>
      </c>
      <c r="X72" s="13">
        <f ca="1">IF(AND(Energy!$F$11=$A$3,Main!$B$43=A72),Energy!D29,X72)</f>
        <v>1182.0301388888888</v>
      </c>
      <c r="Y72" s="126">
        <f ca="1">IF(AND(Energy!$F$11=$A$3,Main!$B$43=A72),'Aerodynamics-Cruise'!V29,Y72)</f>
        <v>149682.98440679055</v>
      </c>
      <c r="Z72" s="126">
        <f ca="1">IF(AND(Energy!$F$11=$A$3,Main!$B$43=$A72),Summary!Z29,Z72)</f>
        <v>112605.89379407314</v>
      </c>
      <c r="AA72" s="126">
        <f ca="1">IF(AND(Energy!$F$11=$A$3,Main!$B$43=$A72),Summary!AA29,AA72)</f>
        <v>112605.89379407314</v>
      </c>
      <c r="AB72" s="72">
        <f ca="1">IF(AND(Energy!$F$11=$A$3,Main!$B$43=$A72),Summary!AB29,AB72)</f>
        <v>4.7609034265375341</v>
      </c>
      <c r="AC72" s="72">
        <f ca="1">IF(AND(Energy!$F$11=$A$3,Main!$B$43=$A72),Summary!AC29,AC72)</f>
        <v>2.3710869997470883</v>
      </c>
      <c r="AD72" s="72">
        <f ca="1">IF(AND(Energy!$F$11=$A$3,Main!$B$43=$A72),Summary!AD29,AD72)</f>
        <v>0.41867671785418648</v>
      </c>
      <c r="AE72" s="72">
        <f ca="1">IF(AND(Energy!$F$11=$A$3,Main!$B$43=$A72),Summary!AE29,AE72)</f>
        <v>1.4035087719298247</v>
      </c>
      <c r="AF72" s="72">
        <f ca="1">IF(AND(Energy!$F$11=$A$3,Main!$B$43=$A72),Summary!AF29,AF72)</f>
        <v>19.736842105263161</v>
      </c>
      <c r="AG72" s="72">
        <f ca="1">IF(AND(Energy!$F$11=$A$3,Main!$B$43=$A72),Summary!AG29,AG72)</f>
        <v>11.225329953851837</v>
      </c>
      <c r="AH72" s="72">
        <f ca="1">IF(AND(Energy!$F$11=$A$3,Main!$B$43=$A72),Summary!AH29,AH72)</f>
        <v>47</v>
      </c>
      <c r="AI72" s="72">
        <f ca="1">IF(AND(Energy!$F$11=$A$3,Main!$B$43=$A72),Summary!AI29,AI72)</f>
        <v>2.7174136416870067</v>
      </c>
      <c r="AJ72" s="72">
        <f ca="1">IF(AND(Energy!$F$11=$A$3,Main!$B$43=$A72),Summary!AJ29,AJ72)</f>
        <v>0.23115536954444485</v>
      </c>
      <c r="AK72" s="72">
        <f ca="1">IF(AND(Energy!$F$11=$A$3,Main!$B$43=$A72),Summary!AK29,AK72)</f>
        <v>0.01</v>
      </c>
      <c r="AL72" s="72">
        <f ca="1">IF(AND(Energy!$F$11=$A$3,Main!$B$43=$A72),Summary!AL29,AL72)</f>
        <v>-0.54073766939665746</v>
      </c>
      <c r="AM72" s="72">
        <f ca="1">IF(AND(Energy!$F$11=$A$3,Main!$B$43=$A72),Summary!AJ89,AM72)</f>
        <v>0</v>
      </c>
    </row>
    <row r="73" spans="1:39">
      <c r="A73">
        <f t="shared" si="5"/>
        <v>4</v>
      </c>
      <c r="D73" s="1">
        <f ca="1">IF(AND(Energy!$F$11=$A$3,Main!$B$43=A73),Main!C30,D73)</f>
        <v>5.4210526315789478</v>
      </c>
      <c r="E73" s="72">
        <f ca="1">IF(AND(Energy!$F$11=$A$3,Main!$B$43=A73),Main!B30,E73)</f>
        <v>0.26666666666666666</v>
      </c>
      <c r="F73" s="72">
        <f ca="1">IF(Main!$D$6=1,U73,IF(Main!$D$6=2,N73,IF(Main!$D$6=3,K73,IF(Main!$D$6=4,V73,J73))))</f>
        <v>516.15763096964713</v>
      </c>
      <c r="G73" s="72">
        <f ca="1">IF(AND(Energy!$F$11=$A$3,Main!$B$43=A73),Weight!H30,G73)</f>
        <v>15</v>
      </c>
      <c r="H73" s="72">
        <f ca="1">IF(AND(Energy!$F$11=$A$3,Main!$B$43=A73),Weight!U30,H73)</f>
        <v>17.056988052783822</v>
      </c>
      <c r="I73" s="72">
        <f ca="1">IF(AND(Energy!$F$11=$A$3,Main!$B$43=A73),Weight!V30,I73)</f>
        <v>45.485028755908829</v>
      </c>
      <c r="J73" s="72">
        <f ca="1">IF(AND(Energy!$F$11=$A$3,Main!$B$43=A73),Weight!I30,J73)</f>
        <v>23.490392428125002</v>
      </c>
      <c r="K73" s="72">
        <f ca="1">IF(AND(Energy!$F$11=$A$3,Main!$B$43=A73),Weight!W30,K73)</f>
        <v>60.485028755908829</v>
      </c>
      <c r="L73" s="72">
        <f ca="1">IF(AND(Energy!$F$11=$A$3,Main!$B$43=A73),'Aerodynamics-Cruise'!BI30,L73)</f>
        <v>60.48502875590885</v>
      </c>
      <c r="M73" s="72">
        <f ca="1">IF(AND(Energy!$F$11=$A$3,Main!$B$43=A73),'Aerodynamics-Cruise'!BJ30,M73)</f>
        <v>2.84532859486891</v>
      </c>
      <c r="N73" s="72">
        <f ca="1">IF(AND(Energy!$F$11=$A$3,Main!$B$43=A73),'Aerodynamics-Cruise'!BK30,N73)</f>
        <v>21.257660315572625</v>
      </c>
      <c r="O73" s="72">
        <f t="shared" ca="1" si="6"/>
        <v>165.32533399090624</v>
      </c>
      <c r="P73" s="72">
        <f ca="1">IF(AND(Energy!$F$11=$A$3,Main!$B$43=A73),'Aerodynamics-Cruise'!H30,P73)</f>
        <v>8.7582299179965908</v>
      </c>
      <c r="Q73" s="72">
        <f ca="1">IF(AND(Energy!$F$11=$A$3,Main!$B$43=A73),'Aerodynamics-Cruise'!I30,Q73)</f>
        <v>7.4413641204166057</v>
      </c>
      <c r="R73" s="72">
        <f ca="1">IF(AND(Energy!$F$11=$A$3,Main!$B$43=$A73),Summary!R30,R73)</f>
        <v>4.7052897464636096</v>
      </c>
      <c r="S73" s="72">
        <f ca="1">IF(AND(Energy!$F$11=$A$3,Main!$B$43=A73),'Aerodynamics-Cruise'!W30,S73)</f>
        <v>1</v>
      </c>
      <c r="T73" s="72">
        <f ca="1">IF(AND(Energy!$F$11=$A$3,Main!$B$43=A73),'Aerodynamics-Cruise'!BL30,T73)</f>
        <v>24.920042026112089</v>
      </c>
      <c r="U73" s="72">
        <f ca="1">IF(AND(Energy!$F$11=$A$3,Main!$B$43=A73),'Propulsion-Cruise'!M30,U73)</f>
        <v>53.934378227086079</v>
      </c>
      <c r="V73" s="72">
        <f ca="1">IF(AND(Energy!$F$11=$A$3,Main!$B$43=A73),Endurance!AP30,V73)</f>
        <v>516.15763096964713</v>
      </c>
      <c r="W73" s="72">
        <f ca="1">IF(AND(Energy!$F$11=$A$3,Main!$B$43=$A73),Summary!W30,W73)</f>
        <v>1.4456140350877194</v>
      </c>
      <c r="X73" s="13">
        <f ca="1">IF(AND(Energy!$F$11=$A$3,Main!$B$43=A73),Energy!D30,X73)</f>
        <v>1182.0301388888888</v>
      </c>
      <c r="Y73" s="126">
        <f ca="1">IF(AND(Energy!$F$11=$A$3,Main!$B$43=A73),'Aerodynamics-Cruise'!V30,Y73)</f>
        <v>148125.678125951</v>
      </c>
      <c r="Z73" s="126">
        <f ca="1">IF(AND(Energy!$F$11=$A$3,Main!$B$43=$A73),Summary!Z30,Z73)</f>
        <v>111480.22462694555</v>
      </c>
      <c r="AA73" s="126">
        <f ca="1">IF(AND(Energy!$F$11=$A$3,Main!$B$43=$A73),Summary!AA30,AA73)</f>
        <v>111480.22462694555</v>
      </c>
      <c r="AB73" s="72">
        <f ca="1">IF(AND(Energy!$F$11=$A$3,Main!$B$43=$A73),Summary!AB30,AB73)</f>
        <v>4.7052897464636096</v>
      </c>
      <c r="AC73" s="72">
        <f ca="1">IF(AND(Energy!$F$11=$A$3,Main!$B$43=$A73),Summary!AC30,AC73)</f>
        <v>2.3304171391871269</v>
      </c>
      <c r="AD73" s="72">
        <f ca="1">IF(AND(Energy!$F$11=$A$3,Main!$B$43=$A73),Summary!AD30,AD73)</f>
        <v>0.41697811707205096</v>
      </c>
      <c r="AE73" s="72">
        <f ca="1">IF(AND(Energy!$F$11=$A$3,Main!$B$43=$A73),Summary!AE30,AE73)</f>
        <v>1.4456140350877194</v>
      </c>
      <c r="AF73" s="72">
        <f ca="1">IF(AND(Energy!$F$11=$A$3,Main!$B$43=$A73),Summary!AF30,AF73)</f>
        <v>20.328947368421055</v>
      </c>
      <c r="AG73" s="72">
        <f ca="1">IF(AND(Energy!$F$11=$A$3,Main!$B$43=$A73),Summary!AG30,AG73)</f>
        <v>11.217357540216177</v>
      </c>
      <c r="AH73" s="72">
        <f ca="1">IF(AND(Energy!$F$11=$A$3,Main!$B$43=$A73),Summary!AH30,AH73)</f>
        <v>47</v>
      </c>
      <c r="AI73" s="72">
        <f ca="1">IF(AND(Energy!$F$11=$A$3,Main!$B$43=$A73),Summary!AI30,AI73)</f>
        <v>2.7150863315650655</v>
      </c>
      <c r="AJ73" s="72">
        <f ca="1">IF(AND(Energy!$F$11=$A$3,Main!$B$43=$A73),Summary!AJ30,AJ73)</f>
        <v>0.23183112531774921</v>
      </c>
      <c r="AK73" s="72">
        <f ca="1">IF(AND(Energy!$F$11=$A$3,Main!$B$43=$A73),Summary!AK30,AK73)</f>
        <v>0.01</v>
      </c>
      <c r="AL73" s="72">
        <f ca="1">IF(AND(Energy!$F$11=$A$3,Main!$B$43=$A73),Summary!AL30,AL73)</f>
        <v>-0.53916140324833817</v>
      </c>
      <c r="AM73" s="72">
        <f ca="1">IF(AND(Energy!$F$11=$A$3,Main!$B$43=$A73),Summary!AJ90,AM73)</f>
        <v>0</v>
      </c>
    </row>
    <row r="74" spans="1:39">
      <c r="A74">
        <f t="shared" si="5"/>
        <v>4</v>
      </c>
      <c r="D74" s="1">
        <f ca="1">IF(AND(Energy!$F$11=$A$3,Main!$B$43=A74),Main!C31,D74)</f>
        <v>5.5789473684210531</v>
      </c>
      <c r="E74" s="72">
        <f ca="1">IF(AND(Energy!$F$11=$A$3,Main!$B$43=A74),Main!B31,E74)</f>
        <v>0.26666666666666666</v>
      </c>
      <c r="F74" s="72">
        <f ca="1">IF(Main!$D$6=1,U74,IF(Main!$D$6=2,N74,IF(Main!$D$6=3,K74,IF(Main!$D$6=4,V74,J74))))</f>
        <v>516.18432671240134</v>
      </c>
      <c r="G74" s="72">
        <f ca="1">IF(AND(Energy!$F$11=$A$3,Main!$B$43=A74),Weight!H31,G74)</f>
        <v>15</v>
      </c>
      <c r="H74" s="72">
        <f ca="1">IF(AND(Energy!$F$11=$A$3,Main!$B$43=A74),Weight!U31,H74)</f>
        <v>17.58761458489397</v>
      </c>
      <c r="I74" s="72">
        <f ca="1">IF(AND(Energy!$F$11=$A$3,Main!$B$43=A74),Weight!V31,I74)</f>
        <v>46.015655288018976</v>
      </c>
      <c r="J74" s="72">
        <f ca="1">IF(AND(Energy!$F$11=$A$3,Main!$B$43=A74),Weight!I31,J74)</f>
        <v>23.490392428125002</v>
      </c>
      <c r="K74" s="72">
        <f ca="1">IF(AND(Energy!$F$11=$A$3,Main!$B$43=A74),Weight!W31,K74)</f>
        <v>61.015655288018976</v>
      </c>
      <c r="L74" s="72">
        <f ca="1">IF(AND(Energy!$F$11=$A$3,Main!$B$43=A74),'Aerodynamics-Cruise'!BI31,L74)</f>
        <v>61.015655288018976</v>
      </c>
      <c r="M74" s="72">
        <f ca="1">IF(AND(Energy!$F$11=$A$3,Main!$B$43=A74),'Aerodynamics-Cruise'!BJ31,M74)</f>
        <v>2.8582497191502485</v>
      </c>
      <c r="N74" s="72">
        <f ca="1">IF(AND(Energy!$F$11=$A$3,Main!$B$43=A74),'Aerodynamics-Cruise'!BK31,N74)</f>
        <v>21.347209405537455</v>
      </c>
      <c r="O74" s="72">
        <f t="shared" ca="1" si="6"/>
        <v>166.74842872069885</v>
      </c>
      <c r="P74" s="72">
        <f ca="1">IF(AND(Energy!$F$11=$A$3,Main!$B$43=A74),'Aerodynamics-Cruise'!H31,P74)</f>
        <v>8.6711600620911611</v>
      </c>
      <c r="Q74" s="72">
        <f ca="1">IF(AND(Energy!$F$11=$A$3,Main!$B$43=A74),'Aerodynamics-Cruise'!I31,Q74)</f>
        <v>7.3704006002144684</v>
      </c>
      <c r="R74" s="72">
        <f ca="1">IF(AND(Energy!$F$11=$A$3,Main!$B$43=$A74),Summary!R31,R74)</f>
        <v>4.6551215161874993</v>
      </c>
      <c r="S74" s="72">
        <f ca="1">IF(AND(Energy!$F$11=$A$3,Main!$B$43=A74),'Aerodynamics-Cruise'!W31,S74)</f>
        <v>1</v>
      </c>
      <c r="T74" s="72">
        <f ca="1">IF(AND(Energy!$F$11=$A$3,Main!$B$43=A74),'Aerodynamics-Cruise'!BL31,T74)</f>
        <v>24.784340812178911</v>
      </c>
      <c r="U74" s="72">
        <f ca="1">IF(AND(Energy!$F$11=$A$3,Main!$B$43=A74),'Propulsion-Cruise'!M31,U74)</f>
        <v>53.806920099687602</v>
      </c>
      <c r="V74" s="72">
        <f ca="1">IF(AND(Energy!$F$11=$A$3,Main!$B$43=A74),Endurance!AP31,V74)</f>
        <v>516.18432671240134</v>
      </c>
      <c r="W74" s="72">
        <f ca="1">IF(AND(Energy!$F$11=$A$3,Main!$B$43=$A74),Summary!W31,W74)</f>
        <v>1.4877192982456142</v>
      </c>
      <c r="X74" s="13">
        <f ca="1">IF(AND(Energy!$F$11=$A$3,Main!$B$43=A74),Energy!D31,X74)</f>
        <v>1182.0301388888888</v>
      </c>
      <c r="Y74" s="126">
        <f ca="1">IF(AND(Energy!$F$11=$A$3,Main!$B$43=A74),'Aerodynamics-Cruise'!V31,Y74)</f>
        <v>146653.08816529936</v>
      </c>
      <c r="Z74" s="126">
        <f ca="1">IF(AND(Energy!$F$11=$A$3,Main!$B$43=$A74),Summary!Z31,Z74)</f>
        <v>110415.34676075941</v>
      </c>
      <c r="AA74" s="126">
        <f ca="1">IF(AND(Energy!$F$11=$A$3,Main!$B$43=$A74),Summary!AA31,AA74)</f>
        <v>110415.34676075941</v>
      </c>
      <c r="AB74" s="72">
        <f ca="1">IF(AND(Energy!$F$11=$A$3,Main!$B$43=$A74),Summary!AB31,AB74)</f>
        <v>4.6551215161874993</v>
      </c>
      <c r="AC74" s="72">
        <f ca="1">IF(AND(Energy!$F$11=$A$3,Main!$B$43=$A74),Summary!AC31,AC74)</f>
        <v>2.2907971550972404</v>
      </c>
      <c r="AD74" s="72">
        <f ca="1">IF(AND(Energy!$F$11=$A$3,Main!$B$43=$A74),Summary!AD31,AD74)</f>
        <v>0.41545926841495834</v>
      </c>
      <c r="AE74" s="72">
        <f ca="1">IF(AND(Energy!$F$11=$A$3,Main!$B$43=$A74),Summary!AE31,AE74)</f>
        <v>1.4877192982456142</v>
      </c>
      <c r="AF74" s="72">
        <f ca="1">IF(AND(Energy!$F$11=$A$3,Main!$B$43=$A74),Summary!AF31,AF74)</f>
        <v>20.921052631578949</v>
      </c>
      <c r="AG74" s="72">
        <f ca="1">IF(AND(Energy!$F$11=$A$3,Main!$B$43=$A74),Summary!AG31,AG74)</f>
        <v>11.214713597568085</v>
      </c>
      <c r="AH74" s="72">
        <f ca="1">IF(AND(Energy!$F$11=$A$3,Main!$B$43=$A74),Summary!AH31,AH74)</f>
        <v>47</v>
      </c>
      <c r="AI74" s="72">
        <f ca="1">IF(AND(Energy!$F$11=$A$3,Main!$B$43=$A74),Summary!AI31,AI74)</f>
        <v>2.7128656731032619</v>
      </c>
      <c r="AJ74" s="72">
        <f ca="1">IF(AND(Energy!$F$11=$A$3,Main!$B$43=$A74),Summary!AJ31,AJ74)</f>
        <v>0.23247379434239646</v>
      </c>
      <c r="AK74" s="72">
        <f ca="1">IF(AND(Energy!$F$11=$A$3,Main!$B$43=$A74),Summary!AK31,AK74)</f>
        <v>0.01</v>
      </c>
      <c r="AL74" s="72">
        <f ca="1">IF(AND(Energy!$F$11=$A$3,Main!$B$43=$A74),Summary!AL31,AL74)</f>
        <v>-0.53767081129254091</v>
      </c>
      <c r="AM74" s="72">
        <f ca="1">IF(AND(Energy!$F$11=$A$3,Main!$B$43=$A74),Summary!AJ91,AM74)</f>
        <v>0</v>
      </c>
    </row>
    <row r="75" spans="1:39">
      <c r="A75">
        <f t="shared" si="5"/>
        <v>4</v>
      </c>
      <c r="D75" s="1">
        <f ca="1">IF(AND(Energy!$F$11=$A$3,Main!$B$43=A75),Main!C32,D75)</f>
        <v>5.7368421052631584</v>
      </c>
      <c r="E75" s="72">
        <f ca="1">IF(AND(Energy!$F$11=$A$3,Main!$B$43=A75),Main!B32,E75)</f>
        <v>0.26666666666666666</v>
      </c>
      <c r="F75" s="72">
        <f ca="1">IF(Main!$D$6=1,U75,IF(Main!$D$6=2,N75,IF(Main!$D$6=3,K75,IF(Main!$D$6=4,V75,J75))))</f>
        <v>516.60008276655913</v>
      </c>
      <c r="G75" s="72">
        <f ca="1">IF(AND(Energy!$F$11=$A$3,Main!$B$43=A75),Weight!H32,G75)</f>
        <v>15</v>
      </c>
      <c r="H75" s="72">
        <f ca="1">IF(AND(Energy!$F$11=$A$3,Main!$B$43=A75),Weight!U32,H75)</f>
        <v>18.128021480652777</v>
      </c>
      <c r="I75" s="72">
        <f ca="1">IF(AND(Energy!$F$11=$A$3,Main!$B$43=A75),Weight!V32,I75)</f>
        <v>46.556062183777783</v>
      </c>
      <c r="J75" s="72">
        <f ca="1">IF(AND(Energy!$F$11=$A$3,Main!$B$43=A75),Weight!I32,J75)</f>
        <v>23.490392428125002</v>
      </c>
      <c r="K75" s="72">
        <f ca="1">IF(AND(Energy!$F$11=$A$3,Main!$B$43=A75),Weight!W32,K75)</f>
        <v>61.556062183777783</v>
      </c>
      <c r="L75" s="72">
        <f ca="1">IF(AND(Energy!$F$11=$A$3,Main!$B$43=A75),'Aerodynamics-Cruise'!BI32,L75)</f>
        <v>61.556062183777783</v>
      </c>
      <c r="M75" s="72">
        <f ca="1">IF(AND(Energy!$F$11=$A$3,Main!$B$43=A75),'Aerodynamics-Cruise'!BJ32,M75)</f>
        <v>2.8725063122054828</v>
      </c>
      <c r="N75" s="72">
        <f ca="1">IF(AND(Energy!$F$11=$A$3,Main!$B$43=A75),'Aerodynamics-Cruise'!BK32,N75)</f>
        <v>21.429391441968889</v>
      </c>
      <c r="O75" s="72">
        <f t="shared" ca="1" si="6"/>
        <v>168.1300154359491</v>
      </c>
      <c r="P75" s="72">
        <f ca="1">IF(AND(Energy!$F$11=$A$3,Main!$B$43=A75),'Aerodynamics-Cruise'!H32,P75)</f>
        <v>8.588756137735432</v>
      </c>
      <c r="Q75" s="72">
        <f ca="1">IF(AND(Energy!$F$11=$A$3,Main!$B$43=A75),'Aerodynamics-Cruise'!I32,Q75)</f>
        <v>7.3032120799457214</v>
      </c>
      <c r="R75" s="72">
        <f ca="1">IF(AND(Energy!$F$11=$A$3,Main!$B$43=$A75),Summary!R32,R75)</f>
        <v>4.6099943513688384</v>
      </c>
      <c r="S75" s="72">
        <f ca="1">IF(AND(Energy!$F$11=$A$3,Main!$B$43=A75),'Aerodynamics-Cruise'!W32,S75)</f>
        <v>1</v>
      </c>
      <c r="T75" s="72">
        <f ca="1">IF(AND(Energy!$F$11=$A$3,Main!$B$43=A75),'Aerodynamics-Cruise'!BL32,T75)</f>
        <v>24.671256219638611</v>
      </c>
      <c r="U75" s="72">
        <f ca="1">IF(AND(Energy!$F$11=$A$3,Main!$B$43=A75),'Propulsion-Cruise'!M32,U75)</f>
        <v>53.722849699432395</v>
      </c>
      <c r="V75" s="72">
        <f ca="1">IF(AND(Energy!$F$11=$A$3,Main!$B$43=A75),Endurance!AP32,V75)</f>
        <v>516.60008276655913</v>
      </c>
      <c r="W75" s="72">
        <f ca="1">IF(AND(Energy!$F$11=$A$3,Main!$B$43=$A75),Summary!W32,W75)</f>
        <v>1.5298245614035089</v>
      </c>
      <c r="X75" s="13">
        <f ca="1">IF(AND(Energy!$F$11=$A$3,Main!$B$43=A75),Energy!D32,X75)</f>
        <v>1182.0301388888888</v>
      </c>
      <c r="Y75" s="126">
        <f ca="1">IF(AND(Energy!$F$11=$A$3,Main!$B$43=A75),'Aerodynamics-Cruise'!V32,Y75)</f>
        <v>145259.4118985516</v>
      </c>
      <c r="Z75" s="126">
        <f ca="1">IF(AND(Energy!$F$11=$A$3,Main!$B$43=$A75),Summary!Z32,Z75)</f>
        <v>109407.13281834745</v>
      </c>
      <c r="AA75" s="126">
        <f ca="1">IF(AND(Energy!$F$11=$A$3,Main!$B$43=$A75),Summary!AA32,AA75)</f>
        <v>109407.13281834745</v>
      </c>
      <c r="AB75" s="72">
        <f ca="1">IF(AND(Energy!$F$11=$A$3,Main!$B$43=$A75),Summary!AB32,AB75)</f>
        <v>4.6099943513688384</v>
      </c>
      <c r="AC75" s="72">
        <f ca="1">IF(AND(Energy!$F$11=$A$3,Main!$B$43=$A75),Summary!AC32,AC75)</f>
        <v>2.2521841964982761</v>
      </c>
      <c r="AD75" s="72">
        <f ca="1">IF(AND(Energy!$F$11=$A$3,Main!$B$43=$A75),Summary!AD32,AD75)</f>
        <v>0.41410738129188468</v>
      </c>
      <c r="AE75" s="72">
        <f ca="1">IF(AND(Energy!$F$11=$A$3,Main!$B$43=$A75),Summary!AE32,AE75)</f>
        <v>1.5298245614035089</v>
      </c>
      <c r="AF75" s="72">
        <f ca="1">IF(AND(Energy!$F$11=$A$3,Main!$B$43=$A75),Summary!AF32,AF75)</f>
        <v>21.513157894736846</v>
      </c>
      <c r="AG75" s="72">
        <f ca="1">IF(AND(Energy!$F$11=$A$3,Main!$B$43=$A75),Summary!AG32,AG75)</f>
        <v>11.216988774157988</v>
      </c>
      <c r="AH75" s="72">
        <f ca="1">IF(AND(Energy!$F$11=$A$3,Main!$B$43=$A75),Summary!AH32,AH75)</f>
        <v>47</v>
      </c>
      <c r="AI75" s="72">
        <f ca="1">IF(AND(Energy!$F$11=$A$3,Main!$B$43=$A75),Summary!AI32,AI75)</f>
        <v>2.7107457798786365</v>
      </c>
      <c r="AJ75" s="72">
        <f ca="1">IF(AND(Energy!$F$11=$A$3,Main!$B$43=$A75),Summary!AJ32,AJ75)</f>
        <v>0.23308552577133393</v>
      </c>
      <c r="AK75" s="72">
        <f ca="1">IF(AND(Energy!$F$11=$A$3,Main!$B$43=$A75),Summary!AK32,AK75)</f>
        <v>0.01</v>
      </c>
      <c r="AL75" s="72">
        <f ca="1">IF(AND(Energy!$F$11=$A$3,Main!$B$43=$A75),Summary!AL32,AL75)</f>
        <v>-0.53625960566437869</v>
      </c>
      <c r="AM75" s="72">
        <f ca="1">IF(AND(Energy!$F$11=$A$3,Main!$B$43=$A75),Summary!AJ92,AM75)</f>
        <v>0</v>
      </c>
    </row>
    <row r="76" spans="1:39">
      <c r="A76">
        <f t="shared" si="5"/>
        <v>4</v>
      </c>
      <c r="D76" s="1">
        <f ca="1">IF(AND(Energy!$F$11=$A$3,Main!$B$43=A76),Main!C33,D76)</f>
        <v>5.8947368421052637</v>
      </c>
      <c r="E76" s="72">
        <f ca="1">IF(AND(Energy!$F$11=$A$3,Main!$B$43=A76),Main!B33,E76)</f>
        <v>0.26666666666666666</v>
      </c>
      <c r="F76" s="72">
        <f ca="1">IF(Main!$D$6=1,U76,IF(Main!$D$6=2,N76,IF(Main!$D$6=3,K76,IF(Main!$D$6=4,V76,J76))))</f>
        <v>517.37685792461218</v>
      </c>
      <c r="G76" s="72">
        <f ca="1">IF(AND(Energy!$F$11=$A$3,Main!$B$43=A76),Weight!H33,G76)</f>
        <v>15</v>
      </c>
      <c r="H76" s="72">
        <f ca="1">IF(AND(Energy!$F$11=$A$3,Main!$B$43=A76),Weight!U33,H76)</f>
        <v>18.678266556477091</v>
      </c>
      <c r="I76" s="72">
        <f ca="1">IF(AND(Energy!$F$11=$A$3,Main!$B$43=A76),Weight!V33,I76)</f>
        <v>47.10630725960209</v>
      </c>
      <c r="J76" s="72">
        <f ca="1">IF(AND(Energy!$F$11=$A$3,Main!$B$43=A76),Weight!I33,J76)</f>
        <v>23.490392428125002</v>
      </c>
      <c r="K76" s="72">
        <f ca="1">IF(AND(Energy!$F$11=$A$3,Main!$B$43=A76),Weight!W33,K76)</f>
        <v>62.106307259602097</v>
      </c>
      <c r="L76" s="72">
        <f ca="1">IF(AND(Energy!$F$11=$A$3,Main!$B$43=A76),'Aerodynamics-Cruise'!BI33,L76)</f>
        <v>62.106307259602119</v>
      </c>
      <c r="M76" s="72">
        <f ca="1">IF(AND(Energy!$F$11=$A$3,Main!$B$43=A76),'Aerodynamics-Cruise'!BJ33,M76)</f>
        <v>2.8880048406574597</v>
      </c>
      <c r="N76" s="72">
        <f ca="1">IF(AND(Energy!$F$11=$A$3,Main!$B$43=A76),'Aerodynamics-Cruise'!BK33,N76)</f>
        <v>21.504917992264687</v>
      </c>
      <c r="O76" s="72">
        <f t="shared" ca="1" si="6"/>
        <v>169.47500075662546</v>
      </c>
      <c r="P76" s="72">
        <f ca="1">IF(AND(Energy!$F$11=$A$3,Main!$B$43=A76),'Aerodynamics-Cruise'!H33,P76)</f>
        <v>8.5107075820460878</v>
      </c>
      <c r="Q76" s="72">
        <f ca="1">IF(AND(Energy!$F$11=$A$3,Main!$B$43=A76),'Aerodynamics-Cruise'!I33,Q76)</f>
        <v>7.2395495843397057</v>
      </c>
      <c r="R76" s="72">
        <f ca="1">IF(AND(Energy!$F$11=$A$3,Main!$B$43=$A76),Summary!R33,R76)</f>
        <v>4.5695493910945393</v>
      </c>
      <c r="S76" s="72">
        <f ca="1">IF(AND(Energy!$F$11=$A$3,Main!$B$43=A76),'Aerodynamics-Cruise'!W33,S76)</f>
        <v>1</v>
      </c>
      <c r="T76" s="72">
        <f ca="1">IF(AND(Energy!$F$11=$A$3,Main!$B$43=A76),'Aerodynamics-Cruise'!BL33,T76)</f>
        <v>24.578964694369244</v>
      </c>
      <c r="U76" s="72">
        <f ca="1">IF(AND(Energy!$F$11=$A$3,Main!$B$43=A76),'Propulsion-Cruise'!M33,U76)</f>
        <v>53.678896878352973</v>
      </c>
      <c r="V76" s="72">
        <f ca="1">IF(AND(Energy!$F$11=$A$3,Main!$B$43=A76),Endurance!AP33,V76)</f>
        <v>517.37685792461218</v>
      </c>
      <c r="W76" s="72">
        <f ca="1">IF(AND(Energy!$F$11=$A$3,Main!$B$43=$A76),Summary!W33,W76)</f>
        <v>1.5719298245614037</v>
      </c>
      <c r="X76" s="13">
        <f ca="1">IF(AND(Energy!$F$11=$A$3,Main!$B$43=A76),Energy!D33,X76)</f>
        <v>1182.0301388888888</v>
      </c>
      <c r="Y76" s="126">
        <f ca="1">IF(AND(Energy!$F$11=$A$3,Main!$B$43=A76),'Aerodynamics-Cruise'!V33,Y76)</f>
        <v>143939.39685595955</v>
      </c>
      <c r="Z76" s="126">
        <f ca="1">IF(AND(Energy!$F$11=$A$3,Main!$B$43=$A76),Summary!Z33,Z76)</f>
        <v>108451.84425702611</v>
      </c>
      <c r="AA76" s="126">
        <f ca="1">IF(AND(Energy!$F$11=$A$3,Main!$B$43=$A76),Summary!AA33,AA76)</f>
        <v>108451.84425702611</v>
      </c>
      <c r="AB76" s="72">
        <f ca="1">IF(AND(Energy!$F$11=$A$3,Main!$B$43=$A76),Summary!AB33,AB76)</f>
        <v>4.5695493910945393</v>
      </c>
      <c r="AC76" s="72">
        <f ca="1">IF(AND(Energy!$F$11=$A$3,Main!$B$43=$A76),Summary!AC33,AC76)</f>
        <v>2.2145372844416351</v>
      </c>
      <c r="AD76" s="72">
        <f ca="1">IF(AND(Energy!$F$11=$A$3,Main!$B$43=$A76),Summary!AD33,AD76)</f>
        <v>0.41291093637161091</v>
      </c>
      <c r="AE76" s="72">
        <f ca="1">IF(AND(Energy!$F$11=$A$3,Main!$B$43=$A76),Summary!AE33,AE76)</f>
        <v>1.5719298245614037</v>
      </c>
      <c r="AF76" s="72">
        <f ca="1">IF(AND(Energy!$F$11=$A$3,Main!$B$43=$A76),Summary!AF33,AF76)</f>
        <v>22.10526315789474</v>
      </c>
      <c r="AG76" s="72">
        <f ca="1">IF(AND(Energy!$F$11=$A$3,Main!$B$43=$A76),Summary!AG33,AG76)</f>
        <v>11.223819950312061</v>
      </c>
      <c r="AH76" s="72">
        <f ca="1">IF(AND(Energy!$F$11=$A$3,Main!$B$43=$A76),Summary!AH33,AH76)</f>
        <v>47</v>
      </c>
      <c r="AI76" s="72">
        <f ca="1">IF(AND(Energy!$F$11=$A$3,Main!$B$43=$A76),Summary!AI33,AI76)</f>
        <v>2.7087212526633828</v>
      </c>
      <c r="AJ76" s="72">
        <f ca="1">IF(AND(Energy!$F$11=$A$3,Main!$B$43=$A76),Summary!AJ33,AJ76)</f>
        <v>0.23366826399100923</v>
      </c>
      <c r="AK76" s="72">
        <f ca="1">IF(AND(Energy!$F$11=$A$3,Main!$B$43=$A76),Summary!AK33,AK76)</f>
        <v>0.01</v>
      </c>
      <c r="AL76" s="72">
        <f ca="1">IF(AND(Energy!$F$11=$A$3,Main!$B$43=$A76),Summary!AL33,AL76)</f>
        <v>-0.53492215129778697</v>
      </c>
      <c r="AM76" s="72">
        <f ca="1">IF(AND(Energy!$F$11=$A$3,Main!$B$43=$A76),Summary!AJ93,AM76)</f>
        <v>0</v>
      </c>
    </row>
    <row r="77" spans="1:39">
      <c r="A77">
        <f t="shared" si="5"/>
        <v>4</v>
      </c>
      <c r="D77" s="1">
        <f ca="1">IF(AND(Energy!$F$11=$A$3,Main!$B$43=A77),Main!C34,D77)</f>
        <v>6.052631578947369</v>
      </c>
      <c r="E77" s="72">
        <f ca="1">IF(AND(Energy!$F$11=$A$3,Main!$B$43=A77),Main!B34,E77)</f>
        <v>0.26666666666666666</v>
      </c>
      <c r="F77" s="72">
        <f ca="1">IF(Main!$D$6=1,U77,IF(Main!$D$6=2,N77,IF(Main!$D$6=3,K77,IF(Main!$D$6=4,V77,J77))))</f>
        <v>518.48993657820779</v>
      </c>
      <c r="G77" s="72">
        <f ca="1">IF(AND(Energy!$F$11=$A$3,Main!$B$43=A77),Weight!H34,G77)</f>
        <v>15</v>
      </c>
      <c r="H77" s="72">
        <f ca="1">IF(AND(Energy!$F$11=$A$3,Main!$B$43=A77),Weight!U34,H77)</f>
        <v>19.238411463376053</v>
      </c>
      <c r="I77" s="72">
        <f ca="1">IF(AND(Energy!$F$11=$A$3,Main!$B$43=A77),Weight!V34,I77)</f>
        <v>47.66645216650106</v>
      </c>
      <c r="J77" s="72">
        <f ca="1">IF(AND(Energy!$F$11=$A$3,Main!$B$43=A77),Weight!I34,J77)</f>
        <v>23.490392428125002</v>
      </c>
      <c r="K77" s="72">
        <f ca="1">IF(AND(Energy!$F$11=$A$3,Main!$B$43=A77),Weight!W34,K77)</f>
        <v>62.66645216650106</v>
      </c>
      <c r="L77" s="72">
        <f ca="1">IF(AND(Energy!$F$11=$A$3,Main!$B$43=A77),'Aerodynamics-Cruise'!BI34,L77)</f>
        <v>62.666452166501038</v>
      </c>
      <c r="M77" s="72">
        <f ca="1">IF(AND(Energy!$F$11=$A$3,Main!$B$43=A77),'Aerodynamics-Cruise'!BJ34,M77)</f>
        <v>2.9046621009106812</v>
      </c>
      <c r="N77" s="72">
        <f ca="1">IF(AND(Energy!$F$11=$A$3,Main!$B$43=A77),'Aerodynamics-Cruise'!BK34,N77)</f>
        <v>21.57443791718617</v>
      </c>
      <c r="O77" s="72">
        <f t="shared" ca="1" si="6"/>
        <v>170.7878784826249</v>
      </c>
      <c r="P77" s="72">
        <f ca="1">IF(AND(Energy!$F$11=$A$3,Main!$B$43=A77),'Aerodynamics-Cruise'!H34,P77)</f>
        <v>8.4367325043148167</v>
      </c>
      <c r="Q77" s="72">
        <f ca="1">IF(AND(Energy!$F$11=$A$3,Main!$B$43=A77),'Aerodynamics-Cruise'!I34,Q77)</f>
        <v>7.1791869722405064</v>
      </c>
      <c r="R77" s="72">
        <f ca="1">IF(AND(Energy!$F$11=$A$3,Main!$B$43=$A77),Summary!R34,R77)</f>
        <v>4.5334673004475423</v>
      </c>
      <c r="S77" s="72">
        <f ca="1">IF(AND(Energy!$F$11=$A$3,Main!$B$43=A77),'Aerodynamics-Cruise'!W34,S77)</f>
        <v>1</v>
      </c>
      <c r="T77" s="72">
        <f ca="1">IF(AND(Energy!$F$11=$A$3,Main!$B$43=A77),'Aerodynamics-Cruise'!BL34,T77)</f>
        <v>24.50585716080451</v>
      </c>
      <c r="U77" s="72">
        <f ca="1">IF(AND(Energy!$F$11=$A$3,Main!$B$43=A77),'Propulsion-Cruise'!M34,U77)</f>
        <v>53.672175919716132</v>
      </c>
      <c r="V77" s="72">
        <f ca="1">IF(AND(Energy!$F$11=$A$3,Main!$B$43=A77),Endurance!AP34,V77)</f>
        <v>518.48993657820779</v>
      </c>
      <c r="W77" s="72">
        <f ca="1">IF(AND(Energy!$F$11=$A$3,Main!$B$43=$A77),Summary!W34,W77)</f>
        <v>1.6140350877192984</v>
      </c>
      <c r="X77" s="13">
        <f ca="1">IF(AND(Energy!$F$11=$A$3,Main!$B$43=A77),Energy!D34,X77)</f>
        <v>1182.0301388888888</v>
      </c>
      <c r="Y77" s="126">
        <f ca="1">IF(AND(Energy!$F$11=$A$3,Main!$B$43=A77),'Aerodynamics-Cruise'!V34,Y77)</f>
        <v>142688.27549285756</v>
      </c>
      <c r="Z77" s="126">
        <f ca="1">IF(AND(Energy!$F$11=$A$3,Main!$B$43=$A77),Summary!Z34,Z77)</f>
        <v>107546.08549450699</v>
      </c>
      <c r="AA77" s="126">
        <f ca="1">IF(AND(Energy!$F$11=$A$3,Main!$B$43=$A77),Summary!AA34,AA77)</f>
        <v>107546.08549450699</v>
      </c>
      <c r="AB77" s="72">
        <f ca="1">IF(AND(Energy!$F$11=$A$3,Main!$B$43=$A77),Summary!AB34,AB77)</f>
        <v>4.5334673004475423</v>
      </c>
      <c r="AC77" s="72">
        <f ca="1">IF(AND(Energy!$F$11=$A$3,Main!$B$43=$A77),Summary!AC34,AC77)</f>
        <v>2.1778173278625466</v>
      </c>
      <c r="AD77" s="72">
        <f ca="1">IF(AND(Energy!$F$11=$A$3,Main!$B$43=$A77),Summary!AD34,AD77)</f>
        <v>0.41185953074005499</v>
      </c>
      <c r="AE77" s="72">
        <f ca="1">IF(AND(Energy!$F$11=$A$3,Main!$B$43=$A77),Summary!AE34,AE77)</f>
        <v>1.6140350877192984</v>
      </c>
      <c r="AF77" s="72">
        <f ca="1">IF(AND(Energy!$F$11=$A$3,Main!$B$43=$A77),Summary!AF34,AF77)</f>
        <v>22.697368421052634</v>
      </c>
      <c r="AG77" s="72">
        <f ca="1">IF(AND(Energy!$F$11=$A$3,Main!$B$43=$A77),Summary!AG34,AG77)</f>
        <v>11.234884056296087</v>
      </c>
      <c r="AH77" s="72">
        <f ca="1">IF(AND(Energy!$F$11=$A$3,Main!$B$43=$A77),Summary!AH34,AH77)</f>
        <v>47</v>
      </c>
      <c r="AI77" s="72">
        <f ca="1">IF(AND(Energy!$F$11=$A$3,Main!$B$43=$A77),Summary!AI34,AI77)</f>
        <v>2.7067871262647163</v>
      </c>
      <c r="AJ77" s="72">
        <f ca="1">IF(AND(Energy!$F$11=$A$3,Main!$B$43=$A77),Summary!AJ34,AJ77)</f>
        <v>0.23422374974369156</v>
      </c>
      <c r="AK77" s="72">
        <f ca="1">IF(AND(Energy!$F$11=$A$3,Main!$B$43=$A77),Summary!AK34,AK77)</f>
        <v>0.01</v>
      </c>
      <c r="AL77" s="72">
        <f ca="1">IF(AND(Energy!$F$11=$A$3,Main!$B$43=$A77),Summary!AL34,AL77)</f>
        <v>-0.53365343546917521</v>
      </c>
      <c r="AM77" s="72">
        <f ca="1">IF(AND(Energy!$F$11=$A$3,Main!$B$43=$A77),Summary!AJ94,AM77)</f>
        <v>0</v>
      </c>
    </row>
    <row r="78" spans="1:39">
      <c r="A78">
        <f t="shared" si="5"/>
        <v>4</v>
      </c>
      <c r="D78" s="1">
        <f ca="1">IF(AND(Energy!$F$11=$A$3,Main!$B$43=A78),Main!C35,D78)</f>
        <v>6.2105263157894743</v>
      </c>
      <c r="E78" s="72">
        <f ca="1">IF(AND(Energy!$F$11=$A$3,Main!$B$43=A78),Main!B35,E78)</f>
        <v>0.26666666666666666</v>
      </c>
      <c r="F78" s="72">
        <f ca="1">IF(Main!$D$6=1,U78,IF(Main!$D$6=2,N78,IF(Main!$D$6=3,K78,IF(Main!$D$6=4,V78,J78))))</f>
        <v>519.91747360717443</v>
      </c>
      <c r="G78" s="72">
        <f ca="1">IF(AND(Energy!$F$11=$A$3,Main!$B$43=A78),Weight!H35,G78)</f>
        <v>15</v>
      </c>
      <c r="H78" s="72">
        <f ca="1">IF(AND(Energy!$F$11=$A$3,Main!$B$43=A78),Weight!U35,H78)</f>
        <v>19.80852145072236</v>
      </c>
      <c r="I78" s="72">
        <f ca="1">IF(AND(Energy!$F$11=$A$3,Main!$B$43=A78),Weight!V35,I78)</f>
        <v>48.236562153847359</v>
      </c>
      <c r="J78" s="72">
        <f ca="1">IF(AND(Energy!$F$11=$A$3,Main!$B$43=A78),Weight!I35,J78)</f>
        <v>23.490392428125002</v>
      </c>
      <c r="K78" s="72">
        <f ca="1">IF(AND(Energy!$F$11=$A$3,Main!$B$43=A78),Weight!W35,K78)</f>
        <v>63.236562153847366</v>
      </c>
      <c r="L78" s="72">
        <f ca="1">IF(AND(Energy!$F$11=$A$3,Main!$B$43=A78),'Aerodynamics-Cruise'!BI35,L78)</f>
        <v>63.236562153847359</v>
      </c>
      <c r="M78" s="72">
        <f ca="1">IF(AND(Energy!$F$11=$A$3,Main!$B$43=A78),'Aerodynamics-Cruise'!BJ35,M78)</f>
        <v>2.9224038842354059</v>
      </c>
      <c r="N78" s="72">
        <f ca="1">IF(AND(Energy!$F$11=$A$3,Main!$B$43=A78),'Aerodynamics-Cruise'!BK35,N78)</f>
        <v>21.638543014184386</v>
      </c>
      <c r="O78" s="72">
        <f t="shared" ca="1" si="6"/>
        <v>172.07276640310332</v>
      </c>
      <c r="P78" s="72">
        <f ca="1">IF(AND(Energy!$F$11=$A$3,Main!$B$43=A78),'Aerodynamics-Cruise'!H35,P78)</f>
        <v>8.366574373092412</v>
      </c>
      <c r="Q78" s="72">
        <f ca="1">IF(AND(Energy!$F$11=$A$3,Main!$B$43=A78),'Aerodynamics-Cruise'!I35,Q78)</f>
        <v>7.1219183118367733</v>
      </c>
      <c r="R78" s="72">
        <f ca="1">IF(AND(Energy!$F$11=$A$3,Main!$B$43=$A78),Summary!R35,R78)</f>
        <v>4.501463200967331</v>
      </c>
      <c r="S78" s="72">
        <f ca="1">IF(AND(Energy!$F$11=$A$3,Main!$B$43=A78),'Aerodynamics-Cruise'!W35,S78)</f>
        <v>1</v>
      </c>
      <c r="T78" s="72">
        <f ca="1">IF(AND(Energy!$F$11=$A$3,Main!$B$43=A78),'Aerodynamics-Cruise'!BL35,T78)</f>
        <v>24.45050944566967</v>
      </c>
      <c r="U78" s="72">
        <f ca="1">IF(AND(Energy!$F$11=$A$3,Main!$B$43=A78),'Propulsion-Cruise'!M35,U78)</f>
        <v>53.700132813120703</v>
      </c>
      <c r="V78" s="72">
        <f ca="1">IF(AND(Energy!$F$11=$A$3,Main!$B$43=A78),Endurance!AP35,V78)</f>
        <v>519.91747360717443</v>
      </c>
      <c r="W78" s="72">
        <f ca="1">IF(AND(Energy!$F$11=$A$3,Main!$B$43=$A78),Summary!W35,W78)</f>
        <v>1.656140350877193</v>
      </c>
      <c r="X78" s="13">
        <f ca="1">IF(AND(Energy!$F$11=$A$3,Main!$B$43=A78),Energy!D35,X78)</f>
        <v>1182.0301388888888</v>
      </c>
      <c r="Y78" s="126">
        <f ca="1">IF(AND(Energy!$F$11=$A$3,Main!$B$43=A78),'Aerodynamics-Cruise'!V35,Y78)</f>
        <v>141501.70915917249</v>
      </c>
      <c r="Z78" s="126">
        <f ca="1">IF(AND(Energy!$F$11=$A$3,Main!$B$43=$A78),Summary!Z35,Z78)</f>
        <v>106686.76447773902</v>
      </c>
      <c r="AA78" s="126">
        <f ca="1">IF(AND(Energy!$F$11=$A$3,Main!$B$43=$A78),Summary!AA35,AA78)</f>
        <v>106686.76447773902</v>
      </c>
      <c r="AB78" s="72">
        <f ca="1">IF(AND(Energy!$F$11=$A$3,Main!$B$43=$A78),Summary!AB35,AB78)</f>
        <v>4.501463200967331</v>
      </c>
      <c r="AC78" s="72">
        <f ca="1">IF(AND(Energy!$F$11=$A$3,Main!$B$43=$A78),Summary!AC35,AC78)</f>
        <v>2.1421433622057138</v>
      </c>
      <c r="AD78" s="72">
        <f ca="1">IF(AND(Energy!$F$11=$A$3,Main!$B$43=$A78),Summary!AD35,AD78)</f>
        <v>0.41094374523703103</v>
      </c>
      <c r="AE78" s="72">
        <f ca="1">IF(AND(Energy!$F$11=$A$3,Main!$B$43=$A78),Summary!AE35,AE78)</f>
        <v>1.656140350877193</v>
      </c>
      <c r="AF78" s="72">
        <f ca="1">IF(AND(Energy!$F$11=$A$3,Main!$B$43=$A78),Summary!AF35,AF78)</f>
        <v>23.289473684210531</v>
      </c>
      <c r="AG78" s="72">
        <f ca="1">IF(AND(Energy!$F$11=$A$3,Main!$B$43=$A78),Summary!AG35,AG78)</f>
        <v>11.249892842489293</v>
      </c>
      <c r="AH78" s="72">
        <f ca="1">IF(AND(Energy!$F$11=$A$3,Main!$B$43=$A78),Summary!AH35,AH78)</f>
        <v>47</v>
      </c>
      <c r="AI78" s="72">
        <f ca="1">IF(AND(Energy!$F$11=$A$3,Main!$B$43=$A78),Summary!AI35,AI78)</f>
        <v>2.7049388234447362</v>
      </c>
      <c r="AJ78" s="72">
        <f ca="1">IF(AND(Energy!$F$11=$A$3,Main!$B$43=$A78),Summary!AJ35,AJ78)</f>
        <v>0.23475354919586128</v>
      </c>
      <c r="AK78" s="72">
        <f ca="1">IF(AND(Energy!$F$11=$A$3,Main!$B$43=$A78),Summary!AK35,AK78)</f>
        <v>0.01</v>
      </c>
      <c r="AL78" s="72">
        <f ca="1">IF(AND(Energy!$F$11=$A$3,Main!$B$43=$A78),Summary!AL35,AL78)</f>
        <v>-0.53244897687718462</v>
      </c>
      <c r="AM78" s="72">
        <f ca="1">IF(AND(Energy!$F$11=$A$3,Main!$B$43=$A78),Summary!AJ95,AM78)</f>
        <v>0</v>
      </c>
    </row>
    <row r="79" spans="1:39">
      <c r="A79">
        <f t="shared" si="5"/>
        <v>4</v>
      </c>
      <c r="D79" s="1">
        <f ca="1">IF(AND(Energy!$F$11=$A$3,Main!$B$43=A79),Main!C36,D79)</f>
        <v>6.3684210526315796</v>
      </c>
      <c r="E79" s="72">
        <f ca="1">IF(AND(Energy!$F$11=$A$3,Main!$B$43=A79),Main!B36,E79)</f>
        <v>0.26666666666666666</v>
      </c>
      <c r="F79" s="72">
        <f ca="1">IF(Main!$D$6=1,U79,IF(Main!$D$6=2,N79,IF(Main!$D$6=3,K79,IF(Main!$D$6=4,V79,J79))))</f>
        <v>521.64011006199758</v>
      </c>
      <c r="G79" s="72">
        <f ca="1">IF(AND(Energy!$F$11=$A$3,Main!$B$43=A79),Weight!H36,G79)</f>
        <v>15</v>
      </c>
      <c r="H79" s="72">
        <f ca="1">IF(AND(Energy!$F$11=$A$3,Main!$B$43=A79),Weight!U36,H79)</f>
        <v>20.388665153099815</v>
      </c>
      <c r="I79" s="72">
        <f ca="1">IF(AND(Energy!$F$11=$A$3,Main!$B$43=A79),Weight!V36,I79)</f>
        <v>48.816705856224814</v>
      </c>
      <c r="J79" s="72">
        <f ca="1">IF(AND(Energy!$F$11=$A$3,Main!$B$43=A79),Weight!I36,J79)</f>
        <v>23.490392428125002</v>
      </c>
      <c r="K79" s="72">
        <f ca="1">IF(AND(Energy!$F$11=$A$3,Main!$B$43=A79),Weight!W36,K79)</f>
        <v>63.816705856224822</v>
      </c>
      <c r="L79" s="72">
        <f ca="1">IF(AND(Energy!$F$11=$A$3,Main!$B$43=A79),'Aerodynamics-Cruise'!BI36,L79)</f>
        <v>63.816705856224807</v>
      </c>
      <c r="M79" s="72">
        <f ca="1">IF(AND(Energy!$F$11=$A$3,Main!$B$43=A79),'Aerodynamics-Cruise'!BJ36,M79)</f>
        <v>2.9411638337709771</v>
      </c>
      <c r="N79" s="72">
        <f ca="1">IF(AND(Energy!$F$11=$A$3,Main!$B$43=A79),'Aerodynamics-Cruise'!BK36,N79)</f>
        <v>21.697773215986746</v>
      </c>
      <c r="O79" s="72">
        <f t="shared" ca="1" si="6"/>
        <v>173.33344032757392</v>
      </c>
      <c r="P79" s="72">
        <f ca="1">IF(AND(Energy!$F$11=$A$3,Main!$B$43=A79),'Aerodynamics-Cruise'!H36,P79)</f>
        <v>8.299999158896517</v>
      </c>
      <c r="Q79" s="72">
        <f ca="1">IF(AND(Energy!$F$11=$A$3,Main!$B$43=A79),'Aerodynamics-Cruise'!I36,Q79)</f>
        <v>7.0675556152822807</v>
      </c>
      <c r="R79" s="72">
        <f ca="1">IF(AND(Energy!$F$11=$A$3,Main!$B$43=$A79),Summary!R36,R79)</f>
        <v>4.4732823658049625</v>
      </c>
      <c r="S79" s="72">
        <f ca="1">IF(AND(Energy!$F$11=$A$3,Main!$B$43=A79),'Aerodynamics-Cruise'!W36,S79)</f>
        <v>1</v>
      </c>
      <c r="T79" s="72">
        <f ca="1">IF(AND(Energy!$F$11=$A$3,Main!$B$43=A79),'Aerodynamics-Cruise'!BL36,T79)</f>
        <v>24.411657346475966</v>
      </c>
      <c r="U79" s="72">
        <f ca="1">IF(AND(Energy!$F$11=$A$3,Main!$B$43=A79),'Propulsion-Cruise'!M36,U79)</f>
        <v>53.760500745897424</v>
      </c>
      <c r="V79" s="72">
        <f ca="1">IF(AND(Energy!$F$11=$A$3,Main!$B$43=A79),Endurance!AP36,V79)</f>
        <v>521.64011006199758</v>
      </c>
      <c r="W79" s="72">
        <f ca="1">IF(AND(Energy!$F$11=$A$3,Main!$B$43=$A79),Summary!W36,W79)</f>
        <v>1.6982456140350879</v>
      </c>
      <c r="X79" s="13">
        <f ca="1">IF(AND(Energy!$F$11=$A$3,Main!$B$43=A79),Energy!D36,X79)</f>
        <v>1182.0301388888888</v>
      </c>
      <c r="Y79" s="126">
        <f ca="1">IF(AND(Energy!$F$11=$A$3,Main!$B$43=A79),'Aerodynamics-Cruise'!V36,Y79)</f>
        <v>140375.73977477851</v>
      </c>
      <c r="Z79" s="126">
        <f ca="1">IF(AND(Energy!$F$11=$A$3,Main!$B$43=$A79),Summary!Z36,Z79)</f>
        <v>105871.05865171659</v>
      </c>
      <c r="AA79" s="126">
        <f ca="1">IF(AND(Energy!$F$11=$A$3,Main!$B$43=$A79),Summary!AA36,AA79)</f>
        <v>105871.05865171659</v>
      </c>
      <c r="AB79" s="72">
        <f ca="1">IF(AND(Energy!$F$11=$A$3,Main!$B$43=$A79),Summary!AB36,AB79)</f>
        <v>4.4732823658049625</v>
      </c>
      <c r="AC79" s="72">
        <f ca="1">IF(AND(Energy!$F$11=$A$3,Main!$B$43=$A79),Summary!AC36,AC79)</f>
        <v>2.1070112277411606</v>
      </c>
      <c r="AD79" s="72">
        <f ca="1">IF(AND(Energy!$F$11=$A$3,Main!$B$43=$A79),Summary!AD36,AD79)</f>
        <v>0.41015502998185199</v>
      </c>
      <c r="AE79" s="72">
        <f ca="1">IF(AND(Energy!$F$11=$A$3,Main!$B$43=$A79),Summary!AE36,AE79)</f>
        <v>1.6982456140350879</v>
      </c>
      <c r="AF79" s="72">
        <f ca="1">IF(AND(Energy!$F$11=$A$3,Main!$B$43=$A79),Summary!AF36,AF79)</f>
        <v>23.881578947368425</v>
      </c>
      <c r="AG79" s="72">
        <f ca="1">IF(AND(Energy!$F$11=$A$3,Main!$B$43=$A79),Summary!AG36,AG79)</f>
        <v>11.268588416464008</v>
      </c>
      <c r="AH79" s="72">
        <f ca="1">IF(AND(Energy!$F$11=$A$3,Main!$B$43=$A79),Summary!AH36,AH79)</f>
        <v>47</v>
      </c>
      <c r="AI79" s="72">
        <f ca="1">IF(AND(Energy!$F$11=$A$3,Main!$B$43=$A79),Summary!AI36,AI79)</f>
        <v>2.703172114815084</v>
      </c>
      <c r="AJ79" s="72">
        <f ca="1">IF(AND(Energy!$F$11=$A$3,Main!$B$43=$A79),Summary!AJ36,AJ79)</f>
        <v>0.23525932307614983</v>
      </c>
      <c r="AK79" s="72">
        <f ca="1">IF(AND(Energy!$F$11=$A$3,Main!$B$43=$A79),Summary!AK36,AK79)</f>
        <v>0.01</v>
      </c>
      <c r="AL79" s="72">
        <f ca="1">IF(AND(Energy!$F$11=$A$3,Main!$B$43=$A79),Summary!AL36,AL79)</f>
        <v>-0.53130419310971111</v>
      </c>
      <c r="AM79" s="72">
        <f ca="1">IF(AND(Energy!$F$11=$A$3,Main!$B$43=$A79),Summary!AJ96,AM79)</f>
        <v>0</v>
      </c>
    </row>
    <row r="80" spans="1:39">
      <c r="A80">
        <f t="shared" si="5"/>
        <v>4</v>
      </c>
      <c r="D80" s="1">
        <f ca="1">IF(AND(Energy!$F$11=$A$3,Main!$B$43=A80),Main!C37,D80)</f>
        <v>6.526315789473685</v>
      </c>
      <c r="E80" s="72">
        <f ca="1">IF(AND(Energy!$F$11=$A$3,Main!$B$43=A80),Main!B37,E80)</f>
        <v>0.26666666666666666</v>
      </c>
      <c r="F80" s="72">
        <f ca="1">IF(Main!$D$6=1,U80,IF(Main!$D$6=2,N80,IF(Main!$D$6=3,K80,IF(Main!$D$6=4,V80,J80))))</f>
        <v>523.64065276099723</v>
      </c>
      <c r="G80" s="72">
        <f ca="1">IF(AND(Energy!$F$11=$A$3,Main!$B$43=A80),Weight!H37,G80)</f>
        <v>15</v>
      </c>
      <c r="H80" s="72">
        <f ca="1">IF(AND(Energy!$F$11=$A$3,Main!$B$43=A80),Weight!U37,H80)</f>
        <v>20.978914397286076</v>
      </c>
      <c r="I80" s="72">
        <f ca="1">IF(AND(Energy!$F$11=$A$3,Main!$B$43=A80),Weight!V37,I80)</f>
        <v>49.406955100411082</v>
      </c>
      <c r="J80" s="72">
        <f ca="1">IF(AND(Energy!$F$11=$A$3,Main!$B$43=A80),Weight!I37,J80)</f>
        <v>23.490392428125002</v>
      </c>
      <c r="K80" s="72">
        <f ca="1">IF(AND(Energy!$F$11=$A$3,Main!$B$43=A80),Weight!W37,K80)</f>
        <v>64.406955100411082</v>
      </c>
      <c r="L80" s="72">
        <f ca="1">IF(AND(Energy!$F$11=$A$3,Main!$B$43=A80),'Aerodynamics-Cruise'!BI37,L80)</f>
        <v>64.40695510041111</v>
      </c>
      <c r="M80" s="72">
        <f ca="1">IF(AND(Energy!$F$11=$A$3,Main!$B$43=A80),'Aerodynamics-Cruise'!BJ37,M80)</f>
        <v>2.9608824957355515</v>
      </c>
      <c r="N80" s="72">
        <f ca="1">IF(AND(Energy!$F$11=$A$3,Main!$B$43=A80),'Aerodynamics-Cruise'!BK37,N80)</f>
        <v>21.75262111656712</v>
      </c>
      <c r="O80" s="72">
        <f t="shared" ca="1" si="6"/>
        <v>174.57336345686298</v>
      </c>
      <c r="P80" s="72">
        <f ca="1">IF(AND(Energy!$F$11=$A$3,Main!$B$43=A80),'Aerodynamics-Cruise'!H37,P80)</f>
        <v>8.2367928603112723</v>
      </c>
      <c r="Q80" s="72">
        <f ca="1">IF(AND(Energy!$F$11=$A$3,Main!$B$43=A80),'Aerodynamics-Cruise'!I37,Q80)</f>
        <v>7.0159268759549294</v>
      </c>
      <c r="R80" s="72">
        <f ca="1">IF(AND(Energy!$F$11=$A$3,Main!$B$43=$A80),Summary!R37,R80)</f>
        <v>4.4486965492073862</v>
      </c>
      <c r="S80" s="72">
        <f ca="1">IF(AND(Energy!$F$11=$A$3,Main!$B$43=A80),'Aerodynamics-Cruise'!W37,S80)</f>
        <v>1</v>
      </c>
      <c r="T80" s="72">
        <f ca="1">IF(AND(Energy!$F$11=$A$3,Main!$B$43=A80),'Aerodynamics-Cruise'!BL37,T80)</f>
        <v>24.388175801095212</v>
      </c>
      <c r="U80" s="72">
        <f ca="1">IF(AND(Energy!$F$11=$A$3,Main!$B$43=A80),'Propulsion-Cruise'!M37,U80)</f>
        <v>53.851262996173503</v>
      </c>
      <c r="V80" s="72">
        <f ca="1">IF(AND(Energy!$F$11=$A$3,Main!$B$43=A80),Endurance!AP37,V80)</f>
        <v>523.64065276099723</v>
      </c>
      <c r="W80" s="72">
        <f ca="1">IF(AND(Energy!$F$11=$A$3,Main!$B$43=$A80),Summary!W37,W80)</f>
        <v>1.7403508771929825</v>
      </c>
      <c r="X80" s="13">
        <f ca="1">IF(AND(Energy!$F$11=$A$3,Main!$B$43=A80),Energy!D37,X80)</f>
        <v>1182.0301388888888</v>
      </c>
      <c r="Y80" s="126">
        <f ca="1">IF(AND(Energy!$F$11=$A$3,Main!$B$43=A80),'Aerodynamics-Cruise'!V37,Y80)</f>
        <v>139306.74798906024</v>
      </c>
      <c r="Z80" s="126">
        <f ca="1">IF(AND(Energy!$F$11=$A$3,Main!$B$43=$A80),Summary!Z37,Z80)</f>
        <v>105096.38547539875</v>
      </c>
      <c r="AA80" s="126">
        <f ca="1">IF(AND(Energy!$F$11=$A$3,Main!$B$43=$A80),Summary!AA37,AA80)</f>
        <v>105096.38547539875</v>
      </c>
      <c r="AB80" s="72">
        <f ca="1">IF(AND(Energy!$F$11=$A$3,Main!$B$43=$A80),Summary!AB37,AB80)</f>
        <v>4.4486965492073862</v>
      </c>
      <c r="AC80" s="72">
        <f ca="1">IF(AND(Energy!$F$11=$A$3,Main!$B$43=$A80),Summary!AC37,AC80)</f>
        <v>2.0728560750523171</v>
      </c>
      <c r="AD80" s="72">
        <f ca="1">IF(AND(Energy!$F$11=$A$3,Main!$B$43=$A80),Summary!AD37,AD80)</f>
        <v>0.40948560679354851</v>
      </c>
      <c r="AE80" s="72">
        <f ca="1">IF(AND(Energy!$F$11=$A$3,Main!$B$43=$A80),Summary!AE37,AE80)</f>
        <v>1.7403508771929825</v>
      </c>
      <c r="AF80" s="72">
        <f ca="1">IF(AND(Energy!$F$11=$A$3,Main!$B$43=$A80),Summary!AF37,AF80)</f>
        <v>24.473684210526319</v>
      </c>
      <c r="AG80" s="72">
        <f ca="1">IF(AND(Energy!$F$11=$A$3,Main!$B$43=$A80),Summary!AG37,AG80)</f>
        <v>11.290739508680536</v>
      </c>
      <c r="AH80" s="72">
        <f ca="1">IF(AND(Energy!$F$11=$A$3,Main!$B$43=$A80),Summary!AH37,AH80)</f>
        <v>47</v>
      </c>
      <c r="AI80" s="72">
        <f ca="1">IF(AND(Energy!$F$11=$A$3,Main!$B$43=$A80),Summary!AI37,AI80)</f>
        <v>2.7014830837978749</v>
      </c>
      <c r="AJ80" s="72">
        <f ca="1">IF(AND(Energy!$F$11=$A$3,Main!$B$43=$A80),Summary!AJ37,AJ80)</f>
        <v>0.23574228348887682</v>
      </c>
      <c r="AK80" s="72">
        <f ca="1">IF(AND(Energy!$F$11=$A$3,Main!$B$43=$A80),Summary!AK37,AK80)</f>
        <v>0.01</v>
      </c>
      <c r="AL80" s="72">
        <f ca="1">IF(AND(Energy!$F$11=$A$3,Main!$B$43=$A80),Summary!AL37,AL80)</f>
        <v>-0.53021562614786022</v>
      </c>
      <c r="AM80" s="72">
        <f ca="1">IF(AND(Energy!$F$11=$A$3,Main!$B$43=$A80),Summary!AJ97,AM80)</f>
        <v>0</v>
      </c>
    </row>
    <row r="81" spans="1:39">
      <c r="A81">
        <f t="shared" si="5"/>
        <v>4</v>
      </c>
      <c r="D81" s="1">
        <f ca="1">IF(AND(Energy!$F$11=$A$3,Main!$B$43=A81),Main!C38,D81)</f>
        <v>6.6842105263157903</v>
      </c>
      <c r="E81" s="72">
        <f ca="1">IF(AND(Energy!$F$11=$A$3,Main!$B$43=A81),Main!B38,E81)</f>
        <v>0.26666666666666666</v>
      </c>
      <c r="F81" s="72">
        <f ca="1">IF(Main!$D$6=1,U81,IF(Main!$D$6=2,N81,IF(Main!$D$6=3,K81,IF(Main!$D$6=4,V81,J81))))</f>
        <v>525.90379692332135</v>
      </c>
      <c r="G81" s="72">
        <f ca="1">IF(AND(Energy!$F$11=$A$3,Main!$B$43=A81),Weight!H38,G81)</f>
        <v>15</v>
      </c>
      <c r="H81" s="72">
        <f ca="1">IF(AND(Energy!$F$11=$A$3,Main!$B$43=A81),Weight!U38,H81)</f>
        <v>21.579344026865925</v>
      </c>
      <c r="I81" s="72">
        <f ca="1">IF(AND(Energy!$F$11=$A$3,Main!$B$43=A81),Weight!V38,I81)</f>
        <v>50.007384729990932</v>
      </c>
      <c r="J81" s="72">
        <f ca="1">IF(AND(Energy!$F$11=$A$3,Main!$B$43=A81),Weight!I38,J81)</f>
        <v>23.490392428125002</v>
      </c>
      <c r="K81" s="72">
        <f ca="1">IF(AND(Energy!$F$11=$A$3,Main!$B$43=A81),Weight!W38,K81)</f>
        <v>65.007384729990932</v>
      </c>
      <c r="L81" s="72">
        <f ca="1">IF(AND(Energy!$F$11=$A$3,Main!$B$43=A81),'Aerodynamics-Cruise'!BI38,L81)</f>
        <v>65.007384729990932</v>
      </c>
      <c r="M81" s="72">
        <f ca="1">IF(AND(Energy!$F$11=$A$3,Main!$B$43=A81),'Aerodynamics-Cruise'!BJ38,M81)</f>
        <v>2.9815064738301089</v>
      </c>
      <c r="N81" s="72">
        <f ca="1">IF(AND(Energy!$F$11=$A$3,Main!$B$43=A81),'Aerodynamics-Cruise'!BK38,N81)</f>
        <v>21.803536333255387</v>
      </c>
      <c r="O81" s="72">
        <f t="shared" ca="1" si="6"/>
        <v>175.79571507603535</v>
      </c>
      <c r="P81" s="72">
        <f ca="1">IF(AND(Energy!$F$11=$A$3,Main!$B$43=A81),'Aerodynamics-Cruise'!H38,P81)</f>
        <v>8.1767593541446892</v>
      </c>
      <c r="Q81" s="72">
        <f ca="1">IF(AND(Energy!$F$11=$A$3,Main!$B$43=A81),'Aerodynamics-Cruise'!I38,Q81)</f>
        <v>6.9668743616993565</v>
      </c>
      <c r="R81" s="72">
        <f ca="1">IF(AND(Energy!$F$11=$A$3,Main!$B$43=$A81),Summary!R38,R81)</f>
        <v>4.4275008430738607</v>
      </c>
      <c r="S81" s="72">
        <f ca="1">IF(AND(Energy!$F$11=$A$3,Main!$B$43=A81),'Aerodynamics-Cruise'!W38,S81)</f>
        <v>1</v>
      </c>
      <c r="T81" s="72">
        <f ca="1">IF(AND(Energy!$F$11=$A$3,Main!$B$43=A81),'Aerodynamics-Cruise'!BL38,T81)</f>
        <v>24.37906094933329</v>
      </c>
      <c r="U81" s="72">
        <f ca="1">IF(AND(Energy!$F$11=$A$3,Main!$B$43=A81),'Propulsion-Cruise'!M38,U81)</f>
        <v>53.970620830668267</v>
      </c>
      <c r="V81" s="72">
        <f ca="1">IF(AND(Energy!$F$11=$A$3,Main!$B$43=A81),Endurance!AP38,V81)</f>
        <v>525.90379692332135</v>
      </c>
      <c r="W81" s="72">
        <f ca="1">IF(AND(Energy!$F$11=$A$3,Main!$B$43=$A81),Summary!W38,W81)</f>
        <v>1.7824561403508774</v>
      </c>
      <c r="X81" s="13">
        <f ca="1">IF(AND(Energy!$F$11=$A$3,Main!$B$43=A81),Energy!D38,X81)</f>
        <v>1182.0301388888888</v>
      </c>
      <c r="Y81" s="126">
        <f ca="1">IF(AND(Energy!$F$11=$A$3,Main!$B$43=A81),'Aerodynamics-Cruise'!V38,Y81)</f>
        <v>138291.41682117991</v>
      </c>
      <c r="Z81" s="126">
        <f ca="1">IF(AND(Energy!$F$11=$A$3,Main!$B$43=$A81),Summary!Z38,Z81)</f>
        <v>104360.37678364752</v>
      </c>
      <c r="AA81" s="126">
        <f ca="1">IF(AND(Energy!$F$11=$A$3,Main!$B$43=$A81),Summary!AA38,AA81)</f>
        <v>104360.37678364752</v>
      </c>
      <c r="AB81" s="72">
        <f ca="1">IF(AND(Energy!$F$11=$A$3,Main!$B$43=$A81),Summary!AB38,AB81)</f>
        <v>4.4275008430738607</v>
      </c>
      <c r="AC81" s="72">
        <f ca="1">IF(AND(Energy!$F$11=$A$3,Main!$B$43=$A81),Summary!AC38,AC81)</f>
        <v>2.0394897360338855</v>
      </c>
      <c r="AD81" s="72">
        <f ca="1">IF(AND(Energy!$F$11=$A$3,Main!$B$43=$A81),Summary!AD38,AD81)</f>
        <v>0.40892838311919205</v>
      </c>
      <c r="AE81" s="72">
        <f ca="1">IF(AND(Energy!$F$11=$A$3,Main!$B$43=$A81),Summary!AE38,AE81)</f>
        <v>1.7824561403508774</v>
      </c>
      <c r="AF81" s="72">
        <f ca="1">IF(AND(Energy!$F$11=$A$3,Main!$B$43=$A81),Summary!AF38,AF81)</f>
        <v>25.065789473684212</v>
      </c>
      <c r="AG81" s="72">
        <f ca="1">IF(AND(Energy!$F$11=$A$3,Main!$B$43=$A81),Summary!AG38,AG81)</f>
        <v>11.316138190200702</v>
      </c>
      <c r="AH81" s="72">
        <f ca="1">IF(AND(Energy!$F$11=$A$3,Main!$B$43=$A81),Summary!AH38,AH81)</f>
        <v>47</v>
      </c>
      <c r="AI81" s="72">
        <f ca="1">IF(AND(Energy!$F$11=$A$3,Main!$B$43=$A81),Summary!AI38,AI81)</f>
        <v>2.6998680959019712</v>
      </c>
      <c r="AJ81" s="72">
        <f ca="1">IF(AND(Energy!$F$11=$A$3,Main!$B$43=$A81),Summary!AJ38,AJ81)</f>
        <v>0.23620366216661659</v>
      </c>
      <c r="AK81" s="72">
        <f ca="1">IF(AND(Energy!$F$11=$A$3,Main!$B$43=$A81),Summary!AK38,AK81)</f>
        <v>0.01</v>
      </c>
      <c r="AL81" s="72">
        <f ca="1">IF(AND(Energy!$F$11=$A$3,Main!$B$43=$A81),Summary!AL38,AL81)</f>
        <v>-0.52917985627224684</v>
      </c>
      <c r="AM81" s="72">
        <f ca="1">IF(AND(Energy!$F$11=$A$3,Main!$B$43=$A81),Summary!AJ98,AM81)</f>
        <v>0</v>
      </c>
    </row>
    <row r="82" spans="1:39">
      <c r="A82">
        <f t="shared" si="5"/>
        <v>4</v>
      </c>
      <c r="D82" s="1">
        <f ca="1">IF(AND(Energy!$F$11=$A$3,Main!$B$43=A82),Main!C39,D82)</f>
        <v>6.8421052631578956</v>
      </c>
      <c r="E82" s="72">
        <f ca="1">IF(AND(Energy!$F$11=$A$3,Main!$B$43=A82),Main!B39,E82)</f>
        <v>0.26666666666666666</v>
      </c>
      <c r="F82" s="72">
        <f ca="1">IF(Main!$D$6=1,U82,IF(Main!$D$6=2,N82,IF(Main!$D$6=3,K82,IF(Main!$D$6=4,V82,J82))))</f>
        <v>528.41589276733123</v>
      </c>
      <c r="G82" s="72">
        <f ca="1">IF(AND(Energy!$F$11=$A$3,Main!$B$43=A82),Weight!H39,G82)</f>
        <v>15</v>
      </c>
      <c r="H82" s="72">
        <f ca="1">IF(AND(Energy!$F$11=$A$3,Main!$B$43=A82),Weight!U39,H82)</f>
        <v>22.190031742333503</v>
      </c>
      <c r="I82" s="72">
        <f ca="1">IF(AND(Energy!$F$11=$A$3,Main!$B$43=A82),Weight!V39,I82)</f>
        <v>50.618072445458509</v>
      </c>
      <c r="J82" s="72">
        <f ca="1">IF(AND(Energy!$F$11=$A$3,Main!$B$43=A82),Weight!I39,J82)</f>
        <v>23.490392428125002</v>
      </c>
      <c r="K82" s="72">
        <f ca="1">IF(AND(Energy!$F$11=$A$3,Main!$B$43=A82),Weight!W39,K82)</f>
        <v>65.618072445458509</v>
      </c>
      <c r="L82" s="72">
        <f ca="1">IF(AND(Energy!$F$11=$A$3,Main!$B$43=A82),'Aerodynamics-Cruise'!BI39,L82)</f>
        <v>65.618072445458509</v>
      </c>
      <c r="M82" s="72">
        <f ca="1">IF(AND(Energy!$F$11=$A$3,Main!$B$43=A82),'Aerodynamics-Cruise'!BJ39,M82)</f>
        <v>3.0029877201342012</v>
      </c>
      <c r="N82" s="72">
        <f ca="1">IF(AND(Energy!$F$11=$A$3,Main!$B$43=A82),'Aerodynamics-Cruise'!BK39,N82)</f>
        <v>21.850929327984762</v>
      </c>
      <c r="O82" s="72">
        <f t="shared" ca="1" si="6"/>
        <v>177.00341552025219</v>
      </c>
      <c r="P82" s="72">
        <f ca="1">IF(AND(Energy!$F$11=$A$3,Main!$B$43=A82),'Aerodynamics-Cruise'!H39,P82)</f>
        <v>8.1197185206580844</v>
      </c>
      <c r="Q82" s="72">
        <f ca="1">IF(AND(Energy!$F$11=$A$3,Main!$B$43=A82),'Aerodynamics-Cruise'!I39,Q82)</f>
        <v>6.9202531255065098</v>
      </c>
      <c r="R82" s="72">
        <f ca="1">IF(AND(Energy!$F$11=$A$3,Main!$B$43=$A82),Summary!R39,R82)</f>
        <v>4.4095109753792379</v>
      </c>
      <c r="S82" s="72">
        <f ca="1">IF(AND(Energy!$F$11=$A$3,Main!$B$43=A82),'Aerodynamics-Cruise'!W39,S82)</f>
        <v>1</v>
      </c>
      <c r="T82" s="72">
        <f ca="1">IF(AND(Energy!$F$11=$A$3,Main!$B$43=A82),'Aerodynamics-Cruise'!BL39,T82)</f>
        <v>24.383415008482469</v>
      </c>
      <c r="U82" s="72">
        <f ca="1">IF(AND(Energy!$F$11=$A$3,Main!$B$43=A82),'Propulsion-Cruise'!M39,U82)</f>
        <v>54.116966491366334</v>
      </c>
      <c r="V82" s="72">
        <f ca="1">IF(AND(Energy!$F$11=$A$3,Main!$B$43=A82),Endurance!AP39,V82)</f>
        <v>528.41589276733123</v>
      </c>
      <c r="W82" s="72">
        <f ca="1">IF(AND(Energy!$F$11=$A$3,Main!$B$43=$A82),Summary!W39,W82)</f>
        <v>1.8245614035087721</v>
      </c>
      <c r="X82" s="13">
        <f ca="1">IF(AND(Energy!$F$11=$A$3,Main!$B$43=A82),Energy!D39,X82)</f>
        <v>1182.0301388888888</v>
      </c>
      <c r="Y82" s="126">
        <f ca="1">IF(AND(Energy!$F$11=$A$3,Main!$B$43=A82),'Aerodynamics-Cruise'!V39,Y82)</f>
        <v>137326.69995256801</v>
      </c>
      <c r="Z82" s="126">
        <f ca="1">IF(AND(Energy!$F$11=$A$3,Main!$B$43=$A82),Summary!Z39,Z82)</f>
        <v>103660.85641595369</v>
      </c>
      <c r="AA82" s="126">
        <f ca="1">IF(AND(Energy!$F$11=$A$3,Main!$B$43=$A82),Summary!AA39,AA82)</f>
        <v>103660.85641595369</v>
      </c>
      <c r="AB82" s="72">
        <f ca="1">IF(AND(Energy!$F$11=$A$3,Main!$B$43=$A82),Summary!AB39,AB82)</f>
        <v>4.4095109753792379</v>
      </c>
      <c r="AC82" s="72">
        <f ca="1">IF(AND(Energy!$F$11=$A$3,Main!$B$43=$A82),Summary!AC39,AC82)</f>
        <v>2.0068819317374991</v>
      </c>
      <c r="AD82" s="72">
        <f ca="1">IF(AND(Energy!$F$11=$A$3,Main!$B$43=$A82),Summary!AD39,AD82)</f>
        <v>0.408476878045897</v>
      </c>
      <c r="AE82" s="72">
        <f ca="1">IF(AND(Energy!$F$11=$A$3,Main!$B$43=$A82),Summary!AE39,AE82)</f>
        <v>1.8245614035087721</v>
      </c>
      <c r="AF82" s="72">
        <f ca="1">IF(AND(Energy!$F$11=$A$3,Main!$B$43=$A82),Summary!AF39,AF82)</f>
        <v>25.65789473684211</v>
      </c>
      <c r="AG82" s="72">
        <f ca="1">IF(AND(Energy!$F$11=$A$3,Main!$B$43=$A82),Summary!AG39,AG82)</f>
        <v>11.344597101397607</v>
      </c>
      <c r="AH82" s="72">
        <f ca="1">IF(AND(Energy!$F$11=$A$3,Main!$B$43=$A82),Summary!AH39,AH82)</f>
        <v>47</v>
      </c>
      <c r="AI82" s="72">
        <f ca="1">IF(AND(Energy!$F$11=$A$3,Main!$B$43=$A82),Summary!AI39,AI82)</f>
        <v>2.6983237716907094</v>
      </c>
      <c r="AJ82" s="72">
        <f ca="1">IF(AND(Energy!$F$11=$A$3,Main!$B$43=$A82),Summary!AJ39,AJ82)</f>
        <v>0.23664459207548455</v>
      </c>
      <c r="AK82" s="72">
        <f ca="1">IF(AND(Energy!$F$11=$A$3,Main!$B$43=$A82),Summary!AK39,AK82)</f>
        <v>0.01</v>
      </c>
      <c r="AL82" s="72">
        <f ca="1">IF(AND(Energy!$F$11=$A$3,Main!$B$43=$A82),Summary!AL39,AL82)</f>
        <v>-0.52819376253485883</v>
      </c>
      <c r="AM82" s="72">
        <f ca="1">IF(AND(Energy!$F$11=$A$3,Main!$B$43=$A82),Summary!AJ99,AM82)</f>
        <v>0</v>
      </c>
    </row>
    <row r="83" spans="1:39">
      <c r="A83">
        <f t="shared" si="5"/>
        <v>4</v>
      </c>
      <c r="D83" s="1">
        <f ca="1">IF(AND(Energy!$F$11=$A$3,Main!$B$43=A83),Main!C40,D83)</f>
        <v>7</v>
      </c>
      <c r="E83" s="72">
        <f ca="1">IF(AND(Energy!$F$11=$A$3,Main!$B$43=A83),Main!B40,E83)</f>
        <v>0.26666666666666666</v>
      </c>
      <c r="F83" s="72">
        <f ca="1">IF(Main!$D$6=1,U83,IF(Main!$D$6=2,N83,IF(Main!$D$6=3,K83,IF(Main!$D$6=4,V83,J83))))</f>
        <v>531.16474514948436</v>
      </c>
      <c r="G83" s="72">
        <f ca="1">IF(AND(Energy!$F$11=$A$3,Main!$B$43=A83),Weight!H40,G83)</f>
        <v>15</v>
      </c>
      <c r="H83" s="72">
        <f ca="1">IF(AND(Energy!$F$11=$A$3,Main!$B$43=A83),Weight!U40,H83)</f>
        <v>22.811057954844188</v>
      </c>
      <c r="I83" s="72">
        <f ca="1">IF(AND(Energy!$F$11=$A$3,Main!$B$43=A83),Weight!V40,I83)</f>
        <v>51.239098657969194</v>
      </c>
      <c r="J83" s="72">
        <f ca="1">IF(AND(Energy!$F$11=$A$3,Main!$B$43=A83),Weight!I40,J83)</f>
        <v>23.490392428125002</v>
      </c>
      <c r="K83" s="72">
        <f ca="1">IF(AND(Energy!$F$11=$A$3,Main!$B$43=A83),Weight!W40,K83)</f>
        <v>66.239098657969194</v>
      </c>
      <c r="L83" s="72">
        <f ca="1">IF(AND(Energy!$F$11=$A$3,Main!$B$43=A83),'Aerodynamics-Cruise'!BI40,L83)</f>
        <v>66.239098657969194</v>
      </c>
      <c r="M83" s="72">
        <f ca="1">IF(AND(Energy!$F$11=$A$3,Main!$B$43=A83),'Aerodynamics-Cruise'!BJ40,M83)</f>
        <v>3.0252829190596189</v>
      </c>
      <c r="N83" s="72">
        <f ca="1">IF(AND(Energy!$F$11=$A$3,Main!$B$43=A83),'Aerodynamics-Cruise'!BK40,N83)</f>
        <v>21.89517490766087</v>
      </c>
      <c r="O83" s="72">
        <f t="shared" ca="1" si="6"/>
        <v>178.19914910481313</v>
      </c>
      <c r="P83" s="72">
        <f ca="1">IF(AND(Energy!$F$11=$A$3,Main!$B$43=A83),'Aerodynamics-Cruise'!H40,P83)</f>
        <v>8.0655046032310533</v>
      </c>
      <c r="Q83" s="72">
        <f ca="1">IF(AND(Energy!$F$11=$A$3,Main!$B$43=A83),'Aerodynamics-Cruise'!I40,Q83)</f>
        <v>6.8759297016306444</v>
      </c>
      <c r="R83" s="72">
        <f ca="1">IF(AND(Energy!$F$11=$A$3,Main!$B$43=$A83),Summary!R40,R83)</f>
        <v>4.3945609805505201</v>
      </c>
      <c r="S83" s="72">
        <f ca="1">IF(AND(Energy!$F$11=$A$3,Main!$B$43=A83),'Aerodynamics-Cruise'!W40,S83)</f>
        <v>1</v>
      </c>
      <c r="T83" s="72">
        <f ca="1">IF(AND(Energy!$F$11=$A$3,Main!$B$43=A83),'Aerodynamics-Cruise'!BL40,T83)</f>
        <v>24.400433309751634</v>
      </c>
      <c r="U83" s="72">
        <f ca="1">IF(AND(Energy!$F$11=$A$3,Main!$B$43=A83),'Propulsion-Cruise'!M40,U83)</f>
        <v>54.288860013597478</v>
      </c>
      <c r="V83" s="72">
        <f ca="1">IF(AND(Energy!$F$11=$A$3,Main!$B$43=A83),Endurance!AP40,V83)</f>
        <v>531.16474514948436</v>
      </c>
      <c r="W83" s="72">
        <f ca="1">IF(AND(Energy!$F$11=$A$3,Main!$B$43=$A83),Summary!W40,W83)</f>
        <v>1.8666666666666667</v>
      </c>
      <c r="X83" s="13">
        <f ca="1">IF(AND(Energy!$F$11=$A$3,Main!$B$43=A83),Energy!D40,X83)</f>
        <v>1182.0301388888888</v>
      </c>
      <c r="Y83" s="126">
        <f ca="1">IF(AND(Energy!$F$11=$A$3,Main!$B$43=A83),'Aerodynamics-Cruise'!V40,Y83)</f>
        <v>136409.79398436067</v>
      </c>
      <c r="Z83" s="126">
        <f ca="1">IF(AND(Energy!$F$11=$A$3,Main!$B$43=$A83),Summary!Z40,Z83)</f>
        <v>102995.82063111466</v>
      </c>
      <c r="AA83" s="126">
        <f ca="1">IF(AND(Energy!$F$11=$A$3,Main!$B$43=$A83),Summary!AA40,AA83)</f>
        <v>102995.82063111466</v>
      </c>
      <c r="AB83" s="72">
        <f ca="1">IF(AND(Energy!$F$11=$A$3,Main!$B$43=$A83),Summary!AB40,AB83)</f>
        <v>4.3945609805505201</v>
      </c>
      <c r="AC83" s="72">
        <f ca="1">IF(AND(Energy!$F$11=$A$3,Main!$B$43=$A83),Summary!AC40,AC83)</f>
        <v>1.9750039389726626</v>
      </c>
      <c r="AD83" s="72">
        <f ca="1">IF(AND(Energy!$F$11=$A$3,Main!$B$43=$A83),Summary!AD40,AD83)</f>
        <v>0.40812515756913692</v>
      </c>
      <c r="AE83" s="72">
        <f ca="1">IF(AND(Energy!$F$11=$A$3,Main!$B$43=$A83),Summary!AE40,AE83)</f>
        <v>1.8666666666666667</v>
      </c>
      <c r="AF83" s="72">
        <f ca="1">IF(AND(Energy!$F$11=$A$3,Main!$B$43=$A83),Summary!AF40,AF83)</f>
        <v>26.25</v>
      </c>
      <c r="AG83" s="72">
        <f ca="1">IF(AND(Energy!$F$11=$A$3,Main!$B$43=$A83),Summary!AG40,AG83)</f>
        <v>11.375947052656407</v>
      </c>
      <c r="AH83" s="72">
        <f ca="1">IF(AND(Energy!$F$11=$A$3,Main!$B$43=$A83),Summary!AH40,AH83)</f>
        <v>47</v>
      </c>
      <c r="AI83" s="72">
        <f ca="1">IF(AND(Energy!$F$11=$A$3,Main!$B$43=$A83),Summary!AI40,AI83)</f>
        <v>2.6968469629201945</v>
      </c>
      <c r="AJ83" s="72">
        <f ca="1">IF(AND(Energy!$F$11=$A$3,Main!$B$43=$A83),Summary!AJ40,AJ83)</f>
        <v>0.23706611601569708</v>
      </c>
      <c r="AK83" s="72">
        <f ca="1">IF(AND(Energy!$F$11=$A$3,Main!$B$43=$A83),Summary!AK40,AK83)</f>
        <v>0.01</v>
      </c>
      <c r="AL83" s="72">
        <f ca="1">IF(AND(Energy!$F$11=$A$3,Main!$B$43=$A83),Summary!AL40,AL83)</f>
        <v>-0.52725449336711927</v>
      </c>
      <c r="AM83" s="72">
        <f ca="1">IF(AND(Energy!$F$11=$A$3,Main!$B$43=$A83),Summary!AJ100,AM83)</f>
        <v>0</v>
      </c>
    </row>
    <row r="84" spans="1:39">
      <c r="A84" s="7">
        <f>A64+1</f>
        <v>5</v>
      </c>
      <c r="D84" s="1">
        <f ca="1">IF(AND(Energy!$F$11=$A$3,Main!$B$43=A84),Main!C21,D84)</f>
        <v>4</v>
      </c>
      <c r="E84" s="72">
        <f ca="1">IF(AND(Energy!$F$11=$A$3,Main!$B$43=A84),Main!B21,E84)</f>
        <v>0.28888888888888886</v>
      </c>
      <c r="F84" s="72">
        <f ca="1">IF(Main!$D$6=1,U84,IF(Main!$D$6=2,N84,IF(Main!$D$6=3,K84,IF(Main!$D$6=4,V84,J84))))</f>
        <v>544.02340966763791</v>
      </c>
      <c r="G84" s="72">
        <f ca="1">IF(AND(Energy!$F$11=$A$3,Main!$B$43=A84),Weight!H21,G84)</f>
        <v>15</v>
      </c>
      <c r="H84" s="72">
        <f ca="1">IF(AND(Energy!$F$11=$A$3,Main!$B$43=A84),Weight!U21,H84)</f>
        <v>13.487166898230846</v>
      </c>
      <c r="I84" s="72">
        <f ca="1">IF(AND(Energy!$F$11=$A$3,Main!$B$43=A84),Weight!V21,I84)</f>
        <v>41.915207601355846</v>
      </c>
      <c r="J84" s="72">
        <f ca="1">IF(AND(Energy!$F$11=$A$3,Main!$B$43=A84),Weight!I21,J84)</f>
        <v>23.490392428125002</v>
      </c>
      <c r="K84" s="72">
        <f ca="1">IF(AND(Energy!$F$11=$A$3,Main!$B$43=A84),Weight!W21,K84)</f>
        <v>56.915207601355853</v>
      </c>
      <c r="L84" s="72">
        <f ca="1">IF(AND(Energy!$F$11=$A$3,Main!$B$43=A84),'Aerodynamics-Cruise'!BI21,L84)</f>
        <v>56.915207601355846</v>
      </c>
      <c r="M84" s="72">
        <f ca="1">IF(AND(Energy!$F$11=$A$3,Main!$B$43=A84),'Aerodynamics-Cruise'!BJ21,M84)</f>
        <v>2.8900097178148969</v>
      </c>
      <c r="N84" s="72">
        <f ca="1">IF(AND(Energy!$F$11=$A$3,Main!$B$43=A84),'Aerodynamics-Cruise'!BK21,N84)</f>
        <v>19.693777239056754</v>
      </c>
      <c r="O84" s="72">
        <f t="shared" ca="1" si="6"/>
        <v>148.57412572357538</v>
      </c>
      <c r="P84" s="72">
        <f ca="1">IF(AND(Energy!$F$11=$A$3,Main!$B$43=A84),'Aerodynamics-Cruise'!H21,P84)</f>
        <v>9.5106550589691885</v>
      </c>
      <c r="Q84" s="72">
        <f ca="1">IF(AND(Energy!$F$11=$A$3,Main!$B$43=A84),'Aerodynamics-Cruise'!I21,Q84)</f>
        <v>8.0206403153372943</v>
      </c>
      <c r="R84" s="72">
        <f ca="1">IF(AND(Energy!$F$11=$A$3,Main!$B$43=$A84),Summary!R21,R84)</f>
        <v>5.1593916032225282</v>
      </c>
      <c r="S84" s="72">
        <f ca="1">IF(AND(Energy!$F$11=$A$3,Main!$B$43=A84),'Aerodynamics-Cruise'!W21,S84)</f>
        <v>1</v>
      </c>
      <c r="T84" s="72">
        <f ca="1">IF(AND(Energy!$F$11=$A$3,Main!$B$43=A84),'Aerodynamics-Cruise'!BL21,T84)</f>
        <v>27.485885543206365</v>
      </c>
      <c r="U84" s="72">
        <f ca="1">IF(AND(Energy!$F$11=$A$3,Main!$B$43=A84),'Propulsion-Cruise'!M21,U84)</f>
        <v>58.018108953886141</v>
      </c>
      <c r="V84" s="72">
        <f ca="1">IF(AND(Energy!$F$11=$A$3,Main!$B$43=A84),Endurance!AP21,V84)</f>
        <v>544.02340966763791</v>
      </c>
      <c r="W84" s="72">
        <f ca="1">IF(AND(Energy!$F$11=$A$3,Main!$B$43=$A84),Summary!W21,W84)</f>
        <v>1.1555555555555554</v>
      </c>
      <c r="X84" s="13">
        <f ca="1">IF(AND(Energy!$F$11=$A$3,Main!$B$43=A84),Energy!D21,X84)</f>
        <v>1182.0301388888888</v>
      </c>
      <c r="Y84" s="126">
        <f ca="1">IF(AND(Energy!$F$11=$A$3,Main!$B$43=A84),'Aerodynamics-Cruise'!V21,Y84)</f>
        <v>174255.52082525223</v>
      </c>
      <c r="Z84" s="126">
        <f ca="1">IF(AND(Energy!$F$11=$A$3,Main!$B$43=$A84),Summary!Z21,Z84)</f>
        <v>130209.52087303529</v>
      </c>
      <c r="AA84" s="126">
        <f ca="1">IF(AND(Energy!$F$11=$A$3,Main!$B$43=$A84),Summary!AA21,AA84)</f>
        <v>130209.52087303529</v>
      </c>
      <c r="AB84" s="72">
        <f ca="1">IF(AND(Energy!$F$11=$A$3,Main!$B$43=$A84),Summary!AB21,AB84)</f>
        <v>5.1593916032225282</v>
      </c>
      <c r="AC84" s="72">
        <f ca="1">IF(AND(Energy!$F$11=$A$3,Main!$B$43=$A84),Summary!AC21,AC84)</f>
        <v>2.6263480036470388</v>
      </c>
      <c r="AD84" s="72">
        <f ca="1">IF(AND(Energy!$F$11=$A$3,Main!$B$43=$A84),Summary!AD21,AD84)</f>
        <v>0.44182222161166057</v>
      </c>
      <c r="AE84" s="72">
        <f ca="1">IF(AND(Energy!$F$11=$A$3,Main!$B$43=$A84),Summary!AE21,AE84)</f>
        <v>1.1555555555555554</v>
      </c>
      <c r="AF84" s="72">
        <f ca="1">IF(AND(Energy!$F$11=$A$3,Main!$B$43=$A84),Summary!AF21,AF84)</f>
        <v>13.846153846153847</v>
      </c>
      <c r="AG84" s="72">
        <f ca="1">IF(AND(Energy!$F$11=$A$3,Main!$B$43=$A84),Summary!AG21,AG84)</f>
        <v>11.630952390088774</v>
      </c>
      <c r="AH84" s="72">
        <f ca="1">IF(AND(Energy!$F$11=$A$3,Main!$B$43=$A84),Summary!AH21,AH84)</f>
        <v>47</v>
      </c>
      <c r="AI84" s="72">
        <f ca="1">IF(AND(Energy!$F$11=$A$3,Main!$B$43=$A84),Summary!AI21,AI84)</f>
        <v>2.7558707840607943</v>
      </c>
      <c r="AJ84" s="72">
        <f ca="1">IF(AND(Energy!$F$11=$A$3,Main!$B$43=$A84),Summary!AJ21,AJ84)</f>
        <v>0.22289170509228112</v>
      </c>
      <c r="AK84" s="72">
        <f ca="1">IF(AND(Energy!$F$11=$A$3,Main!$B$43=$A84),Summary!AK21,AK84)</f>
        <v>0.01</v>
      </c>
      <c r="AL84" s="72">
        <f ca="1">IF(AND(Energy!$F$11=$A$3,Main!$B$43=$A84),Summary!AL21,AL84)</f>
        <v>-0.56080189551554882</v>
      </c>
      <c r="AM84" s="72">
        <f ca="1">IF(AND(Energy!$F$11=$A$3,Main!$B$43=$A84),Summary!AJ101,AM84)</f>
        <v>0</v>
      </c>
    </row>
    <row r="85" spans="1:39">
      <c r="A85">
        <f t="shared" ref="A85:A103" si="7">A84</f>
        <v>5</v>
      </c>
      <c r="B85" s="58"/>
      <c r="C85" s="58"/>
      <c r="D85" s="1">
        <f ca="1">IF(AND(Energy!$F$11=$A$3,Main!$B$43=A85),Main!C22,D85)</f>
        <v>4.1578947368421053</v>
      </c>
      <c r="E85" s="72">
        <f ca="1">IF(AND(Energy!$F$11=$A$3,Main!$B$43=A85),Main!B22,E85)</f>
        <v>0.28888888888888886</v>
      </c>
      <c r="F85" s="72">
        <f ca="1">IF(Main!$D$6=1,U85,IF(Main!$D$6=2,N85,IF(Main!$D$6=3,K85,IF(Main!$D$6=4,V85,J85))))</f>
        <v>538.10372475266126</v>
      </c>
      <c r="G85" s="72">
        <f ca="1">IF(AND(Energy!$F$11=$A$3,Main!$B$43=A85),Weight!H22,G85)</f>
        <v>15</v>
      </c>
      <c r="H85" s="72">
        <f ca="1">IF(AND(Energy!$F$11=$A$3,Main!$B$43=A85),Weight!U22,H85)</f>
        <v>13.971031827763589</v>
      </c>
      <c r="I85" s="72">
        <f ca="1">IF(AND(Energy!$F$11=$A$3,Main!$B$43=A85),Weight!V22,I85)</f>
        <v>42.399072530888589</v>
      </c>
      <c r="J85" s="72">
        <f ca="1">IF(AND(Energy!$F$11=$A$3,Main!$B$43=A85),Weight!I22,J85)</f>
        <v>23.490392428125002</v>
      </c>
      <c r="K85" s="72">
        <f ca="1">IF(AND(Energy!$F$11=$A$3,Main!$B$43=A85),Weight!W22,K85)</f>
        <v>57.399072530888596</v>
      </c>
      <c r="L85" s="72">
        <f ca="1">IF(AND(Energy!$F$11=$A$3,Main!$B$43=A85),'Aerodynamics-Cruise'!BI22,L85)</f>
        <v>57.399072530888603</v>
      </c>
      <c r="M85" s="72">
        <f ca="1">IF(AND(Energy!$F$11=$A$3,Main!$B$43=A85),'Aerodynamics-Cruise'!BJ22,M85)</f>
        <v>2.880309918570815</v>
      </c>
      <c r="N85" s="72">
        <f ca="1">IF(AND(Energy!$F$11=$A$3,Main!$B$43=A85),'Aerodynamics-Cruise'!BK22,N85)</f>
        <v>19.928089043754543</v>
      </c>
      <c r="O85" s="72">
        <f t="shared" ca="1" si="6"/>
        <v>150.97953816952298</v>
      </c>
      <c r="P85" s="72">
        <f ca="1">IF(AND(Energy!$F$11=$A$3,Main!$B$43=A85),'Aerodynamics-Cruise'!H22,P85)</f>
        <v>9.3677997238022463</v>
      </c>
      <c r="Q85" s="72">
        <f ca="1">IF(AND(Energy!$F$11=$A$3,Main!$B$43=A85),'Aerodynamics-Cruise'!I22,Q85)</f>
        <v>7.9051008649146315</v>
      </c>
      <c r="R85" s="72">
        <f ca="1">IF(AND(Energy!$F$11=$A$3,Main!$B$43=$A85),Summary!R22,R85)</f>
        <v>5.0497533670552857</v>
      </c>
      <c r="S85" s="72">
        <f ca="1">IF(AND(Energy!$F$11=$A$3,Main!$B$43=A85),'Aerodynamics-Cruise'!W22,S85)</f>
        <v>1</v>
      </c>
      <c r="T85" s="72">
        <f ca="1">IF(AND(Energy!$F$11=$A$3,Main!$B$43=A85),'Aerodynamics-Cruise'!BL22,T85)</f>
        <v>26.98216645965255</v>
      </c>
      <c r="U85" s="72">
        <f ca="1">IF(AND(Energy!$F$11=$A$3,Main!$B$43=A85),'Propulsion-Cruise'!M22,U85)</f>
        <v>57.205753644127419</v>
      </c>
      <c r="V85" s="72">
        <f ca="1">IF(AND(Energy!$F$11=$A$3,Main!$B$43=A85),Endurance!AP22,V85)</f>
        <v>538.10372475266126</v>
      </c>
      <c r="W85" s="72">
        <f ca="1">IF(AND(Energy!$F$11=$A$3,Main!$B$43=$A85),Summary!W22,W85)</f>
        <v>1.2011695906432747</v>
      </c>
      <c r="X85" s="13">
        <f ca="1">IF(AND(Energy!$F$11=$A$3,Main!$B$43=A85),Energy!D22,X85)</f>
        <v>1182.0301388888888</v>
      </c>
      <c r="Y85" s="126">
        <f ca="1">IF(AND(Energy!$F$11=$A$3,Main!$B$43=A85),'Aerodynamics-Cruise'!V22,Y85)</f>
        <v>171638.10586510124</v>
      </c>
      <c r="Z85" s="126">
        <f ca="1">IF(AND(Energy!$F$11=$A$3,Main!$B$43=$A85),Summary!Z22,Z85)</f>
        <v>128330.69151808848</v>
      </c>
      <c r="AA85" s="126">
        <f ca="1">IF(AND(Energy!$F$11=$A$3,Main!$B$43=$A85),Summary!AA22,AA85)</f>
        <v>128330.69151808848</v>
      </c>
      <c r="AB85" s="72">
        <f ca="1">IF(AND(Energy!$F$11=$A$3,Main!$B$43=$A85),Summary!AB22,AB85)</f>
        <v>5.0497533670552857</v>
      </c>
      <c r="AC85" s="72">
        <f ca="1">IF(AND(Energy!$F$11=$A$3,Main!$B$43=$A85),Summary!AC22,AC85)</f>
        <v>2.5769248158540914</v>
      </c>
      <c r="AD85" s="72">
        <f ca="1">IF(AND(Energy!$F$11=$A$3,Main!$B$43=$A85),Summary!AD22,AD85)</f>
        <v>0.43800554315095563</v>
      </c>
      <c r="AE85" s="72">
        <f ca="1">IF(AND(Energy!$F$11=$A$3,Main!$B$43=$A85),Summary!AE22,AE85)</f>
        <v>1.2011695906432747</v>
      </c>
      <c r="AF85" s="72">
        <f ca="1">IF(AND(Energy!$F$11=$A$3,Main!$B$43=$A85),Summary!AF22,AF85)</f>
        <v>14.392712550607289</v>
      </c>
      <c r="AG85" s="72">
        <f ca="1">IF(AND(Energy!$F$11=$A$3,Main!$B$43=$A85),Summary!AG22,AG85)</f>
        <v>11.549381515048012</v>
      </c>
      <c r="AH85" s="72">
        <f ca="1">IF(AND(Energy!$F$11=$A$3,Main!$B$43=$A85),Summary!AH22,AH85)</f>
        <v>47</v>
      </c>
      <c r="AI85" s="72">
        <f ca="1">IF(AND(Energy!$F$11=$A$3,Main!$B$43=$A85),Summary!AI22,AI85)</f>
        <v>2.7524309621570642</v>
      </c>
      <c r="AJ85" s="72">
        <f ca="1">IF(AND(Energy!$F$11=$A$3,Main!$B$43=$A85),Summary!AJ22,AJ85)</f>
        <v>0.22392376479874893</v>
      </c>
      <c r="AK85" s="72">
        <f ca="1">IF(AND(Energy!$F$11=$A$3,Main!$B$43=$A85),Summary!AK22,AK85)</f>
        <v>0.01</v>
      </c>
      <c r="AL85" s="72">
        <f ca="1">IF(AND(Energy!$F$11=$A$3,Main!$B$43=$A85),Summary!AL22,AL85)</f>
        <v>-0.55821708469995268</v>
      </c>
      <c r="AM85" s="72">
        <f ca="1">IF(AND(Energy!$F$11=$A$3,Main!$B$43=$A85),Summary!AJ102,AM85)</f>
        <v>0</v>
      </c>
    </row>
    <row r="86" spans="1:39">
      <c r="A86">
        <f t="shared" si="7"/>
        <v>5</v>
      </c>
      <c r="D86" s="1">
        <f ca="1">IF(AND(Energy!$F$11=$A$3,Main!$B$43=A86),Main!C23,D86)</f>
        <v>4.3157894736842106</v>
      </c>
      <c r="E86" s="72">
        <f ca="1">IF(AND(Energy!$F$11=$A$3,Main!$B$43=A86),Main!B23,E86)</f>
        <v>0.28888888888888886</v>
      </c>
      <c r="F86" s="72">
        <f ca="1">IF(Main!$D$6=1,U86,IF(Main!$D$6=2,N86,IF(Main!$D$6=3,K86,IF(Main!$D$6=4,V86,J86))))</f>
        <v>533.151423132687</v>
      </c>
      <c r="G86" s="72">
        <f ca="1">IF(AND(Energy!$F$11=$A$3,Main!$B$43=A86),Weight!H23,G86)</f>
        <v>15</v>
      </c>
      <c r="H86" s="72">
        <f ca="1">IF(AND(Energy!$F$11=$A$3,Main!$B$43=A86),Weight!U23,H86)</f>
        <v>14.465437495011763</v>
      </c>
      <c r="I86" s="72">
        <f ca="1">IF(AND(Energy!$F$11=$A$3,Main!$B$43=A86),Weight!V23,I86)</f>
        <v>42.893478198136762</v>
      </c>
      <c r="J86" s="72">
        <f ca="1">IF(AND(Energy!$F$11=$A$3,Main!$B$43=A86),Weight!I23,J86)</f>
        <v>23.490392428125002</v>
      </c>
      <c r="K86" s="72">
        <f ca="1">IF(AND(Energy!$F$11=$A$3,Main!$B$43=A86),Weight!W23,K86)</f>
        <v>57.893478198136769</v>
      </c>
      <c r="L86" s="72">
        <f ca="1">IF(AND(Energy!$F$11=$A$3,Main!$B$43=A86),'Aerodynamics-Cruise'!BI23,L86)</f>
        <v>57.893478198136769</v>
      </c>
      <c r="M86" s="72">
        <f ca="1">IF(AND(Energy!$F$11=$A$3,Main!$B$43=A86),'Aerodynamics-Cruise'!BJ23,M86)</f>
        <v>2.8739212901239855</v>
      </c>
      <c r="N86" s="72">
        <f ca="1">IF(AND(Energy!$F$11=$A$3,Main!$B$43=A86),'Aerodynamics-Cruise'!BK23,N86)</f>
        <v>20.144420237632588</v>
      </c>
      <c r="O86" s="72">
        <f t="shared" ca="1" si="6"/>
        <v>153.27438915405907</v>
      </c>
      <c r="P86" s="72">
        <f ca="1">IF(AND(Energy!$F$11=$A$3,Main!$B$43=A86),'Aerodynamics-Cruise'!H23,P86)</f>
        <v>9.2342730196964169</v>
      </c>
      <c r="Q86" s="72">
        <f ca="1">IF(AND(Energy!$F$11=$A$3,Main!$B$43=A86),'Aerodynamics-Cruise'!I23,Q86)</f>
        <v>7.7970361459535189</v>
      </c>
      <c r="R86" s="72">
        <f ca="1">IF(AND(Energy!$F$11=$A$3,Main!$B$43=$A86),Summary!R23,R86)</f>
        <v>4.9508585865226102</v>
      </c>
      <c r="S86" s="72">
        <f ca="1">IF(AND(Energy!$F$11=$A$3,Main!$B$43=A86),'Aerodynamics-Cruise'!W23,S86)</f>
        <v>1</v>
      </c>
      <c r="T86" s="72">
        <f ca="1">IF(AND(Energy!$F$11=$A$3,Main!$B$43=A86),'Aerodynamics-Cruise'!BL23,T86)</f>
        <v>26.538573830123038</v>
      </c>
      <c r="U86" s="72">
        <f ca="1">IF(AND(Energy!$F$11=$A$3,Main!$B$43=A86),'Propulsion-Cruise'!M23,U86)</f>
        <v>56.503776734078144</v>
      </c>
      <c r="V86" s="72">
        <f ca="1">IF(AND(Energy!$F$11=$A$3,Main!$B$43=A86),Endurance!AP23,V86)</f>
        <v>533.151423132687</v>
      </c>
      <c r="W86" s="72">
        <f ca="1">IF(AND(Energy!$F$11=$A$3,Main!$B$43=$A86),Summary!W23,W86)</f>
        <v>1.2467836257309941</v>
      </c>
      <c r="X86" s="13">
        <f ca="1">IF(AND(Energy!$F$11=$A$3,Main!$B$43=A86),Energy!D23,X86)</f>
        <v>1182.0301388888888</v>
      </c>
      <c r="Y86" s="126">
        <f ca="1">IF(AND(Energy!$F$11=$A$3,Main!$B$43=A86),'Aerodynamics-Cruise'!V23,Y86)</f>
        <v>169191.61135722845</v>
      </c>
      <c r="Z86" s="126">
        <f ca="1">IF(AND(Energy!$F$11=$A$3,Main!$B$43=$A86),Summary!Z23,Z86)</f>
        <v>126573.45613937105</v>
      </c>
      <c r="AA86" s="126">
        <f ca="1">IF(AND(Energy!$F$11=$A$3,Main!$B$43=$A86),Summary!AA23,AA86)</f>
        <v>126573.45613937105</v>
      </c>
      <c r="AB86" s="72">
        <f ca="1">IF(AND(Energy!$F$11=$A$3,Main!$B$43=$A86),Summary!AB23,AB86)</f>
        <v>4.9508585865226102</v>
      </c>
      <c r="AC86" s="72">
        <f ca="1">IF(AND(Energy!$F$11=$A$3,Main!$B$43=$A86),Summary!AC23,AC86)</f>
        <v>2.5288826757693741</v>
      </c>
      <c r="AD86" s="72">
        <f ca="1">IF(AND(Energy!$F$11=$A$3,Main!$B$43=$A86),Summary!AD23,AD86)</f>
        <v>0.43455158859416032</v>
      </c>
      <c r="AE86" s="72">
        <f ca="1">IF(AND(Energy!$F$11=$A$3,Main!$B$43=$A86),Summary!AE23,AE86)</f>
        <v>1.2467836257309941</v>
      </c>
      <c r="AF86" s="72">
        <f ca="1">IF(AND(Energy!$F$11=$A$3,Main!$B$43=$A86),Summary!AF23,AF86)</f>
        <v>14.939271255060731</v>
      </c>
      <c r="AG86" s="72">
        <f ca="1">IF(AND(Energy!$F$11=$A$3,Main!$B$43=$A86),Summary!AG23,AG86)</f>
        <v>11.479966359658134</v>
      </c>
      <c r="AH86" s="72">
        <f ca="1">IF(AND(Energy!$F$11=$A$3,Main!$B$43=$A86),Summary!AH23,AH86)</f>
        <v>47</v>
      </c>
      <c r="AI86" s="72">
        <f ca="1">IF(AND(Energy!$F$11=$A$3,Main!$B$43=$A86),Summary!AI23,AI86)</f>
        <v>2.7491750743554695</v>
      </c>
      <c r="AJ86" s="72">
        <f ca="1">IF(AND(Energy!$F$11=$A$3,Main!$B$43=$A86),Summary!AJ23,AJ86)</f>
        <v>0.22489258784030144</v>
      </c>
      <c r="AK86" s="72">
        <f ca="1">IF(AND(Energy!$F$11=$A$3,Main!$B$43=$A86),Summary!AK23,AK86)</f>
        <v>0.01</v>
      </c>
      <c r="AL86" s="72">
        <f ca="1">IF(AND(Energy!$F$11=$A$3,Main!$B$43=$A86),Summary!AL23,AL86)</f>
        <v>-0.55581222750689974</v>
      </c>
      <c r="AM86" s="72">
        <f ca="1">IF(AND(Energy!$F$11=$A$3,Main!$B$43=$A86),Summary!AJ103,AM86)</f>
        <v>0</v>
      </c>
    </row>
    <row r="87" spans="1:39">
      <c r="A87">
        <f t="shared" si="7"/>
        <v>5</v>
      </c>
      <c r="D87" s="1">
        <f ca="1">IF(AND(Energy!$F$11=$A$3,Main!$B$43=A87),Main!C24,D87)</f>
        <v>4.4736842105263159</v>
      </c>
      <c r="E87" s="72">
        <f ca="1">IF(AND(Energy!$F$11=$A$3,Main!$B$43=A87),Main!B24,E87)</f>
        <v>0.28888888888888886</v>
      </c>
      <c r="F87" s="72">
        <f ca="1">IF(Main!$D$6=1,U87,IF(Main!$D$6=2,N87,IF(Main!$D$6=3,K87,IF(Main!$D$6=4,V87,J87))))</f>
        <v>529.05968746763915</v>
      </c>
      <c r="G87" s="72">
        <f ca="1">IF(AND(Energy!$F$11=$A$3,Main!$B$43=A87),Weight!H24,G87)</f>
        <v>15</v>
      </c>
      <c r="H87" s="72">
        <f ca="1">IF(AND(Energy!$F$11=$A$3,Main!$B$43=A87),Weight!U24,H87)</f>
        <v>14.9704039253253</v>
      </c>
      <c r="I87" s="72">
        <f ca="1">IF(AND(Energy!$F$11=$A$3,Main!$B$43=A87),Weight!V24,I87)</f>
        <v>43.398444628450306</v>
      </c>
      <c r="J87" s="72">
        <f ca="1">IF(AND(Energy!$F$11=$A$3,Main!$B$43=A87),Weight!I24,J87)</f>
        <v>23.490392428125002</v>
      </c>
      <c r="K87" s="72">
        <f ca="1">IF(AND(Energy!$F$11=$A$3,Main!$B$43=A87),Weight!W24,K87)</f>
        <v>58.398444628450306</v>
      </c>
      <c r="L87" s="72">
        <f ca="1">IF(AND(Energy!$F$11=$A$3,Main!$B$43=A87),'Aerodynamics-Cruise'!BI24,L87)</f>
        <v>58.398444628450299</v>
      </c>
      <c r="M87" s="72">
        <f ca="1">IF(AND(Energy!$F$11=$A$3,Main!$B$43=A87),'Aerodynamics-Cruise'!BJ24,M87)</f>
        <v>2.8705053454352178</v>
      </c>
      <c r="N87" s="72">
        <f ca="1">IF(AND(Energy!$F$11=$A$3,Main!$B$43=A87),'Aerodynamics-Cruise'!BK24,N87)</f>
        <v>20.344307918226885</v>
      </c>
      <c r="O87" s="72">
        <f t="shared" ca="1" si="6"/>
        <v>155.46891246402797</v>
      </c>
      <c r="P87" s="72">
        <f ca="1">IF(AND(Energy!$F$11=$A$3,Main!$B$43=A87),'Aerodynamics-Cruise'!H24,P87)</f>
        <v>9.1092476156858293</v>
      </c>
      <c r="Q87" s="72">
        <f ca="1">IF(AND(Energy!$F$11=$A$3,Main!$B$43=A87),'Aerodynamics-Cruise'!I24,Q87)</f>
        <v>7.6957895477084799</v>
      </c>
      <c r="R87" s="72">
        <f ca="1">IF(AND(Energy!$F$11=$A$3,Main!$B$43=$A87),Summary!R24,R87)</f>
        <v>4.8616057969469155</v>
      </c>
      <c r="S87" s="72">
        <f ca="1">IF(AND(Energy!$F$11=$A$3,Main!$B$43=A87),'Aerodynamics-Cruise'!W24,S87)</f>
        <v>1</v>
      </c>
      <c r="T87" s="72">
        <f ca="1">IF(AND(Energy!$F$11=$A$3,Main!$B$43=A87),'Aerodynamics-Cruise'!BL24,T87)</f>
        <v>26.148143973719186</v>
      </c>
      <c r="U87" s="72">
        <f ca="1">IF(AND(Energy!$F$11=$A$3,Main!$B$43=A87),'Propulsion-Cruise'!M24,U87)</f>
        <v>55.899778664670961</v>
      </c>
      <c r="V87" s="72">
        <f ca="1">IF(AND(Energy!$F$11=$A$3,Main!$B$43=A87),Endurance!AP24,V87)</f>
        <v>529.05968746763915</v>
      </c>
      <c r="W87" s="72">
        <f ca="1">IF(AND(Energy!$F$11=$A$3,Main!$B$43=$A87),Summary!W24,W87)</f>
        <v>1.2923976608187133</v>
      </c>
      <c r="X87" s="13">
        <f ca="1">IF(AND(Energy!$F$11=$A$3,Main!$B$43=A87),Energy!D24,X87)</f>
        <v>1182.0301388888888</v>
      </c>
      <c r="Y87" s="126">
        <f ca="1">IF(AND(Energy!$F$11=$A$3,Main!$B$43=A87),'Aerodynamics-Cruise'!V24,Y87)</f>
        <v>166900.87883069165</v>
      </c>
      <c r="Z87" s="126">
        <f ca="1">IF(AND(Energy!$F$11=$A$3,Main!$B$43=$A87),Summary!Z24,Z87)</f>
        <v>124927.12939875442</v>
      </c>
      <c r="AA87" s="126">
        <f ca="1">IF(AND(Energy!$F$11=$A$3,Main!$B$43=$A87),Summary!AA24,AA87)</f>
        <v>124927.12939875442</v>
      </c>
      <c r="AB87" s="72">
        <f ca="1">IF(AND(Energy!$F$11=$A$3,Main!$B$43=$A87),Summary!AB24,AB87)</f>
        <v>4.8616057969469155</v>
      </c>
      <c r="AC87" s="72">
        <f ca="1">IF(AND(Energy!$F$11=$A$3,Main!$B$43=$A87),Summary!AC24,AC87)</f>
        <v>2.4821791507607345</v>
      </c>
      <c r="AD87" s="72">
        <f ca="1">IF(AND(Energy!$F$11=$A$3,Main!$B$43=$A87),Summary!AD24,AD87)</f>
        <v>0.4314267490853369</v>
      </c>
      <c r="AE87" s="72">
        <f ca="1">IF(AND(Energy!$F$11=$A$3,Main!$B$43=$A87),Summary!AE24,AE87)</f>
        <v>1.2923976608187133</v>
      </c>
      <c r="AF87" s="72">
        <f ca="1">IF(AND(Energy!$F$11=$A$3,Main!$B$43=$A87),Summary!AF24,AF87)</f>
        <v>15.485829959514172</v>
      </c>
      <c r="AG87" s="72">
        <f ca="1">IF(AND(Energy!$F$11=$A$3,Main!$B$43=$A87),Summary!AG24,AG87)</f>
        <v>11.421435186594151</v>
      </c>
      <c r="AH87" s="72">
        <f ca="1">IF(AND(Energy!$F$11=$A$3,Main!$B$43=$A87),Summary!AH24,AH87)</f>
        <v>47</v>
      </c>
      <c r="AI87" s="72">
        <f ca="1">IF(AND(Energy!$F$11=$A$3,Main!$B$43=$A87),Summary!AI24,AI87)</f>
        <v>2.7460897113852458</v>
      </c>
      <c r="AJ87" s="72">
        <f ca="1">IF(AND(Energy!$F$11=$A$3,Main!$B$43=$A87),Summary!AJ24,AJ87)</f>
        <v>0.22580378885986244</v>
      </c>
      <c r="AK87" s="72">
        <f ca="1">IF(AND(Energy!$F$11=$A$3,Main!$B$43=$A87),Summary!AK24,AK87)</f>
        <v>0.01</v>
      </c>
      <c r="AL87" s="72">
        <f ca="1">IF(AND(Energy!$F$11=$A$3,Main!$B$43=$A87),Summary!AL24,AL87)</f>
        <v>-0.55356922324290081</v>
      </c>
      <c r="AM87" s="72">
        <f ca="1">IF(AND(Energy!$F$11=$A$3,Main!$B$43=$A87),Summary!AJ104,AM87)</f>
        <v>0</v>
      </c>
    </row>
    <row r="88" spans="1:39">
      <c r="A88">
        <f t="shared" si="7"/>
        <v>5</v>
      </c>
      <c r="D88" s="1">
        <f ca="1">IF(AND(Energy!$F$11=$A$3,Main!$B$43=A88),Main!C25,D88)</f>
        <v>4.6315789473684212</v>
      </c>
      <c r="E88" s="72">
        <f ca="1">IF(AND(Energy!$F$11=$A$3,Main!$B$43=A88),Main!B25,E88)</f>
        <v>0.28888888888888886</v>
      </c>
      <c r="F88" s="72">
        <f ca="1">IF(Main!$D$6=1,U88,IF(Main!$D$6=2,N88,IF(Main!$D$6=3,K88,IF(Main!$D$6=4,V88,J88))))</f>
        <v>525.73785852678702</v>
      </c>
      <c r="G88" s="72">
        <f ca="1">IF(AND(Energy!$F$11=$A$3,Main!$B$43=A88),Weight!H25,G88)</f>
        <v>15</v>
      </c>
      <c r="H88" s="72">
        <f ca="1">IF(AND(Energy!$F$11=$A$3,Main!$B$43=A88),Weight!U25,H88)</f>
        <v>15.485959607868629</v>
      </c>
      <c r="I88" s="72">
        <f ca="1">IF(AND(Energy!$F$11=$A$3,Main!$B$43=A88),Weight!V25,I88)</f>
        <v>43.914000310993629</v>
      </c>
      <c r="J88" s="72">
        <f ca="1">IF(AND(Energy!$F$11=$A$3,Main!$B$43=A88),Weight!I25,J88)</f>
        <v>23.490392428125002</v>
      </c>
      <c r="K88" s="72">
        <f ca="1">IF(AND(Energy!$F$11=$A$3,Main!$B$43=A88),Weight!W25,K88)</f>
        <v>58.914000310993636</v>
      </c>
      <c r="L88" s="72">
        <f ca="1">IF(AND(Energy!$F$11=$A$3,Main!$B$43=A88),'Aerodynamics-Cruise'!BI25,L88)</f>
        <v>58.914000310993622</v>
      </c>
      <c r="M88" s="72">
        <f ca="1">IF(AND(Energy!$F$11=$A$3,Main!$B$43=A88),'Aerodynamics-Cruise'!BJ25,M88)</f>
        <v>2.8697709269349283</v>
      </c>
      <c r="N88" s="72">
        <f ca="1">IF(AND(Energy!$F$11=$A$3,Main!$B$43=A88),'Aerodynamics-Cruise'!BK25,N88)</f>
        <v>20.529164804773107</v>
      </c>
      <c r="O88" s="72">
        <f t="shared" ca="1" si="6"/>
        <v>157.57254066024885</v>
      </c>
      <c r="P88" s="72">
        <f ca="1">IF(AND(Energy!$F$11=$A$3,Main!$B$43=A88),'Aerodynamics-Cruise'!H25,P88)</f>
        <v>8.991996213985427</v>
      </c>
      <c r="Q88" s="72">
        <f ca="1">IF(AND(Energy!$F$11=$A$3,Main!$B$43=A88),'Aerodynamics-Cruise'!I25,Q88)</f>
        <v>7.6007832905228607</v>
      </c>
      <c r="R88" s="72">
        <f ca="1">IF(AND(Energy!$F$11=$A$3,Main!$B$43=$A88),Summary!R25,R88)</f>
        <v>4.7810484483886544</v>
      </c>
      <c r="S88" s="72">
        <f ca="1">IF(AND(Energy!$F$11=$A$3,Main!$B$43=A88),'Aerodynamics-Cruise'!W25,S88)</f>
        <v>1</v>
      </c>
      <c r="T88" s="72">
        <f ca="1">IF(AND(Energy!$F$11=$A$3,Main!$B$43=A88),'Aerodynamics-Cruise'!BL25,T88)</f>
        <v>25.804969310004324</v>
      </c>
      <c r="U88" s="72">
        <f ca="1">IF(AND(Energy!$F$11=$A$3,Main!$B$43=A88),'Propulsion-Cruise'!M25,U88)</f>
        <v>55.383232516846697</v>
      </c>
      <c r="V88" s="72">
        <f ca="1">IF(AND(Energy!$F$11=$A$3,Main!$B$43=A88),Endurance!AP25,V88)</f>
        <v>525.73785852678702</v>
      </c>
      <c r="W88" s="72">
        <f ca="1">IF(AND(Energy!$F$11=$A$3,Main!$B$43=$A88),Summary!W25,W88)</f>
        <v>1.3380116959064328</v>
      </c>
      <c r="X88" s="13">
        <f ca="1">IF(AND(Energy!$F$11=$A$3,Main!$B$43=A88),Energy!D25,X88)</f>
        <v>1182.0301388888888</v>
      </c>
      <c r="Y88" s="126">
        <f ca="1">IF(AND(Energy!$F$11=$A$3,Main!$B$43=A88),'Aerodynamics-Cruise'!V25,Y88)</f>
        <v>164752.5826361487</v>
      </c>
      <c r="Z88" s="126">
        <f ca="1">IF(AND(Energy!$F$11=$A$3,Main!$B$43=$A88),Summary!Z25,Z88)</f>
        <v>123382.30917329792</v>
      </c>
      <c r="AA88" s="126">
        <f ca="1">IF(AND(Energy!$F$11=$A$3,Main!$B$43=$A88),Summary!AA25,AA88)</f>
        <v>123382.30917329792</v>
      </c>
      <c r="AB88" s="72">
        <f ca="1">IF(AND(Energy!$F$11=$A$3,Main!$B$43=$A88),Summary!AB25,AB88)</f>
        <v>4.7810484483886544</v>
      </c>
      <c r="AC88" s="72">
        <f ca="1">IF(AND(Energy!$F$11=$A$3,Main!$B$43=$A88),Summary!AC25,AC88)</f>
        <v>2.4367688484213175</v>
      </c>
      <c r="AD88" s="72">
        <f ca="1">IF(AND(Energy!$F$11=$A$3,Main!$B$43=$A88),Summary!AD25,AD88)</f>
        <v>0.42860162640097182</v>
      </c>
      <c r="AE88" s="72">
        <f ca="1">IF(AND(Energy!$F$11=$A$3,Main!$B$43=$A88),Summary!AE25,AE88)</f>
        <v>1.3380116959064328</v>
      </c>
      <c r="AF88" s="72">
        <f ca="1">IF(AND(Energy!$F$11=$A$3,Main!$B$43=$A88),Summary!AF25,AF88)</f>
        <v>16.032388663967613</v>
      </c>
      <c r="AG88" s="72">
        <f ca="1">IF(AND(Energy!$F$11=$A$3,Main!$B$43=$A88),Summary!AG25,AG88)</f>
        <v>11.372694580419443</v>
      </c>
      <c r="AH88" s="72">
        <f ca="1">IF(AND(Energy!$F$11=$A$3,Main!$B$43=$A88),Summary!AH25,AH88)</f>
        <v>47</v>
      </c>
      <c r="AI88" s="72">
        <f ca="1">IF(AND(Energy!$F$11=$A$3,Main!$B$43=$A88),Summary!AI25,AI88)</f>
        <v>2.743162918345909</v>
      </c>
      <c r="AJ88" s="72">
        <f ca="1">IF(AND(Energy!$F$11=$A$3,Main!$B$43=$A88),Summary!AJ25,AJ88)</f>
        <v>0.2266622795588599</v>
      </c>
      <c r="AK88" s="72">
        <f ca="1">IF(AND(Energy!$F$11=$A$3,Main!$B$43=$A88),Summary!AK25,AK88)</f>
        <v>0.01</v>
      </c>
      <c r="AL88" s="72">
        <f ca="1">IF(AND(Energy!$F$11=$A$3,Main!$B$43=$A88),Summary!AL25,AL88)</f>
        <v>-0.55147245954065049</v>
      </c>
      <c r="AM88" s="72">
        <f ca="1">IF(AND(Energy!$F$11=$A$3,Main!$B$43=$A88),Summary!AJ105,AM88)</f>
        <v>0</v>
      </c>
    </row>
    <row r="89" spans="1:39">
      <c r="A89">
        <f t="shared" si="7"/>
        <v>5</v>
      </c>
      <c r="D89" s="1">
        <f ca="1">IF(AND(Energy!$F$11=$A$3,Main!$B$43=A89),Main!C26,D89)</f>
        <v>4.7894736842105265</v>
      </c>
      <c r="E89" s="72">
        <f ca="1">IF(AND(Energy!$F$11=$A$3,Main!$B$43=A89),Main!B26,E89)</f>
        <v>0.28888888888888886</v>
      </c>
      <c r="F89" s="72">
        <f ca="1">IF(Main!$D$6=1,U89,IF(Main!$D$6=2,N89,IF(Main!$D$6=3,K89,IF(Main!$D$6=4,V89,J89))))</f>
        <v>523.10856001268155</v>
      </c>
      <c r="G89" s="72">
        <f ca="1">IF(AND(Energy!$F$11=$A$3,Main!$B$43=A89),Weight!H26,G89)</f>
        <v>15</v>
      </c>
      <c r="H89" s="72">
        <f ca="1">IF(AND(Energy!$F$11=$A$3,Main!$B$43=A89),Weight!U26,H89)</f>
        <v>16.012140730299571</v>
      </c>
      <c r="I89" s="72">
        <f ca="1">IF(AND(Energy!$F$11=$A$3,Main!$B$43=A89),Weight!V26,I89)</f>
        <v>44.44018143342457</v>
      </c>
      <c r="J89" s="72">
        <f ca="1">IF(AND(Energy!$F$11=$A$3,Main!$B$43=A89),Weight!I26,J89)</f>
        <v>23.490392428125002</v>
      </c>
      <c r="K89" s="72">
        <f ca="1">IF(AND(Energy!$F$11=$A$3,Main!$B$43=A89),Weight!W26,K89)</f>
        <v>59.440181433424577</v>
      </c>
      <c r="L89" s="72">
        <f ca="1">IF(AND(Energy!$F$11=$A$3,Main!$B$43=A89),'Aerodynamics-Cruise'!BI26,L89)</f>
        <v>59.440181433424563</v>
      </c>
      <c r="M89" s="72">
        <f ca="1">IF(AND(Energy!$F$11=$A$3,Main!$B$43=A89),'Aerodynamics-Cruise'!BJ26,M89)</f>
        <v>2.8714663413287829</v>
      </c>
      <c r="N89" s="72">
        <f ca="1">IF(AND(Energy!$F$11=$A$3,Main!$B$43=A89),'Aerodynamics-Cruise'!BK26,N89)</f>
        <v>20.70028841289443</v>
      </c>
      <c r="O89" s="72">
        <f t="shared" ca="1" si="6"/>
        <v>159.59396317086694</v>
      </c>
      <c r="P89" s="72">
        <f ca="1">IF(AND(Energy!$F$11=$A$3,Main!$B$43=A89),'Aerodynamics-Cruise'!H26,P89)</f>
        <v>8.8818765325809039</v>
      </c>
      <c r="Q89" s="72">
        <f ca="1">IF(AND(Energy!$F$11=$A$3,Main!$B$43=A89),'Aerodynamics-Cruise'!I26,Q89)</f>
        <v>7.5115066604391787</v>
      </c>
      <c r="R89" s="72">
        <f ca="1">IF(AND(Energy!$F$11=$A$3,Main!$B$43=$A89),Summary!R26,R89)</f>
        <v>4.7083689718634441</v>
      </c>
      <c r="S89" s="72">
        <f ca="1">IF(AND(Energy!$F$11=$A$3,Main!$B$43=A89),'Aerodynamics-Cruise'!W26,S89)</f>
        <v>1</v>
      </c>
      <c r="T89" s="72">
        <f ca="1">IF(AND(Energy!$F$11=$A$3,Main!$B$43=A89),'Aerodynamics-Cruise'!BL26,T89)</f>
        <v>25.504009511144066</v>
      </c>
      <c r="U89" s="72">
        <f ca="1">IF(AND(Energy!$F$11=$A$3,Main!$B$43=A89),'Propulsion-Cruise'!M26,U89)</f>
        <v>54.94515036746354</v>
      </c>
      <c r="V89" s="72">
        <f ca="1">IF(AND(Energy!$F$11=$A$3,Main!$B$43=A89),Endurance!AP26,V89)</f>
        <v>523.10856001268155</v>
      </c>
      <c r="W89" s="72">
        <f ca="1">IF(AND(Energy!$F$11=$A$3,Main!$B$43=$A89),Summary!W26,W89)</f>
        <v>1.383625730994152</v>
      </c>
      <c r="X89" s="13">
        <f ca="1">IF(AND(Energy!$F$11=$A$3,Main!$B$43=A89),Energy!D26,X89)</f>
        <v>1182.0301388888888</v>
      </c>
      <c r="Y89" s="126">
        <f ca="1">IF(AND(Energy!$F$11=$A$3,Main!$B$43=A89),'Aerodynamics-Cruise'!V26,Y89)</f>
        <v>162734.95479481935</v>
      </c>
      <c r="Z89" s="126">
        <f ca="1">IF(AND(Energy!$F$11=$A$3,Main!$B$43=$A89),Summary!Z26,Z89)</f>
        <v>121930.68499333657</v>
      </c>
      <c r="AA89" s="126">
        <f ca="1">IF(AND(Energy!$F$11=$A$3,Main!$B$43=$A89),Summary!AA26,AA89)</f>
        <v>121930.68499333657</v>
      </c>
      <c r="AB89" s="72">
        <f ca="1">IF(AND(Energy!$F$11=$A$3,Main!$B$43=$A89),Summary!AB26,AB89)</f>
        <v>4.7083689718634441</v>
      </c>
      <c r="AC89" s="72">
        <f ca="1">IF(AND(Energy!$F$11=$A$3,Main!$B$43=$A89),Summary!AC26,AC89)</f>
        <v>2.3926049604506336</v>
      </c>
      <c r="AD89" s="72">
        <f ca="1">IF(AND(Energy!$F$11=$A$3,Main!$B$43=$A89),Summary!AD26,AD89)</f>
        <v>0.42605038727182293</v>
      </c>
      <c r="AE89" s="72">
        <f ca="1">IF(AND(Energy!$F$11=$A$3,Main!$B$43=$A89),Summary!AE26,AE89)</f>
        <v>1.383625730994152</v>
      </c>
      <c r="AF89" s="72">
        <f ca="1">IF(AND(Energy!$F$11=$A$3,Main!$B$43=$A89),Summary!AF26,AF89)</f>
        <v>16.578947368421055</v>
      </c>
      <c r="AG89" s="72">
        <f ca="1">IF(AND(Energy!$F$11=$A$3,Main!$B$43=$A89),Summary!AG26,AG89)</f>
        <v>11.332799725409421</v>
      </c>
      <c r="AH89" s="72">
        <f ca="1">IF(AND(Energy!$F$11=$A$3,Main!$B$43=$A89),Summary!AH26,AH89)</f>
        <v>47</v>
      </c>
      <c r="AI89" s="72">
        <f ca="1">IF(AND(Energy!$F$11=$A$3,Main!$B$43=$A89),Summary!AI26,AI89)</f>
        <v>2.7403839892295649</v>
      </c>
      <c r="AJ89" s="72">
        <f ca="1">IF(AND(Energy!$F$11=$A$3,Main!$B$43=$A89),Summary!AJ26,AJ89)</f>
        <v>0.22747237256322003</v>
      </c>
      <c r="AK89" s="72">
        <f ca="1">IF(AND(Energy!$F$11=$A$3,Main!$B$43=$A89),Summary!AK26,AK89)</f>
        <v>0.01</v>
      </c>
      <c r="AL89" s="72">
        <f ca="1">IF(AND(Energy!$F$11=$A$3,Main!$B$43=$A89),Summary!AL26,AL89)</f>
        <v>-0.54950840547542068</v>
      </c>
      <c r="AM89" s="72">
        <f ca="1">IF(AND(Energy!$F$11=$A$3,Main!$B$43=$A89),Summary!AJ106,AM89)</f>
        <v>0</v>
      </c>
    </row>
    <row r="90" spans="1:39">
      <c r="A90">
        <f t="shared" si="7"/>
        <v>5</v>
      </c>
      <c r="D90" s="1">
        <f ca="1">IF(AND(Energy!$F$11=$A$3,Main!$B$43=A90),Main!C27,D90)</f>
        <v>4.9473684210526319</v>
      </c>
      <c r="E90" s="72">
        <f ca="1">IF(AND(Energy!$F$11=$A$3,Main!$B$43=A90),Main!B27,E90)</f>
        <v>0.28888888888888886</v>
      </c>
      <c r="F90" s="72">
        <f ca="1">IF(Main!$D$6=1,U90,IF(Main!$D$6=2,N90,IF(Main!$D$6=3,K90,IF(Main!$D$6=4,V90,J90))))</f>
        <v>521.10540598313594</v>
      </c>
      <c r="G90" s="72">
        <f ca="1">IF(AND(Energy!$F$11=$A$3,Main!$B$43=A90),Weight!H27,G90)</f>
        <v>15</v>
      </c>
      <c r="H90" s="72">
        <f ca="1">IF(AND(Energy!$F$11=$A$3,Main!$B$43=A90),Weight!U27,H90)</f>
        <v>16.548990516024659</v>
      </c>
      <c r="I90" s="72">
        <f ca="1">IF(AND(Energy!$F$11=$A$3,Main!$B$43=A90),Weight!V27,I90)</f>
        <v>44.977031219149666</v>
      </c>
      <c r="J90" s="72">
        <f ca="1">IF(AND(Energy!$F$11=$A$3,Main!$B$43=A90),Weight!I27,J90)</f>
        <v>23.490392428125002</v>
      </c>
      <c r="K90" s="72">
        <f ca="1">IF(AND(Energy!$F$11=$A$3,Main!$B$43=A90),Weight!W27,K90)</f>
        <v>59.977031219149666</v>
      </c>
      <c r="L90" s="72">
        <f ca="1">IF(AND(Energy!$F$11=$A$3,Main!$B$43=A90),'Aerodynamics-Cruise'!BI27,L90)</f>
        <v>59.97703121914968</v>
      </c>
      <c r="M90" s="72">
        <f ca="1">IF(AND(Energy!$F$11=$A$3,Main!$B$43=A90),'Aerodynamics-Cruise'!BJ27,M90)</f>
        <v>2.8753729760397166</v>
      </c>
      <c r="N90" s="72">
        <f ca="1">IF(AND(Energy!$F$11=$A$3,Main!$B$43=A90),'Aerodynamics-Cruise'!BK27,N90)</f>
        <v>20.858870038403406</v>
      </c>
      <c r="O90" s="72">
        <f t="shared" ca="1" si="6"/>
        <v>161.54118364489395</v>
      </c>
      <c r="P90" s="72">
        <f ca="1">IF(AND(Energy!$F$11=$A$3,Main!$B$43=A90),'Aerodynamics-Cruise'!H27,P90)</f>
        <v>8.7783189531792409</v>
      </c>
      <c r="Q90" s="72">
        <f ca="1">IF(AND(Energy!$F$11=$A$3,Main!$B$43=A90),'Aerodynamics-Cruise'!I27,Q90)</f>
        <v>7.4275063211566703</v>
      </c>
      <c r="R90" s="72">
        <f ca="1">IF(AND(Energy!$F$11=$A$3,Main!$B$43=$A90),Summary!R27,R90)</f>
        <v>4.6428578892082504</v>
      </c>
      <c r="S90" s="72">
        <f ca="1">IF(AND(Energy!$F$11=$A$3,Main!$B$43=A90),'Aerodynamics-Cruise'!W27,S90)</f>
        <v>1</v>
      </c>
      <c r="T90" s="72">
        <f ca="1">IF(AND(Energy!$F$11=$A$3,Main!$B$43=A90),'Aerodynamics-Cruise'!BL27,T90)</f>
        <v>25.240941093028844</v>
      </c>
      <c r="U90" s="72">
        <f ca="1">IF(AND(Energy!$F$11=$A$3,Main!$B$43=A90),'Propulsion-Cruise'!M27,U90)</f>
        <v>54.577817314015192</v>
      </c>
      <c r="V90" s="72">
        <f ca="1">IF(AND(Energy!$F$11=$A$3,Main!$B$43=A90),Endurance!AP27,V90)</f>
        <v>521.10540598313594</v>
      </c>
      <c r="W90" s="72">
        <f ca="1">IF(AND(Energy!$F$11=$A$3,Main!$B$43=$A90),Summary!W27,W90)</f>
        <v>1.4292397660818712</v>
      </c>
      <c r="X90" s="13">
        <f ca="1">IF(AND(Energy!$F$11=$A$3,Main!$B$43=A90),Energy!D27,X90)</f>
        <v>1182.0301388888888</v>
      </c>
      <c r="Y90" s="126">
        <f ca="1">IF(AND(Energy!$F$11=$A$3,Main!$B$43=A90),'Aerodynamics-Cruise'!V27,Y90)</f>
        <v>160837.55868254829</v>
      </c>
      <c r="Z90" s="126">
        <f ca="1">IF(AND(Energy!$F$11=$A$3,Main!$B$43=$A90),Summary!Z27,Z90)</f>
        <v>120564.88031056047</v>
      </c>
      <c r="AA90" s="126">
        <f ca="1">IF(AND(Energy!$F$11=$A$3,Main!$B$43=$A90),Summary!AA27,AA90)</f>
        <v>120564.88031056047</v>
      </c>
      <c r="AB90" s="72">
        <f ca="1">IF(AND(Energy!$F$11=$A$3,Main!$B$43=$A90),Summary!AB27,AB90)</f>
        <v>4.6428578892082504</v>
      </c>
      <c r="AC90" s="72">
        <f ca="1">IF(AND(Energy!$F$11=$A$3,Main!$B$43=$A90),Summary!AC27,AC90)</f>
        <v>2.3496403603360387</v>
      </c>
      <c r="AD90" s="72">
        <f ca="1">IF(AND(Energy!$F$11=$A$3,Main!$B$43=$A90),Summary!AD27,AD90)</f>
        <v>0.42375023263416722</v>
      </c>
      <c r="AE90" s="72">
        <f ca="1">IF(AND(Energy!$F$11=$A$3,Main!$B$43=$A90),Summary!AE27,AE90)</f>
        <v>1.4292397660818712</v>
      </c>
      <c r="AF90" s="72">
        <f ca="1">IF(AND(Energy!$F$11=$A$3,Main!$B$43=$A90),Summary!AF27,AF90)</f>
        <v>17.125506072874497</v>
      </c>
      <c r="AG90" s="72">
        <f ca="1">IF(AND(Energy!$F$11=$A$3,Main!$B$43=$A90),Summary!AG27,AG90)</f>
        <v>11.30093031678272</v>
      </c>
      <c r="AH90" s="72">
        <f ca="1">IF(AND(Energy!$F$11=$A$3,Main!$B$43=$A90),Summary!AH27,AH90)</f>
        <v>47</v>
      </c>
      <c r="AI90" s="72">
        <f ca="1">IF(AND(Energy!$F$11=$A$3,Main!$B$43=$A90),Summary!AI27,AI90)</f>
        <v>2.7377432966633495</v>
      </c>
      <c r="AJ90" s="72">
        <f ca="1">IF(AND(Energy!$F$11=$A$3,Main!$B$43=$A90),Summary!AJ27,AJ90)</f>
        <v>0.228238611057659</v>
      </c>
      <c r="AK90" s="72">
        <f ca="1">IF(AND(Energy!$F$11=$A$3,Main!$B$43=$A90),Summary!AK27,AK90)</f>
        <v>0.01</v>
      </c>
      <c r="AL90" s="72">
        <f ca="1">IF(AND(Energy!$F$11=$A$3,Main!$B$43=$A90),Summary!AL27,AL90)</f>
        <v>-0.54766348429771883</v>
      </c>
      <c r="AM90" s="72">
        <f ca="1">IF(AND(Energy!$F$11=$A$3,Main!$B$43=$A90),Summary!AJ107,AM90)</f>
        <v>0</v>
      </c>
    </row>
    <row r="91" spans="1:39">
      <c r="A91">
        <f t="shared" si="7"/>
        <v>5</v>
      </c>
      <c r="D91" s="1">
        <f ca="1">IF(AND(Energy!$F$11=$A$3,Main!$B$43=A91),Main!C28,D91)</f>
        <v>5.1052631578947372</v>
      </c>
      <c r="E91" s="72">
        <f ca="1">IF(AND(Energy!$F$11=$A$3,Main!$B$43=A91),Main!B28,E91)</f>
        <v>0.28888888888888886</v>
      </c>
      <c r="F91" s="72">
        <f ca="1">IF(Main!$D$6=1,U91,IF(Main!$D$6=2,N91,IF(Main!$D$6=3,K91,IF(Main!$D$6=4,V91,J91))))</f>
        <v>519.67118192953592</v>
      </c>
      <c r="G91" s="72">
        <f ca="1">IF(AND(Energy!$F$11=$A$3,Main!$B$43=A91),Weight!H28,G91)</f>
        <v>15</v>
      </c>
      <c r="H91" s="72">
        <f ca="1">IF(AND(Energy!$F$11=$A$3,Main!$B$43=A91),Weight!U28,H91)</f>
        <v>17.096558646891815</v>
      </c>
      <c r="I91" s="72">
        <f ca="1">IF(AND(Energy!$F$11=$A$3,Main!$B$43=A91),Weight!V28,I91)</f>
        <v>45.524599350016814</v>
      </c>
      <c r="J91" s="72">
        <f ca="1">IF(AND(Energy!$F$11=$A$3,Main!$B$43=A91),Weight!I28,J91)</f>
        <v>23.490392428125002</v>
      </c>
      <c r="K91" s="72">
        <f ca="1">IF(AND(Energy!$F$11=$A$3,Main!$B$43=A91),Weight!W28,K91)</f>
        <v>60.524599350016821</v>
      </c>
      <c r="L91" s="72">
        <f ca="1">IF(AND(Energy!$F$11=$A$3,Main!$B$43=A91),'Aerodynamics-Cruise'!BI28,L91)</f>
        <v>60.5245993500168</v>
      </c>
      <c r="M91" s="72">
        <f ca="1">IF(AND(Energy!$F$11=$A$3,Main!$B$43=A91),'Aerodynamics-Cruise'!BJ28,M91)</f>
        <v>2.8813002210909668</v>
      </c>
      <c r="N91" s="72">
        <f ca="1">IF(AND(Energy!$F$11=$A$3,Main!$B$43=A91),'Aerodynamics-Cruise'!BK28,N91)</f>
        <v>21.006002396758205</v>
      </c>
      <c r="O91" s="72">
        <f t="shared" ca="1" si="6"/>
        <v>163.42156768817011</v>
      </c>
      <c r="P91" s="72">
        <f ca="1">IF(AND(Energy!$F$11=$A$3,Main!$B$43=A91),'Aerodynamics-Cruise'!H28,P91)</f>
        <v>8.6808162929212465</v>
      </c>
      <c r="Q91" s="72">
        <f ca="1">IF(AND(Energy!$F$11=$A$3,Main!$B$43=A91),'Aerodynamics-Cruise'!I28,Q91)</f>
        <v>7.3483782832366318</v>
      </c>
      <c r="R91" s="72">
        <f ca="1">IF(AND(Energy!$F$11=$A$3,Main!$B$43=$A91),Summary!R28,R91)</f>
        <v>4.5838968646870297</v>
      </c>
      <c r="S91" s="72">
        <f ca="1">IF(AND(Energy!$F$11=$A$3,Main!$B$43=A91),'Aerodynamics-Cruise'!W28,S91)</f>
        <v>1</v>
      </c>
      <c r="T91" s="72">
        <f ca="1">IF(AND(Energy!$F$11=$A$3,Main!$B$43=A91),'Aerodynamics-Cruise'!BL28,T91)</f>
        <v>25.012037904044053</v>
      </c>
      <c r="U91" s="72">
        <f ca="1">IF(AND(Energy!$F$11=$A$3,Main!$B$43=A91),'Propulsion-Cruise'!M28,U91)</f>
        <v>54.274580448453314</v>
      </c>
      <c r="V91" s="72">
        <f ca="1">IF(AND(Energy!$F$11=$A$3,Main!$B$43=A91),Endurance!AP28,V91)</f>
        <v>519.67118192953592</v>
      </c>
      <c r="W91" s="72">
        <f ca="1">IF(AND(Energy!$F$11=$A$3,Main!$B$43=$A91),Summary!W28,W91)</f>
        <v>1.4748538011695906</v>
      </c>
      <c r="X91" s="13">
        <f ca="1">IF(AND(Energy!$F$11=$A$3,Main!$B$43=A91),Energy!D28,X91)</f>
        <v>1182.0301388888888</v>
      </c>
      <c r="Y91" s="126">
        <f ca="1">IF(AND(Energy!$F$11=$A$3,Main!$B$43=A91),'Aerodynamics-Cruise'!V28,Y91)</f>
        <v>159051.10162572531</v>
      </c>
      <c r="Z91" s="126">
        <f ca="1">IF(AND(Energy!$F$11=$A$3,Main!$B$43=$A91),Summary!Z28,Z91)</f>
        <v>119278.3217533789</v>
      </c>
      <c r="AA91" s="126">
        <f ca="1">IF(AND(Energy!$F$11=$A$3,Main!$B$43=$A91),Summary!AA28,AA91)</f>
        <v>119278.3217533789</v>
      </c>
      <c r="AB91" s="72">
        <f ca="1">IF(AND(Energy!$F$11=$A$3,Main!$B$43=$A91),Summary!AB28,AB91)</f>
        <v>4.5838968646870297</v>
      </c>
      <c r="AC91" s="72">
        <f ca="1">IF(AND(Energy!$F$11=$A$3,Main!$B$43=$A91),Summary!AC28,AC91)</f>
        <v>2.3078283562851674</v>
      </c>
      <c r="AD91" s="72">
        <f ca="1">IF(AND(Energy!$F$11=$A$3,Main!$B$43=$A91),Summary!AD28,AD91)</f>
        <v>0.42168096478880845</v>
      </c>
      <c r="AE91" s="72">
        <f ca="1">IF(AND(Energy!$F$11=$A$3,Main!$B$43=$A91),Summary!AE28,AE91)</f>
        <v>1.4748538011695906</v>
      </c>
      <c r="AF91" s="72">
        <f ca="1">IF(AND(Energy!$F$11=$A$3,Main!$B$43=$A91),Summary!AF28,AF91)</f>
        <v>17.67206477732794</v>
      </c>
      <c r="AG91" s="72">
        <f ca="1">IF(AND(Energy!$F$11=$A$3,Main!$B$43=$A91),Summary!AG28,AG91)</f>
        <v>11.276371275895924</v>
      </c>
      <c r="AH91" s="72">
        <f ca="1">IF(AND(Energy!$F$11=$A$3,Main!$B$43=$A91),Summary!AH28,AH91)</f>
        <v>47</v>
      </c>
      <c r="AI91" s="72">
        <f ca="1">IF(AND(Energy!$F$11=$A$3,Main!$B$43=$A91),Summary!AI28,AI91)</f>
        <v>2.7352321498404972</v>
      </c>
      <c r="AJ91" s="72">
        <f ca="1">IF(AND(Energy!$F$11=$A$3,Main!$B$43=$A91),Summary!AJ28,AJ91)</f>
        <v>0.22896365761153989</v>
      </c>
      <c r="AK91" s="72">
        <f ca="1">IF(AND(Energy!$F$11=$A$3,Main!$B$43=$A91),Summary!AK28,AK91)</f>
        <v>0.01</v>
      </c>
      <c r="AL91" s="72">
        <f ca="1">IF(AND(Energy!$F$11=$A$3,Main!$B$43=$A91),Summary!AL28,AL91)</f>
        <v>-0.54592910459209321</v>
      </c>
      <c r="AM91" s="72">
        <f ca="1">IF(AND(Energy!$F$11=$A$3,Main!$B$43=$A91),Summary!AJ108,AM91)</f>
        <v>0</v>
      </c>
    </row>
    <row r="92" spans="1:39">
      <c r="A92">
        <f t="shared" si="7"/>
        <v>5</v>
      </c>
      <c r="D92" s="1">
        <f ca="1">IF(AND(Energy!$F$11=$A$3,Main!$B$43=A92),Main!C29,D92)</f>
        <v>5.2631578947368425</v>
      </c>
      <c r="E92" s="72">
        <f ca="1">IF(AND(Energy!$F$11=$A$3,Main!$B$43=A92),Main!B29,E92)</f>
        <v>0.28888888888888886</v>
      </c>
      <c r="F92" s="72">
        <f ca="1">IF(Main!$D$6=1,U92,IF(Main!$D$6=2,N92,IF(Main!$D$6=3,K92,IF(Main!$D$6=4,V92,J92))))</f>
        <v>518.75634755347517</v>
      </c>
      <c r="G92" s="72">
        <f ca="1">IF(AND(Energy!$F$11=$A$3,Main!$B$43=A92),Weight!H29,G92)</f>
        <v>15</v>
      </c>
      <c r="H92" s="72">
        <f ca="1">IF(AND(Energy!$F$11=$A$3,Main!$B$43=A92),Weight!U29,H92)</f>
        <v>17.654900757531884</v>
      </c>
      <c r="I92" s="72">
        <f ca="1">IF(AND(Energy!$F$11=$A$3,Main!$B$43=A92),Weight!V29,I92)</f>
        <v>46.082941460656883</v>
      </c>
      <c r="J92" s="72">
        <f ca="1">IF(AND(Energy!$F$11=$A$3,Main!$B$43=A92),Weight!I29,J92)</f>
        <v>23.490392428125002</v>
      </c>
      <c r="K92" s="72">
        <f ca="1">IF(AND(Energy!$F$11=$A$3,Main!$B$43=A92),Weight!W29,K92)</f>
        <v>61.08294146065689</v>
      </c>
      <c r="L92" s="72">
        <f ca="1">IF(AND(Energy!$F$11=$A$3,Main!$B$43=A92),'Aerodynamics-Cruise'!BI29,L92)</f>
        <v>61.082941460656876</v>
      </c>
      <c r="M92" s="72">
        <f ca="1">IF(AND(Energy!$F$11=$A$3,Main!$B$43=A92),'Aerodynamics-Cruise'!BJ29,M92)</f>
        <v>2.8890811456794334</v>
      </c>
      <c r="N92" s="72">
        <f ca="1">IF(AND(Energy!$F$11=$A$3,Main!$B$43=A92),'Aerodynamics-Cruise'!BK29,N92)</f>
        <v>21.142688066067397</v>
      </c>
      <c r="O92" s="72">
        <f t="shared" ca="1" si="6"/>
        <v>165.2418975647729</v>
      </c>
      <c r="P92" s="72">
        <f ca="1">IF(AND(Energy!$F$11=$A$3,Main!$B$43=A92),'Aerodynamics-Cruise'!H29,P92)</f>
        <v>8.5889152814044074</v>
      </c>
      <c r="Q92" s="72">
        <f ca="1">IF(AND(Energy!$F$11=$A$3,Main!$B$43=A92),'Aerodynamics-Cruise'!I29,Q92)</f>
        <v>7.2737612055467089</v>
      </c>
      <c r="R92" s="72">
        <f ca="1">IF(AND(Energy!$F$11=$A$3,Main!$B$43=$A92),Summary!R29,R92)</f>
        <v>4.5309448465511979</v>
      </c>
      <c r="S92" s="72">
        <f ca="1">IF(AND(Energy!$F$11=$A$3,Main!$B$43=A92),'Aerodynamics-Cruise'!W29,S92)</f>
        <v>1</v>
      </c>
      <c r="T92" s="72">
        <f ca="1">IF(AND(Energy!$F$11=$A$3,Main!$B$43=A92),'Aerodynamics-Cruise'!BL29,T92)</f>
        <v>24.81407320134344</v>
      </c>
      <c r="U92" s="72">
        <f ca="1">IF(AND(Energy!$F$11=$A$3,Main!$B$43=A92),'Propulsion-Cruise'!M29,U92)</f>
        <v>54.029675253051856</v>
      </c>
      <c r="V92" s="72">
        <f ca="1">IF(AND(Energy!$F$11=$A$3,Main!$B$43=A92),Endurance!AP29,V92)</f>
        <v>518.75634755347517</v>
      </c>
      <c r="W92" s="72">
        <f ca="1">IF(AND(Energy!$F$11=$A$3,Main!$B$43=$A92),Summary!W29,W92)</f>
        <v>1.5204678362573099</v>
      </c>
      <c r="X92" s="13">
        <f ca="1">IF(AND(Energy!$F$11=$A$3,Main!$B$43=A92),Energy!D29,X92)</f>
        <v>1182.0301388888888</v>
      </c>
      <c r="Y92" s="126">
        <f ca="1">IF(AND(Energy!$F$11=$A$3,Main!$B$43=A92),'Aerodynamics-Cruise'!V29,Y92)</f>
        <v>157367.27874213416</v>
      </c>
      <c r="Z92" s="126">
        <f ca="1">IF(AND(Energy!$F$11=$A$3,Main!$B$43=$A92),Summary!Z29,Z92)</f>
        <v>118065.13007600477</v>
      </c>
      <c r="AA92" s="126">
        <f ca="1">IF(AND(Energy!$F$11=$A$3,Main!$B$43=$A92),Summary!AA29,AA92)</f>
        <v>118065.13007600477</v>
      </c>
      <c r="AB92" s="72">
        <f ca="1">IF(AND(Energy!$F$11=$A$3,Main!$B$43=$A92),Summary!AB29,AB92)</f>
        <v>4.5309448465511979</v>
      </c>
      <c r="AC92" s="72">
        <f ca="1">IF(AND(Energy!$F$11=$A$3,Main!$B$43=$A92),Summary!AC29,AC92)</f>
        <v>2.2671232333953819</v>
      </c>
      <c r="AD92" s="72">
        <f ca="1">IF(AND(Energy!$F$11=$A$3,Main!$B$43=$A92),Summary!AD29,AD92)</f>
        <v>0.41982462037858048</v>
      </c>
      <c r="AE92" s="72">
        <f ca="1">IF(AND(Energy!$F$11=$A$3,Main!$B$43=$A92),Summary!AE29,AE92)</f>
        <v>1.5204678362573099</v>
      </c>
      <c r="AF92" s="72">
        <f ca="1">IF(AND(Energy!$F$11=$A$3,Main!$B$43=$A92),Summary!AF29,AF92)</f>
        <v>18.218623481781382</v>
      </c>
      <c r="AG92" s="72">
        <f ca="1">IF(AND(Energy!$F$11=$A$3,Main!$B$43=$A92),Summary!AG29,AG92)</f>
        <v>11.25849651365848</v>
      </c>
      <c r="AH92" s="72">
        <f ca="1">IF(AND(Energy!$F$11=$A$3,Main!$B$43=$A92),Summary!AH29,AH92)</f>
        <v>47</v>
      </c>
      <c r="AI92" s="72">
        <f ca="1">IF(AND(Energy!$F$11=$A$3,Main!$B$43=$A92),Summary!AI29,AI92)</f>
        <v>2.7328426751983756</v>
      </c>
      <c r="AJ92" s="72">
        <f ca="1">IF(AND(Energy!$F$11=$A$3,Main!$B$43=$A92),Summary!AJ29,AJ92)</f>
        <v>0.22965046991985499</v>
      </c>
      <c r="AK92" s="72">
        <f ca="1">IF(AND(Energy!$F$11=$A$3,Main!$B$43=$A92),Summary!AK29,AK92)</f>
        <v>0.01</v>
      </c>
      <c r="AL92" s="72">
        <f ca="1">IF(AND(Energy!$F$11=$A$3,Main!$B$43=$A92),Summary!AL29,AL92)</f>
        <v>-0.54429627724132656</v>
      </c>
      <c r="AM92" s="72">
        <f ca="1">IF(AND(Energy!$F$11=$A$3,Main!$B$43=$A92),Summary!AJ109,AM92)</f>
        <v>0</v>
      </c>
    </row>
    <row r="93" spans="1:39">
      <c r="A93">
        <f t="shared" si="7"/>
        <v>5</v>
      </c>
      <c r="D93" s="1">
        <f ca="1">IF(AND(Energy!$F$11=$A$3,Main!$B$43=A93),Main!C30,D93)</f>
        <v>5.4210526315789478</v>
      </c>
      <c r="E93" s="72">
        <f ca="1">IF(AND(Energy!$F$11=$A$3,Main!$B$43=A93),Main!B30,E93)</f>
        <v>0.28888888888888886</v>
      </c>
      <c r="F93" s="72">
        <f ca="1">IF(Main!$D$6=1,U93,IF(Main!$D$6=2,N93,IF(Main!$D$6=3,K93,IF(Main!$D$6=4,V93,J93))))</f>
        <v>518.31783566655668</v>
      </c>
      <c r="G93" s="72">
        <f ca="1">IF(AND(Energy!$F$11=$A$3,Main!$B$43=A93),Weight!H30,G93)</f>
        <v>15</v>
      </c>
      <c r="H93" s="72">
        <f ca="1">IF(AND(Energy!$F$11=$A$3,Main!$B$43=A93),Weight!U30,H93)</f>
        <v>18.224077990163217</v>
      </c>
      <c r="I93" s="72">
        <f ca="1">IF(AND(Energy!$F$11=$A$3,Main!$B$43=A93),Weight!V30,I93)</f>
        <v>46.652118693288216</v>
      </c>
      <c r="J93" s="72">
        <f ca="1">IF(AND(Energy!$F$11=$A$3,Main!$B$43=A93),Weight!I30,J93)</f>
        <v>23.490392428125002</v>
      </c>
      <c r="K93" s="72">
        <f ca="1">IF(AND(Energy!$F$11=$A$3,Main!$B$43=A93),Weight!W30,K93)</f>
        <v>61.652118693288223</v>
      </c>
      <c r="L93" s="72">
        <f ca="1">IF(AND(Energy!$F$11=$A$3,Main!$B$43=A93),'Aerodynamics-Cruise'!BI30,L93)</f>
        <v>61.652118693288216</v>
      </c>
      <c r="M93" s="72">
        <f ca="1">IF(AND(Energy!$F$11=$A$3,Main!$B$43=A93),'Aerodynamics-Cruise'!BJ30,M93)</f>
        <v>2.8985690343474699</v>
      </c>
      <c r="N93" s="72">
        <f ca="1">IF(AND(Energy!$F$11=$A$3,Main!$B$43=A93),'Aerodynamics-Cruise'!BK30,N93)</f>
        <v>21.269846590756611</v>
      </c>
      <c r="O93" s="72">
        <f t="shared" ca="1" si="6"/>
        <v>167.00841735403034</v>
      </c>
      <c r="P93" s="72">
        <f ca="1">IF(AND(Energy!$F$11=$A$3,Main!$B$43=A93),'Aerodynamics-Cruise'!H30,P93)</f>
        <v>8.5022094169063607</v>
      </c>
      <c r="Q93" s="72">
        <f ca="1">IF(AND(Energy!$F$11=$A$3,Main!$B$43=A93),'Aerodynamics-Cruise'!I30,Q93)</f>
        <v>7.2033307753420859</v>
      </c>
      <c r="R93" s="72">
        <f ca="1">IF(AND(Energy!$F$11=$A$3,Main!$B$43=$A93),Summary!R30,R93)</f>
        <v>4.4835266711605071</v>
      </c>
      <c r="S93" s="72">
        <f ca="1">IF(AND(Energy!$F$11=$A$3,Main!$B$43=A93),'Aerodynamics-Cruise'!W30,S93)</f>
        <v>1</v>
      </c>
      <c r="T93" s="72">
        <f ca="1">IF(AND(Energy!$F$11=$A$3,Main!$B$43=A93),'Aerodynamics-Cruise'!BL30,T93)</f>
        <v>24.644240939382236</v>
      </c>
      <c r="U93" s="72">
        <f ca="1">IF(AND(Energy!$F$11=$A$3,Main!$B$43=A93),'Propulsion-Cruise'!M30,U93)</f>
        <v>53.838086325250018</v>
      </c>
      <c r="V93" s="72">
        <f ca="1">IF(AND(Energy!$F$11=$A$3,Main!$B$43=A93),Endurance!AP30,V93)</f>
        <v>518.31783566655668</v>
      </c>
      <c r="W93" s="72">
        <f ca="1">IF(AND(Energy!$F$11=$A$3,Main!$B$43=$A93),Summary!W30,W93)</f>
        <v>1.5660818713450293</v>
      </c>
      <c r="X93" s="13">
        <f ca="1">IF(AND(Energy!$F$11=$A$3,Main!$B$43=A93),Energy!D30,X93)</f>
        <v>1182.0301388888888</v>
      </c>
      <c r="Y93" s="126">
        <f ca="1">IF(AND(Energy!$F$11=$A$3,Main!$B$43=A93),'Aerodynamics-Cruise'!V30,Y93)</f>
        <v>155778.64205170324</v>
      </c>
      <c r="Z93" s="126">
        <f ca="1">IF(AND(Energy!$F$11=$A$3,Main!$B$43=$A93),Summary!Z30,Z93)</f>
        <v>116920.02867093678</v>
      </c>
      <c r="AA93" s="126">
        <f ca="1">IF(AND(Energy!$F$11=$A$3,Main!$B$43=$A93),Summary!AA30,AA93)</f>
        <v>116920.02867093678</v>
      </c>
      <c r="AB93" s="72">
        <f ca="1">IF(AND(Energy!$F$11=$A$3,Main!$B$43=$A93),Summary!AB30,AB93)</f>
        <v>4.4835266711605071</v>
      </c>
      <c r="AC93" s="72">
        <f ca="1">IF(AND(Energy!$F$11=$A$3,Main!$B$43=$A93),Summary!AC30,AC93)</f>
        <v>2.2274806051380485</v>
      </c>
      <c r="AD93" s="72">
        <f ca="1">IF(AND(Energy!$F$11=$A$3,Main!$B$43=$A93),Summary!AD30,AD93)</f>
        <v>0.41816516826961203</v>
      </c>
      <c r="AE93" s="72">
        <f ca="1">IF(AND(Energy!$F$11=$A$3,Main!$B$43=$A93),Summary!AE30,AE93)</f>
        <v>1.5660818713450293</v>
      </c>
      <c r="AF93" s="72">
        <f ca="1">IF(AND(Energy!$F$11=$A$3,Main!$B$43=$A93),Summary!AF30,AF93)</f>
        <v>18.765182186234821</v>
      </c>
      <c r="AG93" s="72">
        <f ca="1">IF(AND(Energy!$F$11=$A$3,Main!$B$43=$A93),Summary!AG30,AG93)</f>
        <v>11.246755820813245</v>
      </c>
      <c r="AH93" s="72">
        <f ca="1">IF(AND(Energy!$F$11=$A$3,Main!$B$43=$A93),Summary!AH30,AH93)</f>
        <v>47</v>
      </c>
      <c r="AI93" s="72">
        <f ca="1">IF(AND(Energy!$F$11=$A$3,Main!$B$43=$A93),Summary!AI30,AI93)</f>
        <v>2.7305677155927164</v>
      </c>
      <c r="AJ93" s="72">
        <f ca="1">IF(AND(Energy!$F$11=$A$3,Main!$B$43=$A93),Summary!AJ30,AJ93)</f>
        <v>0.23030174094294406</v>
      </c>
      <c r="AK93" s="72">
        <f ca="1">IF(AND(Energy!$F$11=$A$3,Main!$B$43=$A93),Summary!AK30,AK93)</f>
        <v>0.01</v>
      </c>
      <c r="AL93" s="72">
        <f ca="1">IF(AND(Energy!$F$11=$A$3,Main!$B$43=$A93),Summary!AL30,AL93)</f>
        <v>-0.54275693410760795</v>
      </c>
      <c r="AM93" s="72">
        <f ca="1">IF(AND(Energy!$F$11=$A$3,Main!$B$43=$A93),Summary!AJ110,AM93)</f>
        <v>0</v>
      </c>
    </row>
    <row r="94" spans="1:39">
      <c r="A94">
        <f t="shared" si="7"/>
        <v>5</v>
      </c>
      <c r="D94" s="1">
        <f ca="1">IF(AND(Energy!$F$11=$A$3,Main!$B$43=A94),Main!C31,D94)</f>
        <v>5.5789473684210531</v>
      </c>
      <c r="E94" s="72">
        <f ca="1">IF(AND(Energy!$F$11=$A$3,Main!$B$43=A94),Main!B31,E94)</f>
        <v>0.28888888888888886</v>
      </c>
      <c r="F94" s="72">
        <f ca="1">IF(Main!$D$6=1,U94,IF(Main!$D$6=2,N94,IF(Main!$D$6=3,K94,IF(Main!$D$6=4,V94,J94))))</f>
        <v>518.31806535605403</v>
      </c>
      <c r="G94" s="72">
        <f ca="1">IF(AND(Energy!$F$11=$A$3,Main!$B$43=A94),Weight!H31,G94)</f>
        <v>15</v>
      </c>
      <c r="H94" s="72">
        <f ca="1">IF(AND(Energy!$F$11=$A$3,Main!$B$43=A94),Weight!U31,H94)</f>
        <v>18.80415660071592</v>
      </c>
      <c r="I94" s="72">
        <f ca="1">IF(AND(Energy!$F$11=$A$3,Main!$B$43=A94),Weight!V31,I94)</f>
        <v>47.23219730384092</v>
      </c>
      <c r="J94" s="72">
        <f ca="1">IF(AND(Energy!$F$11=$A$3,Main!$B$43=A94),Weight!I31,J94)</f>
        <v>23.490392428125002</v>
      </c>
      <c r="K94" s="72">
        <f ca="1">IF(AND(Energy!$F$11=$A$3,Main!$B$43=A94),Weight!W31,K94)</f>
        <v>62.232197303840927</v>
      </c>
      <c r="L94" s="72">
        <f ca="1">IF(AND(Energy!$F$11=$A$3,Main!$B$43=A94),'Aerodynamics-Cruise'!BI31,L94)</f>
        <v>62.232197303840927</v>
      </c>
      <c r="M94" s="72">
        <f ca="1">IF(AND(Energy!$F$11=$A$3,Main!$B$43=A94),'Aerodynamics-Cruise'!BJ31,M94)</f>
        <v>2.9096344949726007</v>
      </c>
      <c r="N94" s="72">
        <f ca="1">IF(AND(Energy!$F$11=$A$3,Main!$B$43=A94),'Aerodynamics-Cruise'!BK31,N94)</f>
        <v>21.388321251816528</v>
      </c>
      <c r="O94" s="72">
        <f t="shared" ca="1" si="6"/>
        <v>168.72687626816591</v>
      </c>
      <c r="P94" s="72">
        <f ca="1">IF(AND(Energy!$F$11=$A$3,Main!$B$43=A94),'Aerodynamics-Cruise'!H31,P94)</f>
        <v>8.4203329456043257</v>
      </c>
      <c r="Q94" s="72">
        <f ca="1">IF(AND(Energy!$F$11=$A$3,Main!$B$43=A94),'Aerodynamics-Cruise'!I31,Q94)</f>
        <v>7.136794967510693</v>
      </c>
      <c r="R94" s="72">
        <f ca="1">IF(AND(Energy!$F$11=$A$3,Main!$B$43=$A94),Summary!R31,R94)</f>
        <v>4.441223629943936</v>
      </c>
      <c r="S94" s="72">
        <f ca="1">IF(AND(Energy!$F$11=$A$3,Main!$B$43=A94),'Aerodynamics-Cruise'!W31,S94)</f>
        <v>1</v>
      </c>
      <c r="T94" s="72">
        <f ca="1">IF(AND(Energy!$F$11=$A$3,Main!$B$43=A94),'Aerodynamics-Cruise'!BL31,T94)</f>
        <v>24.500091197684593</v>
      </c>
      <c r="U94" s="72">
        <f ca="1">IF(AND(Energy!$F$11=$A$3,Main!$B$43=A94),'Propulsion-Cruise'!M31,U94)</f>
        <v>53.695432980812683</v>
      </c>
      <c r="V94" s="72">
        <f ca="1">IF(AND(Energy!$F$11=$A$3,Main!$B$43=A94),Endurance!AP31,V94)</f>
        <v>518.31806535605403</v>
      </c>
      <c r="W94" s="72">
        <f ca="1">IF(AND(Energy!$F$11=$A$3,Main!$B$43=$A94),Summary!W31,W94)</f>
        <v>1.6116959064327485</v>
      </c>
      <c r="X94" s="13">
        <f ca="1">IF(AND(Energy!$F$11=$A$3,Main!$B$43=A94),Energy!D31,X94)</f>
        <v>1182.0301388888888</v>
      </c>
      <c r="Y94" s="126">
        <f ca="1">IF(AND(Energy!$F$11=$A$3,Main!$B$43=A94),'Aerodynamics-Cruise'!V31,Y94)</f>
        <v>154278.49016294195</v>
      </c>
      <c r="Z94" s="126">
        <f ca="1">IF(AND(Energy!$F$11=$A$3,Main!$B$43=$A94),Summary!Z31,Z94)</f>
        <v>115838.2663962486</v>
      </c>
      <c r="AA94" s="126">
        <f ca="1">IF(AND(Energy!$F$11=$A$3,Main!$B$43=$A94),Summary!AA31,AA94)</f>
        <v>115838.2663962486</v>
      </c>
      <c r="AB94" s="72">
        <f ca="1">IF(AND(Energy!$F$11=$A$3,Main!$B$43=$A94),Summary!AB31,AB94)</f>
        <v>4.441223629943936</v>
      </c>
      <c r="AC94" s="72">
        <f ca="1">IF(AND(Energy!$F$11=$A$3,Main!$B$43=$A94),Summary!AC31,AC94)</f>
        <v>2.1888576424290216</v>
      </c>
      <c r="AD94" s="72">
        <f ca="1">IF(AND(Energy!$F$11=$A$3,Main!$B$43=$A94),Summary!AD31,AD94)</f>
        <v>0.41668825479072513</v>
      </c>
      <c r="AE94" s="72">
        <f ca="1">IF(AND(Energy!$F$11=$A$3,Main!$B$43=$A94),Summary!AE31,AE94)</f>
        <v>1.6116959064327485</v>
      </c>
      <c r="AF94" s="72">
        <f ca="1">IF(AND(Energy!$F$11=$A$3,Main!$B$43=$A94),Summary!AF31,AF94)</f>
        <v>19.311740890688263</v>
      </c>
      <c r="AG94" s="72">
        <f ca="1">IF(AND(Energy!$F$11=$A$3,Main!$B$43=$A94),Summary!AG31,AG94)</f>
        <v>11.240663947106318</v>
      </c>
      <c r="AH94" s="72">
        <f ca="1">IF(AND(Energy!$F$11=$A$3,Main!$B$43=$A94),Summary!AH31,AH94)</f>
        <v>47</v>
      </c>
      <c r="AI94" s="72">
        <f ca="1">IF(AND(Energy!$F$11=$A$3,Main!$B$43=$A94),Summary!AI31,AI94)</f>
        <v>2.7284007446188392</v>
      </c>
      <c r="AJ94" s="72">
        <f ca="1">IF(AND(Energy!$F$11=$A$3,Main!$B$43=$A94),Summary!AJ31,AJ94)</f>
        <v>0.23091988787299111</v>
      </c>
      <c r="AK94" s="72">
        <f ca="1">IF(AND(Energy!$F$11=$A$3,Main!$B$43=$A94),Summary!AK31,AK94)</f>
        <v>0.01</v>
      </c>
      <c r="AL94" s="72">
        <f ca="1">IF(AND(Energy!$F$11=$A$3,Main!$B$43=$A94),Summary!AL31,AL94)</f>
        <v>-0.54130390744250956</v>
      </c>
      <c r="AM94" s="72">
        <f ca="1">IF(AND(Energy!$F$11=$A$3,Main!$B$43=$A94),Summary!AJ111,AM94)</f>
        <v>0</v>
      </c>
    </row>
    <row r="95" spans="1:39">
      <c r="A95">
        <f t="shared" si="7"/>
        <v>5</v>
      </c>
      <c r="D95" s="1">
        <f ca="1">IF(AND(Energy!$F$11=$A$3,Main!$B$43=A95),Main!C32,D95)</f>
        <v>5.7368421052631584</v>
      </c>
      <c r="E95" s="72">
        <f ca="1">IF(AND(Energy!$F$11=$A$3,Main!$B$43=A95),Main!B32,E95)</f>
        <v>0.28888888888888886</v>
      </c>
      <c r="F95" s="72">
        <f ca="1">IF(Main!$D$6=1,U95,IF(Main!$D$6=2,N95,IF(Main!$D$6=3,K95,IF(Main!$D$6=4,V95,J95))))</f>
        <v>518.72412867392154</v>
      </c>
      <c r="G95" s="72">
        <f ca="1">IF(AND(Energy!$F$11=$A$3,Main!$B$43=A95),Weight!H32,G95)</f>
        <v>15</v>
      </c>
      <c r="H95" s="72">
        <f ca="1">IF(AND(Energy!$F$11=$A$3,Main!$B$43=A95),Weight!U32,H95)</f>
        <v>19.395207608748784</v>
      </c>
      <c r="I95" s="72">
        <f ca="1">IF(AND(Energy!$F$11=$A$3,Main!$B$43=A95),Weight!V32,I95)</f>
        <v>47.823248311873783</v>
      </c>
      <c r="J95" s="72">
        <f ca="1">IF(AND(Energy!$F$11=$A$3,Main!$B$43=A95),Weight!I32,J95)</f>
        <v>23.490392428125002</v>
      </c>
      <c r="K95" s="72">
        <f ca="1">IF(AND(Energy!$F$11=$A$3,Main!$B$43=A95),Weight!W32,K95)</f>
        <v>62.82324831187379</v>
      </c>
      <c r="L95" s="72">
        <f ca="1">IF(AND(Energy!$F$11=$A$3,Main!$B$43=A95),'Aerodynamics-Cruise'!BI32,L95)</f>
        <v>62.823248311873797</v>
      </c>
      <c r="M95" s="72">
        <f ca="1">IF(AND(Energy!$F$11=$A$3,Main!$B$43=A95),'Aerodynamics-Cruise'!BJ32,M95)</f>
        <v>2.9221630453231824</v>
      </c>
      <c r="N95" s="72">
        <f ca="1">IF(AND(Energy!$F$11=$A$3,Main!$B$43=A95),'Aerodynamics-Cruise'!BK32,N95)</f>
        <v>21.498885359056253</v>
      </c>
      <c r="O95" s="72">
        <f t="shared" ca="1" si="6"/>
        <v>170.40256899334278</v>
      </c>
      <c r="P95" s="72">
        <f ca="1">IF(AND(Energy!$F$11=$A$3,Main!$B$43=A95),'Aerodynamics-Cruise'!H32,P95)</f>
        <v>8.3429557609778211</v>
      </c>
      <c r="Q95" s="72">
        <f ca="1">IF(AND(Energy!$F$11=$A$3,Main!$B$43=A95),'Aerodynamics-Cruise'!I32,Q95)</f>
        <v>7.0738900249048369</v>
      </c>
      <c r="R95" s="72">
        <f ca="1">IF(AND(Energy!$F$11=$A$3,Main!$B$43=$A95),Summary!R32,R95)</f>
        <v>4.4036656168057799</v>
      </c>
      <c r="S95" s="72">
        <f ca="1">IF(AND(Energy!$F$11=$A$3,Main!$B$43=A95),'Aerodynamics-Cruise'!W32,S95)</f>
        <v>1</v>
      </c>
      <c r="T95" s="72">
        <f ca="1">IF(AND(Energy!$F$11=$A$3,Main!$B$43=A95),'Aerodynamics-Cruise'!BL32,T95)</f>
        <v>24.379477013495539</v>
      </c>
      <c r="U95" s="72">
        <f ca="1">IF(AND(Energy!$F$11=$A$3,Main!$B$43=A95),'Propulsion-Cruise'!M32,U95)</f>
        <v>53.597874994564556</v>
      </c>
      <c r="V95" s="72">
        <f ca="1">IF(AND(Energy!$F$11=$A$3,Main!$B$43=A95),Endurance!AP32,V95)</f>
        <v>518.72412867392154</v>
      </c>
      <c r="W95" s="72">
        <f ca="1">IF(AND(Energy!$F$11=$A$3,Main!$B$43=$A95),Summary!W32,W95)</f>
        <v>1.6573099415204677</v>
      </c>
      <c r="X95" s="13">
        <f ca="1">IF(AND(Energy!$F$11=$A$3,Main!$B$43=A95),Energy!D32,X95)</f>
        <v>1182.0301388888888</v>
      </c>
      <c r="Y95" s="126">
        <f ca="1">IF(AND(Energy!$F$11=$A$3,Main!$B$43=A95),'Aerodynamics-Cruise'!V32,Y95)</f>
        <v>152860.77481910057</v>
      </c>
      <c r="Z95" s="126">
        <f ca="1">IF(AND(Energy!$F$11=$A$3,Main!$B$43=$A95),Summary!Z32,Z95)</f>
        <v>114815.5521433668</v>
      </c>
      <c r="AA95" s="126">
        <f ca="1">IF(AND(Energy!$F$11=$A$3,Main!$B$43=$A95),Summary!AA32,AA95)</f>
        <v>114815.5521433668</v>
      </c>
      <c r="AB95" s="72">
        <f ca="1">IF(AND(Energy!$F$11=$A$3,Main!$B$43=$A95),Summary!AB32,AB95)</f>
        <v>4.4036656168057799</v>
      </c>
      <c r="AC95" s="72">
        <f ca="1">IF(AND(Energy!$F$11=$A$3,Main!$B$43=$A95),Summary!AC32,AC95)</f>
        <v>2.1512132112869597</v>
      </c>
      <c r="AD95" s="72">
        <f ca="1">IF(AND(Energy!$F$11=$A$3,Main!$B$43=$A95),Summary!AD32,AD95)</f>
        <v>0.41538098846322752</v>
      </c>
      <c r="AE95" s="72">
        <f ca="1">IF(AND(Energy!$F$11=$A$3,Main!$B$43=$A95),Summary!AE32,AE95)</f>
        <v>1.6573099415204677</v>
      </c>
      <c r="AF95" s="72">
        <f ca="1">IF(AND(Energy!$F$11=$A$3,Main!$B$43=$A95),Summary!AF32,AF95)</f>
        <v>19.858299595141705</v>
      </c>
      <c r="AG95" s="72">
        <f ca="1">IF(AND(Energy!$F$11=$A$3,Main!$B$43=$A95),Summary!AG32,AG95)</f>
        <v>11.239791493526187</v>
      </c>
      <c r="AH95" s="72">
        <f ca="1">IF(AND(Energy!$F$11=$A$3,Main!$B$43=$A95),Summary!AH32,AH95)</f>
        <v>47</v>
      </c>
      <c r="AI95" s="72">
        <f ca="1">IF(AND(Energy!$F$11=$A$3,Main!$B$43=$A95),Summary!AI32,AI95)</f>
        <v>2.7263357934194672</v>
      </c>
      <c r="AJ95" s="72">
        <f ca="1">IF(AND(Energy!$F$11=$A$3,Main!$B$43=$A95),Summary!AJ32,AJ95)</f>
        <v>0.23150708805740766</v>
      </c>
      <c r="AK95" s="72">
        <f ca="1">IF(AND(Energy!$F$11=$A$3,Main!$B$43=$A95),Summary!AK32,AK95)</f>
        <v>0.01</v>
      </c>
      <c r="AL95" s="72">
        <f ca="1">IF(AND(Energy!$F$11=$A$3,Main!$B$43=$A95),Summary!AL32,AL95)</f>
        <v>-0.53993080417477157</v>
      </c>
      <c r="AM95" s="72">
        <f ca="1">IF(AND(Energy!$F$11=$A$3,Main!$B$43=$A95),Summary!AJ112,AM95)</f>
        <v>0</v>
      </c>
    </row>
    <row r="96" spans="1:39">
      <c r="A96">
        <f t="shared" si="7"/>
        <v>5</v>
      </c>
      <c r="D96" s="1">
        <f ca="1">IF(AND(Energy!$F$11=$A$3,Main!$B$43=A96),Main!C33,D96)</f>
        <v>5.8947368421052637</v>
      </c>
      <c r="E96" s="72">
        <f ca="1">IF(AND(Energy!$F$11=$A$3,Main!$B$43=A96),Main!B33,E96)</f>
        <v>0.28888888888888886</v>
      </c>
      <c r="F96" s="72">
        <f ca="1">IF(Main!$D$6=1,U96,IF(Main!$D$6=2,N96,IF(Main!$D$6=3,K96,IF(Main!$D$6=4,V96,J96))))</f>
        <v>519.50711674444483</v>
      </c>
      <c r="G96" s="72">
        <f ca="1">IF(AND(Energy!$F$11=$A$3,Main!$B$43=A96),Weight!H33,G96)</f>
        <v>15</v>
      </c>
      <c r="H96" s="72">
        <f ca="1">IF(AND(Energy!$F$11=$A$3,Main!$B$43=A96),Weight!U33,H96)</f>
        <v>19.997306484921246</v>
      </c>
      <c r="I96" s="72">
        <f ca="1">IF(AND(Energy!$F$11=$A$3,Main!$B$43=A96),Weight!V33,I96)</f>
        <v>48.425347188046246</v>
      </c>
      <c r="J96" s="72">
        <f ca="1">IF(AND(Energy!$F$11=$A$3,Main!$B$43=A96),Weight!I33,J96)</f>
        <v>23.490392428125002</v>
      </c>
      <c r="K96" s="72">
        <f ca="1">IF(AND(Energy!$F$11=$A$3,Main!$B$43=A96),Weight!W33,K96)</f>
        <v>63.425347188046253</v>
      </c>
      <c r="L96" s="72">
        <f ca="1">IF(AND(Energy!$F$11=$A$3,Main!$B$43=A96),'Aerodynamics-Cruise'!BI33,L96)</f>
        <v>63.425347188046239</v>
      </c>
      <c r="M96" s="72">
        <f ca="1">IF(AND(Energy!$F$11=$A$3,Main!$B$43=A96),'Aerodynamics-Cruise'!BJ33,M96)</f>
        <v>2.9360530899649526</v>
      </c>
      <c r="N96" s="72">
        <f ca="1">IF(AND(Energy!$F$11=$A$3,Main!$B$43=A96),'Aerodynamics-Cruise'!BK33,N96)</f>
        <v>21.602248067252539</v>
      </c>
      <c r="O96" s="72">
        <f t="shared" ca="1" si="6"/>
        <v>172.04037303104545</v>
      </c>
      <c r="P96" s="72">
        <f ca="1">IF(AND(Energy!$F$11=$A$3,Main!$B$43=A96),'Aerodynamics-Cruise'!H33,P96)</f>
        <v>8.2697790617037654</v>
      </c>
      <c r="Q96" s="72">
        <f ca="1">IF(AND(Energy!$F$11=$A$3,Main!$B$43=A96),'Aerodynamics-Cruise'!I33,Q96)</f>
        <v>7.014377033601459</v>
      </c>
      <c r="R96" s="72">
        <f ca="1">IF(AND(Energy!$F$11=$A$3,Main!$B$43=$A96),Summary!R33,R96)</f>
        <v>4.370524555886548</v>
      </c>
      <c r="S96" s="72">
        <f ca="1">IF(AND(Energy!$F$11=$A$3,Main!$B$43=A96),'Aerodynamics-Cruise'!W33,S96)</f>
        <v>1</v>
      </c>
      <c r="T96" s="72">
        <f ca="1">IF(AND(Energy!$F$11=$A$3,Main!$B$43=A96),'Aerodynamics-Cruise'!BL33,T96)</f>
        <v>24.280510367442808</v>
      </c>
      <c r="U96" s="72">
        <f ca="1">IF(AND(Energy!$F$11=$A$3,Main!$B$43=A96),'Propulsion-Cruise'!M33,U96)</f>
        <v>53.542034517194828</v>
      </c>
      <c r="V96" s="72">
        <f ca="1">IF(AND(Energy!$F$11=$A$3,Main!$B$43=A96),Endurance!AP33,V96)</f>
        <v>519.50711674444483</v>
      </c>
      <c r="W96" s="72">
        <f ca="1">IF(AND(Energy!$F$11=$A$3,Main!$B$43=$A96),Summary!W33,W96)</f>
        <v>1.7029239766081872</v>
      </c>
      <c r="X96" s="13">
        <f ca="1">IF(AND(Energy!$F$11=$A$3,Main!$B$43=A96),Energy!D33,X96)</f>
        <v>1182.0301388888888</v>
      </c>
      <c r="Y96" s="126">
        <f ca="1">IF(AND(Energy!$F$11=$A$3,Main!$B$43=A96),'Aerodynamics-Cruise'!V33,Y96)</f>
        <v>151520.02134153142</v>
      </c>
      <c r="Z96" s="126">
        <f ca="1">IF(AND(Energy!$F$11=$A$3,Main!$B$43=$A96),Summary!Z33,Z96)</f>
        <v>113847.99909092332</v>
      </c>
      <c r="AA96" s="126">
        <f ca="1">IF(AND(Energy!$F$11=$A$3,Main!$B$43=$A96),Summary!AA33,AA96)</f>
        <v>113847.99909092332</v>
      </c>
      <c r="AB96" s="72">
        <f ca="1">IF(AND(Energy!$F$11=$A$3,Main!$B$43=$A96),Summary!AB33,AB96)</f>
        <v>4.370524555886548</v>
      </c>
      <c r="AC96" s="72">
        <f ca="1">IF(AND(Energy!$F$11=$A$3,Main!$B$43=$A96),Summary!AC33,AC96)</f>
        <v>2.1145079440219399</v>
      </c>
      <c r="AD96" s="72">
        <f ca="1">IF(AND(Energy!$F$11=$A$3,Main!$B$43=$A96),Summary!AD33,AD96)</f>
        <v>0.41423175728023803</v>
      </c>
      <c r="AE96" s="72">
        <f ca="1">IF(AND(Energy!$F$11=$A$3,Main!$B$43=$A96),Summary!AE33,AE96)</f>
        <v>1.7029239766081872</v>
      </c>
      <c r="AF96" s="72">
        <f ca="1">IF(AND(Energy!$F$11=$A$3,Main!$B$43=$A96),Summary!AF33,AF96)</f>
        <v>20.404858299595148</v>
      </c>
      <c r="AG96" s="72">
        <f ca="1">IF(AND(Energy!$F$11=$A$3,Main!$B$43=$A96),Summary!AG33,AG96)</f>
        <v>11.243757281569803</v>
      </c>
      <c r="AH96" s="72">
        <f ca="1">IF(AND(Energy!$F$11=$A$3,Main!$B$43=$A96),Summary!AH33,AH96)</f>
        <v>47</v>
      </c>
      <c r="AI96" s="72">
        <f ca="1">IF(AND(Energy!$F$11=$A$3,Main!$B$43=$A96),Summary!AI33,AI96)</f>
        <v>2.7243673878499695</v>
      </c>
      <c r="AJ96" s="72">
        <f ca="1">IF(AND(Energy!$F$11=$A$3,Main!$B$43=$A96),Summary!AJ33,AJ96)</f>
        <v>0.23206530937077996</v>
      </c>
      <c r="AK96" s="72">
        <f ca="1">IF(AND(Energy!$F$11=$A$3,Main!$B$43=$A96),Summary!AK33,AK96)</f>
        <v>0.01</v>
      </c>
      <c r="AL96" s="72">
        <f ca="1">IF(AND(Energy!$F$11=$A$3,Main!$B$43=$A96),Summary!AL33,AL96)</f>
        <v>-0.53863190090368163</v>
      </c>
      <c r="AM96" s="72">
        <f ca="1">IF(AND(Energy!$F$11=$A$3,Main!$B$43=$A96),Summary!AJ113,AM96)</f>
        <v>0</v>
      </c>
    </row>
    <row r="97" spans="1:39">
      <c r="A97">
        <f t="shared" si="7"/>
        <v>5</v>
      </c>
      <c r="D97" s="1">
        <f ca="1">IF(AND(Energy!$F$11=$A$3,Main!$B$43=A97),Main!C34,D97)</f>
        <v>6.052631578947369</v>
      </c>
      <c r="E97" s="72">
        <f ca="1">IF(AND(Energy!$F$11=$A$3,Main!$B$43=A97),Main!B34,E97)</f>
        <v>0.28888888888888886</v>
      </c>
      <c r="F97" s="72">
        <f ca="1">IF(Main!$D$6=1,U97,IF(Main!$D$6=2,N97,IF(Main!$D$6=3,K97,IF(Main!$D$6=4,V97,J97))))</f>
        <v>520.64155840348053</v>
      </c>
      <c r="G97" s="72">
        <f ca="1">IF(AND(Energy!$F$11=$A$3,Main!$B$43=A97),Weight!H34,G97)</f>
        <v>15</v>
      </c>
      <c r="H97" s="72">
        <f ca="1">IF(AND(Energy!$F$11=$A$3,Main!$B$43=A97),Weight!U34,H97)</f>
        <v>20.610532870820279</v>
      </c>
      <c r="I97" s="72">
        <f ca="1">IF(AND(Energy!$F$11=$A$3,Main!$B$43=A97),Weight!V34,I97)</f>
        <v>49.038573573945285</v>
      </c>
      <c r="J97" s="72">
        <f ca="1">IF(AND(Energy!$F$11=$A$3,Main!$B$43=A97),Weight!I34,J97)</f>
        <v>23.490392428125002</v>
      </c>
      <c r="K97" s="72">
        <f ca="1">IF(AND(Energy!$F$11=$A$3,Main!$B$43=A97),Weight!W34,K97)</f>
        <v>64.038573573945285</v>
      </c>
      <c r="L97" s="72">
        <f ca="1">IF(AND(Energy!$F$11=$A$3,Main!$B$43=A97),'Aerodynamics-Cruise'!BI34,L97)</f>
        <v>64.038573573945285</v>
      </c>
      <c r="M97" s="72">
        <f ca="1">IF(AND(Energy!$F$11=$A$3,Main!$B$43=A97),'Aerodynamics-Cruise'!BJ34,M97)</f>
        <v>2.9512142161887138</v>
      </c>
      <c r="N97" s="72">
        <f ca="1">IF(AND(Energy!$F$11=$A$3,Main!$B$43=A97),'Aerodynamics-Cruise'!BK34,N97)</f>
        <v>21.699059737061923</v>
      </c>
      <c r="O97" s="72">
        <f t="shared" ca="1" si="6"/>
        <v>173.64478315926095</v>
      </c>
      <c r="P97" s="72">
        <f ca="1">IF(AND(Energy!$F$11=$A$3,Main!$B$43=A97),'Aerodynamics-Cruise'!H34,P97)</f>
        <v>8.2005316382733398</v>
      </c>
      <c r="Q97" s="72">
        <f ca="1">IF(AND(Energy!$F$11=$A$3,Main!$B$43=A97),'Aerodynamics-Cruise'!I34,Q97)</f>
        <v>6.9580389917385235</v>
      </c>
      <c r="R97" s="72">
        <f ca="1">IF(AND(Energy!$F$11=$A$3,Main!$B$43=$A97),Summary!R34,R97)</f>
        <v>4.3415088729141749</v>
      </c>
      <c r="S97" s="72">
        <f ca="1">IF(AND(Energy!$F$11=$A$3,Main!$B$43=A97),'Aerodynamics-Cruise'!W34,S97)</f>
        <v>1</v>
      </c>
      <c r="T97" s="72">
        <f ca="1">IF(AND(Energy!$F$11=$A$3,Main!$B$43=A97),'Aerodynamics-Cruise'!BL34,T97)</f>
        <v>24.201525551177603</v>
      </c>
      <c r="U97" s="72">
        <f ca="1">IF(AND(Energy!$F$11=$A$3,Main!$B$43=A97),'Propulsion-Cruise'!M34,U97)</f>
        <v>53.524931045997462</v>
      </c>
      <c r="V97" s="72">
        <f ca="1">IF(AND(Energy!$F$11=$A$3,Main!$B$43=A97),Endurance!AP34,V97)</f>
        <v>520.64155840348053</v>
      </c>
      <c r="W97" s="72">
        <f ca="1">IF(AND(Energy!$F$11=$A$3,Main!$B$43=$A97),Summary!W34,W97)</f>
        <v>1.7485380116959064</v>
      </c>
      <c r="X97" s="13">
        <f ca="1">IF(AND(Energy!$F$11=$A$3,Main!$B$43=A97),Energy!D34,X97)</f>
        <v>1182.0301388888888</v>
      </c>
      <c r="Y97" s="126">
        <f ca="1">IF(AND(Energy!$F$11=$A$3,Main!$B$43=A97),'Aerodynamics-Cruise'!V34,Y97)</f>
        <v>150251.26059257591</v>
      </c>
      <c r="Z97" s="126">
        <f ca="1">IF(AND(Energy!$F$11=$A$3,Main!$B$43=$A97),Summary!Z34,Z97)</f>
        <v>112932.07699427541</v>
      </c>
      <c r="AA97" s="126">
        <f ca="1">IF(AND(Energy!$F$11=$A$3,Main!$B$43=$A97),Summary!AA34,AA97)</f>
        <v>112932.07699427541</v>
      </c>
      <c r="AB97" s="72">
        <f ca="1">IF(AND(Energy!$F$11=$A$3,Main!$B$43=$A97),Summary!AB34,AB97)</f>
        <v>4.3415088729141749</v>
      </c>
      <c r="AC97" s="72">
        <f ca="1">IF(AND(Energy!$F$11=$A$3,Main!$B$43=$A97),Summary!AC34,AC97)</f>
        <v>2.0787042626008159</v>
      </c>
      <c r="AD97" s="72">
        <f ca="1">IF(AND(Energy!$F$11=$A$3,Main!$B$43=$A97),Summary!AD34,AD97)</f>
        <v>0.4132300729071352</v>
      </c>
      <c r="AE97" s="72">
        <f ca="1">IF(AND(Energy!$F$11=$A$3,Main!$B$43=$A97),Summary!AE34,AE97)</f>
        <v>1.7485380116959064</v>
      </c>
      <c r="AF97" s="72">
        <f ca="1">IF(AND(Energy!$F$11=$A$3,Main!$B$43=$A97),Summary!AF34,AF97)</f>
        <v>20.951417004048587</v>
      </c>
      <c r="AG97" s="72">
        <f ca="1">IF(AND(Energy!$F$11=$A$3,Main!$B$43=$A97),Summary!AG34,AG97)</f>
        <v>11.252221929437454</v>
      </c>
      <c r="AH97" s="72">
        <f ca="1">IF(AND(Energy!$F$11=$A$3,Main!$B$43=$A97),Summary!AH34,AH97)</f>
        <v>47</v>
      </c>
      <c r="AI97" s="72">
        <f ca="1">IF(AND(Energy!$F$11=$A$3,Main!$B$43=$A97),Summary!AI34,AI97)</f>
        <v>2.7224904942849872</v>
      </c>
      <c r="AJ97" s="72">
        <f ca="1">IF(AND(Energy!$F$11=$A$3,Main!$B$43=$A97),Summary!AJ34,AJ97)</f>
        <v>0.2325963300139629</v>
      </c>
      <c r="AK97" s="72">
        <f ca="1">IF(AND(Energy!$F$11=$A$3,Main!$B$43=$A97),Summary!AK34,AK97)</f>
        <v>0.01</v>
      </c>
      <c r="AL97" s="72">
        <f ca="1">IF(AND(Energy!$F$11=$A$3,Main!$B$43=$A97),Summary!AL34,AL97)</f>
        <v>-0.53740206968063353</v>
      </c>
      <c r="AM97" s="72">
        <f ca="1">IF(AND(Energy!$F$11=$A$3,Main!$B$43=$A97),Summary!AJ114,AM97)</f>
        <v>0</v>
      </c>
    </row>
    <row r="98" spans="1:39">
      <c r="A98">
        <f t="shared" si="7"/>
        <v>5</v>
      </c>
      <c r="D98" s="1">
        <f ca="1">IF(AND(Energy!$F$11=$A$3,Main!$B$43=A98),Main!C35,D98)</f>
        <v>6.2105263157894743</v>
      </c>
      <c r="E98" s="72">
        <f ca="1">IF(AND(Energy!$F$11=$A$3,Main!$B$43=A98),Main!B35,E98)</f>
        <v>0.28888888888888886</v>
      </c>
      <c r="F98" s="72">
        <f ca="1">IF(Main!$D$6=1,U98,IF(Main!$D$6=2,N98,IF(Main!$D$6=3,K98,IF(Main!$D$6=4,V98,J98))))</f>
        <v>522.10495011366925</v>
      </c>
      <c r="G98" s="72">
        <f ca="1">IF(AND(Energy!$F$11=$A$3,Main!$B$43=A98),Weight!H35,G98)</f>
        <v>15</v>
      </c>
      <c r="H98" s="72">
        <f ca="1">IF(AND(Energy!$F$11=$A$3,Main!$B$43=A98),Weight!U35,H98)</f>
        <v>21.234970326781706</v>
      </c>
      <c r="I98" s="72">
        <f ca="1">IF(AND(Energy!$F$11=$A$3,Main!$B$43=A98),Weight!V35,I98)</f>
        <v>49.663011029906713</v>
      </c>
      <c r="J98" s="72">
        <f ca="1">IF(AND(Energy!$F$11=$A$3,Main!$B$43=A98),Weight!I35,J98)</f>
        <v>23.490392428125002</v>
      </c>
      <c r="K98" s="72">
        <f ca="1">IF(AND(Energy!$F$11=$A$3,Main!$B$43=A98),Weight!W35,K98)</f>
        <v>64.663011029906713</v>
      </c>
      <c r="L98" s="72">
        <f ca="1">IF(AND(Energy!$F$11=$A$3,Main!$B$43=A98),'Aerodynamics-Cruise'!BI35,L98)</f>
        <v>64.663011029906698</v>
      </c>
      <c r="M98" s="72">
        <f ca="1">IF(AND(Energy!$F$11=$A$3,Main!$B$43=A98),'Aerodynamics-Cruise'!BJ35,M98)</f>
        <v>2.9675657514714948</v>
      </c>
      <c r="N98" s="72">
        <f ca="1">IF(AND(Energy!$F$11=$A$3,Main!$B$43=A98),'Aerodynamics-Cruise'!BK35,N98)</f>
        <v>21.789916869691243</v>
      </c>
      <c r="O98" s="72">
        <f t="shared" ca="1" si="6"/>
        <v>175.21994319544851</v>
      </c>
      <c r="P98" s="72">
        <f ca="1">IF(AND(Energy!$F$11=$A$3,Main!$B$43=A98),'Aerodynamics-Cruise'!H35,P98)</f>
        <v>8.1349666835211973</v>
      </c>
      <c r="Q98" s="72">
        <f ca="1">IF(AND(Energy!$F$11=$A$3,Main!$B$43=A98),'Aerodynamics-Cruise'!I35,Q98)</f>
        <v>6.9046782899930319</v>
      </c>
      <c r="R98" s="72">
        <f ca="1">IF(AND(Energy!$F$11=$A$3,Main!$B$43=$A98),Summary!R35,R98)</f>
        <v>4.31635882211605</v>
      </c>
      <c r="S98" s="72">
        <f ca="1">IF(AND(Energy!$F$11=$A$3,Main!$B$43=A98),'Aerodynamics-Cruise'!W35,S98)</f>
        <v>1</v>
      </c>
      <c r="T98" s="72">
        <f ca="1">IF(AND(Energy!$F$11=$A$3,Main!$B$43=A98),'Aerodynamics-Cruise'!BL35,T98)</f>
        <v>24.141048519379154</v>
      </c>
      <c r="U98" s="72">
        <f ca="1">IF(AND(Energy!$F$11=$A$3,Main!$B$43=A98),'Propulsion-Cruise'!M35,U98)</f>
        <v>53.543926981958208</v>
      </c>
      <c r="V98" s="72">
        <f ca="1">IF(AND(Energy!$F$11=$A$3,Main!$B$43=A98),Endurance!AP35,V98)</f>
        <v>522.10495011366925</v>
      </c>
      <c r="W98" s="72">
        <f ca="1">IF(AND(Energy!$F$11=$A$3,Main!$B$43=$A98),Summary!W35,W98)</f>
        <v>1.7941520467836258</v>
      </c>
      <c r="X98" s="13">
        <f ca="1">IF(AND(Energy!$F$11=$A$3,Main!$B$43=A98),Energy!D35,X98)</f>
        <v>1182.0301388888888</v>
      </c>
      <c r="Y98" s="126">
        <f ca="1">IF(AND(Energy!$F$11=$A$3,Main!$B$43=A98),'Aerodynamics-Cruise'!V35,Y98)</f>
        <v>149049.97053764493</v>
      </c>
      <c r="Z98" s="126">
        <f ca="1">IF(AND(Energy!$F$11=$A$3,Main!$B$43=$A98),Summary!Z35,Z98)</f>
        <v>112064.57117653411</v>
      </c>
      <c r="AA98" s="126">
        <f ca="1">IF(AND(Energy!$F$11=$A$3,Main!$B$43=$A98),Summary!AA35,AA98)</f>
        <v>112064.57117653411</v>
      </c>
      <c r="AB98" s="72">
        <f ca="1">IF(AND(Energy!$F$11=$A$3,Main!$B$43=$A98),Summary!AB35,AB98)</f>
        <v>4.31635882211605</v>
      </c>
      <c r="AC98" s="72">
        <f ca="1">IF(AND(Energy!$F$11=$A$3,Main!$B$43=$A98),Summary!AC35,AC98)</f>
        <v>2.043812046780797</v>
      </c>
      <c r="AD98" s="72">
        <f ca="1">IF(AND(Energy!$F$11=$A$3,Main!$B$43=$A98),Summary!AD35,AD98)</f>
        <v>0.41236643723623545</v>
      </c>
      <c r="AE98" s="72">
        <f ca="1">IF(AND(Energy!$F$11=$A$3,Main!$B$43=$A98),Summary!AE35,AE98)</f>
        <v>1.7941520467836258</v>
      </c>
      <c r="AF98" s="72">
        <f ca="1">IF(AND(Energy!$F$11=$A$3,Main!$B$43=$A98),Summary!AF35,AF98)</f>
        <v>21.497975708502029</v>
      </c>
      <c r="AG98" s="72">
        <f ca="1">IF(AND(Energy!$F$11=$A$3,Main!$B$43=$A98),Summary!AG35,AG98)</f>
        <v>11.264882418199697</v>
      </c>
      <c r="AH98" s="72">
        <f ca="1">IF(AND(Energy!$F$11=$A$3,Main!$B$43=$A98),Summary!AH35,AH98)</f>
        <v>47</v>
      </c>
      <c r="AI98" s="72">
        <f ca="1">IF(AND(Energy!$F$11=$A$3,Main!$B$43=$A98),Summary!AI35,AI98)</f>
        <v>2.7207004726740718</v>
      </c>
      <c r="AJ98" s="72">
        <f ca="1">IF(AND(Energy!$F$11=$A$3,Main!$B$43=$A98),Summary!AJ35,AJ98)</f>
        <v>0.23310176247419659</v>
      </c>
      <c r="AK98" s="72">
        <f ca="1">IF(AND(Energy!$F$11=$A$3,Main!$B$43=$A98),Summary!AK35,AK98)</f>
        <v>0.01</v>
      </c>
      <c r="AL98" s="72">
        <f ca="1">IF(AND(Energy!$F$11=$A$3,Main!$B$43=$A98),Summary!AL35,AL98)</f>
        <v>-0.53623669875877555</v>
      </c>
      <c r="AM98" s="72">
        <f ca="1">IF(AND(Energy!$F$11=$A$3,Main!$B$43=$A98),Summary!AJ115,AM98)</f>
        <v>0</v>
      </c>
    </row>
    <row r="99" spans="1:39">
      <c r="A99">
        <f t="shared" si="7"/>
        <v>5</v>
      </c>
      <c r="D99" s="1">
        <f ca="1">IF(AND(Energy!$F$11=$A$3,Main!$B$43=A99),Main!C36,D99)</f>
        <v>6.3684210526315796</v>
      </c>
      <c r="E99" s="72">
        <f ca="1">IF(AND(Energy!$F$11=$A$3,Main!$B$43=A99),Main!B36,E99)</f>
        <v>0.28888888888888886</v>
      </c>
      <c r="F99" s="72">
        <f ca="1">IF(Main!$D$6=1,U99,IF(Main!$D$6=2,N99,IF(Main!$D$6=3,K99,IF(Main!$D$6=4,V99,J99))))</f>
        <v>523.87736009088337</v>
      </c>
      <c r="G99" s="72">
        <f ca="1">IF(AND(Energy!$F$11=$A$3,Main!$B$43=A99),Weight!H36,G99)</f>
        <v>15</v>
      </c>
      <c r="H99" s="72">
        <f ca="1">IF(AND(Energy!$F$11=$A$3,Main!$B$43=A99),Weight!U36,H99)</f>
        <v>21.870706104030432</v>
      </c>
      <c r="I99" s="72">
        <f ca="1">IF(AND(Energy!$F$11=$A$3,Main!$B$43=A99),Weight!V36,I99)</f>
        <v>50.298746807155439</v>
      </c>
      <c r="J99" s="72">
        <f ca="1">IF(AND(Energy!$F$11=$A$3,Main!$B$43=A99),Weight!I36,J99)</f>
        <v>23.490392428125002</v>
      </c>
      <c r="K99" s="72">
        <f ca="1">IF(AND(Energy!$F$11=$A$3,Main!$B$43=A99),Weight!W36,K99)</f>
        <v>65.298746807155439</v>
      </c>
      <c r="L99" s="72">
        <f ca="1">IF(AND(Energy!$F$11=$A$3,Main!$B$43=A99),'Aerodynamics-Cruise'!BI36,L99)</f>
        <v>65.298746807155425</v>
      </c>
      <c r="M99" s="72">
        <f ca="1">IF(AND(Energy!$F$11=$A$3,Main!$B$43=A99),'Aerodynamics-Cruise'!BJ36,M99)</f>
        <v>2.9850355349582678</v>
      </c>
      <c r="N99" s="72">
        <f ca="1">IF(AND(Energy!$F$11=$A$3,Main!$B$43=A99),'Aerodynamics-Cruise'!BK36,N99)</f>
        <v>21.875366655582656</v>
      </c>
      <c r="O99" s="72">
        <f t="shared" ca="1" si="6"/>
        <v>176.76967533484441</v>
      </c>
      <c r="P99" s="72">
        <f ca="1">IF(AND(Energy!$F$11=$A$3,Main!$B$43=A99),'Aerodynamics-Cruise'!H36,P99)</f>
        <v>8.0728590419133059</v>
      </c>
      <c r="Q99" s="72">
        <f ca="1">IF(AND(Energy!$F$11=$A$3,Main!$B$43=A99),'Aerodynamics-Cruise'!I36,Q99)</f>
        <v>6.854114537072217</v>
      </c>
      <c r="R99" s="72">
        <f ca="1">IF(AND(Energy!$F$11=$A$3,Main!$B$43=$A99),Summary!R36,R99)</f>
        <v>4.2948425183577124</v>
      </c>
      <c r="S99" s="72">
        <f ca="1">IF(AND(Energy!$F$11=$A$3,Main!$B$43=A99),'Aerodynamics-Cruise'!W36,S99)</f>
        <v>1</v>
      </c>
      <c r="T99" s="72">
        <f ca="1">IF(AND(Energy!$F$11=$A$3,Main!$B$43=A99),'Aerodynamics-Cruise'!BL36,T99)</f>
        <v>24.097771108820375</v>
      </c>
      <c r="U99" s="72">
        <f ca="1">IF(AND(Energy!$F$11=$A$3,Main!$B$43=A99),'Propulsion-Cruise'!M36,U99)</f>
        <v>53.596681793072442</v>
      </c>
      <c r="V99" s="72">
        <f ca="1">IF(AND(Energy!$F$11=$A$3,Main!$B$43=A99),Endurance!AP36,V99)</f>
        <v>523.87736009088337</v>
      </c>
      <c r="W99" s="72">
        <f ca="1">IF(AND(Energy!$F$11=$A$3,Main!$B$43=$A99),Summary!W36,W99)</f>
        <v>1.839766081871345</v>
      </c>
      <c r="X99" s="13">
        <f ca="1">IF(AND(Energy!$F$11=$A$3,Main!$B$43=A99),Energy!D36,X99)</f>
        <v>1182.0301388888888</v>
      </c>
      <c r="Y99" s="126">
        <f ca="1">IF(AND(Energy!$F$11=$A$3,Main!$B$43=A99),'Aerodynamics-Cruise'!V36,Y99)</f>
        <v>147912.02584629529</v>
      </c>
      <c r="Z99" s="126">
        <f ca="1">IF(AND(Energy!$F$11=$A$3,Main!$B$43=$A99),Summary!Z36,Z99)</f>
        <v>111242.54713621453</v>
      </c>
      <c r="AA99" s="126">
        <f ca="1">IF(AND(Energy!$F$11=$A$3,Main!$B$43=$A99),Summary!AA36,AA99)</f>
        <v>111242.54713621453</v>
      </c>
      <c r="AB99" s="72">
        <f ca="1">IF(AND(Energy!$F$11=$A$3,Main!$B$43=$A99),Summary!AB36,AB99)</f>
        <v>4.2948425183577124</v>
      </c>
      <c r="AC99" s="72">
        <f ca="1">IF(AND(Energy!$F$11=$A$3,Main!$B$43=$A99),Summary!AC36,AC99)</f>
        <v>2.0096602050995216</v>
      </c>
      <c r="AD99" s="72">
        <f ca="1">IF(AND(Energy!$F$11=$A$3,Main!$B$43=$A99),Summary!AD36,AD99)</f>
        <v>0.41163222752738382</v>
      </c>
      <c r="AE99" s="72">
        <f ca="1">IF(AND(Energy!$F$11=$A$3,Main!$B$43=$A99),Summary!AE36,AE99)</f>
        <v>1.839766081871345</v>
      </c>
      <c r="AF99" s="72">
        <f ca="1">IF(AND(Energy!$F$11=$A$3,Main!$B$43=$A99),Summary!AF36,AF99)</f>
        <v>22.044534412955471</v>
      </c>
      <c r="AG99" s="72">
        <f ca="1">IF(AND(Energy!$F$11=$A$3,Main!$B$43=$A99),Summary!AG36,AG99)</f>
        <v>11.281467470282662</v>
      </c>
      <c r="AH99" s="72">
        <f ca="1">IF(AND(Energy!$F$11=$A$3,Main!$B$43=$A99),Summary!AH36,AH99)</f>
        <v>47</v>
      </c>
      <c r="AI99" s="72">
        <f ca="1">IF(AND(Energy!$F$11=$A$3,Main!$B$43=$A99),Summary!AI36,AI99)</f>
        <v>2.7189930357096577</v>
      </c>
      <c r="AJ99" s="72">
        <f ca="1">IF(AND(Energy!$F$11=$A$3,Main!$B$43=$A99),Summary!AJ36,AJ99)</f>
        <v>0.23358313541940129</v>
      </c>
      <c r="AK99" s="72">
        <f ca="1">IF(AND(Energy!$F$11=$A$3,Main!$B$43=$A99),Summary!AK36,AK99)</f>
        <v>0.01</v>
      </c>
      <c r="AL99" s="72">
        <f ca="1">IF(AND(Energy!$F$11=$A$3,Main!$B$43=$A99),Summary!AL36,AL99)</f>
        <v>-0.5351314838202752</v>
      </c>
      <c r="AM99" s="72">
        <f ca="1">IF(AND(Energy!$F$11=$A$3,Main!$B$43=$A99),Summary!AJ116,AM99)</f>
        <v>0</v>
      </c>
    </row>
    <row r="100" spans="1:39">
      <c r="A100">
        <f t="shared" si="7"/>
        <v>5</v>
      </c>
      <c r="D100" s="1">
        <f ca="1">IF(AND(Energy!$F$11=$A$3,Main!$B$43=A100),Main!C37,D100)</f>
        <v>6.526315789473685</v>
      </c>
      <c r="E100" s="72">
        <f ca="1">IF(AND(Energy!$F$11=$A$3,Main!$B$43=A100),Main!B37,E100)</f>
        <v>0.28888888888888886</v>
      </c>
      <c r="F100" s="72">
        <f ca="1">IF(Main!$D$6=1,U100,IF(Main!$D$6=2,N100,IF(Main!$D$6=3,K100,IF(Main!$D$6=4,V100,J100))))</f>
        <v>525.94109485904573</v>
      </c>
      <c r="G100" s="72">
        <f ca="1">IF(AND(Energy!$F$11=$A$3,Main!$B$43=A100),Weight!H37,G100)</f>
        <v>15</v>
      </c>
      <c r="H100" s="72">
        <f ca="1">IF(AND(Energy!$F$11=$A$3,Main!$B$43=A100),Weight!U37,H100)</f>
        <v>22.517830938025668</v>
      </c>
      <c r="I100" s="72">
        <f ca="1">IF(AND(Energy!$F$11=$A$3,Main!$B$43=A100),Weight!V37,I100)</f>
        <v>50.945871641150674</v>
      </c>
      <c r="J100" s="72">
        <f ca="1">IF(AND(Energy!$F$11=$A$3,Main!$B$43=A100),Weight!I37,J100)</f>
        <v>23.490392428125002</v>
      </c>
      <c r="K100" s="72">
        <f ca="1">IF(AND(Energy!$F$11=$A$3,Main!$B$43=A100),Weight!W37,K100)</f>
        <v>65.945871641150674</v>
      </c>
      <c r="L100" s="72">
        <f ca="1">IF(AND(Energy!$F$11=$A$3,Main!$B$43=A100),'Aerodynamics-Cruise'!BI37,L100)</f>
        <v>65.94587164115066</v>
      </c>
      <c r="M100" s="72">
        <f ca="1">IF(AND(Energy!$F$11=$A$3,Main!$B$43=A100),'Aerodynamics-Cruise'!BJ37,M100)</f>
        <v>3.0035588757028799</v>
      </c>
      <c r="N100" s="72">
        <f ca="1">IF(AND(Energy!$F$11=$A$3,Main!$B$43=A100),'Aerodynamics-Cruise'!BK37,N100)</f>
        <v>21.955911094207632</v>
      </c>
      <c r="O100" s="72">
        <f t="shared" ref="O100:O131" ca="1" si="8">L100^(3/2)/M100</f>
        <v>178.29750666739855</v>
      </c>
      <c r="P100" s="72">
        <f ca="1">IF(AND(Energy!$F$11=$A$3,Main!$B$43=A100),'Aerodynamics-Cruise'!H37,P100)</f>
        <v>8.0140028280193611</v>
      </c>
      <c r="Q100" s="72">
        <f ca="1">IF(AND(Energy!$F$11=$A$3,Main!$B$43=A100),'Aerodynamics-Cruise'!I37,Q100)</f>
        <v>6.8061826757332042</v>
      </c>
      <c r="R100" s="72">
        <f ca="1">IF(AND(Energy!$F$11=$A$3,Main!$B$43=$A100),Summary!R37,R100)</f>
        <v>4.2767525537666105</v>
      </c>
      <c r="S100" s="72">
        <f ca="1">IF(AND(Energy!$F$11=$A$3,Main!$B$43=A100),'Aerodynamics-Cruise'!W37,S100)</f>
        <v>1</v>
      </c>
      <c r="T100" s="72">
        <f ca="1">IF(AND(Energy!$F$11=$A$3,Main!$B$43=A100),'Aerodynamics-Cruise'!BL37,T100)</f>
        <v>24.070529324005534</v>
      </c>
      <c r="U100" s="72">
        <f ca="1">IF(AND(Energy!$F$11=$A$3,Main!$B$43=A100),'Propulsion-Cruise'!M37,U100)</f>
        <v>53.681113412040517</v>
      </c>
      <c r="V100" s="72">
        <f ca="1">IF(AND(Energy!$F$11=$A$3,Main!$B$43=A100),Endurance!AP37,V100)</f>
        <v>525.94109485904573</v>
      </c>
      <c r="W100" s="72">
        <f ca="1">IF(AND(Energy!$F$11=$A$3,Main!$B$43=$A100),Summary!W37,W100)</f>
        <v>1.8853801169590643</v>
      </c>
      <c r="X100" s="13">
        <f ca="1">IF(AND(Energy!$F$11=$A$3,Main!$B$43=A100),Energy!D37,X100)</f>
        <v>1182.0301388888888</v>
      </c>
      <c r="Y100" s="126">
        <f ca="1">IF(AND(Energy!$F$11=$A$3,Main!$B$43=A100),'Aerodynamics-Cruise'!V37,Y100)</f>
        <v>146833.65425755605</v>
      </c>
      <c r="Z100" s="126">
        <f ca="1">IF(AND(Energy!$F$11=$A$3,Main!$B$43=$A100),Summary!Z37,Z100)</f>
        <v>110463.31988438235</v>
      </c>
      <c r="AA100" s="126">
        <f ca="1">IF(AND(Energy!$F$11=$A$3,Main!$B$43=$A100),Summary!AA37,AA100)</f>
        <v>110463.31988438235</v>
      </c>
      <c r="AB100" s="72">
        <f ca="1">IF(AND(Energy!$F$11=$A$3,Main!$B$43=$A100),Summary!AB37,AB100)</f>
        <v>4.2767525537666105</v>
      </c>
      <c r="AC100" s="72">
        <f ca="1">IF(AND(Energy!$F$11=$A$3,Main!$B$43=$A100),Summary!AC37,AC100)</f>
        <v>1.9763534128179365</v>
      </c>
      <c r="AD100" s="72">
        <f ca="1">IF(AND(Energy!$F$11=$A$3,Main!$B$43=$A100),Summary!AD37,AD100)</f>
        <v>0.41101959756965323</v>
      </c>
      <c r="AE100" s="72">
        <f ca="1">IF(AND(Energy!$F$11=$A$3,Main!$B$43=$A100),Summary!AE37,AE100)</f>
        <v>1.8853801169590643</v>
      </c>
      <c r="AF100" s="72">
        <f ca="1">IF(AND(Energy!$F$11=$A$3,Main!$B$43=$A100),Summary!AF37,AF100)</f>
        <v>22.591093117408914</v>
      </c>
      <c r="AG100" s="72">
        <f ca="1">IF(AND(Energy!$F$11=$A$3,Main!$B$43=$A100),Summary!AG37,AG100)</f>
        <v>11.301733625945159</v>
      </c>
      <c r="AH100" s="72">
        <f ca="1">IF(AND(Energy!$F$11=$A$3,Main!$B$43=$A100),Summary!AH37,AH100)</f>
        <v>47</v>
      </c>
      <c r="AI100" s="72">
        <f ca="1">IF(AND(Energy!$F$11=$A$3,Main!$B$43=$A100),Summary!AI37,AI100)</f>
        <v>2.717364213173874</v>
      </c>
      <c r="AJ100" s="72">
        <f ca="1">IF(AND(Energy!$F$11=$A$3,Main!$B$43=$A100),Summary!AJ37,AJ100)</f>
        <v>0.23404176946664021</v>
      </c>
      <c r="AK100" s="72">
        <f ca="1">IF(AND(Energy!$F$11=$A$3,Main!$B$43=$A100),Summary!AK37,AK100)</f>
        <v>0.01</v>
      </c>
      <c r="AL100" s="72">
        <f ca="1">IF(AND(Energy!$F$11=$A$3,Main!$B$43=$A100),Summary!AL37,AL100)</f>
        <v>-0.53408269981151679</v>
      </c>
      <c r="AM100" s="72">
        <f ca="1">IF(AND(Energy!$F$11=$A$3,Main!$B$43=$A100),Summary!AJ117,AM100)</f>
        <v>0</v>
      </c>
    </row>
    <row r="101" spans="1:39">
      <c r="A101">
        <f t="shared" si="7"/>
        <v>5</v>
      </c>
      <c r="D101" s="1">
        <f ca="1">IF(AND(Energy!$F$11=$A$3,Main!$B$43=A101),Main!C38,D101)</f>
        <v>6.6842105263157903</v>
      </c>
      <c r="E101" s="72">
        <f ca="1">IF(AND(Energy!$F$11=$A$3,Main!$B$43=A101),Main!B38,E101)</f>
        <v>0.28888888888888886</v>
      </c>
      <c r="F101" s="72">
        <f ca="1">IF(Main!$D$6=1,U101,IF(Main!$D$6=2,N101,IF(Main!$D$6=3,K101,IF(Main!$D$6=4,V101,J101))))</f>
        <v>528.28041479968192</v>
      </c>
      <c r="G101" s="72">
        <f ca="1">IF(AND(Energy!$F$11=$A$3,Main!$B$43=A101),Weight!H38,G101)</f>
        <v>15</v>
      </c>
      <c r="H101" s="72">
        <f ca="1">IF(AND(Energy!$F$11=$A$3,Main!$B$43=A101),Weight!U38,H101)</f>
        <v>23.176438860361117</v>
      </c>
      <c r="I101" s="72">
        <f ca="1">IF(AND(Energy!$F$11=$A$3,Main!$B$43=A101),Weight!V38,I101)</f>
        <v>51.604479563486123</v>
      </c>
      <c r="J101" s="72">
        <f ca="1">IF(AND(Energy!$F$11=$A$3,Main!$B$43=A101),Weight!I38,J101)</f>
        <v>23.490392428125002</v>
      </c>
      <c r="K101" s="72">
        <f ca="1">IF(AND(Energy!$F$11=$A$3,Main!$B$43=A101),Weight!W38,K101)</f>
        <v>66.604479563486123</v>
      </c>
      <c r="L101" s="72">
        <f ca="1">IF(AND(Energy!$F$11=$A$3,Main!$B$43=A101),'Aerodynamics-Cruise'!BI38,L101)</f>
        <v>66.604479563486123</v>
      </c>
      <c r="M101" s="72">
        <f ca="1">IF(AND(Energy!$F$11=$A$3,Main!$B$43=A101),'Aerodynamics-Cruise'!BJ38,M101)</f>
        <v>3.0230776512699493</v>
      </c>
      <c r="N101" s="72">
        <f ca="1">IF(AND(Energy!$F$11=$A$3,Main!$B$43=A101),'Aerodynamics-Cruise'!BK38,N101)</f>
        <v>22.03201083356446</v>
      </c>
      <c r="O101" s="72">
        <f t="shared" ca="1" si="8"/>
        <v>179.80669401871623</v>
      </c>
      <c r="P101" s="72">
        <f ca="1">IF(AND(Energy!$F$11=$A$3,Main!$B$43=A101),'Aerodynamics-Cruise'!H38,P101)</f>
        <v>7.9582093570218131</v>
      </c>
      <c r="Q101" s="72">
        <f ca="1">IF(AND(Energy!$F$11=$A$3,Main!$B$43=A101),'Aerodynamics-Cruise'!I38,Q101)</f>
        <v>6.7607313445408179</v>
      </c>
      <c r="R101" s="72">
        <f ca="1">IF(AND(Energy!$F$11=$A$3,Main!$B$43=$A101),Summary!R38,R101)</f>
        <v>4.2619031008578485</v>
      </c>
      <c r="S101" s="72">
        <f ca="1">IF(AND(Energy!$F$11=$A$3,Main!$B$43=A101),'Aerodynamics-Cruise'!W38,S101)</f>
        <v>1</v>
      </c>
      <c r="T101" s="72">
        <f ca="1">IF(AND(Energy!$F$11=$A$3,Main!$B$43=A101),'Aerodynamics-Cruise'!BL38,T101)</f>
        <v>24.058284851340037</v>
      </c>
      <c r="U101" s="72">
        <f ca="1">IF(AND(Energy!$F$11=$A$3,Main!$B$43=A101),'Propulsion-Cruise'!M38,U101)</f>
        <v>53.795365316671621</v>
      </c>
      <c r="V101" s="72">
        <f ca="1">IF(AND(Energy!$F$11=$A$3,Main!$B$43=A101),Endurance!AP38,V101)</f>
        <v>528.28041479968192</v>
      </c>
      <c r="W101" s="72">
        <f ca="1">IF(AND(Energy!$F$11=$A$3,Main!$B$43=$A101),Summary!W38,W101)</f>
        <v>1.9309941520467837</v>
      </c>
      <c r="X101" s="13">
        <f ca="1">IF(AND(Energy!$F$11=$A$3,Main!$B$43=A101),Energy!D38,X101)</f>
        <v>1182.0301388888888</v>
      </c>
      <c r="Y101" s="126">
        <f ca="1">IF(AND(Energy!$F$11=$A$3,Main!$B$43=A101),'Aerodynamics-Cruise'!V38,Y101)</f>
        <v>145811.39866243198</v>
      </c>
      <c r="Z101" s="126">
        <f ca="1">IF(AND(Energy!$F$11=$A$3,Main!$B$43=$A101),Summary!Z38,Z101)</f>
        <v>109724.42728204034</v>
      </c>
      <c r="AA101" s="126">
        <f ca="1">IF(AND(Energy!$F$11=$A$3,Main!$B$43=$A101),Summary!AA38,AA101)</f>
        <v>109724.42728204034</v>
      </c>
      <c r="AB101" s="72">
        <f ca="1">IF(AND(Energy!$F$11=$A$3,Main!$B$43=$A101),Summary!AB38,AB101)</f>
        <v>4.2619031008578485</v>
      </c>
      <c r="AC101" s="72">
        <f ca="1">IF(AND(Energy!$F$11=$A$3,Main!$B$43=$A101),Summary!AC38,AC101)</f>
        <v>1.9438152613071464</v>
      </c>
      <c r="AD101" s="72">
        <f ca="1">IF(AND(Energy!$F$11=$A$3,Main!$B$43=$A101),Summary!AD38,AD101)</f>
        <v>0.41052139164321744</v>
      </c>
      <c r="AE101" s="72">
        <f ca="1">IF(AND(Energy!$F$11=$A$3,Main!$B$43=$A101),Summary!AE38,AE101)</f>
        <v>1.9309941520467837</v>
      </c>
      <c r="AF101" s="72">
        <f ca="1">IF(AND(Energy!$F$11=$A$3,Main!$B$43=$A101),Summary!AF38,AF101)</f>
        <v>23.137651821862352</v>
      </c>
      <c r="AG101" s="72">
        <f ca="1">IF(AND(Energy!$F$11=$A$3,Main!$B$43=$A101),Summary!AG38,AG101)</f>
        <v>11.325461861296244</v>
      </c>
      <c r="AH101" s="72">
        <f ca="1">IF(AND(Energy!$F$11=$A$3,Main!$B$43=$A101),Summary!AH38,AH101)</f>
        <v>47</v>
      </c>
      <c r="AI101" s="72">
        <f ca="1">IF(AND(Energy!$F$11=$A$3,Main!$B$43=$A101),Summary!AI38,AI101)</f>
        <v>2.715810320693381</v>
      </c>
      <c r="AJ101" s="72">
        <f ca="1">IF(AND(Energy!$F$11=$A$3,Main!$B$43=$A101),Summary!AJ38,AJ101)</f>
        <v>0.23447890546433878</v>
      </c>
      <c r="AK101" s="72">
        <f ca="1">IF(AND(Energy!$F$11=$A$3,Main!$B$43=$A101),Summary!AK38,AK101)</f>
        <v>0.01</v>
      </c>
      <c r="AL101" s="72">
        <f ca="1">IF(AND(Energy!$F$11=$A$3,Main!$B$43=$A101),Summary!AL38,AL101)</f>
        <v>-0.53308688946745875</v>
      </c>
      <c r="AM101" s="72">
        <f ca="1">IF(AND(Energy!$F$11=$A$3,Main!$B$43=$A101),Summary!AJ118,AM101)</f>
        <v>0</v>
      </c>
    </row>
    <row r="102" spans="1:39">
      <c r="A102">
        <f t="shared" si="7"/>
        <v>5</v>
      </c>
      <c r="D102" s="1">
        <f ca="1">IF(AND(Energy!$F$11=$A$3,Main!$B$43=A102),Main!C39,D102)</f>
        <v>6.8421052631578956</v>
      </c>
      <c r="E102" s="72">
        <f ca="1">IF(AND(Energy!$F$11=$A$3,Main!$B$43=A102),Main!B39,E102)</f>
        <v>0.28888888888888886</v>
      </c>
      <c r="F102" s="72">
        <f ca="1">IF(Main!$D$6=1,U102,IF(Main!$D$6=2,N102,IF(Main!$D$6=3,K102,IF(Main!$D$6=4,V102,J102))))</f>
        <v>530.88129247797406</v>
      </c>
      <c r="G102" s="72">
        <f ca="1">IF(AND(Energy!$F$11=$A$3,Main!$B$43=A102),Weight!H39,G102)</f>
        <v>15</v>
      </c>
      <c r="H102" s="72">
        <f ca="1">IF(AND(Energy!$F$11=$A$3,Main!$B$43=A102),Weight!U39,H102)</f>
        <v>23.84662702695482</v>
      </c>
      <c r="I102" s="72">
        <f ca="1">IF(AND(Energy!$F$11=$A$3,Main!$B$43=A102),Weight!V39,I102)</f>
        <v>52.274667730079827</v>
      </c>
      <c r="J102" s="72">
        <f ca="1">IF(AND(Energy!$F$11=$A$3,Main!$B$43=A102),Weight!I39,J102)</f>
        <v>23.490392428125002</v>
      </c>
      <c r="K102" s="72">
        <f ca="1">IF(AND(Energy!$F$11=$A$3,Main!$B$43=A102),Weight!W39,K102)</f>
        <v>67.274667730079827</v>
      </c>
      <c r="L102" s="72">
        <f ca="1">IF(AND(Energy!$F$11=$A$3,Main!$B$43=A102),'Aerodynamics-Cruise'!BI39,L102)</f>
        <v>67.274667730079827</v>
      </c>
      <c r="M102" s="72">
        <f ca="1">IF(AND(Energy!$F$11=$A$3,Main!$B$43=A102),'Aerodynamics-Cruise'!BJ39,M102)</f>
        <v>3.0435395370049747</v>
      </c>
      <c r="N102" s="72">
        <f ca="1">IF(AND(Energy!$F$11=$A$3,Main!$B$43=A102),'Aerodynamics-Cruise'!BK39,N102)</f>
        <v>22.104088648140952</v>
      </c>
      <c r="O102" s="72">
        <f t="shared" ca="1" si="8"/>
        <v>181.30024641670332</v>
      </c>
      <c r="P102" s="72">
        <f ca="1">IF(AND(Energy!$F$11=$A$3,Main!$B$43=A102),'Aerodynamics-Cruise'!H39,P102)</f>
        <v>7.9053053400828635</v>
      </c>
      <c r="Q102" s="72">
        <f ca="1">IF(AND(Energy!$F$11=$A$3,Main!$B$43=A102),'Aerodynamics-Cruise'!I39,Q102)</f>
        <v>6.7176214483577947</v>
      </c>
      <c r="R102" s="72">
        <f ca="1">IF(AND(Energy!$F$11=$A$3,Main!$B$43=$A102),Summary!R39,R102)</f>
        <v>4.2501274228132759</v>
      </c>
      <c r="S102" s="72">
        <f ca="1">IF(AND(Energy!$F$11=$A$3,Main!$B$43=A102),'Aerodynamics-Cruise'!W39,S102)</f>
        <v>1</v>
      </c>
      <c r="T102" s="72">
        <f ca="1">IF(AND(Energy!$F$11=$A$3,Main!$B$43=A102),'Aerodynamics-Cruise'!BL39,T102)</f>
        <v>24.060109354638751</v>
      </c>
      <c r="U102" s="72">
        <f ca="1">IF(AND(Energy!$F$11=$A$3,Main!$B$43=A102),'Propulsion-Cruise'!M39,U102)</f>
        <v>53.937778565147795</v>
      </c>
      <c r="V102" s="72">
        <f ca="1">IF(AND(Energy!$F$11=$A$3,Main!$B$43=A102),Endurance!AP39,V102)</f>
        <v>530.88129247797406</v>
      </c>
      <c r="W102" s="72">
        <f ca="1">IF(AND(Energy!$F$11=$A$3,Main!$B$43=$A102),Summary!W39,W102)</f>
        <v>1.9766081871345029</v>
      </c>
      <c r="X102" s="13">
        <f ca="1">IF(AND(Energy!$F$11=$A$3,Main!$B$43=A102),Energy!D39,X102)</f>
        <v>1182.0301388888888</v>
      </c>
      <c r="Y102" s="126">
        <f ca="1">IF(AND(Energy!$F$11=$A$3,Main!$B$43=A102),'Aerodynamics-Cruise'!V39,Y102)</f>
        <v>144842.08403917152</v>
      </c>
      <c r="Z102" s="126">
        <f ca="1">IF(AND(Energy!$F$11=$A$3,Main!$B$43=$A102),Summary!Z39,Z102)</f>
        <v>109023.60677526185</v>
      </c>
      <c r="AA102" s="126">
        <f ca="1">IF(AND(Energy!$F$11=$A$3,Main!$B$43=$A102),Summary!AA39,AA102)</f>
        <v>109023.60677526185</v>
      </c>
      <c r="AB102" s="72">
        <f ca="1">IF(AND(Energy!$F$11=$A$3,Main!$B$43=$A102),Summary!AB39,AB102)</f>
        <v>4.2501274228132759</v>
      </c>
      <c r="AC102" s="72">
        <f ca="1">IF(AND(Energy!$F$11=$A$3,Main!$B$43=$A102),Summary!AC39,AC102)</f>
        <v>1.9120165840559302</v>
      </c>
      <c r="AD102" s="72">
        <f ca="1">IF(AND(Energy!$F$11=$A$3,Main!$B$43=$A102),Summary!AD39,AD102)</f>
        <v>0.41013106992463899</v>
      </c>
      <c r="AE102" s="72">
        <f ca="1">IF(AND(Energy!$F$11=$A$3,Main!$B$43=$A102),Summary!AE39,AE102)</f>
        <v>1.9766081871345029</v>
      </c>
      <c r="AF102" s="72">
        <f ca="1">IF(AND(Energy!$F$11=$A$3,Main!$B$43=$A102),Summary!AF39,AF102)</f>
        <v>23.684210526315795</v>
      </c>
      <c r="AG102" s="72">
        <f ca="1">IF(AND(Energy!$F$11=$A$3,Main!$B$43=$A102),Summary!AG39,AG102)</f>
        <v>11.352454694182258</v>
      </c>
      <c r="AH102" s="72">
        <f ca="1">IF(AND(Energy!$F$11=$A$3,Main!$B$43=$A102),Summary!AH39,AH102)</f>
        <v>47</v>
      </c>
      <c r="AI102" s="72">
        <f ca="1">IF(AND(Energy!$F$11=$A$3,Main!$B$43=$A102),Summary!AI39,AI102)</f>
        <v>2.7143279322623588</v>
      </c>
      <c r="AJ102" s="72">
        <f ca="1">IF(AND(Energy!$F$11=$A$3,Main!$B$43=$A102),Summary!AJ39,AJ102)</f>
        <v>0.2348956839244605</v>
      </c>
      <c r="AK102" s="72">
        <f ca="1">IF(AND(Energy!$F$11=$A$3,Main!$B$43=$A102),Summary!AK39,AK102)</f>
        <v>0.01</v>
      </c>
      <c r="AL102" s="72">
        <f ca="1">IF(AND(Energy!$F$11=$A$3,Main!$B$43=$A102),Summary!AL39,AL102)</f>
        <v>-0.53214089991308211</v>
      </c>
      <c r="AM102" s="72">
        <f ca="1">IF(AND(Energy!$F$11=$A$3,Main!$B$43=$A102),Summary!AJ119,AM102)</f>
        <v>0</v>
      </c>
    </row>
    <row r="103" spans="1:39">
      <c r="A103">
        <f t="shared" si="7"/>
        <v>5</v>
      </c>
      <c r="D103" s="1">
        <f ca="1">IF(AND(Energy!$F$11=$A$3,Main!$B$43=A103),Main!C40,D103)</f>
        <v>7</v>
      </c>
      <c r="E103" s="72">
        <f ca="1">IF(AND(Energy!$F$11=$A$3,Main!$B$43=A103),Main!B40,E103)</f>
        <v>0.28888888888888886</v>
      </c>
      <c r="F103" s="72">
        <f ca="1">IF(Main!$D$6=1,U103,IF(Main!$D$6=2,N103,IF(Main!$D$6=3,K103,IF(Main!$D$6=4,V103,J103))))</f>
        <v>533.73120567470505</v>
      </c>
      <c r="G103" s="72">
        <f ca="1">IF(AND(Energy!$F$11=$A$3,Main!$B$43=A103),Weight!H40,G103)</f>
        <v>15</v>
      </c>
      <c r="H103" s="72">
        <f ca="1">IF(AND(Energy!$F$11=$A$3,Main!$B$43=A103),Weight!U40,H103)</f>
        <v>24.528495560584048</v>
      </c>
      <c r="I103" s="72">
        <f ca="1">IF(AND(Energy!$F$11=$A$3,Main!$B$43=A103),Weight!V40,I103)</f>
        <v>52.956536263709054</v>
      </c>
      <c r="J103" s="72">
        <f ca="1">IF(AND(Energy!$F$11=$A$3,Main!$B$43=A103),Weight!I40,J103)</f>
        <v>23.490392428125002</v>
      </c>
      <c r="K103" s="72">
        <f ca="1">IF(AND(Energy!$F$11=$A$3,Main!$B$43=A103),Weight!W40,K103)</f>
        <v>67.956536263709054</v>
      </c>
      <c r="L103" s="72">
        <f ca="1">IF(AND(Energy!$F$11=$A$3,Main!$B$43=A103),'Aerodynamics-Cruise'!BI40,L103)</f>
        <v>67.95653626370904</v>
      </c>
      <c r="M103" s="72">
        <f ca="1">IF(AND(Energy!$F$11=$A$3,Main!$B$43=A103),'Aerodynamics-Cruise'!BJ40,M103)</f>
        <v>3.0648973395390668</v>
      </c>
      <c r="N103" s="72">
        <f ca="1">IF(AND(Energy!$F$11=$A$3,Main!$B$43=A103),'Aerodynamics-Cruise'!BK40,N103)</f>
        <v>22.172532628426993</v>
      </c>
      <c r="O103" s="72">
        <f t="shared" ca="1" si="8"/>
        <v>182.78094572591459</v>
      </c>
      <c r="P103" s="72">
        <f ca="1">IF(AND(Energy!$F$11=$A$3,Main!$B$43=A103),'Aerodynamics-Cruise'!H40,P103)</f>
        <v>7.8551313054338516</v>
      </c>
      <c r="Q103" s="72">
        <f ca="1">IF(AND(Energy!$F$11=$A$3,Main!$B$43=A103),'Aerodynamics-Cruise'!I40,Q103)</f>
        <v>6.6767249068472498</v>
      </c>
      <c r="R103" s="72">
        <f ca="1">IF(AND(Energy!$F$11=$A$3,Main!$B$43=$A103),Summary!R40,R103)</f>
        <v>4.2412757261388387</v>
      </c>
      <c r="S103" s="72">
        <f ca="1">IF(AND(Energy!$F$11=$A$3,Main!$B$43=A103),'Aerodynamics-Cruise'!W40,S103)</f>
        <v>1</v>
      </c>
      <c r="T103" s="72">
        <f ca="1">IF(AND(Energy!$F$11=$A$3,Main!$B$43=A103),'Aerodynamics-Cruise'!BL40,T103)</f>
        <v>24.075171039754249</v>
      </c>
      <c r="U103" s="72">
        <f ca="1">IF(AND(Energy!$F$11=$A$3,Main!$B$43=A103),'Propulsion-Cruise'!M40,U103)</f>
        <v>54.106867852715659</v>
      </c>
      <c r="V103" s="72">
        <f ca="1">IF(AND(Energy!$F$11=$A$3,Main!$B$43=A103),Endurance!AP40,V103)</f>
        <v>533.73120567470505</v>
      </c>
      <c r="W103" s="72">
        <f ca="1">IF(AND(Energy!$F$11=$A$3,Main!$B$43=$A103),Summary!W40,W103)</f>
        <v>2.0222222222222221</v>
      </c>
      <c r="X103" s="13">
        <f ca="1">IF(AND(Energy!$F$11=$A$3,Main!$B$43=A103),Energy!D40,X103)</f>
        <v>1182.0301388888888</v>
      </c>
      <c r="Y103" s="126">
        <f ca="1">IF(AND(Energy!$F$11=$A$3,Main!$B$43=A103),'Aerodynamics-Cruise'!V40,Y103)</f>
        <v>143922.78852425088</v>
      </c>
      <c r="Z103" s="126">
        <f ca="1">IF(AND(Energy!$F$11=$A$3,Main!$B$43=$A103),Summary!Z40,Z103)</f>
        <v>108358.77502793068</v>
      </c>
      <c r="AA103" s="126">
        <f ca="1">IF(AND(Energy!$F$11=$A$3,Main!$B$43=$A103),Summary!AA40,AA103)</f>
        <v>108358.77502793068</v>
      </c>
      <c r="AB103" s="72">
        <f ca="1">IF(AND(Energy!$F$11=$A$3,Main!$B$43=$A103),Summary!AB40,AB103)</f>
        <v>4.2412757261388387</v>
      </c>
      <c r="AC103" s="72">
        <f ca="1">IF(AND(Energy!$F$11=$A$3,Main!$B$43=$A103),Summary!AC40,AC103)</f>
        <v>1.8809297055133247</v>
      </c>
      <c r="AD103" s="72">
        <f ca="1">IF(AND(Energy!$F$11=$A$3,Main!$B$43=$A103),Summary!AD40,AD103)</f>
        <v>0.4098426433583211</v>
      </c>
      <c r="AE103" s="72">
        <f ca="1">IF(AND(Energy!$F$11=$A$3,Main!$B$43=$A103),Summary!AE40,AE103)</f>
        <v>2.0222222222222221</v>
      </c>
      <c r="AF103" s="72">
        <f ca="1">IF(AND(Energy!$F$11=$A$3,Main!$B$43=$A103),Summary!AF40,AF103)</f>
        <v>24.23076923076923</v>
      </c>
      <c r="AG103" s="72">
        <f ca="1">IF(AND(Energy!$F$11=$A$3,Main!$B$43=$A103),Summary!AG40,AG103)</f>
        <v>11.38253368536661</v>
      </c>
      <c r="AH103" s="72">
        <f ca="1">IF(AND(Energy!$F$11=$A$3,Main!$B$43=$A103),Summary!AH40,AH103)</f>
        <v>47</v>
      </c>
      <c r="AI103" s="72">
        <f ca="1">IF(AND(Energy!$F$11=$A$3,Main!$B$43=$A103),Summary!AI40,AI103)</f>
        <v>2.7129138559999144</v>
      </c>
      <c r="AJ103" s="72">
        <f ca="1">IF(AND(Energy!$F$11=$A$3,Main!$B$43=$A103),Summary!AJ40,AJ103)</f>
        <v>0.2352931551792006</v>
      </c>
      <c r="AK103" s="72">
        <f ca="1">IF(AND(Energy!$F$11=$A$3,Main!$B$43=$A103),Summary!AK40,AK103)</f>
        <v>0.01</v>
      </c>
      <c r="AL103" s="72">
        <f ca="1">IF(AND(Energy!$F$11=$A$3,Main!$B$43=$A103),Summary!AL40,AL103)</f>
        <v>-0.53124184948043385</v>
      </c>
      <c r="AM103" s="72">
        <f ca="1">IF(AND(Energy!$F$11=$A$3,Main!$B$43=$A103),Summary!AJ120,AM103)</f>
        <v>0</v>
      </c>
    </row>
    <row r="104" spans="1:39">
      <c r="A104" s="7">
        <f>A84+1</f>
        <v>6</v>
      </c>
      <c r="D104" s="1">
        <f ca="1">IF(AND(Energy!$F$11=$A$3,Main!$B$43=A104),Main!C21,D104)</f>
        <v>4</v>
      </c>
      <c r="E104" s="72">
        <f ca="1">IF(AND(Energy!$F$11=$A$3,Main!$B$43=A104),Main!B21,E104)</f>
        <v>0.31111111111111106</v>
      </c>
      <c r="F104" s="72">
        <f ca="1">IF(Main!$D$6=1,U104,IF(Main!$D$6=2,N104,IF(Main!$D$6=3,K104,IF(Main!$D$6=4,V104,J104))))</f>
        <v>550.36899323177613</v>
      </c>
      <c r="G104" s="72">
        <f ca="1">IF(AND(Energy!$F$11=$A$3,Main!$B$43=A104),Weight!H21,G104)</f>
        <v>15</v>
      </c>
      <c r="H104" s="72">
        <f ca="1">IF(AND(Energy!$F$11=$A$3,Main!$B$43=A104),Weight!U21,H104)</f>
        <v>14.269886765973283</v>
      </c>
      <c r="I104" s="72">
        <f ca="1">IF(AND(Energy!$F$11=$A$3,Main!$B$43=A104),Weight!V21,I104)</f>
        <v>42.697927469098289</v>
      </c>
      <c r="J104" s="72">
        <f ca="1">IF(AND(Energy!$F$11=$A$3,Main!$B$43=A104),Weight!I21,J104)</f>
        <v>23.490392428125002</v>
      </c>
      <c r="K104" s="72">
        <f ca="1">IF(AND(Energy!$F$11=$A$3,Main!$B$43=A104),Weight!W21,K104)</f>
        <v>57.697927469098289</v>
      </c>
      <c r="L104" s="72">
        <f ca="1">IF(AND(Energy!$F$11=$A$3,Main!$B$43=A104),'Aerodynamics-Cruise'!BI21,L104)</f>
        <v>57.697927469098282</v>
      </c>
      <c r="M104" s="72">
        <f ca="1">IF(AND(Energy!$F$11=$A$3,Main!$B$43=A104),'Aerodynamics-Cruise'!BJ21,M104)</f>
        <v>2.9780584980308134</v>
      </c>
      <c r="N104" s="72">
        <f ca="1">IF(AND(Energy!$F$11=$A$3,Main!$B$43=A104),'Aerodynamics-Cruise'!BK21,N104)</f>
        <v>19.374343219668109</v>
      </c>
      <c r="O104" s="72">
        <f t="shared" ca="1" si="8"/>
        <v>147.16586782518522</v>
      </c>
      <c r="P104" s="72">
        <f ca="1">IF(AND(Energy!$F$11=$A$3,Main!$B$43=A104),'Aerodynamics-Cruise'!H21,P104)</f>
        <v>9.234974921607229</v>
      </c>
      <c r="Q104" s="72">
        <f ca="1">IF(AND(Energy!$F$11=$A$3,Main!$B$43=A104),'Aerodynamics-Cruise'!I21,Q104)</f>
        <v>7.7677389668824501</v>
      </c>
      <c r="R104" s="72">
        <f ca="1">IF(AND(Energy!$F$11=$A$3,Main!$B$43=$A104),Summary!R21,R104)</f>
        <v>4.8958386736017871</v>
      </c>
      <c r="S104" s="72">
        <f ca="1">IF(AND(Energy!$F$11=$A$3,Main!$B$43=A104),'Aerodynamics-Cruise'!W21,S104)</f>
        <v>1</v>
      </c>
      <c r="T104" s="72">
        <f ca="1">IF(AND(Energy!$F$11=$A$3,Main!$B$43=A104),'Aerodynamics-Cruise'!BL21,T104)</f>
        <v>27.502295544393853</v>
      </c>
      <c r="U104" s="72">
        <f ca="1">IF(AND(Energy!$F$11=$A$3,Main!$B$43=A104),'Propulsion-Cruise'!M21,U104)</f>
        <v>58.501378387265007</v>
      </c>
      <c r="V104" s="72">
        <f ca="1">IF(AND(Energy!$F$11=$A$3,Main!$B$43=A104),Endurance!AP21,V104)</f>
        <v>550.36899323177613</v>
      </c>
      <c r="W104" s="72">
        <f ca="1">IF(AND(Energy!$F$11=$A$3,Main!$B$43=$A104),Summary!W21,W104)</f>
        <v>1.2444444444444442</v>
      </c>
      <c r="X104" s="13">
        <f ca="1">IF(AND(Energy!$F$11=$A$3,Main!$B$43=A104),Energy!D21,X104)</f>
        <v>1182.0301388888888</v>
      </c>
      <c r="Y104" s="126">
        <f ca="1">IF(AND(Energy!$F$11=$A$3,Main!$B$43=A104),'Aerodynamics-Cruise'!V21,Y104)</f>
        <v>182220.20029219406</v>
      </c>
      <c r="Z104" s="126">
        <f ca="1">IF(AND(Energy!$F$11=$A$3,Main!$B$43=$A104),Summary!Z21,Z104)</f>
        <v>135818.04398974369</v>
      </c>
      <c r="AA104" s="126">
        <f ca="1">IF(AND(Energy!$F$11=$A$3,Main!$B$43=$A104),Summary!AA21,AA104)</f>
        <v>135818.04398974369</v>
      </c>
      <c r="AB104" s="72">
        <f ca="1">IF(AND(Energy!$F$11=$A$3,Main!$B$43=$A104),Summary!AB21,AB104)</f>
        <v>4.8958386736017871</v>
      </c>
      <c r="AC104" s="72">
        <f ca="1">IF(AND(Energy!$F$11=$A$3,Main!$B$43=$A104),Summary!AC21,AC104)</f>
        <v>2.5207778696905994</v>
      </c>
      <c r="AD104" s="72">
        <f ca="1">IF(AND(Energy!$F$11=$A$3,Main!$B$43=$A104),Summary!AD21,AD104)</f>
        <v>0.4438038854467663</v>
      </c>
      <c r="AE104" s="72">
        <f ca="1">IF(AND(Energy!$F$11=$A$3,Main!$B$43=$A104),Summary!AE21,AE104)</f>
        <v>1.2444444444444442</v>
      </c>
      <c r="AF104" s="72">
        <f ca="1">IF(AND(Energy!$F$11=$A$3,Main!$B$43=$A104),Summary!AF21,AF104)</f>
        <v>12.857142857142859</v>
      </c>
      <c r="AG104" s="72">
        <f ca="1">IF(AND(Energy!$F$11=$A$3,Main!$B$43=$A104),Summary!AG21,AG104)</f>
        <v>11.744692151171508</v>
      </c>
      <c r="AH104" s="72">
        <f ca="1">IF(AND(Energy!$F$11=$A$3,Main!$B$43=$A104),Summary!AH21,AH104)</f>
        <v>47</v>
      </c>
      <c r="AI104" s="72">
        <f ca="1">IF(AND(Energy!$F$11=$A$3,Main!$B$43=$A104),Summary!AI21,AI104)</f>
        <v>2.7703731319901714</v>
      </c>
      <c r="AJ104" s="72">
        <f ca="1">IF(AND(Energy!$F$11=$A$3,Main!$B$43=$A104),Summary!AJ21,AJ104)</f>
        <v>0.22242770223435318</v>
      </c>
      <c r="AK104" s="72">
        <f ca="1">IF(AND(Energy!$F$11=$A$3,Main!$B$43=$A104),Summary!AK21,AK104)</f>
        <v>0.01</v>
      </c>
      <c r="AL104" s="72">
        <f ca="1">IF(AND(Energy!$F$11=$A$3,Main!$B$43=$A104),Summary!AL21,AL104)</f>
        <v>-0.56197731807197149</v>
      </c>
      <c r="AM104" s="72">
        <f ca="1">IF(AND(Energy!$F$11=$A$3,Main!$B$43=$A104),Summary!AJ121,AM104)</f>
        <v>0</v>
      </c>
    </row>
    <row r="105" spans="1:39">
      <c r="A105">
        <f t="shared" ref="A105:A123" si="9">A104</f>
        <v>6</v>
      </c>
      <c r="D105" s="1">
        <f ca="1">IF(AND(Energy!$F$11=$A$3,Main!$B$43=A105),Main!C22,D105)</f>
        <v>4.1578947368421053</v>
      </c>
      <c r="E105" s="72">
        <f ca="1">IF(AND(Energy!$F$11=$A$3,Main!$B$43=A105),Main!B22,E105)</f>
        <v>0.31111111111111106</v>
      </c>
      <c r="F105" s="72">
        <f ca="1">IF(Main!$D$6=1,U105,IF(Main!$D$6=2,N105,IF(Main!$D$6=3,K105,IF(Main!$D$6=4,V105,J105))))</f>
        <v>544.19342249852582</v>
      </c>
      <c r="G105" s="72">
        <f ca="1">IF(AND(Energy!$F$11=$A$3,Main!$B$43=A105),Weight!H22,G105)</f>
        <v>15</v>
      </c>
      <c r="H105" s="72">
        <f ca="1">IF(AND(Energy!$F$11=$A$3,Main!$B$43=A105),Weight!U22,H105)</f>
        <v>14.793999089752639</v>
      </c>
      <c r="I105" s="72">
        <f ca="1">IF(AND(Energy!$F$11=$A$3,Main!$B$43=A105),Weight!V22,I105)</f>
        <v>43.222039792877638</v>
      </c>
      <c r="J105" s="72">
        <f ca="1">IF(AND(Energy!$F$11=$A$3,Main!$B$43=A105),Weight!I22,J105)</f>
        <v>23.490392428125002</v>
      </c>
      <c r="K105" s="72">
        <f ca="1">IF(AND(Energy!$F$11=$A$3,Main!$B$43=A105),Weight!W22,K105)</f>
        <v>58.222039792877645</v>
      </c>
      <c r="L105" s="72">
        <f ca="1">IF(AND(Energy!$F$11=$A$3,Main!$B$43=A105),'Aerodynamics-Cruise'!BI22,L105)</f>
        <v>58.222039792877645</v>
      </c>
      <c r="M105" s="72">
        <f ca="1">IF(AND(Energy!$F$11=$A$3,Main!$B$43=A105),'Aerodynamics-Cruise'!BJ22,M105)</f>
        <v>2.9649322321883669</v>
      </c>
      <c r="N105" s="72">
        <f ca="1">IF(AND(Energy!$F$11=$A$3,Main!$B$43=A105),'Aerodynamics-Cruise'!BK22,N105)</f>
        <v>19.636887197892186</v>
      </c>
      <c r="O105" s="72">
        <f t="shared" ca="1" si="8"/>
        <v>149.83606316692698</v>
      </c>
      <c r="P105" s="72">
        <f ca="1">IF(AND(Energy!$F$11=$A$3,Main!$B$43=A105),'Aerodynamics-Cruise'!H22,P105)</f>
        <v>9.0988710395233294</v>
      </c>
      <c r="Q105" s="72">
        <f ca="1">IF(AND(Energy!$F$11=$A$3,Main!$B$43=A105),'Aerodynamics-Cruise'!I22,Q105)</f>
        <v>7.6579630115581816</v>
      </c>
      <c r="R105" s="72">
        <f ca="1">IF(AND(Energy!$F$11=$A$3,Main!$B$43=$A105),Summary!R22,R105)</f>
        <v>4.7972003813874649</v>
      </c>
      <c r="S105" s="72">
        <f ca="1">IF(AND(Energy!$F$11=$A$3,Main!$B$43=A105),'Aerodynamics-Cruise'!W22,S105)</f>
        <v>1</v>
      </c>
      <c r="T105" s="72">
        <f ca="1">IF(AND(Energy!$F$11=$A$3,Main!$B$43=A105),'Aerodynamics-Cruise'!BL22,T105)</f>
        <v>26.977536021607992</v>
      </c>
      <c r="U105" s="72">
        <f ca="1">IF(AND(Energy!$F$11=$A$3,Main!$B$43=A105),'Propulsion-Cruise'!M22,U105)</f>
        <v>57.648860441535952</v>
      </c>
      <c r="V105" s="72">
        <f ca="1">IF(AND(Energy!$F$11=$A$3,Main!$B$43=A105),Endurance!AP22,V105)</f>
        <v>544.19342249852582</v>
      </c>
      <c r="W105" s="72">
        <f ca="1">IF(AND(Energy!$F$11=$A$3,Main!$B$43=$A105),Summary!W22,W105)</f>
        <v>1.293567251461988</v>
      </c>
      <c r="X105" s="13">
        <f ca="1">IF(AND(Energy!$F$11=$A$3,Main!$B$43=A105),Energy!D22,X105)</f>
        <v>1182.0301388888888</v>
      </c>
      <c r="Y105" s="126">
        <f ca="1">IF(AND(Energy!$F$11=$A$3,Main!$B$43=A105),'Aerodynamics-Cruise'!V22,Y105)</f>
        <v>179534.66223016358</v>
      </c>
      <c r="Z105" s="126">
        <f ca="1">IF(AND(Energy!$F$11=$A$3,Main!$B$43=$A105),Summary!Z22,Z105)</f>
        <v>133895.41386509384</v>
      </c>
      <c r="AA105" s="126">
        <f ca="1">IF(AND(Energy!$F$11=$A$3,Main!$B$43=$A105),Summary!AA22,AA105)</f>
        <v>133895.41386509384</v>
      </c>
      <c r="AB105" s="72">
        <f ca="1">IF(AND(Energy!$F$11=$A$3,Main!$B$43=$A105),Summary!AB22,AB105)</f>
        <v>4.7972003813874649</v>
      </c>
      <c r="AC105" s="72">
        <f ca="1">IF(AND(Energy!$F$11=$A$3,Main!$B$43=$A105),Summary!AC22,AC105)</f>
        <v>2.4726725381228567</v>
      </c>
      <c r="AD105" s="72">
        <f ca="1">IF(AND(Energy!$F$11=$A$3,Main!$B$43=$A105),Summary!AD22,AD105)</f>
        <v>0.43999011693547879</v>
      </c>
      <c r="AE105" s="72">
        <f ca="1">IF(AND(Energy!$F$11=$A$3,Main!$B$43=$A105),Summary!AE22,AE105)</f>
        <v>1.293567251461988</v>
      </c>
      <c r="AF105" s="72">
        <f ca="1">IF(AND(Energy!$F$11=$A$3,Main!$B$43=$A105),Summary!AF22,AF105)</f>
        <v>13.36466165413534</v>
      </c>
      <c r="AG105" s="72">
        <f ca="1">IF(AND(Energy!$F$11=$A$3,Main!$B$43=$A105),Summary!AG22,AG105)</f>
        <v>11.656112526618838</v>
      </c>
      <c r="AH105" s="72">
        <f ca="1">IF(AND(Energy!$F$11=$A$3,Main!$B$43=$A105),Summary!AH22,AH105)</f>
        <v>47</v>
      </c>
      <c r="AI105" s="72">
        <f ca="1">IF(AND(Energy!$F$11=$A$3,Main!$B$43=$A105),Summary!AI22,AI105)</f>
        <v>2.7669707111859592</v>
      </c>
      <c r="AJ105" s="72">
        <f ca="1">IF(AND(Energy!$F$11=$A$3,Main!$B$43=$A105),Summary!AJ22,AJ105)</f>
        <v>0.22343816696796812</v>
      </c>
      <c r="AK105" s="72">
        <f ca="1">IF(AND(Energy!$F$11=$A$3,Main!$B$43=$A105),Summary!AK22,AK105)</f>
        <v>0.01</v>
      </c>
      <c r="AL105" s="72">
        <f ca="1">IF(AND(Energy!$F$11=$A$3,Main!$B$43=$A105),Summary!AL22,AL105)</f>
        <v>-0.55943573379631828</v>
      </c>
      <c r="AM105" s="72">
        <f ca="1">IF(AND(Energy!$F$11=$A$3,Main!$B$43=$A105),Summary!AJ122,AM105)</f>
        <v>0</v>
      </c>
    </row>
    <row r="106" spans="1:39">
      <c r="A106">
        <f t="shared" si="9"/>
        <v>6</v>
      </c>
      <c r="D106" s="1">
        <f ca="1">IF(AND(Energy!$F$11=$A$3,Main!$B$43=A106),Main!C23,D106)</f>
        <v>4.3157894736842106</v>
      </c>
      <c r="E106" s="72">
        <f ca="1">IF(AND(Energy!$F$11=$A$3,Main!$B$43=A106),Main!B23,E106)</f>
        <v>0.31111111111111106</v>
      </c>
      <c r="F106" s="72">
        <f ca="1">IF(Main!$D$6=1,U106,IF(Main!$D$6=2,N106,IF(Main!$D$6=3,K106,IF(Main!$D$6=4,V106,J106))))</f>
        <v>539.02345990449066</v>
      </c>
      <c r="G106" s="72">
        <f ca="1">IF(AND(Energy!$F$11=$A$3,Main!$B$43=A106),Weight!H23,G106)</f>
        <v>15</v>
      </c>
      <c r="H106" s="72">
        <f ca="1">IF(AND(Energy!$F$11=$A$3,Main!$B$43=A106),Weight!U23,H106)</f>
        <v>15.329753857309178</v>
      </c>
      <c r="I106" s="72">
        <f ca="1">IF(AND(Energy!$F$11=$A$3,Main!$B$43=A106),Weight!V23,I106)</f>
        <v>43.757794560434178</v>
      </c>
      <c r="J106" s="72">
        <f ca="1">IF(AND(Energy!$F$11=$A$3,Main!$B$43=A106),Weight!I23,J106)</f>
        <v>23.490392428125002</v>
      </c>
      <c r="K106" s="72">
        <f ca="1">IF(AND(Energy!$F$11=$A$3,Main!$B$43=A106),Weight!W23,K106)</f>
        <v>58.757794560434185</v>
      </c>
      <c r="L106" s="72">
        <f ca="1">IF(AND(Energy!$F$11=$A$3,Main!$B$43=A106),'Aerodynamics-Cruise'!BI23,L106)</f>
        <v>58.757794560434192</v>
      </c>
      <c r="M106" s="72">
        <f ca="1">IF(AND(Energy!$F$11=$A$3,Main!$B$43=A106),'Aerodynamics-Cruise'!BJ23,M106)</f>
        <v>2.9553899624490048</v>
      </c>
      <c r="N106" s="72">
        <f ca="1">IF(AND(Energy!$F$11=$A$3,Main!$B$43=A106),'Aerodynamics-Cruise'!BK23,N106)</f>
        <v>19.881570725693379</v>
      </c>
      <c r="O106" s="72">
        <f t="shared" ca="1" si="8"/>
        <v>152.39946263824143</v>
      </c>
      <c r="P106" s="72">
        <f ca="1">IF(AND(Energy!$F$11=$A$3,Main!$B$43=A106),'Aerodynamics-Cruise'!H23,P106)</f>
        <v>8.9717806344043112</v>
      </c>
      <c r="Q106" s="72">
        <f ca="1">IF(AND(Energy!$F$11=$A$3,Main!$B$43=A106),'Aerodynamics-Cruise'!I23,Q106)</f>
        <v>7.5553907647988678</v>
      </c>
      <c r="R106" s="72">
        <f ca="1">IF(AND(Energy!$F$11=$A$3,Main!$B$43=$A106),Summary!R23,R106)</f>
        <v>4.7086129576134299</v>
      </c>
      <c r="S106" s="72">
        <f ca="1">IF(AND(Energy!$F$11=$A$3,Main!$B$43=A106),'Aerodynamics-Cruise'!W23,S106)</f>
        <v>1</v>
      </c>
      <c r="T106" s="72">
        <f ca="1">IF(AND(Energy!$F$11=$A$3,Main!$B$43=A106),'Aerodynamics-Cruise'!BL23,T106)</f>
        <v>26.515110432212865</v>
      </c>
      <c r="U106" s="72">
        <f ca="1">IF(AND(Energy!$F$11=$A$3,Main!$B$43=A106),'Propulsion-Cruise'!M23,U106)</f>
        <v>56.910955565329445</v>
      </c>
      <c r="V106" s="72">
        <f ca="1">IF(AND(Energy!$F$11=$A$3,Main!$B$43=A106),Endurance!AP23,V106)</f>
        <v>539.02345990449066</v>
      </c>
      <c r="W106" s="72">
        <f ca="1">IF(AND(Energy!$F$11=$A$3,Main!$B$43=$A106),Summary!W23,W106)</f>
        <v>1.342690058479532</v>
      </c>
      <c r="X106" s="13">
        <f ca="1">IF(AND(Energy!$F$11=$A$3,Main!$B$43=A106),Energy!D23,X106)</f>
        <v>1182.0301388888888</v>
      </c>
      <c r="Y106" s="126">
        <f ca="1">IF(AND(Energy!$F$11=$A$3,Main!$B$43=A106),'Aerodynamics-Cruise'!V23,Y106)</f>
        <v>177026.97387447357</v>
      </c>
      <c r="Z106" s="126">
        <f ca="1">IF(AND(Energy!$F$11=$A$3,Main!$B$43=$A106),Summary!Z23,Z106)</f>
        <v>132098.99580225654</v>
      </c>
      <c r="AA106" s="126">
        <f ca="1">IF(AND(Energy!$F$11=$A$3,Main!$B$43=$A106),Summary!AA23,AA106)</f>
        <v>132098.99580225654</v>
      </c>
      <c r="AB106" s="72">
        <f ca="1">IF(AND(Energy!$F$11=$A$3,Main!$B$43=$A106),Summary!AB23,AB106)</f>
        <v>4.7086129576134299</v>
      </c>
      <c r="AC106" s="72">
        <f ca="1">IF(AND(Energy!$F$11=$A$3,Main!$B$43=$A106),Summary!AC23,AC106)</f>
        <v>2.4258948795144262</v>
      </c>
      <c r="AD106" s="72">
        <f ca="1">IF(AND(Energy!$F$11=$A$3,Main!$B$43=$A106),Summary!AD23,AD106)</f>
        <v>0.43654394855961043</v>
      </c>
      <c r="AE106" s="72">
        <f ca="1">IF(AND(Energy!$F$11=$A$3,Main!$B$43=$A106),Summary!AE23,AE106)</f>
        <v>1.342690058479532</v>
      </c>
      <c r="AF106" s="72">
        <f ca="1">IF(AND(Energy!$F$11=$A$3,Main!$B$43=$A106),Summary!AF23,AF106)</f>
        <v>13.872180451127823</v>
      </c>
      <c r="AG106" s="72">
        <f ca="1">IF(AND(Energy!$F$11=$A$3,Main!$B$43=$A106),Summary!AG23,AG106)</f>
        <v>11.580294611694907</v>
      </c>
      <c r="AH106" s="72">
        <f ca="1">IF(AND(Energy!$F$11=$A$3,Main!$B$43=$A106),Summary!AH23,AH106)</f>
        <v>47</v>
      </c>
      <c r="AI106" s="72">
        <f ca="1">IF(AND(Energy!$F$11=$A$3,Main!$B$43=$A106),Summary!AI23,AI106)</f>
        <v>2.7637547498013579</v>
      </c>
      <c r="AJ106" s="72">
        <f ca="1">IF(AND(Energy!$F$11=$A$3,Main!$B$43=$A106),Summary!AJ23,AJ106)</f>
        <v>0.22438459381686665</v>
      </c>
      <c r="AK106" s="72">
        <f ca="1">IF(AND(Energy!$F$11=$A$3,Main!$B$43=$A106),Summary!AK23,AK106)</f>
        <v>0.01</v>
      </c>
      <c r="AL106" s="72">
        <f ca="1">IF(AND(Energy!$F$11=$A$3,Main!$B$43=$A106),Summary!AL23,AL106)</f>
        <v>-0.55707596942675763</v>
      </c>
      <c r="AM106" s="72">
        <f ca="1">IF(AND(Energy!$F$11=$A$3,Main!$B$43=$A106),Summary!AJ123,AM106)</f>
        <v>0</v>
      </c>
    </row>
    <row r="107" spans="1:39">
      <c r="A107">
        <f t="shared" si="9"/>
        <v>6</v>
      </c>
      <c r="D107" s="1">
        <f ca="1">IF(AND(Energy!$F$11=$A$3,Main!$B$43=A107),Main!C24,D107)</f>
        <v>4.4736842105263159</v>
      </c>
      <c r="E107" s="72">
        <f ca="1">IF(AND(Energy!$F$11=$A$3,Main!$B$43=A107),Main!B24,E107)</f>
        <v>0.31111111111111106</v>
      </c>
      <c r="F107" s="72">
        <f ca="1">IF(Main!$D$6=1,U107,IF(Main!$D$6=2,N107,IF(Main!$D$6=3,K107,IF(Main!$D$6=4,V107,J107))))</f>
        <v>534.74844976073211</v>
      </c>
      <c r="G107" s="72">
        <f ca="1">IF(AND(Energy!$F$11=$A$3,Main!$B$43=A107),Weight!H24,G107)</f>
        <v>15</v>
      </c>
      <c r="H107" s="72">
        <f ca="1">IF(AND(Energy!$F$11=$A$3,Main!$B$43=A107),Weight!U24,H107)</f>
        <v>15.877186530553168</v>
      </c>
      <c r="I107" s="72">
        <f ca="1">IF(AND(Energy!$F$11=$A$3,Main!$B$43=A107),Weight!V24,I107)</f>
        <v>44.305227233678167</v>
      </c>
      <c r="J107" s="72">
        <f ca="1">IF(AND(Energy!$F$11=$A$3,Main!$B$43=A107),Weight!I24,J107)</f>
        <v>23.490392428125002</v>
      </c>
      <c r="K107" s="72">
        <f ca="1">IF(AND(Energy!$F$11=$A$3,Main!$B$43=A107),Weight!W24,K107)</f>
        <v>59.305227233678174</v>
      </c>
      <c r="L107" s="72">
        <f ca="1">IF(AND(Energy!$F$11=$A$3,Main!$B$43=A107),'Aerodynamics-Cruise'!BI24,L107)</f>
        <v>59.30522723367816</v>
      </c>
      <c r="M107" s="72">
        <f ca="1">IF(AND(Energy!$F$11=$A$3,Main!$B$43=A107),'Aerodynamics-Cruise'!BJ24,M107)</f>
        <v>2.9490671573266853</v>
      </c>
      <c r="N107" s="72">
        <f ca="1">IF(AND(Energy!$F$11=$A$3,Main!$B$43=A107),'Aerodynamics-Cruise'!BK24,N107)</f>
        <v>20.109825944905932</v>
      </c>
      <c r="O107" s="72">
        <f t="shared" ca="1" si="8"/>
        <v>154.86554272124744</v>
      </c>
      <c r="P107" s="72">
        <f ca="1">IF(AND(Energy!$F$11=$A$3,Main!$B$43=A107),'Aerodynamics-Cruise'!H24,P107)</f>
        <v>8.8529050313264808</v>
      </c>
      <c r="Q107" s="72">
        <f ca="1">IF(AND(Energy!$F$11=$A$3,Main!$B$43=A107),'Aerodynamics-Cruise'!I24,Q107)</f>
        <v>7.4593901102831488</v>
      </c>
      <c r="R107" s="72">
        <f ca="1">IF(AND(Energy!$F$11=$A$3,Main!$B$43=$A107),Summary!R24,R107)</f>
        <v>4.6290562562995818</v>
      </c>
      <c r="S107" s="72">
        <f ca="1">IF(AND(Energy!$F$11=$A$3,Main!$B$43=A107),'Aerodynamics-Cruise'!W24,S107)</f>
        <v>1</v>
      </c>
      <c r="T107" s="72">
        <f ca="1">IF(AND(Energy!$F$11=$A$3,Main!$B$43=A107),'Aerodynamics-Cruise'!BL24,T107)</f>
        <v>26.107811474817094</v>
      </c>
      <c r="U107" s="72">
        <f ca="1">IF(AND(Energy!$F$11=$A$3,Main!$B$43=A107),'Propulsion-Cruise'!M24,U107)</f>
        <v>56.27481288187429</v>
      </c>
      <c r="V107" s="72">
        <f ca="1">IF(AND(Energy!$F$11=$A$3,Main!$B$43=A107),Endurance!AP24,V107)</f>
        <v>534.74844976073211</v>
      </c>
      <c r="W107" s="72">
        <f ca="1">IF(AND(Energy!$F$11=$A$3,Main!$B$43=$A107),Summary!W24,W107)</f>
        <v>1.3918128654970758</v>
      </c>
      <c r="X107" s="13">
        <f ca="1">IF(AND(Energy!$F$11=$A$3,Main!$B$43=A107),Energy!D24,X107)</f>
        <v>1182.0301388888888</v>
      </c>
      <c r="Y107" s="126">
        <f ca="1">IF(AND(Energy!$F$11=$A$3,Main!$B$43=A107),'Aerodynamics-Cruise'!V24,Y107)</f>
        <v>174681.3761455598</v>
      </c>
      <c r="Z107" s="126">
        <f ca="1">IF(AND(Energy!$F$11=$A$3,Main!$B$43=$A107),Summary!Z24,Z107)</f>
        <v>130417.71058218299</v>
      </c>
      <c r="AA107" s="126">
        <f ca="1">IF(AND(Energy!$F$11=$A$3,Main!$B$43=$A107),Summary!AA24,AA107)</f>
        <v>130417.71058218299</v>
      </c>
      <c r="AB107" s="72">
        <f ca="1">IF(AND(Energy!$F$11=$A$3,Main!$B$43=$A107),Summary!AB24,AB107)</f>
        <v>4.6290562562995818</v>
      </c>
      <c r="AC107" s="72">
        <f ca="1">IF(AND(Energy!$F$11=$A$3,Main!$B$43=$A107),Summary!AC24,AC107)</f>
        <v>2.3804062766559753</v>
      </c>
      <c r="AD107" s="72">
        <f ca="1">IF(AND(Energy!$F$11=$A$3,Main!$B$43=$A107),Summary!AD24,AD107)</f>
        <v>0.43343146011157929</v>
      </c>
      <c r="AE107" s="72">
        <f ca="1">IF(AND(Energy!$F$11=$A$3,Main!$B$43=$A107),Summary!AE24,AE107)</f>
        <v>1.3918128654970758</v>
      </c>
      <c r="AF107" s="72">
        <f ca="1">IF(AND(Energy!$F$11=$A$3,Main!$B$43=$A107),Summary!AF24,AF107)</f>
        <v>14.379699248120302</v>
      </c>
      <c r="AG107" s="72">
        <f ca="1">IF(AND(Energy!$F$11=$A$3,Main!$B$43=$A107),Summary!AG24,AG107)</f>
        <v>11.515912510941629</v>
      </c>
      <c r="AH107" s="72">
        <f ca="1">IF(AND(Energy!$F$11=$A$3,Main!$B$43=$A107),Summary!AH24,AH107)</f>
        <v>47</v>
      </c>
      <c r="AI107" s="72">
        <f ca="1">IF(AND(Energy!$F$11=$A$3,Main!$B$43=$A107),Summary!AI24,AI107)</f>
        <v>2.7607116076927847</v>
      </c>
      <c r="AJ107" s="72">
        <f ca="1">IF(AND(Energy!$F$11=$A$3,Main!$B$43=$A107),Summary!AJ24,AJ107)</f>
        <v>0.22527275388338755</v>
      </c>
      <c r="AK107" s="72">
        <f ca="1">IF(AND(Energy!$F$11=$A$3,Main!$B$43=$A107),Summary!AK24,AK107)</f>
        <v>0.01</v>
      </c>
      <c r="AL107" s="72">
        <f ca="1">IF(AND(Energy!$F$11=$A$3,Main!$B$43=$A107),Summary!AL24,AL107)</f>
        <v>-0.55487950641447148</v>
      </c>
      <c r="AM107" s="72">
        <f ca="1">IF(AND(Energy!$F$11=$A$3,Main!$B$43=$A107),Summary!AJ124,AM107)</f>
        <v>0</v>
      </c>
    </row>
    <row r="108" spans="1:39">
      <c r="A108">
        <f t="shared" si="9"/>
        <v>6</v>
      </c>
      <c r="D108" s="1">
        <f ca="1">IF(AND(Energy!$F$11=$A$3,Main!$B$43=A108),Main!C25,D108)</f>
        <v>4.6315789473684212</v>
      </c>
      <c r="E108" s="72">
        <f ca="1">IF(AND(Energy!$F$11=$A$3,Main!$B$43=A108),Main!B25,E108)</f>
        <v>0.31111111111111106</v>
      </c>
      <c r="F108" s="72">
        <f ca="1">IF(Main!$D$6=1,U108,IF(Main!$D$6=2,N108,IF(Main!$D$6=3,K108,IF(Main!$D$6=4,V108,J108))))</f>
        <v>531.27449229815284</v>
      </c>
      <c r="G108" s="72">
        <f ca="1">IF(AND(Energy!$F$11=$A$3,Main!$B$43=A108),Weight!H25,G108)</f>
        <v>15</v>
      </c>
      <c r="H108" s="72">
        <f ca="1">IF(AND(Energy!$F$11=$A$3,Main!$B$43=A108),Weight!U25,H108)</f>
        <v>16.436341637264178</v>
      </c>
      <c r="I108" s="72">
        <f ca="1">IF(AND(Energy!$F$11=$A$3,Main!$B$43=A108),Weight!V25,I108)</f>
        <v>44.864382340389184</v>
      </c>
      <c r="J108" s="72">
        <f ca="1">IF(AND(Energy!$F$11=$A$3,Main!$B$43=A108),Weight!I25,J108)</f>
        <v>23.490392428125002</v>
      </c>
      <c r="K108" s="72">
        <f ca="1">IF(AND(Energy!$F$11=$A$3,Main!$B$43=A108),Weight!W25,K108)</f>
        <v>59.864382340389184</v>
      </c>
      <c r="L108" s="72">
        <f ca="1">IF(AND(Energy!$F$11=$A$3,Main!$B$43=A108),'Aerodynamics-Cruise'!BI25,L108)</f>
        <v>59.86438234038917</v>
      </c>
      <c r="M108" s="72">
        <f ca="1">IF(AND(Energy!$F$11=$A$3,Main!$B$43=A108),'Aerodynamics-Cruise'!BJ25,M108)</f>
        <v>2.9456501732754354</v>
      </c>
      <c r="N108" s="72">
        <f ca="1">IF(AND(Energy!$F$11=$A$3,Main!$B$43=A108),'Aerodynamics-Cruise'!BK25,N108)</f>
        <v>20.322977549578663</v>
      </c>
      <c r="O108" s="72">
        <f t="shared" ca="1" si="8"/>
        <v>157.24309752651493</v>
      </c>
      <c r="P108" s="72">
        <f ca="1">IF(AND(Energy!$F$11=$A$3,Main!$B$43=A108),'Aerodynamics-Cruise'!H25,P108)</f>
        <v>8.7415421618340137</v>
      </c>
      <c r="Q108" s="72">
        <f ca="1">IF(AND(Energy!$F$11=$A$3,Main!$B$43=A108),'Aerodynamics-Cruise'!I25,Q108)</f>
        <v>7.3694048336283178</v>
      </c>
      <c r="R108" s="72">
        <f ca="1">IF(AND(Energy!$F$11=$A$3,Main!$B$43=$A108),Summary!R25,R108)</f>
        <v>4.557654024377694</v>
      </c>
      <c r="S108" s="72">
        <f ca="1">IF(AND(Energy!$F$11=$A$3,Main!$B$43=A108),'Aerodynamics-Cruise'!W25,S108)</f>
        <v>1</v>
      </c>
      <c r="T108" s="72">
        <f ca="1">IF(AND(Energy!$F$11=$A$3,Main!$B$43=A108),'Aerodynamics-Cruise'!BL25,T108)</f>
        <v>25.749525183700886</v>
      </c>
      <c r="U108" s="72">
        <f ca="1">IF(AND(Energy!$F$11=$A$3,Main!$B$43=A108),'Propulsion-Cruise'!M25,U108)</f>
        <v>55.729523063511934</v>
      </c>
      <c r="V108" s="72">
        <f ca="1">IF(AND(Energy!$F$11=$A$3,Main!$B$43=A108),Endurance!AP25,V108)</f>
        <v>531.27449229815284</v>
      </c>
      <c r="W108" s="72">
        <f ca="1">IF(AND(Energy!$F$11=$A$3,Main!$B$43=$A108),Summary!W25,W108)</f>
        <v>1.4409356725146196</v>
      </c>
      <c r="X108" s="13">
        <f ca="1">IF(AND(Energy!$F$11=$A$3,Main!$B$43=A108),Energy!D25,X108)</f>
        <v>1182.0301388888888</v>
      </c>
      <c r="Y108" s="126">
        <f ca="1">IF(AND(Energy!$F$11=$A$3,Main!$B$43=A108),'Aerodynamics-Cruise'!V25,Y108)</f>
        <v>172484.01615743985</v>
      </c>
      <c r="Z108" s="126">
        <f ca="1">IF(AND(Energy!$F$11=$A$3,Main!$B$43=$A108),Summary!Z25,Z108)</f>
        <v>128841.80971911065</v>
      </c>
      <c r="AA108" s="126">
        <f ca="1">IF(AND(Energy!$F$11=$A$3,Main!$B$43=$A108),Summary!AA25,AA108)</f>
        <v>128841.80971911065</v>
      </c>
      <c r="AB108" s="72">
        <f ca="1">IF(AND(Energy!$F$11=$A$3,Main!$B$43=$A108),Summary!AB25,AB108)</f>
        <v>4.557654024377694</v>
      </c>
      <c r="AC108" s="72">
        <f ca="1">IF(AND(Energy!$F$11=$A$3,Main!$B$43=$A108),Summary!AC25,AC108)</f>
        <v>2.3361647948735071</v>
      </c>
      <c r="AD108" s="72">
        <f ca="1">IF(AND(Energy!$F$11=$A$3,Main!$B$43=$A108),Summary!AD25,AD108)</f>
        <v>0.43062297876617683</v>
      </c>
      <c r="AE108" s="72">
        <f ca="1">IF(AND(Energy!$F$11=$A$3,Main!$B$43=$A108),Summary!AE25,AE108)</f>
        <v>1.4409356725146196</v>
      </c>
      <c r="AF108" s="72">
        <f ca="1">IF(AND(Energy!$F$11=$A$3,Main!$B$43=$A108),Summary!AF25,AF108)</f>
        <v>14.887218045112785</v>
      </c>
      <c r="AG108" s="72">
        <f ca="1">IF(AND(Energy!$F$11=$A$3,Main!$B$43=$A108),Summary!AG25,AG108)</f>
        <v>11.461825688242312</v>
      </c>
      <c r="AH108" s="72">
        <f ca="1">IF(AND(Energy!$F$11=$A$3,Main!$B$43=$A108),Summary!AH25,AH108)</f>
        <v>47</v>
      </c>
      <c r="AI108" s="72">
        <f ca="1">IF(AND(Energy!$F$11=$A$3,Main!$B$43=$A108),Summary!AI25,AI108)</f>
        <v>2.7578291311650087</v>
      </c>
      <c r="AJ108" s="72">
        <f ca="1">IF(AND(Energy!$F$11=$A$3,Main!$B$43=$A108),Summary!AJ25,AJ108)</f>
        <v>0.22610768575821905</v>
      </c>
      <c r="AK108" s="72">
        <f ca="1">IF(AND(Energy!$F$11=$A$3,Main!$B$43=$A108),Summary!AK25,AK108)</f>
        <v>0.01</v>
      </c>
      <c r="AL108" s="72">
        <f ca="1">IF(AND(Energy!$F$11=$A$3,Main!$B$43=$A108),Summary!AL25,AL108)</f>
        <v>-0.55283040351053314</v>
      </c>
      <c r="AM108" s="72">
        <f ca="1">IF(AND(Energy!$F$11=$A$3,Main!$B$43=$A108),Summary!AJ125,AM108)</f>
        <v>0</v>
      </c>
    </row>
    <row r="109" spans="1:39">
      <c r="A109">
        <f t="shared" si="9"/>
        <v>6</v>
      </c>
      <c r="D109" s="1">
        <f ca="1">IF(AND(Energy!$F$11=$A$3,Main!$B$43=A109),Main!C26,D109)</f>
        <v>4.7894736842105265</v>
      </c>
      <c r="E109" s="72">
        <f ca="1">IF(AND(Energy!$F$11=$A$3,Main!$B$43=A109),Main!B26,E109)</f>
        <v>0.31111111111111106</v>
      </c>
      <c r="F109" s="72">
        <f ca="1">IF(Main!$D$6=1,U109,IF(Main!$D$6=2,N109,IF(Main!$D$6=3,K109,IF(Main!$D$6=4,V109,J109))))</f>
        <v>528.52146105676013</v>
      </c>
      <c r="G109" s="72">
        <f ca="1">IF(AND(Energy!$F$11=$A$3,Main!$B$43=A109),Weight!H26,G109)</f>
        <v>15</v>
      </c>
      <c r="H109" s="72">
        <f ca="1">IF(AND(Energy!$F$11=$A$3,Main!$B$43=A109),Weight!U26,H109)</f>
        <v>17.007271961382266</v>
      </c>
      <c r="I109" s="72">
        <f ca="1">IF(AND(Energy!$F$11=$A$3,Main!$B$43=A109),Weight!V26,I109)</f>
        <v>45.435312664507265</v>
      </c>
      <c r="J109" s="72">
        <f ca="1">IF(AND(Energy!$F$11=$A$3,Main!$B$43=A109),Weight!I26,J109)</f>
        <v>23.490392428125002</v>
      </c>
      <c r="K109" s="72">
        <f ca="1">IF(AND(Energy!$F$11=$A$3,Main!$B$43=A109),Weight!W26,K109)</f>
        <v>60.435312664507272</v>
      </c>
      <c r="L109" s="72">
        <f ca="1">IF(AND(Energy!$F$11=$A$3,Main!$B$43=A109),'Aerodynamics-Cruise'!BI26,L109)</f>
        <v>60.435312664507286</v>
      </c>
      <c r="M109" s="72">
        <f ca="1">IF(AND(Energy!$F$11=$A$3,Main!$B$43=A109),'Aerodynamics-Cruise'!BJ26,M109)</f>
        <v>2.9448678054867758</v>
      </c>
      <c r="N109" s="72">
        <f ca="1">IF(AND(Energy!$F$11=$A$3,Main!$B$43=A109),'Aerodynamics-Cruise'!BK26,N109)</f>
        <v>20.522249777020992</v>
      </c>
      <c r="O109" s="72">
        <f t="shared" ca="1" si="8"/>
        <v>159.54028214650572</v>
      </c>
      <c r="P109" s="72">
        <f ca="1">IF(AND(Energy!$F$11=$A$3,Main!$B$43=A109),'Aerodynamics-Cruise'!H26,P109)</f>
        <v>8.63707205499</v>
      </c>
      <c r="Q109" s="72">
        <f ca="1">IF(AND(Energy!$F$11=$A$3,Main!$B$43=A109),'Aerodynamics-Cruise'!I26,Q109)</f>
        <v>7.2849432924095998</v>
      </c>
      <c r="R109" s="72">
        <f ca="1">IF(AND(Energy!$F$11=$A$3,Main!$B$43=$A109),Summary!R26,R109)</f>
        <v>4.4936498216992806</v>
      </c>
      <c r="S109" s="72">
        <f ca="1">IF(AND(Energy!$F$11=$A$3,Main!$B$43=A109),'Aerodynamics-Cruise'!W26,S109)</f>
        <v>1</v>
      </c>
      <c r="T109" s="72">
        <f ca="1">IF(AND(Energy!$F$11=$A$3,Main!$B$43=A109),'Aerodynamics-Cruise'!BL26,T109)</f>
        <v>25.435035428409559</v>
      </c>
      <c r="U109" s="72">
        <f ca="1">IF(AND(Energy!$F$11=$A$3,Main!$B$43=A109),'Propulsion-Cruise'!M26,U109)</f>
        <v>55.265772313847108</v>
      </c>
      <c r="V109" s="72">
        <f ca="1">IF(AND(Energy!$F$11=$A$3,Main!$B$43=A109),Endurance!AP26,V109)</f>
        <v>528.52146105676013</v>
      </c>
      <c r="W109" s="72">
        <f ca="1">IF(AND(Energy!$F$11=$A$3,Main!$B$43=$A109),Summary!W26,W109)</f>
        <v>1.4900584795321636</v>
      </c>
      <c r="X109" s="13">
        <f ca="1">IF(AND(Energy!$F$11=$A$3,Main!$B$43=A109),Energy!D26,X109)</f>
        <v>1182.0301388888888</v>
      </c>
      <c r="Y109" s="126">
        <f ca="1">IF(AND(Energy!$F$11=$A$3,Main!$B$43=A109),'Aerodynamics-Cruise'!V26,Y109)</f>
        <v>170422.66093392725</v>
      </c>
      <c r="Z109" s="126">
        <f ca="1">IF(AND(Energy!$F$11=$A$3,Main!$B$43=$A109),Summary!Z26,Z109)</f>
        <v>127362.67677202872</v>
      </c>
      <c r="AA109" s="126">
        <f ca="1">IF(AND(Energy!$F$11=$A$3,Main!$B$43=$A109),Summary!AA26,AA109)</f>
        <v>127362.67677202872</v>
      </c>
      <c r="AB109" s="72">
        <f ca="1">IF(AND(Energy!$F$11=$A$3,Main!$B$43=$A109),Summary!AB26,AB109)</f>
        <v>4.4936498216992806</v>
      </c>
      <c r="AC109" s="72">
        <f ca="1">IF(AND(Energy!$F$11=$A$3,Main!$B$43=$A109),Summary!AC26,AC109)</f>
        <v>2.2931267762347995</v>
      </c>
      <c r="AD109" s="72">
        <f ca="1">IF(AND(Energy!$F$11=$A$3,Main!$B$43=$A109),Summary!AD26,AD109)</f>
        <v>0.42809242771079126</v>
      </c>
      <c r="AE109" s="72">
        <f ca="1">IF(AND(Energy!$F$11=$A$3,Main!$B$43=$A109),Summary!AE26,AE109)</f>
        <v>1.4900584795321636</v>
      </c>
      <c r="AF109" s="72">
        <f ca="1">IF(AND(Energy!$F$11=$A$3,Main!$B$43=$A109),Summary!AF26,AF109)</f>
        <v>15.394736842105267</v>
      </c>
      <c r="AG109" s="72">
        <f ca="1">IF(AND(Energy!$F$11=$A$3,Main!$B$43=$A109),Summary!AG26,AG109)</f>
        <v>11.417048113935477</v>
      </c>
      <c r="AH109" s="72">
        <f ca="1">IF(AND(Energy!$F$11=$A$3,Main!$B$43=$A109),Summary!AH26,AH109)</f>
        <v>47</v>
      </c>
      <c r="AI109" s="72">
        <f ca="1">IF(AND(Energy!$F$11=$A$3,Main!$B$43=$A109),Summary!AI26,AI109)</f>
        <v>2.7550964416631492</v>
      </c>
      <c r="AJ109" s="72">
        <f ca="1">IF(AND(Energy!$F$11=$A$3,Main!$B$43=$A109),Summary!AJ26,AJ109)</f>
        <v>0.22689380958424116</v>
      </c>
      <c r="AK109" s="72">
        <f ca="1">IF(AND(Energy!$F$11=$A$3,Main!$B$43=$A109),Summary!AK26,AK109)</f>
        <v>0.01</v>
      </c>
      <c r="AL109" s="72">
        <f ca="1">IF(AND(Energy!$F$11=$A$3,Main!$B$43=$A109),Summary!AL26,AL109)</f>
        <v>-0.55091485977534793</v>
      </c>
      <c r="AM109" s="72">
        <f ca="1">IF(AND(Energy!$F$11=$A$3,Main!$B$43=$A109),Summary!AJ126,AM109)</f>
        <v>0</v>
      </c>
    </row>
    <row r="110" spans="1:39">
      <c r="A110">
        <f t="shared" si="9"/>
        <v>6</v>
      </c>
      <c r="D110" s="1">
        <f ca="1">IF(AND(Energy!$F$11=$A$3,Main!$B$43=A110),Main!C27,D110)</f>
        <v>4.9473684210526319</v>
      </c>
      <c r="E110" s="72">
        <f ca="1">IF(AND(Energy!$F$11=$A$3,Main!$B$43=A110),Main!B27,E110)</f>
        <v>0.31111111111111106</v>
      </c>
      <c r="F110" s="72">
        <f ca="1">IF(Main!$D$6=1,U110,IF(Main!$D$6=2,N110,IF(Main!$D$6=3,K110,IF(Main!$D$6=4,V110,J110))))</f>
        <v>526.42062902716782</v>
      </c>
      <c r="G110" s="72">
        <f ca="1">IF(AND(Energy!$F$11=$A$3,Main!$B$43=A110),Weight!H27,G110)</f>
        <v>15</v>
      </c>
      <c r="H110" s="72">
        <f ca="1">IF(AND(Energy!$F$11=$A$3,Main!$B$43=A110),Weight!U27,H110)</f>
        <v>17.590037841681948</v>
      </c>
      <c r="I110" s="72">
        <f ca="1">IF(AND(Energy!$F$11=$A$3,Main!$B$43=A110),Weight!V27,I110)</f>
        <v>46.018078544806954</v>
      </c>
      <c r="J110" s="72">
        <f ca="1">IF(AND(Energy!$F$11=$A$3,Main!$B$43=A110),Weight!I27,J110)</f>
        <v>23.490392428125002</v>
      </c>
      <c r="K110" s="72">
        <f ca="1">IF(AND(Energy!$F$11=$A$3,Main!$B$43=A110),Weight!W27,K110)</f>
        <v>61.018078544806954</v>
      </c>
      <c r="L110" s="72">
        <f ca="1">IF(AND(Energy!$F$11=$A$3,Main!$B$43=A110),'Aerodynamics-Cruise'!BI27,L110)</f>
        <v>61.018078544806961</v>
      </c>
      <c r="M110" s="72">
        <f ca="1">IF(AND(Energy!$F$11=$A$3,Main!$B$43=A110),'Aerodynamics-Cruise'!BJ27,M110)</f>
        <v>2.9464844545089117</v>
      </c>
      <c r="N110" s="72">
        <f ca="1">IF(AND(Energy!$F$11=$A$3,Main!$B$43=A110),'Aerodynamics-Cruise'!BK27,N110)</f>
        <v>20.708773281132682</v>
      </c>
      <c r="O110" s="72">
        <f t="shared" ca="1" si="8"/>
        <v>161.76465554256325</v>
      </c>
      <c r="P110" s="72">
        <f ca="1">IF(AND(Energy!$F$11=$A$3,Main!$B$43=A110),'Aerodynamics-Cruise'!H27,P110)</f>
        <v>8.5389449044562102</v>
      </c>
      <c r="Q110" s="72">
        <f ca="1">IF(AND(Energy!$F$11=$A$3,Main!$B$43=A110),'Aerodynamics-Cruise'!I27,Q110)</f>
        <v>7.2055690867848501</v>
      </c>
      <c r="R110" s="72">
        <f ca="1">IF(AND(Energy!$F$11=$A$3,Main!$B$43=$A110),Summary!R27,R110)</f>
        <v>4.4363876255739214</v>
      </c>
      <c r="S110" s="72">
        <f ca="1">IF(AND(Energy!$F$11=$A$3,Main!$B$43=A110),'Aerodynamics-Cruise'!W27,S110)</f>
        <v>1</v>
      </c>
      <c r="T110" s="72">
        <f ca="1">IF(AND(Energy!$F$11=$A$3,Main!$B$43=A110),'Aerodynamics-Cruise'!BL27,T110)</f>
        <v>25.159868418888308</v>
      </c>
      <c r="U110" s="72">
        <f ca="1">IF(AND(Energy!$F$11=$A$3,Main!$B$43=A110),'Propulsion-Cruise'!M27,U110)</f>
        <v>54.875567027018405</v>
      </c>
      <c r="V110" s="72">
        <f ca="1">IF(AND(Energy!$F$11=$A$3,Main!$B$43=A110),Endurance!AP27,V110)</f>
        <v>526.42062902716782</v>
      </c>
      <c r="W110" s="72">
        <f ca="1">IF(AND(Energy!$F$11=$A$3,Main!$B$43=$A110),Summary!W27,W110)</f>
        <v>1.5391812865497074</v>
      </c>
      <c r="X110" s="13">
        <f ca="1">IF(AND(Energy!$F$11=$A$3,Main!$B$43=A110),Energy!D27,X110)</f>
        <v>1182.0301388888888</v>
      </c>
      <c r="Y110" s="126">
        <f ca="1">IF(AND(Energy!$F$11=$A$3,Main!$B$43=A110),'Aerodynamics-Cruise'!V27,Y110)</f>
        <v>168486.4619538376</v>
      </c>
      <c r="Z110" s="126">
        <f ca="1">IF(AND(Energy!$F$11=$A$3,Main!$B$43=$A110),Summary!Z27,Z110)</f>
        <v>125972.66374750316</v>
      </c>
      <c r="AA110" s="126">
        <f ca="1">IF(AND(Energy!$F$11=$A$3,Main!$B$43=$A110),Summary!AA27,AA110)</f>
        <v>125972.66374750316</v>
      </c>
      <c r="AB110" s="72">
        <f ca="1">IF(AND(Energy!$F$11=$A$3,Main!$B$43=$A110),Summary!AB27,AB110)</f>
        <v>4.4363876255739214</v>
      </c>
      <c r="AC110" s="72">
        <f ca="1">IF(AND(Energy!$F$11=$A$3,Main!$B$43=$A110),Summary!AC27,AC110)</f>
        <v>2.2512479736026387</v>
      </c>
      <c r="AD110" s="72">
        <f ca="1">IF(AND(Energy!$F$11=$A$3,Main!$B$43=$A110),Summary!AD27,AD110)</f>
        <v>0.42581679180767212</v>
      </c>
      <c r="AE110" s="72">
        <f ca="1">IF(AND(Energy!$F$11=$A$3,Main!$B$43=$A110),Summary!AE27,AE110)</f>
        <v>1.5391812865497074</v>
      </c>
      <c r="AF110" s="72">
        <f ca="1">IF(AND(Energy!$F$11=$A$3,Main!$B$43=$A110),Summary!AF27,AF110)</f>
        <v>15.902255639097749</v>
      </c>
      <c r="AG110" s="72">
        <f ca="1">IF(AND(Energy!$F$11=$A$3,Main!$B$43=$A110),Summary!AG27,AG110)</f>
        <v>11.380723323040051</v>
      </c>
      <c r="AH110" s="72">
        <f ca="1">IF(AND(Energy!$F$11=$A$3,Main!$B$43=$A110),Summary!AH27,AH110)</f>
        <v>47</v>
      </c>
      <c r="AI110" s="72">
        <f ca="1">IF(AND(Energy!$F$11=$A$3,Main!$B$43=$A110),Summary!AI27,AI110)</f>
        <v>2.7525037609154905</v>
      </c>
      <c r="AJ110" s="72">
        <f ca="1">IF(AND(Energy!$F$11=$A$3,Main!$B$43=$A110),Summary!AJ27,AJ110)</f>
        <v>0.22763520774727689</v>
      </c>
      <c r="AK110" s="72">
        <f ca="1">IF(AND(Energy!$F$11=$A$3,Main!$B$43=$A110),Summary!AK27,AK110)</f>
        <v>0.01</v>
      </c>
      <c r="AL110" s="72">
        <f ca="1">IF(AND(Energy!$F$11=$A$3,Main!$B$43=$A110),Summary!AL27,AL110)</f>
        <v>-0.5491204084804151</v>
      </c>
      <c r="AM110" s="72">
        <f ca="1">IF(AND(Energy!$F$11=$A$3,Main!$B$43=$A110),Summary!AJ127,AM110)</f>
        <v>0</v>
      </c>
    </row>
    <row r="111" spans="1:39">
      <c r="A111">
        <f t="shared" si="9"/>
        <v>6</v>
      </c>
      <c r="D111" s="1">
        <f ca="1">IF(AND(Energy!$F$11=$A$3,Main!$B$43=A111),Main!C28,D111)</f>
        <v>5.1052631578947372</v>
      </c>
      <c r="E111" s="72">
        <f ca="1">IF(AND(Energy!$F$11=$A$3,Main!$B$43=A111),Main!B28,E111)</f>
        <v>0.31111111111111106</v>
      </c>
      <c r="F111" s="72">
        <f ca="1">IF(Main!$D$6=1,U111,IF(Main!$D$6=2,N111,IF(Main!$D$6=3,K111,IF(Main!$D$6=4,V111,J111))))</f>
        <v>524.91277016972128</v>
      </c>
      <c r="G111" s="72">
        <f ca="1">IF(AND(Energy!$F$11=$A$3,Main!$B$43=A111),Weight!H28,G111)</f>
        <v>15</v>
      </c>
      <c r="H111" s="72">
        <f ca="1">IF(AND(Energy!$F$11=$A$3,Main!$B$43=A111),Weight!U28,H111)</f>
        <v>18.184706560646944</v>
      </c>
      <c r="I111" s="72">
        <f ca="1">IF(AND(Energy!$F$11=$A$3,Main!$B$43=A111),Weight!V28,I111)</f>
        <v>46.612747263771951</v>
      </c>
      <c r="J111" s="72">
        <f ca="1">IF(AND(Energy!$F$11=$A$3,Main!$B$43=A111),Weight!I28,J111)</f>
        <v>23.490392428125002</v>
      </c>
      <c r="K111" s="72">
        <f ca="1">IF(AND(Energy!$F$11=$A$3,Main!$B$43=A111),Weight!W28,K111)</f>
        <v>61.612747263771951</v>
      </c>
      <c r="L111" s="72">
        <f ca="1">IF(AND(Energy!$F$11=$A$3,Main!$B$43=A111),'Aerodynamics-Cruise'!BI28,L111)</f>
        <v>61.612747263771972</v>
      </c>
      <c r="M111" s="72">
        <f ca="1">IF(AND(Energy!$F$11=$A$3,Main!$B$43=A111),'Aerodynamics-Cruise'!BJ28,M111)</f>
        <v>2.950294595297593</v>
      </c>
      <c r="N111" s="72">
        <f ca="1">IF(AND(Energy!$F$11=$A$3,Main!$B$43=A111),'Aerodynamics-Cruise'!BK28,N111)</f>
        <v>20.883591544374966</v>
      </c>
      <c r="O111" s="72">
        <f t="shared" ca="1" si="8"/>
        <v>163.92322036098361</v>
      </c>
      <c r="P111" s="72">
        <f ca="1">IF(AND(Energy!$F$11=$A$3,Main!$B$43=A111),'Aerodynamics-Cruise'!H28,P111)</f>
        <v>8.4466711879671887</v>
      </c>
      <c r="Q111" s="72">
        <f ca="1">IF(AND(Energy!$F$11=$A$3,Main!$B$43=A111),'Aerodynamics-Cruise'!I28,Q111)</f>
        <v>7.1308933261254248</v>
      </c>
      <c r="R111" s="72">
        <f ca="1">IF(AND(Energy!$F$11=$A$3,Main!$B$43=$A111),Summary!R28,R111)</f>
        <v>4.3852960919495221</v>
      </c>
      <c r="S111" s="72">
        <f ca="1">IF(AND(Energy!$F$11=$A$3,Main!$B$43=A111),'Aerodynamics-Cruise'!W28,S111)</f>
        <v>1</v>
      </c>
      <c r="T111" s="72">
        <f ca="1">IF(AND(Energy!$F$11=$A$3,Main!$B$43=A111),'Aerodynamics-Cruise'!BL28,T111)</f>
        <v>24.920168354115496</v>
      </c>
      <c r="U111" s="72">
        <f ca="1">IF(AND(Energy!$F$11=$A$3,Main!$B$43=A111),'Propulsion-Cruise'!M28,U111)</f>
        <v>54.552013616987267</v>
      </c>
      <c r="V111" s="72">
        <f ca="1">IF(AND(Energy!$F$11=$A$3,Main!$B$43=A111),Endurance!AP28,V111)</f>
        <v>524.91277016972128</v>
      </c>
      <c r="W111" s="72">
        <f ca="1">IF(AND(Energy!$F$11=$A$3,Main!$B$43=$A111),Summary!W28,W111)</f>
        <v>1.5883040935672512</v>
      </c>
      <c r="X111" s="13">
        <f ca="1">IF(AND(Energy!$F$11=$A$3,Main!$B$43=A111),Energy!D28,X111)</f>
        <v>1182.0301388888888</v>
      </c>
      <c r="Y111" s="126">
        <f ca="1">IF(AND(Energy!$F$11=$A$3,Main!$B$43=A111),'Aerodynamics-Cruise'!V28,Y111)</f>
        <v>166665.76019307869</v>
      </c>
      <c r="Z111" s="126">
        <f ca="1">IF(AND(Energy!$F$11=$A$3,Main!$B$43=$A111),Summary!Z28,Z111)</f>
        <v>124664.95549558946</v>
      </c>
      <c r="AA111" s="126">
        <f ca="1">IF(AND(Energy!$F$11=$A$3,Main!$B$43=$A111),Summary!AA28,AA111)</f>
        <v>124664.95549558946</v>
      </c>
      <c r="AB111" s="72">
        <f ca="1">IF(AND(Energy!$F$11=$A$3,Main!$B$43=$A111),Summary!AB28,AB111)</f>
        <v>4.3852960919495221</v>
      </c>
      <c r="AC111" s="72">
        <f ca="1">IF(AND(Energy!$F$11=$A$3,Main!$B$43=$A111),Summary!AC28,AC111)</f>
        <v>2.2104843457996397</v>
      </c>
      <c r="AD111" s="72">
        <f ca="1">IF(AND(Energy!$F$11=$A$3,Main!$B$43=$A111),Summary!AD28,AD111)</f>
        <v>0.42377567788096254</v>
      </c>
      <c r="AE111" s="72">
        <f ca="1">IF(AND(Energy!$F$11=$A$3,Main!$B$43=$A111),Summary!AE28,AE111)</f>
        <v>1.5883040935672512</v>
      </c>
      <c r="AF111" s="72">
        <f ca="1">IF(AND(Energy!$F$11=$A$3,Main!$B$43=$A111),Summary!AF28,AF111)</f>
        <v>16.409774436090231</v>
      </c>
      <c r="AG111" s="72">
        <f ca="1">IF(AND(Energy!$F$11=$A$3,Main!$B$43=$A111),Summary!AG28,AG111)</f>
        <v>11.352104201415461</v>
      </c>
      <c r="AH111" s="72">
        <f ca="1">IF(AND(Energy!$F$11=$A$3,Main!$B$43=$A111),Summary!AH28,AH111)</f>
        <v>47</v>
      </c>
      <c r="AI111" s="72">
        <f ca="1">IF(AND(Energy!$F$11=$A$3,Main!$B$43=$A111),Summary!AI28,AI111)</f>
        <v>2.7500422652035494</v>
      </c>
      <c r="AJ111" s="72">
        <f ca="1">IF(AND(Energy!$F$11=$A$3,Main!$B$43=$A111),Summary!AJ28,AJ111)</f>
        <v>0.22833515164793913</v>
      </c>
      <c r="AK111" s="72">
        <f ca="1">IF(AND(Energy!$F$11=$A$3,Main!$B$43=$A111),Summary!AK28,AK111)</f>
        <v>0.01</v>
      </c>
      <c r="AL111" s="72">
        <f ca="1">IF(AND(Energy!$F$11=$A$3,Main!$B$43=$A111),Summary!AL28,AL111)</f>
        <v>-0.54743697590252616</v>
      </c>
      <c r="AM111" s="72">
        <f ca="1">IF(AND(Energy!$F$11=$A$3,Main!$B$43=$A111),Summary!AJ128,AM111)</f>
        <v>0</v>
      </c>
    </row>
    <row r="112" spans="1:39">
      <c r="A112">
        <f t="shared" si="9"/>
        <v>6</v>
      </c>
      <c r="D112" s="1">
        <f ca="1">IF(AND(Energy!$F$11=$A$3,Main!$B$43=A112),Main!C29,D112)</f>
        <v>5.2631578947368425</v>
      </c>
      <c r="E112" s="72">
        <f ca="1">IF(AND(Energy!$F$11=$A$3,Main!$B$43=A112),Main!B29,E112)</f>
        <v>0.31111111111111106</v>
      </c>
      <c r="F112" s="72">
        <f ca="1">IF(Main!$D$6=1,U112,IF(Main!$D$6=2,N112,IF(Main!$D$6=3,K112,IF(Main!$D$6=4,V112,J112))))</f>
        <v>523.94661879246257</v>
      </c>
      <c r="G112" s="72">
        <f ca="1">IF(AND(Energy!$F$11=$A$3,Main!$B$43=A112),Weight!H29,G112)</f>
        <v>15</v>
      </c>
      <c r="H112" s="72">
        <f ca="1">IF(AND(Energy!$F$11=$A$3,Main!$B$43=A112),Weight!U29,H112)</f>
        <v>18.791351808930209</v>
      </c>
      <c r="I112" s="72">
        <f ca="1">IF(AND(Energy!$F$11=$A$3,Main!$B$43=A112),Weight!V29,I112)</f>
        <v>47.219392512055208</v>
      </c>
      <c r="J112" s="72">
        <f ca="1">IF(AND(Energy!$F$11=$A$3,Main!$B$43=A112),Weight!I29,J112)</f>
        <v>23.490392428125002</v>
      </c>
      <c r="K112" s="72">
        <f ca="1">IF(AND(Energy!$F$11=$A$3,Main!$B$43=A112),Weight!W29,K112)</f>
        <v>62.219392512055215</v>
      </c>
      <c r="L112" s="72">
        <f ca="1">IF(AND(Energy!$F$11=$A$3,Main!$B$43=A112),'Aerodynamics-Cruise'!BI29,L112)</f>
        <v>62.219392512055208</v>
      </c>
      <c r="M112" s="72">
        <f ca="1">IF(AND(Energy!$F$11=$A$3,Main!$B$43=A112),'Aerodynamics-Cruise'!BJ29,M112)</f>
        <v>2.9561182042934546</v>
      </c>
      <c r="N112" s="72">
        <f ca="1">IF(AND(Energy!$F$11=$A$3,Main!$B$43=A112),'Aerodynamics-Cruise'!BK29,N112)</f>
        <v>21.047667316444926</v>
      </c>
      <c r="O112" s="72">
        <f t="shared" ca="1" si="8"/>
        <v>166.02246351883463</v>
      </c>
      <c r="P112" s="72">
        <f ca="1">IF(AND(Energy!$F$11=$A$3,Main!$B$43=A112),'Aerodynamics-Cruise'!H29,P112)</f>
        <v>8.3598134346708122</v>
      </c>
      <c r="Q112" s="72">
        <f ca="1">IF(AND(Energy!$F$11=$A$3,Main!$B$43=A112),'Aerodynamics-Cruise'!I29,Q112)</f>
        <v>7.0605681786396248</v>
      </c>
      <c r="R112" s="72">
        <f ca="1">IF(AND(Energy!$F$11=$A$3,Main!$B$43=$A112),Summary!R29,R112)</f>
        <v>4.3398756913880545</v>
      </c>
      <c r="S112" s="72">
        <f ca="1">IF(AND(Energy!$F$11=$A$3,Main!$B$43=A112),'Aerodynamics-Cruise'!W29,S112)</f>
        <v>1</v>
      </c>
      <c r="T112" s="72">
        <f ca="1">IF(AND(Energy!$F$11=$A$3,Main!$B$43=A112),'Aerodynamics-Cruise'!BL29,T112)</f>
        <v>24.71259667872738</v>
      </c>
      <c r="U112" s="72">
        <f ca="1">IF(AND(Energy!$F$11=$A$3,Main!$B$43=A112),'Propulsion-Cruise'!M29,U112)</f>
        <v>54.289139900812586</v>
      </c>
      <c r="V112" s="72">
        <f ca="1">IF(AND(Energy!$F$11=$A$3,Main!$B$43=A112),Endurance!AP29,V112)</f>
        <v>523.94661879246257</v>
      </c>
      <c r="W112" s="72">
        <f ca="1">IF(AND(Energy!$F$11=$A$3,Main!$B$43=$A112),Summary!W29,W112)</f>
        <v>1.6374269005847952</v>
      </c>
      <c r="X112" s="13">
        <f ca="1">IF(AND(Energy!$F$11=$A$3,Main!$B$43=A112),Energy!D29,X112)</f>
        <v>1182.0301388888888</v>
      </c>
      <c r="Y112" s="126">
        <f ca="1">IF(AND(Energy!$F$11=$A$3,Main!$B$43=A112),'Aerodynamics-Cruise'!V29,Y112)</f>
        <v>164951.92368166981</v>
      </c>
      <c r="Z112" s="126">
        <f ca="1">IF(AND(Energy!$F$11=$A$3,Main!$B$43=$A112),Summary!Z29,Z112)</f>
        <v>123433.45660765095</v>
      </c>
      <c r="AA112" s="126">
        <f ca="1">IF(AND(Energy!$F$11=$A$3,Main!$B$43=$A112),Summary!AA29,AA112)</f>
        <v>123433.45660765095</v>
      </c>
      <c r="AB112" s="72">
        <f ca="1">IF(AND(Energy!$F$11=$A$3,Main!$B$43=$A112),Summary!AB29,AB112)</f>
        <v>4.3398756913880545</v>
      </c>
      <c r="AC112" s="72">
        <f ca="1">IF(AND(Energy!$F$11=$A$3,Main!$B$43=$A112),Summary!AC29,AC112)</f>
        <v>2.1707926159228781</v>
      </c>
      <c r="AD112" s="72">
        <f ca="1">IF(AND(Energy!$F$11=$A$3,Main!$B$43=$A112),Summary!AD29,AD112)</f>
        <v>0.42195094759144675</v>
      </c>
      <c r="AE112" s="72">
        <f ca="1">IF(AND(Energy!$F$11=$A$3,Main!$B$43=$A112),Summary!AE29,AE112)</f>
        <v>1.6374269005847952</v>
      </c>
      <c r="AF112" s="72">
        <f ca="1">IF(AND(Energy!$F$11=$A$3,Main!$B$43=$A112),Summary!AF29,AF112)</f>
        <v>16.917293233082709</v>
      </c>
      <c r="AG112" s="72">
        <f ca="1">IF(AND(Energy!$F$11=$A$3,Main!$B$43=$A112),Summary!AG29,AG112)</f>
        <v>11.330536317492921</v>
      </c>
      <c r="AH112" s="72">
        <f ca="1">IF(AND(Energy!$F$11=$A$3,Main!$B$43=$A112),Summary!AH29,AH112)</f>
        <v>47</v>
      </c>
      <c r="AI112" s="72">
        <f ca="1">IF(AND(Energy!$F$11=$A$3,Main!$B$43=$A112),Summary!AI29,AI112)</f>
        <v>2.7477039631019884</v>
      </c>
      <c r="AJ112" s="72">
        <f ca="1">IF(AND(Energy!$F$11=$A$3,Main!$B$43=$A112),Summary!AJ29,AJ112)</f>
        <v>0.22899669860141422</v>
      </c>
      <c r="AK112" s="72">
        <f ca="1">IF(AND(Energy!$F$11=$A$3,Main!$B$43=$A112),Summary!AK29,AK112)</f>
        <v>0.01</v>
      </c>
      <c r="AL112" s="72">
        <f ca="1">IF(AND(Energy!$F$11=$A$3,Main!$B$43=$A112),Summary!AL29,AL112)</f>
        <v>-0.54585534259837709</v>
      </c>
      <c r="AM112" s="72">
        <f ca="1">IF(AND(Energy!$F$11=$A$3,Main!$B$43=$A112),Summary!AJ129,AM112)</f>
        <v>0</v>
      </c>
    </row>
    <row r="113" spans="1:39">
      <c r="A113">
        <f t="shared" si="9"/>
        <v>6</v>
      </c>
      <c r="D113" s="1">
        <f ca="1">IF(AND(Energy!$F$11=$A$3,Main!$B$43=A113),Main!C30,D113)</f>
        <v>5.4210526315789478</v>
      </c>
      <c r="E113" s="72">
        <f ca="1">IF(AND(Energy!$F$11=$A$3,Main!$B$43=A113),Main!B30,E113)</f>
        <v>0.31111111111111106</v>
      </c>
      <c r="F113" s="72">
        <f ca="1">IF(Main!$D$6=1,U113,IF(Main!$D$6=2,N113,IF(Main!$D$6=3,K113,IF(Main!$D$6=4,V113,J113))))</f>
        <v>523.47762063563289</v>
      </c>
      <c r="G113" s="72">
        <f ca="1">IF(AND(Energy!$F$11=$A$3,Main!$B$43=A113),Weight!H30,G113)</f>
        <v>15</v>
      </c>
      <c r="H113" s="72">
        <f ca="1">IF(AND(Energy!$F$11=$A$3,Main!$B$43=A113),Weight!U30,H113)</f>
        <v>19.410053213551478</v>
      </c>
      <c r="I113" s="72">
        <f ca="1">IF(AND(Energy!$F$11=$A$3,Main!$B$43=A113),Weight!V30,I113)</f>
        <v>47.838093916676485</v>
      </c>
      <c r="J113" s="72">
        <f ca="1">IF(AND(Energy!$F$11=$A$3,Main!$B$43=A113),Weight!I30,J113)</f>
        <v>23.490392428125002</v>
      </c>
      <c r="K113" s="72">
        <f ca="1">IF(AND(Energy!$F$11=$A$3,Main!$B$43=A113),Weight!W30,K113)</f>
        <v>62.838093916676485</v>
      </c>
      <c r="L113" s="72">
        <f ca="1">IF(AND(Energy!$F$11=$A$3,Main!$B$43=A113),'Aerodynamics-Cruise'!BI30,L113)</f>
        <v>62.838093916676492</v>
      </c>
      <c r="M113" s="72">
        <f ca="1">IF(AND(Energy!$F$11=$A$3,Main!$B$43=A113),'Aerodynamics-Cruise'!BJ30,M113)</f>
        <v>2.963797014850845</v>
      </c>
      <c r="N113" s="72">
        <f ca="1">IF(AND(Energy!$F$11=$A$3,Main!$B$43=A113),'Aerodynamics-Cruise'!BK30,N113)</f>
        <v>21.20188852401515</v>
      </c>
      <c r="O113" s="72">
        <f t="shared" ca="1" si="8"/>
        <v>168.06839326595676</v>
      </c>
      <c r="P113" s="72">
        <f ca="1">IF(AND(Energy!$F$11=$A$3,Main!$B$43=A113),'Aerodynamics-Cruise'!H30,P113)</f>
        <v>8.2779793251084737</v>
      </c>
      <c r="Q113" s="72">
        <f ca="1">IF(AND(Energy!$F$11=$A$3,Main!$B$43=A113),'Aerodynamics-Cruise'!I30,Q113)</f>
        <v>6.9942814597491463</v>
      </c>
      <c r="R113" s="72">
        <f ca="1">IF(AND(Energy!$F$11=$A$3,Main!$B$43=$A113),Summary!R30,R113)</f>
        <v>4.2996881281579657</v>
      </c>
      <c r="S113" s="72">
        <f ca="1">IF(AND(Energy!$F$11=$A$3,Main!$B$43=A113),'Aerodynamics-Cruise'!W30,S113)</f>
        <v>1</v>
      </c>
      <c r="T113" s="72">
        <f ca="1">IF(AND(Energy!$F$11=$A$3,Main!$B$43=A113),'Aerodynamics-Cruise'!BL30,T113)</f>
        <v>24.534250412753508</v>
      </c>
      <c r="U113" s="72">
        <f ca="1">IF(AND(Energy!$F$11=$A$3,Main!$B$43=A113),'Propulsion-Cruise'!M30,U113)</f>
        <v>54.081750321948896</v>
      </c>
      <c r="V113" s="72">
        <f ca="1">IF(AND(Energy!$F$11=$A$3,Main!$B$43=A113),Endurance!AP30,V113)</f>
        <v>523.47762063563289</v>
      </c>
      <c r="W113" s="72">
        <f ca="1">IF(AND(Energy!$F$11=$A$3,Main!$B$43=$A113),Summary!W30,W113)</f>
        <v>1.686549707602339</v>
      </c>
      <c r="X113" s="13">
        <f ca="1">IF(AND(Energy!$F$11=$A$3,Main!$B$43=A113),Energy!D30,X113)</f>
        <v>1182.0301388888888</v>
      </c>
      <c r="Y113" s="126">
        <f ca="1">IF(AND(Energy!$F$11=$A$3,Main!$B$43=A113),'Aerodynamics-Cruise'!V30,Y113)</f>
        <v>163337.21135578214</v>
      </c>
      <c r="Z113" s="126">
        <f ca="1">IF(AND(Energy!$F$11=$A$3,Main!$B$43=$A113),Summary!Z30,Z113)</f>
        <v>122272.69653162709</v>
      </c>
      <c r="AA113" s="126">
        <f ca="1">IF(AND(Energy!$F$11=$A$3,Main!$B$43=$A113),Summary!AA30,AA113)</f>
        <v>122272.69653162709</v>
      </c>
      <c r="AB113" s="72">
        <f ca="1">IF(AND(Energy!$F$11=$A$3,Main!$B$43=$A113),Summary!AB30,AB113)</f>
        <v>4.2996881281579657</v>
      </c>
      <c r="AC113" s="72">
        <f ca="1">IF(AND(Energy!$F$11=$A$3,Main!$B$43=$A113),Summary!AC30,AC113)</f>
        <v>2.1321306478923869</v>
      </c>
      <c r="AD113" s="72">
        <f ca="1">IF(AND(Energy!$F$11=$A$3,Main!$B$43=$A113),Summary!AD30,AD113)</f>
        <v>0.42032641182512548</v>
      </c>
      <c r="AE113" s="72">
        <f ca="1">IF(AND(Energy!$F$11=$A$3,Main!$B$43=$A113),Summary!AE30,AE113)</f>
        <v>1.686549707602339</v>
      </c>
      <c r="AF113" s="72">
        <f ca="1">IF(AND(Energy!$F$11=$A$3,Main!$B$43=$A113),Summary!AF30,AF113)</f>
        <v>17.424812030075191</v>
      </c>
      <c r="AG113" s="72">
        <f ca="1">IF(AND(Energy!$F$11=$A$3,Main!$B$43=$A113),Summary!AG30,AG113)</f>
        <v>11.315444252149284</v>
      </c>
      <c r="AH113" s="72">
        <f ca="1">IF(AND(Energy!$F$11=$A$3,Main!$B$43=$A113),Summary!AH30,AH113)</f>
        <v>47</v>
      </c>
      <c r="AI113" s="72">
        <f ca="1">IF(AND(Energy!$F$11=$A$3,Main!$B$43=$A113),Summary!AI30,AI113)</f>
        <v>2.7454815922766311</v>
      </c>
      <c r="AJ113" s="72">
        <f ca="1">IF(AND(Energy!$F$11=$A$3,Main!$B$43=$A113),Summary!AJ30,AJ113)</f>
        <v>0.22962259103296748</v>
      </c>
      <c r="AK113" s="72">
        <f ca="1">IF(AND(Energy!$F$11=$A$3,Main!$B$43=$A113),Summary!AK30,AK113)</f>
        <v>0.01</v>
      </c>
      <c r="AL113" s="72">
        <f ca="1">IF(AND(Energy!$F$11=$A$3,Main!$B$43=$A113),Summary!AL30,AL113)</f>
        <v>-0.54436733398557746</v>
      </c>
      <c r="AM113" s="72">
        <f ca="1">IF(AND(Energy!$F$11=$A$3,Main!$B$43=$A113),Summary!AJ130,AM113)</f>
        <v>0</v>
      </c>
    </row>
    <row r="114" spans="1:39">
      <c r="A114">
        <f t="shared" si="9"/>
        <v>6</v>
      </c>
      <c r="D114" s="1">
        <f ca="1">IF(AND(Energy!$F$11=$A$3,Main!$B$43=A114),Main!C31,D114)</f>
        <v>5.5789473684210531</v>
      </c>
      <c r="E114" s="72">
        <f ca="1">IF(AND(Energy!$F$11=$A$3,Main!$B$43=A114),Main!B31,E114)</f>
        <v>0.31111111111111106</v>
      </c>
      <c r="F114" s="72">
        <f ca="1">IF(Main!$D$6=1,U114,IF(Main!$D$6=2,N114,IF(Main!$D$6=3,K114,IF(Main!$D$6=4,V114,J114))))</f>
        <v>523.46690947987622</v>
      </c>
      <c r="G114" s="72">
        <f ca="1">IF(AND(Energy!$F$11=$A$3,Main!$B$43=A114),Weight!H31,G114)</f>
        <v>15</v>
      </c>
      <c r="H114" s="72">
        <f ca="1">IF(AND(Energy!$F$11=$A$3,Main!$B$43=A114),Weight!U31,H114)</f>
        <v>20.040895920154668</v>
      </c>
      <c r="I114" s="72">
        <f ca="1">IF(AND(Energy!$F$11=$A$3,Main!$B$43=A114),Weight!V31,I114)</f>
        <v>48.468936623279674</v>
      </c>
      <c r="J114" s="72">
        <f ca="1">IF(AND(Energy!$F$11=$A$3,Main!$B$43=A114),Weight!I31,J114)</f>
        <v>23.490392428125002</v>
      </c>
      <c r="K114" s="72">
        <f ca="1">IF(AND(Energy!$F$11=$A$3,Main!$B$43=A114),Weight!W31,K114)</f>
        <v>63.468936623279674</v>
      </c>
      <c r="L114" s="72">
        <f ca="1">IF(AND(Energy!$F$11=$A$3,Main!$B$43=A114),'Aerodynamics-Cruise'!BI31,L114)</f>
        <v>63.468936623279696</v>
      </c>
      <c r="M114" s="72">
        <f ca="1">IF(AND(Energy!$F$11=$A$3,Main!$B$43=A114),'Aerodynamics-Cruise'!BJ31,M114)</f>
        <v>2.9731914066622731</v>
      </c>
      <c r="N114" s="72">
        <f ca="1">IF(AND(Energy!$F$11=$A$3,Main!$B$43=A114),'Aerodynamics-Cruise'!BK31,N114)</f>
        <v>21.347073881977344</v>
      </c>
      <c r="O114" s="72">
        <f t="shared" ca="1" si="8"/>
        <v>170.06657451099849</v>
      </c>
      <c r="P114" s="72">
        <f ca="1">IF(AND(Energy!$F$11=$A$3,Main!$B$43=A114),'Aerodynamics-Cruise'!H31,P114)</f>
        <v>8.2008158762026824</v>
      </c>
      <c r="Q114" s="72">
        <f ca="1">IF(AND(Energy!$F$11=$A$3,Main!$B$43=A114),'Aerodynamics-Cruise'!I31,Q114)</f>
        <v>6.931752067111856</v>
      </c>
      <c r="R114" s="72">
        <f ca="1">IF(AND(Energy!$F$11=$A$3,Main!$B$43=$A114),Summary!R31,R114)</f>
        <v>4.2643475827362574</v>
      </c>
      <c r="S114" s="72">
        <f ca="1">IF(AND(Energy!$F$11=$A$3,Main!$B$43=A114),'Aerodynamics-Cruise'!W31,S114)</f>
        <v>1</v>
      </c>
      <c r="T114" s="72">
        <f ca="1">IF(AND(Energy!$F$11=$A$3,Main!$B$43=A114),'Aerodynamics-Cruise'!BL31,T114)</f>
        <v>24.382595290745353</v>
      </c>
      <c r="U114" s="72">
        <f ca="1">IF(AND(Energy!$F$11=$A$3,Main!$B$43=A114),'Propulsion-Cruise'!M31,U114)</f>
        <v>53.925307343303821</v>
      </c>
      <c r="V114" s="72">
        <f ca="1">IF(AND(Energy!$F$11=$A$3,Main!$B$43=A114),Endurance!AP31,V114)</f>
        <v>523.46690947987622</v>
      </c>
      <c r="W114" s="72">
        <f ca="1">IF(AND(Energy!$F$11=$A$3,Main!$B$43=$A114),Summary!W31,W114)</f>
        <v>1.7356725146198828</v>
      </c>
      <c r="X114" s="13">
        <f ca="1">IF(AND(Energy!$F$11=$A$3,Main!$B$43=A114),Energy!D31,X114)</f>
        <v>1182.0301388888888</v>
      </c>
      <c r="Y114" s="126">
        <f ca="1">IF(AND(Energy!$F$11=$A$3,Main!$B$43=A114),'Aerodynamics-Cruise'!V31,Y114)</f>
        <v>161814.65831863729</v>
      </c>
      <c r="Z114" s="126">
        <f ca="1">IF(AND(Energy!$F$11=$A$3,Main!$B$43=$A114),Summary!Z31,Z114)</f>
        <v>121177.74953498217</v>
      </c>
      <c r="AA114" s="126">
        <f ca="1">IF(AND(Energy!$F$11=$A$3,Main!$B$43=$A114),Summary!AA31,AA114)</f>
        <v>121177.74953498217</v>
      </c>
      <c r="AB114" s="72">
        <f ca="1">IF(AND(Energy!$F$11=$A$3,Main!$B$43=$A114),Summary!AB31,AB114)</f>
        <v>4.2643475827362574</v>
      </c>
      <c r="AC114" s="72">
        <f ca="1">IF(AND(Energy!$F$11=$A$3,Main!$B$43=$A114),Summary!AC31,AC114)</f>
        <v>2.094457694414813</v>
      </c>
      <c r="AD114" s="72">
        <f ca="1">IF(AND(Energy!$F$11=$A$3,Main!$B$43=$A114),Summary!AD31,AD114)</f>
        <v>0.41888757368039103</v>
      </c>
      <c r="AE114" s="72">
        <f ca="1">IF(AND(Energy!$F$11=$A$3,Main!$B$43=$A114),Summary!AE31,AE114)</f>
        <v>1.7356725146198828</v>
      </c>
      <c r="AF114" s="72">
        <f ca="1">IF(AND(Energy!$F$11=$A$3,Main!$B$43=$A114),Summary!AF31,AF114)</f>
        <v>17.932330827067673</v>
      </c>
      <c r="AG114" s="72">
        <f ca="1">IF(AND(Energy!$F$11=$A$3,Main!$B$43=$A114),Summary!AG31,AG114)</f>
        <v>11.306320251444653</v>
      </c>
      <c r="AH114" s="72">
        <f ca="1">IF(AND(Energy!$F$11=$A$3,Main!$B$43=$A114),Summary!AH31,AH114)</f>
        <v>47</v>
      </c>
      <c r="AI114" s="72">
        <f ca="1">IF(AND(Energy!$F$11=$A$3,Main!$B$43=$A114),Summary!AI31,AI114)</f>
        <v>2.7433685318698999</v>
      </c>
      <c r="AJ114" s="72">
        <f ca="1">IF(AND(Energy!$F$11=$A$3,Main!$B$43=$A114),Summary!AJ31,AJ114)</f>
        <v>0.23021528738253261</v>
      </c>
      <c r="AK114" s="72">
        <f ca="1">IF(AND(Energy!$F$11=$A$3,Main!$B$43=$A114),Summary!AK31,AK114)</f>
        <v>0.01</v>
      </c>
      <c r="AL114" s="72">
        <f ca="1">IF(AND(Energy!$F$11=$A$3,Main!$B$43=$A114),Summary!AL31,AL114)</f>
        <v>-0.54296569697124464</v>
      </c>
      <c r="AM114" s="72">
        <f ca="1">IF(AND(Energy!$F$11=$A$3,Main!$B$43=$A114),Summary!AJ131,AM114)</f>
        <v>0</v>
      </c>
    </row>
    <row r="115" spans="1:39">
      <c r="A115">
        <f t="shared" si="9"/>
        <v>6</v>
      </c>
      <c r="D115" s="1">
        <f ca="1">IF(AND(Energy!$F$11=$A$3,Main!$B$43=A115),Main!C32,D115)</f>
        <v>5.7368421052631584</v>
      </c>
      <c r="E115" s="72">
        <f ca="1">IF(AND(Energy!$F$11=$A$3,Main!$B$43=A115),Main!B32,E115)</f>
        <v>0.31111111111111106</v>
      </c>
      <c r="F115" s="72">
        <f ca="1">IF(Main!$D$6=1,U115,IF(Main!$D$6=2,N115,IF(Main!$D$6=3,K115,IF(Main!$D$6=4,V115,J115))))</f>
        <v>523.88046403279907</v>
      </c>
      <c r="G115" s="72">
        <f ca="1">IF(AND(Energy!$F$11=$A$3,Main!$B$43=A115),Weight!H32,G115)</f>
        <v>15</v>
      </c>
      <c r="H115" s="72">
        <f ca="1">IF(AND(Energy!$F$11=$A$3,Main!$B$43=A115),Weight!U32,H115)</f>
        <v>20.683970221362742</v>
      </c>
      <c r="I115" s="72">
        <f ca="1">IF(AND(Energy!$F$11=$A$3,Main!$B$43=A115),Weight!V32,I115)</f>
        <v>49.112010924487748</v>
      </c>
      <c r="J115" s="72">
        <f ca="1">IF(AND(Energy!$F$11=$A$3,Main!$B$43=A115),Weight!I32,J115)</f>
        <v>23.490392428125002</v>
      </c>
      <c r="K115" s="72">
        <f ca="1">IF(AND(Energy!$F$11=$A$3,Main!$B$43=A115),Weight!W32,K115)</f>
        <v>64.112010924487748</v>
      </c>
      <c r="L115" s="72">
        <f ca="1">IF(AND(Energy!$F$11=$A$3,Main!$B$43=A115),'Aerodynamics-Cruise'!BI32,L115)</f>
        <v>64.112010924487748</v>
      </c>
      <c r="M115" s="72">
        <f ca="1">IF(AND(Energy!$F$11=$A$3,Main!$B$43=A115),'Aerodynamics-Cruise'!BJ32,M115)</f>
        <v>2.9841778111002175</v>
      </c>
      <c r="N115" s="72">
        <f ca="1">IF(AND(Energy!$F$11=$A$3,Main!$B$43=A115),'Aerodynamics-Cruise'!BK32,N115)</f>
        <v>21.483978161760643</v>
      </c>
      <c r="O115" s="72">
        <f t="shared" ca="1" si="8"/>
        <v>172.02216206006378</v>
      </c>
      <c r="P115" s="72">
        <f ca="1">IF(AND(Energy!$F$11=$A$3,Main!$B$43=A115),'Aerodynamics-Cruise'!H32,P115)</f>
        <v>8.1280045152421572</v>
      </c>
      <c r="Q115" s="72">
        <f ca="1">IF(AND(Energy!$F$11=$A$3,Main!$B$43=A115),'Aerodynamics-Cruise'!I32,Q115)</f>
        <v>6.8727261100524801</v>
      </c>
      <c r="R115" s="72">
        <f ca="1">IF(AND(Energy!$F$11=$A$3,Main!$B$43=$A115),Summary!R32,R115)</f>
        <v>4.2335134219388024</v>
      </c>
      <c r="S115" s="72">
        <f ca="1">IF(AND(Energy!$F$11=$A$3,Main!$B$43=A115),'Aerodynamics-Cruise'!W32,S115)</f>
        <v>1</v>
      </c>
      <c r="T115" s="72">
        <f ca="1">IF(AND(Energy!$F$11=$A$3,Main!$B$43=A115),'Aerodynamics-Cruise'!BL32,T115)</f>
        <v>24.255410722908024</v>
      </c>
      <c r="U115" s="72">
        <f ca="1">IF(AND(Energy!$F$11=$A$3,Main!$B$43=A115),'Propulsion-Cruise'!M32,U115)</f>
        <v>53.81583375447255</v>
      </c>
      <c r="V115" s="72">
        <f ca="1">IF(AND(Energy!$F$11=$A$3,Main!$B$43=A115),Endurance!AP32,V115)</f>
        <v>523.88046403279907</v>
      </c>
      <c r="W115" s="72">
        <f ca="1">IF(AND(Energy!$F$11=$A$3,Main!$B$43=$A115),Summary!W32,W115)</f>
        <v>1.7847953216374268</v>
      </c>
      <c r="X115" s="13">
        <f ca="1">IF(AND(Energy!$F$11=$A$3,Main!$B$43=A115),Energy!D32,X115)</f>
        <v>1182.0301388888888</v>
      </c>
      <c r="Y115" s="126">
        <f ca="1">IF(AND(Energy!$F$11=$A$3,Main!$B$43=A115),'Aerodynamics-Cruise'!V32,Y115)</f>
        <v>160377.97864268802</v>
      </c>
      <c r="Z115" s="126">
        <f ca="1">IF(AND(Energy!$F$11=$A$3,Main!$B$43=$A115),Summary!Z32,Z115)</f>
        <v>120144.16684502483</v>
      </c>
      <c r="AA115" s="126">
        <f ca="1">IF(AND(Energy!$F$11=$A$3,Main!$B$43=$A115),Summary!AA32,AA115)</f>
        <v>120144.16684502483</v>
      </c>
      <c r="AB115" s="72">
        <f ca="1">IF(AND(Energy!$F$11=$A$3,Main!$B$43=$A115),Summary!AB32,AB115)</f>
        <v>4.2335134219388024</v>
      </c>
      <c r="AC115" s="72">
        <f ca="1">IF(AND(Energy!$F$11=$A$3,Main!$B$43=$A115),Summary!AC32,AC115)</f>
        <v>2.0577345506471882</v>
      </c>
      <c r="AD115" s="72">
        <f ca="1">IF(AND(Energy!$F$11=$A$3,Main!$B$43=$A115),Summary!AD32,AD115)</f>
        <v>0.41762141136568826</v>
      </c>
      <c r="AE115" s="72">
        <f ca="1">IF(AND(Energy!$F$11=$A$3,Main!$B$43=$A115),Summary!AE32,AE115)</f>
        <v>1.7847953216374268</v>
      </c>
      <c r="AF115" s="72">
        <f ca="1">IF(AND(Energy!$F$11=$A$3,Main!$B$43=$A115),Summary!AF32,AF115)</f>
        <v>18.439849624060155</v>
      </c>
      <c r="AG115" s="72">
        <f ca="1">IF(AND(Energy!$F$11=$A$3,Main!$B$43=$A115),Summary!AG32,AG115)</f>
        <v>11.302714765388952</v>
      </c>
      <c r="AH115" s="72">
        <f ca="1">IF(AND(Energy!$F$11=$A$3,Main!$B$43=$A115),Summary!AH32,AH115)</f>
        <v>47</v>
      </c>
      <c r="AI115" s="72">
        <f ca="1">IF(AND(Energy!$F$11=$A$3,Main!$B$43=$A115),Summary!AI32,AI115)</f>
        <v>2.7413587277209475</v>
      </c>
      <c r="AJ115" s="72">
        <f ca="1">IF(AND(Energy!$F$11=$A$3,Main!$B$43=$A115),Summary!AJ32,AJ115)</f>
        <v>0.23077699944699695</v>
      </c>
      <c r="AK115" s="72">
        <f ca="1">IF(AND(Energy!$F$11=$A$3,Main!$B$43=$A115),Summary!AK32,AK115)</f>
        <v>0.01</v>
      </c>
      <c r="AL115" s="72">
        <f ca="1">IF(AND(Energy!$F$11=$A$3,Main!$B$43=$A115),Summary!AL32,AL115)</f>
        <v>-0.541643970165405</v>
      </c>
      <c r="AM115" s="72">
        <f ca="1">IF(AND(Energy!$F$11=$A$3,Main!$B$43=$A115),Summary!AJ132,AM115)</f>
        <v>0</v>
      </c>
    </row>
    <row r="116" spans="1:39">
      <c r="A116">
        <f t="shared" si="9"/>
        <v>6</v>
      </c>
      <c r="D116" s="1">
        <f ca="1">IF(AND(Energy!$F$11=$A$3,Main!$B$43=A116),Main!C33,D116)</f>
        <v>5.8947368421052637</v>
      </c>
      <c r="E116" s="72">
        <f ca="1">IF(AND(Energy!$F$11=$A$3,Main!$B$43=A116),Main!B33,E116)</f>
        <v>0.31111111111111106</v>
      </c>
      <c r="F116" s="72">
        <f ca="1">IF(Main!$D$6=1,U116,IF(Main!$D$6=2,N116,IF(Main!$D$6=3,K116,IF(Main!$D$6=4,V116,J116))))</f>
        <v>524.6884094015993</v>
      </c>
      <c r="G116" s="72">
        <f ca="1">IF(AND(Energy!$F$11=$A$3,Main!$B$43=A116),Weight!H33,G116)</f>
        <v>15</v>
      </c>
      <c r="H116" s="72">
        <f ca="1">IF(AND(Energy!$F$11=$A$3,Main!$B$43=A116),Weight!U33,H116)</f>
        <v>21.339371224636281</v>
      </c>
      <c r="I116" s="72">
        <f ca="1">IF(AND(Energy!$F$11=$A$3,Main!$B$43=A116),Weight!V33,I116)</f>
        <v>49.767411927761287</v>
      </c>
      <c r="J116" s="72">
        <f ca="1">IF(AND(Energy!$F$11=$A$3,Main!$B$43=A116),Weight!I33,J116)</f>
        <v>23.490392428125002</v>
      </c>
      <c r="K116" s="72">
        <f ca="1">IF(AND(Energy!$F$11=$A$3,Main!$B$43=A116),Weight!W33,K116)</f>
        <v>64.767411927761287</v>
      </c>
      <c r="L116" s="72">
        <f ca="1">IF(AND(Energy!$F$11=$A$3,Main!$B$43=A116),'Aerodynamics-Cruise'!BI33,L116)</f>
        <v>64.767411927761259</v>
      </c>
      <c r="M116" s="72">
        <f ca="1">IF(AND(Energy!$F$11=$A$3,Main!$B$43=A116),'Aerodynamics-Cruise'!BJ33,M116)</f>
        <v>2.9966465359145591</v>
      </c>
      <c r="N116" s="72">
        <f ca="1">IF(AND(Energy!$F$11=$A$3,Main!$B$43=A116),'Aerodynamics-Cruise'!BK33,N116)</f>
        <v>21.613297114467528</v>
      </c>
      <c r="O116" s="72">
        <f t="shared" ca="1" si="8"/>
        <v>173.939931733252</v>
      </c>
      <c r="P116" s="72">
        <f ca="1">IF(AND(Energy!$F$11=$A$3,Main!$B$43=A116),'Aerodynamics-Cruise'!H33,P116)</f>
        <v>8.05925688660896</v>
      </c>
      <c r="Q116" s="72">
        <f ca="1">IF(AND(Energy!$F$11=$A$3,Main!$B$43=A116),'Aerodynamics-Cruise'!I33,Q116)</f>
        <v>6.8169736119047988</v>
      </c>
      <c r="R116" s="72">
        <f ca="1">IF(AND(Energy!$F$11=$A$3,Main!$B$43=$A116),Summary!R33,R116)</f>
        <v>4.2068840979513231</v>
      </c>
      <c r="S116" s="72">
        <f ca="1">IF(AND(Energy!$F$11=$A$3,Main!$B$43=A116),'Aerodynamics-Cruise'!W33,S116)</f>
        <v>1</v>
      </c>
      <c r="T116" s="72">
        <f ca="1">IF(AND(Energy!$F$11=$A$3,Main!$B$43=A116),'Aerodynamics-Cruise'!BL33,T116)</f>
        <v>24.150744231302294</v>
      </c>
      <c r="U116" s="72">
        <f ca="1">IF(AND(Energy!$F$11=$A$3,Main!$B$43=A116),'Propulsion-Cruise'!M33,U116)</f>
        <v>53.749831749277995</v>
      </c>
      <c r="V116" s="72">
        <f ca="1">IF(AND(Energy!$F$11=$A$3,Main!$B$43=A116),Endurance!AP33,V116)</f>
        <v>524.6884094015993</v>
      </c>
      <c r="W116" s="72">
        <f ca="1">IF(AND(Energy!$F$11=$A$3,Main!$B$43=$A116),Summary!W33,W116)</f>
        <v>1.8339181286549706</v>
      </c>
      <c r="X116" s="13">
        <f ca="1">IF(AND(Energy!$F$11=$A$3,Main!$B$43=A116),Energy!D33,X116)</f>
        <v>1182.0301388888888</v>
      </c>
      <c r="Y116" s="126">
        <f ca="1">IF(AND(Energy!$F$11=$A$3,Main!$B$43=A116),'Aerodynamics-Cruise'!V33,Y116)</f>
        <v>159021.48262992199</v>
      </c>
      <c r="Z116" s="126">
        <f ca="1">IF(AND(Energy!$F$11=$A$3,Main!$B$43=$A116),Summary!Z33,Z116)</f>
        <v>119167.91883560759</v>
      </c>
      <c r="AA116" s="126">
        <f ca="1">IF(AND(Energy!$F$11=$A$3,Main!$B$43=$A116),Summary!AA33,AA116)</f>
        <v>119167.91883560759</v>
      </c>
      <c r="AB116" s="72">
        <f ca="1">IF(AND(Energy!$F$11=$A$3,Main!$B$43=$A116),Summary!AB33,AB116)</f>
        <v>4.2068840979513231</v>
      </c>
      <c r="AC116" s="72">
        <f ca="1">IF(AND(Energy!$F$11=$A$3,Main!$B$43=$A116),Summary!AC33,AC116)</f>
        <v>2.0219236392813853</v>
      </c>
      <c r="AD116" s="72">
        <f ca="1">IF(AND(Energy!$F$11=$A$3,Main!$B$43=$A116),Summary!AD33,AD116)</f>
        <v>0.41651619392690503</v>
      </c>
      <c r="AE116" s="72">
        <f ca="1">IF(AND(Energy!$F$11=$A$3,Main!$B$43=$A116),Summary!AE33,AE116)</f>
        <v>1.8339181286549706</v>
      </c>
      <c r="AF116" s="72">
        <f ca="1">IF(AND(Energy!$F$11=$A$3,Main!$B$43=$A116),Summary!AF33,AF116)</f>
        <v>18.947368421052637</v>
      </c>
      <c r="AG116" s="72">
        <f ca="1">IF(AND(Energy!$F$11=$A$3,Main!$B$43=$A116),Summary!AG33,AG116)</f>
        <v>11.304228519296888</v>
      </c>
      <c r="AH116" s="72">
        <f ca="1">IF(AND(Energy!$F$11=$A$3,Main!$B$43=$A116),Summary!AH33,AH116)</f>
        <v>47</v>
      </c>
      <c r="AI116" s="72">
        <f ca="1">IF(AND(Energy!$F$11=$A$3,Main!$B$43=$A116),Summary!AI33,AI116)</f>
        <v>2.7394466282203953</v>
      </c>
      <c r="AJ116" s="72">
        <f ca="1">IF(AND(Energy!$F$11=$A$3,Main!$B$43=$A116),Summary!AJ33,AJ116)</f>
        <v>0.23130972391191537</v>
      </c>
      <c r="AK116" s="72">
        <f ca="1">IF(AND(Energy!$F$11=$A$3,Main!$B$43=$A116),Summary!AK33,AK116)</f>
        <v>0.01</v>
      </c>
      <c r="AL116" s="72">
        <f ca="1">IF(AND(Energy!$F$11=$A$3,Main!$B$43=$A116),Summary!AL33,AL116)</f>
        <v>-0.5403963756205451</v>
      </c>
      <c r="AM116" s="72">
        <f ca="1">IF(AND(Energy!$F$11=$A$3,Main!$B$43=$A116),Summary!AJ133,AM116)</f>
        <v>0</v>
      </c>
    </row>
    <row r="117" spans="1:39">
      <c r="A117">
        <f t="shared" si="9"/>
        <v>6</v>
      </c>
      <c r="D117" s="1">
        <f ca="1">IF(AND(Energy!$F$11=$A$3,Main!$B$43=A117),Main!C34,D117)</f>
        <v>6.052631578947369</v>
      </c>
      <c r="E117" s="72">
        <f ca="1">IF(AND(Energy!$F$11=$A$3,Main!$B$43=A117),Main!B34,E117)</f>
        <v>0.31111111111111106</v>
      </c>
      <c r="F117" s="72">
        <f ca="1">IF(Main!$D$6=1,U117,IF(Main!$D$6=2,N117,IF(Main!$D$6=3,K117,IF(Main!$D$6=4,V117,J117))))</f>
        <v>525.86443522528191</v>
      </c>
      <c r="G117" s="72">
        <f ca="1">IF(AND(Energy!$F$11=$A$3,Main!$B$43=A117),Weight!H34,G117)</f>
        <v>15</v>
      </c>
      <c r="H117" s="72">
        <f ca="1">IF(AND(Energy!$F$11=$A$3,Main!$B$43=A117),Weight!U34,H117)</f>
        <v>22.007198554141027</v>
      </c>
      <c r="I117" s="72">
        <f ca="1">IF(AND(Energy!$F$11=$A$3,Main!$B$43=A117),Weight!V34,I117)</f>
        <v>50.435239257266034</v>
      </c>
      <c r="J117" s="72">
        <f ca="1">IF(AND(Energy!$F$11=$A$3,Main!$B$43=A117),Weight!I34,J117)</f>
        <v>23.490392428125002</v>
      </c>
      <c r="K117" s="72">
        <f ca="1">IF(AND(Energy!$F$11=$A$3,Main!$B$43=A117),Weight!W34,K117)</f>
        <v>65.435239257266034</v>
      </c>
      <c r="L117" s="72">
        <f ca="1">IF(AND(Energy!$F$11=$A$3,Main!$B$43=A117),'Aerodynamics-Cruise'!BI34,L117)</f>
        <v>65.435239257266034</v>
      </c>
      <c r="M117" s="72">
        <f ca="1">IF(AND(Energy!$F$11=$A$3,Main!$B$43=A117),'Aerodynamics-Cruise'!BJ34,M117)</f>
        <v>3.0104999325114394</v>
      </c>
      <c r="N117" s="72">
        <f ca="1">IF(AND(Energy!$F$11=$A$3,Main!$B$43=A117),'Aerodynamics-Cruise'!BK34,N117)</f>
        <v>21.735672055862899</v>
      </c>
      <c r="O117" s="72">
        <f t="shared" ca="1" si="8"/>
        <v>175.82430939050531</v>
      </c>
      <c r="P117" s="72">
        <f ca="1">IF(AND(Energy!$F$11=$A$3,Main!$B$43=A117),'Aerodynamics-Cruise'!H34,P117)</f>
        <v>7.9943112658485447</v>
      </c>
      <c r="Q117" s="72">
        <f ca="1">IF(AND(Energy!$F$11=$A$3,Main!$B$43=A117),'Aerodynamics-Cruise'!I34,Q117)</f>
        <v>6.764285687658691</v>
      </c>
      <c r="R117" s="72">
        <f ca="1">IF(AND(Energy!$F$11=$A$3,Main!$B$43=$A117),Summary!R34,R117)</f>
        <v>4.1841920164055706</v>
      </c>
      <c r="S117" s="72">
        <f ca="1">IF(AND(Energy!$F$11=$A$3,Main!$B$43=A117),'Aerodynamics-Cruise'!W34,S117)</f>
        <v>1</v>
      </c>
      <c r="T117" s="72">
        <f ca="1">IF(AND(Energy!$F$11=$A$3,Main!$B$43=A117),'Aerodynamics-Cruise'!BL34,T117)</f>
        <v>24.066873526312484</v>
      </c>
      <c r="U117" s="72">
        <f ca="1">IF(AND(Energy!$F$11=$A$3,Main!$B$43=A117),'Propulsion-Cruise'!M34,U117)</f>
        <v>53.724215531933666</v>
      </c>
      <c r="V117" s="72">
        <f ca="1">IF(AND(Energy!$F$11=$A$3,Main!$B$43=A117),Endurance!AP34,V117)</f>
        <v>525.86443522528191</v>
      </c>
      <c r="W117" s="72">
        <f ca="1">IF(AND(Energy!$F$11=$A$3,Main!$B$43=$A117),Summary!W34,W117)</f>
        <v>1.8830409356725144</v>
      </c>
      <c r="X117" s="13">
        <f ca="1">IF(AND(Energy!$F$11=$A$3,Main!$B$43=A117),Energy!D34,X117)</f>
        <v>1182.0301388888888</v>
      </c>
      <c r="Y117" s="126">
        <f ca="1">IF(AND(Energy!$F$11=$A$3,Main!$B$43=A117),'Aerodynamics-Cruise'!V34,Y117)</f>
        <v>157740.00605597108</v>
      </c>
      <c r="Z117" s="126">
        <f ca="1">IF(AND(Energy!$F$11=$A$3,Main!$B$43=$A117),Summary!Z34,Z117)</f>
        <v>118245.34554830323</v>
      </c>
      <c r="AA117" s="126">
        <f ca="1">IF(AND(Energy!$F$11=$A$3,Main!$B$43=$A117),Summary!AA34,AA117)</f>
        <v>118245.34554830323</v>
      </c>
      <c r="AB117" s="72">
        <f ca="1">IF(AND(Energy!$F$11=$A$3,Main!$B$43=$A117),Summary!AB34,AB117)</f>
        <v>4.1841920164055706</v>
      </c>
      <c r="AC117" s="72">
        <f ca="1">IF(AND(Energy!$F$11=$A$3,Main!$B$43=$A117),Summary!AC34,AC117)</f>
        <v>1.9869890460793005</v>
      </c>
      <c r="AD117" s="72">
        <f ca="1">IF(AND(Energy!$F$11=$A$3,Main!$B$43=$A117),Summary!AD34,AD117)</f>
        <v>0.41556132411814822</v>
      </c>
      <c r="AE117" s="72">
        <f ca="1">IF(AND(Energy!$F$11=$A$3,Main!$B$43=$A117),Summary!AE34,AE117)</f>
        <v>1.8830409356725144</v>
      </c>
      <c r="AF117" s="72">
        <f ca="1">IF(AND(Energy!$F$11=$A$3,Main!$B$43=$A117),Summary!AF34,AF117)</f>
        <v>19.454887218045119</v>
      </c>
      <c r="AG117" s="72">
        <f ca="1">IF(AND(Energy!$F$11=$A$3,Main!$B$43=$A117),Summary!AG34,AG117)</f>
        <v>11.310505837056843</v>
      </c>
      <c r="AH117" s="72">
        <f ca="1">IF(AND(Energy!$F$11=$A$3,Main!$B$43=$A117),Summary!AH34,AH117)</f>
        <v>47</v>
      </c>
      <c r="AI117" s="72">
        <f ca="1">IF(AND(Energy!$F$11=$A$3,Main!$B$43=$A117),Summary!AI34,AI117)</f>
        <v>2.7376271290287311</v>
      </c>
      <c r="AJ117" s="72">
        <f ca="1">IF(AND(Energy!$F$11=$A$3,Main!$B$43=$A117),Summary!AJ34,AJ117)</f>
        <v>0.23181526759393042</v>
      </c>
      <c r="AK117" s="72">
        <f ca="1">IF(AND(Energy!$F$11=$A$3,Main!$B$43=$A117),Summary!AK34,AK117)</f>
        <v>0.01</v>
      </c>
      <c r="AL117" s="72">
        <f ca="1">IF(AND(Energy!$F$11=$A$3,Main!$B$43=$A117),Summary!AL34,AL117)</f>
        <v>-0.53921773157135955</v>
      </c>
      <c r="AM117" s="72">
        <f ca="1">IF(AND(Energy!$F$11=$A$3,Main!$B$43=$A117),Summary!AJ134,AM117)</f>
        <v>0</v>
      </c>
    </row>
    <row r="118" spans="1:39">
      <c r="A118">
        <f t="shared" si="9"/>
        <v>6</v>
      </c>
      <c r="D118" s="1">
        <f ca="1">IF(AND(Energy!$F$11=$A$3,Main!$B$43=A118),Main!C35,D118)</f>
        <v>6.2105263157894743</v>
      </c>
      <c r="E118" s="72">
        <f ca="1">IF(AND(Energy!$F$11=$A$3,Main!$B$43=A118),Main!B35,E118)</f>
        <v>0.31111111111111106</v>
      </c>
      <c r="F118" s="72">
        <f ca="1">IF(Main!$D$6=1,U118,IF(Main!$D$6=2,N118,IF(Main!$D$6=3,K118,IF(Main!$D$6=4,V118,J118))))</f>
        <v>527.38530848230835</v>
      </c>
      <c r="G118" s="72">
        <f ca="1">IF(AND(Energy!$F$11=$A$3,Main!$B$43=A118),Weight!H35,G118)</f>
        <v>15</v>
      </c>
      <c r="H118" s="72">
        <f ca="1">IF(AND(Energy!$F$11=$A$3,Main!$B$43=A118),Weight!U35,H118)</f>
        <v>22.687556082020379</v>
      </c>
      <c r="I118" s="72">
        <f ca="1">IF(AND(Energy!$F$11=$A$3,Main!$B$43=A118),Weight!V35,I118)</f>
        <v>51.115596785145385</v>
      </c>
      <c r="J118" s="72">
        <f ca="1">IF(AND(Energy!$F$11=$A$3,Main!$B$43=A118),Weight!I35,J118)</f>
        <v>23.490392428125002</v>
      </c>
      <c r="K118" s="72">
        <f ca="1">IF(AND(Energy!$F$11=$A$3,Main!$B$43=A118),Weight!W35,K118)</f>
        <v>66.115596785145385</v>
      </c>
      <c r="L118" s="72">
        <f ca="1">IF(AND(Energy!$F$11=$A$3,Main!$B$43=A118),'Aerodynamics-Cruise'!BI35,L118)</f>
        <v>66.115596785145399</v>
      </c>
      <c r="M118" s="72">
        <f ca="1">IF(AND(Energy!$F$11=$A$3,Main!$B$43=A118),'Aerodynamics-Cruise'!BJ35,M118)</f>
        <v>3.0256508445056065</v>
      </c>
      <c r="N118" s="72">
        <f ca="1">IF(AND(Energy!$F$11=$A$3,Main!$B$43=A118),'Aerodynamics-Cruise'!BK35,N118)</f>
        <v>21.851694125648109</v>
      </c>
      <c r="O118" s="72">
        <f t="shared" ca="1" si="8"/>
        <v>177.67939793661114</v>
      </c>
      <c r="P118" s="72">
        <f ca="1">IF(AND(Energy!$F$11=$A$3,Main!$B$43=A118),'Aerodynamics-Cruise'!H35,P118)</f>
        <v>7.932929479810789</v>
      </c>
      <c r="Q118" s="72">
        <f ca="1">IF(AND(Energy!$F$11=$A$3,Main!$B$43=A118),'Aerodynamics-Cruise'!I35,Q118)</f>
        <v>6.7144721180065696</v>
      </c>
      <c r="R118" s="72">
        <f ca="1">IF(AND(Energy!$F$11=$A$3,Main!$B$43=$A118),Summary!R35,R118)</f>
        <v>4.1651991989024664</v>
      </c>
      <c r="S118" s="72">
        <f ca="1">IF(AND(Energy!$F$11=$A$3,Main!$B$43=A118),'Aerodynamics-Cruise'!W35,S118)</f>
        <v>1</v>
      </c>
      <c r="T118" s="72">
        <f ca="1">IF(AND(Energy!$F$11=$A$3,Main!$B$43=A118),'Aerodynamics-Cruise'!BL35,T118)</f>
        <v>24.002274779992934</v>
      </c>
      <c r="U118" s="72">
        <f ca="1">IF(AND(Energy!$F$11=$A$3,Main!$B$43=A118),'Propulsion-Cruise'!M35,U118)</f>
        <v>53.736254900362717</v>
      </c>
      <c r="V118" s="72">
        <f ca="1">IF(AND(Energy!$F$11=$A$3,Main!$B$43=A118),Endurance!AP35,V118)</f>
        <v>527.38530848230835</v>
      </c>
      <c r="W118" s="72">
        <f ca="1">IF(AND(Energy!$F$11=$A$3,Main!$B$43=$A118),Summary!W35,W118)</f>
        <v>1.9321637426900584</v>
      </c>
      <c r="X118" s="13">
        <f ca="1">IF(AND(Energy!$F$11=$A$3,Main!$B$43=A118),Energy!D35,X118)</f>
        <v>1182.0301388888888</v>
      </c>
      <c r="Y118" s="126">
        <f ca="1">IF(AND(Energy!$F$11=$A$3,Main!$B$43=A118),'Aerodynamics-Cruise'!V35,Y118)</f>
        <v>156528.84939977675</v>
      </c>
      <c r="Z118" s="126">
        <f ca="1">IF(AND(Energy!$F$11=$A$3,Main!$B$43=$A118),Summary!Z35,Z118)</f>
        <v>117373.11416420588</v>
      </c>
      <c r="AA118" s="126">
        <f ca="1">IF(AND(Energy!$F$11=$A$3,Main!$B$43=$A118),Summary!AA35,AA118)</f>
        <v>117373.11416420588</v>
      </c>
      <c r="AB118" s="72">
        <f ca="1">IF(AND(Energy!$F$11=$A$3,Main!$B$43=$A118),Summary!AB35,AB118)</f>
        <v>4.1651991989024664</v>
      </c>
      <c r="AC118" s="72">
        <f ca="1">IF(AND(Energy!$F$11=$A$3,Main!$B$43=$A118),Summary!AC35,AC118)</f>
        <v>1.9529099074854821</v>
      </c>
      <c r="AD118" s="72">
        <f ca="1">IF(AND(Energy!$F$11=$A$3,Main!$B$43=$A118),Summary!AD35,AD118)</f>
        <v>0.41474720382671509</v>
      </c>
      <c r="AE118" s="72">
        <f ca="1">IF(AND(Energy!$F$11=$A$3,Main!$B$43=$A118),Summary!AE35,AE118)</f>
        <v>1.9321637426900584</v>
      </c>
      <c r="AF118" s="72">
        <f ca="1">IF(AND(Energy!$F$11=$A$3,Main!$B$43=$A118),Summary!AF35,AF118)</f>
        <v>19.962406015037601</v>
      </c>
      <c r="AG118" s="72">
        <f ca="1">IF(AND(Energy!$F$11=$A$3,Main!$B$43=$A118),Summary!AG35,AG118)</f>
        <v>11.321228992326064</v>
      </c>
      <c r="AH118" s="72">
        <f ca="1">IF(AND(Energy!$F$11=$A$3,Main!$B$43=$A118),Summary!AH35,AH118)</f>
        <v>47</v>
      </c>
      <c r="AI118" s="72">
        <f ca="1">IF(AND(Energy!$F$11=$A$3,Main!$B$43=$A118),Summary!AI35,AI118)</f>
        <v>2.7358955252232304</v>
      </c>
      <c r="AJ118" s="72">
        <f ca="1">IF(AND(Energy!$F$11=$A$3,Main!$B$43=$A118),Summary!AJ35,AJ118)</f>
        <v>0.23229527073261874</v>
      </c>
      <c r="AK118" s="72">
        <f ca="1">IF(AND(Energy!$F$11=$A$3,Main!$B$43=$A118),Summary!AK35,AK118)</f>
        <v>0.01</v>
      </c>
      <c r="AL118" s="72">
        <f ca="1">IF(AND(Energy!$F$11=$A$3,Main!$B$43=$A118),Summary!AL35,AL118)</f>
        <v>-0.53810337466791436</v>
      </c>
      <c r="AM118" s="72">
        <f ca="1">IF(AND(Energy!$F$11=$A$3,Main!$B$43=$A118),Summary!AJ135,AM118)</f>
        <v>0</v>
      </c>
    </row>
    <row r="119" spans="1:39">
      <c r="A119">
        <f t="shared" si="9"/>
        <v>6</v>
      </c>
      <c r="D119" s="1">
        <f ca="1">IF(AND(Energy!$F$11=$A$3,Main!$B$43=A119),Main!C36,D119)</f>
        <v>6.3684210526315796</v>
      </c>
      <c r="E119" s="72">
        <f ca="1">IF(AND(Energy!$F$11=$A$3,Main!$B$43=A119),Main!B36,E119)</f>
        <v>0.31111111111111106</v>
      </c>
      <c r="F119" s="72">
        <f ca="1">IF(Main!$D$6=1,U119,IF(Main!$D$6=2,N119,IF(Main!$D$6=3,K119,IF(Main!$D$6=4,V119,J119))))</f>
        <v>529.23046351239327</v>
      </c>
      <c r="G119" s="72">
        <f ca="1">IF(AND(Energy!$F$11=$A$3,Main!$B$43=A119),Weight!H36,G119)</f>
        <v>15</v>
      </c>
      <c r="H119" s="72">
        <f ca="1">IF(AND(Energy!$F$11=$A$3,Main!$B$43=A119),Weight!U36,H119)</f>
        <v>23.380551685192998</v>
      </c>
      <c r="I119" s="72">
        <f ca="1">IF(AND(Energy!$F$11=$A$3,Main!$B$43=A119),Weight!V36,I119)</f>
        <v>51.808592388318004</v>
      </c>
      <c r="J119" s="72">
        <f ca="1">IF(AND(Energy!$F$11=$A$3,Main!$B$43=A119),Weight!I36,J119)</f>
        <v>23.490392428125002</v>
      </c>
      <c r="K119" s="72">
        <f ca="1">IF(AND(Energy!$F$11=$A$3,Main!$B$43=A119),Weight!W36,K119)</f>
        <v>66.808592388318004</v>
      </c>
      <c r="L119" s="72">
        <f ca="1">IF(AND(Energy!$F$11=$A$3,Main!$B$43=A119),'Aerodynamics-Cruise'!BI36,L119)</f>
        <v>66.808592388318004</v>
      </c>
      <c r="M119" s="72">
        <f ca="1">IF(AND(Energy!$F$11=$A$3,Main!$B$43=A119),'Aerodynamics-Cruise'!BJ36,M119)</f>
        <v>3.0420212880514059</v>
      </c>
      <c r="N119" s="72">
        <f ca="1">IF(AND(Energy!$F$11=$A$3,Main!$B$43=A119),'Aerodynamics-Cruise'!BK36,N119)</f>
        <v>21.961908238687194</v>
      </c>
      <c r="O119" s="72">
        <f t="shared" ca="1" si="8"/>
        <v>179.50900241495961</v>
      </c>
      <c r="P119" s="72">
        <f ca="1">IF(AND(Energy!$F$11=$A$3,Main!$B$43=A119),'Aerodynamics-Cruise'!H36,P119)</f>
        <v>7.874894250587392</v>
      </c>
      <c r="Q119" s="72">
        <f ca="1">IF(AND(Energy!$F$11=$A$3,Main!$B$43=A119),'Aerodynamics-Cruise'!I36,Q119)</f>
        <v>6.667359255624544</v>
      </c>
      <c r="R119" s="72">
        <f ca="1">IF(AND(Energy!$F$11=$A$3,Main!$B$43=$A119),Summary!R36,R119)</f>
        <v>4.149693600414138</v>
      </c>
      <c r="S119" s="72">
        <f ca="1">IF(AND(Energy!$F$11=$A$3,Main!$B$43=A119),'Aerodynamics-Cruise'!W36,S119)</f>
        <v>1</v>
      </c>
      <c r="T119" s="72">
        <f ca="1">IF(AND(Energy!$F$11=$A$3,Main!$B$43=A119),'Aerodynamics-Cruise'!BL36,T119)</f>
        <v>23.955595951440468</v>
      </c>
      <c r="U119" s="72">
        <f ca="1">IF(AND(Energy!$F$11=$A$3,Main!$B$43=A119),'Propulsion-Cruise'!M36,U119)</f>
        <v>53.78352778060507</v>
      </c>
      <c r="V119" s="72">
        <f ca="1">IF(AND(Energy!$F$11=$A$3,Main!$B$43=A119),Endurance!AP36,V119)</f>
        <v>529.23046351239327</v>
      </c>
      <c r="W119" s="72">
        <f ca="1">IF(AND(Energy!$F$11=$A$3,Main!$B$43=$A119),Summary!W36,W119)</f>
        <v>1.9812865497076022</v>
      </c>
      <c r="X119" s="13">
        <f ca="1">IF(AND(Energy!$F$11=$A$3,Main!$B$43=A119),Energy!D36,X119)</f>
        <v>1182.0301388888888</v>
      </c>
      <c r="Y119" s="126">
        <f ca="1">IF(AND(Energy!$F$11=$A$3,Main!$B$43=A119),'Aerodynamics-Cruise'!V36,Y119)</f>
        <v>155383.72543540646</v>
      </c>
      <c r="Z119" s="126">
        <f ca="1">IF(AND(Energy!$F$11=$A$3,Main!$B$43=$A119),Summary!Z36,Z119)</f>
        <v>116548.18230107294</v>
      </c>
      <c r="AA119" s="126">
        <f ca="1">IF(AND(Energy!$F$11=$A$3,Main!$B$43=$A119),Summary!AA36,AA119)</f>
        <v>116548.18230107294</v>
      </c>
      <c r="AB119" s="72">
        <f ca="1">IF(AND(Energy!$F$11=$A$3,Main!$B$43=$A119),Summary!AB36,AB119)</f>
        <v>4.149693600414138</v>
      </c>
      <c r="AC119" s="72">
        <f ca="1">IF(AND(Energy!$F$11=$A$3,Main!$B$43=$A119),Summary!AC36,AC119)</f>
        <v>1.9196134476597646</v>
      </c>
      <c r="AD119" s="72">
        <f ca="1">IF(AND(Energy!$F$11=$A$3,Main!$B$43=$A119),Summary!AD36,AD119)</f>
        <v>0.41406511831595677</v>
      </c>
      <c r="AE119" s="72">
        <f ca="1">IF(AND(Energy!$F$11=$A$3,Main!$B$43=$A119),Summary!AE36,AE119)</f>
        <v>1.9812865497076022</v>
      </c>
      <c r="AF119" s="72">
        <f ca="1">IF(AND(Energy!$F$11=$A$3,Main!$B$43=$A119),Summary!AF36,AF119)</f>
        <v>20.469924812030083</v>
      </c>
      <c r="AG119" s="72">
        <f ca="1">IF(AND(Energy!$F$11=$A$3,Main!$B$43=$A119),Summary!AG36,AG119)</f>
        <v>11.336113407193285</v>
      </c>
      <c r="AH119" s="72">
        <f ca="1">IF(AND(Energy!$F$11=$A$3,Main!$B$43=$A119),Summary!AH36,AH119)</f>
        <v>47</v>
      </c>
      <c r="AI119" s="72">
        <f ca="1">IF(AND(Energy!$F$11=$A$3,Main!$B$43=$A119),Summary!AI36,AI119)</f>
        <v>2.7342474697030665</v>
      </c>
      <c r="AJ119" s="72">
        <f ca="1">IF(AND(Energy!$F$11=$A$3,Main!$B$43=$A119),Summary!AJ36,AJ119)</f>
        <v>0.23275124236546738</v>
      </c>
      <c r="AK119" s="72">
        <f ca="1">IF(AND(Energy!$F$11=$A$3,Main!$B$43=$A119),Summary!AK36,AK119)</f>
        <v>0.01</v>
      </c>
      <c r="AL119" s="72">
        <f ca="1">IF(AND(Energy!$F$11=$A$3,Main!$B$43=$A119),Summary!AL36,AL119)</f>
        <v>-0.53704905822497162</v>
      </c>
      <c r="AM119" s="72">
        <f ca="1">IF(AND(Energy!$F$11=$A$3,Main!$B$43=$A119),Summary!AJ136,AM119)</f>
        <v>0</v>
      </c>
    </row>
    <row r="120" spans="1:39">
      <c r="A120">
        <f t="shared" si="9"/>
        <v>6</v>
      </c>
      <c r="D120" s="1">
        <f ca="1">IF(AND(Energy!$F$11=$A$3,Main!$B$43=A120),Main!C37,D120)</f>
        <v>6.526315789473685</v>
      </c>
      <c r="E120" s="72">
        <f ca="1">IF(AND(Energy!$F$11=$A$3,Main!$B$43=A120),Main!B37,E120)</f>
        <v>0.31111111111111106</v>
      </c>
      <c r="F120" s="72">
        <f ca="1">IF(Main!$D$6=1,U120,IF(Main!$D$6=2,N120,IF(Main!$D$6=3,K120,IF(Main!$D$6=4,V120,J120))))</f>
        <v>531.38165580364932</v>
      </c>
      <c r="G120" s="72">
        <f ca="1">IF(AND(Energy!$F$11=$A$3,Main!$B$43=A120),Weight!H37,G120)</f>
        <v>15</v>
      </c>
      <c r="H120" s="72">
        <f ca="1">IF(AND(Energy!$F$11=$A$3,Main!$B$43=A120),Weight!U37,H120)</f>
        <v>24.086297024391698</v>
      </c>
      <c r="I120" s="72">
        <f ca="1">IF(AND(Energy!$F$11=$A$3,Main!$B$43=A120),Weight!V37,I120)</f>
        <v>52.514337727516704</v>
      </c>
      <c r="J120" s="72">
        <f ca="1">IF(AND(Energy!$F$11=$A$3,Main!$B$43=A120),Weight!I37,J120)</f>
        <v>23.490392428125002</v>
      </c>
      <c r="K120" s="72">
        <f ca="1">IF(AND(Energy!$F$11=$A$3,Main!$B$43=A120),Weight!W37,K120)</f>
        <v>67.514337727516704</v>
      </c>
      <c r="L120" s="72">
        <f ca="1">IF(AND(Energy!$F$11=$A$3,Main!$B$43=A120),'Aerodynamics-Cruise'!BI37,L120)</f>
        <v>67.514337727516704</v>
      </c>
      <c r="M120" s="72">
        <f ca="1">IF(AND(Energy!$F$11=$A$3,Main!$B$43=A120),'Aerodynamics-Cruise'!BJ37,M120)</f>
        <v>3.0595413268764933</v>
      </c>
      <c r="N120" s="72">
        <f ca="1">IF(AND(Energy!$F$11=$A$3,Main!$B$43=A120),'Aerodynamics-Cruise'!BK37,N120)</f>
        <v>22.066816726558994</v>
      </c>
      <c r="O120" s="72">
        <f t="shared" ca="1" si="8"/>
        <v>181.31665314048925</v>
      </c>
      <c r="P120" s="72">
        <f ca="1">IF(AND(Energy!$F$11=$A$3,Main!$B$43=A120),'Aerodynamics-Cruise'!H37,P120)</f>
        <v>7.820006896027949</v>
      </c>
      <c r="Q120" s="72">
        <f ca="1">IF(AND(Energy!$F$11=$A$3,Main!$B$43=A120),'Aerodynamics-Cruise'!I37,Q120)</f>
        <v>6.6227882112189072</v>
      </c>
      <c r="R120" s="72">
        <f ca="1">IF(AND(Energy!$F$11=$A$3,Main!$B$43=$A120),Summary!R37,R120)</f>
        <v>4.1374859693410677</v>
      </c>
      <c r="S120" s="72">
        <f ca="1">IF(AND(Energy!$F$11=$A$3,Main!$B$43=A120),'Aerodynamics-Cruise'!W37,S120)</f>
        <v>1</v>
      </c>
      <c r="T120" s="72">
        <f ca="1">IF(AND(Energy!$F$11=$A$3,Main!$B$43=A120),'Aerodynamics-Cruise'!BL37,T120)</f>
        <v>23.92563427485668</v>
      </c>
      <c r="U120" s="72">
        <f ca="1">IF(AND(Energy!$F$11=$A$3,Main!$B$43=A120),'Propulsion-Cruise'!M37,U120)</f>
        <v>53.863880150794252</v>
      </c>
      <c r="V120" s="72">
        <f ca="1">IF(AND(Energy!$F$11=$A$3,Main!$B$43=A120),Endurance!AP37,V120)</f>
        <v>531.38165580364932</v>
      </c>
      <c r="W120" s="72">
        <f ca="1">IF(AND(Energy!$F$11=$A$3,Main!$B$43=$A120),Summary!W37,W120)</f>
        <v>2.030409356725146</v>
      </c>
      <c r="X120" s="13">
        <f ca="1">IF(AND(Energy!$F$11=$A$3,Main!$B$43=A120),Energy!D37,X120)</f>
        <v>1182.0301388888888</v>
      </c>
      <c r="Y120" s="126">
        <f ca="1">IF(AND(Energy!$F$11=$A$3,Main!$B$43=A120),'Aerodynamics-Cruise'!V37,Y120)</f>
        <v>154300.71385971396</v>
      </c>
      <c r="Z120" s="126">
        <f ca="1">IF(AND(Energy!$F$11=$A$3,Main!$B$43=$A120),Summary!Z37,Z120)</f>
        <v>115767.76621566249</v>
      </c>
      <c r="AA120" s="126">
        <f ca="1">IF(AND(Energy!$F$11=$A$3,Main!$B$43=$A120),Summary!AA37,AA120)</f>
        <v>115767.76621566249</v>
      </c>
      <c r="AB120" s="72">
        <f ca="1">IF(AND(Energy!$F$11=$A$3,Main!$B$43=$A120),Summary!AB37,AB120)</f>
        <v>4.1374859693410677</v>
      </c>
      <c r="AC120" s="72">
        <f ca="1">IF(AND(Energy!$F$11=$A$3,Main!$B$43=$A120),Summary!AC37,AC120)</f>
        <v>1.8871088119614821</v>
      </c>
      <c r="AD120" s="72">
        <f ca="1">IF(AND(Energy!$F$11=$A$3,Main!$B$43=$A120),Summary!AD37,AD120)</f>
        <v>0.41350713636861935</v>
      </c>
      <c r="AE120" s="72">
        <f ca="1">IF(AND(Energy!$F$11=$A$3,Main!$B$43=$A120),Summary!AE37,AE120)</f>
        <v>2.030409356725146</v>
      </c>
      <c r="AF120" s="72">
        <f ca="1">IF(AND(Energy!$F$11=$A$3,Main!$B$43=$A120),Summary!AF37,AF120)</f>
        <v>20.977443609022561</v>
      </c>
      <c r="AG120" s="72">
        <f ca="1">IF(AND(Energy!$F$11=$A$3,Main!$B$43=$A120),Summary!AG37,AG120)</f>
        <v>11.354903560155176</v>
      </c>
      <c r="AH120" s="72">
        <f ca="1">IF(AND(Energy!$F$11=$A$3,Main!$B$43=$A120),Summary!AH37,AH120)</f>
        <v>47</v>
      </c>
      <c r="AI120" s="72">
        <f ca="1">IF(AND(Energy!$F$11=$A$3,Main!$B$43=$A120),Summary!AI37,AI120)</f>
        <v>2.7326789368925311</v>
      </c>
      <c r="AJ120" s="72">
        <f ca="1">IF(AND(Energy!$F$11=$A$3,Main!$B$43=$A120),Summary!AJ37,AJ120)</f>
        <v>0.23318454175789469</v>
      </c>
      <c r="AK120" s="72">
        <f ca="1">IF(AND(Energy!$F$11=$A$3,Main!$B$43=$A120),Summary!AK37,AK120)</f>
        <v>0.01</v>
      </c>
      <c r="AL120" s="72">
        <f ca="1">IF(AND(Energy!$F$11=$A$3,Main!$B$43=$A120),Summary!AL37,AL120)</f>
        <v>-0.53605097953413372</v>
      </c>
      <c r="AM120" s="72">
        <f ca="1">IF(AND(Energy!$F$11=$A$3,Main!$B$43=$A120),Summary!AJ137,AM120)</f>
        <v>0</v>
      </c>
    </row>
    <row r="121" spans="1:39">
      <c r="A121">
        <f t="shared" si="9"/>
        <v>6</v>
      </c>
      <c r="D121" s="1">
        <f ca="1">IF(AND(Energy!$F$11=$A$3,Main!$B$43=A121),Main!C38,D121)</f>
        <v>6.6842105263157903</v>
      </c>
      <c r="E121" s="72">
        <f ca="1">IF(AND(Energy!$F$11=$A$3,Main!$B$43=A121),Main!B38,E121)</f>
        <v>0.31111111111111106</v>
      </c>
      <c r="F121" s="72">
        <f ca="1">IF(Main!$D$6=1,U121,IF(Main!$D$6=2,N121,IF(Main!$D$6=3,K121,IF(Main!$D$6=4,V121,J121))))</f>
        <v>533.82266775397693</v>
      </c>
      <c r="G121" s="72">
        <f ca="1">IF(AND(Energy!$F$11=$A$3,Main!$B$43=A121),Weight!H38,G121)</f>
        <v>15</v>
      </c>
      <c r="H121" s="72">
        <f ca="1">IF(AND(Energy!$F$11=$A$3,Main!$B$43=A121),Weight!U38,H121)</f>
        <v>24.804907342649486</v>
      </c>
      <c r="I121" s="72">
        <f ca="1">IF(AND(Energy!$F$11=$A$3,Main!$B$43=A121),Weight!V38,I121)</f>
        <v>53.232948045774492</v>
      </c>
      <c r="J121" s="72">
        <f ca="1">IF(AND(Energy!$F$11=$A$3,Main!$B$43=A121),Weight!I38,J121)</f>
        <v>23.490392428125002</v>
      </c>
      <c r="K121" s="72">
        <f ca="1">IF(AND(Energy!$F$11=$A$3,Main!$B$43=A121),Weight!W38,K121)</f>
        <v>68.232948045774492</v>
      </c>
      <c r="L121" s="72">
        <f ca="1">IF(AND(Energy!$F$11=$A$3,Main!$B$43=A121),'Aerodynamics-Cruise'!BI38,L121)</f>
        <v>68.232948045774492</v>
      </c>
      <c r="M121" s="72">
        <f ca="1">IF(AND(Energy!$F$11=$A$3,Main!$B$43=A121),'Aerodynamics-Cruise'!BJ38,M121)</f>
        <v>3.0781481057604525</v>
      </c>
      <c r="N121" s="72">
        <f ca="1">IF(AND(Energy!$F$11=$A$3,Main!$B$43=A121),'Aerodynamics-Cruise'!BK38,N121)</f>
        <v>22.166882716943743</v>
      </c>
      <c r="O121" s="72">
        <f t="shared" ca="1" si="8"/>
        <v>183.10562722139861</v>
      </c>
      <c r="P121" s="72">
        <f ca="1">IF(AND(Energy!$F$11=$A$3,Main!$B$43=A121),'Aerodynamics-Cruise'!H38,P121)</f>
        <v>7.768085331625195</v>
      </c>
      <c r="Q121" s="72">
        <f ca="1">IF(AND(Energy!$F$11=$A$3,Main!$B$43=A121),'Aerodynamics-Cruise'!I38,Q121)</f>
        <v>6.5806132762047636</v>
      </c>
      <c r="R121" s="72">
        <f ca="1">IF(AND(Energy!$F$11=$A$3,Main!$B$43=$A121),Summary!R38,R121)</f>
        <v>4.128407159412367</v>
      </c>
      <c r="S121" s="72">
        <f ca="1">IF(AND(Energy!$F$11=$A$3,Main!$B$43=A121),'Aerodynamics-Cruise'!W38,S121)</f>
        <v>1</v>
      </c>
      <c r="T121" s="72">
        <f ca="1">IF(AND(Energy!$F$11=$A$3,Main!$B$43=A121),'Aerodynamics-Cruise'!BL38,T121)</f>
        <v>23.911317148927651</v>
      </c>
      <c r="U121" s="72">
        <f ca="1">IF(AND(Energy!$F$11=$A$3,Main!$B$43=A121),'Propulsion-Cruise'!M38,U121)</f>
        <v>53.975391988747326</v>
      </c>
      <c r="V121" s="72">
        <f ca="1">IF(AND(Energy!$F$11=$A$3,Main!$B$43=A121),Endurance!AP38,V121)</f>
        <v>533.82266775397693</v>
      </c>
      <c r="W121" s="72">
        <f ca="1">IF(AND(Energy!$F$11=$A$3,Main!$B$43=$A121),Summary!W38,W121)</f>
        <v>2.07953216374269</v>
      </c>
      <c r="X121" s="13">
        <f ca="1">IF(AND(Energy!$F$11=$A$3,Main!$B$43=A121),Energy!D38,X121)</f>
        <v>1182.0301388888888</v>
      </c>
      <c r="Y121" s="126">
        <f ca="1">IF(AND(Energy!$F$11=$A$3,Main!$B$43=A121),'Aerodynamics-Cruise'!V38,Y121)</f>
        <v>153276.22186647452</v>
      </c>
      <c r="Z121" s="126">
        <f ca="1">IF(AND(Energy!$F$11=$A$3,Main!$B$43=$A121),Summary!Z38,Z121)</f>
        <v>115029.31315487331</v>
      </c>
      <c r="AA121" s="126">
        <f ca="1">IF(AND(Energy!$F$11=$A$3,Main!$B$43=$A121),Summary!AA38,AA121)</f>
        <v>115029.31315487331</v>
      </c>
      <c r="AB121" s="72">
        <f ca="1">IF(AND(Energy!$F$11=$A$3,Main!$B$43=$A121),Summary!AB38,AB121)</f>
        <v>4.128407159412367</v>
      </c>
      <c r="AC121" s="72">
        <f ca="1">IF(AND(Energy!$F$11=$A$3,Main!$B$43=$A121),Summary!AC38,AC121)</f>
        <v>1.8553531370221295</v>
      </c>
      <c r="AD121" s="72">
        <f ca="1">IF(AND(Energy!$F$11=$A$3,Main!$B$43=$A121),Summary!AD38,AD121)</f>
        <v>0.41306602365743067</v>
      </c>
      <c r="AE121" s="72">
        <f ca="1">IF(AND(Energy!$F$11=$A$3,Main!$B$43=$A121),Summary!AE38,AE121)</f>
        <v>2.07953216374269</v>
      </c>
      <c r="AF121" s="72">
        <f ca="1">IF(AND(Energy!$F$11=$A$3,Main!$B$43=$A121),Summary!AF38,AF121)</f>
        <v>21.484962406015043</v>
      </c>
      <c r="AG121" s="72">
        <f ca="1">IF(AND(Energy!$F$11=$A$3,Main!$B$43=$A121),Summary!AG38,AG121)</f>
        <v>11.377369475261412</v>
      </c>
      <c r="AH121" s="72">
        <f ca="1">IF(AND(Energy!$F$11=$A$3,Main!$B$43=$A121),Summary!AH38,AH121)</f>
        <v>47</v>
      </c>
      <c r="AI121" s="72">
        <f ca="1">IF(AND(Energy!$F$11=$A$3,Main!$B$43=$A121),Summary!AI38,AI121)</f>
        <v>2.7311861909503374</v>
      </c>
      <c r="AJ121" s="72">
        <f ca="1">IF(AND(Energy!$F$11=$A$3,Main!$B$43=$A121),Summary!AJ38,AJ121)</f>
        <v>0.23359642163150551</v>
      </c>
      <c r="AK121" s="72">
        <f ca="1">IF(AND(Energy!$F$11=$A$3,Main!$B$43=$A121),Summary!AK38,AK121)</f>
        <v>0.01</v>
      </c>
      <c r="AL121" s="72">
        <f ca="1">IF(AND(Energy!$F$11=$A$3,Main!$B$43=$A121),Summary!AL38,AL121)</f>
        <v>-0.53510566542777815</v>
      </c>
      <c r="AM121" s="72">
        <f ca="1">IF(AND(Energy!$F$11=$A$3,Main!$B$43=$A121),Summary!AJ138,AM121)</f>
        <v>0</v>
      </c>
    </row>
    <row r="122" spans="1:39">
      <c r="A122">
        <f t="shared" si="9"/>
        <v>6</v>
      </c>
      <c r="D122" s="1">
        <f ca="1">IF(AND(Energy!$F$11=$A$3,Main!$B$43=A122),Main!C39,D122)</f>
        <v>6.8421052631578956</v>
      </c>
      <c r="E122" s="72">
        <f ca="1">IF(AND(Energy!$F$11=$A$3,Main!$B$43=A122),Main!B39,E122)</f>
        <v>0.31111111111111106</v>
      </c>
      <c r="F122" s="72">
        <f ca="1">IF(Main!$D$6=1,U122,IF(Main!$D$6=2,N122,IF(Main!$D$6=3,K122,IF(Main!$D$6=4,V122,J122))))</f>
        <v>536.53905807347599</v>
      </c>
      <c r="G122" s="72">
        <f ca="1">IF(AND(Energy!$F$11=$A$3,Main!$B$43=A122),Weight!H39,G122)</f>
        <v>15</v>
      </c>
      <c r="H122" s="72">
        <f ca="1">IF(AND(Energy!$F$11=$A$3,Main!$B$43=A122),Weight!U39,H122)</f>
        <v>25.536501280846238</v>
      </c>
      <c r="I122" s="72">
        <f ca="1">IF(AND(Energy!$F$11=$A$3,Main!$B$43=A122),Weight!V39,I122)</f>
        <v>53.964541983971245</v>
      </c>
      <c r="J122" s="72">
        <f ca="1">IF(AND(Energy!$F$11=$A$3,Main!$B$43=A122),Weight!I39,J122)</f>
        <v>23.490392428125002</v>
      </c>
      <c r="K122" s="72">
        <f ca="1">IF(AND(Energy!$F$11=$A$3,Main!$B$43=A122),Weight!W39,K122)</f>
        <v>68.964541983971245</v>
      </c>
      <c r="L122" s="72">
        <f ca="1">IF(AND(Energy!$F$11=$A$3,Main!$B$43=A122),'Aerodynamics-Cruise'!BI39,L122)</f>
        <v>68.964541983971245</v>
      </c>
      <c r="M122" s="72">
        <f ca="1">IF(AND(Energy!$F$11=$A$3,Main!$B$43=A122),'Aerodynamics-Cruise'!BJ39,M122)</f>
        <v>3.0977850200893475</v>
      </c>
      <c r="N122" s="72">
        <f ca="1">IF(AND(Energy!$F$11=$A$3,Main!$B$43=A122),'Aerodynamics-Cruise'!BK39,N122)</f>
        <v>22.262533241245432</v>
      </c>
      <c r="O122" s="72">
        <f t="shared" ca="1" si="8"/>
        <v>184.87896835581182</v>
      </c>
      <c r="P122" s="72">
        <f ca="1">IF(AND(Energy!$F$11=$A$3,Main!$B$43=A122),'Aerodynamics-Cruise'!H39,P122)</f>
        <v>7.7189623281934523</v>
      </c>
      <c r="Q122" s="72">
        <f ca="1">IF(AND(Energy!$F$11=$A$3,Main!$B$43=A122),'Aerodynamics-Cruise'!I39,Q122)</f>
        <v>6.540700546380517</v>
      </c>
      <c r="R122" s="72">
        <f ca="1">IF(AND(Energy!$F$11=$A$3,Main!$B$43=$A122),Summary!R39,R122)</f>
        <v>4.1223058196003528</v>
      </c>
      <c r="S122" s="72">
        <f ca="1">IF(AND(Energy!$F$11=$A$3,Main!$B$43=A122),'Aerodynamics-Cruise'!W39,S122)</f>
        <v>1</v>
      </c>
      <c r="T122" s="72">
        <f ca="1">IF(AND(Energy!$F$11=$A$3,Main!$B$43=A122),'Aerodynamics-Cruise'!BL39,T122)</f>
        <v>23.911685870911672</v>
      </c>
      <c r="U122" s="72">
        <f ca="1">IF(AND(Energy!$F$11=$A$3,Main!$B$43=A122),'Propulsion-Cruise'!M39,U122)</f>
        <v>54.116348274969255</v>
      </c>
      <c r="V122" s="72">
        <f ca="1">IF(AND(Energy!$F$11=$A$3,Main!$B$43=A122),Endurance!AP39,V122)</f>
        <v>536.53905807347599</v>
      </c>
      <c r="W122" s="72">
        <f ca="1">IF(AND(Energy!$F$11=$A$3,Main!$B$43=$A122),Summary!W39,W122)</f>
        <v>2.128654970760234</v>
      </c>
      <c r="X122" s="13">
        <f ca="1">IF(AND(Energy!$F$11=$A$3,Main!$B$43=A122),Energy!D39,X122)</f>
        <v>1182.0301388888888</v>
      </c>
      <c r="Y122" s="126">
        <f ca="1">IF(AND(Energy!$F$11=$A$3,Main!$B$43=A122),'Aerodynamics-Cruise'!V39,Y122)</f>
        <v>152306.94976771192</v>
      </c>
      <c r="Z122" s="126">
        <f ca="1">IF(AND(Energy!$F$11=$A$3,Main!$B$43=$A122),Summary!Z39,Z122)</f>
        <v>114330.47723078355</v>
      </c>
      <c r="AA122" s="126">
        <f ca="1">IF(AND(Energy!$F$11=$A$3,Main!$B$43=$A122),Summary!AA39,AA122)</f>
        <v>114330.47723078355</v>
      </c>
      <c r="AB122" s="72">
        <f ca="1">IF(AND(Energy!$F$11=$A$3,Main!$B$43=$A122),Summary!AB39,AB122)</f>
        <v>4.1223058196003528</v>
      </c>
      <c r="AC122" s="72">
        <f ca="1">IF(AND(Energy!$F$11=$A$3,Main!$B$43=$A122),Summary!AC39,AC122)</f>
        <v>1.824318427188141</v>
      </c>
      <c r="AD122" s="72">
        <f ca="1">IF(AND(Energy!$F$11=$A$3,Main!$B$43=$A122),Summary!AD39,AD122)</f>
        <v>0.41273516746826339</v>
      </c>
      <c r="AE122" s="72">
        <f ca="1">IF(AND(Energy!$F$11=$A$3,Main!$B$43=$A122),Summary!AE39,AE122)</f>
        <v>2.128654970760234</v>
      </c>
      <c r="AF122" s="72">
        <f ca="1">IF(AND(Energy!$F$11=$A$3,Main!$B$43=$A122),Summary!AF39,AF122)</f>
        <v>21.992481203007522</v>
      </c>
      <c r="AG122" s="72">
        <f ca="1">IF(AND(Energy!$F$11=$A$3,Main!$B$43=$A122),Summary!AG39,AG122)</f>
        <v>11.403303706686783</v>
      </c>
      <c r="AH122" s="72">
        <f ca="1">IF(AND(Energy!$F$11=$A$3,Main!$B$43=$A122),Summary!AH39,AH122)</f>
        <v>47</v>
      </c>
      <c r="AI122" s="72">
        <f ca="1">IF(AND(Energy!$F$11=$A$3,Main!$B$43=$A122),Summary!AI39,AI122)</f>
        <v>2.7297657578281798</v>
      </c>
      <c r="AJ122" s="72">
        <f ca="1">IF(AND(Energy!$F$11=$A$3,Main!$B$43=$A122),Summary!AJ39,AJ122)</f>
        <v>0.23398803246471642</v>
      </c>
      <c r="AK122" s="72">
        <f ca="1">IF(AND(Energy!$F$11=$A$3,Main!$B$43=$A122),Summary!AK39,AK122)</f>
        <v>0.01</v>
      </c>
      <c r="AL122" s="72">
        <f ca="1">IF(AND(Energy!$F$11=$A$3,Main!$B$43=$A122),Summary!AL39,AL122)</f>
        <v>-0.53420995107307911</v>
      </c>
      <c r="AM122" s="72">
        <f ca="1">IF(AND(Energy!$F$11=$A$3,Main!$B$43=$A122),Summary!AJ139,AM122)</f>
        <v>0</v>
      </c>
    </row>
    <row r="123" spans="1:39">
      <c r="A123">
        <f t="shared" si="9"/>
        <v>6</v>
      </c>
      <c r="D123" s="1">
        <f ca="1">IF(AND(Energy!$F$11=$A$3,Main!$B$43=A123),Main!C40,D123)</f>
        <v>7</v>
      </c>
      <c r="E123" s="72">
        <f ca="1">IF(AND(Energy!$F$11=$A$3,Main!$B$43=A123),Main!B40,E123)</f>
        <v>0.31111111111111106</v>
      </c>
      <c r="F123" s="72">
        <f ca="1">IF(Main!$D$6=1,U123,IF(Main!$D$6=2,N123,IF(Main!$D$6=3,K123,IF(Main!$D$6=4,V123,J123))))</f>
        <v>539.51794730524136</v>
      </c>
      <c r="G123" s="72">
        <f ca="1">IF(AND(Energy!$F$11=$A$3,Main!$B$43=A123),Weight!H40,G123)</f>
        <v>15</v>
      </c>
      <c r="H123" s="72">
        <f ca="1">IF(AND(Energy!$F$11=$A$3,Main!$B$43=A123),Weight!U40,H123)</f>
        <v>26.281200708268813</v>
      </c>
      <c r="I123" s="72">
        <f ca="1">IF(AND(Energy!$F$11=$A$3,Main!$B$43=A123),Weight!V40,I123)</f>
        <v>54.709241411393819</v>
      </c>
      <c r="J123" s="72">
        <f ca="1">IF(AND(Energy!$F$11=$A$3,Main!$B$43=A123),Weight!I40,J123)</f>
        <v>23.490392428125002</v>
      </c>
      <c r="K123" s="72">
        <f ca="1">IF(AND(Energy!$F$11=$A$3,Main!$B$43=A123),Weight!W40,K123)</f>
        <v>69.709241411393819</v>
      </c>
      <c r="L123" s="72">
        <f ca="1">IF(AND(Energy!$F$11=$A$3,Main!$B$43=A123),'Aerodynamics-Cruise'!BI40,L123)</f>
        <v>69.709241411393819</v>
      </c>
      <c r="M123" s="72">
        <f ca="1">IF(AND(Energy!$F$11=$A$3,Main!$B$43=A123),'Aerodynamics-Cruise'!BJ40,M123)</f>
        <v>3.1184009984439856</v>
      </c>
      <c r="N123" s="72">
        <f ca="1">IF(AND(Energy!$F$11=$A$3,Main!$B$43=A123),'Aerodynamics-Cruise'!BK40,N123)</f>
        <v>22.354162099799616</v>
      </c>
      <c r="O123" s="72">
        <f t="shared" ca="1" si="8"/>
        <v>186.63950510634774</v>
      </c>
      <c r="P123" s="72">
        <f ca="1">IF(AND(Energy!$F$11=$A$3,Main!$B$43=A123),'Aerodynamics-Cruise'!H40,P123)</f>
        <v>7.6724839875359478</v>
      </c>
      <c r="Q123" s="72">
        <f ca="1">IF(AND(Energy!$F$11=$A$3,Main!$B$43=A123),'Aerodynamics-Cruise'!I40,Q123)</f>
        <v>6.5029267170152574</v>
      </c>
      <c r="R123" s="72">
        <f ca="1">IF(AND(Energy!$F$11=$A$3,Main!$B$43=$A123),Summary!R40,R123)</f>
        <v>4.1190464017646535</v>
      </c>
      <c r="S123" s="72">
        <f ca="1">IF(AND(Energy!$F$11=$A$3,Main!$B$43=A123),'Aerodynamics-Cruise'!W40,S123)</f>
        <v>1</v>
      </c>
      <c r="T123" s="72">
        <f ca="1">IF(AND(Energy!$F$11=$A$3,Main!$B$43=A123),'Aerodynamics-Cruise'!BL40,T123)</f>
        <v>23.925881727277591</v>
      </c>
      <c r="U123" s="72">
        <f ca="1">IF(AND(Energy!$F$11=$A$3,Main!$B$43=A123),'Propulsion-Cruise'!M40,U123)</f>
        <v>54.285214179433453</v>
      </c>
      <c r="V123" s="72">
        <f ca="1">IF(AND(Energy!$F$11=$A$3,Main!$B$43=A123),Endurance!AP40,V123)</f>
        <v>539.51794730524136</v>
      </c>
      <c r="W123" s="72">
        <f ca="1">IF(AND(Energy!$F$11=$A$3,Main!$B$43=$A123),Summary!W40,W123)</f>
        <v>2.1777777777777776</v>
      </c>
      <c r="X123" s="13">
        <f ca="1">IF(AND(Energy!$F$11=$A$3,Main!$B$43=A123),Energy!D40,X123)</f>
        <v>1182.0301388888888</v>
      </c>
      <c r="Y123" s="126">
        <f ca="1">IF(AND(Energy!$F$11=$A$3,Main!$B$43=A123),'Aerodynamics-Cruise'!V40,Y123)</f>
        <v>151389.86091628001</v>
      </c>
      <c r="Z123" s="126">
        <f ca="1">IF(AND(Energy!$F$11=$A$3,Main!$B$43=$A123),Summary!Z40,Z123)</f>
        <v>113669.0983008483</v>
      </c>
      <c r="AA123" s="126">
        <f ca="1">IF(AND(Energy!$F$11=$A$3,Main!$B$43=$A123),Summary!AA40,AA123)</f>
        <v>113669.0983008483</v>
      </c>
      <c r="AB123" s="72">
        <f ca="1">IF(AND(Energy!$F$11=$A$3,Main!$B$43=$A123),Summary!AB40,AB123)</f>
        <v>4.1190464017646535</v>
      </c>
      <c r="AC123" s="72">
        <f ca="1">IF(AND(Energy!$F$11=$A$3,Main!$B$43=$A123),Summary!AC40,AC123)</f>
        <v>1.7939781010720692</v>
      </c>
      <c r="AD123" s="72">
        <f ca="1">IF(AND(Energy!$F$11=$A$3,Main!$B$43=$A123),Summary!AD40,AD123)</f>
        <v>0.41250851100872526</v>
      </c>
      <c r="AE123" s="72">
        <f ca="1">IF(AND(Energy!$F$11=$A$3,Main!$B$43=$A123),Summary!AE40,AE123)</f>
        <v>2.1777777777777776</v>
      </c>
      <c r="AF123" s="72">
        <f ca="1">IF(AND(Energy!$F$11=$A$3,Main!$B$43=$A123),Summary!AF40,AF123)</f>
        <v>22.500000000000004</v>
      </c>
      <c r="AG123" s="72">
        <f ca="1">IF(AND(Energy!$F$11=$A$3,Main!$B$43=$A123),Summary!AG40,AG123)</f>
        <v>11.432518736194417</v>
      </c>
      <c r="AH123" s="72">
        <f ca="1">IF(AND(Energy!$F$11=$A$3,Main!$B$43=$A123),Summary!AH40,AH123)</f>
        <v>47</v>
      </c>
      <c r="AI123" s="72">
        <f ca="1">IF(AND(Energy!$F$11=$A$3,Main!$B$43=$A123),Summary!AI40,AI123)</f>
        <v>2.7284144006311015</v>
      </c>
      <c r="AJ123" s="72">
        <f ca="1">IF(AND(Energy!$F$11=$A$3,Main!$B$43=$A123),Summary!AJ40,AJ123)</f>
        <v>0.23436043328345293</v>
      </c>
      <c r="AK123" s="72">
        <f ca="1">IF(AND(Energy!$F$11=$A$3,Main!$B$43=$A123),Summary!AK40,AK123)</f>
        <v>0.01</v>
      </c>
      <c r="AL123" s="72">
        <f ca="1">IF(AND(Energy!$F$11=$A$3,Main!$B$43=$A123),Summary!AL40,AL123)</f>
        <v>-0.53336094530474853</v>
      </c>
      <c r="AM123" s="72">
        <f ca="1">IF(AND(Energy!$F$11=$A$3,Main!$B$43=$A123),Summary!AJ140,AM123)</f>
        <v>0</v>
      </c>
    </row>
    <row r="124" spans="1:39">
      <c r="A124" s="7">
        <f>A104+1</f>
        <v>7</v>
      </c>
      <c r="D124" s="1">
        <f ca="1">IF(AND(Energy!$F$11=$A$3,Main!$B$43=A124),Main!C21,D124)</f>
        <v>4</v>
      </c>
      <c r="E124" s="72">
        <f ca="1">IF(AND(Energy!$F$11=$A$3,Main!$B$43=A124),Main!B21,E124)</f>
        <v>0.33333333333333326</v>
      </c>
      <c r="F124" s="72">
        <f ca="1">IF(Main!$D$6=1,U124,IF(Main!$D$6=2,N124,IF(Main!$D$6=3,K124,IF(Main!$D$6=4,V124,J124))))</f>
        <v>559.24702215973605</v>
      </c>
      <c r="G124" s="72">
        <f ca="1">IF(AND(Energy!$F$11=$A$3,Main!$B$43=A124),Weight!H21,G124)</f>
        <v>15</v>
      </c>
      <c r="H124" s="72">
        <f ca="1">IF(AND(Energy!$F$11=$A$3,Main!$B$43=A124),Weight!U21,H124)</f>
        <v>15.06300740668555</v>
      </c>
      <c r="I124" s="72">
        <f ca="1">IF(AND(Energy!$F$11=$A$3,Main!$B$43=A124),Weight!V21,I124)</f>
        <v>43.491048109810549</v>
      </c>
      <c r="J124" s="72">
        <f ca="1">IF(AND(Energy!$F$11=$A$3,Main!$B$43=A124),Weight!I21,J124)</f>
        <v>23.490392428125002</v>
      </c>
      <c r="K124" s="72">
        <f ca="1">IF(AND(Energy!$F$11=$A$3,Main!$B$43=A124),Weight!W21,K124)</f>
        <v>58.491048109810556</v>
      </c>
      <c r="L124" s="72">
        <f ca="1">IF(AND(Energy!$F$11=$A$3,Main!$B$43=A124),'Aerodynamics-Cruise'!BI21,L124)</f>
        <v>58.491048109810571</v>
      </c>
      <c r="M124" s="72">
        <f ca="1">IF(AND(Energy!$F$11=$A$3,Main!$B$43=A124),'Aerodynamics-Cruise'!BJ21,M124)</f>
        <v>3.0753923597481858</v>
      </c>
      <c r="N124" s="72">
        <f ca="1">IF(AND(Energy!$F$11=$A$3,Main!$B$43=A124),'Aerodynamics-Cruise'!BK21,N124)</f>
        <v>19.019052292436545</v>
      </c>
      <c r="O124" s="72">
        <f t="shared" ca="1" si="8"/>
        <v>145.45664771447039</v>
      </c>
      <c r="P124" s="72">
        <f ca="1">IF(AND(Energy!$F$11=$A$3,Main!$B$43=A124),'Aerodynamics-Cruise'!H21,P124)</f>
        <v>8.9902476238665745</v>
      </c>
      <c r="Q124" s="72">
        <f ca="1">IF(AND(Energy!$F$11=$A$3,Main!$B$43=A124),'Aerodynamics-Cruise'!I21,Q124)</f>
        <v>7.5428363091197044</v>
      </c>
      <c r="R124" s="72">
        <f ca="1">IF(AND(Energy!$F$11=$A$3,Main!$B$43=$A124),Summary!R21,R124)</f>
        <v>4.6719171447417907</v>
      </c>
      <c r="S124" s="72">
        <f ca="1">IF(AND(Energy!$F$11=$A$3,Main!$B$43=A124),'Aerodynamics-Cruise'!W21,S124)</f>
        <v>1</v>
      </c>
      <c r="T124" s="72">
        <f ca="1">IF(AND(Energy!$F$11=$A$3,Main!$B$43=A124),'Aerodynamics-Cruise'!BL21,T124)</f>
        <v>27.648538854683544</v>
      </c>
      <c r="U124" s="72">
        <f ca="1">IF(AND(Energy!$F$11=$A$3,Main!$B$43=A124),'Propulsion-Cruise'!M21,U124)</f>
        <v>59.272990497900373</v>
      </c>
      <c r="V124" s="72">
        <f ca="1">IF(AND(Energy!$F$11=$A$3,Main!$B$43=A124),Endurance!AP21,V124)</f>
        <v>559.24702215973605</v>
      </c>
      <c r="W124" s="72">
        <f ca="1">IF(AND(Energy!$F$11=$A$3,Main!$B$43=$A124),Summary!W21,W124)</f>
        <v>1.333333333333333</v>
      </c>
      <c r="X124" s="13">
        <f ca="1">IF(AND(Energy!$F$11=$A$3,Main!$B$43=A124),Energy!D21,X124)</f>
        <v>1182.0301388888888</v>
      </c>
      <c r="Y124" s="126">
        <f ca="1">IF(AND(Energy!$F$11=$A$3,Main!$B$43=A124),'Aerodynamics-Cruise'!V21,Y124)</f>
        <v>190062.16699522224</v>
      </c>
      <c r="Z124" s="126">
        <f ca="1">IF(AND(Energy!$F$11=$A$3,Main!$B$43=$A124),Summary!Z21,Z124)</f>
        <v>141319.96150681761</v>
      </c>
      <c r="AA124" s="126">
        <f ca="1">IF(AND(Energy!$F$11=$A$3,Main!$B$43=$A124),Summary!AA21,AA124)</f>
        <v>141319.96150681761</v>
      </c>
      <c r="AB124" s="72">
        <f ca="1">IF(AND(Energy!$F$11=$A$3,Main!$B$43=$A124),Summary!AB21,AB124)</f>
        <v>4.6719171447417907</v>
      </c>
      <c r="AC124" s="72">
        <f ca="1">IF(AND(Energy!$F$11=$A$3,Main!$B$43=$A124),Summary!AC21,AC124)</f>
        <v>2.422149995282282</v>
      </c>
      <c r="AD124" s="72">
        <f ca="1">IF(AND(Energy!$F$11=$A$3,Main!$B$43=$A124),Summary!AD21,AD124)</f>
        <v>0.44664969286589662</v>
      </c>
      <c r="AE124" s="72">
        <f ca="1">IF(AND(Energy!$F$11=$A$3,Main!$B$43=$A124),Summary!AE21,AE124)</f>
        <v>1.333333333333333</v>
      </c>
      <c r="AF124" s="72">
        <f ca="1">IF(AND(Energy!$F$11=$A$3,Main!$B$43=$A124),Summary!AF21,AF124)</f>
        <v>12.000000000000004</v>
      </c>
      <c r="AG124" s="72">
        <f ca="1">IF(AND(Energy!$F$11=$A$3,Main!$B$43=$A124),Summary!AG21,AG124)</f>
        <v>11.888629498649358</v>
      </c>
      <c r="AH124" s="72">
        <f ca="1">IF(AND(Energy!$F$11=$A$3,Main!$B$43=$A124),Summary!AH21,AH124)</f>
        <v>47</v>
      </c>
      <c r="AI124" s="72">
        <f ca="1">IF(AND(Energy!$F$11=$A$3,Main!$B$43=$A124),Summary!AI21,AI124)</f>
        <v>2.784389666177765</v>
      </c>
      <c r="AJ124" s="72">
        <f ca="1">IF(AND(Energy!$F$11=$A$3,Main!$B$43=$A124),Summary!AJ21,AJ124)</f>
        <v>0.22238746222005673</v>
      </c>
      <c r="AK124" s="72">
        <f ca="1">IF(AND(Energy!$F$11=$A$3,Main!$B$43=$A124),Summary!AK21,AK124)</f>
        <v>0.01</v>
      </c>
      <c r="AL124" s="72">
        <f ca="1">IF(AND(Energy!$F$11=$A$3,Main!$B$43=$A124),Summary!AL21,AL124)</f>
        <v>-0.56208174734906557</v>
      </c>
      <c r="AM124" s="72">
        <f ca="1">IF(AND(Energy!$F$11=$A$3,Main!$B$43=$A124),Summary!AJ141,AM124)</f>
        <v>0</v>
      </c>
    </row>
    <row r="125" spans="1:39">
      <c r="A125">
        <f t="shared" ref="A125:A143" si="10">A124</f>
        <v>7</v>
      </c>
      <c r="D125" s="1">
        <f ca="1">IF(AND(Energy!$F$11=$A$3,Main!$B$43=A125),Main!C22,D125)</f>
        <v>4.1578947368421053</v>
      </c>
      <c r="E125" s="72">
        <f ca="1">IF(AND(Energy!$F$11=$A$3,Main!$B$43=A125),Main!B22,E125)</f>
        <v>0.33333333333333326</v>
      </c>
      <c r="F125" s="72">
        <f ca="1">IF(Main!$D$6=1,U125,IF(Main!$D$6=2,N125,IF(Main!$D$6=3,K125,IF(Main!$D$6=4,V125,J125))))</f>
        <v>552.81119025884846</v>
      </c>
      <c r="G125" s="72">
        <f ca="1">IF(AND(Energy!$F$11=$A$3,Main!$B$43=A125),Weight!H22,G125)</f>
        <v>15</v>
      </c>
      <c r="H125" s="72">
        <f ca="1">IF(AND(Energy!$F$11=$A$3,Main!$B$43=A125),Weight!U22,H125)</f>
        <v>15.628199070222379</v>
      </c>
      <c r="I125" s="72">
        <f ca="1">IF(AND(Energy!$F$11=$A$3,Main!$B$43=A125),Weight!V22,I125)</f>
        <v>44.056239773347386</v>
      </c>
      <c r="J125" s="72">
        <f ca="1">IF(AND(Energy!$F$11=$A$3,Main!$B$43=A125),Weight!I22,J125)</f>
        <v>23.490392428125002</v>
      </c>
      <c r="K125" s="72">
        <f ca="1">IF(AND(Energy!$F$11=$A$3,Main!$B$43=A125),Weight!W22,K125)</f>
        <v>59.056239773347386</v>
      </c>
      <c r="L125" s="72">
        <f ca="1">IF(AND(Energy!$F$11=$A$3,Main!$B$43=A125),'Aerodynamics-Cruise'!BI22,L125)</f>
        <v>59.056239773347386</v>
      </c>
      <c r="M125" s="72">
        <f ca="1">IF(AND(Energy!$F$11=$A$3,Main!$B$43=A125),'Aerodynamics-Cruise'!BJ22,M125)</f>
        <v>3.0589901285174808</v>
      </c>
      <c r="N125" s="72">
        <f ca="1">IF(AND(Energy!$F$11=$A$3,Main!$B$43=A125),'Aerodynamics-Cruise'!BK22,N125)</f>
        <v>19.305796126242683</v>
      </c>
      <c r="O125" s="72">
        <f t="shared" ca="1" si="8"/>
        <v>148.36129352910567</v>
      </c>
      <c r="P125" s="72">
        <f ca="1">IF(AND(Energy!$F$11=$A$3,Main!$B$43=A125),'Aerodynamics-Cruise'!H22,P125)</f>
        <v>8.8602765588314867</v>
      </c>
      <c r="Q125" s="72">
        <f ca="1">IF(AND(Energy!$F$11=$A$3,Main!$B$43=A125),'Aerodynamics-Cruise'!I22,Q125)</f>
        <v>7.4382862783540746</v>
      </c>
      <c r="R125" s="72">
        <f ca="1">IF(AND(Energy!$F$11=$A$3,Main!$B$43=$A125),Summary!R22,R125)</f>
        <v>4.5829083927396121</v>
      </c>
      <c r="S125" s="72">
        <f ca="1">IF(AND(Energy!$F$11=$A$3,Main!$B$43=A125),'Aerodynamics-Cruise'!W22,S125)</f>
        <v>1</v>
      </c>
      <c r="T125" s="72">
        <f ca="1">IF(AND(Energy!$F$11=$A$3,Main!$B$43=A125),'Aerodynamics-Cruise'!BL22,T125)</f>
        <v>27.103498529400351</v>
      </c>
      <c r="U125" s="72">
        <f ca="1">IF(AND(Energy!$F$11=$A$3,Main!$B$43=A125),'Propulsion-Cruise'!M22,U125)</f>
        <v>58.379586497493257</v>
      </c>
      <c r="V125" s="72">
        <f ca="1">IF(AND(Energy!$F$11=$A$3,Main!$B$43=A125),Endurance!AP22,V125)</f>
        <v>552.81119025884846</v>
      </c>
      <c r="W125" s="72">
        <f ca="1">IF(AND(Energy!$F$11=$A$3,Main!$B$43=$A125),Summary!W22,W125)</f>
        <v>1.3859649122807014</v>
      </c>
      <c r="X125" s="13">
        <f ca="1">IF(AND(Energy!$F$11=$A$3,Main!$B$43=A125),Energy!D22,X125)</f>
        <v>1182.0301388888888</v>
      </c>
      <c r="Y125" s="126">
        <f ca="1">IF(AND(Energy!$F$11=$A$3,Main!$B$43=A125),'Aerodynamics-Cruise'!V22,Y125)</f>
        <v>187314.45822225502</v>
      </c>
      <c r="Z125" s="126">
        <f ca="1">IF(AND(Energy!$F$11=$A$3,Main!$B$43=$A125),Summary!Z22,Z125)</f>
        <v>139357.86108148494</v>
      </c>
      <c r="AA125" s="126">
        <f ca="1">IF(AND(Energy!$F$11=$A$3,Main!$B$43=$A125),Summary!AA22,AA125)</f>
        <v>139357.86108148494</v>
      </c>
      <c r="AB125" s="72">
        <f ca="1">IF(AND(Energy!$F$11=$A$3,Main!$B$43=$A125),Summary!AB22,AB125)</f>
        <v>4.5829083927396121</v>
      </c>
      <c r="AC125" s="72">
        <f ca="1">IF(AND(Energy!$F$11=$A$3,Main!$B$43=$A125),Summary!AC22,AC125)</f>
        <v>2.3753280838983706</v>
      </c>
      <c r="AD125" s="72">
        <f ca="1">IF(AND(Energy!$F$11=$A$3,Main!$B$43=$A125),Summary!AD22,AD125)</f>
        <v>0.44283318472633643</v>
      </c>
      <c r="AE125" s="72">
        <f ca="1">IF(AND(Energy!$F$11=$A$3,Main!$B$43=$A125),Summary!AE22,AE125)</f>
        <v>1.3859649122807014</v>
      </c>
      <c r="AF125" s="72">
        <f ca="1">IF(AND(Energy!$F$11=$A$3,Main!$B$43=$A125),Summary!AF22,AF125)</f>
        <v>12.473684210526319</v>
      </c>
      <c r="AG125" s="72">
        <f ca="1">IF(AND(Energy!$F$11=$A$3,Main!$B$43=$A125),Summary!AG22,AG125)</f>
        <v>11.79344039766554</v>
      </c>
      <c r="AH125" s="72">
        <f ca="1">IF(AND(Energy!$F$11=$A$3,Main!$B$43=$A125),Summary!AH22,AH125)</f>
        <v>47</v>
      </c>
      <c r="AI125" s="72">
        <f ca="1">IF(AND(Energy!$F$11=$A$3,Main!$B$43=$A125),Summary!AI22,AI125)</f>
        <v>2.7810247179614875</v>
      </c>
      <c r="AJ125" s="72">
        <f ca="1">IF(AND(Energy!$F$11=$A$3,Main!$B$43=$A125),Summary!AJ22,AJ125)</f>
        <v>0.22337335660194332</v>
      </c>
      <c r="AK125" s="72">
        <f ca="1">IF(AND(Energy!$F$11=$A$3,Main!$B$43=$A125),Summary!AK22,AK125)</f>
        <v>0.01</v>
      </c>
      <c r="AL125" s="72">
        <f ca="1">IF(AND(Energy!$F$11=$A$3,Main!$B$43=$A125),Summary!AL22,AL125)</f>
        <v>-0.55960076345668985</v>
      </c>
      <c r="AM125" s="72">
        <f ca="1">IF(AND(Energy!$F$11=$A$3,Main!$B$43=$A125),Summary!AJ142,AM125)</f>
        <v>0</v>
      </c>
    </row>
    <row r="126" spans="1:39">
      <c r="A126">
        <f t="shared" si="10"/>
        <v>7</v>
      </c>
      <c r="D126" s="1">
        <f ca="1">IF(AND(Energy!$F$11=$A$3,Main!$B$43=A126),Main!C23,D126)</f>
        <v>4.3157894736842106</v>
      </c>
      <c r="E126" s="72">
        <f ca="1">IF(AND(Energy!$F$11=$A$3,Main!$B$43=A126),Main!B23,E126)</f>
        <v>0.33333333333333326</v>
      </c>
      <c r="F126" s="72">
        <f ca="1">IF(Main!$D$6=1,U126,IF(Main!$D$6=2,N126,IF(Main!$D$6=3,K126,IF(Main!$D$6=4,V126,J126))))</f>
        <v>547.42242009321558</v>
      </c>
      <c r="G126" s="72">
        <f ca="1">IF(AND(Energy!$F$11=$A$3,Main!$B$43=A126),Weight!H23,G126)</f>
        <v>15</v>
      </c>
      <c r="H126" s="72">
        <f ca="1">IF(AND(Energy!$F$11=$A$3,Main!$B$43=A126),Weight!U23,H126)</f>
        <v>16.206185958195725</v>
      </c>
      <c r="I126" s="72">
        <f ca="1">IF(AND(Energy!$F$11=$A$3,Main!$B$43=A126),Weight!V23,I126)</f>
        <v>44.634226661320724</v>
      </c>
      <c r="J126" s="72">
        <f ca="1">IF(AND(Energy!$F$11=$A$3,Main!$B$43=A126),Weight!I23,J126)</f>
        <v>23.490392428125002</v>
      </c>
      <c r="K126" s="72">
        <f ca="1">IF(AND(Energy!$F$11=$A$3,Main!$B$43=A126),Weight!W23,K126)</f>
        <v>59.634226661320731</v>
      </c>
      <c r="L126" s="72">
        <f ca="1">IF(AND(Energy!$F$11=$A$3,Main!$B$43=A126),'Aerodynamics-Cruise'!BI23,L126)</f>
        <v>59.634226661320731</v>
      </c>
      <c r="M126" s="72">
        <f ca="1">IF(AND(Energy!$F$11=$A$3,Main!$B$43=A126),'Aerodynamics-Cruise'!BJ23,M126)</f>
        <v>3.0464471890667992</v>
      </c>
      <c r="N126" s="72">
        <f ca="1">IF(AND(Energy!$F$11=$A$3,Main!$B$43=A126),'Aerodynamics-Cruise'!BK23,N126)</f>
        <v>19.575007528552675</v>
      </c>
      <c r="O126" s="72">
        <f t="shared" ca="1" si="8"/>
        <v>151.16447274489158</v>
      </c>
      <c r="P126" s="72">
        <f ca="1">IF(AND(Energy!$F$11=$A$3,Main!$B$43=A126),'Aerodynamics-Cruise'!H23,P126)</f>
        <v>8.7390375198257786</v>
      </c>
      <c r="Q126" s="72">
        <f ca="1">IF(AND(Energy!$F$11=$A$3,Main!$B$43=A126),'Aerodynamics-Cruise'!I23,Q126)</f>
        <v>7.3406976833650841</v>
      </c>
      <c r="R126" s="72">
        <f ca="1">IF(AND(Energy!$F$11=$A$3,Main!$B$43=$A126),Summary!R23,R126)</f>
        <v>4.503365631159804</v>
      </c>
      <c r="S126" s="72">
        <f ca="1">IF(AND(Energy!$F$11=$A$3,Main!$B$43=A126),'Aerodynamics-Cruise'!W23,S126)</f>
        <v>1</v>
      </c>
      <c r="T126" s="72">
        <f ca="1">IF(AND(Energy!$F$11=$A$3,Main!$B$43=A126),'Aerodynamics-Cruise'!BL23,T126)</f>
        <v>26.623016287422537</v>
      </c>
      <c r="U126" s="72">
        <f ca="1">IF(AND(Energy!$F$11=$A$3,Main!$B$43=A126),'Propulsion-Cruise'!M23,U126)</f>
        <v>57.6053876387655</v>
      </c>
      <c r="V126" s="72">
        <f ca="1">IF(AND(Energy!$F$11=$A$3,Main!$B$43=A126),Endurance!AP23,V126)</f>
        <v>547.42242009321558</v>
      </c>
      <c r="W126" s="72">
        <f ca="1">IF(AND(Energy!$F$11=$A$3,Main!$B$43=$A126),Summary!W23,W126)</f>
        <v>1.43859649122807</v>
      </c>
      <c r="X126" s="13">
        <f ca="1">IF(AND(Energy!$F$11=$A$3,Main!$B$43=A126),Energy!D23,X126)</f>
        <v>1182.0301388888888</v>
      </c>
      <c r="Y126" s="126">
        <f ca="1">IF(AND(Energy!$F$11=$A$3,Main!$B$43=A126),'Aerodynamics-Cruise'!V23,Y126)</f>
        <v>184751.35257245394</v>
      </c>
      <c r="Z126" s="126">
        <f ca="1">IF(AND(Energy!$F$11=$A$3,Main!$B$43=$A126),Summary!Z23,Z126)</f>
        <v>137526.4526671335</v>
      </c>
      <c r="AA126" s="126">
        <f ca="1">IF(AND(Energy!$F$11=$A$3,Main!$B$43=$A126),Summary!AA23,AA126)</f>
        <v>137526.4526671335</v>
      </c>
      <c r="AB126" s="72">
        <f ca="1">IF(AND(Energy!$F$11=$A$3,Main!$B$43=$A126),Summary!AB23,AB126)</f>
        <v>4.503365631159804</v>
      </c>
      <c r="AC126" s="72">
        <f ca="1">IF(AND(Energy!$F$11=$A$3,Main!$B$43=$A126),Summary!AC23,AC126)</f>
        <v>2.3297778641082796</v>
      </c>
      <c r="AD126" s="72">
        <f ca="1">IF(AND(Energy!$F$11=$A$3,Main!$B$43=$A126),Summary!AD23,AD126)</f>
        <v>0.43938973120177399</v>
      </c>
      <c r="AE126" s="72">
        <f ca="1">IF(AND(Energy!$F$11=$A$3,Main!$B$43=$A126),Summary!AE23,AE126)</f>
        <v>1.43859649122807</v>
      </c>
      <c r="AF126" s="72">
        <f ca="1">IF(AND(Energy!$F$11=$A$3,Main!$B$43=$A126),Summary!AF23,AF126)</f>
        <v>12.947368421052635</v>
      </c>
      <c r="AG126" s="72">
        <f ca="1">IF(AND(Energy!$F$11=$A$3,Main!$B$43=$A126),Summary!AG23,AG126)</f>
        <v>11.711619538269892</v>
      </c>
      <c r="AH126" s="72">
        <f ca="1">IF(AND(Energy!$F$11=$A$3,Main!$B$43=$A126),Summary!AH23,AH126)</f>
        <v>47</v>
      </c>
      <c r="AI126" s="72">
        <f ca="1">IF(AND(Energy!$F$11=$A$3,Main!$B$43=$A126),Summary!AI23,AI126)</f>
        <v>2.7778487927414579</v>
      </c>
      <c r="AJ126" s="72">
        <f ca="1">IF(AND(Energy!$F$11=$A$3,Main!$B$43=$A126),Summary!AJ23,AJ126)</f>
        <v>0.22429443237377852</v>
      </c>
      <c r="AK126" s="72">
        <f ca="1">IF(AND(Energy!$F$11=$A$3,Main!$B$43=$A126),Summary!AK23,AK126)</f>
        <v>0.01</v>
      </c>
      <c r="AL126" s="72">
        <f ca="1">IF(AND(Energy!$F$11=$A$3,Main!$B$43=$A126),Summary!AL23,AL126)</f>
        <v>-0.55730258809298472</v>
      </c>
      <c r="AM126" s="72">
        <f ca="1">IF(AND(Energy!$F$11=$A$3,Main!$B$43=$A126),Summary!AJ143,AM126)</f>
        <v>0</v>
      </c>
    </row>
    <row r="127" spans="1:39">
      <c r="A127">
        <f t="shared" si="10"/>
        <v>7</v>
      </c>
      <c r="D127" s="1">
        <f ca="1">IF(AND(Energy!$F$11=$A$3,Main!$B$43=A127),Main!C24,D127)</f>
        <v>4.4736842105263159</v>
      </c>
      <c r="E127" s="72">
        <f ca="1">IF(AND(Energy!$F$11=$A$3,Main!$B$43=A127),Main!B24,E127)</f>
        <v>0.33333333333333326</v>
      </c>
      <c r="F127" s="72">
        <f ca="1">IF(Main!$D$6=1,U127,IF(Main!$D$6=2,N127,IF(Main!$D$6=3,K127,IF(Main!$D$6=4,V127,J127))))</f>
        <v>542.96587279545656</v>
      </c>
      <c r="G127" s="72">
        <f ca="1">IF(AND(Energy!$F$11=$A$3,Main!$B$43=A127),Weight!H24,G127)</f>
        <v>15</v>
      </c>
      <c r="H127" s="72">
        <f ca="1">IF(AND(Energy!$F$11=$A$3,Main!$B$43=A127),Weight!U24,H127)</f>
        <v>16.797020869254816</v>
      </c>
      <c r="I127" s="72">
        <f ca="1">IF(AND(Energy!$F$11=$A$3,Main!$B$43=A127),Weight!V24,I127)</f>
        <v>45.225061572379815</v>
      </c>
      <c r="J127" s="72">
        <f ca="1">IF(AND(Energy!$F$11=$A$3,Main!$B$43=A127),Weight!I24,J127)</f>
        <v>23.490392428125002</v>
      </c>
      <c r="K127" s="72">
        <f ca="1">IF(AND(Energy!$F$11=$A$3,Main!$B$43=A127),Weight!W24,K127)</f>
        <v>60.225061572379822</v>
      </c>
      <c r="L127" s="72">
        <f ca="1">IF(AND(Energy!$F$11=$A$3,Main!$B$43=A127),'Aerodynamics-Cruise'!BI24,L127)</f>
        <v>60.225061572379822</v>
      </c>
      <c r="M127" s="72">
        <f ca="1">IF(AND(Energy!$F$11=$A$3,Main!$B$43=A127),'Aerodynamics-Cruise'!BJ24,M127)</f>
        <v>3.0373727738467839</v>
      </c>
      <c r="N127" s="72">
        <f ca="1">IF(AND(Energy!$F$11=$A$3,Main!$B$43=A127),'Aerodynamics-Cruise'!BK24,N127)</f>
        <v>19.828011263861349</v>
      </c>
      <c r="O127" s="72">
        <f t="shared" ca="1" si="8"/>
        <v>153.87489985333784</v>
      </c>
      <c r="P127" s="72">
        <f ca="1">IF(AND(Energy!$F$11=$A$3,Main!$B$43=A127),'Aerodynamics-Cruise'!H24,P127)</f>
        <v>8.6257574890575874</v>
      </c>
      <c r="Q127" s="72">
        <f ca="1">IF(AND(Energy!$F$11=$A$3,Main!$B$43=A127),'Aerodynamics-Cruise'!I24,Q127)</f>
        <v>7.2494603633189199</v>
      </c>
      <c r="R127" s="72">
        <f ca="1">IF(AND(Energy!$F$11=$A$3,Main!$B$43=$A127),Summary!R24,R127)</f>
        <v>4.4323387177836784</v>
      </c>
      <c r="S127" s="72">
        <f ca="1">IF(AND(Energy!$F$11=$A$3,Main!$B$43=A127),'Aerodynamics-Cruise'!W24,S127)</f>
        <v>1</v>
      </c>
      <c r="T127" s="72">
        <f ca="1">IF(AND(Energy!$F$11=$A$3,Main!$B$43=A127),'Aerodynamics-Cruise'!BL24,T127)</f>
        <v>26.199640951068513</v>
      </c>
      <c r="U127" s="72">
        <f ca="1">IF(AND(Energy!$F$11=$A$3,Main!$B$43=A127),'Propulsion-Cruise'!M24,U127)</f>
        <v>56.937050143821168</v>
      </c>
      <c r="V127" s="72">
        <f ca="1">IF(AND(Energy!$F$11=$A$3,Main!$B$43=A127),Endurance!AP24,V127)</f>
        <v>542.96587279545656</v>
      </c>
      <c r="W127" s="72">
        <f ca="1">IF(AND(Energy!$F$11=$A$3,Main!$B$43=$A127),Summary!W24,W127)</f>
        <v>1.4912280701754383</v>
      </c>
      <c r="X127" s="13">
        <f ca="1">IF(AND(Energy!$F$11=$A$3,Main!$B$43=A127),Energy!D24,X127)</f>
        <v>1182.0301388888888</v>
      </c>
      <c r="Y127" s="126">
        <f ca="1">IF(AND(Energy!$F$11=$A$3,Main!$B$43=A127),'Aerodynamics-Cruise'!V24,Y127)</f>
        <v>182356.50773326049</v>
      </c>
      <c r="Z127" s="126">
        <f ca="1">IF(AND(Energy!$F$11=$A$3,Main!$B$43=$A127),Summary!Z24,Z127)</f>
        <v>135814.27676179813</v>
      </c>
      <c r="AA127" s="126">
        <f ca="1">IF(AND(Energy!$F$11=$A$3,Main!$B$43=$A127),Summary!AA24,AA127)</f>
        <v>135814.27676179813</v>
      </c>
      <c r="AB127" s="72">
        <f ca="1">IF(AND(Energy!$F$11=$A$3,Main!$B$43=$A127),Summary!AB24,AB127)</f>
        <v>4.4323387177836784</v>
      </c>
      <c r="AC127" s="72">
        <f ca="1">IF(AND(Energy!$F$11=$A$3,Main!$B$43=$A127),Summary!AC24,AC127)</f>
        <v>2.2854650990190248</v>
      </c>
      <c r="AD127" s="72">
        <f ca="1">IF(AND(Energy!$F$11=$A$3,Main!$B$43=$A127),Summary!AD24,AD127)</f>
        <v>0.43628504324820316</v>
      </c>
      <c r="AE127" s="72">
        <f ca="1">IF(AND(Energy!$F$11=$A$3,Main!$B$43=$A127),Summary!AE24,AE127)</f>
        <v>1.4912280701754383</v>
      </c>
      <c r="AF127" s="72">
        <f ca="1">IF(AND(Energy!$F$11=$A$3,Main!$B$43=$A127),Summary!AF24,AF127)</f>
        <v>13.421052631578949</v>
      </c>
      <c r="AG127" s="72">
        <f ca="1">IF(AND(Energy!$F$11=$A$3,Main!$B$43=$A127),Summary!AG24,AG127)</f>
        <v>11.641786180321406</v>
      </c>
      <c r="AH127" s="72">
        <f ca="1">IF(AND(Energy!$F$11=$A$3,Main!$B$43=$A127),Summary!AH24,AH127)</f>
        <v>47</v>
      </c>
      <c r="AI127" s="72">
        <f ca="1">IF(AND(Energy!$F$11=$A$3,Main!$B$43=$A127),Summary!AI24,AI127)</f>
        <v>2.7748480088137404</v>
      </c>
      <c r="AJ127" s="72">
        <f ca="1">IF(AND(Energy!$F$11=$A$3,Main!$B$43=$A127),Summary!AJ24,AJ127)</f>
        <v>0.22515662788322854</v>
      </c>
      <c r="AK127" s="72">
        <f ca="1">IF(AND(Energy!$F$11=$A$3,Main!$B$43=$A127),Summary!AK24,AK127)</f>
        <v>0.01</v>
      </c>
      <c r="AL127" s="72">
        <f ca="1">IF(AND(Energy!$F$11=$A$3,Main!$B$43=$A127),Summary!AL24,AL127)</f>
        <v>-0.55516835115331153</v>
      </c>
      <c r="AM127" s="72">
        <f ca="1">IF(AND(Energy!$F$11=$A$3,Main!$B$43=$A127),Summary!AJ144,AM127)</f>
        <v>0</v>
      </c>
    </row>
    <row r="128" spans="1:39">
      <c r="A128">
        <f t="shared" si="10"/>
        <v>7</v>
      </c>
      <c r="D128" s="1">
        <f ca="1">IF(AND(Energy!$F$11=$A$3,Main!$B$43=A128),Main!C25,D128)</f>
        <v>4.6315789473684212</v>
      </c>
      <c r="E128" s="72">
        <f ca="1">IF(AND(Energy!$F$11=$A$3,Main!$B$43=A128),Main!B25,E128)</f>
        <v>0.33333333333333326</v>
      </c>
      <c r="F128" s="72">
        <f ca="1">IF(Main!$D$6=1,U128,IF(Main!$D$6=2,N128,IF(Main!$D$6=3,K128,IF(Main!$D$6=4,V128,J128))))</f>
        <v>539.34411956221732</v>
      </c>
      <c r="G128" s="72">
        <f ca="1">IF(AND(Energy!$F$11=$A$3,Main!$B$43=A128),Weight!H25,G128)</f>
        <v>15</v>
      </c>
      <c r="H128" s="72">
        <f ca="1">IF(AND(Energy!$F$11=$A$3,Main!$B$43=A128),Weight!U25,H128)</f>
        <v>17.40076628382716</v>
      </c>
      <c r="I128" s="72">
        <f ca="1">IF(AND(Energy!$F$11=$A$3,Main!$B$43=A128),Weight!V25,I128)</f>
        <v>45.828806986952159</v>
      </c>
      <c r="J128" s="72">
        <f ca="1">IF(AND(Energy!$F$11=$A$3,Main!$B$43=A128),Weight!I25,J128)</f>
        <v>23.490392428125002</v>
      </c>
      <c r="K128" s="72">
        <f ca="1">IF(AND(Energy!$F$11=$A$3,Main!$B$43=A128),Weight!W25,K128)</f>
        <v>60.828806986952166</v>
      </c>
      <c r="L128" s="72">
        <f ca="1">IF(AND(Energy!$F$11=$A$3,Main!$B$43=A128),'Aerodynamics-Cruise'!BI25,L128)</f>
        <v>60.828806986952159</v>
      </c>
      <c r="M128" s="72">
        <f ca="1">IF(AND(Energy!$F$11=$A$3,Main!$B$43=A128),'Aerodynamics-Cruise'!BJ25,M128)</f>
        <v>3.0314305941321376</v>
      </c>
      <c r="N128" s="72">
        <f ca="1">IF(AND(Energy!$F$11=$A$3,Main!$B$43=A128),'Aerodynamics-Cruise'!BK25,N128)</f>
        <v>20.06603981126829</v>
      </c>
      <c r="O128" s="72">
        <f t="shared" ca="1" si="8"/>
        <v>156.50071246529504</v>
      </c>
      <c r="P128" s="72">
        <f ca="1">IF(AND(Energy!$F$11=$A$3,Main!$B$43=A128),'Aerodynamics-Cruise'!H25,P128)</f>
        <v>8.5197569888316451</v>
      </c>
      <c r="Q128" s="72">
        <f ca="1">IF(AND(Energy!$F$11=$A$3,Main!$B$43=A128),'Aerodynamics-Cruise'!I25,Q128)</f>
        <v>7.1640374330120444</v>
      </c>
      <c r="R128" s="72">
        <f ca="1">IF(AND(Energy!$F$11=$A$3,Main!$B$43=$A128),Summary!R25,R128)</f>
        <v>4.3690119835582149</v>
      </c>
      <c r="S128" s="72">
        <f ca="1">IF(AND(Energy!$F$11=$A$3,Main!$B$43=A128),'Aerodynamics-Cruise'!W25,S128)</f>
        <v>1</v>
      </c>
      <c r="T128" s="72">
        <f ca="1">IF(AND(Energy!$F$11=$A$3,Main!$B$43=A128),'Aerodynamics-Cruise'!BL25,T128)</f>
        <v>25.827051990515344</v>
      </c>
      <c r="U128" s="72">
        <f ca="1">IF(AND(Energy!$F$11=$A$3,Main!$B$43=A128),'Propulsion-Cruise'!M25,U128)</f>
        <v>56.363247396695201</v>
      </c>
      <c r="V128" s="72">
        <f ca="1">IF(AND(Energy!$F$11=$A$3,Main!$B$43=A128),Endurance!AP25,V128)</f>
        <v>539.34411956221732</v>
      </c>
      <c r="W128" s="72">
        <f ca="1">IF(AND(Energy!$F$11=$A$3,Main!$B$43=$A128),Summary!W25,W128)</f>
        <v>1.5438596491228067</v>
      </c>
      <c r="X128" s="13">
        <f ca="1">IF(AND(Energy!$F$11=$A$3,Main!$B$43=A128),Energy!D25,X128)</f>
        <v>1182.0301388888888</v>
      </c>
      <c r="Y128" s="126">
        <f ca="1">IF(AND(Energy!$F$11=$A$3,Main!$B$43=A128),'Aerodynamics-Cruise'!V25,Y128)</f>
        <v>180115.55891645188</v>
      </c>
      <c r="Z128" s="126">
        <f ca="1">IF(AND(Energy!$F$11=$A$3,Main!$B$43=$A128),Summary!Z25,Z128)</f>
        <v>134211.25047577603</v>
      </c>
      <c r="AA128" s="126">
        <f ca="1">IF(AND(Energy!$F$11=$A$3,Main!$B$43=$A128),Summary!AA25,AA128)</f>
        <v>134211.25047577603</v>
      </c>
      <c r="AB128" s="72">
        <f ca="1">IF(AND(Energy!$F$11=$A$3,Main!$B$43=$A128),Summary!AB25,AB128)</f>
        <v>4.3690119835582149</v>
      </c>
      <c r="AC128" s="72">
        <f ca="1">IF(AND(Energy!$F$11=$A$3,Main!$B$43=$A128),Summary!AC25,AC128)</f>
        <v>2.2423517894143168</v>
      </c>
      <c r="AD128" s="72">
        <f ca="1">IF(AND(Energy!$F$11=$A$3,Main!$B$43=$A128),Summary!AD25,AD128)</f>
        <v>0.43348912337470863</v>
      </c>
      <c r="AE128" s="72">
        <f ca="1">IF(AND(Energy!$F$11=$A$3,Main!$B$43=$A128),Summary!AE25,AE128)</f>
        <v>1.5438596491228067</v>
      </c>
      <c r="AF128" s="72">
        <f ca="1">IF(AND(Energy!$F$11=$A$3,Main!$B$43=$A128),Summary!AF25,AF128)</f>
        <v>13.894736842105267</v>
      </c>
      <c r="AG128" s="72">
        <f ca="1">IF(AND(Energy!$F$11=$A$3,Main!$B$43=$A128),Summary!AG25,AG128)</f>
        <v>11.582752161332614</v>
      </c>
      <c r="AH128" s="72">
        <f ca="1">IF(AND(Energy!$F$11=$A$3,Main!$B$43=$A128),Summary!AH25,AH128)</f>
        <v>47</v>
      </c>
      <c r="AI128" s="72">
        <f ca="1">IF(AND(Energy!$F$11=$A$3,Main!$B$43=$A128),Summary!AI25,AI128)</f>
        <v>2.7720100047991516</v>
      </c>
      <c r="AJ128" s="72">
        <f ca="1">IF(AND(Energy!$F$11=$A$3,Main!$B$43=$A128),Summary!AJ25,AJ128)</f>
        <v>0.22596511827246218</v>
      </c>
      <c r="AK128" s="72">
        <f ca="1">IF(AND(Energy!$F$11=$A$3,Main!$B$43=$A128),Summary!AK25,AK128)</f>
        <v>0.01</v>
      </c>
      <c r="AL128" s="72">
        <f ca="1">IF(AND(Energy!$F$11=$A$3,Main!$B$43=$A128),Summary!AL25,AL128)</f>
        <v>-0.55318183884001959</v>
      </c>
      <c r="AM128" s="72">
        <f ca="1">IF(AND(Energy!$F$11=$A$3,Main!$B$43=$A128),Summary!AJ145,AM128)</f>
        <v>0</v>
      </c>
    </row>
    <row r="129" spans="1:39">
      <c r="A129">
        <f t="shared" si="10"/>
        <v>7</v>
      </c>
      <c r="D129" s="1">
        <f ca="1">IF(AND(Energy!$F$11=$A$3,Main!$B$43=A129),Main!C26,D129)</f>
        <v>4.7894736842105265</v>
      </c>
      <c r="E129" s="72">
        <f ca="1">IF(AND(Energy!$F$11=$A$3,Main!$B$43=A129),Main!B26,E129)</f>
        <v>0.33333333333333326</v>
      </c>
      <c r="F129" s="72">
        <f ca="1">IF(Main!$D$6=1,U129,IF(Main!$D$6=2,N129,IF(Main!$D$6=3,K129,IF(Main!$D$6=4,V129,J129))))</f>
        <v>536.47404158903521</v>
      </c>
      <c r="G129" s="72">
        <f ca="1">IF(AND(Energy!$F$11=$A$3,Main!$B$43=A129),Weight!H26,G129)</f>
        <v>15</v>
      </c>
      <c r="H129" s="72">
        <f ca="1">IF(AND(Energy!$F$11=$A$3,Main!$B$43=A129),Weight!U26,H129)</f>
        <v>18.017493509470754</v>
      </c>
      <c r="I129" s="72">
        <f ca="1">IF(AND(Energy!$F$11=$A$3,Main!$B$43=A129),Weight!V26,I129)</f>
        <v>46.44553421259576</v>
      </c>
      <c r="J129" s="72">
        <f ca="1">IF(AND(Energy!$F$11=$A$3,Main!$B$43=A129),Weight!I26,J129)</f>
        <v>23.490392428125002</v>
      </c>
      <c r="K129" s="72">
        <f ca="1">IF(AND(Energy!$F$11=$A$3,Main!$B$43=A129),Weight!W26,K129)</f>
        <v>61.44553421259576</v>
      </c>
      <c r="L129" s="72">
        <f ca="1">IF(AND(Energy!$F$11=$A$3,Main!$B$43=A129),'Aerodynamics-Cruise'!BI26,L129)</f>
        <v>61.44553421259576</v>
      </c>
      <c r="M129" s="72">
        <f ca="1">IF(AND(Energy!$F$11=$A$3,Main!$B$43=A129),'Aerodynamics-Cruise'!BJ26,M129)</f>
        <v>3.0283298014670943</v>
      </c>
      <c r="N129" s="72">
        <f ca="1">IF(AND(Energy!$F$11=$A$3,Main!$B$43=A129),'Aerodynamics-Cruise'!BK26,N129)</f>
        <v>20.290238593837458</v>
      </c>
      <c r="O129" s="72">
        <f t="shared" ca="1" si="8"/>
        <v>159.04950291958366</v>
      </c>
      <c r="P129" s="72">
        <f ca="1">IF(AND(Energy!$F$11=$A$3,Main!$B$43=A129),'Aerodynamics-Cruise'!H26,P129)</f>
        <v>8.4204360269583294</v>
      </c>
      <c r="Q129" s="72">
        <f ca="1">IF(AND(Energy!$F$11=$A$3,Main!$B$43=A129),'Aerodynamics-Cruise'!I26,Q129)</f>
        <v>7.0839543431237919</v>
      </c>
      <c r="R129" s="72">
        <f ca="1">IF(AND(Energy!$F$11=$A$3,Main!$B$43=$A129),Summary!R26,R129)</f>
        <v>4.3126817373138033</v>
      </c>
      <c r="S129" s="72">
        <f ca="1">IF(AND(Energy!$F$11=$A$3,Main!$B$43=A129),'Aerodynamics-Cruise'!W26,S129)</f>
        <v>1</v>
      </c>
      <c r="T129" s="72">
        <f ca="1">IF(AND(Energy!$F$11=$A$3,Main!$B$43=A129),'Aerodynamics-Cruise'!BL26,T129)</f>
        <v>25.499857361785086</v>
      </c>
      <c r="U129" s="72">
        <f ca="1">IF(AND(Energy!$F$11=$A$3,Main!$B$43=A129),'Propulsion-Cruise'!M26,U129)</f>
        <v>55.874310361473725</v>
      </c>
      <c r="V129" s="72">
        <f ca="1">IF(AND(Energy!$F$11=$A$3,Main!$B$43=A129),Endurance!AP26,V129)</f>
        <v>536.47404158903521</v>
      </c>
      <c r="W129" s="72">
        <f ca="1">IF(AND(Energy!$F$11=$A$3,Main!$B$43=$A129),Summary!W26,W129)</f>
        <v>1.5964912280701751</v>
      </c>
      <c r="X129" s="13">
        <f ca="1">IF(AND(Energy!$F$11=$A$3,Main!$B$43=A129),Energy!D26,X129)</f>
        <v>1182.0301388888888</v>
      </c>
      <c r="Y129" s="126">
        <f ca="1">IF(AND(Energy!$F$11=$A$3,Main!$B$43=A129),'Aerodynamics-Cruise'!V26,Y129)</f>
        <v>178015.8217310624</v>
      </c>
      <c r="Z129" s="126">
        <f ca="1">IF(AND(Energy!$F$11=$A$3,Main!$B$43=$A129),Summary!Z26,Z129)</f>
        <v>132708.46195686993</v>
      </c>
      <c r="AA129" s="126">
        <f ca="1">IF(AND(Energy!$F$11=$A$3,Main!$B$43=$A129),Summary!AA26,AA129)</f>
        <v>132708.46195686993</v>
      </c>
      <c r="AB129" s="72">
        <f ca="1">IF(AND(Energy!$F$11=$A$3,Main!$B$43=$A129),Summary!AB26,AB129)</f>
        <v>4.3126817373138033</v>
      </c>
      <c r="AC129" s="72">
        <f ca="1">IF(AND(Energy!$F$11=$A$3,Main!$B$43=$A129),Summary!AC26,AC129)</f>
        <v>2.2003978309968648</v>
      </c>
      <c r="AD129" s="72">
        <f ca="1">IF(AND(Energy!$F$11=$A$3,Main!$B$43=$A129),Summary!AD26,AD129)</f>
        <v>0.43097560748405561</v>
      </c>
      <c r="AE129" s="72">
        <f ca="1">IF(AND(Energy!$F$11=$A$3,Main!$B$43=$A129),Summary!AE26,AE129)</f>
        <v>1.5964912280701751</v>
      </c>
      <c r="AF129" s="72">
        <f ca="1">IF(AND(Energy!$F$11=$A$3,Main!$B$43=$A129),Summary!AF26,AF129)</f>
        <v>14.368421052631584</v>
      </c>
      <c r="AG129" s="72">
        <f ca="1">IF(AND(Energy!$F$11=$A$3,Main!$B$43=$A129),Summary!AG26,AG129)</f>
        <v>11.53348988113062</v>
      </c>
      <c r="AH129" s="72">
        <f ca="1">IF(AND(Energy!$F$11=$A$3,Main!$B$43=$A129),Summary!AH26,AH129)</f>
        <v>47</v>
      </c>
      <c r="AI129" s="72">
        <f ca="1">IF(AND(Energy!$F$11=$A$3,Main!$B$43=$A129),Summary!AI26,AI129)</f>
        <v>2.7693237221372198</v>
      </c>
      <c r="AJ129" s="72">
        <f ca="1">IF(AND(Energy!$F$11=$A$3,Main!$B$43=$A129),Summary!AJ26,AJ129)</f>
        <v>0.22672443656995475</v>
      </c>
      <c r="AK129" s="72">
        <f ca="1">IF(AND(Energy!$F$11=$A$3,Main!$B$43=$A129),Summary!AK26,AK129)</f>
        <v>0.01</v>
      </c>
      <c r="AL129" s="72">
        <f ca="1">IF(AND(Energy!$F$11=$A$3,Main!$B$43=$A129),Summary!AL26,AL129)</f>
        <v>-0.55132903641335296</v>
      </c>
      <c r="AM129" s="72">
        <f ca="1">IF(AND(Energy!$F$11=$A$3,Main!$B$43=$A129),Summary!AJ146,AM129)</f>
        <v>0</v>
      </c>
    </row>
    <row r="130" spans="1:39">
      <c r="A130">
        <f t="shared" si="10"/>
        <v>7</v>
      </c>
      <c r="D130" s="1">
        <f ca="1">IF(AND(Energy!$F$11=$A$3,Main!$B$43=A130),Main!C27,D130)</f>
        <v>4.9473684210526319</v>
      </c>
      <c r="E130" s="72">
        <f ca="1">IF(AND(Energy!$F$11=$A$3,Main!$B$43=A130),Main!B27,E130)</f>
        <v>0.33333333333333326</v>
      </c>
      <c r="F130" s="72">
        <f ca="1">IF(Main!$D$6=1,U130,IF(Main!$D$6=2,N130,IF(Main!$D$6=3,K130,IF(Main!$D$6=4,V130,J130))))</f>
        <v>534.2843640428099</v>
      </c>
      <c r="G130" s="72">
        <f ca="1">IF(AND(Energy!$F$11=$A$3,Main!$B$43=A130),Weight!H27,G130)</f>
        <v>15</v>
      </c>
      <c r="H130" s="72">
        <f ca="1">IF(AND(Energy!$F$11=$A$3,Main!$B$43=A130),Weight!U27,H130)</f>
        <v>18.647281940429089</v>
      </c>
      <c r="I130" s="72">
        <f ca="1">IF(AND(Energy!$F$11=$A$3,Main!$B$43=A130),Weight!V27,I130)</f>
        <v>47.075322643554088</v>
      </c>
      <c r="J130" s="72">
        <f ca="1">IF(AND(Energy!$F$11=$A$3,Main!$B$43=A130),Weight!I27,J130)</f>
        <v>23.490392428125002</v>
      </c>
      <c r="K130" s="72">
        <f ca="1">IF(AND(Energy!$F$11=$A$3,Main!$B$43=A130),Weight!W27,K130)</f>
        <v>62.075322643554095</v>
      </c>
      <c r="L130" s="72">
        <f ca="1">IF(AND(Energy!$F$11=$A$3,Main!$B$43=A130),'Aerodynamics-Cruise'!BI27,L130)</f>
        <v>62.075322643554102</v>
      </c>
      <c r="M130" s="72">
        <f ca="1">IF(AND(Energy!$F$11=$A$3,Main!$B$43=A130),'Aerodynamics-Cruise'!BJ27,M130)</f>
        <v>3.0278176832856065</v>
      </c>
      <c r="N130" s="72">
        <f ca="1">IF(AND(Energy!$F$11=$A$3,Main!$B$43=A130),'Aerodynamics-Cruise'!BK27,N130)</f>
        <v>20.501671215617474</v>
      </c>
      <c r="O130" s="72">
        <f t="shared" ca="1" si="8"/>
        <v>161.52835016034402</v>
      </c>
      <c r="P130" s="72">
        <f ca="1">IF(AND(Energy!$F$11=$A$3,Main!$B$43=A130),'Aerodynamics-Cruise'!H27,P130)</f>
        <v>8.3272625384629659</v>
      </c>
      <c r="Q130" s="72">
        <f ca="1">IF(AND(Energy!$F$11=$A$3,Main!$B$43=A130),'Aerodynamics-Cruise'!I27,Q130)</f>
        <v>7.008789872304801</v>
      </c>
      <c r="R130" s="72">
        <f ca="1">IF(AND(Energy!$F$11=$A$3,Main!$B$43=$A130),Summary!R27,R130)</f>
        <v>4.2627381477578057</v>
      </c>
      <c r="S130" s="72">
        <f ca="1">IF(AND(Energy!$F$11=$A$3,Main!$B$43=A130),'Aerodynamics-Cruise'!W27,S130)</f>
        <v>1</v>
      </c>
      <c r="T130" s="72">
        <f ca="1">IF(AND(Energy!$F$11=$A$3,Main!$B$43=A130),'Aerodynamics-Cruise'!BL27,T130)</f>
        <v>25.213432767319958</v>
      </c>
      <c r="U130" s="72">
        <f ca="1">IF(AND(Energy!$F$11=$A$3,Main!$B$43=A130),'Propulsion-Cruise'!M27,U130)</f>
        <v>55.461941596276183</v>
      </c>
      <c r="V130" s="72">
        <f ca="1">IF(AND(Energy!$F$11=$A$3,Main!$B$43=A130),Endurance!AP27,V130)</f>
        <v>534.2843640428099</v>
      </c>
      <c r="W130" s="72">
        <f ca="1">IF(AND(Energy!$F$11=$A$3,Main!$B$43=$A130),Summary!W27,W130)</f>
        <v>1.6491228070175437</v>
      </c>
      <c r="X130" s="13">
        <f ca="1">IF(AND(Energy!$F$11=$A$3,Main!$B$43=A130),Energy!D27,X130)</f>
        <v>1182.0301388888888</v>
      </c>
      <c r="Y130" s="126">
        <f ca="1">IF(AND(Energy!$F$11=$A$3,Main!$B$43=A130),'Aerodynamics-Cruise'!V27,Y130)</f>
        <v>176046.04783040573</v>
      </c>
      <c r="Z130" s="126">
        <f ca="1">IF(AND(Energy!$F$11=$A$3,Main!$B$43=$A130),Summary!Z27,Z130)</f>
        <v>131298.00112622563</v>
      </c>
      <c r="AA130" s="126">
        <f ca="1">IF(AND(Energy!$F$11=$A$3,Main!$B$43=$A130),Summary!AA27,AA130)</f>
        <v>131298.00112622563</v>
      </c>
      <c r="AB130" s="72">
        <f ca="1">IF(AND(Energy!$F$11=$A$3,Main!$B$43=$A130),Summary!AB27,AB130)</f>
        <v>4.2627381477578057</v>
      </c>
      <c r="AC130" s="72">
        <f ca="1">IF(AND(Energy!$F$11=$A$3,Main!$B$43=$A130),Summary!AC27,AC130)</f>
        <v>2.1595621983153621</v>
      </c>
      <c r="AD130" s="72">
        <f ca="1">IF(AND(Energy!$F$11=$A$3,Main!$B$43=$A130),Summary!AD27,AD130)</f>
        <v>0.42872122525832623</v>
      </c>
      <c r="AE130" s="72">
        <f ca="1">IF(AND(Energy!$F$11=$A$3,Main!$B$43=$A130),Summary!AE27,AE130)</f>
        <v>1.6491228070175437</v>
      </c>
      <c r="AF130" s="72">
        <f ca="1">IF(AND(Energy!$F$11=$A$3,Main!$B$43=$A130),Summary!AF27,AF130)</f>
        <v>14.842105263157899</v>
      </c>
      <c r="AG130" s="72">
        <f ca="1">IF(AND(Energy!$F$11=$A$3,Main!$B$43=$A130),Summary!AG27,AG130)</f>
        <v>11.493106434401653</v>
      </c>
      <c r="AH130" s="72">
        <f ca="1">IF(AND(Energy!$F$11=$A$3,Main!$B$43=$A130),Summary!AH27,AH130)</f>
        <v>47</v>
      </c>
      <c r="AI130" s="72">
        <f ca="1">IF(AND(Energy!$F$11=$A$3,Main!$B$43=$A130),Summary!AI27,AI130)</f>
        <v>2.7667792253447581</v>
      </c>
      <c r="AJ130" s="72">
        <f ca="1">IF(AND(Energy!$F$11=$A$3,Main!$B$43=$A130),Summary!AJ27,AJ130)</f>
        <v>0.22743861650259406</v>
      </c>
      <c r="AK130" s="72">
        <f ca="1">IF(AND(Energy!$F$11=$A$3,Main!$B$43=$A130),Summary!AK27,AK130)</f>
        <v>0.01</v>
      </c>
      <c r="AL130" s="72">
        <f ca="1">IF(AND(Energy!$F$11=$A$3,Main!$B$43=$A130),Summary!AL27,AL130)</f>
        <v>-0.54959765504724978</v>
      </c>
      <c r="AM130" s="72">
        <f ca="1">IF(AND(Energy!$F$11=$A$3,Main!$B$43=$A130),Summary!AJ147,AM130)</f>
        <v>0</v>
      </c>
    </row>
    <row r="131" spans="1:39">
      <c r="A131">
        <f t="shared" si="10"/>
        <v>7</v>
      </c>
      <c r="D131" s="1">
        <f ca="1">IF(AND(Energy!$F$11=$A$3,Main!$B$43=A131),Main!C28,D131)</f>
        <v>5.1052631578947372</v>
      </c>
      <c r="E131" s="72">
        <f ca="1">IF(AND(Energy!$F$11=$A$3,Main!$B$43=A131),Main!B28,E131)</f>
        <v>0.33333333333333326</v>
      </c>
      <c r="F131" s="72">
        <f ca="1">IF(Main!$D$6=1,U131,IF(Main!$D$6=2,N131,IF(Main!$D$6=3,K131,IF(Main!$D$6=4,V131,J131))))</f>
        <v>532.71368010234005</v>
      </c>
      <c r="G131" s="72">
        <f ca="1">IF(AND(Energy!$F$11=$A$3,Main!$B$43=A131),Weight!H28,G131)</f>
        <v>15</v>
      </c>
      <c r="H131" s="72">
        <f ca="1">IF(AND(Energy!$F$11=$A$3,Main!$B$43=A131),Weight!U28,H131)</f>
        <v>19.290218412145343</v>
      </c>
      <c r="I131" s="72">
        <f ca="1">IF(AND(Energy!$F$11=$A$3,Main!$B$43=A131),Weight!V28,I131)</f>
        <v>47.718259115270342</v>
      </c>
      <c r="J131" s="72">
        <f ca="1">IF(AND(Energy!$F$11=$A$3,Main!$B$43=A131),Weight!I28,J131)</f>
        <v>23.490392428125002</v>
      </c>
      <c r="K131" s="72">
        <f ca="1">IF(AND(Energy!$F$11=$A$3,Main!$B$43=A131),Weight!W28,K131)</f>
        <v>62.718259115270349</v>
      </c>
      <c r="L131" s="72">
        <f ca="1">IF(AND(Energy!$F$11=$A$3,Main!$B$43=A131),'Aerodynamics-Cruise'!BI28,L131)</f>
        <v>62.718259115270342</v>
      </c>
      <c r="M131" s="72">
        <f ca="1">IF(AND(Energy!$F$11=$A$3,Main!$B$43=A131),'Aerodynamics-Cruise'!BJ28,M131)</f>
        <v>3.0296737254825086</v>
      </c>
      <c r="N131" s="72">
        <f ca="1">IF(AND(Energy!$F$11=$A$3,Main!$B$43=A131),'Aerodynamics-Cruise'!BK28,N131)</f>
        <v>20.701324564341256</v>
      </c>
      <c r="O131" s="72">
        <f t="shared" ca="1" si="8"/>
        <v>163.94385086742273</v>
      </c>
      <c r="P131" s="72">
        <f ca="1">IF(AND(Energy!$F$11=$A$3,Main!$B$43=A131),'Aerodynamics-Cruise'!H28,P131)</f>
        <v>8.2397628159734335</v>
      </c>
      <c r="Q131" s="72">
        <f ca="1">IF(AND(Energy!$F$11=$A$3,Main!$B$43=A131),'Aerodynamics-Cruise'!I28,Q131)</f>
        <v>6.9381686603908674</v>
      </c>
      <c r="R131" s="72">
        <f ca="1">IF(AND(Energy!$F$11=$A$3,Main!$B$43=$A131),Summary!R28,R131)</f>
        <v>4.2186505411034174</v>
      </c>
      <c r="S131" s="72">
        <f ca="1">IF(AND(Energy!$F$11=$A$3,Main!$B$43=A131),'Aerodynamics-Cruise'!W28,S131)</f>
        <v>1</v>
      </c>
      <c r="T131" s="72">
        <f ca="1">IF(AND(Energy!$F$11=$A$3,Main!$B$43=A131),'Aerodynamics-Cruise'!BL28,T131)</f>
        <v>24.963792907762478</v>
      </c>
      <c r="U131" s="72">
        <f ca="1">IF(AND(Energy!$F$11=$A$3,Main!$B$43=A131),'Propulsion-Cruise'!M28,U131)</f>
        <v>55.118986140505044</v>
      </c>
      <c r="V131" s="72">
        <f ca="1">IF(AND(Energy!$F$11=$A$3,Main!$B$43=A131),Endurance!AP28,V131)</f>
        <v>532.71368010234005</v>
      </c>
      <c r="W131" s="72">
        <f ca="1">IF(AND(Energy!$F$11=$A$3,Main!$B$43=$A131),Summary!W28,W131)</f>
        <v>1.701754385964912</v>
      </c>
      <c r="X131" s="13">
        <f ca="1">IF(AND(Energy!$F$11=$A$3,Main!$B$43=A131),Energy!D28,X131)</f>
        <v>1182.0301388888888</v>
      </c>
      <c r="Y131" s="126">
        <f ca="1">IF(AND(Energy!$F$11=$A$3,Main!$B$43=A131),'Aerodynamics-Cruise'!V28,Y131)</f>
        <v>174196.22260159979</v>
      </c>
      <c r="Z131" s="126">
        <f ca="1">IF(AND(Energy!$F$11=$A$3,Main!$B$43=$A131),Summary!Z28,Z131)</f>
        <v>129972.81937940686</v>
      </c>
      <c r="AA131" s="126">
        <f ca="1">IF(AND(Energy!$F$11=$A$3,Main!$B$43=$A131),Summary!AA28,AA131)</f>
        <v>129972.81937940686</v>
      </c>
      <c r="AB131" s="72">
        <f ca="1">IF(AND(Energy!$F$11=$A$3,Main!$B$43=$A131),Summary!AB28,AB131)</f>
        <v>4.2186505411034174</v>
      </c>
      <c r="AC131" s="72">
        <f ca="1">IF(AND(Energy!$F$11=$A$3,Main!$B$43=$A131),Summary!AC28,AC131)</f>
        <v>2.1198037839202559</v>
      </c>
      <c r="AD131" s="72">
        <f ca="1">IF(AND(Energy!$F$11=$A$3,Main!$B$43=$A131),Summary!AD28,AD131)</f>
        <v>0.42670535509140334</v>
      </c>
      <c r="AE131" s="72">
        <f ca="1">IF(AND(Energy!$F$11=$A$3,Main!$B$43=$A131),Summary!AE28,AE131)</f>
        <v>1.701754385964912</v>
      </c>
      <c r="AF131" s="72">
        <f ca="1">IF(AND(Energy!$F$11=$A$3,Main!$B$43=$A131),Summary!AF28,AF131)</f>
        <v>15.315789473684216</v>
      </c>
      <c r="AG131" s="72">
        <f ca="1">IF(AND(Energy!$F$11=$A$3,Main!$B$43=$A131),Summary!AG28,AG131)</f>
        <v>11.460822581311064</v>
      </c>
      <c r="AH131" s="72">
        <f ca="1">IF(AND(Energy!$F$11=$A$3,Main!$B$43=$A131),Summary!AH28,AH131)</f>
        <v>47</v>
      </c>
      <c r="AI131" s="72">
        <f ca="1">IF(AND(Energy!$F$11=$A$3,Main!$B$43=$A131),Summary!AI28,AI131)</f>
        <v>2.7643675524029256</v>
      </c>
      <c r="AJ131" s="72">
        <f ca="1">IF(AND(Energy!$F$11=$A$3,Main!$B$43=$A131),Summary!AJ28,AJ131)</f>
        <v>0.22811114398897558</v>
      </c>
      <c r="AK131" s="72">
        <f ca="1">IF(AND(Energy!$F$11=$A$3,Main!$B$43=$A131),Summary!AK28,AK131)</f>
        <v>0.01</v>
      </c>
      <c r="AL131" s="72">
        <f ca="1">IF(AND(Energy!$F$11=$A$3,Main!$B$43=$A131),Summary!AL28,AL131)</f>
        <v>-0.54797715344139963</v>
      </c>
      <c r="AM131" s="72">
        <f ca="1">IF(AND(Energy!$F$11=$A$3,Main!$B$43=$A131),Summary!AJ148,AM131)</f>
        <v>0</v>
      </c>
    </row>
    <row r="132" spans="1:39">
      <c r="A132">
        <f t="shared" si="10"/>
        <v>7</v>
      </c>
      <c r="D132" s="1">
        <f ca="1">IF(AND(Energy!$F$11=$A$3,Main!$B$43=A132),Main!C29,D132)</f>
        <v>5.2631578947368425</v>
      </c>
      <c r="E132" s="72">
        <f ca="1">IF(AND(Energy!$F$11=$A$3,Main!$B$43=A132),Main!B29,E132)</f>
        <v>0.33333333333333326</v>
      </c>
      <c r="F132" s="72">
        <f ca="1">IF(Main!$D$6=1,U132,IF(Main!$D$6=2,N132,IF(Main!$D$6=3,K132,IF(Main!$D$6=4,V132,J132))))</f>
        <v>531.70885328231077</v>
      </c>
      <c r="G132" s="72">
        <f ca="1">IF(AND(Energy!$F$11=$A$3,Main!$B$43=A132),Weight!H29,G132)</f>
        <v>15</v>
      </c>
      <c r="H132" s="72">
        <f ca="1">IF(AND(Energy!$F$11=$A$3,Main!$B$43=A132),Weight!U29,H132)</f>
        <v>19.946396635279541</v>
      </c>
      <c r="I132" s="72">
        <f ca="1">IF(AND(Energy!$F$11=$A$3,Main!$B$43=A132),Weight!V29,I132)</f>
        <v>48.374437338404547</v>
      </c>
      <c r="J132" s="72">
        <f ca="1">IF(AND(Energy!$F$11=$A$3,Main!$B$43=A132),Weight!I29,J132)</f>
        <v>23.490392428125002</v>
      </c>
      <c r="K132" s="72">
        <f ca="1">IF(AND(Energy!$F$11=$A$3,Main!$B$43=A132),Weight!W29,K132)</f>
        <v>63.374437338404547</v>
      </c>
      <c r="L132" s="72">
        <f ca="1">IF(AND(Energy!$F$11=$A$3,Main!$B$43=A132),'Aerodynamics-Cruise'!BI29,L132)</f>
        <v>63.374437338404562</v>
      </c>
      <c r="M132" s="72">
        <f ca="1">IF(AND(Energy!$F$11=$A$3,Main!$B$43=A132),'Aerodynamics-Cruise'!BJ29,M132)</f>
        <v>3.033704737841683</v>
      </c>
      <c r="N132" s="72">
        <f ca="1">IF(AND(Energy!$F$11=$A$3,Main!$B$43=A132),'Aerodynamics-Cruise'!BK29,N132)</f>
        <v>20.890113842618728</v>
      </c>
      <c r="O132" s="72">
        <f t="shared" ref="O132:O163" ca="1" si="11">L132^(3/2)/M132</f>
        <v>166.30215040073784</v>
      </c>
      <c r="P132" s="72">
        <f ca="1">IF(AND(Energy!$F$11=$A$3,Main!$B$43=A132),'Aerodynamics-Cruise'!H29,P132)</f>
        <v>8.1575135366741751</v>
      </c>
      <c r="Q132" s="72">
        <f ca="1">IF(AND(Energy!$F$11=$A$3,Main!$B$43=A132),'Aerodynamics-Cruise'!I29,Q132)</f>
        <v>6.8717549804769558</v>
      </c>
      <c r="R132" s="72">
        <f ca="1">IF(AND(Energy!$F$11=$A$3,Main!$B$43=$A132),Summary!R29,R132)</f>
        <v>4.1799553859695742</v>
      </c>
      <c r="S132" s="72">
        <f ca="1">IF(AND(Energy!$F$11=$A$3,Main!$B$43=A132),'Aerodynamics-Cruise'!W29,S132)</f>
        <v>1</v>
      </c>
      <c r="T132" s="72">
        <f ca="1">IF(AND(Energy!$F$11=$A$3,Main!$B$43=A132),'Aerodynamics-Cruise'!BL29,T132)</f>
        <v>24.747487465216111</v>
      </c>
      <c r="U132" s="72">
        <f ca="1">IF(AND(Energy!$F$11=$A$3,Main!$B$43=A132),'Propulsion-Cruise'!M29,U132)</f>
        <v>54.839246303051688</v>
      </c>
      <c r="V132" s="72">
        <f ca="1">IF(AND(Energy!$F$11=$A$3,Main!$B$43=A132),Endurance!AP29,V132)</f>
        <v>531.70885328231077</v>
      </c>
      <c r="W132" s="72">
        <f ca="1">IF(AND(Energy!$F$11=$A$3,Main!$B$43=$A132),Summary!W29,W132)</f>
        <v>1.7543859649122804</v>
      </c>
      <c r="X132" s="13">
        <f ca="1">IF(AND(Energy!$F$11=$A$3,Main!$B$43=A132),Energy!D29,X132)</f>
        <v>1182.0301388888888</v>
      </c>
      <c r="Y132" s="126">
        <f ca="1">IF(AND(Energy!$F$11=$A$3,Main!$B$43=A132),'Aerodynamics-Cruise'!V29,Y132)</f>
        <v>172457.39660798505</v>
      </c>
      <c r="Z132" s="126">
        <f ca="1">IF(AND(Energy!$F$11=$A$3,Main!$B$43=$A132),Summary!Z29,Z132)</f>
        <v>128726.61257046751</v>
      </c>
      <c r="AA132" s="126">
        <f ca="1">IF(AND(Energy!$F$11=$A$3,Main!$B$43=$A132),Summary!AA29,AA132)</f>
        <v>128726.61257046751</v>
      </c>
      <c r="AB132" s="72">
        <f ca="1">IF(AND(Energy!$F$11=$A$3,Main!$B$43=$A132),Summary!AB29,AB132)</f>
        <v>4.1799553859695742</v>
      </c>
      <c r="AC132" s="72">
        <f ca="1">IF(AND(Energy!$F$11=$A$3,Main!$B$43=$A132),Summary!AC29,AC132)</f>
        <v>2.0810819884896796</v>
      </c>
      <c r="AD132" s="72">
        <f ca="1">IF(AND(Energy!$F$11=$A$3,Main!$B$43=$A132),Summary!AD29,AD132)</f>
        <v>0.42490965397153874</v>
      </c>
      <c r="AE132" s="72">
        <f ca="1">IF(AND(Energy!$F$11=$A$3,Main!$B$43=$A132),Summary!AE29,AE132)</f>
        <v>1.7543859649122804</v>
      </c>
      <c r="AF132" s="72">
        <f ca="1">IF(AND(Energy!$F$11=$A$3,Main!$B$43=$A132),Summary!AF29,AF132)</f>
        <v>15.789473684210533</v>
      </c>
      <c r="AG132" s="72">
        <f ca="1">IF(AND(Energy!$F$11=$A$3,Main!$B$43=$A132),Summary!AG29,AG132)</f>
        <v>11.43595549479053</v>
      </c>
      <c r="AH132" s="72">
        <f ca="1">IF(AND(Energy!$F$11=$A$3,Main!$B$43=$A132),Summary!AH29,AH132)</f>
        <v>47</v>
      </c>
      <c r="AI132" s="72">
        <f ca="1">IF(AND(Energy!$F$11=$A$3,Main!$B$43=$A132),Summary!AI29,AI132)</f>
        <v>2.7620805893846088</v>
      </c>
      <c r="AJ132" s="72">
        <f ca="1">IF(AND(Energy!$F$11=$A$3,Main!$B$43=$A132),Summary!AJ29,AJ132)</f>
        <v>0.22874514955518091</v>
      </c>
      <c r="AK132" s="72">
        <f ca="1">IF(AND(Energy!$F$11=$A$3,Main!$B$43=$A132),Summary!AK29,AK132)</f>
        <v>0.01</v>
      </c>
      <c r="AL132" s="72">
        <f ca="1">IF(AND(Energy!$F$11=$A$3,Main!$B$43=$A132),Summary!AL29,AL132)</f>
        <v>-0.54645818995752959</v>
      </c>
      <c r="AM132" s="72">
        <f ca="1">IF(AND(Energy!$F$11=$A$3,Main!$B$43=$A132),Summary!AJ149,AM132)</f>
        <v>0</v>
      </c>
    </row>
    <row r="133" spans="1:39">
      <c r="A133">
        <f t="shared" si="10"/>
        <v>7</v>
      </c>
      <c r="D133" s="1">
        <f ca="1">IF(AND(Energy!$F$11=$A$3,Main!$B$43=A133),Main!C30,D133)</f>
        <v>5.4210526315789478</v>
      </c>
      <c r="E133" s="72">
        <f ca="1">IF(AND(Energy!$F$11=$A$3,Main!$B$43=A133),Main!B30,E133)</f>
        <v>0.33333333333333326</v>
      </c>
      <c r="F133" s="72">
        <f ca="1">IF(Main!$D$6=1,U133,IF(Main!$D$6=2,N133,IF(Main!$D$6=3,K133,IF(Main!$D$6=4,V133,J133))))</f>
        <v>531.22371895444189</v>
      </c>
      <c r="G133" s="72">
        <f ca="1">IF(AND(Energy!$F$11=$A$3,Main!$B$43=A133),Weight!H30,G133)</f>
        <v>15</v>
      </c>
      <c r="H133" s="72">
        <f ca="1">IF(AND(Energy!$F$11=$A$3,Main!$B$43=A133),Weight!U30,H133)</f>
        <v>20.615916696711636</v>
      </c>
      <c r="I133" s="72">
        <f ca="1">IF(AND(Energy!$F$11=$A$3,Main!$B$43=A133),Weight!V30,I133)</f>
        <v>49.043957399836643</v>
      </c>
      <c r="J133" s="72">
        <f ca="1">IF(AND(Energy!$F$11=$A$3,Main!$B$43=A133),Weight!I30,J133)</f>
        <v>23.490392428125002</v>
      </c>
      <c r="K133" s="72">
        <f ca="1">IF(AND(Energy!$F$11=$A$3,Main!$B$43=A133),Weight!W30,K133)</f>
        <v>64.043957399836643</v>
      </c>
      <c r="L133" s="72">
        <f ca="1">IF(AND(Energy!$F$11=$A$3,Main!$B$43=A133),'Aerodynamics-Cruise'!BI30,L133)</f>
        <v>64.043957399836628</v>
      </c>
      <c r="M133" s="72">
        <f ca="1">IF(AND(Energy!$F$11=$A$3,Main!$B$43=A133),'Aerodynamics-Cruise'!BJ30,M133)</f>
        <v>3.0397408407869122</v>
      </c>
      <c r="N133" s="72">
        <f ca="1">IF(AND(Energy!$F$11=$A$3,Main!$B$43=A133),'Aerodynamics-Cruise'!BK30,N133)</f>
        <v>21.068887367140569</v>
      </c>
      <c r="O133" s="72">
        <f t="shared" ca="1" si="11"/>
        <v>168.60897234560073</v>
      </c>
      <c r="P133" s="72">
        <f ca="1">IF(AND(Energy!$F$11=$A$3,Main!$B$43=A133),'Aerodynamics-Cruise'!H30,P133)</f>
        <v>8.0801350803076062</v>
      </c>
      <c r="Q133" s="72">
        <f ca="1">IF(AND(Energy!$F$11=$A$3,Main!$B$43=A133),'Aerodynamics-Cruise'!I30,Q133)</f>
        <v>6.8092475140013891</v>
      </c>
      <c r="R133" s="72">
        <f ca="1">IF(AND(Energy!$F$11=$A$3,Main!$B$43=$A133),Summary!R30,R133)</f>
        <v>4.146246410496377</v>
      </c>
      <c r="S133" s="72">
        <f ca="1">IF(AND(Energy!$F$11=$A$3,Main!$B$43=A133),'Aerodynamics-Cruise'!W30,S133)</f>
        <v>1</v>
      </c>
      <c r="T133" s="72">
        <f ca="1">IF(AND(Energy!$F$11=$A$3,Main!$B$43=A133),'Aerodynamics-Cruise'!BL30,T133)</f>
        <v>24.561516602686066</v>
      </c>
      <c r="U133" s="72">
        <f ca="1">IF(AND(Energy!$F$11=$A$3,Main!$B$43=A133),'Propulsion-Cruise'!M30,U133)</f>
        <v>54.617331161449556</v>
      </c>
      <c r="V133" s="72">
        <f ca="1">IF(AND(Energy!$F$11=$A$3,Main!$B$43=A133),Endurance!AP30,V133)</f>
        <v>531.22371895444189</v>
      </c>
      <c r="W133" s="72">
        <f ca="1">IF(AND(Energy!$F$11=$A$3,Main!$B$43=$A133),Summary!W30,W133)</f>
        <v>1.807017543859649</v>
      </c>
      <c r="X133" s="13">
        <f ca="1">IF(AND(Energy!$F$11=$A$3,Main!$B$43=A133),Energy!D30,X133)</f>
        <v>1182.0301388888888</v>
      </c>
      <c r="Y133" s="126">
        <f ca="1">IF(AND(Energy!$F$11=$A$3,Main!$B$43=A133),'Aerodynamics-Cruise'!V30,Y133)</f>
        <v>170821.54432548137</v>
      </c>
      <c r="Z133" s="126">
        <f ca="1">IF(AND(Energy!$F$11=$A$3,Main!$B$43=$A133),Summary!Z30,Z133)</f>
        <v>127553.72284556837</v>
      </c>
      <c r="AA133" s="126">
        <f ca="1">IF(AND(Energy!$F$11=$A$3,Main!$B$43=$A133),Summary!AA30,AA133)</f>
        <v>127553.72284556837</v>
      </c>
      <c r="AB133" s="72">
        <f ca="1">IF(AND(Energy!$F$11=$A$3,Main!$B$43=$A133),Summary!AB30,AB133)</f>
        <v>4.146246410496377</v>
      </c>
      <c r="AC133" s="72">
        <f ca="1">IF(AND(Energy!$F$11=$A$3,Main!$B$43=$A133),Summary!AC30,AC133)</f>
        <v>2.0433571269746929</v>
      </c>
      <c r="AD133" s="72">
        <f ca="1">IF(AND(Energy!$F$11=$A$3,Main!$B$43=$A133),Summary!AD30,AD133)</f>
        <v>0.4233177484940831</v>
      </c>
      <c r="AE133" s="72">
        <f ca="1">IF(AND(Energy!$F$11=$A$3,Main!$B$43=$A133),Summary!AE30,AE133)</f>
        <v>1.807017543859649</v>
      </c>
      <c r="AF133" s="72">
        <f ca="1">IF(AND(Energy!$F$11=$A$3,Main!$B$43=$A133),Summary!AF30,AF133)</f>
        <v>16.263157894736846</v>
      </c>
      <c r="AG133" s="72">
        <f ca="1">IF(AND(Energy!$F$11=$A$3,Main!$B$43=$A133),Summary!AG30,AG133)</f>
        <v>11.417904554292786</v>
      </c>
      <c r="AH133" s="72">
        <f ca="1">IF(AND(Energy!$F$11=$A$3,Main!$B$43=$A133),Summary!AH30,AH133)</f>
        <v>47</v>
      </c>
      <c r="AI133" s="72">
        <f ca="1">IF(AND(Energy!$F$11=$A$3,Main!$B$43=$A133),Summary!AI30,AI133)</f>
        <v>2.7599109647382365</v>
      </c>
      <c r="AJ133" s="72">
        <f ca="1">IF(AND(Energy!$F$11=$A$3,Main!$B$43=$A133),Summary!AJ30,AJ133)</f>
        <v>0.22934342763033996</v>
      </c>
      <c r="AK133" s="72">
        <f ca="1">IF(AND(Energy!$F$11=$A$3,Main!$B$43=$A133),Summary!AK30,AK133)</f>
        <v>0.01</v>
      </c>
      <c r="AL133" s="72">
        <f ca="1">IF(AND(Energy!$F$11=$A$3,Main!$B$43=$A133),Summary!AL30,AL133)</f>
        <v>-0.54503251630052052</v>
      </c>
      <c r="AM133" s="72">
        <f ca="1">IF(AND(Energy!$F$11=$A$3,Main!$B$43=$A133),Summary!AJ150,AM133)</f>
        <v>0</v>
      </c>
    </row>
    <row r="134" spans="1:39">
      <c r="A134">
        <f t="shared" si="10"/>
        <v>7</v>
      </c>
      <c r="D134" s="1">
        <f ca="1">IF(AND(Energy!$F$11=$A$3,Main!$B$43=A134),Main!C31,D134)</f>
        <v>5.5789473684210531</v>
      </c>
      <c r="E134" s="72">
        <f ca="1">IF(AND(Energy!$F$11=$A$3,Main!$B$43=A134),Main!B31,E134)</f>
        <v>0.33333333333333326</v>
      </c>
      <c r="F134" s="72">
        <f ca="1">IF(Main!$D$6=1,U134,IF(Main!$D$6=2,N134,IF(Main!$D$6=3,K134,IF(Main!$D$6=4,V134,J134))))</f>
        <v>531.21802112065939</v>
      </c>
      <c r="G134" s="72">
        <f ca="1">IF(AND(Energy!$F$11=$A$3,Main!$B$43=A134),Weight!H31,G134)</f>
        <v>15</v>
      </c>
      <c r="H134" s="72">
        <f ca="1">IF(AND(Energy!$F$11=$A$3,Main!$B$43=A134),Weight!U31,H134)</f>
        <v>21.298884617312524</v>
      </c>
      <c r="I134" s="72">
        <f ca="1">IF(AND(Energy!$F$11=$A$3,Main!$B$43=A134),Weight!V31,I134)</f>
        <v>49.72692532043753</v>
      </c>
      <c r="J134" s="72">
        <f ca="1">IF(AND(Energy!$F$11=$A$3,Main!$B$43=A134),Weight!I31,J134)</f>
        <v>23.490392428125002</v>
      </c>
      <c r="K134" s="72">
        <f ca="1">IF(AND(Energy!$F$11=$A$3,Main!$B$43=A134),Weight!W31,K134)</f>
        <v>64.72692532043753</v>
      </c>
      <c r="L134" s="72">
        <f ca="1">IF(AND(Energy!$F$11=$A$3,Main!$B$43=A134),'Aerodynamics-Cruise'!BI31,L134)</f>
        <v>64.726925320437516</v>
      </c>
      <c r="M134" s="72">
        <f ca="1">IF(AND(Energy!$F$11=$A$3,Main!$B$43=A134),'Aerodynamics-Cruise'!BJ31,M134)</f>
        <v>3.0476321354221541</v>
      </c>
      <c r="N134" s="72">
        <f ca="1">IF(AND(Energy!$F$11=$A$3,Main!$B$43=A134),'Aerodynamics-Cruise'!BK31,N134)</f>
        <v>21.238431163698053</v>
      </c>
      <c r="O134" s="72">
        <f t="shared" ca="1" si="11"/>
        <v>170.86964690016694</v>
      </c>
      <c r="P134" s="72">
        <f ca="1">IF(AND(Energy!$F$11=$A$3,Main!$B$43=A134),'Aerodynamics-Cruise'!H31,P134)</f>
        <v>8.007285898240335</v>
      </c>
      <c r="Q134" s="72">
        <f ca="1">IF(AND(Energy!$F$11=$A$3,Main!$B$43=A134),'Aerodynamics-Cruise'!I31,Q134)</f>
        <v>6.7503749433344025</v>
      </c>
      <c r="R134" s="72">
        <f ca="1">IF(AND(Energy!$F$11=$A$3,Main!$B$43=$A134),Summary!R31,R134)</f>
        <v>4.1171664231919944</v>
      </c>
      <c r="S134" s="72">
        <f ca="1">IF(AND(Energy!$F$11=$A$3,Main!$B$43=A134),'Aerodynamics-Cruise'!W31,S134)</f>
        <v>1</v>
      </c>
      <c r="T134" s="72">
        <f ca="1">IF(AND(Energy!$F$11=$A$3,Main!$B$43=A134),'Aerodynamics-Cruise'!BL31,T134)</f>
        <v>24.403261820989893</v>
      </c>
      <c r="U134" s="72">
        <f ca="1">IF(AND(Energy!$F$11=$A$3,Main!$B$43=A134),'Propulsion-Cruise'!M31,U134)</f>
        <v>54.448533351876407</v>
      </c>
      <c r="V134" s="72">
        <f ca="1">IF(AND(Energy!$F$11=$A$3,Main!$B$43=A134),Endurance!AP31,V134)</f>
        <v>531.21802112065939</v>
      </c>
      <c r="W134" s="72">
        <f ca="1">IF(AND(Energy!$F$11=$A$3,Main!$B$43=$A134),Summary!W31,W134)</f>
        <v>1.8596491228070173</v>
      </c>
      <c r="X134" s="13">
        <f ca="1">IF(AND(Energy!$F$11=$A$3,Main!$B$43=A134),Energy!D31,X134)</f>
        <v>1182.0301388888888</v>
      </c>
      <c r="Y134" s="126">
        <f ca="1">IF(AND(Energy!$F$11=$A$3,Main!$B$43=A134),'Aerodynamics-Cruise'!V31,Y134)</f>
        <v>169281.44509942914</v>
      </c>
      <c r="Z134" s="126">
        <f ca="1">IF(AND(Energy!$F$11=$A$3,Main!$B$43=$A134),Summary!Z31,Z134)</f>
        <v>126449.05583922914</v>
      </c>
      <c r="AA134" s="126">
        <f ca="1">IF(AND(Energy!$F$11=$A$3,Main!$B$43=$A134),Summary!AA31,AA134)</f>
        <v>126449.05583922914</v>
      </c>
      <c r="AB134" s="72">
        <f ca="1">IF(AND(Energy!$F$11=$A$3,Main!$B$43=$A134),Summary!AB31,AB134)</f>
        <v>4.1171664231919944</v>
      </c>
      <c r="AC134" s="72">
        <f ca="1">IF(AND(Energy!$F$11=$A$3,Main!$B$43=$A134),Summary!AC31,AC134)</f>
        <v>2.0065907010845141</v>
      </c>
      <c r="AD134" s="72">
        <f ca="1">IF(AND(Energy!$F$11=$A$3,Main!$B$43=$A134),Summary!AD31,AD134)</f>
        <v>0.42191497519149934</v>
      </c>
      <c r="AE134" s="72">
        <f ca="1">IF(AND(Energy!$F$11=$A$3,Main!$B$43=$A134),Summary!AE31,AE134)</f>
        <v>1.8596491228070173</v>
      </c>
      <c r="AF134" s="72">
        <f ca="1">IF(AND(Energy!$F$11=$A$3,Main!$B$43=$A134),Summary!AF31,AF134)</f>
        <v>16.736842105263161</v>
      </c>
      <c r="AG134" s="72">
        <f ca="1">IF(AND(Energy!$F$11=$A$3,Main!$B$43=$A134),Summary!AG31,AG134)</f>
        <v>11.406139562529816</v>
      </c>
      <c r="AH134" s="72">
        <f ca="1">IF(AND(Energy!$F$11=$A$3,Main!$B$43=$A134),Summary!AH31,AH134)</f>
        <v>47</v>
      </c>
      <c r="AI134" s="72">
        <f ca="1">IF(AND(Energy!$F$11=$A$3,Main!$B$43=$A134),Summary!AI31,AI134)</f>
        <v>2.7578519596276831</v>
      </c>
      <c r="AJ134" s="72">
        <f ca="1">IF(AND(Energy!$F$11=$A$3,Main!$B$43=$A134),Summary!AJ31,AJ134)</f>
        <v>0.22990847972833287</v>
      </c>
      <c r="AK134" s="72">
        <f ca="1">IF(AND(Energy!$F$11=$A$3,Main!$B$43=$A134),Summary!AK31,AK134)</f>
        <v>0.01</v>
      </c>
      <c r="AL134" s="72">
        <f ca="1">IF(AND(Energy!$F$11=$A$3,Main!$B$43=$A134),Summary!AL31,AL134)</f>
        <v>-0.5436928240049872</v>
      </c>
      <c r="AM134" s="72">
        <f ca="1">IF(AND(Energy!$F$11=$A$3,Main!$B$43=$A134),Summary!AJ151,AM134)</f>
        <v>0</v>
      </c>
    </row>
    <row r="135" spans="1:39">
      <c r="A135">
        <f t="shared" si="10"/>
        <v>7</v>
      </c>
      <c r="D135" s="1">
        <f ca="1">IF(AND(Energy!$F$11=$A$3,Main!$B$43=A135),Main!C32,D135)</f>
        <v>5.7368421052631584</v>
      </c>
      <c r="E135" s="72">
        <f ca="1">IF(AND(Energy!$F$11=$A$3,Main!$B$43=A135),Main!B32,E135)</f>
        <v>0.33333333333333326</v>
      </c>
      <c r="F135" s="72">
        <f ca="1">IF(Main!$D$6=1,U135,IF(Main!$D$6=2,N135,IF(Main!$D$6=3,K135,IF(Main!$D$6=4,V135,J135))))</f>
        <v>531.65653662195848</v>
      </c>
      <c r="G135" s="72">
        <f ca="1">IF(AND(Energy!$F$11=$A$3,Main!$B$43=A135),Weight!H32,G135)</f>
        <v>15</v>
      </c>
      <c r="H135" s="72">
        <f ca="1">IF(AND(Energy!$F$11=$A$3,Main!$B$43=A135),Weight!U32,H135)</f>
        <v>21.995411958083992</v>
      </c>
      <c r="I135" s="72">
        <f ca="1">IF(AND(Energy!$F$11=$A$3,Main!$B$43=A135),Weight!V32,I135)</f>
        <v>50.423452661208998</v>
      </c>
      <c r="J135" s="72">
        <f ca="1">IF(AND(Energy!$F$11=$A$3,Main!$B$43=A135),Weight!I32,J135)</f>
        <v>23.490392428125002</v>
      </c>
      <c r="K135" s="72">
        <f ca="1">IF(AND(Energy!$F$11=$A$3,Main!$B$43=A135),Weight!W32,K135)</f>
        <v>65.423452661208998</v>
      </c>
      <c r="L135" s="72">
        <f ca="1">IF(AND(Energy!$F$11=$A$3,Main!$B$43=A135),'Aerodynamics-Cruise'!BI32,L135)</f>
        <v>65.423452661208998</v>
      </c>
      <c r="M135" s="72">
        <f ca="1">IF(AND(Energy!$F$11=$A$3,Main!$B$43=A135),'Aerodynamics-Cruise'!BJ32,M135)</f>
        <v>3.0572459259435156</v>
      </c>
      <c r="N135" s="72">
        <f ca="1">IF(AND(Energy!$F$11=$A$3,Main!$B$43=A135),'Aerodynamics-Cruise'!BK32,N135)</f>
        <v>21.399473331874098</v>
      </c>
      <c r="O135" s="72">
        <f t="shared" ca="1" si="11"/>
        <v>173.08913791146472</v>
      </c>
      <c r="P135" s="72">
        <f ca="1">IF(AND(Energy!$F$11=$A$3,Main!$B$43=A135),'Aerodynamics-Cruise'!H32,P135)</f>
        <v>7.9386577436563091</v>
      </c>
      <c r="Q135" s="72">
        <f ca="1">IF(AND(Energy!$F$11=$A$3,Main!$B$43=A135),'Aerodynamics-Cruise'!I32,Q135)</f>
        <v>6.694892214865332</v>
      </c>
      <c r="R135" s="72">
        <f ca="1">IF(AND(Energy!$F$11=$A$3,Main!$B$43=$A135),Summary!R32,R135)</f>
        <v>4.0924005049239014</v>
      </c>
      <c r="S135" s="72">
        <f ca="1">IF(AND(Energy!$F$11=$A$3,Main!$B$43=A135),'Aerodynamics-Cruise'!W32,S135)</f>
        <v>1</v>
      </c>
      <c r="T135" s="72">
        <f ca="1">IF(AND(Energy!$F$11=$A$3,Main!$B$43=A135),'Aerodynamics-Cruise'!BL32,T135)</f>
        <v>24.270429044253191</v>
      </c>
      <c r="U135" s="72">
        <f ca="1">IF(AND(Energy!$F$11=$A$3,Main!$B$43=A135),'Propulsion-Cruise'!M32,U135)</f>
        <v>54.328727598912664</v>
      </c>
      <c r="V135" s="72">
        <f ca="1">IF(AND(Energy!$F$11=$A$3,Main!$B$43=A135),Endurance!AP32,V135)</f>
        <v>531.65653662195848</v>
      </c>
      <c r="W135" s="72">
        <f ca="1">IF(AND(Energy!$F$11=$A$3,Main!$B$43=$A135),Summary!W32,W135)</f>
        <v>1.9122807017543857</v>
      </c>
      <c r="X135" s="13">
        <f ca="1">IF(AND(Energy!$F$11=$A$3,Main!$B$43=A135),Energy!D32,X135)</f>
        <v>1182.0301388888888</v>
      </c>
      <c r="Y135" s="126">
        <f ca="1">IF(AND(Energy!$F$11=$A$3,Main!$B$43=A135),'Aerodynamics-Cruise'!V32,Y135)</f>
        <v>167830.58230645154</v>
      </c>
      <c r="Z135" s="126">
        <f ca="1">IF(AND(Energy!$F$11=$A$3,Main!$B$43=$A135),Summary!Z32,Z135)</f>
        <v>125408.01047012291</v>
      </c>
      <c r="AA135" s="126">
        <f ca="1">IF(AND(Energy!$F$11=$A$3,Main!$B$43=$A135),Summary!AA32,AA135)</f>
        <v>125408.01047012291</v>
      </c>
      <c r="AB135" s="72">
        <f ca="1">IF(AND(Energy!$F$11=$A$3,Main!$B$43=$A135),Summary!AB32,AB135)</f>
        <v>4.0924005049239014</v>
      </c>
      <c r="AC135" s="72">
        <f ca="1">IF(AND(Energy!$F$11=$A$3,Main!$B$43=$A135),Summary!AC32,AC135)</f>
        <v>1.9707455739016071</v>
      </c>
      <c r="AD135" s="72">
        <f ca="1">IF(AND(Energy!$F$11=$A$3,Main!$B$43=$A135),Summary!AD32,AD135)</f>
        <v>0.42068816120630909</v>
      </c>
      <c r="AE135" s="72">
        <f ca="1">IF(AND(Energy!$F$11=$A$3,Main!$B$43=$A135),Summary!AE32,AE135)</f>
        <v>1.9122807017543857</v>
      </c>
      <c r="AF135" s="72">
        <f ca="1">IF(AND(Energy!$F$11=$A$3,Main!$B$43=$A135),Summary!AF32,AF135)</f>
        <v>17.21052631578948</v>
      </c>
      <c r="AG135" s="72">
        <f ca="1">IF(AND(Energy!$F$11=$A$3,Main!$B$43=$A135),Summary!AG32,AG135)</f>
        <v>11.400190919996129</v>
      </c>
      <c r="AH135" s="72">
        <f ca="1">IF(AND(Energy!$F$11=$A$3,Main!$B$43=$A135),Summary!AH32,AH135)</f>
        <v>47</v>
      </c>
      <c r="AI135" s="72">
        <f ca="1">IF(AND(Energy!$F$11=$A$3,Main!$B$43=$A135),Summary!AI32,AI135)</f>
        <v>2.7558974314768503</v>
      </c>
      <c r="AJ135" s="72">
        <f ca="1">IF(AND(Energy!$F$11=$A$3,Main!$B$43=$A135),Summary!AJ32,AJ135)</f>
        <v>0.23044255335359856</v>
      </c>
      <c r="AK135" s="72">
        <f ca="1">IF(AND(Energy!$F$11=$A$3,Main!$B$43=$A135),Summary!AK32,AK135)</f>
        <v>0.01</v>
      </c>
      <c r="AL135" s="72">
        <f ca="1">IF(AND(Energy!$F$11=$A$3,Main!$B$43=$A135),Summary!AL32,AL135)</f>
        <v>-0.5424326108419133</v>
      </c>
      <c r="AM135" s="72">
        <f ca="1">IF(AND(Energy!$F$11=$A$3,Main!$B$43=$A135),Summary!AJ152,AM135)</f>
        <v>0</v>
      </c>
    </row>
    <row r="136" spans="1:39">
      <c r="A136">
        <f t="shared" si="10"/>
        <v>7</v>
      </c>
      <c r="D136" s="1">
        <f ca="1">IF(AND(Energy!$F$11=$A$3,Main!$B$43=A136),Main!C33,D136)</f>
        <v>5.8947368421052637</v>
      </c>
      <c r="E136" s="72">
        <f ca="1">IF(AND(Energy!$F$11=$A$3,Main!$B$43=A136),Main!B33,E136)</f>
        <v>0.33333333333333326</v>
      </c>
      <c r="F136" s="72">
        <f ca="1">IF(Main!$D$6=1,U136,IF(Main!$D$6=2,N136,IF(Main!$D$6=3,K136,IF(Main!$D$6=4,V136,J136))))</f>
        <v>532.50834959494887</v>
      </c>
      <c r="G136" s="72">
        <f ca="1">IF(AND(Energy!$F$11=$A$3,Main!$B$43=A136),Weight!H33,G136)</f>
        <v>15</v>
      </c>
      <c r="H136" s="72">
        <f ca="1">IF(AND(Energy!$F$11=$A$3,Main!$B$43=A136),Weight!U33,H136)</f>
        <v>22.705615467715205</v>
      </c>
      <c r="I136" s="72">
        <f ca="1">IF(AND(Energy!$F$11=$A$3,Main!$B$43=A136),Weight!V33,I136)</f>
        <v>51.133656170840212</v>
      </c>
      <c r="J136" s="72">
        <f ca="1">IF(AND(Energy!$F$11=$A$3,Main!$B$43=A136),Weight!I33,J136)</f>
        <v>23.490392428125002</v>
      </c>
      <c r="K136" s="72">
        <f ca="1">IF(AND(Energy!$F$11=$A$3,Main!$B$43=A136),Weight!W33,K136)</f>
        <v>66.133656170840212</v>
      </c>
      <c r="L136" s="72">
        <f ca="1">IF(AND(Energy!$F$11=$A$3,Main!$B$43=A136),'Aerodynamics-Cruise'!BI33,L136)</f>
        <v>66.133656170840212</v>
      </c>
      <c r="M136" s="72">
        <f ca="1">IF(AND(Energy!$F$11=$A$3,Main!$B$43=A136),'Aerodynamics-Cruise'!BJ33,M136)</f>
        <v>3.0684643906903788</v>
      </c>
      <c r="N136" s="72">
        <f ca="1">IF(AND(Energy!$F$11=$A$3,Main!$B$43=A136),'Aerodynamics-Cruise'!BK33,N136)</f>
        <v>21.55268816919876</v>
      </c>
      <c r="O136" s="72">
        <f t="shared" ca="1" si="11"/>
        <v>175.27206848010965</v>
      </c>
      <c r="P136" s="72">
        <f ca="1">IF(AND(Energy!$F$11=$A$3,Main!$B$43=A136),'Aerodynamics-Cruise'!H33,P136)</f>
        <v>7.8739716114745626</v>
      </c>
      <c r="Q136" s="72">
        <f ca="1">IF(AND(Energy!$F$11=$A$3,Main!$B$43=A136),'Aerodynamics-Cruise'!I33,Q136)</f>
        <v>6.642577355269224</v>
      </c>
      <c r="R136" s="72">
        <f ca="1">IF(AND(Energy!$F$11=$A$3,Main!$B$43=$A136),Summary!R33,R136)</f>
        <v>4.0716703116186928</v>
      </c>
      <c r="S136" s="72">
        <f ca="1">IF(AND(Energy!$F$11=$A$3,Main!$B$43=A136),'Aerodynamics-Cruise'!W33,S136)</f>
        <v>1</v>
      </c>
      <c r="T136" s="72">
        <f ca="1">IF(AND(Energy!$F$11=$A$3,Main!$B$43=A136),'Aerodynamics-Cruise'!BL33,T136)</f>
        <v>24.161001503116633</v>
      </c>
      <c r="U136" s="72">
        <f ca="1">IF(AND(Energy!$F$11=$A$3,Main!$B$43=A136),'Propulsion-Cruise'!M33,U136)</f>
        <v>54.254286668740512</v>
      </c>
      <c r="V136" s="72">
        <f ca="1">IF(AND(Energy!$F$11=$A$3,Main!$B$43=A136),Endurance!AP33,V136)</f>
        <v>532.50834959494887</v>
      </c>
      <c r="W136" s="72">
        <f ca="1">IF(AND(Energy!$F$11=$A$3,Main!$B$43=$A136),Summary!W33,W136)</f>
        <v>1.9649122807017541</v>
      </c>
      <c r="X136" s="13">
        <f ca="1">IF(AND(Energy!$F$11=$A$3,Main!$B$43=A136),Energy!D33,X136)</f>
        <v>1182.0301388888888</v>
      </c>
      <c r="Y136" s="126">
        <f ca="1">IF(AND(Energy!$F$11=$A$3,Main!$B$43=A136),'Aerodynamics-Cruise'!V33,Y136)</f>
        <v>166463.05752055309</v>
      </c>
      <c r="Z136" s="126">
        <f ca="1">IF(AND(Energy!$F$11=$A$3,Main!$B$43=$A136),Summary!Z33,Z136)</f>
        <v>124426.41913140776</v>
      </c>
      <c r="AA136" s="126">
        <f ca="1">IF(AND(Energy!$F$11=$A$3,Main!$B$43=$A136),Summary!AA33,AA136)</f>
        <v>124426.41913140776</v>
      </c>
      <c r="AB136" s="72">
        <f ca="1">IF(AND(Energy!$F$11=$A$3,Main!$B$43=$A136),Summary!AB33,AB136)</f>
        <v>4.0716703116186928</v>
      </c>
      <c r="AC136" s="72">
        <f ca="1">IF(AND(Energy!$F$11=$A$3,Main!$B$43=$A136),Summary!AC33,AC136)</f>
        <v>1.9357860730647278</v>
      </c>
      <c r="AD136" s="72">
        <f ca="1">IF(AND(Energy!$F$11=$A$3,Main!$B$43=$A136),Summary!AD33,AD136)</f>
        <v>0.41962543813138509</v>
      </c>
      <c r="AE136" s="72">
        <f ca="1">IF(AND(Energy!$F$11=$A$3,Main!$B$43=$A136),Summary!AE33,AE136)</f>
        <v>1.9649122807017541</v>
      </c>
      <c r="AF136" s="72">
        <f ca="1">IF(AND(Energy!$F$11=$A$3,Main!$B$43=$A136),Summary!AF33,AF136)</f>
        <v>17.684210526315798</v>
      </c>
      <c r="AG136" s="72">
        <f ca="1">IF(AND(Energy!$F$11=$A$3,Main!$B$43=$A136),Summary!AG33,AG136)</f>
        <v>11.399641389454406</v>
      </c>
      <c r="AH136" s="72">
        <f ca="1">IF(AND(Energy!$F$11=$A$3,Main!$B$43=$A136),Summary!AH33,AH136)</f>
        <v>47</v>
      </c>
      <c r="AI136" s="72">
        <f ca="1">IF(AND(Energy!$F$11=$A$3,Main!$B$43=$A136),Summary!AI33,AI136)</f>
        <v>2.7540417484432589</v>
      </c>
      <c r="AJ136" s="72">
        <f ca="1">IF(AND(Energy!$F$11=$A$3,Main!$B$43=$A136),Summary!AJ33,AJ136)</f>
        <v>0.23094767480880485</v>
      </c>
      <c r="AK136" s="72">
        <f ca="1">IF(AND(Energy!$F$11=$A$3,Main!$B$43=$A136),Summary!AK33,AK136)</f>
        <v>0.01</v>
      </c>
      <c r="AL136" s="72">
        <f ca="1">IF(AND(Energy!$F$11=$A$3,Main!$B$43=$A136),Summary!AL33,AL136)</f>
        <v>-0.54124606954346288</v>
      </c>
      <c r="AM136" s="72">
        <f ca="1">IF(AND(Energy!$F$11=$A$3,Main!$B$43=$A136),Summary!AJ153,AM136)</f>
        <v>0</v>
      </c>
    </row>
    <row r="137" spans="1:39">
      <c r="A137">
        <f t="shared" si="10"/>
        <v>7</v>
      </c>
      <c r="D137" s="1">
        <f ca="1">IF(AND(Energy!$F$11=$A$3,Main!$B$43=A137),Main!C34,D137)</f>
        <v>6.052631578947369</v>
      </c>
      <c r="E137" s="72">
        <f ca="1">IF(AND(Energy!$F$11=$A$3,Main!$B$43=A137),Main!B34,E137)</f>
        <v>0.33333333333333326</v>
      </c>
      <c r="F137" s="72">
        <f ca="1">IF(Main!$D$6=1,U137,IF(Main!$D$6=2,N137,IF(Main!$D$6=3,K137,IF(Main!$D$6=4,V137,J137))))</f>
        <v>533.7462471359579</v>
      </c>
      <c r="G137" s="72">
        <f ca="1">IF(AND(Energy!$F$11=$A$3,Main!$B$43=A137),Weight!H34,G137)</f>
        <v>15</v>
      </c>
      <c r="H137" s="72">
        <f ca="1">IF(AND(Energy!$F$11=$A$3,Main!$B$43=A137),Weight!U34,H137)</f>
        <v>23.42961676576796</v>
      </c>
      <c r="I137" s="72">
        <f ca="1">IF(AND(Energy!$F$11=$A$3,Main!$B$43=A137),Weight!V34,I137)</f>
        <v>51.857657468892967</v>
      </c>
      <c r="J137" s="72">
        <f ca="1">IF(AND(Energy!$F$11=$A$3,Main!$B$43=A137),Weight!I34,J137)</f>
        <v>23.490392428125002</v>
      </c>
      <c r="K137" s="72">
        <f ca="1">IF(AND(Energy!$F$11=$A$3,Main!$B$43=A137),Weight!W34,K137)</f>
        <v>66.857657468892967</v>
      </c>
      <c r="L137" s="72">
        <f ca="1">IF(AND(Energy!$F$11=$A$3,Main!$B$43=A137),'Aerodynamics-Cruise'!BI34,L137)</f>
        <v>66.857657468892967</v>
      </c>
      <c r="M137" s="72">
        <f ca="1">IF(AND(Energy!$F$11=$A$3,Main!$B$43=A137),'Aerodynamics-Cruise'!BJ34,M137)</f>
        <v>3.0811826196872865</v>
      </c>
      <c r="N137" s="72">
        <f ca="1">IF(AND(Energy!$F$11=$A$3,Main!$B$43=A137),'Aerodynamics-Cruise'!BK34,N137)</f>
        <v>21.698700051630968</v>
      </c>
      <c r="O137" s="72">
        <f t="shared" ca="1" si="11"/>
        <v>177.42274510131625</v>
      </c>
      <c r="P137" s="72">
        <f ca="1">IF(AND(Energy!$F$11=$A$3,Main!$B$43=A137),'Aerodynamics-Cruise'!H34,P137)</f>
        <v>7.8129742664965818</v>
      </c>
      <c r="Q137" s="72">
        <f ca="1">IF(AND(Energy!$F$11=$A$3,Main!$B$43=A137),'Aerodynamics-Cruise'!I34,Q137)</f>
        <v>6.5932287467031978</v>
      </c>
      <c r="R137" s="72">
        <f ca="1">IF(AND(Energy!$F$11=$A$3,Main!$B$43=$A137),Summary!R34,R137)</f>
        <v>4.0547292822605758</v>
      </c>
      <c r="S137" s="72">
        <f ca="1">IF(AND(Energy!$F$11=$A$3,Main!$B$43=A137),'Aerodynamics-Cruise'!W34,S137)</f>
        <v>1</v>
      </c>
      <c r="T137" s="72">
        <f ca="1">IF(AND(Energy!$F$11=$A$3,Main!$B$43=A137),'Aerodynamics-Cruise'!BL34,T137)</f>
        <v>24.073200517993293</v>
      </c>
      <c r="U137" s="72">
        <f ca="1">IF(AND(Energy!$F$11=$A$3,Main!$B$43=A137),'Propulsion-Cruise'!M34,U137)</f>
        <v>54.222011375667918</v>
      </c>
      <c r="V137" s="72">
        <f ca="1">IF(AND(Energy!$F$11=$A$3,Main!$B$43=A137),Endurance!AP34,V137)</f>
        <v>533.7462471359579</v>
      </c>
      <c r="W137" s="72">
        <f ca="1">IF(AND(Energy!$F$11=$A$3,Main!$B$43=$A137),Summary!W34,W137)</f>
        <v>2.0175438596491224</v>
      </c>
      <c r="X137" s="13">
        <f ca="1">IF(AND(Energy!$F$11=$A$3,Main!$B$43=A137),Energy!D34,X137)</f>
        <v>1182.0301388888888</v>
      </c>
      <c r="Y137" s="126">
        <f ca="1">IF(AND(Energy!$F$11=$A$3,Main!$B$43=A137),'Aerodynamics-Cruise'!V34,Y137)</f>
        <v>165173.51711493696</v>
      </c>
      <c r="Z137" s="126">
        <f ca="1">IF(AND(Energy!$F$11=$A$3,Main!$B$43=$A137),Summary!Z34,Z137)</f>
        <v>123500.49650425871</v>
      </c>
      <c r="AA137" s="126">
        <f ca="1">IF(AND(Energy!$F$11=$A$3,Main!$B$43=$A137),Summary!AA34,AA137)</f>
        <v>123500.49650425871</v>
      </c>
      <c r="AB137" s="72">
        <f ca="1">IF(AND(Energy!$F$11=$A$3,Main!$B$43=$A137),Summary!AB34,AB137)</f>
        <v>4.0547292822605758</v>
      </c>
      <c r="AC137" s="72">
        <f ca="1">IF(AND(Energy!$F$11=$A$3,Main!$B$43=$A137),Summary!AC34,AC137)</f>
        <v>1.901678042050122</v>
      </c>
      <c r="AD137" s="72">
        <f ca="1">IF(AND(Energy!$F$11=$A$3,Main!$B$43=$A137),Summary!AD34,AD137)</f>
        <v>0.41871608326950954</v>
      </c>
      <c r="AE137" s="72">
        <f ca="1">IF(AND(Energy!$F$11=$A$3,Main!$B$43=$A137),Summary!AE34,AE137)</f>
        <v>2.0175438596491224</v>
      </c>
      <c r="AF137" s="72">
        <f ca="1">IF(AND(Energy!$F$11=$A$3,Main!$B$43=$A137),Summary!AF34,AF137)</f>
        <v>18.157894736842113</v>
      </c>
      <c r="AG137" s="72">
        <f ca="1">IF(AND(Energy!$F$11=$A$3,Main!$B$43=$A137),Summary!AG34,AG137)</f>
        <v>11.40411915915613</v>
      </c>
      <c r="AH137" s="72">
        <f ca="1">IF(AND(Energy!$F$11=$A$3,Main!$B$43=$A137),Summary!AH34,AH137)</f>
        <v>47</v>
      </c>
      <c r="AI137" s="72">
        <f ca="1">IF(AND(Energy!$F$11=$A$3,Main!$B$43=$A137),Summary!AI34,AI137)</f>
        <v>2.7522797329911515</v>
      </c>
      <c r="AJ137" s="72">
        <f ca="1">IF(AND(Energy!$F$11=$A$3,Main!$B$43=$A137),Summary!AJ34,AJ137)</f>
        <v>0.23142567663762209</v>
      </c>
      <c r="AK137" s="72">
        <f ca="1">IF(AND(Energy!$F$11=$A$3,Main!$B$43=$A137),Summary!AK34,AK137)</f>
        <v>0.01</v>
      </c>
      <c r="AL137" s="72">
        <f ca="1">IF(AND(Energy!$F$11=$A$3,Main!$B$43=$A137),Summary!AL34,AL137)</f>
        <v>-0.54012799544169765</v>
      </c>
      <c r="AM137" s="72">
        <f ca="1">IF(AND(Energy!$F$11=$A$3,Main!$B$43=$A137),Summary!AJ154,AM137)</f>
        <v>0</v>
      </c>
    </row>
    <row r="138" spans="1:39">
      <c r="A138">
        <f t="shared" si="10"/>
        <v>7</v>
      </c>
      <c r="D138" s="1">
        <f ca="1">IF(AND(Energy!$F$11=$A$3,Main!$B$43=A138),Main!C35,D138)</f>
        <v>6.2105263157894743</v>
      </c>
      <c r="E138" s="72">
        <f ca="1">IF(AND(Energy!$F$11=$A$3,Main!$B$43=A138),Main!B35,E138)</f>
        <v>0.33333333333333326</v>
      </c>
      <c r="F138" s="72">
        <f ca="1">IF(Main!$D$6=1,U138,IF(Main!$D$6=2,N138,IF(Main!$D$6=3,K138,IF(Main!$D$6=4,V138,J138))))</f>
        <v>535.34621333772031</v>
      </c>
      <c r="G138" s="72">
        <f ca="1">IF(AND(Energy!$F$11=$A$3,Main!$B$43=A138),Weight!H35,G138)</f>
        <v>15</v>
      </c>
      <c r="H138" s="72">
        <f ca="1">IF(AND(Energy!$F$11=$A$3,Main!$B$43=A138),Weight!U35,H138)</f>
        <v>24.167542056642702</v>
      </c>
      <c r="I138" s="72">
        <f ca="1">IF(AND(Energy!$F$11=$A$3,Main!$B$43=A138),Weight!V35,I138)</f>
        <v>52.595582759767709</v>
      </c>
      <c r="J138" s="72">
        <f ca="1">IF(AND(Energy!$F$11=$A$3,Main!$B$43=A138),Weight!I35,J138)</f>
        <v>23.490392428125002</v>
      </c>
      <c r="K138" s="72">
        <f ca="1">IF(AND(Energy!$F$11=$A$3,Main!$B$43=A138),Weight!W35,K138)</f>
        <v>67.595582759767709</v>
      </c>
      <c r="L138" s="72">
        <f ca="1">IF(AND(Energy!$F$11=$A$3,Main!$B$43=A138),'Aerodynamics-Cruise'!BI35,L138)</f>
        <v>67.595582759767723</v>
      </c>
      <c r="M138" s="72">
        <f ca="1">IF(AND(Energy!$F$11=$A$3,Main!$B$43=A138),'Aerodynamics-Cruise'!BJ35,M138)</f>
        <v>3.0953069532205029</v>
      </c>
      <c r="N138" s="72">
        <f ca="1">IF(AND(Energy!$F$11=$A$3,Main!$B$43=A138),'Aerodynamics-Cruise'!BK35,N138)</f>
        <v>21.838087072249198</v>
      </c>
      <c r="O138" s="72">
        <f t="shared" ca="1" si="11"/>
        <v>179.54518034358523</v>
      </c>
      <c r="P138" s="72">
        <f ca="1">IF(AND(Energy!$F$11=$A$3,Main!$B$43=A138),'Aerodynamics-Cruise'!H35,P138)</f>
        <v>7.7554352616712432</v>
      </c>
      <c r="Q138" s="72">
        <f ca="1">IF(AND(Energy!$F$11=$A$3,Main!$B$43=A138),'Aerodynamics-Cruise'!I35,Q138)</f>
        <v>6.5466627847415806</v>
      </c>
      <c r="R138" s="72">
        <f ca="1">IF(AND(Energy!$F$11=$A$3,Main!$B$43=$A138),Summary!R35,R138)</f>
        <v>4.0413585890645098</v>
      </c>
      <c r="S138" s="72">
        <f ca="1">IF(AND(Energy!$F$11=$A$3,Main!$B$43=A138),'Aerodynamics-Cruise'!W35,S138)</f>
        <v>1</v>
      </c>
      <c r="T138" s="72">
        <f ca="1">IF(AND(Energy!$F$11=$A$3,Main!$B$43=A138),'Aerodynamics-Cruise'!BL35,T138)</f>
        <v>24.005452690702469</v>
      </c>
      <c r="U138" s="72">
        <f ca="1">IF(AND(Energy!$F$11=$A$3,Main!$B$43=A138),'Propulsion-Cruise'!M35,U138)</f>
        <v>54.229071992372958</v>
      </c>
      <c r="V138" s="72">
        <f ca="1">IF(AND(Energy!$F$11=$A$3,Main!$B$43=A138),Endurance!AP35,V138)</f>
        <v>535.34621333772031</v>
      </c>
      <c r="W138" s="72">
        <f ca="1">IF(AND(Energy!$F$11=$A$3,Main!$B$43=$A138),Summary!W35,W138)</f>
        <v>2.070175438596491</v>
      </c>
      <c r="X138" s="13">
        <f ca="1">IF(AND(Energy!$F$11=$A$3,Main!$B$43=A138),Energy!D35,X138)</f>
        <v>1182.0301388888888</v>
      </c>
      <c r="Y138" s="126">
        <f ca="1">IF(AND(Energy!$F$11=$A$3,Main!$B$43=A138),'Aerodynamics-Cruise'!V35,Y138)</f>
        <v>163957.08922536246</v>
      </c>
      <c r="Z138" s="126">
        <f ca="1">IF(AND(Energy!$F$11=$A$3,Main!$B$43=$A138),Summary!Z35,Z138)</f>
        <v>122626.79556272103</v>
      </c>
      <c r="AA138" s="126">
        <f ca="1">IF(AND(Energy!$F$11=$A$3,Main!$B$43=$A138),Summary!AA35,AA138)</f>
        <v>122626.79556272103</v>
      </c>
      <c r="AB138" s="72">
        <f ca="1">IF(AND(Energy!$F$11=$A$3,Main!$B$43=$A138),Summary!AB35,AB138)</f>
        <v>4.0413585890645098</v>
      </c>
      <c r="AC138" s="72">
        <f ca="1">IF(AND(Energy!$F$11=$A$3,Main!$B$43=$A138),Summary!AC35,AC138)</f>
        <v>1.8683925686521794</v>
      </c>
      <c r="AD138" s="72">
        <f ca="1">IF(AND(Energy!$F$11=$A$3,Main!$B$43=$A138),Summary!AD35,AD138)</f>
        <v>0.41795038367977194</v>
      </c>
      <c r="AE138" s="72">
        <f ca="1">IF(AND(Energy!$F$11=$A$3,Main!$B$43=$A138),Summary!AE35,AE138)</f>
        <v>2.070175438596491</v>
      </c>
      <c r="AF138" s="72">
        <f ca="1">IF(AND(Energy!$F$11=$A$3,Main!$B$43=$A138),Summary!AF35,AF138)</f>
        <v>18.631578947368428</v>
      </c>
      <c r="AG138" s="72">
        <f ca="1">IF(AND(Energy!$F$11=$A$3,Main!$B$43=$A138),Summary!AG35,AG138)</f>
        <v>11.41329197276721</v>
      </c>
      <c r="AH138" s="72">
        <f ca="1">IF(AND(Energy!$F$11=$A$3,Main!$B$43=$A138),Summary!AH35,AH138)</f>
        <v>47</v>
      </c>
      <c r="AI138" s="72">
        <f ca="1">IF(AND(Energy!$F$11=$A$3,Main!$B$43=$A138),Summary!AI35,AI138)</f>
        <v>2.7506066130834119</v>
      </c>
      <c r="AJ138" s="72">
        <f ca="1">IF(AND(Energy!$F$11=$A$3,Main!$B$43=$A138),Summary!AJ35,AJ138)</f>
        <v>0.23187822140050521</v>
      </c>
      <c r="AK138" s="72">
        <f ca="1">IF(AND(Energy!$F$11=$A$3,Main!$B$43=$A138),Summary!AK35,AK138)</f>
        <v>0.01</v>
      </c>
      <c r="AL138" s="72">
        <f ca="1">IF(AND(Energy!$F$11=$A$3,Main!$B$43=$A138),Summary!AL35,AL138)</f>
        <v>-0.53907370772086871</v>
      </c>
      <c r="AM138" s="72">
        <f ca="1">IF(AND(Energy!$F$11=$A$3,Main!$B$43=$A138),Summary!AJ155,AM138)</f>
        <v>0</v>
      </c>
    </row>
    <row r="139" spans="1:39">
      <c r="A139">
        <f t="shared" si="10"/>
        <v>7</v>
      </c>
      <c r="D139" s="1">
        <f ca="1">IF(AND(Energy!$F$11=$A$3,Main!$B$43=A139),Main!C36,D139)</f>
        <v>6.3684210526315796</v>
      </c>
      <c r="E139" s="72">
        <f ca="1">IF(AND(Energy!$F$11=$A$3,Main!$B$43=A139),Main!B36,E139)</f>
        <v>0.33333333333333326</v>
      </c>
      <c r="F139" s="72">
        <f ca="1">IF(Main!$D$6=1,U139,IF(Main!$D$6=2,N139,IF(Main!$D$6=3,K139,IF(Main!$D$6=4,V139,J139))))</f>
        <v>537.28700361222059</v>
      </c>
      <c r="G139" s="72">
        <f ca="1">IF(AND(Energy!$F$11=$A$3,Main!$B$43=A139),Weight!H36,G139)</f>
        <v>15</v>
      </c>
      <c r="H139" s="72">
        <f ca="1">IF(AND(Energy!$F$11=$A$3,Main!$B$43=A139),Weight!U36,H139)</f>
        <v>24.919521870244139</v>
      </c>
      <c r="I139" s="72">
        <f ca="1">IF(AND(Energy!$F$11=$A$3,Main!$B$43=A139),Weight!V36,I139)</f>
        <v>53.347562573369146</v>
      </c>
      <c r="J139" s="72">
        <f ca="1">IF(AND(Energy!$F$11=$A$3,Main!$B$43=A139),Weight!I36,J139)</f>
        <v>23.490392428125002</v>
      </c>
      <c r="K139" s="72">
        <f ca="1">IF(AND(Energy!$F$11=$A$3,Main!$B$43=A139),Weight!W36,K139)</f>
        <v>68.347562573369146</v>
      </c>
      <c r="L139" s="72">
        <f ca="1">IF(AND(Energy!$F$11=$A$3,Main!$B$43=A139),'Aerodynamics-Cruise'!BI36,L139)</f>
        <v>68.34756257336916</v>
      </c>
      <c r="M139" s="72">
        <f ca="1">IF(AND(Energy!$F$11=$A$3,Main!$B$43=A139),'Aerodynamics-Cruise'!BJ36,M139)</f>
        <v>3.110753568910571</v>
      </c>
      <c r="N139" s="72">
        <f ca="1">IF(AND(Energy!$F$11=$A$3,Main!$B$43=A139),'Aerodynamics-Cruise'!BK36,N139)</f>
        <v>21.971384444093211</v>
      </c>
      <c r="O139" s="72">
        <f t="shared" ca="1" si="11"/>
        <v>181.64311409466362</v>
      </c>
      <c r="P139" s="72">
        <f ca="1">IF(AND(Energy!$F$11=$A$3,Main!$B$43=A139),'Aerodynamics-Cruise'!H36,P139)</f>
        <v>7.7011443667752335</v>
      </c>
      <c r="Q139" s="72">
        <f ca="1">IF(AND(Energy!$F$11=$A$3,Main!$B$43=A139),'Aerodynamics-Cruise'!I36,Q139)</f>
        <v>6.5027118570932743</v>
      </c>
      <c r="R139" s="72">
        <f ca="1">IF(AND(Energy!$F$11=$A$3,Main!$B$43=$A139),Summary!R36,R139)</f>
        <v>4.0313636994363744</v>
      </c>
      <c r="S139" s="72">
        <f ca="1">IF(AND(Energy!$F$11=$A$3,Main!$B$43=A139),'Aerodynamics-Cruise'!W36,S139)</f>
        <v>1</v>
      </c>
      <c r="T139" s="72">
        <f ca="1">IF(AND(Energy!$F$11=$A$3,Main!$B$43=A139),'Aerodynamics-Cruise'!BL36,T139)</f>
        <v>23.956362323641596</v>
      </c>
      <c r="U139" s="72">
        <f ca="1">IF(AND(Energy!$F$11=$A$3,Main!$B$43=A139),'Propulsion-Cruise'!M36,U139)</f>
        <v>54.272958965608254</v>
      </c>
      <c r="V139" s="72">
        <f ca="1">IF(AND(Energy!$F$11=$A$3,Main!$B$43=A139),Endurance!AP36,V139)</f>
        <v>537.28700361222059</v>
      </c>
      <c r="W139" s="72">
        <f ca="1">IF(AND(Energy!$F$11=$A$3,Main!$B$43=$A139),Summary!W36,W139)</f>
        <v>2.1228070175438596</v>
      </c>
      <c r="X139" s="13">
        <f ca="1">IF(AND(Energy!$F$11=$A$3,Main!$B$43=A139),Energy!D36,X139)</f>
        <v>1182.0301388888888</v>
      </c>
      <c r="Y139" s="126">
        <f ca="1">IF(AND(Energy!$F$11=$A$3,Main!$B$43=A139),'Aerodynamics-Cruise'!V36,Y139)</f>
        <v>162809.32939006577</v>
      </c>
      <c r="Z139" s="126">
        <f ca="1">IF(AND(Energy!$F$11=$A$3,Main!$B$43=$A139),Summary!Z36,Z139)</f>
        <v>121802.16960556469</v>
      </c>
      <c r="AA139" s="126">
        <f ca="1">IF(AND(Energy!$F$11=$A$3,Main!$B$43=$A139),Summary!AA36,AA139)</f>
        <v>121802.16960556469</v>
      </c>
      <c r="AB139" s="72">
        <f ca="1">IF(AND(Energy!$F$11=$A$3,Main!$B$43=$A139),Summary!AB36,AB139)</f>
        <v>4.0313636994363744</v>
      </c>
      <c r="AC139" s="72">
        <f ca="1">IF(AND(Energy!$F$11=$A$3,Main!$B$43=$A139),Summary!AC36,AC139)</f>
        <v>1.8358873988301065</v>
      </c>
      <c r="AD139" s="72">
        <f ca="1">IF(AND(Energy!$F$11=$A$3,Main!$B$43=$A139),Summary!AD36,AD139)</f>
        <v>0.41731951925258259</v>
      </c>
      <c r="AE139" s="72">
        <f ca="1">IF(AND(Energy!$F$11=$A$3,Main!$B$43=$A139),Summary!AE36,AE139)</f>
        <v>2.1228070175438596</v>
      </c>
      <c r="AF139" s="72">
        <f ca="1">IF(AND(Energy!$F$11=$A$3,Main!$B$43=$A139),Summary!AF36,AF139)</f>
        <v>19.105263157894743</v>
      </c>
      <c r="AG139" s="72">
        <f ca="1">IF(AND(Energy!$F$11=$A$3,Main!$B$43=$A139),Summary!AG36,AG139)</f>
        <v>11.426862139831025</v>
      </c>
      <c r="AH139" s="72">
        <f ca="1">IF(AND(Energy!$F$11=$A$3,Main!$B$43=$A139),Summary!AH36,AH139)</f>
        <v>47</v>
      </c>
      <c r="AI139" s="72">
        <f ca="1">IF(AND(Energy!$F$11=$A$3,Main!$B$43=$A139),Summary!AI36,AI139)</f>
        <v>2.7490179797861409</v>
      </c>
      <c r="AJ139" s="72">
        <f ca="1">IF(AND(Energy!$F$11=$A$3,Main!$B$43=$A139),Summary!AJ36,AJ139)</f>
        <v>0.23230682562660487</v>
      </c>
      <c r="AK139" s="72">
        <f ca="1">IF(AND(Energy!$F$11=$A$3,Main!$B$43=$A139),Summary!AK36,AK139)</f>
        <v>0.01</v>
      </c>
      <c r="AL139" s="72">
        <f ca="1">IF(AND(Energy!$F$11=$A$3,Main!$B$43=$A139),Summary!AL36,AL139)</f>
        <v>-0.53807897433340324</v>
      </c>
      <c r="AM139" s="72">
        <f ca="1">IF(AND(Energy!$F$11=$A$3,Main!$B$43=$A139),Summary!AJ156,AM139)</f>
        <v>0</v>
      </c>
    </row>
    <row r="140" spans="1:39">
      <c r="A140">
        <f t="shared" si="10"/>
        <v>7</v>
      </c>
      <c r="D140" s="1">
        <f ca="1">IF(AND(Energy!$F$11=$A$3,Main!$B$43=A140),Main!C37,D140)</f>
        <v>6.526315789473685</v>
      </c>
      <c r="E140" s="72">
        <f ca="1">IF(AND(Energy!$F$11=$A$3,Main!$B$43=A140),Main!B37,E140)</f>
        <v>0.33333333333333326</v>
      </c>
      <c r="F140" s="72">
        <f ca="1">IF(Main!$D$6=1,U140,IF(Main!$D$6=2,N140,IF(Main!$D$6=3,K140,IF(Main!$D$6=4,V140,J140))))</f>
        <v>539.54978500249456</v>
      </c>
      <c r="G140" s="72">
        <f ca="1">IF(AND(Energy!$F$11=$A$3,Main!$B$43=A140),Weight!H37,G140)</f>
        <v>15</v>
      </c>
      <c r="H140" s="72">
        <f ca="1">IF(AND(Energy!$F$11=$A$3,Main!$B$43=A140),Weight!U37,H140)</f>
        <v>25.685690825893431</v>
      </c>
      <c r="I140" s="72">
        <f ca="1">IF(AND(Energy!$F$11=$A$3,Main!$B$43=A140),Weight!V37,I140)</f>
        <v>54.113731529018438</v>
      </c>
      <c r="J140" s="72">
        <f ca="1">IF(AND(Energy!$F$11=$A$3,Main!$B$43=A140),Weight!I37,J140)</f>
        <v>23.490392428125002</v>
      </c>
      <c r="K140" s="72">
        <f ca="1">IF(AND(Energy!$F$11=$A$3,Main!$B$43=A140),Weight!W37,K140)</f>
        <v>69.113731529018438</v>
      </c>
      <c r="L140" s="72">
        <f ca="1">IF(AND(Energy!$F$11=$A$3,Main!$B$43=A140),'Aerodynamics-Cruise'!BI37,L140)</f>
        <v>69.113731529018438</v>
      </c>
      <c r="M140" s="72">
        <f ca="1">IF(AND(Energy!$F$11=$A$3,Main!$B$43=A140),'Aerodynamics-Cruise'!BJ37,M140)</f>
        <v>3.1274472755966576</v>
      </c>
      <c r="N140" s="72">
        <f ca="1">IF(AND(Energy!$F$11=$A$3,Main!$B$43=A140),'Aerodynamics-Cruise'!BK37,N140)</f>
        <v>22.099087670737102</v>
      </c>
      <c r="O140" s="72">
        <f t="shared" ca="1" si="11"/>
        <v>183.72003338125569</v>
      </c>
      <c r="P140" s="72">
        <f ca="1">IF(AND(Energy!$F$11=$A$3,Main!$B$43=A140),'Aerodynamics-Cruise'!H37,P140)</f>
        <v>7.6499093423969944</v>
      </c>
      <c r="Q140" s="72">
        <f ca="1">IF(AND(Energy!$F$11=$A$3,Main!$B$43=A140),'Aerodynamics-Cruise'!I37,Q140)</f>
        <v>6.4612225924380393</v>
      </c>
      <c r="R140" s="72">
        <f ca="1">IF(AND(Energy!$F$11=$A$3,Main!$B$43=$A140),Summary!R37,R140)</f>
        <v>4.0245714448587471</v>
      </c>
      <c r="S140" s="72">
        <f ca="1">IF(AND(Energy!$F$11=$A$3,Main!$B$43=A140),'Aerodynamics-Cruise'!W37,S140)</f>
        <v>1</v>
      </c>
      <c r="T140" s="72">
        <f ca="1">IF(AND(Energy!$F$11=$A$3,Main!$B$43=A140),'Aerodynamics-Cruise'!BL37,T140)</f>
        <v>23.924688131440899</v>
      </c>
      <c r="U140" s="72">
        <f ca="1">IF(AND(Energy!$F$11=$A$3,Main!$B$43=A140),'Propulsion-Cruise'!M37,U140)</f>
        <v>54.351441278660879</v>
      </c>
      <c r="V140" s="72">
        <f ca="1">IF(AND(Energy!$F$11=$A$3,Main!$B$43=A140),Endurance!AP37,V140)</f>
        <v>539.54978500249456</v>
      </c>
      <c r="W140" s="72">
        <f ca="1">IF(AND(Energy!$F$11=$A$3,Main!$B$43=$A140),Summary!W37,W140)</f>
        <v>2.1754385964912277</v>
      </c>
      <c r="X140" s="13">
        <f ca="1">IF(AND(Energy!$F$11=$A$3,Main!$B$43=A140),Energy!D37,X140)</f>
        <v>1182.0301388888888</v>
      </c>
      <c r="Y140" s="126">
        <f ca="1">IF(AND(Energy!$F$11=$A$3,Main!$B$43=A140),'Aerodynamics-Cruise'!V37,Y140)</f>
        <v>161726.17348971774</v>
      </c>
      <c r="Z140" s="126">
        <f ca="1">IF(AND(Energy!$F$11=$A$3,Main!$B$43=$A140),Summary!Z37,Z140)</f>
        <v>121023.73936308348</v>
      </c>
      <c r="AA140" s="126">
        <f ca="1">IF(AND(Energy!$F$11=$A$3,Main!$B$43=$A140),Summary!AA37,AA140)</f>
        <v>121023.73936308348</v>
      </c>
      <c r="AB140" s="72">
        <f ca="1">IF(AND(Energy!$F$11=$A$3,Main!$B$43=$A140),Summary!AB37,AB140)</f>
        <v>4.0245714448587471</v>
      </c>
      <c r="AC140" s="72">
        <f ca="1">IF(AND(Energy!$F$11=$A$3,Main!$B$43=$A140),Summary!AC37,AC140)</f>
        <v>1.804144051592556</v>
      </c>
      <c r="AD140" s="72">
        <f ca="1">IF(AND(Energy!$F$11=$A$3,Main!$B$43=$A140),Summary!AD37,AD140)</f>
        <v>0.41681546178008838</v>
      </c>
      <c r="AE140" s="72">
        <f ca="1">IF(AND(Energy!$F$11=$A$3,Main!$B$43=$A140),Summary!AE37,AE140)</f>
        <v>2.1754385964912277</v>
      </c>
      <c r="AF140" s="72">
        <f ca="1">IF(AND(Energy!$F$11=$A$3,Main!$B$43=$A140),Summary!AF37,AF140)</f>
        <v>19.578947368421058</v>
      </c>
      <c r="AG140" s="72">
        <f ca="1">IF(AND(Energy!$F$11=$A$3,Main!$B$43=$A140),Summary!AG37,AG140)</f>
        <v>11.444562278410572</v>
      </c>
      <c r="AH140" s="72">
        <f ca="1">IF(AND(Energy!$F$11=$A$3,Main!$B$43=$A140),Summary!AH37,AH140)</f>
        <v>47</v>
      </c>
      <c r="AI140" s="72">
        <f ca="1">IF(AND(Energy!$F$11=$A$3,Main!$B$43=$A140),Summary!AI37,AI140)</f>
        <v>2.7475097502975196</v>
      </c>
      <c r="AJ140" s="72">
        <f ca="1">IF(AND(Energy!$F$11=$A$3,Main!$B$43=$A140),Summary!AJ37,AJ140)</f>
        <v>0.23271286886779322</v>
      </c>
      <c r="AK140" s="72">
        <f ca="1">IF(AND(Energy!$F$11=$A$3,Main!$B$43=$A140),Summary!AK37,AK140)</f>
        <v>0.01</v>
      </c>
      <c r="AL140" s="72">
        <f ca="1">IF(AND(Energy!$F$11=$A$3,Main!$B$43=$A140),Summary!AL37,AL140)</f>
        <v>-0.53713997503735866</v>
      </c>
      <c r="AM140" s="72">
        <f ca="1">IF(AND(Energy!$F$11=$A$3,Main!$B$43=$A140),Summary!AJ157,AM140)</f>
        <v>0</v>
      </c>
    </row>
    <row r="141" spans="1:39">
      <c r="A141">
        <f t="shared" si="10"/>
        <v>7</v>
      </c>
      <c r="D141" s="1">
        <f ca="1">IF(AND(Energy!$F$11=$A$3,Main!$B$43=A141),Main!C38,D141)</f>
        <v>6.6842105263157903</v>
      </c>
      <c r="E141" s="72">
        <f ca="1">IF(AND(Energy!$F$11=$A$3,Main!$B$43=A141),Main!B38,E141)</f>
        <v>0.33333333333333326</v>
      </c>
      <c r="F141" s="72">
        <f ca="1">IF(Main!$D$6=1,U141,IF(Main!$D$6=2,N141,IF(Main!$D$6=3,K141,IF(Main!$D$6=4,V141,J141))))</f>
        <v>542.11783078811231</v>
      </c>
      <c r="G141" s="72">
        <f ca="1">IF(AND(Energy!$F$11=$A$3,Main!$B$43=A141),Weight!H38,G141)</f>
        <v>15</v>
      </c>
      <c r="H141" s="72">
        <f ca="1">IF(AND(Energy!$F$11=$A$3,Main!$B$43=A141),Weight!U38,H141)</f>
        <v>26.466187416551605</v>
      </c>
      <c r="I141" s="72">
        <f ca="1">IF(AND(Energy!$F$11=$A$3,Main!$B$43=A141),Weight!V38,I141)</f>
        <v>54.894228119676612</v>
      </c>
      <c r="J141" s="72">
        <f ca="1">IF(AND(Energy!$F$11=$A$3,Main!$B$43=A141),Weight!I38,J141)</f>
        <v>23.490392428125002</v>
      </c>
      <c r="K141" s="72">
        <f ca="1">IF(AND(Energy!$F$11=$A$3,Main!$B$43=A141),Weight!W38,K141)</f>
        <v>69.894228119676612</v>
      </c>
      <c r="L141" s="72">
        <f ca="1">IF(AND(Energy!$F$11=$A$3,Main!$B$43=A141),'Aerodynamics-Cruise'!BI38,L141)</f>
        <v>69.894228119676598</v>
      </c>
      <c r="M141" s="72">
        <f ca="1">IF(AND(Energy!$F$11=$A$3,Main!$B$43=A141),'Aerodynamics-Cruise'!BJ38,M141)</f>
        <v>3.1453204787767786</v>
      </c>
      <c r="N141" s="72">
        <f ca="1">IF(AND(Energy!$F$11=$A$3,Main!$B$43=A141),'Aerodynamics-Cruise'!BK38,N141)</f>
        <v>22.221655501018645</v>
      </c>
      <c r="O141" s="72">
        <f t="shared" ca="1" si="11"/>
        <v>185.7791908723988</v>
      </c>
      <c r="P141" s="72">
        <f ca="1">IF(AND(Energy!$F$11=$A$3,Main!$B$43=A141),'Aerodynamics-Cruise'!H38,P141)</f>
        <v>7.6015540057473459</v>
      </c>
      <c r="Q141" s="72">
        <f ca="1">IF(AND(Energy!$F$11=$A$3,Main!$B$43=A141),'Aerodynamics-Cruise'!I38,Q141)</f>
        <v>6.422054337733714</v>
      </c>
      <c r="R141" s="72">
        <f ca="1">IF(AND(Energy!$F$11=$A$3,Main!$B$43=$A141),Summary!R38,R141)</f>
        <v>4.0208275118861678</v>
      </c>
      <c r="S141" s="72">
        <f ca="1">IF(AND(Energy!$F$11=$A$3,Main!$B$43=A141),'Aerodynamics-Cruise'!W38,S141)</f>
        <v>1</v>
      </c>
      <c r="T141" s="72">
        <f ca="1">IF(AND(Energy!$F$11=$A$3,Main!$B$43=A141),'Aerodynamics-Cruise'!BL38,T141)</f>
        <v>23.90932348480478</v>
      </c>
      <c r="U141" s="72">
        <f ca="1">IF(AND(Energy!$F$11=$A$3,Main!$B$43=A141),'Propulsion-Cruise'!M38,U141)</f>
        <v>54.462531104620282</v>
      </c>
      <c r="V141" s="72">
        <f ca="1">IF(AND(Energy!$F$11=$A$3,Main!$B$43=A141),Endurance!AP38,V141)</f>
        <v>542.11783078811231</v>
      </c>
      <c r="W141" s="72">
        <f ca="1">IF(AND(Energy!$F$11=$A$3,Main!$B$43=$A141),Summary!W38,W141)</f>
        <v>2.2280701754385963</v>
      </c>
      <c r="X141" s="13">
        <f ca="1">IF(AND(Energy!$F$11=$A$3,Main!$B$43=A141),Energy!D38,X141)</f>
        <v>1182.0301388888888</v>
      </c>
      <c r="Y141" s="126">
        <f ca="1">IF(AND(Energy!$F$11=$A$3,Main!$B$43=A141),'Aerodynamics-Cruise'!V38,Y141)</f>
        <v>160703.89685686756</v>
      </c>
      <c r="Z141" s="126">
        <f ca="1">IF(AND(Energy!$F$11=$A$3,Main!$B$43=$A141),Summary!Z38,Z141)</f>
        <v>120288.86439622664</v>
      </c>
      <c r="AA141" s="126">
        <f ca="1">IF(AND(Energy!$F$11=$A$3,Main!$B$43=$A141),Summary!AA38,AA141)</f>
        <v>120288.86439622664</v>
      </c>
      <c r="AB141" s="72">
        <f ca="1">IF(AND(Energy!$F$11=$A$3,Main!$B$43=$A141),Summary!AB38,AB141)</f>
        <v>4.0208275118861678</v>
      </c>
      <c r="AC141" s="72">
        <f ca="1">IF(AND(Energy!$F$11=$A$3,Main!$B$43=$A141),Summary!AC38,AC141)</f>
        <v>1.7731306279727412</v>
      </c>
      <c r="AD141" s="72">
        <f ca="1">IF(AND(Energy!$F$11=$A$3,Main!$B$43=$A141),Summary!AD38,AD141)</f>
        <v>0.41643088747052703</v>
      </c>
      <c r="AE141" s="72">
        <f ca="1">IF(AND(Energy!$F$11=$A$3,Main!$B$43=$A141),Summary!AE38,AE141)</f>
        <v>2.2280701754385963</v>
      </c>
      <c r="AF141" s="72">
        <f ca="1">IF(AND(Energy!$F$11=$A$3,Main!$B$43=$A141),Summary!AF38,AF141)</f>
        <v>20.052631578947373</v>
      </c>
      <c r="AG141" s="72">
        <f ca="1">IF(AND(Energy!$F$11=$A$3,Main!$B$43=$A141),Summary!AG38,AG141)</f>
        <v>11.46615166585609</v>
      </c>
      <c r="AH141" s="72">
        <f ca="1">IF(AND(Energy!$F$11=$A$3,Main!$B$43=$A141),Summary!AH38,AH141)</f>
        <v>47</v>
      </c>
      <c r="AI141" s="72">
        <f ca="1">IF(AND(Energy!$F$11=$A$3,Main!$B$43=$A141),Summary!AI38,AI141)</f>
        <v>2.746078135586413</v>
      </c>
      <c r="AJ141" s="72">
        <f ca="1">IF(AND(Energy!$F$11=$A$3,Main!$B$43=$A141),Summary!AJ38,AJ141)</f>
        <v>0.23309761541757079</v>
      </c>
      <c r="AK141" s="72">
        <f ca="1">IF(AND(Energy!$F$11=$A$3,Main!$B$43=$A141),Summary!AK38,AK141)</f>
        <v>0.01</v>
      </c>
      <c r="AL141" s="72">
        <f ca="1">IF(AND(Energy!$F$11=$A$3,Main!$B$43=$A141),Summary!AL38,AL141)</f>
        <v>-0.53625323736329145</v>
      </c>
      <c r="AM141" s="72">
        <f ca="1">IF(AND(Energy!$F$11=$A$3,Main!$B$43=$A141),Summary!AJ158,AM141)</f>
        <v>0</v>
      </c>
    </row>
    <row r="142" spans="1:39">
      <c r="A142">
        <f t="shared" si="10"/>
        <v>7</v>
      </c>
      <c r="D142" s="1">
        <f ca="1">IF(AND(Energy!$F$11=$A$3,Main!$B$43=A142),Main!C39,D142)</f>
        <v>6.8421052631578956</v>
      </c>
      <c r="E142" s="72">
        <f ca="1">IF(AND(Energy!$F$11=$A$3,Main!$B$43=A142),Main!B39,E142)</f>
        <v>0.33333333333333326</v>
      </c>
      <c r="F142" s="72">
        <f ca="1">IF(Main!$D$6=1,U142,IF(Main!$D$6=2,N142,IF(Main!$D$6=3,K142,IF(Main!$D$6=4,V142,J142))))</f>
        <v>544.97626023428745</v>
      </c>
      <c r="G142" s="72">
        <f ca="1">IF(AND(Energy!$F$11=$A$3,Main!$B$43=A142),Weight!H39,G142)</f>
        <v>15</v>
      </c>
      <c r="H142" s="72">
        <f ca="1">IF(AND(Energy!$F$11=$A$3,Main!$B$43=A142),Weight!U39,H142)</f>
        <v>27.261153810848953</v>
      </c>
      <c r="I142" s="72">
        <f ca="1">IF(AND(Energy!$F$11=$A$3,Main!$B$43=A142),Weight!V39,I142)</f>
        <v>55.689194513973959</v>
      </c>
      <c r="J142" s="72">
        <f ca="1">IF(AND(Energy!$F$11=$A$3,Main!$B$43=A142),Weight!I39,J142)</f>
        <v>23.490392428125002</v>
      </c>
      <c r="K142" s="72">
        <f ca="1">IF(AND(Energy!$F$11=$A$3,Main!$B$43=A142),Weight!W39,K142)</f>
        <v>70.689194513973959</v>
      </c>
      <c r="L142" s="72">
        <f ca="1">IF(AND(Energy!$F$11=$A$3,Main!$B$43=A142),'Aerodynamics-Cruise'!BI39,L142)</f>
        <v>70.689194513973959</v>
      </c>
      <c r="M142" s="72">
        <f ca="1">IF(AND(Energy!$F$11=$A$3,Main!$B$43=A142),'Aerodynamics-Cruise'!BJ39,M142)</f>
        <v>3.1643122905666816</v>
      </c>
      <c r="N142" s="72">
        <f ca="1">IF(AND(Energy!$F$11=$A$3,Main!$B$43=A142),'Aerodynamics-Cruise'!BK39,N142)</f>
        <v>22.339512672219392</v>
      </c>
      <c r="O142" s="72">
        <f t="shared" ca="1" si="11"/>
        <v>187.82362207563875</v>
      </c>
      <c r="P142" s="72">
        <f ca="1">IF(AND(Energy!$F$11=$A$3,Main!$B$43=A142),'Aerodynamics-Cruise'!H39,P142)</f>
        <v>7.5559165441535541</v>
      </c>
      <c r="Q142" s="72">
        <f ca="1">IF(AND(Energy!$F$11=$A$3,Main!$B$43=A142),'Aerodynamics-Cruise'!I39,Q142)</f>
        <v>6.3850778295854544</v>
      </c>
      <c r="R142" s="72">
        <f ca="1">IF(AND(Energy!$F$11=$A$3,Main!$B$43=$A142),Summary!R39,R142)</f>
        <v>4.0199942862573446</v>
      </c>
      <c r="S142" s="72">
        <f ca="1">IF(AND(Energy!$F$11=$A$3,Main!$B$43=A142),'Aerodynamics-Cruise'!W39,S142)</f>
        <v>1</v>
      </c>
      <c r="T142" s="72">
        <f ca="1">IF(AND(Energy!$F$11=$A$3,Main!$B$43=A142),'Aerodynamics-Cruise'!BL39,T142)</f>
        <v>23.909279587161219</v>
      </c>
      <c r="U142" s="72">
        <f ca="1">IF(AND(Energy!$F$11=$A$3,Main!$B$43=A142),'Propulsion-Cruise'!M39,U142)</f>
        <v>54.604453689022122</v>
      </c>
      <c r="V142" s="72">
        <f ca="1">IF(AND(Energy!$F$11=$A$3,Main!$B$43=A142),Endurance!AP39,V142)</f>
        <v>544.97626023428745</v>
      </c>
      <c r="W142" s="72">
        <f ca="1">IF(AND(Energy!$F$11=$A$3,Main!$B$43=$A142),Summary!W39,W142)</f>
        <v>2.2807017543859649</v>
      </c>
      <c r="X142" s="13">
        <f ca="1">IF(AND(Energy!$F$11=$A$3,Main!$B$43=A142),Energy!D39,X142)</f>
        <v>1182.0301388888888</v>
      </c>
      <c r="Y142" s="126">
        <f ca="1">IF(AND(Energy!$F$11=$A$3,Main!$B$43=A142),'Aerodynamics-Cruise'!V39,Y142)</f>
        <v>159739.07862164447</v>
      </c>
      <c r="Z142" s="126">
        <f ca="1">IF(AND(Energy!$F$11=$A$3,Main!$B$43=$A142),Summary!Z39,Z142)</f>
        <v>119595.11814150268</v>
      </c>
      <c r="AA142" s="126">
        <f ca="1">IF(AND(Energy!$F$11=$A$3,Main!$B$43=$A142),Summary!AA39,AA142)</f>
        <v>119595.11814150268</v>
      </c>
      <c r="AB142" s="72">
        <f ca="1">IF(AND(Energy!$F$11=$A$3,Main!$B$43=$A142),Summary!AB39,AB142)</f>
        <v>4.0199942862573446</v>
      </c>
      <c r="AC142" s="72">
        <f ca="1">IF(AND(Energy!$F$11=$A$3,Main!$B$43=$A142),Summary!AC39,AC142)</f>
        <v>1.7428203313344521</v>
      </c>
      <c r="AD142" s="72">
        <f ca="1">IF(AND(Energy!$F$11=$A$3,Main!$B$43=$A142),Summary!AD39,AD142)</f>
        <v>0.41615910088142699</v>
      </c>
      <c r="AE142" s="72">
        <f ca="1">IF(AND(Energy!$F$11=$A$3,Main!$B$43=$A142),Summary!AE39,AE142)</f>
        <v>2.2807017543859649</v>
      </c>
      <c r="AF142" s="72">
        <f ca="1">IF(AND(Energy!$F$11=$A$3,Main!$B$43=$A142),Summary!AF39,AF142)</f>
        <v>20.526315789473689</v>
      </c>
      <c r="AG142" s="72">
        <f ca="1">IF(AND(Energy!$F$11=$A$3,Main!$B$43=$A142),Summary!AG39,AG142)</f>
        <v>11.491413100975629</v>
      </c>
      <c r="AH142" s="72">
        <f ca="1">IF(AND(Energy!$F$11=$A$3,Main!$B$43=$A142),Summary!AH39,AH142)</f>
        <v>47</v>
      </c>
      <c r="AI142" s="72">
        <f ca="1">IF(AND(Energy!$F$11=$A$3,Main!$B$43=$A142),Summary!AI39,AI142)</f>
        <v>2.7447196119658681</v>
      </c>
      <c r="AJ142" s="72">
        <f ca="1">IF(AND(Energy!$F$11=$A$3,Main!$B$43=$A142),Summary!AJ39,AJ142)</f>
        <v>0.23346222531563124</v>
      </c>
      <c r="AK142" s="72">
        <f ca="1">IF(AND(Energy!$F$11=$A$3,Main!$B$43=$A142),Summary!AK39,AK142)</f>
        <v>0.01</v>
      </c>
      <c r="AL142" s="72">
        <f ca="1">IF(AND(Energy!$F$11=$A$3,Main!$B$43=$A142),Summary!AL39,AL142)</f>
        <v>-0.53541559986588461</v>
      </c>
      <c r="AM142" s="72">
        <f ca="1">IF(AND(Energy!$F$11=$A$3,Main!$B$43=$A142),Summary!AJ159,AM142)</f>
        <v>0</v>
      </c>
    </row>
    <row r="143" spans="1:39">
      <c r="A143">
        <f t="shared" si="10"/>
        <v>7</v>
      </c>
      <c r="D143" s="1">
        <f ca="1">IF(AND(Energy!$F$11=$A$3,Main!$B$43=A143),Main!C40,D143)</f>
        <v>7</v>
      </c>
      <c r="E143" s="72">
        <f ca="1">IF(AND(Energy!$F$11=$A$3,Main!$B$43=A143),Main!B40,E143)</f>
        <v>0.33333333333333326</v>
      </c>
      <c r="F143" s="72">
        <f ca="1">IF(Main!$D$6=1,U143,IF(Main!$D$6=2,N143,IF(Main!$D$6=3,K143,IF(Main!$D$6=4,V143,J143))))</f>
        <v>548.11181588900217</v>
      </c>
      <c r="G143" s="72">
        <f ca="1">IF(AND(Energy!$F$11=$A$3,Main!$B$43=A143),Weight!H40,G143)</f>
        <v>15</v>
      </c>
      <c r="H143" s="72">
        <f ca="1">IF(AND(Energy!$F$11=$A$3,Main!$B$43=A143),Weight!U40,H143)</f>
        <v>28.070735670772891</v>
      </c>
      <c r="I143" s="72">
        <f ca="1">IF(AND(Energy!$F$11=$A$3,Main!$B$43=A143),Weight!V40,I143)</f>
        <v>56.498776373897897</v>
      </c>
      <c r="J143" s="72">
        <f ca="1">IF(AND(Energy!$F$11=$A$3,Main!$B$43=A143),Weight!I40,J143)</f>
        <v>23.490392428125002</v>
      </c>
      <c r="K143" s="72">
        <f ca="1">IF(AND(Energy!$F$11=$A$3,Main!$B$43=A143),Weight!W40,K143)</f>
        <v>71.498776373897897</v>
      </c>
      <c r="L143" s="72">
        <f ca="1">IF(AND(Energy!$F$11=$A$3,Main!$B$43=A143),'Aerodynamics-Cruise'!BI40,L143)</f>
        <v>71.498776373897897</v>
      </c>
      <c r="M143" s="72">
        <f ca="1">IF(AND(Energy!$F$11=$A$3,Main!$B$43=A143),'Aerodynamics-Cruise'!BJ40,M143)</f>
        <v>3.1843677609167518</v>
      </c>
      <c r="N143" s="72">
        <f ca="1">IF(AND(Energy!$F$11=$A$3,Main!$B$43=A143),'Aerodynamics-Cruise'!BK40,N143)</f>
        <v>22.453052455635344</v>
      </c>
      <c r="O143" s="72">
        <f t="shared" ca="1" si="11"/>
        <v>189.85616131381892</v>
      </c>
      <c r="P143" s="72">
        <f ca="1">IF(AND(Energy!$F$11=$A$3,Main!$B$43=A143),'Aerodynamics-Cruise'!H40,P143)</f>
        <v>7.5128480396228179</v>
      </c>
      <c r="Q143" s="72">
        <f ca="1">IF(AND(Energy!$F$11=$A$3,Main!$B$43=A143),'Aerodynamics-Cruise'!I40,Q143)</f>
        <v>6.3501740311132346</v>
      </c>
      <c r="R143" s="72">
        <f ca="1">IF(AND(Energy!$F$11=$A$3,Main!$B$43=$A143),Summary!R40,R143)</f>
        <v>4.0219489937506943</v>
      </c>
      <c r="S143" s="72">
        <f ca="1">IF(AND(Energy!$F$11=$A$3,Main!$B$43=A143),'Aerodynamics-Cruise'!W40,S143)</f>
        <v>1</v>
      </c>
      <c r="T143" s="72">
        <f ca="1">IF(AND(Energy!$F$11=$A$3,Main!$B$43=A143),'Aerodynamics-Cruise'!BL40,T143)</f>
        <v>23.92367109004152</v>
      </c>
      <c r="U143" s="72">
        <f ca="1">IF(AND(Energy!$F$11=$A$3,Main!$B$43=A143),'Propulsion-Cruise'!M40,U143)</f>
        <v>54.775621581412416</v>
      </c>
      <c r="V143" s="72">
        <f ca="1">IF(AND(Energy!$F$11=$A$3,Main!$B$43=A143),Endurance!AP40,V143)</f>
        <v>548.11181588900217</v>
      </c>
      <c r="W143" s="72">
        <f ca="1">IF(AND(Energy!$F$11=$A$3,Main!$B$43=$A143),Summary!W40,W143)</f>
        <v>2.333333333333333</v>
      </c>
      <c r="X143" s="13">
        <f ca="1">IF(AND(Energy!$F$11=$A$3,Main!$B$43=A143),Energy!D40,X143)</f>
        <v>1182.0301388888888</v>
      </c>
      <c r="Y143" s="126">
        <f ca="1">IF(AND(Energy!$F$11=$A$3,Main!$B$43=A143),'Aerodynamics-Cruise'!V40,Y143)</f>
        <v>158828.57051966246</v>
      </c>
      <c r="Z143" s="126">
        <f ca="1">IF(AND(Energy!$F$11=$A$3,Main!$B$43=$A143),Summary!Z40,Z143)</f>
        <v>118940.2660649459</v>
      </c>
      <c r="AA143" s="126">
        <f ca="1">IF(AND(Energy!$F$11=$A$3,Main!$B$43=$A143),Summary!AA40,AA143)</f>
        <v>118940.2660649459</v>
      </c>
      <c r="AB143" s="72">
        <f ca="1">IF(AND(Energy!$F$11=$A$3,Main!$B$43=$A143),Summary!AB40,AB143)</f>
        <v>4.0219489937506943</v>
      </c>
      <c r="AC143" s="72">
        <f ca="1">IF(AND(Energy!$F$11=$A$3,Main!$B$43=$A143),Summary!AC40,AC143)</f>
        <v>1.713187694534644</v>
      </c>
      <c r="AD143" s="72">
        <f ca="1">IF(AND(Energy!$F$11=$A$3,Main!$B$43=$A143),Summary!AD40,AD143)</f>
        <v>0.41599396854536297</v>
      </c>
      <c r="AE143" s="72">
        <f ca="1">IF(AND(Energy!$F$11=$A$3,Main!$B$43=$A143),Summary!AE40,AE143)</f>
        <v>2.333333333333333</v>
      </c>
      <c r="AF143" s="72">
        <f ca="1">IF(AND(Energy!$F$11=$A$3,Main!$B$43=$A143),Summary!AF40,AF143)</f>
        <v>21.000000000000004</v>
      </c>
      <c r="AG143" s="72">
        <f ca="1">IF(AND(Energy!$F$11=$A$3,Main!$B$43=$A143),Summary!AG40,AG143)</f>
        <v>11.52015019550063</v>
      </c>
      <c r="AH143" s="72">
        <f ca="1">IF(AND(Energy!$F$11=$A$3,Main!$B$43=$A143),Summary!AH40,AH143)</f>
        <v>47</v>
      </c>
      <c r="AI143" s="72">
        <f ca="1">IF(AND(Energy!$F$11=$A$3,Main!$B$43=$A143),Summary!AI40,AI143)</f>
        <v>2.7434308960394898</v>
      </c>
      <c r="AJ143" s="72">
        <f ca="1">IF(AND(Energy!$F$11=$A$3,Main!$B$43=$A143),Summary!AJ40,AJ143)</f>
        <v>0.23380776555632238</v>
      </c>
      <c r="AK143" s="72">
        <f ca="1">IF(AND(Energy!$F$11=$A$3,Main!$B$43=$A143),Summary!AK40,AK143)</f>
        <v>0.01</v>
      </c>
      <c r="AL143" s="72">
        <f ca="1">IF(AND(Energy!$F$11=$A$3,Main!$B$43=$A143),Summary!AL40,AL143)</f>
        <v>-0.53462417663025175</v>
      </c>
      <c r="AM143" s="72">
        <f ca="1">IF(AND(Energy!$F$11=$A$3,Main!$B$43=$A143),Summary!AJ160,AM143)</f>
        <v>0</v>
      </c>
    </row>
    <row r="144" spans="1:39">
      <c r="A144" s="7">
        <f>A124+1</f>
        <v>8</v>
      </c>
      <c r="D144" s="1">
        <f ca="1">IF(AND(Energy!$F$11=$A$3,Main!$B$43=A144),Main!C21,D144)</f>
        <v>4</v>
      </c>
      <c r="E144" s="72">
        <f ca="1">IF(AND(Energy!$F$11=$A$3,Main!$B$43=A144),Main!B21,E144)</f>
        <v>0.35555555555555546</v>
      </c>
      <c r="F144" s="72">
        <f ca="1">IF(Main!$D$6=1,U144,IF(Main!$D$6=2,N144,IF(Main!$D$6=3,K144,IF(Main!$D$6=4,V144,J144))))</f>
        <v>570.34263361593537</v>
      </c>
      <c r="G144" s="72">
        <f ca="1">IF(AND(Energy!$F$11=$A$3,Main!$B$43=A144),Weight!H21,G144)</f>
        <v>15</v>
      </c>
      <c r="H144" s="72">
        <f ca="1">IF(AND(Energy!$F$11=$A$3,Main!$B$43=A144),Weight!U21,H144)</f>
        <v>15.867090414662229</v>
      </c>
      <c r="I144" s="72">
        <f ca="1">IF(AND(Energy!$F$11=$A$3,Main!$B$43=A144),Weight!V21,I144)</f>
        <v>44.295131117787236</v>
      </c>
      <c r="J144" s="72">
        <f ca="1">IF(AND(Energy!$F$11=$A$3,Main!$B$43=A144),Weight!I21,J144)</f>
        <v>23.490392428125002</v>
      </c>
      <c r="K144" s="72">
        <f ca="1">IF(AND(Energy!$F$11=$A$3,Main!$B$43=A144),Weight!W21,K144)</f>
        <v>59.295131117787236</v>
      </c>
      <c r="L144" s="72">
        <f ca="1">IF(AND(Energy!$F$11=$A$3,Main!$B$43=A144),'Aerodynamics-Cruise'!BI21,L144)</f>
        <v>59.295131117787228</v>
      </c>
      <c r="M144" s="72">
        <f ca="1">IF(AND(Energy!$F$11=$A$3,Main!$B$43=A144),'Aerodynamics-Cruise'!BJ21,M144)</f>
        <v>3.1811569962392841</v>
      </c>
      <c r="N144" s="72">
        <f ca="1">IF(AND(Energy!$F$11=$A$3,Main!$B$43=A144),'Aerodynamics-Cruise'!BK21,N144)</f>
        <v>18.639485944228795</v>
      </c>
      <c r="O144" s="72">
        <f t="shared" ca="1" si="11"/>
        <v>143.5302521165809</v>
      </c>
      <c r="P144" s="72">
        <f ca="1">IF(AND(Energy!$F$11=$A$3,Main!$B$43=A144),'Aerodynamics-Cruise'!H21,P144)</f>
        <v>8.7715496359848224</v>
      </c>
      <c r="Q144" s="72">
        <f ca="1">IF(AND(Energy!$F$11=$A$3,Main!$B$43=A144),'Aerodynamics-Cruise'!I21,Q144)</f>
        <v>7.3414428402735847</v>
      </c>
      <c r="R144" s="72">
        <f ca="1">IF(AND(Energy!$F$11=$A$3,Main!$B$43=$A144),Summary!R21,R144)</f>
        <v>4.4801013424048186</v>
      </c>
      <c r="S144" s="72">
        <f ca="1">IF(AND(Energy!$F$11=$A$3,Main!$B$43=A144),'Aerodynamics-Cruise'!W21,S144)</f>
        <v>1</v>
      </c>
      <c r="T144" s="72">
        <f ca="1">IF(AND(Energy!$F$11=$A$3,Main!$B$43=A144),'Aerodynamics-Cruise'!BL21,T144)</f>
        <v>27.903676492373265</v>
      </c>
      <c r="U144" s="72">
        <f ca="1">IF(AND(Energy!$F$11=$A$3,Main!$B$43=A144),'Propulsion-Cruise'!M21,U144)</f>
        <v>60.296937809093627</v>
      </c>
      <c r="V144" s="72">
        <f ca="1">IF(AND(Energy!$F$11=$A$3,Main!$B$43=A144),Endurance!AP21,V144)</f>
        <v>570.34263361593537</v>
      </c>
      <c r="W144" s="72">
        <f ca="1">IF(AND(Energy!$F$11=$A$3,Main!$B$43=$A144),Summary!W21,W144)</f>
        <v>1.4222222222222218</v>
      </c>
      <c r="X144" s="13">
        <f ca="1">IF(AND(Energy!$F$11=$A$3,Main!$B$43=A144),Energy!D21,X144)</f>
        <v>1182.0301388888888</v>
      </c>
      <c r="Y144" s="126">
        <f ca="1">IF(AND(Energy!$F$11=$A$3,Main!$B$43=A144),'Aerodynamics-Cruise'!V21,Y144)</f>
        <v>197801.26809655584</v>
      </c>
      <c r="Z144" s="126">
        <f ca="1">IF(AND(Energy!$F$11=$A$3,Main!$B$43=$A144),Summary!Z21,Z144)</f>
        <v>146730.44947437756</v>
      </c>
      <c r="AA144" s="126">
        <f ca="1">IF(AND(Energy!$F$11=$A$3,Main!$B$43=$A144),Summary!AA21,AA144)</f>
        <v>146730.44947437756</v>
      </c>
      <c r="AB144" s="72">
        <f ca="1">IF(AND(Energy!$F$11=$A$3,Main!$B$43=$A144),Summary!AB21,AB144)</f>
        <v>4.4801013424048186</v>
      </c>
      <c r="AC144" s="72">
        <f ca="1">IF(AND(Energy!$F$11=$A$3,Main!$B$43=$A144),Summary!AC21,AC144)</f>
        <v>2.3296903506433999</v>
      </c>
      <c r="AD144" s="72">
        <f ca="1">IF(AND(Energy!$F$11=$A$3,Main!$B$43=$A144),Summary!AD21,AD144)</f>
        <v>0.45023251109768769</v>
      </c>
      <c r="AE144" s="72">
        <f ca="1">IF(AND(Energy!$F$11=$A$3,Main!$B$43=$A144),Summary!AE21,AE144)</f>
        <v>1.4222222222222218</v>
      </c>
      <c r="AF144" s="72">
        <f ca="1">IF(AND(Energy!$F$11=$A$3,Main!$B$43=$A144),Summary!AF21,AF144)</f>
        <v>11.250000000000004</v>
      </c>
      <c r="AG144" s="72">
        <f ca="1">IF(AND(Energy!$F$11=$A$3,Main!$B$43=$A144),Summary!AG21,AG144)</f>
        <v>12.058808246656959</v>
      </c>
      <c r="AH144" s="72">
        <f ca="1">IF(AND(Energy!$F$11=$A$3,Main!$B$43=$A144),Summary!AH21,AH144)</f>
        <v>47</v>
      </c>
      <c r="AI144" s="72">
        <f ca="1">IF(AND(Energy!$F$11=$A$3,Main!$B$43=$A144),Summary!AI21,AI144)</f>
        <v>2.79798819860493</v>
      </c>
      <c r="AJ144" s="72">
        <f ca="1">IF(AND(Energy!$F$11=$A$3,Main!$B$43=$A144),Summary!AJ21,AJ144)</f>
        <v>0.22529863840600878</v>
      </c>
      <c r="AK144" s="72">
        <f ca="1">IF(AND(Energy!$F$11=$A$3,Main!$B$43=$A144),Summary!AK21,AK144)</f>
        <v>0.01</v>
      </c>
      <c r="AL144" s="72">
        <f ca="1">IF(AND(Energy!$F$11=$A$3,Main!$B$43=$A144),Summary!AL21,AL144)</f>
        <v>-0.554838461298782</v>
      </c>
      <c r="AM144" s="72">
        <f ca="1">IF(AND(Energy!$F$11=$A$3,Main!$B$43=$A144),Summary!AJ161,AM144)</f>
        <v>0</v>
      </c>
    </row>
    <row r="145" spans="1:39">
      <c r="A145">
        <f t="shared" ref="A145:A163" si="12">A144</f>
        <v>8</v>
      </c>
      <c r="D145" s="1">
        <f ca="1">IF(AND(Energy!$F$11=$A$3,Main!$B$43=A145),Main!C22,D145)</f>
        <v>4.1578947368421053</v>
      </c>
      <c r="E145" s="72">
        <f ca="1">IF(AND(Energy!$F$11=$A$3,Main!$B$43=A145),Main!B22,E145)</f>
        <v>0.35555555555555546</v>
      </c>
      <c r="F145" s="72">
        <f ca="1">IF(Main!$D$6=1,U145,IF(Main!$D$6=2,N145,IF(Main!$D$6=3,K145,IF(Main!$D$6=4,V145,J145))))</f>
        <v>563.64229517319393</v>
      </c>
      <c r="G145" s="72">
        <f ca="1">IF(AND(Energy!$F$11=$A$3,Main!$B$43=A145),Weight!H22,G145)</f>
        <v>15</v>
      </c>
      <c r="H145" s="72">
        <f ca="1">IF(AND(Energy!$F$11=$A$3,Main!$B$43=A145),Weight!U22,H145)</f>
        <v>16.474227877817405</v>
      </c>
      <c r="I145" s="72">
        <f ca="1">IF(AND(Energy!$F$11=$A$3,Main!$B$43=A145),Weight!V22,I145)</f>
        <v>44.902268580942405</v>
      </c>
      <c r="J145" s="72">
        <f ca="1">IF(AND(Energy!$F$11=$A$3,Main!$B$43=A145),Weight!I22,J145)</f>
        <v>23.490392428125002</v>
      </c>
      <c r="K145" s="72">
        <f ca="1">IF(AND(Energy!$F$11=$A$3,Main!$B$43=A145),Weight!W22,K145)</f>
        <v>59.902268580942412</v>
      </c>
      <c r="L145" s="72">
        <f ca="1">IF(AND(Energy!$F$11=$A$3,Main!$B$43=A145),'Aerodynamics-Cruise'!BI22,L145)</f>
        <v>59.902268580942405</v>
      </c>
      <c r="M145" s="72">
        <f ca="1">IF(AND(Energy!$F$11=$A$3,Main!$B$43=A145),'Aerodynamics-Cruise'!BJ22,M145)</f>
        <v>3.1616042072207371</v>
      </c>
      <c r="N145" s="72">
        <f ca="1">IF(AND(Energy!$F$11=$A$3,Main!$B$43=A145),'Aerodynamics-Cruise'!BK22,N145)</f>
        <v>18.946795567937496</v>
      </c>
      <c r="O145" s="72">
        <f t="shared" ca="1" si="11"/>
        <v>146.64167214322205</v>
      </c>
      <c r="P145" s="72">
        <f ca="1">IF(AND(Energy!$F$11=$A$3,Main!$B$43=A145),'Aerodynamics-Cruise'!H22,P145)</f>
        <v>8.6471912076079711</v>
      </c>
      <c r="Q145" s="72">
        <f ca="1">IF(AND(Energy!$F$11=$A$3,Main!$B$43=A145),'Aerodynamics-Cruise'!I22,Q145)</f>
        <v>7.2416670608349287</v>
      </c>
      <c r="R145" s="72">
        <f ca="1">IF(AND(Energy!$F$11=$A$3,Main!$B$43=$A145),Summary!R22,R145)</f>
        <v>4.3996346317443598</v>
      </c>
      <c r="S145" s="72">
        <f ca="1">IF(AND(Energy!$F$11=$A$3,Main!$B$43=A145),'Aerodynamics-Cruise'!W22,S145)</f>
        <v>1</v>
      </c>
      <c r="T145" s="72">
        <f ca="1">IF(AND(Energy!$F$11=$A$3,Main!$B$43=A145),'Aerodynamics-Cruise'!BL22,T145)</f>
        <v>27.338996102615528</v>
      </c>
      <c r="U145" s="72">
        <f ca="1">IF(AND(Energy!$F$11=$A$3,Main!$B$43=A145),'Propulsion-Cruise'!M22,U145)</f>
        <v>59.361996790174537</v>
      </c>
      <c r="V145" s="72">
        <f ca="1">IF(AND(Energy!$F$11=$A$3,Main!$B$43=A145),Endurance!AP22,V145)</f>
        <v>563.64229517319393</v>
      </c>
      <c r="W145" s="72">
        <f ca="1">IF(AND(Energy!$F$11=$A$3,Main!$B$43=$A145),Summary!W22,W145)</f>
        <v>1.4783625730994148</v>
      </c>
      <c r="X145" s="13">
        <f ca="1">IF(AND(Energy!$F$11=$A$3,Main!$B$43=A145),Energy!D22,X145)</f>
        <v>1182.0301388888888</v>
      </c>
      <c r="Y145" s="126">
        <f ca="1">IF(AND(Energy!$F$11=$A$3,Main!$B$43=A145),'Aerodynamics-Cruise'!V22,Y145)</f>
        <v>194996.94550223078</v>
      </c>
      <c r="Z145" s="126">
        <f ca="1">IF(AND(Energy!$F$11=$A$3,Main!$B$43=$A145),Summary!Z22,Z145)</f>
        <v>144732.91160282088</v>
      </c>
      <c r="AA145" s="126">
        <f ca="1">IF(AND(Energy!$F$11=$A$3,Main!$B$43=$A145),Summary!AA22,AA145)</f>
        <v>144732.91160282088</v>
      </c>
      <c r="AB145" s="72">
        <f ca="1">IF(AND(Energy!$F$11=$A$3,Main!$B$43=$A145),Summary!AB22,AB145)</f>
        <v>4.3996346317443598</v>
      </c>
      <c r="AC145" s="72">
        <f ca="1">IF(AND(Energy!$F$11=$A$3,Main!$B$43=$A145),Summary!AC22,AC145)</f>
        <v>2.2841125377108349</v>
      </c>
      <c r="AD145" s="72">
        <f ca="1">IF(AND(Energy!$F$11=$A$3,Main!$B$43=$A145),Summary!AD22,AD145)</f>
        <v>0.44640964119412524</v>
      </c>
      <c r="AE145" s="72">
        <f ca="1">IF(AND(Energy!$F$11=$A$3,Main!$B$43=$A145),Summary!AE22,AE145)</f>
        <v>1.4783625730994148</v>
      </c>
      <c r="AF145" s="72">
        <f ca="1">IF(AND(Energy!$F$11=$A$3,Main!$B$43=$A145),Summary!AF22,AF145)</f>
        <v>11.694078947368423</v>
      </c>
      <c r="AG145" s="72">
        <f ca="1">IF(AND(Energy!$F$11=$A$3,Main!$B$43=$A145),Summary!AG22,AG145)</f>
        <v>11.957363239582333</v>
      </c>
      <c r="AH145" s="72">
        <f ca="1">IF(AND(Energy!$F$11=$A$3,Main!$B$43=$A145),Summary!AH22,AH145)</f>
        <v>47</v>
      </c>
      <c r="AI145" s="72">
        <f ca="1">IF(AND(Energy!$F$11=$A$3,Main!$B$43=$A145),Summary!AI22,AI145)</f>
        <v>2.7946607005106396</v>
      </c>
      <c r="AJ145" s="72">
        <f ca="1">IF(AND(Energy!$F$11=$A$3,Main!$B$43=$A145),Summary!AJ22,AJ145)</f>
        <v>0.224653880182625</v>
      </c>
      <c r="AK145" s="72">
        <f ca="1">IF(AND(Energy!$F$11=$A$3,Main!$B$43=$A145),Summary!AK22,AK145)</f>
        <v>0.01</v>
      </c>
      <c r="AL145" s="72">
        <f ca="1">IF(AND(Energy!$F$11=$A$3,Main!$B$43=$A145),Summary!AL22,AL145)</f>
        <v>-0.55641992678949415</v>
      </c>
      <c r="AM145" s="72">
        <f ca="1">IF(AND(Energy!$F$11=$A$3,Main!$B$43=$A145),Summary!AJ162,AM145)</f>
        <v>0</v>
      </c>
    </row>
    <row r="146" spans="1:39">
      <c r="A146">
        <f t="shared" si="12"/>
        <v>8</v>
      </c>
      <c r="D146" s="1">
        <f ca="1">IF(AND(Energy!$F$11=$A$3,Main!$B$43=A146),Main!C23,D146)</f>
        <v>4.3157894736842106</v>
      </c>
      <c r="E146" s="72">
        <f ca="1">IF(AND(Energy!$F$11=$A$3,Main!$B$43=A146),Main!B23,E146)</f>
        <v>0.35555555555555546</v>
      </c>
      <c r="F146" s="72">
        <f ca="1">IF(Main!$D$6=1,U146,IF(Main!$D$6=2,N146,IF(Main!$D$6=3,K146,IF(Main!$D$6=4,V146,J146))))</f>
        <v>558.03986792466651</v>
      </c>
      <c r="G146" s="72">
        <f ca="1">IF(AND(Energy!$F$11=$A$3,Main!$B$43=A146),Weight!H23,G146)</f>
        <v>15</v>
      </c>
      <c r="H146" s="72">
        <f ca="1">IF(AND(Energy!$F$11=$A$3,Main!$B$43=A146),Weight!U23,H146)</f>
        <v>17.095365665495891</v>
      </c>
      <c r="I146" s="72">
        <f ca="1">IF(AND(Energy!$F$11=$A$3,Main!$B$43=A146),Weight!V23,I146)</f>
        <v>45.523406368620897</v>
      </c>
      <c r="J146" s="72">
        <f ca="1">IF(AND(Energy!$F$11=$A$3,Main!$B$43=A146),Weight!I23,J146)</f>
        <v>23.490392428125002</v>
      </c>
      <c r="K146" s="72">
        <f ca="1">IF(AND(Energy!$F$11=$A$3,Main!$B$43=A146),Weight!W23,K146)</f>
        <v>60.523406368620897</v>
      </c>
      <c r="L146" s="72">
        <f ca="1">IF(AND(Energy!$F$11=$A$3,Main!$B$43=A146),'Aerodynamics-Cruise'!BI23,L146)</f>
        <v>60.523406368620904</v>
      </c>
      <c r="M146" s="72">
        <f ca="1">IF(AND(Energy!$F$11=$A$3,Main!$B$43=A146),'Aerodynamics-Cruise'!BJ23,M146)</f>
        <v>3.1462279935904518</v>
      </c>
      <c r="N146" s="72">
        <f ca="1">IF(AND(Energy!$F$11=$A$3,Main!$B$43=A146),'Aerodynamics-Cruise'!BK23,N146)</f>
        <v>19.236815161495034</v>
      </c>
      <c r="O146" s="72">
        <f t="shared" ca="1" si="11"/>
        <v>149.65624820674054</v>
      </c>
      <c r="P146" s="72">
        <f ca="1">IF(AND(Energy!$F$11=$A$3,Main!$B$43=A146),'Aerodynamics-Cruise'!H23,P146)</f>
        <v>8.5313117150484512</v>
      </c>
      <c r="Q146" s="72">
        <f ca="1">IF(AND(Energy!$F$11=$A$3,Main!$B$43=A146),'Aerodynamics-Cruise'!I23,Q146)</f>
        <v>7.1486345922283716</v>
      </c>
      <c r="R146" s="72">
        <f ca="1">IF(AND(Energy!$F$11=$A$3,Main!$B$43=$A146),Summary!R23,R146)</f>
        <v>4.3281351243460042</v>
      </c>
      <c r="S146" s="72">
        <f ca="1">IF(AND(Energy!$F$11=$A$3,Main!$B$43=A146),'Aerodynamics-Cruise'!W23,S146)</f>
        <v>1</v>
      </c>
      <c r="T146" s="72">
        <f ca="1">IF(AND(Energy!$F$11=$A$3,Main!$B$43=A146),'Aerodynamics-Cruise'!BL23,T146)</f>
        <v>26.841451739931603</v>
      </c>
      <c r="U146" s="72">
        <f ca="1">IF(AND(Energy!$F$11=$A$3,Main!$B$43=A146),'Propulsion-Cruise'!M23,U146)</f>
        <v>58.551911689679692</v>
      </c>
      <c r="V146" s="72">
        <f ca="1">IF(AND(Energy!$F$11=$A$3,Main!$B$43=A146),Endurance!AP23,V146)</f>
        <v>558.03986792466651</v>
      </c>
      <c r="W146" s="72">
        <f ca="1">IF(AND(Energy!$F$11=$A$3,Main!$B$43=$A146),Summary!W23,W146)</f>
        <v>1.5345029239766077</v>
      </c>
      <c r="X146" s="13">
        <f ca="1">IF(AND(Energy!$F$11=$A$3,Main!$B$43=A146),Energy!D23,X146)</f>
        <v>1182.0301388888888</v>
      </c>
      <c r="Y146" s="126">
        <f ca="1">IF(AND(Energy!$F$11=$A$3,Main!$B$43=A146),'Aerodynamics-Cruise'!V23,Y146)</f>
        <v>192383.82564019118</v>
      </c>
      <c r="Z146" s="126">
        <f ca="1">IF(AND(Energy!$F$11=$A$3,Main!$B$43=$A146),Summary!Z23,Z146)</f>
        <v>142870.42333480634</v>
      </c>
      <c r="AA146" s="126">
        <f ca="1">IF(AND(Energy!$F$11=$A$3,Main!$B$43=$A146),Summary!AA23,AA146)</f>
        <v>142870.42333480634</v>
      </c>
      <c r="AB146" s="72">
        <f ca="1">IF(AND(Energy!$F$11=$A$3,Main!$B$43=$A146),Summary!AB23,AB146)</f>
        <v>4.3281351243460042</v>
      </c>
      <c r="AC146" s="72">
        <f ca="1">IF(AND(Energy!$F$11=$A$3,Main!$B$43=$A146),Summary!AC23,AC146)</f>
        <v>2.2397437911167177</v>
      </c>
      <c r="AD146" s="72">
        <f ca="1">IF(AND(Energy!$F$11=$A$3,Main!$B$43=$A146),Summary!AD23,AD146)</f>
        <v>0.44296742783533377</v>
      </c>
      <c r="AE146" s="72">
        <f ca="1">IF(AND(Energy!$F$11=$A$3,Main!$B$43=$A146),Summary!AE23,AE146)</f>
        <v>1.5345029239766077</v>
      </c>
      <c r="AF146" s="72">
        <f ca="1">IF(AND(Energy!$F$11=$A$3,Main!$B$43=$A146),Summary!AF23,AF146)</f>
        <v>12.138157894736848</v>
      </c>
      <c r="AG146" s="72">
        <f ca="1">IF(AND(Energy!$F$11=$A$3,Main!$B$43=$A146),Summary!AG23,AG146)</f>
        <v>11.869991285034368</v>
      </c>
      <c r="AH146" s="72">
        <f ca="1">IF(AND(Energy!$F$11=$A$3,Main!$B$43=$A146),Summary!AH23,AH146)</f>
        <v>47</v>
      </c>
      <c r="AI146" s="72">
        <f ca="1">IF(AND(Energy!$F$11=$A$3,Main!$B$43=$A146),Summary!AI23,AI146)</f>
        <v>2.7915248318810333</v>
      </c>
      <c r="AJ146" s="72">
        <f ca="1">IF(AND(Energy!$F$11=$A$3,Main!$B$43=$A146),Summary!AJ23,AJ146)</f>
        <v>0.22450092178676775</v>
      </c>
      <c r="AK146" s="72">
        <f ca="1">IF(AND(Energy!$F$11=$A$3,Main!$B$43=$A146),Summary!AK23,AK146)</f>
        <v>0.01</v>
      </c>
      <c r="AL146" s="72">
        <f ca="1">IF(AND(Energy!$F$11=$A$3,Main!$B$43=$A146),Summary!AL23,AL146)</f>
        <v>-0.55679186531095937</v>
      </c>
      <c r="AM146" s="72">
        <f ca="1">IF(AND(Energy!$F$11=$A$3,Main!$B$43=$A146),Summary!AJ163,AM146)</f>
        <v>0</v>
      </c>
    </row>
    <row r="147" spans="1:39">
      <c r="A147">
        <f t="shared" si="12"/>
        <v>8</v>
      </c>
      <c r="D147" s="1">
        <f ca="1">IF(AND(Energy!$F$11=$A$3,Main!$B$43=A147),Main!C24,D147)</f>
        <v>4.4736842105263159</v>
      </c>
      <c r="E147" s="72">
        <f ca="1">IF(AND(Energy!$F$11=$A$3,Main!$B$43=A147),Main!B24,E147)</f>
        <v>0.35555555555555546</v>
      </c>
      <c r="F147" s="72">
        <f ca="1">IF(Main!$D$6=1,U147,IF(Main!$D$6=2,N147,IF(Main!$D$6=3,K147,IF(Main!$D$6=4,V147,J147))))</f>
        <v>553.40504371395946</v>
      </c>
      <c r="G147" s="72">
        <f ca="1">IF(AND(Energy!$F$11=$A$3,Main!$B$43=A147),Weight!H24,G147)</f>
        <v>15</v>
      </c>
      <c r="H147" s="72">
        <f ca="1">IF(AND(Energy!$F$11=$A$3,Main!$B$43=A147),Weight!U24,H147)</f>
        <v>17.730575837535987</v>
      </c>
      <c r="I147" s="72">
        <f ca="1">IF(AND(Energy!$F$11=$A$3,Main!$B$43=A147),Weight!V24,I147)</f>
        <v>46.158616540660987</v>
      </c>
      <c r="J147" s="72">
        <f ca="1">IF(AND(Energy!$F$11=$A$3,Main!$B$43=A147),Weight!I24,J147)</f>
        <v>23.490392428125002</v>
      </c>
      <c r="K147" s="72">
        <f ca="1">IF(AND(Energy!$F$11=$A$3,Main!$B$43=A147),Weight!W24,K147)</f>
        <v>61.158616540660994</v>
      </c>
      <c r="L147" s="72">
        <f ca="1">IF(AND(Energy!$F$11=$A$3,Main!$B$43=A147),'Aerodynamics-Cruise'!BI24,L147)</f>
        <v>61.158616540660994</v>
      </c>
      <c r="M147" s="72">
        <f ca="1">IF(AND(Energy!$F$11=$A$3,Main!$B$43=A147),'Aerodynamics-Cruise'!BJ24,M147)</f>
        <v>3.1345440570440384</v>
      </c>
      <c r="N147" s="72">
        <f ca="1">IF(AND(Energy!$F$11=$A$3,Main!$B$43=A147),'Aerodynamics-Cruise'!BK24,N147)</f>
        <v>19.511168268068708</v>
      </c>
      <c r="O147" s="72">
        <f t="shared" ca="1" si="11"/>
        <v>152.58509090031959</v>
      </c>
      <c r="P147" s="72">
        <f ca="1">IF(AND(Energy!$F$11=$A$3,Main!$B$43=A147),'Aerodynamics-Cruise'!H24,P147)</f>
        <v>8.423161272250594</v>
      </c>
      <c r="Q147" s="72">
        <f ca="1">IF(AND(Energy!$F$11=$A$3,Main!$B$43=A147),'Aerodynamics-Cruise'!I24,Q147)</f>
        <v>7.0617550951013577</v>
      </c>
      <c r="R147" s="72">
        <f ca="1">IF(AND(Energy!$F$11=$A$3,Main!$B$43=$A147),Summary!R24,R147)</f>
        <v>4.2647079220932351</v>
      </c>
      <c r="S147" s="72">
        <f ca="1">IF(AND(Energy!$F$11=$A$3,Main!$B$43=A147),'Aerodynamics-Cruise'!W24,S147)</f>
        <v>1</v>
      </c>
      <c r="T147" s="72">
        <f ca="1">IF(AND(Energy!$F$11=$A$3,Main!$B$43=A147),'Aerodynamics-Cruise'!BL24,T147)</f>
        <v>26.4027701074566</v>
      </c>
      <c r="U147" s="72">
        <f ca="1">IF(AND(Energy!$F$11=$A$3,Main!$B$43=A147),'Propulsion-Cruise'!M24,U147)</f>
        <v>57.851550918154253</v>
      </c>
      <c r="V147" s="72">
        <f ca="1">IF(AND(Energy!$F$11=$A$3,Main!$B$43=A147),Endurance!AP24,V147)</f>
        <v>553.40504371395946</v>
      </c>
      <c r="W147" s="72">
        <f ca="1">IF(AND(Energy!$F$11=$A$3,Main!$B$43=$A147),Summary!W24,W147)</f>
        <v>1.5906432748538009</v>
      </c>
      <c r="X147" s="13">
        <f ca="1">IF(AND(Energy!$F$11=$A$3,Main!$B$43=A147),Energy!D24,X147)</f>
        <v>1182.0301388888888</v>
      </c>
      <c r="Y147" s="126">
        <f ca="1">IF(AND(Energy!$F$11=$A$3,Main!$B$43=A147),'Aerodynamics-Cruise'!V24,Y147)</f>
        <v>189944.99833847251</v>
      </c>
      <c r="Z147" s="126">
        <f ca="1">IF(AND(Energy!$F$11=$A$3,Main!$B$43=$A147),Summary!Z24,Z147)</f>
        <v>141131.15705955759</v>
      </c>
      <c r="AA147" s="126">
        <f ca="1">IF(AND(Energy!$F$11=$A$3,Main!$B$43=$A147),Summary!AA24,AA147)</f>
        <v>141131.15705955759</v>
      </c>
      <c r="AB147" s="72">
        <f ca="1">IF(AND(Energy!$F$11=$A$3,Main!$B$43=$A147),Summary!AB24,AB147)</f>
        <v>4.2647079220932351</v>
      </c>
      <c r="AC147" s="72">
        <f ca="1">IF(AND(Energy!$F$11=$A$3,Main!$B$43=$A147),Summary!AC24,AC147)</f>
        <v>2.1965642304148076</v>
      </c>
      <c r="AD147" s="72">
        <f ca="1">IF(AND(Energy!$F$11=$A$3,Main!$B$43=$A147),Summary!AD24,AD147)</f>
        <v>0.43986821814124721</v>
      </c>
      <c r="AE147" s="72">
        <f ca="1">IF(AND(Energy!$F$11=$A$3,Main!$B$43=$A147),Summary!AE24,AE147)</f>
        <v>1.5906432748538009</v>
      </c>
      <c r="AF147" s="72">
        <f ca="1">IF(AND(Energy!$F$11=$A$3,Main!$B$43=$A147),Summary!AF24,AF147)</f>
        <v>12.582236842105265</v>
      </c>
      <c r="AG147" s="72">
        <f ca="1">IF(AND(Energy!$F$11=$A$3,Main!$B$43=$A147),Summary!AG24,AG147)</f>
        <v>11.79509197967894</v>
      </c>
      <c r="AH147" s="72">
        <f ca="1">IF(AND(Energy!$F$11=$A$3,Main!$B$43=$A147),Summary!AH24,AH147)</f>
        <v>47</v>
      </c>
      <c r="AI147" s="72">
        <f ca="1">IF(AND(Energy!$F$11=$A$3,Main!$B$43=$A147),Summary!AI24,AI147)</f>
        <v>2.788566458273793</v>
      </c>
      <c r="AJ147" s="72">
        <f ca="1">IF(AND(Energy!$F$11=$A$3,Main!$B$43=$A147),Summary!AJ24,AJ147)</f>
        <v>0.22533621388233022</v>
      </c>
      <c r="AK147" s="72">
        <f ca="1">IF(AND(Energy!$F$11=$A$3,Main!$B$43=$A147),Summary!AK24,AK147)</f>
        <v>0.01</v>
      </c>
      <c r="AL147" s="72">
        <f ca="1">IF(AND(Energy!$F$11=$A$3,Main!$B$43=$A147),Summary!AL24,AL147)</f>
        <v>-0.55472772395123671</v>
      </c>
      <c r="AM147" s="72">
        <f ca="1">IF(AND(Energy!$F$11=$A$3,Main!$B$43=$A147),Summary!AJ164,AM147)</f>
        <v>0</v>
      </c>
    </row>
    <row r="148" spans="1:39">
      <c r="A148">
        <f t="shared" si="12"/>
        <v>8</v>
      </c>
      <c r="D148" s="1">
        <f ca="1">IF(AND(Energy!$F$11=$A$3,Main!$B$43=A148),Main!C25,D148)</f>
        <v>4.6315789473684212</v>
      </c>
      <c r="E148" s="72">
        <f ca="1">IF(AND(Energy!$F$11=$A$3,Main!$B$43=A148),Main!B25,E148)</f>
        <v>0.35555555555555546</v>
      </c>
      <c r="F148" s="72">
        <f ca="1">IF(Main!$D$6=1,U148,IF(Main!$D$6=2,N148,IF(Main!$D$6=3,K148,IF(Main!$D$6=4,V148,J148))))</f>
        <v>549.6410576003525</v>
      </c>
      <c r="G148" s="72">
        <f ca="1">IF(AND(Energy!$F$11=$A$3,Main!$B$43=A148),Weight!H25,G148)</f>
        <v>15</v>
      </c>
      <c r="H148" s="72">
        <f ca="1">IF(AND(Energy!$F$11=$A$3,Main!$B$43=A148),Weight!U25,H148)</f>
        <v>18.379940765609938</v>
      </c>
      <c r="I148" s="72">
        <f ca="1">IF(AND(Energy!$F$11=$A$3,Main!$B$43=A148),Weight!V25,I148)</f>
        <v>46.807981468734937</v>
      </c>
      <c r="J148" s="72">
        <f ca="1">IF(AND(Energy!$F$11=$A$3,Main!$B$43=A148),Weight!I25,J148)</f>
        <v>23.490392428125002</v>
      </c>
      <c r="K148" s="72">
        <f ca="1">IF(AND(Energy!$F$11=$A$3,Main!$B$43=A148),Weight!W25,K148)</f>
        <v>61.807981468734944</v>
      </c>
      <c r="L148" s="72">
        <f ca="1">IF(AND(Energy!$F$11=$A$3,Main!$B$43=A148),'Aerodynamics-Cruise'!BI25,L148)</f>
        <v>61.807981468734951</v>
      </c>
      <c r="M148" s="72">
        <f ca="1">IF(AND(Energy!$F$11=$A$3,Main!$B$43=A148),'Aerodynamics-Cruise'!BJ25,M148)</f>
        <v>3.1262210828052219</v>
      </c>
      <c r="N148" s="72">
        <f ca="1">IF(AND(Energy!$F$11=$A$3,Main!$B$43=A148),'Aerodynamics-Cruise'!BK25,N148)</f>
        <v>19.770828687929324</v>
      </c>
      <c r="O148" s="72">
        <f t="shared" ca="1" si="11"/>
        <v>155.43440437300404</v>
      </c>
      <c r="P148" s="72">
        <f ca="1">IF(AND(Energy!$F$11=$A$3,Main!$B$43=A148),'Aerodynamics-Cruise'!H25,P148)</f>
        <v>8.3220807701380597</v>
      </c>
      <c r="Q148" s="72">
        <f ca="1">IF(AND(Energy!$F$11=$A$3,Main!$B$43=A148),'Aerodynamics-Cruise'!I25,Q148)</f>
        <v>6.9805091337319958</v>
      </c>
      <c r="R148" s="72">
        <f ca="1">IF(AND(Energy!$F$11=$A$3,Main!$B$43=$A148),Summary!R25,R148)</f>
        <v>4.2085968673004146</v>
      </c>
      <c r="S148" s="72">
        <f ca="1">IF(AND(Energy!$F$11=$A$3,Main!$B$43=A148),'Aerodynamics-Cruise'!W25,S148)</f>
        <v>1</v>
      </c>
      <c r="T148" s="72">
        <f ca="1">IF(AND(Energy!$F$11=$A$3,Main!$B$43=A148),'Aerodynamics-Cruise'!BL25,T148)</f>
        <v>26.016664356413521</v>
      </c>
      <c r="U148" s="72">
        <f ca="1">IF(AND(Energy!$F$11=$A$3,Main!$B$43=A148),'Propulsion-Cruise'!M25,U148)</f>
        <v>57.249652344172311</v>
      </c>
      <c r="V148" s="72">
        <f ca="1">IF(AND(Energy!$F$11=$A$3,Main!$B$43=A148),Endurance!AP25,V148)</f>
        <v>549.6410576003525</v>
      </c>
      <c r="W148" s="72">
        <f ca="1">IF(AND(Energy!$F$11=$A$3,Main!$B$43=$A148),Summary!W25,W148)</f>
        <v>1.6467836257309938</v>
      </c>
      <c r="X148" s="13">
        <f ca="1">IF(AND(Energy!$F$11=$A$3,Main!$B$43=A148),Energy!D25,X148)</f>
        <v>1182.0301388888888</v>
      </c>
      <c r="Y148" s="126">
        <f ca="1">IF(AND(Energy!$F$11=$A$3,Main!$B$43=A148),'Aerodynamics-Cruise'!V25,Y148)</f>
        <v>187665.60047521786</v>
      </c>
      <c r="Z148" s="126">
        <f ca="1">IF(AND(Energy!$F$11=$A$3,Main!$B$43=$A148),Summary!Z25,Z148)</f>
        <v>139504.70618368764</v>
      </c>
      <c r="AA148" s="126">
        <f ca="1">IF(AND(Energy!$F$11=$A$3,Main!$B$43=$A148),Summary!AA25,AA148)</f>
        <v>139504.70618368764</v>
      </c>
      <c r="AB148" s="72">
        <f ca="1">IF(AND(Energy!$F$11=$A$3,Main!$B$43=$A148),Summary!AB25,AB148)</f>
        <v>4.2085968673004146</v>
      </c>
      <c r="AC148" s="72">
        <f ca="1">IF(AND(Energy!$F$11=$A$3,Main!$B$43=$A148),Summary!AC25,AC148)</f>
        <v>2.1545360724538161</v>
      </c>
      <c r="AD148" s="72">
        <f ca="1">IF(AND(Energy!$F$11=$A$3,Main!$B$43=$A148),Summary!AD25,AD148)</f>
        <v>0.43708289409986872</v>
      </c>
      <c r="AE148" s="72">
        <f ca="1">IF(AND(Energy!$F$11=$A$3,Main!$B$43=$A148),Summary!AE25,AE148)</f>
        <v>1.6467836257309938</v>
      </c>
      <c r="AF148" s="72">
        <f ca="1">IF(AND(Energy!$F$11=$A$3,Main!$B$43=$A148),Summary!AF25,AF148)</f>
        <v>13.026315789473689</v>
      </c>
      <c r="AG148" s="72">
        <f ca="1">IF(AND(Energy!$F$11=$A$3,Main!$B$43=$A148),Summary!AG25,AG148)</f>
        <v>11.731494124067522</v>
      </c>
      <c r="AH148" s="72">
        <f ca="1">IF(AND(Energy!$F$11=$A$3,Main!$B$43=$A148),Summary!AH25,AH148)</f>
        <v>47</v>
      </c>
      <c r="AI148" s="72">
        <f ca="1">IF(AND(Energy!$F$11=$A$3,Main!$B$43=$A148),Summary!AI25,AI148)</f>
        <v>2.7857730013027449</v>
      </c>
      <c r="AJ148" s="72">
        <f ca="1">IF(AND(Energy!$F$11=$A$3,Main!$B$43=$A148),Summary!AJ25,AJ148)</f>
        <v>0.22611741497271629</v>
      </c>
      <c r="AK148" s="72">
        <f ca="1">IF(AND(Energy!$F$11=$A$3,Main!$B$43=$A148),Summary!AK25,AK148)</f>
        <v>0.01</v>
      </c>
      <c r="AL148" s="72">
        <f ca="1">IF(AND(Energy!$F$11=$A$3,Main!$B$43=$A148),Summary!AL25,AL148)</f>
        <v>-0.55281103797640652</v>
      </c>
      <c r="AM148" s="72">
        <f ca="1">IF(AND(Energy!$F$11=$A$3,Main!$B$43=$A148),Summary!AJ165,AM148)</f>
        <v>0</v>
      </c>
    </row>
    <row r="149" spans="1:39">
      <c r="A149">
        <f t="shared" si="12"/>
        <v>8</v>
      </c>
      <c r="D149" s="1">
        <f ca="1">IF(AND(Energy!$F$11=$A$3,Main!$B$43=A149),Main!C26,D149)</f>
        <v>4.7894736842105265</v>
      </c>
      <c r="E149" s="72">
        <f ca="1">IF(AND(Energy!$F$11=$A$3,Main!$B$43=A149),Main!B26,E149)</f>
        <v>0.35555555555555546</v>
      </c>
      <c r="F149" s="72">
        <f ca="1">IF(Main!$D$6=1,U149,IF(Main!$D$6=2,N149,IF(Main!$D$6=3,K149,IF(Main!$D$6=4,V149,J149))))</f>
        <v>546.66160233339531</v>
      </c>
      <c r="G149" s="72">
        <f ca="1">IF(AND(Energy!$F$11=$A$3,Main!$B$43=A149),Weight!H26,G149)</f>
        <v>15</v>
      </c>
      <c r="H149" s="72">
        <f ca="1">IF(AND(Energy!$F$11=$A$3,Main!$B$43=A149),Weight!U26,H149)</f>
        <v>19.043552232874227</v>
      </c>
      <c r="I149" s="72">
        <f ca="1">IF(AND(Energy!$F$11=$A$3,Main!$B$43=A149),Weight!V26,I149)</f>
        <v>47.471592935999226</v>
      </c>
      <c r="J149" s="72">
        <f ca="1">IF(AND(Energy!$F$11=$A$3,Main!$B$43=A149),Weight!I26,J149)</f>
        <v>23.490392428125002</v>
      </c>
      <c r="K149" s="72">
        <f ca="1">IF(AND(Energy!$F$11=$A$3,Main!$B$43=A149),Weight!W26,K149)</f>
        <v>62.471592935999233</v>
      </c>
      <c r="L149" s="72">
        <f ca="1">IF(AND(Energy!$F$11=$A$3,Main!$B$43=A149),'Aerodynamics-Cruise'!BI26,L149)</f>
        <v>62.471592935999226</v>
      </c>
      <c r="M149" s="72">
        <f ca="1">IF(AND(Energy!$F$11=$A$3,Main!$B$43=A149),'Aerodynamics-Cruise'!BJ26,M149)</f>
        <v>3.1209484555250984</v>
      </c>
      <c r="N149" s="72">
        <f ca="1">IF(AND(Energy!$F$11=$A$3,Main!$B$43=A149),'Aerodynamics-Cruise'!BK26,N149)</f>
        <v>20.016861484977138</v>
      </c>
      <c r="O149" s="72">
        <f t="shared" ca="1" si="11"/>
        <v>158.21121796102042</v>
      </c>
      <c r="P149" s="72">
        <f ca="1">IF(AND(Energy!$F$11=$A$3,Main!$B$43=A149),'Aerodynamics-Cruise'!H26,P149)</f>
        <v>8.2274882308216277</v>
      </c>
      <c r="Q149" s="72">
        <f ca="1">IF(AND(Energy!$F$11=$A$3,Main!$B$43=A149),'Aerodynamics-Cruise'!I26,Q149)</f>
        <v>6.9044375885712581</v>
      </c>
      <c r="R149" s="72">
        <f ca="1">IF(AND(Energy!$F$11=$A$3,Main!$B$43=$A149),Summary!R26,R149)</f>
        <v>4.1591443294957235</v>
      </c>
      <c r="S149" s="72">
        <f ca="1">IF(AND(Energy!$F$11=$A$3,Main!$B$43=A149),'Aerodynamics-Cruise'!W26,S149)</f>
        <v>1</v>
      </c>
      <c r="T149" s="72">
        <f ca="1">IF(AND(Energy!$F$11=$A$3,Main!$B$43=A149),'Aerodynamics-Cruise'!BL26,T149)</f>
        <v>25.677566686833682</v>
      </c>
      <c r="U149" s="72">
        <f ca="1">IF(AND(Energy!$F$11=$A$3,Main!$B$43=A149),'Propulsion-Cruise'!M26,U149)</f>
        <v>56.736167819076897</v>
      </c>
      <c r="V149" s="72">
        <f ca="1">IF(AND(Energy!$F$11=$A$3,Main!$B$43=A149),Endurance!AP26,V149)</f>
        <v>546.66160233339531</v>
      </c>
      <c r="W149" s="72">
        <f ca="1">IF(AND(Energy!$F$11=$A$3,Main!$B$43=$A149),Summary!W26,W149)</f>
        <v>1.7029239766081867</v>
      </c>
      <c r="X149" s="13">
        <f ca="1">IF(AND(Energy!$F$11=$A$3,Main!$B$43=A149),Energy!D26,X149)</f>
        <v>1182.0301388888888</v>
      </c>
      <c r="Y149" s="126">
        <f ca="1">IF(AND(Energy!$F$11=$A$3,Main!$B$43=A149),'Aerodynamics-Cruise'!V26,Y149)</f>
        <v>185532.50826167047</v>
      </c>
      <c r="Z149" s="126">
        <f ca="1">IF(AND(Energy!$F$11=$A$3,Main!$B$43=$A149),Summary!Z26,Z149)</f>
        <v>137981.87288579068</v>
      </c>
      <c r="AA149" s="126">
        <f ca="1">IF(AND(Energy!$F$11=$A$3,Main!$B$43=$A149),Summary!AA26,AA149)</f>
        <v>137981.87288579068</v>
      </c>
      <c r="AB149" s="72">
        <f ca="1">IF(AND(Energy!$F$11=$A$3,Main!$B$43=$A149),Summary!AB26,AB149)</f>
        <v>4.1591443294957235</v>
      </c>
      <c r="AC149" s="72">
        <f ca="1">IF(AND(Energy!$F$11=$A$3,Main!$B$43=$A149),Summary!AC26,AC149)</f>
        <v>2.1136230072020803</v>
      </c>
      <c r="AD149" s="72">
        <f ca="1">IF(AND(Energy!$F$11=$A$3,Main!$B$43=$A149),Summary!AD26,AD149)</f>
        <v>0.43458477245293009</v>
      </c>
      <c r="AE149" s="72">
        <f ca="1">IF(AND(Energy!$F$11=$A$3,Main!$B$43=$A149),Summary!AE26,AE149)</f>
        <v>1.7029239766081867</v>
      </c>
      <c r="AF149" s="72">
        <f ca="1">IF(AND(Energy!$F$11=$A$3,Main!$B$43=$A149),Summary!AF26,AF149)</f>
        <v>13.47039473684211</v>
      </c>
      <c r="AG149" s="72">
        <f ca="1">IF(AND(Energy!$F$11=$A$3,Main!$B$43=$A149),Summary!AG26,AG149)</f>
        <v>11.678128532358569</v>
      </c>
      <c r="AH149" s="72">
        <f ca="1">IF(AND(Energy!$F$11=$A$3,Main!$B$43=$A149),Summary!AH26,AH149)</f>
        <v>47</v>
      </c>
      <c r="AI149" s="72">
        <f ca="1">IF(AND(Energy!$F$11=$A$3,Main!$B$43=$A149),Summary!AI26,AI149)</f>
        <v>2.7831332145575725</v>
      </c>
      <c r="AJ149" s="72">
        <f ca="1">IF(AND(Energy!$F$11=$A$3,Main!$B$43=$A149),Summary!AJ26,AJ149)</f>
        <v>0.22684916672911812</v>
      </c>
      <c r="AK149" s="72">
        <f ca="1">IF(AND(Energy!$F$11=$A$3,Main!$B$43=$A149),Summary!AK26,AK149)</f>
        <v>0.01</v>
      </c>
      <c r="AL149" s="72">
        <f ca="1">IF(AND(Energy!$F$11=$A$3,Main!$B$43=$A149),Summary!AL26,AL149)</f>
        <v>-0.55102763837099888</v>
      </c>
      <c r="AM149" s="72">
        <f ca="1">IF(AND(Energy!$F$11=$A$3,Main!$B$43=$A149),Summary!AJ166,AM149)</f>
        <v>0</v>
      </c>
    </row>
    <row r="150" spans="1:39">
      <c r="A150">
        <f t="shared" si="12"/>
        <v>8</v>
      </c>
      <c r="D150" s="1">
        <f ca="1">IF(AND(Energy!$F$11=$A$3,Main!$B$43=A150),Main!C27,D150)</f>
        <v>4.9473684210526319</v>
      </c>
      <c r="E150" s="72">
        <f ca="1">IF(AND(Energy!$F$11=$A$3,Main!$B$43=A150),Main!B27,E150)</f>
        <v>0.35555555555555546</v>
      </c>
      <c r="F150" s="72">
        <f ca="1">IF(Main!$D$6=1,U150,IF(Main!$D$6=2,N150,IF(Main!$D$6=3,K150,IF(Main!$D$6=4,V150,J150))))</f>
        <v>544.39268952895054</v>
      </c>
      <c r="G150" s="72">
        <f ca="1">IF(AND(Energy!$F$11=$A$3,Main!$B$43=A150),Weight!H27,G150)</f>
        <v>15</v>
      </c>
      <c r="H150" s="72">
        <f ca="1">IF(AND(Energy!$F$11=$A$3,Main!$B$43=A150),Weight!U27,H150)</f>
        <v>19.721510653667941</v>
      </c>
      <c r="I150" s="72">
        <f ca="1">IF(AND(Energy!$F$11=$A$3,Main!$B$43=A150),Weight!V27,I150)</f>
        <v>48.149551356792941</v>
      </c>
      <c r="J150" s="72">
        <f ca="1">IF(AND(Energy!$F$11=$A$3,Main!$B$43=A150),Weight!I27,J150)</f>
        <v>23.490392428125002</v>
      </c>
      <c r="K150" s="72">
        <f ca="1">IF(AND(Energy!$F$11=$A$3,Main!$B$43=A150),Weight!W27,K150)</f>
        <v>63.149551356792948</v>
      </c>
      <c r="L150" s="72">
        <f ca="1">IF(AND(Energy!$F$11=$A$3,Main!$B$43=A150),'Aerodynamics-Cruise'!BI27,L150)</f>
        <v>63.149551356792941</v>
      </c>
      <c r="M150" s="72">
        <f ca="1">IF(AND(Energy!$F$11=$A$3,Main!$B$43=A150),'Aerodynamics-Cruise'!BJ27,M150)</f>
        <v>3.1184562425019831</v>
      </c>
      <c r="N150" s="72">
        <f ca="1">IF(AND(Energy!$F$11=$A$3,Main!$B$43=A150),'Aerodynamics-Cruise'!BK27,N150)</f>
        <v>20.250260528307791</v>
      </c>
      <c r="O150" s="72">
        <f t="shared" ca="1" si="11"/>
        <v>160.92212161006395</v>
      </c>
      <c r="P150" s="72">
        <f ca="1">IF(AND(Energy!$F$11=$A$3,Main!$B$43=A150),'Aerodynamics-Cruise'!H27,P150)</f>
        <v>8.1388675864700328</v>
      </c>
      <c r="Q150" s="72">
        <f ca="1">IF(AND(Energy!$F$11=$A$3,Main!$B$43=A150),'Aerodynamics-Cruise'!I27,Q150)</f>
        <v>6.8331329385484327</v>
      </c>
      <c r="R150" s="72">
        <f ca="1">IF(AND(Energy!$F$11=$A$3,Main!$B$43=$A150),Summary!R27,R150)</f>
        <v>4.1157808755540737</v>
      </c>
      <c r="S150" s="72">
        <f ca="1">IF(AND(Energy!$F$11=$A$3,Main!$B$43=A150),'Aerodynamics-Cruise'!W27,S150)</f>
        <v>1</v>
      </c>
      <c r="T150" s="72">
        <f ca="1">IF(AND(Energy!$F$11=$A$3,Main!$B$43=A150),'Aerodynamics-Cruise'!BL27,T150)</f>
        <v>25.380702431924522</v>
      </c>
      <c r="U150" s="72">
        <f ca="1">IF(AND(Energy!$F$11=$A$3,Main!$B$43=A150),'Propulsion-Cruise'!M27,U150)</f>
        <v>56.302475818432548</v>
      </c>
      <c r="V150" s="72">
        <f ca="1">IF(AND(Energy!$F$11=$A$3,Main!$B$43=A150),Endurance!AP27,V150)</f>
        <v>544.39268952895054</v>
      </c>
      <c r="W150" s="72">
        <f ca="1">IF(AND(Energy!$F$11=$A$3,Main!$B$43=$A150),Summary!W27,W150)</f>
        <v>1.7590643274853797</v>
      </c>
      <c r="X150" s="13">
        <f ca="1">IF(AND(Energy!$F$11=$A$3,Main!$B$43=A150),Energy!D27,X150)</f>
        <v>1182.0301388888888</v>
      </c>
      <c r="Y150" s="126">
        <f ca="1">IF(AND(Energy!$F$11=$A$3,Main!$B$43=A150),'Aerodynamics-Cruise'!V27,Y150)</f>
        <v>183534.08420209881</v>
      </c>
      <c r="Z150" s="126">
        <f ca="1">IF(AND(Energy!$F$11=$A$3,Main!$B$43=$A150),Summary!Z27,Z150)</f>
        <v>136554.4933631373</v>
      </c>
      <c r="AA150" s="126">
        <f ca="1">IF(AND(Energy!$F$11=$A$3,Main!$B$43=$A150),Summary!AA27,AA150)</f>
        <v>136554.4933631373</v>
      </c>
      <c r="AB150" s="72">
        <f ca="1">IF(AND(Energy!$F$11=$A$3,Main!$B$43=$A150),Summary!AB27,AB150)</f>
        <v>4.1157808755540737</v>
      </c>
      <c r="AC150" s="72">
        <f ca="1">IF(AND(Energy!$F$11=$A$3,Main!$B$43=$A150),Summary!AC27,AC150)</f>
        <v>2.0737874309543303</v>
      </c>
      <c r="AD150" s="72">
        <f ca="1">IF(AND(Energy!$F$11=$A$3,Main!$B$43=$A150),Summary!AD27,AD150)</f>
        <v>0.4323502995554811</v>
      </c>
      <c r="AE150" s="72">
        <f ca="1">IF(AND(Energy!$F$11=$A$3,Main!$B$43=$A150),Summary!AE27,AE150)</f>
        <v>1.7590643274853797</v>
      </c>
      <c r="AF150" s="72">
        <f ca="1">IF(AND(Energy!$F$11=$A$3,Main!$B$43=$A150),Summary!AF27,AF150)</f>
        <v>13.914473684210531</v>
      </c>
      <c r="AG150" s="72">
        <f ca="1">IF(AND(Energy!$F$11=$A$3,Main!$B$43=$A150),Summary!AG27,AG150)</f>
        <v>11.634065893707351</v>
      </c>
      <c r="AH150" s="72">
        <f ca="1">IF(AND(Energy!$F$11=$A$3,Main!$B$43=$A150),Summary!AH27,AH150)</f>
        <v>47</v>
      </c>
      <c r="AI150" s="72">
        <f ca="1">IF(AND(Energy!$F$11=$A$3,Main!$B$43=$A150),Summary!AI27,AI150)</f>
        <v>2.7806369986867234</v>
      </c>
      <c r="AJ150" s="72">
        <f ca="1">IF(AND(Energy!$F$11=$A$3,Main!$B$43=$A150),Summary!AJ27,AJ150)</f>
        <v>0.22753555962727168</v>
      </c>
      <c r="AK150" s="72">
        <f ca="1">IF(AND(Energy!$F$11=$A$3,Main!$B$43=$A150),Summary!AK27,AK150)</f>
        <v>0.01</v>
      </c>
      <c r="AL150" s="72">
        <f ca="1">IF(AND(Energy!$F$11=$A$3,Main!$B$43=$A150),Summary!AL27,AL150)</f>
        <v>-0.54936520037387226</v>
      </c>
      <c r="AM150" s="72">
        <f ca="1">IF(AND(Energy!$F$11=$A$3,Main!$B$43=$A150),Summary!AJ167,AM150)</f>
        <v>0</v>
      </c>
    </row>
    <row r="151" spans="1:39">
      <c r="A151">
        <f t="shared" si="12"/>
        <v>8</v>
      </c>
      <c r="D151" s="1">
        <f ca="1">IF(AND(Energy!$F$11=$A$3,Main!$B$43=A151),Main!C28,D151)</f>
        <v>5.1052631578947372</v>
      </c>
      <c r="E151" s="72">
        <f ca="1">IF(AND(Energy!$F$11=$A$3,Main!$B$43=A151),Main!B28,E151)</f>
        <v>0.35555555555555546</v>
      </c>
      <c r="F151" s="72">
        <f ca="1">IF(Main!$D$6=1,U151,IF(Main!$D$6=2,N151,IF(Main!$D$6=3,K151,IF(Main!$D$6=4,V151,J151))))</f>
        <v>542.77059328105827</v>
      </c>
      <c r="G151" s="72">
        <f ca="1">IF(AND(Energy!$F$11=$A$3,Main!$B$43=A151),Weight!H28,G151)</f>
        <v>15</v>
      </c>
      <c r="H151" s="72">
        <f ca="1">IF(AND(Energy!$F$11=$A$3,Main!$B$43=A151),Weight!U28,H151)</f>
        <v>20.413924392930767</v>
      </c>
      <c r="I151" s="72">
        <f ca="1">IF(AND(Energy!$F$11=$A$3,Main!$B$43=A151),Weight!V28,I151)</f>
        <v>48.841965096055773</v>
      </c>
      <c r="J151" s="72">
        <f ca="1">IF(AND(Energy!$F$11=$A$3,Main!$B$43=A151),Weight!I28,J151)</f>
        <v>23.490392428125002</v>
      </c>
      <c r="K151" s="72">
        <f ca="1">IF(AND(Energy!$F$11=$A$3,Main!$B$43=A151),Weight!W28,K151)</f>
        <v>63.841965096055773</v>
      </c>
      <c r="L151" s="72">
        <f ca="1">IF(AND(Energy!$F$11=$A$3,Main!$B$43=A151),'Aerodynamics-Cruise'!BI28,L151)</f>
        <v>63.841965096055752</v>
      </c>
      <c r="M151" s="72">
        <f ca="1">IF(AND(Energy!$F$11=$A$3,Main!$B$43=A151),'Aerodynamics-Cruise'!BJ28,M151)</f>
        <v>3.1185088601197406</v>
      </c>
      <c r="N151" s="72">
        <f ca="1">IF(AND(Energy!$F$11=$A$3,Main!$B$43=A151),'Aerodynamics-Cruise'!BK28,N151)</f>
        <v>20.471952448967688</v>
      </c>
      <c r="O151" s="72">
        <f t="shared" ca="1" si="11"/>
        <v>163.57328942137545</v>
      </c>
      <c r="P151" s="72">
        <f ca="1">IF(AND(Energy!$F$11=$A$3,Main!$B$43=A151),'Aerodynamics-Cruise'!H28,P151)</f>
        <v>8.0557593895889408</v>
      </c>
      <c r="Q151" s="72">
        <f ca="1">IF(AND(Energy!$F$11=$A$3,Main!$B$43=A151),'Aerodynamics-Cruise'!I28,Q151)</f>
        <v>6.7662320349643474</v>
      </c>
      <c r="R151" s="72">
        <f ca="1">IF(AND(Energy!$F$11=$A$3,Main!$B$43=$A151),Summary!R28,R151)</f>
        <v>4.0780114641674468</v>
      </c>
      <c r="S151" s="72">
        <f ca="1">IF(AND(Energy!$F$11=$A$3,Main!$B$43=A151),'Aerodynamics-Cruise'!W28,S151)</f>
        <v>1</v>
      </c>
      <c r="T151" s="72">
        <f ca="1">IF(AND(Energy!$F$11=$A$3,Main!$B$43=A151),'Aerodynamics-Cruise'!BL28,T151)</f>
        <v>25.121957031425904</v>
      </c>
      <c r="U151" s="72">
        <f ca="1">IF(AND(Energy!$F$11=$A$3,Main!$B$43=A151),'Propulsion-Cruise'!M28,U151)</f>
        <v>55.941143021136881</v>
      </c>
      <c r="V151" s="72">
        <f ca="1">IF(AND(Energy!$F$11=$A$3,Main!$B$43=A151),Endurance!AP28,V151)</f>
        <v>542.77059328105827</v>
      </c>
      <c r="W151" s="72">
        <f ca="1">IF(AND(Energy!$F$11=$A$3,Main!$B$43=$A151),Summary!W28,W151)</f>
        <v>1.8152046783625728</v>
      </c>
      <c r="X151" s="13">
        <f ca="1">IF(AND(Energy!$F$11=$A$3,Main!$B$43=A151),Energy!D28,X151)</f>
        <v>1182.0301388888888</v>
      </c>
      <c r="Y151" s="126">
        <f ca="1">IF(AND(Energy!$F$11=$A$3,Main!$B$43=A151),'Aerodynamics-Cruise'!V28,Y151)</f>
        <v>181659.96760759669</v>
      </c>
      <c r="Z151" s="126">
        <f ca="1">IF(AND(Energy!$F$11=$A$3,Main!$B$43=$A151),Summary!Z28,Z151)</f>
        <v>135215.29298560691</v>
      </c>
      <c r="AA151" s="126">
        <f ca="1">IF(AND(Energy!$F$11=$A$3,Main!$B$43=$A151),Summary!AA28,AA151)</f>
        <v>135215.29298560691</v>
      </c>
      <c r="AB151" s="72">
        <f ca="1">IF(AND(Energy!$F$11=$A$3,Main!$B$43=$A151),Summary!AB28,AB151)</f>
        <v>4.0780114641674468</v>
      </c>
      <c r="AC151" s="72">
        <f ca="1">IF(AND(Energy!$F$11=$A$3,Main!$B$43=$A151),Summary!AC28,AC151)</f>
        <v>2.0349913336294438</v>
      </c>
      <c r="AD151" s="72">
        <f ca="1">IF(AND(Energy!$F$11=$A$3,Main!$B$43=$A151),Summary!AD28,AD151)</f>
        <v>0.43035860099630874</v>
      </c>
      <c r="AE151" s="72">
        <f ca="1">IF(AND(Energy!$F$11=$A$3,Main!$B$43=$A151),Summary!AE28,AE151)</f>
        <v>1.8152046783625728</v>
      </c>
      <c r="AF151" s="72">
        <f ca="1">IF(AND(Energy!$F$11=$A$3,Main!$B$43=$A151),Summary!AF28,AF151)</f>
        <v>14.358552631578952</v>
      </c>
      <c r="AG151" s="72">
        <f ca="1">IF(AND(Energy!$F$11=$A$3,Main!$B$43=$A151),Summary!AG28,AG151)</f>
        <v>11.598494950771082</v>
      </c>
      <c r="AH151" s="72">
        <f ca="1">IF(AND(Energy!$F$11=$A$3,Main!$B$43=$A151),Summary!AH28,AH151)</f>
        <v>47</v>
      </c>
      <c r="AI151" s="72">
        <f ca="1">IF(AND(Energy!$F$11=$A$3,Main!$B$43=$A151),Summary!AI28,AI151)</f>
        <v>2.7782752476738843</v>
      </c>
      <c r="AJ151" s="72">
        <f ca="1">IF(AND(Energy!$F$11=$A$3,Main!$B$43=$A151),Summary!AJ28,AJ151)</f>
        <v>0.2281801837548775</v>
      </c>
      <c r="AK151" s="72">
        <f ca="1">IF(AND(Energy!$F$11=$A$3,Main!$B$43=$A151),Summary!AK28,AK151)</f>
        <v>0.01</v>
      </c>
      <c r="AL151" s="72">
        <f ca="1">IF(AND(Energy!$F$11=$A$3,Main!$B$43=$A151),Summary!AL28,AL151)</f>
        <v>-0.54781302231056317</v>
      </c>
      <c r="AM151" s="72">
        <f ca="1">IF(AND(Energy!$F$11=$A$3,Main!$B$43=$A151),Summary!AJ168,AM151)</f>
        <v>0</v>
      </c>
    </row>
    <row r="152" spans="1:39">
      <c r="A152">
        <f t="shared" si="12"/>
        <v>8</v>
      </c>
      <c r="D152" s="1">
        <f ca="1">IF(AND(Energy!$F$11=$A$3,Main!$B$43=A152),Main!C29,D152)</f>
        <v>5.2631578947368425</v>
      </c>
      <c r="E152" s="72">
        <f ca="1">IF(AND(Energy!$F$11=$A$3,Main!$B$43=A152),Main!B29,E152)</f>
        <v>0.35555555555555546</v>
      </c>
      <c r="F152" s="72">
        <f ca="1">IF(Main!$D$6=1,U152,IF(Main!$D$6=2,N152,IF(Main!$D$6=3,K152,IF(Main!$D$6=4,V152,J152))))</f>
        <v>541.74018889619879</v>
      </c>
      <c r="G152" s="72">
        <f ca="1">IF(AND(Energy!$F$11=$A$3,Main!$B$43=A152),Weight!H29,G152)</f>
        <v>15</v>
      </c>
      <c r="H152" s="72">
        <f ca="1">IF(AND(Energy!$F$11=$A$3,Main!$B$43=A152),Weight!U29,H152)</f>
        <v>21.12090916903071</v>
      </c>
      <c r="I152" s="72">
        <f ca="1">IF(AND(Energy!$F$11=$A$3,Main!$B$43=A152),Weight!V29,I152)</f>
        <v>49.548949872155717</v>
      </c>
      <c r="J152" s="72">
        <f ca="1">IF(AND(Energy!$F$11=$A$3,Main!$B$43=A152),Weight!I29,J152)</f>
        <v>23.490392428125002</v>
      </c>
      <c r="K152" s="72">
        <f ca="1">IF(AND(Energy!$F$11=$A$3,Main!$B$43=A152),Weight!W29,K152)</f>
        <v>64.548949872155717</v>
      </c>
      <c r="L152" s="72">
        <f ca="1">IF(AND(Energy!$F$11=$A$3,Main!$B$43=A152),'Aerodynamics-Cruise'!BI29,L152)</f>
        <v>64.548949872155717</v>
      </c>
      <c r="M152" s="72">
        <f ca="1">IF(AND(Energy!$F$11=$A$3,Main!$B$43=A152),'Aerodynamics-Cruise'!BJ29,M152)</f>
        <v>3.1208998814420696</v>
      </c>
      <c r="N152" s="72">
        <f ca="1">IF(AND(Energy!$F$11=$A$3,Main!$B$43=A152),'Aerodynamics-Cruise'!BK29,N152)</f>
        <v>20.682800578123537</v>
      </c>
      <c r="O152" s="72">
        <f t="shared" ca="1" si="11"/>
        <v>166.17050326188311</v>
      </c>
      <c r="P152" s="72">
        <f ca="1">IF(AND(Energy!$F$11=$A$3,Main!$B$43=A152),'Aerodynamics-Cruise'!H29,P152)</f>
        <v>7.9777530737414972</v>
      </c>
      <c r="Q152" s="72">
        <f ca="1">IF(AND(Energy!$F$11=$A$3,Main!$B$43=A152),'Aerodynamics-Cruise'!I29,Q152)</f>
        <v>6.7034100744082252</v>
      </c>
      <c r="R152" s="72">
        <f ca="1">IF(AND(Energy!$F$11=$A$3,Main!$B$43=$A152),Summary!R29,R152)</f>
        <v>4.0454041646485983</v>
      </c>
      <c r="S152" s="72">
        <f ca="1">IF(AND(Energy!$F$11=$A$3,Main!$B$43=A152),'Aerodynamics-Cruise'!W29,S152)</f>
        <v>1</v>
      </c>
      <c r="T152" s="72">
        <f ca="1">IF(AND(Energy!$F$11=$A$3,Main!$B$43=A152),'Aerodynamics-Cruise'!BL29,T152)</f>
        <v>24.897768622013945</v>
      </c>
      <c r="U152" s="72">
        <f ca="1">IF(AND(Energy!$F$11=$A$3,Main!$B$43=A152),'Propulsion-Cruise'!M29,U152)</f>
        <v>55.645731733912953</v>
      </c>
      <c r="V152" s="72">
        <f ca="1">IF(AND(Energy!$F$11=$A$3,Main!$B$43=A152),Endurance!AP29,V152)</f>
        <v>541.74018889619879</v>
      </c>
      <c r="W152" s="72">
        <f ca="1">IF(AND(Energy!$F$11=$A$3,Main!$B$43=$A152),Summary!W29,W152)</f>
        <v>1.8713450292397658</v>
      </c>
      <c r="X152" s="13">
        <f ca="1">IF(AND(Energy!$F$11=$A$3,Main!$B$43=A152),Energy!D29,X152)</f>
        <v>1182.0301388888888</v>
      </c>
      <c r="Y152" s="126">
        <f ca="1">IF(AND(Energy!$F$11=$A$3,Main!$B$43=A152),'Aerodynamics-Cruise'!V29,Y152)</f>
        <v>179900.90007284033</v>
      </c>
      <c r="Z152" s="126">
        <f ca="1">IF(AND(Energy!$F$11=$A$3,Main!$B$43=$A152),Summary!Z29,Z152)</f>
        <v>133957.76548944347</v>
      </c>
      <c r="AA152" s="126">
        <f ca="1">IF(AND(Energy!$F$11=$A$3,Main!$B$43=$A152),Summary!AA29,AA152)</f>
        <v>133957.76548944347</v>
      </c>
      <c r="AB152" s="72">
        <f ca="1">IF(AND(Energy!$F$11=$A$3,Main!$B$43=$A152),Summary!AB29,AB152)</f>
        <v>4.0454041646485983</v>
      </c>
      <c r="AC152" s="72">
        <f ca="1">IF(AND(Energy!$F$11=$A$3,Main!$B$43=$A152),Summary!AC29,AC152)</f>
        <v>1.9971969279705748</v>
      </c>
      <c r="AD152" s="72">
        <f ca="1">IF(AND(Energy!$F$11=$A$3,Main!$B$43=$A152),Summary!AD29,AD152)</f>
        <v>0.42859110740108275</v>
      </c>
      <c r="AE152" s="72">
        <f ca="1">IF(AND(Energy!$F$11=$A$3,Main!$B$43=$A152),Summary!AE29,AE152)</f>
        <v>1.8713450292397658</v>
      </c>
      <c r="AF152" s="72">
        <f ca="1">IF(AND(Energy!$F$11=$A$3,Main!$B$43=$A152),Summary!AF29,AF152)</f>
        <v>14.802631578947373</v>
      </c>
      <c r="AG152" s="72">
        <f ca="1">IF(AND(Energy!$F$11=$A$3,Main!$B$43=$A152),Summary!AG29,AG152)</f>
        <v>11.570704615394035</v>
      </c>
      <c r="AH152" s="72">
        <f ca="1">IF(AND(Energy!$F$11=$A$3,Main!$B$43=$A152),Summary!AH29,AH152)</f>
        <v>47</v>
      </c>
      <c r="AI152" s="72">
        <f ca="1">IF(AND(Energy!$F$11=$A$3,Main!$B$43=$A152),Summary!AI29,AI152)</f>
        <v>2.7760397201738414</v>
      </c>
      <c r="AJ152" s="72">
        <f ca="1">IF(AND(Energy!$F$11=$A$3,Main!$B$43=$A152),Summary!AJ29,AJ152)</f>
        <v>0.22878623161527123</v>
      </c>
      <c r="AK152" s="72">
        <f ca="1">IF(AND(Energy!$F$11=$A$3,Main!$B$43=$A152),Summary!AK29,AK152)</f>
        <v>0.01</v>
      </c>
      <c r="AL152" s="72">
        <f ca="1">IF(AND(Energy!$F$11=$A$3,Main!$B$43=$A152),Summary!AL29,AL152)</f>
        <v>-0.54636169823110359</v>
      </c>
      <c r="AM152" s="72">
        <f ca="1">IF(AND(Energy!$F$11=$A$3,Main!$B$43=$A152),Summary!AJ169,AM152)</f>
        <v>0</v>
      </c>
    </row>
    <row r="153" spans="1:39">
      <c r="A153">
        <f t="shared" si="12"/>
        <v>8</v>
      </c>
      <c r="D153" s="1">
        <f ca="1">IF(AND(Energy!$F$11=$A$3,Main!$B$43=A153),Main!C30,D153)</f>
        <v>5.4210526315789478</v>
      </c>
      <c r="E153" s="72">
        <f ca="1">IF(AND(Energy!$F$11=$A$3,Main!$B$43=A153),Main!B30,E153)</f>
        <v>0.35555555555555546</v>
      </c>
      <c r="F153" s="72">
        <f ca="1">IF(Main!$D$6=1,U153,IF(Main!$D$6=2,N153,IF(Main!$D$6=3,K153,IF(Main!$D$6=4,V153,J153))))</f>
        <v>541.25360207165534</v>
      </c>
      <c r="G153" s="72">
        <f ca="1">IF(AND(Energy!$F$11=$A$3,Main!$B$43=A153),Weight!H30,G153)</f>
        <v>15</v>
      </c>
      <c r="H153" s="72">
        <f ca="1">IF(AND(Energy!$F$11=$A$3,Main!$B$43=A153),Weight!U30,H153)</f>
        <v>21.84258752680492</v>
      </c>
      <c r="I153" s="72">
        <f ca="1">IF(AND(Energy!$F$11=$A$3,Main!$B$43=A153),Weight!V30,I153)</f>
        <v>50.270628229929926</v>
      </c>
      <c r="J153" s="72">
        <f ca="1">IF(AND(Energy!$F$11=$A$3,Main!$B$43=A153),Weight!I30,J153)</f>
        <v>23.490392428125002</v>
      </c>
      <c r="K153" s="72">
        <f ca="1">IF(AND(Energy!$F$11=$A$3,Main!$B$43=A153),Weight!W30,K153)</f>
        <v>65.270628229929926</v>
      </c>
      <c r="L153" s="72">
        <f ca="1">IF(AND(Energy!$F$11=$A$3,Main!$B$43=A153),'Aerodynamics-Cruise'!BI30,L153)</f>
        <v>65.270628229929926</v>
      </c>
      <c r="M153" s="72">
        <f ca="1">IF(AND(Energy!$F$11=$A$3,Main!$B$43=A153),'Aerodynamics-Cruise'!BJ30,M153)</f>
        <v>3.1254477559944585</v>
      </c>
      <c r="N153" s="72">
        <f ca="1">IF(AND(Energy!$F$11=$A$3,Main!$B$43=A153),'Aerodynamics-Cruise'!BK30,N153)</f>
        <v>20.883608790050641</v>
      </c>
      <c r="O153" s="72">
        <f t="shared" ca="1" si="11"/>
        <v>168.71917589423322</v>
      </c>
      <c r="P153" s="72">
        <f ca="1">IF(AND(Energy!$F$11=$A$3,Main!$B$43=A153),'Aerodynamics-Cruise'!H30,P153)</f>
        <v>7.9044804679091012</v>
      </c>
      <c r="Q153" s="72">
        <f ca="1">IF(AND(Energy!$F$11=$A$3,Main!$B$43=A153),'Aerodynamics-Cruise'!I30,Q153)</f>
        <v>6.6443755424204154</v>
      </c>
      <c r="R153" s="72">
        <f ca="1">IF(AND(Energy!$F$11=$A$3,Main!$B$43=$A153),Summary!R30,R153)</f>
        <v>4.017580878187994</v>
      </c>
      <c r="S153" s="72">
        <f ca="1">IF(AND(Energy!$F$11=$A$3,Main!$B$43=A153),'Aerodynamics-Cruise'!W30,S153)</f>
        <v>1</v>
      </c>
      <c r="T153" s="72">
        <f ca="1">IF(AND(Energy!$F$11=$A$3,Main!$B$43=A153),'Aerodynamics-Cruise'!BL30,T153)</f>
        <v>24.705040740728528</v>
      </c>
      <c r="U153" s="72">
        <f ca="1">IF(AND(Energy!$F$11=$A$3,Main!$B$43=A153),'Propulsion-Cruise'!M30,U153)</f>
        <v>55.41064332899132</v>
      </c>
      <c r="V153" s="72">
        <f ca="1">IF(AND(Energy!$F$11=$A$3,Main!$B$43=A153),Endurance!AP30,V153)</f>
        <v>541.25360207165534</v>
      </c>
      <c r="W153" s="72">
        <f ca="1">IF(AND(Energy!$F$11=$A$3,Main!$B$43=$A153),Summary!W30,W153)</f>
        <v>1.9274853801169587</v>
      </c>
      <c r="X153" s="13">
        <f ca="1">IF(AND(Energy!$F$11=$A$3,Main!$B$43=A153),Energy!D30,X153)</f>
        <v>1182.0301388888888</v>
      </c>
      <c r="Y153" s="126">
        <f ca="1">IF(AND(Energy!$F$11=$A$3,Main!$B$43=A153),'Aerodynamics-Cruise'!V30,Y153)</f>
        <v>178248.57922283583</v>
      </c>
      <c r="Z153" s="126">
        <f ca="1">IF(AND(Energy!$F$11=$A$3,Main!$B$43=$A153),Summary!Z30,Z153)</f>
        <v>132776.0716329735</v>
      </c>
      <c r="AA153" s="126">
        <f ca="1">IF(AND(Energy!$F$11=$A$3,Main!$B$43=$A153),Summary!AA30,AA153)</f>
        <v>132776.0716329735</v>
      </c>
      <c r="AB153" s="72">
        <f ca="1">IF(AND(Energy!$F$11=$A$3,Main!$B$43=$A153),Summary!AB30,AB153)</f>
        <v>4.017580878187994</v>
      </c>
      <c r="AC153" s="72">
        <f ca="1">IF(AND(Energy!$F$11=$A$3,Main!$B$43=$A153),Summary!AC30,AC153)</f>
        <v>1.9603670892038496</v>
      </c>
      <c r="AD153" s="72">
        <f ca="1">IF(AND(Energy!$F$11=$A$3,Main!$B$43=$A153),Summary!AD30,AD153)</f>
        <v>0.42703124184225966</v>
      </c>
      <c r="AE153" s="72">
        <f ca="1">IF(AND(Energy!$F$11=$A$3,Main!$B$43=$A153),Summary!AE30,AE153)</f>
        <v>1.9274853801169587</v>
      </c>
      <c r="AF153" s="72">
        <f ca="1">IF(AND(Energy!$F$11=$A$3,Main!$B$43=$A153),Summary!AF30,AF153)</f>
        <v>15.246710526315795</v>
      </c>
      <c r="AG153" s="72">
        <f ca="1">IF(AND(Energy!$F$11=$A$3,Main!$B$43=$A153),Summary!AG30,AG153)</f>
        <v>11.55006922798694</v>
      </c>
      <c r="AH153" s="72">
        <f ca="1">IF(AND(Energy!$F$11=$A$3,Main!$B$43=$A153),Summary!AH30,AH153)</f>
        <v>47</v>
      </c>
      <c r="AI153" s="72">
        <f ca="1">IF(AND(Energy!$F$11=$A$3,Main!$B$43=$A153),Summary!AI30,AI153)</f>
        <v>2.7739229311404006</v>
      </c>
      <c r="AJ153" s="72">
        <f ca="1">IF(AND(Energy!$F$11=$A$3,Main!$B$43=$A153),Summary!AJ30,AJ153)</f>
        <v>0.22935654655135662</v>
      </c>
      <c r="AK153" s="72">
        <f ca="1">IF(AND(Energy!$F$11=$A$3,Main!$B$43=$A153),Summary!AK30,AK153)</f>
        <v>0.01</v>
      </c>
      <c r="AL153" s="72">
        <f ca="1">IF(AND(Energy!$F$11=$A$3,Main!$B$43=$A153),Summary!AL30,AL153)</f>
        <v>-0.54500294002693905</v>
      </c>
      <c r="AM153" s="72">
        <f ca="1">IF(AND(Energy!$F$11=$A$3,Main!$B$43=$A153),Summary!AJ170,AM153)</f>
        <v>0</v>
      </c>
    </row>
    <row r="154" spans="1:39">
      <c r="A154">
        <f t="shared" si="12"/>
        <v>8</v>
      </c>
      <c r="D154" s="1">
        <f ca="1">IF(AND(Energy!$F$11=$A$3,Main!$B$43=A154),Main!C31,D154)</f>
        <v>5.5789473684210531</v>
      </c>
      <c r="E154" s="72">
        <f ca="1">IF(AND(Energy!$F$11=$A$3,Main!$B$43=A154),Main!B31,E154)</f>
        <v>0.35555555555555546</v>
      </c>
      <c r="F154" s="72">
        <f ca="1">IF(Main!$D$6=1,U154,IF(Main!$D$6=2,N154,IF(Main!$D$6=3,K154,IF(Main!$D$6=4,V154,J154))))</f>
        <v>541.26910305961189</v>
      </c>
      <c r="G154" s="72">
        <f ca="1">IF(AND(Energy!$F$11=$A$3,Main!$B$43=A154),Weight!H31,G154)</f>
        <v>15</v>
      </c>
      <c r="H154" s="72">
        <f ca="1">IF(AND(Energy!$F$11=$A$3,Main!$B$43=A154),Weight!U31,H154)</f>
        <v>22.57908837005057</v>
      </c>
      <c r="I154" s="72">
        <f ca="1">IF(AND(Energy!$F$11=$A$3,Main!$B$43=A154),Weight!V31,I154)</f>
        <v>51.007129073175577</v>
      </c>
      <c r="J154" s="72">
        <f ca="1">IF(AND(Energy!$F$11=$A$3,Main!$B$43=A154),Weight!I31,J154)</f>
        <v>23.490392428125002</v>
      </c>
      <c r="K154" s="72">
        <f ca="1">IF(AND(Energy!$F$11=$A$3,Main!$B$43=A154),Weight!W31,K154)</f>
        <v>66.007129073175577</v>
      </c>
      <c r="L154" s="72">
        <f ca="1">IF(AND(Energy!$F$11=$A$3,Main!$B$43=A154),'Aerodynamics-Cruise'!BI31,L154)</f>
        <v>66.007129073175577</v>
      </c>
      <c r="M154" s="72">
        <f ca="1">IF(AND(Energy!$F$11=$A$3,Main!$B$43=A154),'Aerodynamics-Cruise'!BJ31,M154)</f>
        <v>3.1319922588686047</v>
      </c>
      <c r="N154" s="72">
        <f ca="1">IF(AND(Energy!$F$11=$A$3,Main!$B$43=A154),'Aerodynamics-Cruise'!BK31,N154)</f>
        <v>21.075125229402666</v>
      </c>
      <c r="O154" s="72">
        <f t="shared" ca="1" si="11"/>
        <v>171.22437350532957</v>
      </c>
      <c r="P154" s="72">
        <f ca="1">IF(AND(Energy!$F$11=$A$3,Main!$B$43=A154),'Aerodynamics-Cruise'!H31,P154)</f>
        <v>7.8356103313818011</v>
      </c>
      <c r="Q154" s="72">
        <f ca="1">IF(AND(Energy!$F$11=$A$3,Main!$B$43=A154),'Aerodynamics-Cruise'!I31,Q154)</f>
        <v>6.5888659483532432</v>
      </c>
      <c r="R154" s="72">
        <f ca="1">IF(AND(Energy!$F$11=$A$3,Main!$B$43=$A154),Summary!R31,R154)</f>
        <v>3.9942096592891589</v>
      </c>
      <c r="S154" s="72">
        <f ca="1">IF(AND(Energy!$F$11=$A$3,Main!$B$43=A154),'Aerodynamics-Cruise'!W31,S154)</f>
        <v>1</v>
      </c>
      <c r="T154" s="72">
        <f ca="1">IF(AND(Energy!$F$11=$A$3,Main!$B$43=A154),'Aerodynamics-Cruise'!BL31,T154)</f>
        <v>24.541070901398662</v>
      </c>
      <c r="U154" s="72">
        <f ca="1">IF(AND(Energy!$F$11=$A$3,Main!$B$43=A154),'Propulsion-Cruise'!M31,U154)</f>
        <v>55.230990097801076</v>
      </c>
      <c r="V154" s="72">
        <f ca="1">IF(AND(Energy!$F$11=$A$3,Main!$B$43=A154),Endurance!AP31,V154)</f>
        <v>541.26910305961189</v>
      </c>
      <c r="W154" s="72">
        <f ca="1">IF(AND(Energy!$F$11=$A$3,Main!$B$43=$A154),Summary!W31,W154)</f>
        <v>1.9836257309941516</v>
      </c>
      <c r="X154" s="13">
        <f ca="1">IF(AND(Energy!$F$11=$A$3,Main!$B$43=A154),Energy!D31,X154)</f>
        <v>1182.0301388888888</v>
      </c>
      <c r="Y154" s="126">
        <f ca="1">IF(AND(Energy!$F$11=$A$3,Main!$B$43=A154),'Aerodynamics-Cruise'!V31,Y154)</f>
        <v>176695.53547293821</v>
      </c>
      <c r="Z154" s="126">
        <f ca="1">IF(AND(Energy!$F$11=$A$3,Main!$B$43=$A154),Summary!Z31,Z154)</f>
        <v>131664.9537138594</v>
      </c>
      <c r="AA154" s="126">
        <f ca="1">IF(AND(Energy!$F$11=$A$3,Main!$B$43=$A154),Summary!AA31,AA154)</f>
        <v>131664.9537138594</v>
      </c>
      <c r="AB154" s="72">
        <f ca="1">IF(AND(Energy!$F$11=$A$3,Main!$B$43=$A154),Summary!AB31,AB154)</f>
        <v>3.9942096592891589</v>
      </c>
      <c r="AC154" s="72">
        <f ca="1">IF(AND(Energy!$F$11=$A$3,Main!$B$43=$A154),Summary!AC31,AC154)</f>
        <v>1.9244656558489193</v>
      </c>
      <c r="AD154" s="72">
        <f ca="1">IF(AND(Energy!$F$11=$A$3,Main!$B$43=$A154),Summary!AD31,AD154)</f>
        <v>0.42566415718426215</v>
      </c>
      <c r="AE154" s="72">
        <f ca="1">IF(AND(Energy!$F$11=$A$3,Main!$B$43=$A154),Summary!AE31,AE154)</f>
        <v>1.9836257309941516</v>
      </c>
      <c r="AF154" s="72">
        <f ca="1">IF(AND(Energy!$F$11=$A$3,Main!$B$43=$A154),Summary!AF31,AF154)</f>
        <v>15.690789473684216</v>
      </c>
      <c r="AG154" s="72">
        <f ca="1">IF(AND(Energy!$F$11=$A$3,Main!$B$43=$A154),Summary!AG31,AG154)</f>
        <v>11.536036331763663</v>
      </c>
      <c r="AH154" s="72">
        <f ca="1">IF(AND(Energy!$F$11=$A$3,Main!$B$43=$A154),Summary!AH31,AH154)</f>
        <v>47</v>
      </c>
      <c r="AI154" s="72">
        <f ca="1">IF(AND(Energy!$F$11=$A$3,Main!$B$43=$A154),Summary!AI31,AI154)</f>
        <v>2.7719180600078355</v>
      </c>
      <c r="AJ154" s="72">
        <f ca="1">IF(AND(Energy!$F$11=$A$3,Main!$B$43=$A154),Summary!AJ31,AJ154)</f>
        <v>0.22989367020429954</v>
      </c>
      <c r="AK154" s="72">
        <f ca="1">IF(AND(Energy!$F$11=$A$3,Main!$B$43=$A154),Summary!AK31,AK154)</f>
        <v>0.01</v>
      </c>
      <c r="AL154" s="72">
        <f ca="1">IF(AND(Energy!$F$11=$A$3,Main!$B$43=$A154),Summary!AL31,AL154)</f>
        <v>-0.54372941396761321</v>
      </c>
      <c r="AM154" s="72">
        <f ca="1">IF(AND(Energy!$F$11=$A$3,Main!$B$43=$A154),Summary!AJ171,AM154)</f>
        <v>0</v>
      </c>
    </row>
    <row r="155" spans="1:39">
      <c r="A155">
        <f t="shared" si="12"/>
        <v>8</v>
      </c>
      <c r="D155" s="1">
        <f ca="1">IF(AND(Energy!$F$11=$A$3,Main!$B$43=A155),Main!C32,D155)</f>
        <v>5.7368421052631584</v>
      </c>
      <c r="E155" s="72">
        <f ca="1">IF(AND(Energy!$F$11=$A$3,Main!$B$43=A155),Main!B32,E155)</f>
        <v>0.35555555555555546</v>
      </c>
      <c r="F155" s="72">
        <f ca="1">IF(Main!$D$6=1,U155,IF(Main!$D$6=2,N155,IF(Main!$D$6=3,K155,IF(Main!$D$6=4,V155,J155))))</f>
        <v>541.75019586782366</v>
      </c>
      <c r="G155" s="72">
        <f ca="1">IF(AND(Energy!$F$11=$A$3,Main!$B$43=A155),Weight!H32,G155)</f>
        <v>15</v>
      </c>
      <c r="H155" s="72">
        <f ca="1">IF(AND(Energy!$F$11=$A$3,Main!$B$43=A155),Weight!U32,H155)</f>
        <v>23.33054654462606</v>
      </c>
      <c r="I155" s="72">
        <f ca="1">IF(AND(Energy!$F$11=$A$3,Main!$B$43=A155),Weight!V32,I155)</f>
        <v>51.758587247751066</v>
      </c>
      <c r="J155" s="72">
        <f ca="1">IF(AND(Energy!$F$11=$A$3,Main!$B$43=A155),Weight!I32,J155)</f>
        <v>23.490392428125002</v>
      </c>
      <c r="K155" s="72">
        <f ca="1">IF(AND(Energy!$F$11=$A$3,Main!$B$43=A155),Weight!W32,K155)</f>
        <v>66.758587247751066</v>
      </c>
      <c r="L155" s="72">
        <f ca="1">IF(AND(Energy!$F$11=$A$3,Main!$B$43=A155),'Aerodynamics-Cruise'!BI32,L155)</f>
        <v>66.758587247751066</v>
      </c>
      <c r="M155" s="72">
        <f ca="1">IF(AND(Energy!$F$11=$A$3,Main!$B$43=A155),'Aerodynamics-Cruise'!BJ32,M155)</f>
        <v>3.1403915286237409</v>
      </c>
      <c r="N155" s="72">
        <f ca="1">IF(AND(Energy!$F$11=$A$3,Main!$B$43=A155),'Aerodynamics-Cruise'!BK32,N155)</f>
        <v>21.25804589627321</v>
      </c>
      <c r="O155" s="72">
        <f t="shared" ca="1" si="11"/>
        <v>173.6908374502836</v>
      </c>
      <c r="P155" s="72">
        <f ca="1">IF(AND(Energy!$F$11=$A$3,Main!$B$43=A155),'Aerodynamics-Cruise'!H32,P155)</f>
        <v>7.7708437246970039</v>
      </c>
      <c r="Q155" s="72">
        <f ca="1">IF(AND(Energy!$F$11=$A$3,Main!$B$43=A155),'Aerodynamics-Cruise'!I32,Q155)</f>
        <v>6.5366442091473331</v>
      </c>
      <c r="R155" s="72">
        <f ca="1">IF(AND(Energy!$F$11=$A$3,Main!$B$43=$A155),Summary!R32,R155)</f>
        <v>3.9749983249437637</v>
      </c>
      <c r="S155" s="72">
        <f ca="1">IF(AND(Energy!$F$11=$A$3,Main!$B$43=A155),'Aerodynamics-Cruise'!W32,S155)</f>
        <v>1</v>
      </c>
      <c r="T155" s="72">
        <f ca="1">IF(AND(Energy!$F$11=$A$3,Main!$B$43=A155),'Aerodynamics-Cruise'!BL32,T155)</f>
        <v>24.403491803297428</v>
      </c>
      <c r="U155" s="72">
        <f ca="1">IF(AND(Energy!$F$11=$A$3,Main!$B$43=A155),'Propulsion-Cruise'!M32,U155)</f>
        <v>55.102489723339851</v>
      </c>
      <c r="V155" s="72">
        <f ca="1">IF(AND(Energy!$F$11=$A$3,Main!$B$43=A155),Endurance!AP32,V155)</f>
        <v>541.75019586782366</v>
      </c>
      <c r="W155" s="72">
        <f ca="1">IF(AND(Energy!$F$11=$A$3,Main!$B$43=$A155),Summary!W32,W155)</f>
        <v>2.0397660818713446</v>
      </c>
      <c r="X155" s="13">
        <f ca="1">IF(AND(Energy!$F$11=$A$3,Main!$B$43=A155),Energy!D32,X155)</f>
        <v>1182.0301388888888</v>
      </c>
      <c r="Y155" s="126">
        <f ca="1">IF(AND(Energy!$F$11=$A$3,Main!$B$43=A155),'Aerodynamics-Cruise'!V32,Y155)</f>
        <v>175235.0276420291</v>
      </c>
      <c r="Z155" s="126">
        <f ca="1">IF(AND(Energy!$F$11=$A$3,Main!$B$43=$A155),Summary!Z32,Z155)</f>
        <v>130619.66309488346</v>
      </c>
      <c r="AA155" s="126">
        <f ca="1">IF(AND(Energy!$F$11=$A$3,Main!$B$43=$A155),Summary!AA32,AA155)</f>
        <v>130619.66309488346</v>
      </c>
      <c r="AB155" s="72">
        <f ca="1">IF(AND(Energy!$F$11=$A$3,Main!$B$43=$A155),Summary!AB32,AB155)</f>
        <v>3.9749983249437637</v>
      </c>
      <c r="AC155" s="72">
        <f ca="1">IF(AND(Energy!$F$11=$A$3,Main!$B$43=$A155),Summary!AC32,AC155)</f>
        <v>1.8894576285650793</v>
      </c>
      <c r="AD155" s="72">
        <f ca="1">IF(AND(Energy!$F$11=$A$3,Main!$B$43=$A155),Summary!AD32,AD155)</f>
        <v>0.42447651424069194</v>
      </c>
      <c r="AE155" s="72">
        <f ca="1">IF(AND(Energy!$F$11=$A$3,Main!$B$43=$A155),Summary!AE32,AE155)</f>
        <v>2.0397660818713446</v>
      </c>
      <c r="AF155" s="72">
        <f ca="1">IF(AND(Energy!$F$11=$A$3,Main!$B$43=$A155),Summary!AF32,AF155)</f>
        <v>16.134868421052641</v>
      </c>
      <c r="AG155" s="72">
        <f ca="1">IF(AND(Energy!$F$11=$A$3,Main!$B$43=$A155),Summary!AG32,AG155)</f>
        <v>11.528116476938147</v>
      </c>
      <c r="AH155" s="72">
        <f ca="1">IF(AND(Energy!$F$11=$A$3,Main!$B$43=$A155),Summary!AH32,AH155)</f>
        <v>47</v>
      </c>
      <c r="AI155" s="72">
        <f ca="1">IF(AND(Energy!$F$11=$A$3,Main!$B$43=$A155),Summary!AI32,AI155)</f>
        <v>2.7700188724695152</v>
      </c>
      <c r="AJ155" s="72">
        <f ca="1">IF(AND(Energy!$F$11=$A$3,Main!$B$43=$A155),Summary!AJ32,AJ155)</f>
        <v>0.23039988298276626</v>
      </c>
      <c r="AK155" s="72">
        <f ca="1">IF(AND(Energy!$F$11=$A$3,Main!$B$43=$A155),Summary!AK32,AK155)</f>
        <v>0.01</v>
      </c>
      <c r="AL155" s="72">
        <f ca="1">IF(AND(Energy!$F$11=$A$3,Main!$B$43=$A155),Summary!AL32,AL155)</f>
        <v>-0.54253460383000929</v>
      </c>
      <c r="AM155" s="72">
        <f ca="1">IF(AND(Energy!$F$11=$A$3,Main!$B$43=$A155),Summary!AJ172,AM155)</f>
        <v>0</v>
      </c>
    </row>
    <row r="156" spans="1:39">
      <c r="A156">
        <f t="shared" si="12"/>
        <v>8</v>
      </c>
      <c r="D156" s="1">
        <f ca="1">IF(AND(Energy!$F$11=$A$3,Main!$B$43=A156),Main!C33,D156)</f>
        <v>5.8947368421052637</v>
      </c>
      <c r="E156" s="72">
        <f ca="1">IF(AND(Energy!$F$11=$A$3,Main!$B$43=A156),Main!B33,E156)</f>
        <v>0.35555555555555546</v>
      </c>
      <c r="F156" s="72">
        <f ca="1">IF(Main!$D$6=1,U156,IF(Main!$D$6=2,N156,IF(Main!$D$6=3,K156,IF(Main!$D$6=4,V156,J156))))</f>
        <v>542.66486377179251</v>
      </c>
      <c r="G156" s="72">
        <f ca="1">IF(AND(Energy!$F$11=$A$3,Main!$B$43=A156),Weight!H33,G156)</f>
        <v>15</v>
      </c>
      <c r="H156" s="72">
        <f ca="1">IF(AND(Energy!$F$11=$A$3,Main!$B$43=A156),Weight!U33,H156)</f>
        <v>24.097102464851559</v>
      </c>
      <c r="I156" s="72">
        <f ca="1">IF(AND(Energy!$F$11=$A$3,Main!$B$43=A156),Weight!V33,I156)</f>
        <v>52.525143167976566</v>
      </c>
      <c r="J156" s="72">
        <f ca="1">IF(AND(Energy!$F$11=$A$3,Main!$B$43=A156),Weight!I33,J156)</f>
        <v>23.490392428125002</v>
      </c>
      <c r="K156" s="72">
        <f ca="1">IF(AND(Energy!$F$11=$A$3,Main!$B$43=A156),Weight!W33,K156)</f>
        <v>67.525143167976566</v>
      </c>
      <c r="L156" s="72">
        <f ca="1">IF(AND(Energy!$F$11=$A$3,Main!$B$43=A156),'Aerodynamics-Cruise'!BI33,L156)</f>
        <v>67.525143167976566</v>
      </c>
      <c r="M156" s="72">
        <f ca="1">IF(AND(Energy!$F$11=$A$3,Main!$B$43=A156),'Aerodynamics-Cruise'!BJ33,M156)</f>
        <v>3.1505195833637489</v>
      </c>
      <c r="N156" s="72">
        <f ca="1">IF(AND(Energy!$F$11=$A$3,Main!$B$43=A156),'Aerodynamics-Cruise'!BK33,N156)</f>
        <v>21.433018072492434</v>
      </c>
      <c r="O156" s="72">
        <f t="shared" ca="1" si="11"/>
        <v>176.12300509513756</v>
      </c>
      <c r="P156" s="72">
        <f ca="1">IF(AND(Energy!$F$11=$A$3,Main!$B$43=A156),'Aerodynamics-Cruise'!H33,P156)</f>
        <v>7.7099100695867033</v>
      </c>
      <c r="Q156" s="72">
        <f ca="1">IF(AND(Energy!$F$11=$A$3,Main!$B$43=A156),'Aerodynamics-Cruise'!I33,Q156)</f>
        <v>6.4874955684748716</v>
      </c>
      <c r="R156" s="72">
        <f ca="1">IF(AND(Energy!$F$11=$A$3,Main!$B$43=$A156),Summary!R33,R156)</f>
        <v>3.9596891069202065</v>
      </c>
      <c r="S156" s="72">
        <f ca="1">IF(AND(Energy!$F$11=$A$3,Main!$B$43=A156),'Aerodynamics-Cruise'!W33,S156)</f>
        <v>1</v>
      </c>
      <c r="T156" s="72">
        <f ca="1">IF(AND(Energy!$F$11=$A$3,Main!$B$43=A156),'Aerodynamics-Cruise'!BL33,T156)</f>
        <v>24.290222660206272</v>
      </c>
      <c r="U156" s="72">
        <f ca="1">IF(AND(Energy!$F$11=$A$3,Main!$B$43=A156),'Propulsion-Cruise'!M33,U156)</f>
        <v>55.021377877286469</v>
      </c>
      <c r="V156" s="72">
        <f ca="1">IF(AND(Energy!$F$11=$A$3,Main!$B$43=A156),Endurance!AP33,V156)</f>
        <v>542.66486377179251</v>
      </c>
      <c r="W156" s="72">
        <f ca="1">IF(AND(Energy!$F$11=$A$3,Main!$B$43=$A156),Summary!W33,W156)</f>
        <v>2.0959064327485377</v>
      </c>
      <c r="X156" s="13">
        <f ca="1">IF(AND(Energy!$F$11=$A$3,Main!$B$43=A156),Energy!D33,X156)</f>
        <v>1182.0301388888888</v>
      </c>
      <c r="Y156" s="126">
        <f ca="1">IF(AND(Energy!$F$11=$A$3,Main!$B$43=A156),'Aerodynamics-Cruise'!V33,Y156)</f>
        <v>173860.95410305829</v>
      </c>
      <c r="Z156" s="126">
        <f ca="1">IF(AND(Energy!$F$11=$A$3,Main!$B$43=$A156),Summary!Z33,Z156)</f>
        <v>129635.89846153885</v>
      </c>
      <c r="AA156" s="126">
        <f ca="1">IF(AND(Energy!$F$11=$A$3,Main!$B$43=$A156),Summary!AA33,AA156)</f>
        <v>129635.89846153885</v>
      </c>
      <c r="AB156" s="72">
        <f ca="1">IF(AND(Energy!$F$11=$A$3,Main!$B$43=$A156),Summary!AB33,AB156)</f>
        <v>3.9596891069202065</v>
      </c>
      <c r="AC156" s="72">
        <f ca="1">IF(AND(Energy!$F$11=$A$3,Main!$B$43=$A156),Summary!AC33,AC156)</f>
        <v>1.8553092942206644</v>
      </c>
      <c r="AD156" s="72">
        <f ca="1">IF(AND(Energy!$F$11=$A$3,Main!$B$43=$A156),Summary!AD33,AD156)</f>
        <v>0.42345629347974101</v>
      </c>
      <c r="AE156" s="72">
        <f ca="1">IF(AND(Energy!$F$11=$A$3,Main!$B$43=$A156),Summary!AE33,AE156)</f>
        <v>2.0959064327485377</v>
      </c>
      <c r="AF156" s="72">
        <f ca="1">IF(AND(Energy!$F$11=$A$3,Main!$B$43=$A156),Summary!AF33,AF156)</f>
        <v>16.578947368421058</v>
      </c>
      <c r="AG156" s="72">
        <f ca="1">IF(AND(Energy!$F$11=$A$3,Main!$B$43=$A156),Summary!AG33,AG156)</f>
        <v>11.525874673363933</v>
      </c>
      <c r="AH156" s="72">
        <f ca="1">IF(AND(Energy!$F$11=$A$3,Main!$B$43=$A156),Summary!AH33,AH156)</f>
        <v>47</v>
      </c>
      <c r="AI156" s="72">
        <f ca="1">IF(AND(Energy!$F$11=$A$3,Main!$B$43=$A156),Summary!AI33,AI156)</f>
        <v>2.7682196534975376</v>
      </c>
      <c r="AJ156" s="72">
        <f ca="1">IF(AND(Energy!$F$11=$A$3,Main!$B$43=$A156),Summary!AJ33,AJ156)</f>
        <v>0.23087723814463157</v>
      </c>
      <c r="AK156" s="72">
        <f ca="1">IF(AND(Energy!$F$11=$A$3,Main!$B$43=$A156),Summary!AK33,AK156)</f>
        <v>0.01</v>
      </c>
      <c r="AL156" s="72">
        <f ca="1">IF(AND(Energy!$F$11=$A$3,Main!$B$43=$A156),Summary!AL33,AL156)</f>
        <v>-0.54141269704925743</v>
      </c>
      <c r="AM156" s="72">
        <f ca="1">IF(AND(Energy!$F$11=$A$3,Main!$B$43=$A156),Summary!AJ173,AM156)</f>
        <v>0</v>
      </c>
    </row>
    <row r="157" spans="1:39">
      <c r="A157">
        <f t="shared" si="12"/>
        <v>8</v>
      </c>
      <c r="D157" s="1">
        <f ca="1">IF(AND(Energy!$F$11=$A$3,Main!$B$43=A157),Main!C34,D157)</f>
        <v>6.052631578947369</v>
      </c>
      <c r="E157" s="72">
        <f ca="1">IF(AND(Energy!$F$11=$A$3,Main!$B$43=A157),Main!B34,E157)</f>
        <v>0.35555555555555546</v>
      </c>
      <c r="F157" s="72">
        <f ca="1">IF(Main!$D$6=1,U157,IF(Main!$D$6=2,N157,IF(Main!$D$6=3,K157,IF(Main!$D$6=4,V157,J157))))</f>
        <v>543.9849409128841</v>
      </c>
      <c r="G157" s="72">
        <f ca="1">IF(AND(Energy!$F$11=$A$3,Main!$B$43=A157),Weight!H34,G157)</f>
        <v>15</v>
      </c>
      <c r="H157" s="72">
        <f ca="1">IF(AND(Energy!$F$11=$A$3,Main!$B$43=A157),Weight!U34,H157)</f>
        <v>24.878901777126529</v>
      </c>
      <c r="I157" s="72">
        <f ca="1">IF(AND(Energy!$F$11=$A$3,Main!$B$43=A157),Weight!V34,I157)</f>
        <v>53.306942480251536</v>
      </c>
      <c r="J157" s="72">
        <f ca="1">IF(AND(Energy!$F$11=$A$3,Main!$B$43=A157),Weight!I34,J157)</f>
        <v>23.490392428125002</v>
      </c>
      <c r="K157" s="72">
        <f ca="1">IF(AND(Energy!$F$11=$A$3,Main!$B$43=A157),Weight!W34,K157)</f>
        <v>68.306942480251536</v>
      </c>
      <c r="L157" s="72">
        <f ca="1">IF(AND(Energy!$F$11=$A$3,Main!$B$43=A157),'Aerodynamics-Cruise'!BI34,L157)</f>
        <v>68.306942480251536</v>
      </c>
      <c r="M157" s="72">
        <f ca="1">IF(AND(Energy!$F$11=$A$3,Main!$B$43=A157),'Aerodynamics-Cruise'!BJ34,M157)</f>
        <v>3.1622642274554771</v>
      </c>
      <c r="N157" s="72">
        <f ca="1">IF(AND(Energy!$F$11=$A$3,Main!$B$43=A157),'Aerodynamics-Cruise'!BK34,N157)</f>
        <v>21.600643579115104</v>
      </c>
      <c r="O157" s="72">
        <f t="shared" ca="1" si="11"/>
        <v>178.52502968405156</v>
      </c>
      <c r="P157" s="72">
        <f ca="1">IF(AND(Energy!$F$11=$A$3,Main!$B$43=A157),'Aerodynamics-Cruise'!H34,P157)</f>
        <v>7.6525637799485962</v>
      </c>
      <c r="Q157" s="72">
        <f ca="1">IF(AND(Energy!$F$11=$A$3,Main!$B$43=A157),'Aerodynamics-Cruise'!I34,Q157)</f>
        <v>6.4412249600302705</v>
      </c>
      <c r="R157" s="72">
        <f ca="1">IF(AND(Energy!$F$11=$A$3,Main!$B$43=$A157),Summary!R34,R157)</f>
        <v>3.9480541542346721</v>
      </c>
      <c r="S157" s="72">
        <f ca="1">IF(AND(Energy!$F$11=$A$3,Main!$B$43=A157),'Aerodynamics-Cruise'!W34,S157)</f>
        <v>1</v>
      </c>
      <c r="T157" s="72">
        <f ca="1">IF(AND(Energy!$F$11=$A$3,Main!$B$43=A157),'Aerodynamics-Cruise'!BL34,T157)</f>
        <v>24.199428689652912</v>
      </c>
      <c r="U157" s="72">
        <f ca="1">IF(AND(Energy!$F$11=$A$3,Main!$B$43=A157),'Propulsion-Cruise'!M34,U157)</f>
        <v>54.98433543474836</v>
      </c>
      <c r="V157" s="72">
        <f ca="1">IF(AND(Energy!$F$11=$A$3,Main!$B$43=A157),Endurance!AP34,V157)</f>
        <v>543.9849409128841</v>
      </c>
      <c r="W157" s="72">
        <f ca="1">IF(AND(Energy!$F$11=$A$3,Main!$B$43=$A157),Summary!W34,W157)</f>
        <v>2.1520467836257304</v>
      </c>
      <c r="X157" s="13">
        <f ca="1">IF(AND(Energy!$F$11=$A$3,Main!$B$43=A157),Energy!D34,X157)</f>
        <v>1182.0301388888888</v>
      </c>
      <c r="Y157" s="126">
        <f ca="1">IF(AND(Energy!$F$11=$A$3,Main!$B$43=A157),'Aerodynamics-Cruise'!V34,Y157)</f>
        <v>172567.7768103579</v>
      </c>
      <c r="Z157" s="126">
        <f ca="1">IF(AND(Energy!$F$11=$A$3,Main!$B$43=$A157),Summary!Z34,Z157)</f>
        <v>128709.75298250373</v>
      </c>
      <c r="AA157" s="126">
        <f ca="1">IF(AND(Energy!$F$11=$A$3,Main!$B$43=$A157),Summary!AA34,AA157)</f>
        <v>128709.75298250373</v>
      </c>
      <c r="AB157" s="72">
        <f ca="1">IF(AND(Energy!$F$11=$A$3,Main!$B$43=$A157),Summary!AB34,AB157)</f>
        <v>3.9480541542346721</v>
      </c>
      <c r="AC157" s="72">
        <f ca="1">IF(AND(Energy!$F$11=$A$3,Main!$B$43=$A157),Summary!AC34,AC157)</f>
        <v>1.8219882952900739</v>
      </c>
      <c r="AD157" s="72">
        <f ca="1">IF(AND(Energy!$F$11=$A$3,Main!$B$43=$A157),Summary!AD34,AD157)</f>
        <v>0.42259263446243478</v>
      </c>
      <c r="AE157" s="72">
        <f ca="1">IF(AND(Energy!$F$11=$A$3,Main!$B$43=$A157),Summary!AE34,AE157)</f>
        <v>2.1520467836257304</v>
      </c>
      <c r="AF157" s="72">
        <f ca="1">IF(AND(Energy!$F$11=$A$3,Main!$B$43=$A157),Summary!AF34,AF157)</f>
        <v>17.023026315789483</v>
      </c>
      <c r="AG157" s="72">
        <f ca="1">IF(AND(Energy!$F$11=$A$3,Main!$B$43=$A157),Summary!AG34,AG157)</f>
        <v>11.528923189737949</v>
      </c>
      <c r="AH157" s="72">
        <f ca="1">IF(AND(Energy!$F$11=$A$3,Main!$B$43=$A157),Summary!AH34,AH157)</f>
        <v>47</v>
      </c>
      <c r="AI157" s="72">
        <f ca="1">IF(AND(Energy!$F$11=$A$3,Main!$B$43=$A157),Summary!AI34,AI157)</f>
        <v>2.7665151497116724</v>
      </c>
      <c r="AJ157" s="72">
        <f ca="1">IF(AND(Energy!$F$11=$A$3,Main!$B$43=$A157),Summary!AJ34,AJ157)</f>
        <v>0.23132759054329546</v>
      </c>
      <c r="AK157" s="72">
        <f ca="1">IF(AND(Energy!$F$11=$A$3,Main!$B$43=$A157),Summary!AK34,AK157)</f>
        <v>0.01</v>
      </c>
      <c r="AL157" s="72">
        <f ca="1">IF(AND(Energy!$F$11=$A$3,Main!$B$43=$A157),Summary!AL34,AL157)</f>
        <v>-0.54035848971497935</v>
      </c>
      <c r="AM157" s="72">
        <f ca="1">IF(AND(Energy!$F$11=$A$3,Main!$B$43=$A157),Summary!AJ174,AM157)</f>
        <v>0</v>
      </c>
    </row>
    <row r="158" spans="1:39">
      <c r="A158">
        <f t="shared" si="12"/>
        <v>8</v>
      </c>
      <c r="D158" s="1">
        <f ca="1">IF(AND(Energy!$F$11=$A$3,Main!$B$43=A158),Main!C35,D158)</f>
        <v>6.2105263157894743</v>
      </c>
      <c r="E158" s="72">
        <f ca="1">IF(AND(Energy!$F$11=$A$3,Main!$B$43=A158),Main!B35,E158)</f>
        <v>0.35555555555555546</v>
      </c>
      <c r="F158" s="72">
        <f ca="1">IF(Main!$D$6=1,U158,IF(Main!$D$6=2,N158,IF(Main!$D$6=3,K158,IF(Main!$D$6=4,V158,J158))))</f>
        <v>545.68558622270632</v>
      </c>
      <c r="G158" s="72">
        <f ca="1">IF(AND(Energy!$F$11=$A$3,Main!$B$43=A158),Weight!H35,G158)</f>
        <v>15</v>
      </c>
      <c r="H158" s="72">
        <f ca="1">IF(AND(Energy!$F$11=$A$3,Main!$B$43=A158),Weight!U35,H158)</f>
        <v>25.676095055675106</v>
      </c>
      <c r="I158" s="72">
        <f ca="1">IF(AND(Energy!$F$11=$A$3,Main!$B$43=A158),Weight!V35,I158)</f>
        <v>54.104135758800112</v>
      </c>
      <c r="J158" s="72">
        <f ca="1">IF(AND(Energy!$F$11=$A$3,Main!$B$43=A158),Weight!I35,J158)</f>
        <v>23.490392428125002</v>
      </c>
      <c r="K158" s="72">
        <f ca="1">IF(AND(Energy!$F$11=$A$3,Main!$B$43=A158),Weight!W35,K158)</f>
        <v>69.104135758800112</v>
      </c>
      <c r="L158" s="72">
        <f ca="1">IF(AND(Energy!$F$11=$A$3,Main!$B$43=A158),'Aerodynamics-Cruise'!BI35,L158)</f>
        <v>69.104135758800126</v>
      </c>
      <c r="M158" s="72">
        <f ca="1">IF(AND(Energy!$F$11=$A$3,Main!$B$43=A158),'Aerodynamics-Cruise'!BJ35,M158)</f>
        <v>3.1755252791689235</v>
      </c>
      <c r="N158" s="72">
        <f ca="1">IF(AND(Energy!$F$11=$A$3,Main!$B$43=A158),'Aerodynamics-Cruise'!BK35,N158)</f>
        <v>21.761481860061142</v>
      </c>
      <c r="O158" s="72">
        <f t="shared" ca="1" si="11"/>
        <v>180.90079918929365</v>
      </c>
      <c r="P158" s="72">
        <f ca="1">IF(AND(Energy!$F$11=$A$3,Main!$B$43=A158),'Aerodynamics-Cruise'!H35,P158)</f>
        <v>7.5985813685711543</v>
      </c>
      <c r="Q158" s="72">
        <f ca="1">IF(AND(Energy!$F$11=$A$3,Main!$B$43=A158),'Aerodynamics-Cruise'!I35,Q158)</f>
        <v>6.397654741227691</v>
      </c>
      <c r="R158" s="72">
        <f ca="1">IF(AND(Energy!$F$11=$A$3,Main!$B$43=$A158),Summary!R35,R158)</f>
        <v>3.9398917325947851</v>
      </c>
      <c r="S158" s="72">
        <f ca="1">IF(AND(Energy!$F$11=$A$3,Main!$B$43=A158),'Aerodynamics-Cruise'!W35,S158)</f>
        <v>1</v>
      </c>
      <c r="T158" s="72">
        <f ca="1">IF(AND(Energy!$F$11=$A$3,Main!$B$43=A158),'Aerodynamics-Cruise'!BL35,T158)</f>
        <v>24.129487221719696</v>
      </c>
      <c r="U158" s="72">
        <f ca="1">IF(AND(Energy!$F$11=$A$3,Main!$B$43=A158),'Propulsion-Cruise'!M35,U158)</f>
        <v>54.988427550174812</v>
      </c>
      <c r="V158" s="72">
        <f ca="1">IF(AND(Energy!$F$11=$A$3,Main!$B$43=A158),Endurance!AP35,V158)</f>
        <v>545.68558622270632</v>
      </c>
      <c r="W158" s="72">
        <f ca="1">IF(AND(Energy!$F$11=$A$3,Main!$B$43=$A158),Summary!W35,W158)</f>
        <v>2.2081871345029236</v>
      </c>
      <c r="X158" s="13">
        <f ca="1">IF(AND(Energy!$F$11=$A$3,Main!$B$43=A158),Energy!D35,X158)</f>
        <v>1182.0301388888888</v>
      </c>
      <c r="Y158" s="126">
        <f ca="1">IF(AND(Energy!$F$11=$A$3,Main!$B$43=A158),'Aerodynamics-Cruise'!V35,Y158)</f>
        <v>171350.45605536122</v>
      </c>
      <c r="Z158" s="126">
        <f ca="1">IF(AND(Energy!$F$11=$A$3,Main!$B$43=$A158),Summary!Z35,Z158)</f>
        <v>127837.66889458877</v>
      </c>
      <c r="AA158" s="126">
        <f ca="1">IF(AND(Energy!$F$11=$A$3,Main!$B$43=$A158),Summary!AA35,AA158)</f>
        <v>127837.66889458877</v>
      </c>
      <c r="AB158" s="72">
        <f ca="1">IF(AND(Energy!$F$11=$A$3,Main!$B$43=$A158),Summary!AB35,AB158)</f>
        <v>3.9398917325947851</v>
      </c>
      <c r="AC158" s="72">
        <f ca="1">IF(AND(Energy!$F$11=$A$3,Main!$B$43=$A158),Summary!AC35,AC158)</f>
        <v>1.7894647907787715</v>
      </c>
      <c r="AD158" s="72">
        <f ca="1">IF(AND(Energy!$F$11=$A$3,Main!$B$43=$A158),Summary!AD35,AD158)</f>
        <v>0.42187569832866889</v>
      </c>
      <c r="AE158" s="72">
        <f ca="1">IF(AND(Energy!$F$11=$A$3,Main!$B$43=$A158),Summary!AE35,AE158)</f>
        <v>2.2081871345029236</v>
      </c>
      <c r="AF158" s="72">
        <f ca="1">IF(AND(Energy!$F$11=$A$3,Main!$B$43=$A158),Summary!AF35,AF158)</f>
        <v>17.467105263157904</v>
      </c>
      <c r="AG158" s="72">
        <f ca="1">IF(AND(Energy!$F$11=$A$3,Main!$B$43=$A158),Summary!AG35,AG158)</f>
        <v>11.536915458934981</v>
      </c>
      <c r="AH158" s="72">
        <f ca="1">IF(AND(Energy!$F$11=$A$3,Main!$B$43=$A158),Summary!AH35,AH158)</f>
        <v>47</v>
      </c>
      <c r="AI158" s="72">
        <f ca="1">IF(AND(Energy!$F$11=$A$3,Main!$B$43=$A158),Summary!AI35,AI158)</f>
        <v>2.7649005195684584</v>
      </c>
      <c r="AJ158" s="72">
        <f ca="1">IF(AND(Energy!$F$11=$A$3,Main!$B$43=$A158),Summary!AJ35,AJ158)</f>
        <v>0.23175262117209824</v>
      </c>
      <c r="AK158" s="72">
        <f ca="1">IF(AND(Energy!$F$11=$A$3,Main!$B$43=$A158),Summary!AK35,AK158)</f>
        <v>0.01</v>
      </c>
      <c r="AL158" s="72">
        <f ca="1">IF(AND(Energy!$F$11=$A$3,Main!$B$43=$A158),Summary!AL35,AL158)</f>
        <v>-0.53936730643677533</v>
      </c>
      <c r="AM158" s="72">
        <f ca="1">IF(AND(Energy!$F$11=$A$3,Main!$B$43=$A158),Summary!AJ175,AM158)</f>
        <v>0</v>
      </c>
    </row>
    <row r="159" spans="1:39">
      <c r="A159">
        <f t="shared" si="12"/>
        <v>8</v>
      </c>
      <c r="D159" s="1">
        <f ca="1">IF(AND(Energy!$F$11=$A$3,Main!$B$43=A159),Main!C36,D159)</f>
        <v>6.3684210526315796</v>
      </c>
      <c r="E159" s="72">
        <f ca="1">IF(AND(Energy!$F$11=$A$3,Main!$B$43=A159),Main!B36,E159)</f>
        <v>0.35555555555555546</v>
      </c>
      <c r="F159" s="72">
        <f ca="1">IF(Main!$D$6=1,U159,IF(Main!$D$6=2,N159,IF(Main!$D$6=3,K159,IF(Main!$D$6=4,V159,J159))))</f>
        <v>547.74484086779853</v>
      </c>
      <c r="G159" s="72">
        <f ca="1">IF(AND(Energy!$F$11=$A$3,Main!$B$43=A159),Weight!H36,G159)</f>
        <v>15</v>
      </c>
      <c r="H159" s="72">
        <f ca="1">IF(AND(Energy!$F$11=$A$3,Main!$B$43=A159),Weight!U36,H159)</f>
        <v>26.488837526136635</v>
      </c>
      <c r="I159" s="72">
        <f ca="1">IF(AND(Energy!$F$11=$A$3,Main!$B$43=A159),Weight!V36,I159)</f>
        <v>54.916878229261641</v>
      </c>
      <c r="J159" s="72">
        <f ca="1">IF(AND(Energy!$F$11=$A$3,Main!$B$43=A159),Weight!I36,J159)</f>
        <v>23.490392428125002</v>
      </c>
      <c r="K159" s="72">
        <f ca="1">IF(AND(Energy!$F$11=$A$3,Main!$B$43=A159),Weight!W36,K159)</f>
        <v>69.916878229261641</v>
      </c>
      <c r="L159" s="72">
        <f ca="1">IF(AND(Energy!$F$11=$A$3,Main!$B$43=A159),'Aerodynamics-Cruise'!BI36,L159)</f>
        <v>69.916878229261641</v>
      </c>
      <c r="M159" s="72">
        <f ca="1">IF(AND(Energy!$F$11=$A$3,Main!$B$43=A159),'Aerodynamics-Cruise'!BJ36,M159)</f>
        <v>3.1902130633456012</v>
      </c>
      <c r="N159" s="72">
        <f ca="1">IF(AND(Energy!$F$11=$A$3,Main!$B$43=A159),'Aerodynamics-Cruise'!BK36,N159)</f>
        <v>21.916052890818293</v>
      </c>
      <c r="O159" s="72">
        <f t="shared" ca="1" si="11"/>
        <v>183.25395412852066</v>
      </c>
      <c r="P159" s="72">
        <f ca="1">IF(AND(Energy!$F$11=$A$3,Main!$B$43=A159),'Aerodynamics-Cruise'!H36,P159)</f>
        <v>7.5477589522246769</v>
      </c>
      <c r="Q159" s="72">
        <f ca="1">IF(AND(Energy!$F$11=$A$3,Main!$B$43=A159),'Aerodynamics-Cruise'!I36,Q159)</f>
        <v>6.3566227373421</v>
      </c>
      <c r="R159" s="72">
        <f ca="1">IF(AND(Energy!$F$11=$A$3,Main!$B$43=$A159),Summary!R36,R159)</f>
        <v>3.9350229983564993</v>
      </c>
      <c r="S159" s="72">
        <f ca="1">IF(AND(Energy!$F$11=$A$3,Main!$B$43=A159),'Aerodynamics-Cruise'!W36,S159)</f>
        <v>1</v>
      </c>
      <c r="T159" s="72">
        <f ca="1">IF(AND(Energy!$F$11=$A$3,Main!$B$43=A159),'Aerodynamics-Cruise'!BL36,T159)</f>
        <v>24.078959208370872</v>
      </c>
      <c r="U159" s="72">
        <f ca="1">IF(AND(Energy!$F$11=$A$3,Main!$B$43=A159),'Propulsion-Cruise'!M36,U159)</f>
        <v>55.031052413003145</v>
      </c>
      <c r="V159" s="72">
        <f ca="1">IF(AND(Energy!$F$11=$A$3,Main!$B$43=A159),Endurance!AP36,V159)</f>
        <v>547.74484086779853</v>
      </c>
      <c r="W159" s="72">
        <f ca="1">IF(AND(Energy!$F$11=$A$3,Main!$B$43=$A159),Summary!W36,W159)</f>
        <v>2.2643274853801167</v>
      </c>
      <c r="X159" s="13">
        <f ca="1">IF(AND(Energy!$F$11=$A$3,Main!$B$43=A159),Energy!D36,X159)</f>
        <v>1182.0301388888888</v>
      </c>
      <c r="Y159" s="126">
        <f ca="1">IF(AND(Energy!$F$11=$A$3,Main!$B$43=A159),'Aerodynamics-Cruise'!V36,Y159)</f>
        <v>170204.39420560285</v>
      </c>
      <c r="Z159" s="126">
        <f ca="1">IF(AND(Energy!$F$11=$A$3,Main!$B$43=$A159),Summary!Z36,Z159)</f>
        <v>127016.39831001588</v>
      </c>
      <c r="AA159" s="126">
        <f ca="1">IF(AND(Energy!$F$11=$A$3,Main!$B$43=$A159),Summary!AA36,AA159)</f>
        <v>127016.39831001588</v>
      </c>
      <c r="AB159" s="72">
        <f ca="1">IF(AND(Energy!$F$11=$A$3,Main!$B$43=$A159),Summary!AB36,AB159)</f>
        <v>3.9350229983564993</v>
      </c>
      <c r="AC159" s="72">
        <f ca="1">IF(AND(Energy!$F$11=$A$3,Main!$B$43=$A159),Summary!AC36,AC159)</f>
        <v>1.7577058007333002</v>
      </c>
      <c r="AD159" s="72">
        <f ca="1">IF(AND(Energy!$F$11=$A$3,Main!$B$43=$A159),Summary!AD36,AD159)</f>
        <v>0.42129654953326634</v>
      </c>
      <c r="AE159" s="72">
        <f ca="1">IF(AND(Energy!$F$11=$A$3,Main!$B$43=$A159),Summary!AE36,AE159)</f>
        <v>2.2643274853801167</v>
      </c>
      <c r="AF159" s="72">
        <f ca="1">IF(AND(Energy!$F$11=$A$3,Main!$B$43=$A159),Summary!AF36,AF159)</f>
        <v>17.911184210526322</v>
      </c>
      <c r="AG159" s="72">
        <f ca="1">IF(AND(Energy!$F$11=$A$3,Main!$B$43=$A159),Summary!AG36,AG159)</f>
        <v>11.549540896736195</v>
      </c>
      <c r="AH159" s="72">
        <f ca="1">IF(AND(Energy!$F$11=$A$3,Main!$B$43=$A159),Summary!AH36,AH159)</f>
        <v>47</v>
      </c>
      <c r="AI159" s="72">
        <f ca="1">IF(AND(Energy!$F$11=$A$3,Main!$B$43=$A159),Summary!AI36,AI159)</f>
        <v>2.7633712901262948</v>
      </c>
      <c r="AJ159" s="72">
        <f ca="1">IF(AND(Energy!$F$11=$A$3,Main!$B$43=$A159),Summary!AJ36,AJ159)</f>
        <v>0.23215385906737751</v>
      </c>
      <c r="AK159" s="72">
        <f ca="1">IF(AND(Energy!$F$11=$A$3,Main!$B$43=$A159),Summary!AK36,AK159)</f>
        <v>0.01</v>
      </c>
      <c r="AL159" s="72">
        <f ca="1">IF(AND(Energy!$F$11=$A$3,Main!$B$43=$A159),Summary!AL36,AL159)</f>
        <v>-0.53843493041955337</v>
      </c>
      <c r="AM159" s="72">
        <f ca="1">IF(AND(Energy!$F$11=$A$3,Main!$B$43=$A159),Summary!AJ176,AM159)</f>
        <v>0</v>
      </c>
    </row>
    <row r="160" spans="1:39">
      <c r="A160">
        <f t="shared" si="12"/>
        <v>8</v>
      </c>
      <c r="D160" s="1">
        <f ca="1">IF(AND(Energy!$F$11=$A$3,Main!$B$43=A160),Main!C37,D160)</f>
        <v>6.526315789473685</v>
      </c>
      <c r="E160" s="72">
        <f ca="1">IF(AND(Energy!$F$11=$A$3,Main!$B$43=A160),Main!B37,E160)</f>
        <v>0.35555555555555546</v>
      </c>
      <c r="F160" s="72">
        <f ca="1">IF(Main!$D$6=1,U160,IF(Main!$D$6=2,N160,IF(Main!$D$6=3,K160,IF(Main!$D$6=4,V160,J160))))</f>
        <v>550.14325426546407</v>
      </c>
      <c r="G160" s="72">
        <f ca="1">IF(AND(Energy!$F$11=$A$3,Main!$B$43=A160),Weight!H37,G160)</f>
        <v>15</v>
      </c>
      <c r="H160" s="72">
        <f ca="1">IF(AND(Energy!$F$11=$A$3,Main!$B$43=A160),Weight!U37,H160)</f>
        <v>27.317288813382646</v>
      </c>
      <c r="I160" s="72">
        <f ca="1">IF(AND(Energy!$F$11=$A$3,Main!$B$43=A160),Weight!V37,I160)</f>
        <v>55.745329516507653</v>
      </c>
      <c r="J160" s="72">
        <f ca="1">IF(AND(Energy!$F$11=$A$3,Main!$B$43=A160),Weight!I37,J160)</f>
        <v>23.490392428125002</v>
      </c>
      <c r="K160" s="72">
        <f ca="1">IF(AND(Energy!$F$11=$A$3,Main!$B$43=A160),Weight!W37,K160)</f>
        <v>70.745329516507653</v>
      </c>
      <c r="L160" s="72">
        <f ca="1">IF(AND(Energy!$F$11=$A$3,Main!$B$43=A160),'Aerodynamics-Cruise'!BI37,L160)</f>
        <v>70.745329516507667</v>
      </c>
      <c r="M160" s="72">
        <f ca="1">IF(AND(Energy!$F$11=$A$3,Main!$B$43=A160),'Aerodynamics-Cruise'!BJ37,M160)</f>
        <v>3.2062471242111696</v>
      </c>
      <c r="N160" s="72">
        <f ca="1">IF(AND(Energy!$F$11=$A$3,Main!$B$43=A160),'Aerodynamics-Cruise'!BK37,N160)</f>
        <v>22.064839912772811</v>
      </c>
      <c r="O160" s="72">
        <f t="shared" ca="1" si="11"/>
        <v>185.58790434263747</v>
      </c>
      <c r="P160" s="72">
        <f ca="1">IF(AND(Energy!$F$11=$A$3,Main!$B$43=A160),'Aerodynamics-Cruise'!H37,P160)</f>
        <v>7.4999100919011328</v>
      </c>
      <c r="Q160" s="72">
        <f ca="1">IF(AND(Energy!$F$11=$A$3,Main!$B$43=A160),'Aerodynamics-Cruise'!I37,Q160)</f>
        <v>6.3179805470610031</v>
      </c>
      <c r="R160" s="72">
        <f ca="1">IF(AND(Energy!$F$11=$A$3,Main!$B$43=$A160),Summary!R37,R160)</f>
        <v>3.9332892485107829</v>
      </c>
      <c r="S160" s="72">
        <f ca="1">IF(AND(Energy!$F$11=$A$3,Main!$B$43=A160),'Aerodynamics-Cruise'!W37,S160)</f>
        <v>1</v>
      </c>
      <c r="T160" s="72">
        <f ca="1">IF(AND(Energy!$F$11=$A$3,Main!$B$43=A160),'Aerodynamics-Cruise'!BL37,T160)</f>
        <v>24.046565164000334</v>
      </c>
      <c r="U160" s="72">
        <f ca="1">IF(AND(Energy!$F$11=$A$3,Main!$B$43=A160),'Propulsion-Cruise'!M37,U160)</f>
        <v>55.109897949158231</v>
      </c>
      <c r="V160" s="72">
        <f ca="1">IF(AND(Energy!$F$11=$A$3,Main!$B$43=A160),Endurance!AP37,V160)</f>
        <v>550.14325426546407</v>
      </c>
      <c r="W160" s="72">
        <f ca="1">IF(AND(Energy!$F$11=$A$3,Main!$B$43=$A160),Summary!W37,W160)</f>
        <v>2.3204678362573095</v>
      </c>
      <c r="X160" s="13">
        <f ca="1">IF(AND(Energy!$F$11=$A$3,Main!$B$43=A160),Energy!D37,X160)</f>
        <v>1182.0301388888888</v>
      </c>
      <c r="Y160" s="126">
        <f ca="1">IF(AND(Energy!$F$11=$A$3,Main!$B$43=A160),'Aerodynamics-Cruise'!V37,Y160)</f>
        <v>169125.38700143172</v>
      </c>
      <c r="Z160" s="126">
        <f ca="1">IF(AND(Energy!$F$11=$A$3,Main!$B$43=$A160),Summary!Z37,Z160)</f>
        <v>126242.96926306098</v>
      </c>
      <c r="AA160" s="126">
        <f ca="1">IF(AND(Energy!$F$11=$A$3,Main!$B$43=$A160),Summary!AA37,AA160)</f>
        <v>126242.96926306098</v>
      </c>
      <c r="AB160" s="72">
        <f ca="1">IF(AND(Energy!$F$11=$A$3,Main!$B$43=$A160),Summary!AB37,AB160)</f>
        <v>3.9332892485107829</v>
      </c>
      <c r="AC160" s="72">
        <f ca="1">IF(AND(Energy!$F$11=$A$3,Main!$B$43=$A160),Summary!AC37,AC160)</f>
        <v>1.726686499703407</v>
      </c>
      <c r="AD160" s="72">
        <f ca="1">IF(AND(Energy!$F$11=$A$3,Main!$B$43=$A160),Summary!AD37,AD160)</f>
        <v>0.42084705374453779</v>
      </c>
      <c r="AE160" s="72">
        <f ca="1">IF(AND(Energy!$F$11=$A$3,Main!$B$43=$A160),Summary!AE37,AE160)</f>
        <v>2.3204678362573095</v>
      </c>
      <c r="AF160" s="72">
        <f ca="1">IF(AND(Energy!$F$11=$A$3,Main!$B$43=$A160),Summary!AF37,AF160)</f>
        <v>18.355263157894743</v>
      </c>
      <c r="AG160" s="72">
        <f ca="1">IF(AND(Energy!$F$11=$A$3,Main!$B$43=$A160),Summary!AG37,AG160)</f>
        <v>11.566520479022708</v>
      </c>
      <c r="AH160" s="72">
        <f ca="1">IF(AND(Energy!$F$11=$A$3,Main!$B$43=$A160),Summary!AH37,AH160)</f>
        <v>47</v>
      </c>
      <c r="AI160" s="72">
        <f ca="1">IF(AND(Energy!$F$11=$A$3,Main!$B$43=$A160),Summary!AI37,AI160)</f>
        <v>2.7619233193681074</v>
      </c>
      <c r="AJ160" s="72">
        <f ca="1">IF(AND(Energy!$F$11=$A$3,Main!$B$43=$A160),Summary!AJ37,AJ160)</f>
        <v>0.23253269707334018</v>
      </c>
      <c r="AK160" s="72">
        <f ca="1">IF(AND(Energy!$F$11=$A$3,Main!$B$43=$A160),Summary!AK37,AK160)</f>
        <v>0.01</v>
      </c>
      <c r="AL160" s="72">
        <f ca="1">IF(AND(Energy!$F$11=$A$3,Main!$B$43=$A160),Summary!AL37,AL160)</f>
        <v>-0.5375575511420615</v>
      </c>
      <c r="AM160" s="72">
        <f ca="1">IF(AND(Energy!$F$11=$A$3,Main!$B$43=$A160),Summary!AJ177,AM160)</f>
        <v>0</v>
      </c>
    </row>
    <row r="161" spans="1:39">
      <c r="A161">
        <f t="shared" si="12"/>
        <v>8</v>
      </c>
      <c r="D161" s="1">
        <f ca="1">IF(AND(Energy!$F$11=$A$3,Main!$B$43=A161),Main!C38,D161)</f>
        <v>6.6842105263157903</v>
      </c>
      <c r="E161" s="72">
        <f ca="1">IF(AND(Energy!$F$11=$A$3,Main!$B$43=A161),Main!B38,E161)</f>
        <v>0.35555555555555546</v>
      </c>
      <c r="F161" s="72">
        <f ca="1">IF(Main!$D$6=1,U161,IF(Main!$D$6=2,N161,IF(Main!$D$6=3,K161,IF(Main!$D$6=4,V161,J161))))</f>
        <v>552.8635666305405</v>
      </c>
      <c r="G161" s="72">
        <f ca="1">IF(AND(Energy!$F$11=$A$3,Main!$B$43=A161),Weight!H38,G161)</f>
        <v>15</v>
      </c>
      <c r="H161" s="72">
        <f ca="1">IF(AND(Energy!$F$11=$A$3,Main!$B$43=A161),Weight!U38,H161)</f>
        <v>28.161612710485755</v>
      </c>
      <c r="I161" s="72">
        <f ca="1">IF(AND(Energy!$F$11=$A$3,Main!$B$43=A161),Weight!V38,I161)</f>
        <v>56.589653413610762</v>
      </c>
      <c r="J161" s="72">
        <f ca="1">IF(AND(Energy!$F$11=$A$3,Main!$B$43=A161),Weight!I38,J161)</f>
        <v>23.490392428125002</v>
      </c>
      <c r="K161" s="72">
        <f ca="1">IF(AND(Energy!$F$11=$A$3,Main!$B$43=A161),Weight!W38,K161)</f>
        <v>71.589653413610762</v>
      </c>
      <c r="L161" s="72">
        <f ca="1">IF(AND(Energy!$F$11=$A$3,Main!$B$43=A161),'Aerodynamics-Cruise'!BI38,L161)</f>
        <v>71.589653413610776</v>
      </c>
      <c r="M161" s="72">
        <f ca="1">IF(AND(Energy!$F$11=$A$3,Main!$B$43=A161),'Aerodynamics-Cruise'!BJ38,M161)</f>
        <v>3.2235551215635421</v>
      </c>
      <c r="N161" s="72">
        <f ca="1">IF(AND(Energy!$F$11=$A$3,Main!$B$43=A161),'Aerodynamics-Cruise'!BK38,N161)</f>
        <v>22.208291998707061</v>
      </c>
      <c r="O161" s="72">
        <f t="shared" ca="1" si="11"/>
        <v>187.9058447653837</v>
      </c>
      <c r="P161" s="72">
        <f ca="1">IF(AND(Energy!$F$11=$A$3,Main!$B$43=A161),'Aerodynamics-Cruise'!H38,P161)</f>
        <v>7.4548639162852863</v>
      </c>
      <c r="Q161" s="72">
        <f ca="1">IF(AND(Energy!$F$11=$A$3,Main!$B$43=A161),'Aerodynamics-Cruise'!I38,Q161)</f>
        <v>6.2815920691395633</v>
      </c>
      <c r="R161" s="72">
        <f ca="1">IF(AND(Energy!$F$11=$A$3,Main!$B$43=$A161),Summary!R38,R161)</f>
        <v>3.9345495670440909</v>
      </c>
      <c r="S161" s="72">
        <f ca="1">IF(AND(Energy!$F$11=$A$3,Main!$B$43=A161),'Aerodynamics-Cruise'!W38,S161)</f>
        <v>1</v>
      </c>
      <c r="T161" s="72">
        <f ca="1">IF(AND(Energy!$F$11=$A$3,Main!$B$43=A161),'Aerodynamics-Cruise'!BL38,T161)</f>
        <v>24.03116475790068</v>
      </c>
      <c r="U161" s="72">
        <f ca="1">IF(AND(Energy!$F$11=$A$3,Main!$B$43=A161),'Propulsion-Cruise'!M38,U161)</f>
        <v>55.222905072315804</v>
      </c>
      <c r="V161" s="72">
        <f ca="1">IF(AND(Energy!$F$11=$A$3,Main!$B$43=A161),Endurance!AP38,V161)</f>
        <v>552.8635666305405</v>
      </c>
      <c r="W161" s="72">
        <f ca="1">IF(AND(Energy!$F$11=$A$3,Main!$B$43=$A161),Summary!W38,W161)</f>
        <v>2.3766081871345026</v>
      </c>
      <c r="X161" s="13">
        <f ca="1">IF(AND(Energy!$F$11=$A$3,Main!$B$43=A161),Energy!D38,X161)</f>
        <v>1182.0301388888888</v>
      </c>
      <c r="Y161" s="126">
        <f ca="1">IF(AND(Energy!$F$11=$A$3,Main!$B$43=A161),'Aerodynamics-Cruise'!V38,Y161)</f>
        <v>168109.58123968114</v>
      </c>
      <c r="Z161" s="126">
        <f ca="1">IF(AND(Energy!$F$11=$A$3,Main!$B$43=$A161),Summary!Z38,Z161)</f>
        <v>125514.65618804537</v>
      </c>
      <c r="AA161" s="126">
        <f ca="1">IF(AND(Energy!$F$11=$A$3,Main!$B$43=$A161),Summary!AA38,AA161)</f>
        <v>125514.65618804537</v>
      </c>
      <c r="AB161" s="72">
        <f ca="1">IF(AND(Energy!$F$11=$A$3,Main!$B$43=$A161),Summary!AB38,AB161)</f>
        <v>3.9345495670440909</v>
      </c>
      <c r="AC161" s="72">
        <f ca="1">IF(AND(Energy!$F$11=$A$3,Main!$B$43=$A161),Summary!AC38,AC161)</f>
        <v>1.6963788701267557</v>
      </c>
      <c r="AD161" s="72">
        <f ca="1">IF(AND(Energy!$F$11=$A$3,Main!$B$43=$A161),Summary!AD38,AD161)</f>
        <v>0.42051978935843992</v>
      </c>
      <c r="AE161" s="72">
        <f ca="1">IF(AND(Energy!$F$11=$A$3,Main!$B$43=$A161),Summary!AE38,AE161)</f>
        <v>2.3766081871345026</v>
      </c>
      <c r="AF161" s="72">
        <f ca="1">IF(AND(Energy!$F$11=$A$3,Main!$B$43=$A161),Summary!AF38,AF161)</f>
        <v>18.799342105263165</v>
      </c>
      <c r="AG161" s="72">
        <f ca="1">IF(AND(Energy!$F$11=$A$3,Main!$B$43=$A161),Summary!AG38,AG161)</f>
        <v>11.587602950856571</v>
      </c>
      <c r="AH161" s="72">
        <f ca="1">IF(AND(Energy!$F$11=$A$3,Main!$B$43=$A161),Summary!AH38,AH161)</f>
        <v>47</v>
      </c>
      <c r="AI161" s="72">
        <f ca="1">IF(AND(Energy!$F$11=$A$3,Main!$B$43=$A161),Summary!AI38,AI161)</f>
        <v>2.7605527632431652</v>
      </c>
      <c r="AJ161" s="72">
        <f ca="1">IF(AND(Energy!$F$11=$A$3,Main!$B$43=$A161),Summary!AJ38,AJ161)</f>
        <v>0.23289040905032304</v>
      </c>
      <c r="AK161" s="72">
        <f ca="1">IF(AND(Energy!$F$11=$A$3,Main!$B$43=$A161),Summary!AK38,AK161)</f>
        <v>0.01</v>
      </c>
      <c r="AL161" s="72">
        <f ca="1">IF(AND(Energy!$F$11=$A$3,Main!$B$43=$A161),Summary!AL38,AL161)</f>
        <v>-0.53673171123869257</v>
      </c>
      <c r="AM161" s="72">
        <f ca="1">IF(AND(Energy!$F$11=$A$3,Main!$B$43=$A161),Summary!AJ178,AM161)</f>
        <v>0</v>
      </c>
    </row>
    <row r="162" spans="1:39">
      <c r="A162">
        <f t="shared" si="12"/>
        <v>8</v>
      </c>
      <c r="D162" s="1">
        <f ca="1">IF(AND(Energy!$F$11=$A$3,Main!$B$43=A162),Main!C39,D162)</f>
        <v>6.8421052631578956</v>
      </c>
      <c r="E162" s="72">
        <f ca="1">IF(AND(Energy!$F$11=$A$3,Main!$B$43=A162),Main!B39,E162)</f>
        <v>0.35555555555555546</v>
      </c>
      <c r="F162" s="72">
        <f ca="1">IF(Main!$D$6=1,U162,IF(Main!$D$6=2,N162,IF(Main!$D$6=3,K162,IF(Main!$D$6=4,V162,J162))))</f>
        <v>556.04080240057522</v>
      </c>
      <c r="G162" s="72">
        <f ca="1">IF(AND(Energy!$F$11=$A$3,Main!$B$43=A162),Weight!H39,G162)</f>
        <v>15</v>
      </c>
      <c r="H162" s="72">
        <f ca="1">IF(AND(Energy!$F$11=$A$3,Main!$B$43=A162),Weight!U39,H162)</f>
        <v>29.021976966218972</v>
      </c>
      <c r="I162" s="72">
        <f ca="1">IF(AND(Energy!$F$11=$A$3,Main!$B$43=A162),Weight!V39,I162)</f>
        <v>57.450017669343978</v>
      </c>
      <c r="J162" s="72">
        <f ca="1">IF(AND(Energy!$F$11=$A$3,Main!$B$43=A162),Weight!I39,J162)</f>
        <v>23.490392428125002</v>
      </c>
      <c r="K162" s="72">
        <f ca="1">IF(AND(Energy!$F$11=$A$3,Main!$B$43=A162),Weight!W39,K162)</f>
        <v>72.450017669343978</v>
      </c>
      <c r="L162" s="72">
        <f ca="1">IF(AND(Energy!$F$11=$A$3,Main!$B$43=A162),'Aerodynamics-Cruise'!BI39,L162)</f>
        <v>72.450017669343978</v>
      </c>
      <c r="M162" s="72">
        <f ca="1">IF(AND(Energy!$F$11=$A$3,Main!$B$43=A162),'Aerodynamics-Cruise'!BJ39,M162)</f>
        <v>3.2420718808115683</v>
      </c>
      <c r="N162" s="72">
        <f ca="1">IF(AND(Energy!$F$11=$A$3,Main!$B$43=A162),'Aerodynamics-Cruise'!BK39,N162)</f>
        <v>22.346826453214852</v>
      </c>
      <c r="O162" s="72">
        <f t="shared" ca="1" si="11"/>
        <v>190.21077019857356</v>
      </c>
      <c r="P162" s="72">
        <f ca="1">IF(AND(Energy!$F$11=$A$3,Main!$B$43=A162),'Aerodynamics-Cruise'!H39,P162)</f>
        <v>7.4124634856035163</v>
      </c>
      <c r="Q162" s="72">
        <f ca="1">IF(AND(Energy!$F$11=$A$3,Main!$B$43=A162),'Aerodynamics-Cruise'!I39,Q162)</f>
        <v>6.2473322168582692</v>
      </c>
      <c r="R162" s="72">
        <f ca="1">IF(AND(Energy!$F$11=$A$3,Main!$B$43=$A162),Summary!R39,R162)</f>
        <v>3.9386788028808732</v>
      </c>
      <c r="S162" s="72">
        <f ca="1">IF(AND(Energy!$F$11=$A$3,Main!$B$43=A162),'Aerodynamics-Cruise'!W39,S162)</f>
        <v>1</v>
      </c>
      <c r="T162" s="72">
        <f ca="1">IF(AND(Energy!$F$11=$A$3,Main!$B$43=A162),'Aerodynamics-Cruise'!BL39,T162)</f>
        <v>24.031739434217666</v>
      </c>
      <c r="U162" s="72">
        <f ca="1">IF(AND(Energy!$F$11=$A$3,Main!$B$43=A162),'Propulsion-Cruise'!M39,U162)</f>
        <v>55.368236368167729</v>
      </c>
      <c r="V162" s="72">
        <f ca="1">IF(AND(Energy!$F$11=$A$3,Main!$B$43=A162),Endurance!AP39,V162)</f>
        <v>556.04080240057522</v>
      </c>
      <c r="W162" s="72">
        <f ca="1">IF(AND(Energy!$F$11=$A$3,Main!$B$43=$A162),Summary!W39,W162)</f>
        <v>2.4327485380116953</v>
      </c>
      <c r="X162" s="13">
        <f ca="1">IF(AND(Energy!$F$11=$A$3,Main!$B$43=A162),Energy!D39,X162)</f>
        <v>1182.0301388888888</v>
      </c>
      <c r="Y162" s="126">
        <f ca="1">IF(AND(Energy!$F$11=$A$3,Main!$B$43=A162),'Aerodynamics-Cruise'!V39,Y162)</f>
        <v>167153.43787793268</v>
      </c>
      <c r="Z162" s="126">
        <f ca="1">IF(AND(Energy!$F$11=$A$3,Main!$B$43=$A162),Summary!Z39,Z162)</f>
        <v>124828.95416113939</v>
      </c>
      <c r="AA162" s="126">
        <f ca="1">IF(AND(Energy!$F$11=$A$3,Main!$B$43=$A162),Summary!AA39,AA162)</f>
        <v>124828.95416113939</v>
      </c>
      <c r="AB162" s="72">
        <f ca="1">IF(AND(Energy!$F$11=$A$3,Main!$B$43=$A162),Summary!AB39,AB162)</f>
        <v>3.9386788028808732</v>
      </c>
      <c r="AC162" s="72">
        <f ca="1">IF(AND(Energy!$F$11=$A$3,Main!$B$43=$A162),Summary!AC39,AC162)</f>
        <v>1.6667573154030426</v>
      </c>
      <c r="AD162" s="72">
        <f ca="1">IF(AND(Energy!$F$11=$A$3,Main!$B$43=$A162),Summary!AD39,AD162)</f>
        <v>0.4203079705503831</v>
      </c>
      <c r="AE162" s="72">
        <f ca="1">IF(AND(Energy!$F$11=$A$3,Main!$B$43=$A162),Summary!AE39,AE162)</f>
        <v>2.4327485380116953</v>
      </c>
      <c r="AF162" s="72">
        <f ca="1">IF(AND(Energy!$F$11=$A$3,Main!$B$43=$A162),Summary!AF39,AF162)</f>
        <v>19.243421052631589</v>
      </c>
      <c r="AG162" s="72">
        <f ca="1">IF(AND(Energy!$F$11=$A$3,Main!$B$43=$A162),Summary!AG39,AG162)</f>
        <v>11.612561565420599</v>
      </c>
      <c r="AH162" s="72">
        <f ca="1">IF(AND(Energy!$F$11=$A$3,Main!$B$43=$A162),Summary!AH39,AH162)</f>
        <v>47</v>
      </c>
      <c r="AI162" s="72">
        <f ca="1">IF(AND(Energy!$F$11=$A$3,Main!$B$43=$A162),Summary!AI39,AI162)</f>
        <v>2.7592560467340719</v>
      </c>
      <c r="AJ162" s="72">
        <f ca="1">IF(AND(Energy!$F$11=$A$3,Main!$B$43=$A162),Summary!AJ39,AJ162)</f>
        <v>0.23322816270432259</v>
      </c>
      <c r="AK162" s="72">
        <f ca="1">IF(AND(Energy!$F$11=$A$3,Main!$B$43=$A162),Summary!AK39,AK162)</f>
        <v>0.01</v>
      </c>
      <c r="AL162" s="72">
        <f ca="1">IF(AND(Energy!$F$11=$A$3,Main!$B$43=$A162),Summary!AL39,AL162)</f>
        <v>-0.53595426576797689</v>
      </c>
      <c r="AM162" s="72">
        <f ca="1">IF(AND(Energy!$F$11=$A$3,Main!$B$43=$A162),Summary!AJ179,AM162)</f>
        <v>0</v>
      </c>
    </row>
    <row r="163" spans="1:39">
      <c r="A163">
        <f t="shared" si="12"/>
        <v>8</v>
      </c>
      <c r="D163" s="1">
        <f ca="1">IF(AND(Energy!$F$11=$A$3,Main!$B$43=A163),Main!C40,D163)</f>
        <v>7</v>
      </c>
      <c r="E163" s="72">
        <f ca="1">IF(AND(Energy!$F$11=$A$3,Main!$B$43=A163),Main!B40,E163)</f>
        <v>0.35555555555555546</v>
      </c>
      <c r="F163" s="72">
        <f ca="1">IF(Main!$D$6=1,U163,IF(Main!$D$6=2,N163,IF(Main!$D$6=3,K163,IF(Main!$D$6=4,V163,J163))))</f>
        <v>562.70822238446306</v>
      </c>
      <c r="G163" s="72">
        <f ca="1">IF(AND(Energy!$F$11=$A$3,Main!$B$43=A163),Weight!H40,G163)</f>
        <v>15</v>
      </c>
      <c r="H163" s="72">
        <f ca="1">IF(AND(Energy!$F$11=$A$3,Main!$B$43=A163),Weight!U40,H163)</f>
        <v>29.898553088841084</v>
      </c>
      <c r="I163" s="72">
        <f ca="1">IF(AND(Energy!$F$11=$A$3,Main!$B$43=A163),Weight!V40,I163)</f>
        <v>58.32659379196609</v>
      </c>
      <c r="J163" s="72">
        <f ca="1">IF(AND(Energy!$F$11=$A$3,Main!$B$43=A163),Weight!I40,J163)</f>
        <v>23.490392428125002</v>
      </c>
      <c r="K163" s="72">
        <f ca="1">IF(AND(Energy!$F$11=$A$3,Main!$B$43=A163),Weight!W40,K163)</f>
        <v>73.32659379196609</v>
      </c>
      <c r="L163" s="72">
        <f ca="1">IF(AND(Energy!$F$11=$A$3,Main!$B$43=A163),'Aerodynamics-Cruise'!BI40,L163)</f>
        <v>73.32659379196609</v>
      </c>
      <c r="M163" s="72">
        <f ca="1">IF(AND(Energy!$F$11=$A$3,Main!$B$43=A163),'Aerodynamics-Cruise'!BJ40,M163)</f>
        <v>3.2617385723881278</v>
      </c>
      <c r="N163" s="72">
        <f ca="1">IF(AND(Energy!$F$11=$A$3,Main!$B$43=A163),'Aerodynamics-Cruise'!BK40,N163)</f>
        <v>22.480831055163012</v>
      </c>
      <c r="O163" s="72">
        <f t="shared" ca="1" si="11"/>
        <v>192.50548913345054</v>
      </c>
      <c r="P163" s="72">
        <f ca="1">IF(AND(Energy!$F$11=$A$3,Main!$B$43=A163),'Aerodynamics-Cruise'!H40,P163)</f>
        <v>7.3725643603079103</v>
      </c>
      <c r="Q163" s="72">
        <f ca="1">IF(AND(Energy!$F$11=$A$3,Main!$B$43=A163),'Aerodynamics-Cruise'!I40,Q163)</f>
        <v>6.2150857926393925</v>
      </c>
      <c r="R163" s="72">
        <f ca="1">IF(AND(Energy!$F$11=$A$3,Main!$B$43=$A163),Summary!R40,R163)</f>
        <v>3.9455658264482008</v>
      </c>
      <c r="S163" s="72">
        <f ca="1">IF(AND(Energy!$F$11=$A$3,Main!$B$43=A163),'Aerodynamics-Cruise'!W40,S163)</f>
        <v>1</v>
      </c>
      <c r="T163" s="72">
        <f ca="1">IF(AND(Energy!$F$11=$A$3,Main!$B$43=A163),'Aerodynamics-Cruise'!BL40,T163)</f>
        <v>24.047377551430316</v>
      </c>
      <c r="U163" s="72">
        <f ca="1">IF(AND(Energy!$F$11=$A$3,Main!$B$43=A163),'Propulsion-Cruise'!M40,U163)</f>
        <v>55.544249301629598</v>
      </c>
      <c r="V163" s="72">
        <f ca="1">IF(AND(Energy!$F$11=$A$3,Main!$B$43=A163),Endurance!AP40,V163)</f>
        <v>562.70822238446306</v>
      </c>
      <c r="W163" s="72">
        <f ca="1">IF(AND(Energy!$F$11=$A$3,Main!$B$43=$A163),Summary!W40,W163)</f>
        <v>2.488888888888888</v>
      </c>
      <c r="X163" s="13">
        <f ca="1">IF(AND(Energy!$F$11=$A$3,Main!$B$43=A163),Energy!D40,X163)</f>
        <v>1182.0301388888888</v>
      </c>
      <c r="Y163" s="126">
        <f ca="1">IF(AND(Energy!$F$11=$A$3,Main!$B$43=A163),'Aerodynamics-Cruise'!V40,Y163)</f>
        <v>166253.69975788175</v>
      </c>
      <c r="Z163" s="126">
        <f ca="1">IF(AND(Energy!$F$11=$A$3,Main!$B$43=$A163),Summary!Z40,Z163)</f>
        <v>124183.55635186164</v>
      </c>
      <c r="AA163" s="126">
        <f ca="1">IF(AND(Energy!$F$11=$A$3,Main!$B$43=$A163),Summary!AA40,AA163)</f>
        <v>124183.55635186164</v>
      </c>
      <c r="AB163" s="72">
        <f ca="1">IF(AND(Energy!$F$11=$A$3,Main!$B$43=$A163),Summary!AB40,AB163)</f>
        <v>3.9455658264482008</v>
      </c>
      <c r="AC163" s="72">
        <f ca="1">IF(AND(Energy!$F$11=$A$3,Main!$B$43=$A163),Summary!AC40,AC163)</f>
        <v>1.6377974789566685</v>
      </c>
      <c r="AD163" s="72">
        <f ca="1">IF(AND(Energy!$F$11=$A$3,Main!$B$43=$A163),Summary!AD40,AD163)</f>
        <v>0.420205380132053</v>
      </c>
      <c r="AE163" s="72">
        <f ca="1">IF(AND(Energy!$F$11=$A$3,Main!$B$43=$A163),Summary!AE40,AE163)</f>
        <v>2.488888888888888</v>
      </c>
      <c r="AF163" s="72">
        <f ca="1">IF(AND(Energy!$F$11=$A$3,Main!$B$43=$A163),Summary!AF40,AF163)</f>
        <v>19.687500000000007</v>
      </c>
      <c r="AG163" s="72">
        <f ca="1">IF(AND(Energy!$F$11=$A$3,Main!$B$43=$A163),Summary!AG40,AG163)</f>
        <v>11.641191268495826</v>
      </c>
      <c r="AH163" s="72">
        <f ca="1">IF(AND(Energy!$F$11=$A$3,Main!$B$43=$A163),Summary!AH40,AH163)</f>
        <v>47</v>
      </c>
      <c r="AI163" s="72">
        <f ca="1">IF(AND(Energy!$F$11=$A$3,Main!$B$43=$A163),Summary!AI40,AI163)</f>
        <v>2.7580298383715602</v>
      </c>
      <c r="AJ163" s="72">
        <f ca="1">IF(AND(Energy!$F$11=$A$3,Main!$B$43=$A163),Summary!AJ40,AJ163)</f>
        <v>0.23354703114230033</v>
      </c>
      <c r="AK163" s="72">
        <f ca="1">IF(AND(Energy!$F$11=$A$3,Main!$B$43=$A163),Summary!AK40,AK163)</f>
        <v>0.01</v>
      </c>
      <c r="AL163" s="72">
        <f ca="1">IF(AND(Energy!$F$11=$A$3,Main!$B$43=$A163),Summary!AL40,AL163)</f>
        <v>-0.53522234618405817</v>
      </c>
      <c r="AM163" s="72">
        <f ca="1">IF(AND(Energy!$F$11=$A$3,Main!$B$43=$A163),Summary!AJ180,AM163)</f>
        <v>0</v>
      </c>
    </row>
    <row r="164" spans="1:39">
      <c r="A164" s="7">
        <f>A144+1</f>
        <v>9</v>
      </c>
      <c r="D164" s="1">
        <f ca="1">IF(AND(Energy!$F$11=$A$3,Main!$B$43=A164),Main!C21,D164)</f>
        <v>4</v>
      </c>
      <c r="E164" s="72">
        <f ca="1">IF(AND(Energy!$F$11=$A$3,Main!$B$43=A164),Main!B21,E164)</f>
        <v>0.37777777777777766</v>
      </c>
      <c r="F164" s="72">
        <f ca="1">IF(Main!$D$6=1,U164,IF(Main!$D$6=2,N164,IF(Main!$D$6=3,K164,IF(Main!$D$6=4,V164,J164))))</f>
        <v>583.51943648662609</v>
      </c>
      <c r="G164" s="72">
        <f ca="1">IF(AND(Energy!$F$11=$A$3,Main!$B$43=A164),Weight!H21,G164)</f>
        <v>15</v>
      </c>
      <c r="H164" s="72">
        <f ca="1">IF(AND(Energy!$F$11=$A$3,Main!$B$43=A164),Weight!U21,H164)</f>
        <v>16.68264972831502</v>
      </c>
      <c r="I164" s="72">
        <f ca="1">IF(AND(Energy!$F$11=$A$3,Main!$B$43=A164),Weight!V21,I164)</f>
        <v>45.11069043144002</v>
      </c>
      <c r="J164" s="72">
        <f ca="1">IF(AND(Energy!$F$11=$A$3,Main!$B$43=A164),Weight!I21,J164)</f>
        <v>23.490392428125002</v>
      </c>
      <c r="K164" s="72">
        <f ca="1">IF(AND(Energy!$F$11=$A$3,Main!$B$43=A164),Weight!W21,K164)</f>
        <v>60.110690431440027</v>
      </c>
      <c r="L164" s="72">
        <f ca="1">IF(AND(Energy!$F$11=$A$3,Main!$B$43=A164),'Aerodynamics-Cruise'!BI21,L164)</f>
        <v>60.110690431440034</v>
      </c>
      <c r="M164" s="72">
        <f ca="1">IF(AND(Energy!$F$11=$A$3,Main!$B$43=A164),'Aerodynamics-Cruise'!BJ21,M164)</f>
        <v>3.2951871849688086</v>
      </c>
      <c r="N164" s="72">
        <f ca="1">IF(AND(Energy!$F$11=$A$3,Main!$B$43=A164),'Aerodynamics-Cruise'!BK21,N164)</f>
        <v>18.241965344378162</v>
      </c>
      <c r="O164" s="72">
        <f t="shared" ref="O164:O195" ca="1" si="13">L164^(3/2)/M164</f>
        <v>141.431935413736</v>
      </c>
      <c r="P164" s="72">
        <f ca="1">IF(AND(Energy!$F$11=$A$3,Main!$B$43=A164),'Aerodynamics-Cruise'!H21,P164)</f>
        <v>8.5749913002166966</v>
      </c>
      <c r="Q164" s="72">
        <f ca="1">IF(AND(Energy!$F$11=$A$3,Main!$B$43=A164),'Aerodynamics-Cruise'!I21,Q164)</f>
        <v>7.1600156268742436</v>
      </c>
      <c r="R164" s="72">
        <f ca="1">IF(AND(Energy!$F$11=$A$3,Main!$B$43=$A164),Summary!R21,R164)</f>
        <v>4.3147412122992099</v>
      </c>
      <c r="S164" s="72">
        <f ca="1">IF(AND(Energy!$F$11=$A$3,Main!$B$43=A164),'Aerodynamics-Cruise'!W21,S164)</f>
        <v>1</v>
      </c>
      <c r="T164" s="72">
        <f ca="1">IF(AND(Energy!$F$11=$A$3,Main!$B$43=A164),'Aerodynamics-Cruise'!BL21,T164)</f>
        <v>28.25620144369308</v>
      </c>
      <c r="U164" s="72">
        <f ca="1">IF(AND(Energy!$F$11=$A$3,Main!$B$43=A164),'Propulsion-Cruise'!M21,U164)</f>
        <v>61.55638411685652</v>
      </c>
      <c r="V164" s="72">
        <f ca="1">IF(AND(Energy!$F$11=$A$3,Main!$B$43=A164),Endurance!AP21,V164)</f>
        <v>583.51943648662609</v>
      </c>
      <c r="W164" s="72">
        <f ca="1">IF(AND(Energy!$F$11=$A$3,Main!$B$43=$A164),Summary!W21,W164)</f>
        <v>1.5111111111111106</v>
      </c>
      <c r="X164" s="13">
        <f ca="1">IF(AND(Energy!$F$11=$A$3,Main!$B$43=A164),Energy!D21,X164)</f>
        <v>1182.0301388888888</v>
      </c>
      <c r="Y164" s="126">
        <f ca="1">IF(AND(Energy!$F$11=$A$3,Main!$B$43=A164),'Aerodynamics-Cruise'!V21,Y164)</f>
        <v>205454.36524411777</v>
      </c>
      <c r="Z164" s="126">
        <f ca="1">IF(AND(Energy!$F$11=$A$3,Main!$B$43=$A164),Summary!Z21,Z164)</f>
        <v>152062.35703623077</v>
      </c>
      <c r="AA164" s="126">
        <f ca="1">IF(AND(Energy!$F$11=$A$3,Main!$B$43=$A164),Summary!AA21,AA164)</f>
        <v>152062.35703623077</v>
      </c>
      <c r="AB164" s="72">
        <f ca="1">IF(AND(Energy!$F$11=$A$3,Main!$B$43=$A164),Summary!AB21,AB164)</f>
        <v>4.3147412122992099</v>
      </c>
      <c r="AC164" s="72">
        <f ca="1">IF(AND(Energy!$F$11=$A$3,Main!$B$43=$A164),Summary!AC21,AC164)</f>
        <v>2.2425737625228144</v>
      </c>
      <c r="AD164" s="72">
        <f ca="1">IF(AND(Energy!$F$11=$A$3,Main!$B$43=$A164),Summary!AD21,AD164)</f>
        <v>0.45447125583371389</v>
      </c>
      <c r="AE164" s="72">
        <f ca="1">IF(AND(Energy!$F$11=$A$3,Main!$B$43=$A164),Summary!AE21,AE164)</f>
        <v>1.5111111111111106</v>
      </c>
      <c r="AF164" s="72">
        <f ca="1">IF(AND(Energy!$F$11=$A$3,Main!$B$43=$A164),Summary!AF21,AF164)</f>
        <v>10.58823529411765</v>
      </c>
      <c r="AG164" s="72">
        <f ca="1">IF(AND(Energy!$F$11=$A$3,Main!$B$43=$A164),Summary!AG21,AG164)</f>
        <v>12.253347288892352</v>
      </c>
      <c r="AH164" s="72">
        <f ca="1">IF(AND(Energy!$F$11=$A$3,Main!$B$43=$A164),Summary!AH21,AH164)</f>
        <v>47</v>
      </c>
      <c r="AI164" s="72">
        <f ca="1">IF(AND(Energy!$F$11=$A$3,Main!$B$43=$A164),Summary!AI21,AI164)</f>
        <v>2.8112243585961094</v>
      </c>
      <c r="AJ164" s="72">
        <f ca="1">IF(AND(Energy!$F$11=$A$3,Main!$B$43=$A164),Summary!AJ21,AJ164)</f>
        <v>0.22933937352337583</v>
      </c>
      <c r="AK164" s="72">
        <f ca="1">IF(AND(Energy!$F$11=$A$3,Main!$B$43=$A164),Summary!AK21,AK164)</f>
        <v>0.01</v>
      </c>
      <c r="AL164" s="72">
        <f ca="1">IF(AND(Energy!$F$11=$A$3,Main!$B$43=$A164),Summary!AL21,AL164)</f>
        <v>-0.5450661631860465</v>
      </c>
      <c r="AM164" s="72">
        <f ca="1">IF(AND(Energy!$F$11=$A$3,Main!$B$43=$A164),Summary!AJ181,AM164)</f>
        <v>0</v>
      </c>
    </row>
    <row r="165" spans="1:39">
      <c r="A165">
        <f t="shared" ref="A165:A183" si="14">A164</f>
        <v>9</v>
      </c>
      <c r="D165" s="1">
        <f ca="1">IF(AND(Energy!$F$11=$A$3,Main!$B$43=A165),Main!C22,D165)</f>
        <v>4.1578947368421053</v>
      </c>
      <c r="E165" s="72">
        <f ca="1">IF(AND(Energy!$F$11=$A$3,Main!$B$43=A165),Main!B22,E165)</f>
        <v>0.37777777777777766</v>
      </c>
      <c r="F165" s="72">
        <f ca="1">IF(Main!$D$6=1,U165,IF(Main!$D$6=2,N165,IF(Main!$D$6=3,K165,IF(Main!$D$6=4,V165,J165))))</f>
        <v>576.52770177778314</v>
      </c>
      <c r="G165" s="72">
        <f ca="1">IF(AND(Energy!$F$11=$A$3,Main!$B$43=A165),Weight!H22,G165)</f>
        <v>15</v>
      </c>
      <c r="H165" s="72">
        <f ca="1">IF(AND(Energy!$F$11=$A$3,Main!$B$43=A165),Weight!U22,H165)</f>
        <v>17.332632054325884</v>
      </c>
      <c r="I165" s="72">
        <f ca="1">IF(AND(Energy!$F$11=$A$3,Main!$B$43=A165),Weight!V22,I165)</f>
        <v>45.760672757450891</v>
      </c>
      <c r="J165" s="72">
        <f ca="1">IF(AND(Energy!$F$11=$A$3,Main!$B$43=A165),Weight!I22,J165)</f>
        <v>23.490392428125002</v>
      </c>
      <c r="K165" s="72">
        <f ca="1">IF(AND(Energy!$F$11=$A$3,Main!$B$43=A165),Weight!W22,K165)</f>
        <v>60.760672757450891</v>
      </c>
      <c r="L165" s="72">
        <f ca="1">IF(AND(Energy!$F$11=$A$3,Main!$B$43=A165),'Aerodynamics-Cruise'!BI22,L165)</f>
        <v>60.760672757450898</v>
      </c>
      <c r="M165" s="72">
        <f ca="1">IF(AND(Energy!$F$11=$A$3,Main!$B$43=A165),'Aerodynamics-Cruise'!BJ22,M165)</f>
        <v>3.2724468520770849</v>
      </c>
      <c r="N165" s="72">
        <f ca="1">IF(AND(Energy!$F$11=$A$3,Main!$B$43=A165),'Aerodynamics-Cruise'!BK22,N165)</f>
        <v>18.56735204695072</v>
      </c>
      <c r="O165" s="72">
        <f t="shared" ca="1" si="13"/>
        <v>144.73089870545789</v>
      </c>
      <c r="P165" s="72">
        <f ca="1">IF(AND(Energy!$F$11=$A$3,Main!$B$43=A165),'Aerodynamics-Cruise'!H22,P165)</f>
        <v>8.4558032685217057</v>
      </c>
      <c r="Q165" s="72">
        <f ca="1">IF(AND(Energy!$F$11=$A$3,Main!$B$43=A165),'Aerodynamics-Cruise'!I22,Q165)</f>
        <v>7.064630337035914</v>
      </c>
      <c r="R165" s="72">
        <f ca="1">IF(AND(Energy!$F$11=$A$3,Main!$B$43=$A165),Summary!R22,R165)</f>
        <v>4.2419123493042896</v>
      </c>
      <c r="S165" s="72">
        <f ca="1">IF(AND(Energy!$F$11=$A$3,Main!$B$43=A165),'Aerodynamics-Cruise'!W22,S165)</f>
        <v>1</v>
      </c>
      <c r="T165" s="72">
        <f ca="1">IF(AND(Energy!$F$11=$A$3,Main!$B$43=A165),'Aerodynamics-Cruise'!BL22,T165)</f>
        <v>27.671166787856983</v>
      </c>
      <c r="U165" s="72">
        <f ca="1">IF(AND(Energy!$F$11=$A$3,Main!$B$43=A165),'Propulsion-Cruise'!M22,U165)</f>
        <v>60.576525145036264</v>
      </c>
      <c r="V165" s="72">
        <f ca="1">IF(AND(Energy!$F$11=$A$3,Main!$B$43=A165),Endurance!AP22,V165)</f>
        <v>576.52770177778314</v>
      </c>
      <c r="W165" s="72">
        <f ca="1">IF(AND(Energy!$F$11=$A$3,Main!$B$43=$A165),Summary!W22,W165)</f>
        <v>1.5707602339181281</v>
      </c>
      <c r="X165" s="13">
        <f ca="1">IF(AND(Energy!$F$11=$A$3,Main!$B$43=A165),Energy!D22,X165)</f>
        <v>1182.0301388888888</v>
      </c>
      <c r="Y165" s="126">
        <f ca="1">IF(AND(Energy!$F$11=$A$3,Main!$B$43=A165),'Aerodynamics-Cruise'!V22,Y165)</f>
        <v>202598.65372917181</v>
      </c>
      <c r="Z165" s="126">
        <f ca="1">IF(AND(Energy!$F$11=$A$3,Main!$B$43=$A165),Summary!Z22,Z165)</f>
        <v>150033.16421399248</v>
      </c>
      <c r="AA165" s="126">
        <f ca="1">IF(AND(Energy!$F$11=$A$3,Main!$B$43=$A165),Summary!AA22,AA165)</f>
        <v>150033.16421399248</v>
      </c>
      <c r="AB165" s="72">
        <f ca="1">IF(AND(Energy!$F$11=$A$3,Main!$B$43=$A165),Summary!AB22,AB165)</f>
        <v>4.2419123493042896</v>
      </c>
      <c r="AC165" s="72">
        <f ca="1">IF(AND(Energy!$F$11=$A$3,Main!$B$43=$A165),Summary!AC22,AC165)</f>
        <v>2.1982285302479565</v>
      </c>
      <c r="AD165" s="72">
        <f ca="1">IF(AND(Energy!$F$11=$A$3,Main!$B$43=$A165),Summary!AD22,AD165)</f>
        <v>0.45063310954592978</v>
      </c>
      <c r="AE165" s="72">
        <f ca="1">IF(AND(Energy!$F$11=$A$3,Main!$B$43=$A165),Summary!AE22,AE165)</f>
        <v>1.5707602339181281</v>
      </c>
      <c r="AF165" s="72">
        <f ca="1">IF(AND(Energy!$F$11=$A$3,Main!$B$43=$A165),Summary!AF22,AF165)</f>
        <v>11.0061919504644</v>
      </c>
      <c r="AG165" s="72">
        <f ca="1">IF(AND(Energy!$F$11=$A$3,Main!$B$43=$A165),Summary!AG22,AG165)</f>
        <v>12.145623898897879</v>
      </c>
      <c r="AH165" s="72">
        <f ca="1">IF(AND(Energy!$F$11=$A$3,Main!$B$43=$A165),Summary!AH22,AH165)</f>
        <v>47</v>
      </c>
      <c r="AI165" s="72">
        <f ca="1">IF(AND(Energy!$F$11=$A$3,Main!$B$43=$A165),Summary!AI22,AI165)</f>
        <v>2.8079342087371568</v>
      </c>
      <c r="AJ165" s="72">
        <f ca="1">IF(AND(Energy!$F$11=$A$3,Main!$B$43=$A165),Summary!AJ22,AJ165)</f>
        <v>0.22811604185468645</v>
      </c>
      <c r="AK165" s="72">
        <f ca="1">IF(AND(Energy!$F$11=$A$3,Main!$B$43=$A165),Summary!AK22,AK165)</f>
        <v>0.01</v>
      </c>
      <c r="AL165" s="72">
        <f ca="1">IF(AND(Energy!$F$11=$A$3,Main!$B$43=$A165),Summary!AL22,AL165)</f>
        <v>-0.54798608767639101</v>
      </c>
      <c r="AM165" s="72">
        <f ca="1">IF(AND(Energy!$F$11=$A$3,Main!$B$43=$A165),Summary!AJ182,AM165)</f>
        <v>0</v>
      </c>
    </row>
    <row r="166" spans="1:39">
      <c r="A166">
        <f t="shared" si="14"/>
        <v>9</v>
      </c>
      <c r="D166" s="1">
        <f ca="1">IF(AND(Energy!$F$11=$A$3,Main!$B$43=A166),Main!C23,D166)</f>
        <v>4.3157894736842106</v>
      </c>
      <c r="E166" s="72">
        <f ca="1">IF(AND(Energy!$F$11=$A$3,Main!$B$43=A166),Main!B23,E166)</f>
        <v>0.37777777777777766</v>
      </c>
      <c r="F166" s="72">
        <f ca="1">IF(Main!$D$6=1,U166,IF(Main!$D$6=2,N166,IF(Main!$D$6=3,K166,IF(Main!$D$6=4,V166,J166))))</f>
        <v>570.68377072256499</v>
      </c>
      <c r="G166" s="72">
        <f ca="1">IF(AND(Energy!$F$11=$A$3,Main!$B$43=A166),Weight!H23,G166)</f>
        <v>15</v>
      </c>
      <c r="H166" s="72">
        <f ca="1">IF(AND(Energy!$F$11=$A$3,Main!$B$43=A166),Weight!U23,H166)</f>
        <v>17.997873367664653</v>
      </c>
      <c r="I166" s="72">
        <f ca="1">IF(AND(Energy!$F$11=$A$3,Main!$B$43=A166),Weight!V23,I166)</f>
        <v>46.425914070789659</v>
      </c>
      <c r="J166" s="72">
        <f ca="1">IF(AND(Energy!$F$11=$A$3,Main!$B$43=A166),Weight!I23,J166)</f>
        <v>23.490392428125002</v>
      </c>
      <c r="K166" s="72">
        <f ca="1">IF(AND(Energy!$F$11=$A$3,Main!$B$43=A166),Weight!W23,K166)</f>
        <v>61.425914070789659</v>
      </c>
      <c r="L166" s="72">
        <f ca="1">IF(AND(Energy!$F$11=$A$3,Main!$B$43=A166),'Aerodynamics-Cruise'!BI23,L166)</f>
        <v>61.425914070789673</v>
      </c>
      <c r="M166" s="72">
        <f ca="1">IF(AND(Energy!$F$11=$A$3,Main!$B$43=A166),'Aerodynamics-Cruise'!BJ23,M166)</f>
        <v>3.2541805642608832</v>
      </c>
      <c r="N166" s="72">
        <f ca="1">IF(AND(Energy!$F$11=$A$3,Main!$B$43=A166),'Aerodynamics-Cruise'!BK23,N166)</f>
        <v>18.876000534635743</v>
      </c>
      <c r="O166" s="72">
        <f t="shared" ca="1" si="13"/>
        <v>147.94006150161772</v>
      </c>
      <c r="P166" s="72">
        <f ca="1">IF(AND(Energy!$F$11=$A$3,Main!$B$43=A166),'Aerodynamics-Cruise'!H23,P166)</f>
        <v>8.3448652165203185</v>
      </c>
      <c r="Q166" s="72">
        <f ca="1">IF(AND(Energy!$F$11=$A$3,Main!$B$43=A166),'Aerodynamics-Cruise'!I23,Q166)</f>
        <v>6.9757907444921239</v>
      </c>
      <c r="R166" s="72">
        <f ca="1">IF(AND(Energy!$F$11=$A$3,Main!$B$43=$A166),Summary!R23,R166)</f>
        <v>4.1776279312289564</v>
      </c>
      <c r="S166" s="72">
        <f ca="1">IF(AND(Energy!$F$11=$A$3,Main!$B$43=A166),'Aerodynamics-Cruise'!W23,S166)</f>
        <v>1</v>
      </c>
      <c r="T166" s="72">
        <f ca="1">IF(AND(Energy!$F$11=$A$3,Main!$B$43=A166),'Aerodynamics-Cruise'!BL23,T166)</f>
        <v>27.155698198977106</v>
      </c>
      <c r="U166" s="72">
        <f ca="1">IF(AND(Energy!$F$11=$A$3,Main!$B$43=A166),'Propulsion-Cruise'!M23,U166)</f>
        <v>59.72705337955653</v>
      </c>
      <c r="V166" s="72">
        <f ca="1">IF(AND(Energy!$F$11=$A$3,Main!$B$43=A166),Endurance!AP23,V166)</f>
        <v>570.68377072256499</v>
      </c>
      <c r="W166" s="72">
        <f ca="1">IF(AND(Energy!$F$11=$A$3,Main!$B$43=$A166),Summary!W23,W166)</f>
        <v>1.6304093567251456</v>
      </c>
      <c r="X166" s="13">
        <f ca="1">IF(AND(Energy!$F$11=$A$3,Main!$B$43=A166),Energy!D23,X166)</f>
        <v>1182.0301388888888</v>
      </c>
      <c r="Y166" s="126">
        <f ca="1">IF(AND(Energy!$F$11=$A$3,Main!$B$43=A166),'Aerodynamics-Cruise'!V23,Y166)</f>
        <v>199940.60939333818</v>
      </c>
      <c r="Z166" s="126">
        <f ca="1">IF(AND(Energy!$F$11=$A$3,Main!$B$43=$A166),Summary!Z23,Z166)</f>
        <v>148143.26952396391</v>
      </c>
      <c r="AA166" s="126">
        <f ca="1">IF(AND(Energy!$F$11=$A$3,Main!$B$43=$A166),Summary!AA23,AA166)</f>
        <v>148143.26952396391</v>
      </c>
      <c r="AB166" s="72">
        <f ca="1">IF(AND(Energy!$F$11=$A$3,Main!$B$43=$A166),Summary!AB23,AB166)</f>
        <v>4.1776279312289564</v>
      </c>
      <c r="AC166" s="72">
        <f ca="1">IF(AND(Energy!$F$11=$A$3,Main!$B$43=$A166),Summary!AC23,AC166)</f>
        <v>2.15503110431067</v>
      </c>
      <c r="AD166" s="72">
        <f ca="1">IF(AND(Energy!$F$11=$A$3,Main!$B$43=$A166),Summary!AD23,AD166)</f>
        <v>0.44718247448154863</v>
      </c>
      <c r="AE166" s="72">
        <f ca="1">IF(AND(Energy!$F$11=$A$3,Main!$B$43=$A166),Summary!AE23,AE166)</f>
        <v>1.6304093567251456</v>
      </c>
      <c r="AF166" s="72">
        <f ca="1">IF(AND(Energy!$F$11=$A$3,Main!$B$43=$A166),Summary!AF23,AF166)</f>
        <v>11.424148606811151</v>
      </c>
      <c r="AG166" s="72">
        <f ca="1">IF(AND(Energy!$F$11=$A$3,Main!$B$43=$A166),Summary!AG23,AG166)</f>
        <v>12.052614534792122</v>
      </c>
      <c r="AH166" s="72">
        <f ca="1">IF(AND(Energy!$F$11=$A$3,Main!$B$43=$A166),Summary!AH23,AH166)</f>
        <v>47</v>
      </c>
      <c r="AI166" s="72">
        <f ca="1">IF(AND(Energy!$F$11=$A$3,Main!$B$43=$A166),Summary!AI23,AI166)</f>
        <v>2.8048383415351941</v>
      </c>
      <c r="AJ166" s="72">
        <f ca="1">IF(AND(Energy!$F$11=$A$3,Main!$B$43=$A166),Summary!AJ23,AJ166)</f>
        <v>0.22707838213330922</v>
      </c>
      <c r="AK166" s="72">
        <f ca="1">IF(AND(Energy!$F$11=$A$3,Main!$B$43=$A166),Summary!AK23,AK166)</f>
        <v>0.01</v>
      </c>
      <c r="AL166" s="72">
        <f ca="1">IF(AND(Energy!$F$11=$A$3,Main!$B$43=$A166),Summary!AL23,AL166)</f>
        <v>-0.55048521824611307</v>
      </c>
      <c r="AM166" s="72">
        <f ca="1">IF(AND(Energy!$F$11=$A$3,Main!$B$43=$A166),Summary!AJ183,AM166)</f>
        <v>0</v>
      </c>
    </row>
    <row r="167" spans="1:39">
      <c r="A167">
        <f t="shared" si="14"/>
        <v>9</v>
      </c>
      <c r="D167" s="1">
        <f ca="1">IF(AND(Energy!$F$11=$A$3,Main!$B$43=A167),Main!C24,D167)</f>
        <v>4.4736842105263159</v>
      </c>
      <c r="E167" s="72">
        <f ca="1">IF(AND(Energy!$F$11=$A$3,Main!$B$43=A167),Main!B24,E167)</f>
        <v>0.37777777777777766</v>
      </c>
      <c r="F167" s="72">
        <f ca="1">IF(Main!$D$6=1,U167,IF(Main!$D$6=2,N167,IF(Main!$D$6=3,K167,IF(Main!$D$6=4,V167,J167))))</f>
        <v>565.86188050509895</v>
      </c>
      <c r="G167" s="72">
        <f ca="1">IF(AND(Energy!$F$11=$A$3,Main!$B$43=A167),Weight!H24,G167)</f>
        <v>15</v>
      </c>
      <c r="H167" s="72">
        <f ca="1">IF(AND(Energy!$F$11=$A$3,Main!$B$43=A167),Weight!U24,H167)</f>
        <v>18.67846693832751</v>
      </c>
      <c r="I167" s="72">
        <f ca="1">IF(AND(Energy!$F$11=$A$3,Main!$B$43=A167),Weight!V24,I167)</f>
        <v>47.106507641452509</v>
      </c>
      <c r="J167" s="72">
        <f ca="1">IF(AND(Energy!$F$11=$A$3,Main!$B$43=A167),Weight!I24,J167)</f>
        <v>23.490392428125002</v>
      </c>
      <c r="K167" s="72">
        <f ca="1">IF(AND(Energy!$F$11=$A$3,Main!$B$43=A167),Weight!W24,K167)</f>
        <v>62.106507641452517</v>
      </c>
      <c r="L167" s="72">
        <f ca="1">IF(AND(Energy!$F$11=$A$3,Main!$B$43=A167),'Aerodynamics-Cruise'!BI24,L167)</f>
        <v>62.106507641452524</v>
      </c>
      <c r="M167" s="72">
        <f ca="1">IF(AND(Energy!$F$11=$A$3,Main!$B$43=A167),'Aerodynamics-Cruise'!BJ24,M167)</f>
        <v>3.2399353783233149</v>
      </c>
      <c r="N167" s="72">
        <f ca="1">IF(AND(Energy!$F$11=$A$3,Main!$B$43=A167),'Aerodynamics-Cruise'!BK24,N167)</f>
        <v>19.169057524101916</v>
      </c>
      <c r="O167" s="72">
        <f t="shared" ca="1" si="13"/>
        <v>151.06689922664998</v>
      </c>
      <c r="P167" s="72">
        <f ca="1">IF(AND(Energy!$F$11=$A$3,Main!$B$43=A167),'Aerodynamics-Cruise'!H24,P167)</f>
        <v>8.2414482387627181</v>
      </c>
      <c r="Q167" s="72">
        <f ca="1">IF(AND(Energy!$F$11=$A$3,Main!$B$43=A167),'Aerodynamics-Cruise'!I24,Q167)</f>
        <v>6.8929245170478985</v>
      </c>
      <c r="R167" s="72">
        <f ca="1">IF(AND(Energy!$F$11=$A$3,Main!$B$43=$A167),Summary!R24,R167)</f>
        <v>4.1210519640257708</v>
      </c>
      <c r="S167" s="72">
        <f ca="1">IF(AND(Energy!$F$11=$A$3,Main!$B$43=A167),'Aerodynamics-Cruise'!W24,S167)</f>
        <v>1</v>
      </c>
      <c r="T167" s="72">
        <f ca="1">IF(AND(Energy!$F$11=$A$3,Main!$B$43=A167),'Aerodynamics-Cruise'!BL24,T167)</f>
        <v>26.701759717387706</v>
      </c>
      <c r="U167" s="72">
        <f ca="1">IF(AND(Energy!$F$11=$A$3,Main!$B$43=A167),'Propulsion-Cruise'!M24,U167)</f>
        <v>58.993340460677558</v>
      </c>
      <c r="V167" s="72">
        <f ca="1">IF(AND(Energy!$F$11=$A$3,Main!$B$43=A167),Endurance!AP24,V167)</f>
        <v>565.86188050509895</v>
      </c>
      <c r="W167" s="72">
        <f ca="1">IF(AND(Energy!$F$11=$A$3,Main!$B$43=$A167),Summary!W24,W167)</f>
        <v>1.6900584795321631</v>
      </c>
      <c r="X167" s="13">
        <f ca="1">IF(AND(Energy!$F$11=$A$3,Main!$B$43=A167),Energy!D24,X167)</f>
        <v>1182.0301388888888</v>
      </c>
      <c r="Y167" s="126">
        <f ca="1">IF(AND(Energy!$F$11=$A$3,Main!$B$43=A167),'Aerodynamics-Cruise'!V24,Y167)</f>
        <v>197462.76786828428</v>
      </c>
      <c r="Z167" s="126">
        <f ca="1">IF(AND(Energy!$F$11=$A$3,Main!$B$43=$A167),Summary!Z24,Z167)</f>
        <v>146380.48820991436</v>
      </c>
      <c r="AA167" s="126">
        <f ca="1">IF(AND(Energy!$F$11=$A$3,Main!$B$43=$A167),Summary!AA24,AA167)</f>
        <v>146380.48820991436</v>
      </c>
      <c r="AB167" s="72">
        <f ca="1">IF(AND(Energy!$F$11=$A$3,Main!$B$43=$A167),Summary!AB24,AB167)</f>
        <v>4.1210519640257708</v>
      </c>
      <c r="AC167" s="72">
        <f ca="1">IF(AND(Energy!$F$11=$A$3,Main!$B$43=$A167),Summary!AC24,AC167)</f>
        <v>2.1129588860055062</v>
      </c>
      <c r="AD167" s="72">
        <f ca="1">IF(AND(Energy!$F$11=$A$3,Main!$B$43=$A167),Summary!AD24,AD167)</f>
        <v>0.4440838557666803</v>
      </c>
      <c r="AE167" s="72">
        <f ca="1">IF(AND(Energy!$F$11=$A$3,Main!$B$43=$A167),Summary!AE24,AE167)</f>
        <v>1.6900584795321631</v>
      </c>
      <c r="AF167" s="72">
        <f ca="1">IF(AND(Energy!$F$11=$A$3,Main!$B$43=$A167),Summary!AF24,AF167)</f>
        <v>11.842105263157899</v>
      </c>
      <c r="AG167" s="72">
        <f ca="1">IF(AND(Energy!$F$11=$A$3,Main!$B$43=$A167),Summary!AG24,AG167)</f>
        <v>11.972804404867722</v>
      </c>
      <c r="AH167" s="72">
        <f ca="1">IF(AND(Energy!$F$11=$A$3,Main!$B$43=$A167),Summary!AH24,AH167)</f>
        <v>47</v>
      </c>
      <c r="AI167" s="72">
        <f ca="1">IF(AND(Energy!$F$11=$A$3,Main!$B$43=$A167),Summary!AI24,AI167)</f>
        <v>2.8019223582004398</v>
      </c>
      <c r="AJ167" s="72">
        <f ca="1">IF(AND(Energy!$F$11=$A$3,Main!$B$43=$A167),Summary!AJ24,AJ167)</f>
        <v>0.22633847565515211</v>
      </c>
      <c r="AK167" s="72">
        <f ca="1">IF(AND(Energy!$F$11=$A$3,Main!$B$43=$A167),Summary!AK24,AK167)</f>
        <v>0.01</v>
      </c>
      <c r="AL167" s="72">
        <f ca="1">IF(AND(Energy!$F$11=$A$3,Main!$B$43=$A167),Summary!AL24,AL167)</f>
        <v>-0.55227580692116052</v>
      </c>
      <c r="AM167" s="72">
        <f ca="1">IF(AND(Energy!$F$11=$A$3,Main!$B$43=$A167),Summary!AJ184,AM167)</f>
        <v>0</v>
      </c>
    </row>
    <row r="168" spans="1:39">
      <c r="A168">
        <f t="shared" si="14"/>
        <v>9</v>
      </c>
      <c r="D168" s="1">
        <f ca="1">IF(AND(Energy!$F$11=$A$3,Main!$B$43=A168),Main!C25,D168)</f>
        <v>4.6315789473684212</v>
      </c>
      <c r="E168" s="72">
        <f ca="1">IF(AND(Energy!$F$11=$A$3,Main!$B$43=A168),Main!B25,E168)</f>
        <v>0.37777777777777766</v>
      </c>
      <c r="F168" s="72">
        <f ca="1">IF(Main!$D$6=1,U168,IF(Main!$D$6=2,N168,IF(Main!$D$6=3,K168,IF(Main!$D$6=4,V168,J168))))</f>
        <v>561.96020963068906</v>
      </c>
      <c r="G168" s="72">
        <f ca="1">IF(AND(Energy!$F$11=$A$3,Main!$B$43=A168),Weight!H25,G168)</f>
        <v>15</v>
      </c>
      <c r="H168" s="72">
        <f ca="1">IF(AND(Energy!$F$11=$A$3,Main!$B$43=A168),Weight!U25,H168)</f>
        <v>19.3745169923749</v>
      </c>
      <c r="I168" s="72">
        <f ca="1">IF(AND(Energy!$F$11=$A$3,Main!$B$43=A168),Weight!V25,I168)</f>
        <v>47.8025576954999</v>
      </c>
      <c r="J168" s="72">
        <f ca="1">IF(AND(Energy!$F$11=$A$3,Main!$B$43=A168),Weight!I25,J168)</f>
        <v>23.490392428125002</v>
      </c>
      <c r="K168" s="72">
        <f ca="1">IF(AND(Energy!$F$11=$A$3,Main!$B$43=A168),Weight!W25,K168)</f>
        <v>62.802557695499907</v>
      </c>
      <c r="L168" s="72">
        <f ca="1">IF(AND(Energy!$F$11=$A$3,Main!$B$43=A168),'Aerodynamics-Cruise'!BI25,L168)</f>
        <v>62.8025576954999</v>
      </c>
      <c r="M168" s="72">
        <f ca="1">IF(AND(Energy!$F$11=$A$3,Main!$B$43=A168),'Aerodynamics-Cruise'!BJ25,M168)</f>
        <v>3.2293499116499711</v>
      </c>
      <c r="N168" s="72">
        <f ca="1">IF(AND(Energy!$F$11=$A$3,Main!$B$43=A168),'Aerodynamics-Cruise'!BK25,N168)</f>
        <v>19.447430415929194</v>
      </c>
      <c r="O168" s="72">
        <f t="shared" ca="1" si="13"/>
        <v>154.11712251821612</v>
      </c>
      <c r="P168" s="72">
        <f ca="1">IF(AND(Energy!$F$11=$A$3,Main!$B$43=A168),'Aerodynamics-Cruise'!H25,P168)</f>
        <v>8.144911701778689</v>
      </c>
      <c r="Q168" s="72">
        <f ca="1">IF(AND(Energy!$F$11=$A$3,Main!$B$43=A168),'Aerodynamics-Cruise'!I25,Q168)</f>
        <v>6.8155280701238352</v>
      </c>
      <c r="R168" s="72">
        <f ca="1">IF(AND(Energy!$F$11=$A$3,Main!$B$43=$A168),Summary!R25,R168)</f>
        <v>4.0714645832499565</v>
      </c>
      <c r="S168" s="72">
        <f ca="1">IF(AND(Energy!$F$11=$A$3,Main!$B$43=A168),'Aerodynamics-Cruise'!W25,S168)</f>
        <v>1</v>
      </c>
      <c r="T168" s="72">
        <f ca="1">IF(AND(Energy!$F$11=$A$3,Main!$B$43=A168),'Aerodynamics-Cruise'!BL25,T168)</f>
        <v>26.302769884535824</v>
      </c>
      <c r="U168" s="72">
        <f ca="1">IF(AND(Energy!$F$11=$A$3,Main!$B$43=A168),'Propulsion-Cruise'!M25,U168)</f>
        <v>58.36352037860852</v>
      </c>
      <c r="V168" s="72">
        <f ca="1">IF(AND(Energy!$F$11=$A$3,Main!$B$43=A168),Endurance!AP25,V168)</f>
        <v>561.96020963068906</v>
      </c>
      <c r="W168" s="72">
        <f ca="1">IF(AND(Energy!$F$11=$A$3,Main!$B$43=$A168),Summary!W25,W168)</f>
        <v>1.7497076023391809</v>
      </c>
      <c r="X168" s="13">
        <f ca="1">IF(AND(Energy!$F$11=$A$3,Main!$B$43=A168),Energy!D25,X168)</f>
        <v>1182.0301388888888</v>
      </c>
      <c r="Y168" s="126">
        <f ca="1">IF(AND(Energy!$F$11=$A$3,Main!$B$43=A168),'Aerodynamics-Cruise'!V25,Y168)</f>
        <v>195149.77975733217</v>
      </c>
      <c r="Z168" s="126">
        <f ca="1">IF(AND(Energy!$F$11=$A$3,Main!$B$43=$A168),Summary!Z25,Z168)</f>
        <v>144734.09960381401</v>
      </c>
      <c r="AA168" s="126">
        <f ca="1">IF(AND(Energy!$F$11=$A$3,Main!$B$43=$A168),Summary!AA25,AA168)</f>
        <v>144734.09960381401</v>
      </c>
      <c r="AB168" s="72">
        <f ca="1">IF(AND(Energy!$F$11=$A$3,Main!$B$43=$A168),Summary!AB25,AB168)</f>
        <v>4.0714645832499565</v>
      </c>
      <c r="AC168" s="72">
        <f ca="1">IF(AND(Energy!$F$11=$A$3,Main!$B$43=$A168),Summary!AC25,AC168)</f>
        <v>2.0719804133181374</v>
      </c>
      <c r="AD168" s="72">
        <f ca="1">IF(AND(Energy!$F$11=$A$3,Main!$B$43=$A168),Summary!AD25,AD168)</f>
        <v>0.44130741665192791</v>
      </c>
      <c r="AE168" s="72">
        <f ca="1">IF(AND(Energy!$F$11=$A$3,Main!$B$43=$A168),Summary!AE25,AE168)</f>
        <v>1.7497076023391809</v>
      </c>
      <c r="AF168" s="72">
        <f ca="1">IF(AND(Energy!$F$11=$A$3,Main!$B$43=$A168),Summary!AF25,AF168)</f>
        <v>12.260061919504647</v>
      </c>
      <c r="AG168" s="72">
        <f ca="1">IF(AND(Energy!$F$11=$A$3,Main!$B$43=$A168),Summary!AG25,AG168)</f>
        <v>11.904963604514705</v>
      </c>
      <c r="AH168" s="72">
        <f ca="1">IF(AND(Energy!$F$11=$A$3,Main!$B$43=$A168),Summary!AH25,AH168)</f>
        <v>47</v>
      </c>
      <c r="AI168" s="72">
        <f ca="1">IF(AND(Energy!$F$11=$A$3,Main!$B$43=$A168),Summary!AI25,AI168)</f>
        <v>2.7991734536364952</v>
      </c>
      <c r="AJ168" s="72">
        <f ca="1">IF(AND(Energy!$F$11=$A$3,Main!$B$43=$A168),Summary!AJ25,AJ168)</f>
        <v>0.22652888614791411</v>
      </c>
      <c r="AK168" s="72">
        <f ca="1">IF(AND(Energy!$F$11=$A$3,Main!$B$43=$A168),Summary!AK25,AK168)</f>
        <v>0.01</v>
      </c>
      <c r="AL168" s="72">
        <f ca="1">IF(AND(Energy!$F$11=$A$3,Main!$B$43=$A168),Summary!AL25,AL168)</f>
        <v>-0.5518082340898276</v>
      </c>
      <c r="AM168" s="72">
        <f ca="1">IF(AND(Energy!$F$11=$A$3,Main!$B$43=$A168),Summary!AJ185,AM168)</f>
        <v>0</v>
      </c>
    </row>
    <row r="169" spans="1:39">
      <c r="A169">
        <f t="shared" si="14"/>
        <v>9</v>
      </c>
      <c r="D169" s="1">
        <f ca="1">IF(AND(Energy!$F$11=$A$3,Main!$B$43=A169),Main!C26,D169)</f>
        <v>4.7894736842105265</v>
      </c>
      <c r="E169" s="72">
        <f ca="1">IF(AND(Energy!$F$11=$A$3,Main!$B$43=A169),Main!B26,E169)</f>
        <v>0.37777777777777766</v>
      </c>
      <c r="F169" s="72">
        <f ca="1">IF(Main!$D$6=1,U169,IF(Main!$D$6=2,N169,IF(Main!$D$6=3,K169,IF(Main!$D$6=4,V169,J169))))</f>
        <v>558.88073894614604</v>
      </c>
      <c r="G169" s="72">
        <f ca="1">IF(AND(Energy!$F$11=$A$3,Main!$B$43=A169),Weight!H26,G169)</f>
        <v>15</v>
      </c>
      <c r="H169" s="72">
        <f ca="1">IF(AND(Energy!$F$11=$A$3,Main!$B$43=A169),Weight!U26,H169)</f>
        <v>20.086137764903057</v>
      </c>
      <c r="I169" s="72">
        <f ca="1">IF(AND(Energy!$F$11=$A$3,Main!$B$43=A169),Weight!V26,I169)</f>
        <v>48.514178468028064</v>
      </c>
      <c r="J169" s="72">
        <f ca="1">IF(AND(Energy!$F$11=$A$3,Main!$B$43=A169),Weight!I26,J169)</f>
        <v>23.490392428125002</v>
      </c>
      <c r="K169" s="72">
        <f ca="1">IF(AND(Energy!$F$11=$A$3,Main!$B$43=A169),Weight!W26,K169)</f>
        <v>63.514178468028064</v>
      </c>
      <c r="L169" s="72">
        <f ca="1">IF(AND(Energy!$F$11=$A$3,Main!$B$43=A169),'Aerodynamics-Cruise'!BI26,L169)</f>
        <v>63.514178468028064</v>
      </c>
      <c r="M169" s="72">
        <f ca="1">IF(AND(Energy!$F$11=$A$3,Main!$B$43=A169),'Aerodynamics-Cruise'!BJ26,M169)</f>
        <v>3.2220432024878578</v>
      </c>
      <c r="N169" s="72">
        <f ca="1">IF(AND(Energy!$F$11=$A$3,Main!$B$43=A169),'Aerodynamics-Cruise'!BK26,N169)</f>
        <v>19.712391944026834</v>
      </c>
      <c r="O169" s="72">
        <f t="shared" ca="1" si="13"/>
        <v>157.09945131095972</v>
      </c>
      <c r="P169" s="72">
        <f ca="1">IF(AND(Energy!$F$11=$A$3,Main!$B$43=A169),'Aerodynamics-Cruise'!H26,P169)</f>
        <v>8.0546899682810214</v>
      </c>
      <c r="Q169" s="72">
        <f ca="1">IF(AND(Energy!$F$11=$A$3,Main!$B$43=A169),'Aerodynamics-Cruise'!I26,Q169)</f>
        <v>6.7431562993555962</v>
      </c>
      <c r="R169" s="72">
        <f ca="1">IF(AND(Energy!$F$11=$A$3,Main!$B$43=$A169),Summary!R26,R169)</f>
        <v>4.0282484313215337</v>
      </c>
      <c r="S169" s="72">
        <f ca="1">IF(AND(Energy!$F$11=$A$3,Main!$B$43=A169),'Aerodynamics-Cruise'!W26,S169)</f>
        <v>1</v>
      </c>
      <c r="T169" s="72">
        <f ca="1">IF(AND(Energy!$F$11=$A$3,Main!$B$43=A169),'Aerodynamics-Cruise'!BL26,T169)</f>
        <v>25.952559060447005</v>
      </c>
      <c r="U169" s="72">
        <f ca="1">IF(AND(Energy!$F$11=$A$3,Main!$B$43=A169),'Propulsion-Cruise'!M26,U169)</f>
        <v>57.826190472223423</v>
      </c>
      <c r="V169" s="72">
        <f ca="1">IF(AND(Energy!$F$11=$A$3,Main!$B$43=A169),Endurance!AP26,V169)</f>
        <v>558.88073894614604</v>
      </c>
      <c r="W169" s="72">
        <f ca="1">IF(AND(Energy!$F$11=$A$3,Main!$B$43=$A169),Summary!W26,W169)</f>
        <v>1.8093567251461984</v>
      </c>
      <c r="X169" s="13">
        <f ca="1">IF(AND(Energy!$F$11=$A$3,Main!$B$43=A169),Energy!D26,X169)</f>
        <v>1182.0301388888888</v>
      </c>
      <c r="Y169" s="126">
        <f ca="1">IF(AND(Energy!$F$11=$A$3,Main!$B$43=A169),'Aerodynamics-Cruise'!V26,Y169)</f>
        <v>192988.09255112836</v>
      </c>
      <c r="Z169" s="126">
        <f ca="1">IF(AND(Energy!$F$11=$A$3,Main!$B$43=$A169),Summary!Z26,Z169)</f>
        <v>143194.62840436964</v>
      </c>
      <c r="AA169" s="126">
        <f ca="1">IF(AND(Energy!$F$11=$A$3,Main!$B$43=$A169),Summary!AA26,AA169)</f>
        <v>143194.62840436964</v>
      </c>
      <c r="AB169" s="72">
        <f ca="1">IF(AND(Energy!$F$11=$A$3,Main!$B$43=$A169),Summary!AB26,AB169)</f>
        <v>4.0282484313215337</v>
      </c>
      <c r="AC169" s="72">
        <f ca="1">IF(AND(Energy!$F$11=$A$3,Main!$B$43=$A169),Summary!AC26,AC169)</f>
        <v>2.032070416498879</v>
      </c>
      <c r="AD169" s="72">
        <f ca="1">IF(AND(Energy!$F$11=$A$3,Main!$B$43=$A169),Summary!AD26,AD169)</f>
        <v>0.43882395815302178</v>
      </c>
      <c r="AE169" s="72">
        <f ca="1">IF(AND(Energy!$F$11=$A$3,Main!$B$43=$A169),Summary!AE26,AE169)</f>
        <v>1.8093567251461984</v>
      </c>
      <c r="AF169" s="72">
        <f ca="1">IF(AND(Energy!$F$11=$A$3,Main!$B$43=$A169),Summary!AF26,AF169)</f>
        <v>12.678018575851398</v>
      </c>
      <c r="AG169" s="72">
        <f ca="1">IF(AND(Energy!$F$11=$A$3,Main!$B$43=$A169),Summary!AG26,AG169)</f>
        <v>11.847856824664763</v>
      </c>
      <c r="AH169" s="72">
        <f ca="1">IF(AND(Energy!$F$11=$A$3,Main!$B$43=$A169),Summary!AH26,AH169)</f>
        <v>47</v>
      </c>
      <c r="AI169" s="72">
        <f ca="1">IF(AND(Energy!$F$11=$A$3,Main!$B$43=$A169),Summary!AI26,AI169)</f>
        <v>2.796580185402056</v>
      </c>
      <c r="AJ169" s="72">
        <f ca="1">IF(AND(Energy!$F$11=$A$3,Main!$B$43=$A169),Summary!AJ26,AJ169)</f>
        <v>0.22722903920401027</v>
      </c>
      <c r="AK169" s="72">
        <f ca="1">IF(AND(Energy!$F$11=$A$3,Main!$B$43=$A169),Summary!AK26,AK169)</f>
        <v>0.01</v>
      </c>
      <c r="AL169" s="72">
        <f ca="1">IF(AND(Energy!$F$11=$A$3,Main!$B$43=$A169),Summary!AL26,AL169)</f>
        <v>-0.55010777862156934</v>
      </c>
      <c r="AM169" s="72">
        <f ca="1">IF(AND(Energy!$F$11=$A$3,Main!$B$43=$A169),Summary!AJ186,AM169)</f>
        <v>0</v>
      </c>
    </row>
    <row r="170" spans="1:39">
      <c r="A170">
        <f t="shared" si="14"/>
        <v>9</v>
      </c>
      <c r="D170" s="1">
        <f ca="1">IF(AND(Energy!$F$11=$A$3,Main!$B$43=A170),Main!C27,D170)</f>
        <v>4.9473684210526319</v>
      </c>
      <c r="E170" s="72">
        <f ca="1">IF(AND(Energy!$F$11=$A$3,Main!$B$43=A170),Main!B27,E170)</f>
        <v>0.37777777777777766</v>
      </c>
      <c r="F170" s="72">
        <f ca="1">IF(Main!$D$6=1,U170,IF(Main!$D$6=2,N170,IF(Main!$D$6=3,K170,IF(Main!$D$6=4,V170,J170))))</f>
        <v>556.54380064245822</v>
      </c>
      <c r="G170" s="72">
        <f ca="1">IF(AND(Energy!$F$11=$A$3,Main!$B$43=A170),Weight!H27,G170)</f>
        <v>15</v>
      </c>
      <c r="H170" s="72">
        <f ca="1">IF(AND(Energy!$F$11=$A$3,Main!$B$43=A170),Weight!U27,H170)</f>
        <v>20.813452678943719</v>
      </c>
      <c r="I170" s="72">
        <f ca="1">IF(AND(Energy!$F$11=$A$3,Main!$B$43=A170),Weight!V27,I170)</f>
        <v>49.241493382068725</v>
      </c>
      <c r="J170" s="72">
        <f ca="1">IF(AND(Energy!$F$11=$A$3,Main!$B$43=A170),Weight!I27,J170)</f>
        <v>23.490392428125002</v>
      </c>
      <c r="K170" s="72">
        <f ca="1">IF(AND(Energy!$F$11=$A$3,Main!$B$43=A170),Weight!W27,K170)</f>
        <v>64.241493382068725</v>
      </c>
      <c r="L170" s="72">
        <f ca="1">IF(AND(Energy!$F$11=$A$3,Main!$B$43=A170),'Aerodynamics-Cruise'!BI27,L170)</f>
        <v>64.241493382068739</v>
      </c>
      <c r="M170" s="72">
        <f ca="1">IF(AND(Energy!$F$11=$A$3,Main!$B$43=A170),'Aerodynamics-Cruise'!BJ27,M170)</f>
        <v>3.2177109185000194</v>
      </c>
      <c r="N170" s="72">
        <f ca="1">IF(AND(Energy!$F$11=$A$3,Main!$B$43=A170),'Aerodynamics-Cruise'!BK27,N170)</f>
        <v>19.964967335230909</v>
      </c>
      <c r="O170" s="72">
        <f t="shared" ca="1" si="13"/>
        <v>160.0207929224791</v>
      </c>
      <c r="P170" s="72">
        <f ca="1">IF(AND(Energy!$F$11=$A$3,Main!$B$43=A170),'Aerodynamics-Cruise'!H27,P170)</f>
        <v>7.9702814812901508</v>
      </c>
      <c r="Q170" s="72">
        <f ca="1">IF(AND(Energy!$F$11=$A$3,Main!$B$43=A170),'Aerodynamics-Cruise'!I27,Q170)</f>
        <v>6.6754141265738571</v>
      </c>
      <c r="R170" s="72">
        <f ca="1">IF(AND(Energy!$F$11=$A$3,Main!$B$43=$A170),Summary!R27,R170)</f>
        <v>3.9908716700800047</v>
      </c>
      <c r="S170" s="72">
        <f ca="1">IF(AND(Energy!$F$11=$A$3,Main!$B$43=A170),'Aerodynamics-Cruise'!W27,S170)</f>
        <v>1</v>
      </c>
      <c r="T170" s="72">
        <f ca="1">IF(AND(Energy!$F$11=$A$3,Main!$B$43=A170),'Aerodynamics-Cruise'!BL27,T170)</f>
        <v>25.646061745865826</v>
      </c>
      <c r="U170" s="72">
        <f ca="1">IF(AND(Energy!$F$11=$A$3,Main!$B$43=A170),'Propulsion-Cruise'!M27,U170)</f>
        <v>57.372066035491308</v>
      </c>
      <c r="V170" s="72">
        <f ca="1">IF(AND(Energy!$F$11=$A$3,Main!$B$43=A170),Endurance!AP27,V170)</f>
        <v>556.54380064245822</v>
      </c>
      <c r="W170" s="72">
        <f ca="1">IF(AND(Energy!$F$11=$A$3,Main!$B$43=$A170),Summary!W27,W170)</f>
        <v>1.8690058479532159</v>
      </c>
      <c r="X170" s="13">
        <f ca="1">IF(AND(Energy!$F$11=$A$3,Main!$B$43=A170),Energy!D27,X170)</f>
        <v>1182.0301388888888</v>
      </c>
      <c r="Y170" s="126">
        <f ca="1">IF(AND(Energy!$F$11=$A$3,Main!$B$43=A170),'Aerodynamics-Cruise'!V27,Y170)</f>
        <v>190965.68908635897</v>
      </c>
      <c r="Z170" s="126">
        <f ca="1">IF(AND(Energy!$F$11=$A$3,Main!$B$43=$A170),Summary!Z27,Z170)</f>
        <v>141753.66459516707</v>
      </c>
      <c r="AA170" s="126">
        <f ca="1">IF(AND(Energy!$F$11=$A$3,Main!$B$43=$A170),Summary!AA27,AA170)</f>
        <v>141753.66459516707</v>
      </c>
      <c r="AB170" s="72">
        <f ca="1">IF(AND(Energy!$F$11=$A$3,Main!$B$43=$A170),Summary!AB27,AB170)</f>
        <v>3.9908716700800047</v>
      </c>
      <c r="AC170" s="72">
        <f ca="1">IF(AND(Energy!$F$11=$A$3,Main!$B$43=$A170),Summary!AC27,AC170)</f>
        <v>1.9931971665886252</v>
      </c>
      <c r="AD170" s="72">
        <f ca="1">IF(AND(Energy!$F$11=$A$3,Main!$B$43=$A170),Summary!AD27,AD170)</f>
        <v>0.43660888564864636</v>
      </c>
      <c r="AE170" s="72">
        <f ca="1">IF(AND(Energy!$F$11=$A$3,Main!$B$43=$A170),Summary!AE27,AE170)</f>
        <v>1.8690058479532159</v>
      </c>
      <c r="AF170" s="72">
        <f ca="1">IF(AND(Energy!$F$11=$A$3,Main!$B$43=$A170),Summary!AF27,AF170)</f>
        <v>13.095975232198148</v>
      </c>
      <c r="AG170" s="72">
        <f ca="1">IF(AND(Energy!$F$11=$A$3,Main!$B$43=$A170),Summary!AG27,AG170)</f>
        <v>11.800475736319431</v>
      </c>
      <c r="AH170" s="72">
        <f ca="1">IF(AND(Energy!$F$11=$A$3,Main!$B$43=$A170),Summary!AH27,AH170)</f>
        <v>47</v>
      </c>
      <c r="AI170" s="72">
        <f ca="1">IF(AND(Energy!$F$11=$A$3,Main!$B$43=$A170),Summary!AI27,AI170)</f>
        <v>2.7941322833205717</v>
      </c>
      <c r="AJ170" s="72">
        <f ca="1">IF(AND(Energy!$F$11=$A$3,Main!$B$43=$A170),Summary!AJ27,AJ170)</f>
        <v>0.22788369936167543</v>
      </c>
      <c r="AK170" s="72">
        <f ca="1">IF(AND(Energy!$F$11=$A$3,Main!$B$43=$A170),Summary!AK27,AK170)</f>
        <v>0.01</v>
      </c>
      <c r="AL170" s="72">
        <f ca="1">IF(AND(Energy!$F$11=$A$3,Main!$B$43=$A170),Summary!AL27,AL170)</f>
        <v>-0.54852725260966873</v>
      </c>
      <c r="AM170" s="72">
        <f ca="1">IF(AND(Energy!$F$11=$A$3,Main!$B$43=$A170),Summary!AJ187,AM170)</f>
        <v>0</v>
      </c>
    </row>
    <row r="171" spans="1:39">
      <c r="A171">
        <f t="shared" si="14"/>
        <v>9</v>
      </c>
      <c r="D171" s="1">
        <f ca="1">IF(AND(Energy!$F$11=$A$3,Main!$B$43=A171),Main!C28,D171)</f>
        <v>5.1052631578947372</v>
      </c>
      <c r="E171" s="72">
        <f ca="1">IF(AND(Energy!$F$11=$A$3,Main!$B$43=A171),Main!B28,E171)</f>
        <v>0.37777777777777766</v>
      </c>
      <c r="F171" s="72">
        <f ca="1">IF(Main!$D$6=1,U171,IF(Main!$D$6=2,N171,IF(Main!$D$6=3,K171,IF(Main!$D$6=4,V171,J171))))</f>
        <v>554.88323238371788</v>
      </c>
      <c r="G171" s="72">
        <f ca="1">IF(AND(Energy!$F$11=$A$3,Main!$B$43=A171),Weight!H28,G171)</f>
        <v>15</v>
      </c>
      <c r="H171" s="72">
        <f ca="1">IF(AND(Energy!$F$11=$A$3,Main!$B$43=A171),Weight!U28,H171)</f>
        <v>21.556593628855538</v>
      </c>
      <c r="I171" s="72">
        <f ca="1">IF(AND(Energy!$F$11=$A$3,Main!$B$43=A171),Weight!V28,I171)</f>
        <v>49.984634331980544</v>
      </c>
      <c r="J171" s="72">
        <f ca="1">IF(AND(Energy!$F$11=$A$3,Main!$B$43=A171),Weight!I28,J171)</f>
        <v>23.490392428125002</v>
      </c>
      <c r="K171" s="72">
        <f ca="1">IF(AND(Energy!$F$11=$A$3,Main!$B$43=A171),Weight!W28,K171)</f>
        <v>64.984634331980544</v>
      </c>
      <c r="L171" s="72">
        <f ca="1">IF(AND(Energy!$F$11=$A$3,Main!$B$43=A171),'Aerodynamics-Cruise'!BI28,L171)</f>
        <v>64.984634331980544</v>
      </c>
      <c r="M171" s="72">
        <f ca="1">IF(AND(Energy!$F$11=$A$3,Main!$B$43=A171),'Aerodynamics-Cruise'!BJ28,M171)</f>
        <v>3.216102327903303</v>
      </c>
      <c r="N171" s="72">
        <f ca="1">IF(AND(Energy!$F$11=$A$3,Main!$B$43=A171),'Aerodynamics-Cruise'!BK28,N171)</f>
        <v>20.206021981379696</v>
      </c>
      <c r="O171" s="72">
        <f t="shared" ca="1" si="13"/>
        <v>162.88690105180555</v>
      </c>
      <c r="P171" s="72">
        <f ca="1">IF(AND(Energy!$F$11=$A$3,Main!$B$43=A171),'Aerodynamics-Cruise'!H28,P171)</f>
        <v>7.8912397278894639</v>
      </c>
      <c r="Q171" s="72">
        <f ca="1">IF(AND(Energy!$F$11=$A$3,Main!$B$43=A171),'Aerodynamics-Cruise'!I28,Q171)</f>
        <v>6.6119494923740669</v>
      </c>
      <c r="R171" s="72">
        <f ca="1">IF(AND(Energy!$F$11=$A$3,Main!$B$43=$A171),Summary!R28,R171)</f>
        <v>3.958870810344655</v>
      </c>
      <c r="S171" s="72">
        <f ca="1">IF(AND(Energy!$F$11=$A$3,Main!$B$43=A171),'Aerodynamics-Cruise'!W28,S171)</f>
        <v>1</v>
      </c>
      <c r="T171" s="72">
        <f ca="1">IF(AND(Energy!$F$11=$A$3,Main!$B$43=A171),'Aerodynamics-Cruise'!BL28,T171)</f>
        <v>25.379034458908333</v>
      </c>
      <c r="U171" s="72">
        <f ca="1">IF(AND(Energy!$F$11=$A$3,Main!$B$43=A171),'Propulsion-Cruise'!M28,U171)</f>
        <v>56.993420994354551</v>
      </c>
      <c r="V171" s="72">
        <f ca="1">IF(AND(Energy!$F$11=$A$3,Main!$B$43=A171),Endurance!AP28,V171)</f>
        <v>554.88323238371788</v>
      </c>
      <c r="W171" s="72">
        <f ca="1">IF(AND(Energy!$F$11=$A$3,Main!$B$43=$A171),Summary!W28,W171)</f>
        <v>1.9286549707602334</v>
      </c>
      <c r="X171" s="13">
        <f ca="1">IF(AND(Energy!$F$11=$A$3,Main!$B$43=A171),Energy!D28,X171)</f>
        <v>1182.0301388888888</v>
      </c>
      <c r="Y171" s="126">
        <f ca="1">IF(AND(Energy!$F$11=$A$3,Main!$B$43=A171),'Aerodynamics-Cruise'!V28,Y171)</f>
        <v>189071.87103988355</v>
      </c>
      <c r="Z171" s="126">
        <f ca="1">IF(AND(Energy!$F$11=$A$3,Main!$B$43=$A171),Summary!Z28,Z171)</f>
        <v>140403.71418487758</v>
      </c>
      <c r="AA171" s="126">
        <f ca="1">IF(AND(Energy!$F$11=$A$3,Main!$B$43=$A171),Summary!AA28,AA171)</f>
        <v>140403.71418487758</v>
      </c>
      <c r="AB171" s="72">
        <f ca="1">IF(AND(Energy!$F$11=$A$3,Main!$B$43=$A171),Summary!AB28,AB171)</f>
        <v>3.958870810344655</v>
      </c>
      <c r="AC171" s="72">
        <f ca="1">IF(AND(Energy!$F$11=$A$3,Main!$B$43=$A171),Summary!AC28,AC171)</f>
        <v>1.955325901244741</v>
      </c>
      <c r="AD171" s="72">
        <f ca="1">IF(AND(Energy!$F$11=$A$3,Main!$B$43=$A171),Summary!AD28,AD171)</f>
        <v>0.43464105429422362</v>
      </c>
      <c r="AE171" s="72">
        <f ca="1">IF(AND(Energy!$F$11=$A$3,Main!$B$43=$A171),Summary!AE28,AE171)</f>
        <v>1.9286549707602334</v>
      </c>
      <c r="AF171" s="72">
        <f ca="1">IF(AND(Energy!$F$11=$A$3,Main!$B$43=$A171),Summary!AF28,AF171)</f>
        <v>13.513931888544898</v>
      </c>
      <c r="AG171" s="72">
        <f ca="1">IF(AND(Energy!$F$11=$A$3,Main!$B$43=$A171),Summary!AG28,AG171)</f>
        <v>11.761977311445486</v>
      </c>
      <c r="AH171" s="72">
        <f ca="1">IF(AND(Energy!$F$11=$A$3,Main!$B$43=$A171),Summary!AH28,AH171)</f>
        <v>47</v>
      </c>
      <c r="AI171" s="72">
        <f ca="1">IF(AND(Energy!$F$11=$A$3,Main!$B$43=$A171),Summary!AI28,AI171)</f>
        <v>2.7918204914136022</v>
      </c>
      <c r="AJ171" s="72">
        <f ca="1">IF(AND(Energy!$F$11=$A$3,Main!$B$43=$A171),Summary!AJ28,AJ171)</f>
        <v>0.22849654245056744</v>
      </c>
      <c r="AK171" s="72">
        <f ca="1">IF(AND(Energy!$F$11=$A$3,Main!$B$43=$A171),Summary!AK28,AK171)</f>
        <v>0.01</v>
      </c>
      <c r="AL171" s="72">
        <f ca="1">IF(AND(Energy!$F$11=$A$3,Main!$B$43=$A171),Summary!AL28,AL171)</f>
        <v>-0.5470558808549596</v>
      </c>
      <c r="AM171" s="72">
        <f ca="1">IF(AND(Energy!$F$11=$A$3,Main!$B$43=$A171),Summary!AJ188,AM171)</f>
        <v>0</v>
      </c>
    </row>
    <row r="172" spans="1:39">
      <c r="A172">
        <f t="shared" si="14"/>
        <v>9</v>
      </c>
      <c r="D172" s="1">
        <f ca="1">IF(AND(Energy!$F$11=$A$3,Main!$B$43=A172),Main!C29,D172)</f>
        <v>5.2631578947368425</v>
      </c>
      <c r="E172" s="72">
        <f ca="1">IF(AND(Energy!$F$11=$A$3,Main!$B$43=A172),Main!B29,E172)</f>
        <v>0.37777777777777766</v>
      </c>
      <c r="F172" s="72">
        <f ca="1">IF(Main!$D$6=1,U172,IF(Main!$D$6=2,N172,IF(Main!$D$6=3,K172,IF(Main!$D$6=4,V172,J172))))</f>
        <v>553.84182249016908</v>
      </c>
      <c r="G172" s="72">
        <f ca="1">IF(AND(Energy!$F$11=$A$3,Main!$B$43=A172),Weight!H29,G172)</f>
        <v>15</v>
      </c>
      <c r="H172" s="72">
        <f ca="1">IF(AND(Energy!$F$11=$A$3,Main!$B$43=A172),Weight!U29,H172)</f>
        <v>22.315700351027544</v>
      </c>
      <c r="I172" s="72">
        <f ca="1">IF(AND(Energy!$F$11=$A$3,Main!$B$43=A172),Weight!V29,I172)</f>
        <v>50.743741054152551</v>
      </c>
      <c r="J172" s="72">
        <f ca="1">IF(AND(Energy!$F$11=$A$3,Main!$B$43=A172),Weight!I29,J172)</f>
        <v>23.490392428125002</v>
      </c>
      <c r="K172" s="72">
        <f ca="1">IF(AND(Energy!$F$11=$A$3,Main!$B$43=A172),Weight!W29,K172)</f>
        <v>65.743741054152551</v>
      </c>
      <c r="L172" s="72">
        <f ca="1">IF(AND(Energy!$F$11=$A$3,Main!$B$43=A172),'Aerodynamics-Cruise'!BI29,L172)</f>
        <v>65.743741054152537</v>
      </c>
      <c r="M172" s="72">
        <f ca="1">IF(AND(Energy!$F$11=$A$3,Main!$B$43=A172),'Aerodynamics-Cruise'!BJ29,M172)</f>
        <v>3.2169977012282822</v>
      </c>
      <c r="N172" s="72">
        <f ca="1">IF(AND(Energy!$F$11=$A$3,Main!$B$43=A172),'Aerodynamics-Cruise'!BK29,N172)</f>
        <v>20.436365568135443</v>
      </c>
      <c r="O172" s="72">
        <f t="shared" ca="1" si="13"/>
        <v>165.70319009238324</v>
      </c>
      <c r="P172" s="72">
        <f ca="1">IF(AND(Energy!$F$11=$A$3,Main!$B$43=A172),'Aerodynamics-Cruise'!H29,P172)</f>
        <v>7.8171657117066733</v>
      </c>
      <c r="Q172" s="72">
        <f ca="1">IF(AND(Energy!$F$11=$A$3,Main!$B$43=A172),'Aerodynamics-Cruise'!I29,Q172)</f>
        <v>6.5524475115230691</v>
      </c>
      <c r="R172" s="72">
        <f ca="1">IF(AND(Energy!$F$11=$A$3,Main!$B$43=$A172),Summary!R29,R172)</f>
        <v>3.9318419661860067</v>
      </c>
      <c r="S172" s="72">
        <f ca="1">IF(AND(Energy!$F$11=$A$3,Main!$B$43=A172),'Aerodynamics-Cruise'!W29,S172)</f>
        <v>1</v>
      </c>
      <c r="T172" s="72">
        <f ca="1">IF(AND(Energy!$F$11=$A$3,Main!$B$43=A172),'Aerodynamics-Cruise'!BL29,T172)</f>
        <v>25.147804124680917</v>
      </c>
      <c r="U172" s="72">
        <f ca="1">IF(AND(Energy!$F$11=$A$3,Main!$B$43=A172),'Propulsion-Cruise'!M29,U172)</f>
        <v>56.683565443628169</v>
      </c>
      <c r="V172" s="72">
        <f ca="1">IF(AND(Energy!$F$11=$A$3,Main!$B$43=A172),Endurance!AP29,V172)</f>
        <v>553.84182249016908</v>
      </c>
      <c r="W172" s="72">
        <f ca="1">IF(AND(Energy!$F$11=$A$3,Main!$B$43=$A172),Summary!W29,W172)</f>
        <v>1.9883040935672509</v>
      </c>
      <c r="X172" s="13">
        <f ca="1">IF(AND(Energy!$F$11=$A$3,Main!$B$43=A172),Energy!D29,X172)</f>
        <v>1182.0301388888888</v>
      </c>
      <c r="Y172" s="126">
        <f ca="1">IF(AND(Energy!$F$11=$A$3,Main!$B$43=A172),'Aerodynamics-Cruise'!V29,Y172)</f>
        <v>187297.0785715188</v>
      </c>
      <c r="Z172" s="126">
        <f ca="1">IF(AND(Energy!$F$11=$A$3,Main!$B$43=$A172),Summary!Z29,Z172)</f>
        <v>139138.07472223166</v>
      </c>
      <c r="AA172" s="126">
        <f ca="1">IF(AND(Energy!$F$11=$A$3,Main!$B$43=$A172),Summary!AA29,AA172)</f>
        <v>139138.07472223166</v>
      </c>
      <c r="AB172" s="72">
        <f ca="1">IF(AND(Energy!$F$11=$A$3,Main!$B$43=$A172),Summary!AB29,AB172)</f>
        <v>3.9318419661860067</v>
      </c>
      <c r="AC172" s="72">
        <f ca="1">IF(AND(Energy!$F$11=$A$3,Main!$B$43=$A172),Summary!AC29,AC172)</f>
        <v>1.9184217661927592</v>
      </c>
      <c r="AD172" s="72">
        <f ca="1">IF(AND(Energy!$F$11=$A$3,Main!$B$43=$A172),Summary!AD29,AD172)</f>
        <v>0.43290165283891491</v>
      </c>
      <c r="AE172" s="72">
        <f ca="1">IF(AND(Energy!$F$11=$A$3,Main!$B$43=$A172),Summary!AE29,AE172)</f>
        <v>1.9883040935672509</v>
      </c>
      <c r="AF172" s="72">
        <f ca="1">IF(AND(Energy!$F$11=$A$3,Main!$B$43=$A172),Summary!AF29,AF172)</f>
        <v>13.931888544891647</v>
      </c>
      <c r="AG172" s="72">
        <f ca="1">IF(AND(Energy!$F$11=$A$3,Main!$B$43=$A172),Summary!AG29,AG172)</f>
        <v>11.731622457591859</v>
      </c>
      <c r="AH172" s="72">
        <f ca="1">IF(AND(Energy!$F$11=$A$3,Main!$B$43=$A172),Summary!AH29,AH172)</f>
        <v>47</v>
      </c>
      <c r="AI172" s="72">
        <f ca="1">IF(AND(Energy!$F$11=$A$3,Main!$B$43=$A172),Summary!AI29,AI172)</f>
        <v>2.7896364357621333</v>
      </c>
      <c r="AJ172" s="72">
        <f ca="1">IF(AND(Energy!$F$11=$A$3,Main!$B$43=$A172),Summary!AJ29,AJ172)</f>
        <v>0.22907082440761908</v>
      </c>
      <c r="AK172" s="72">
        <f ca="1">IF(AND(Energy!$F$11=$A$3,Main!$B$43=$A172),Summary!AK29,AK172)</f>
        <v>0.01</v>
      </c>
      <c r="AL172" s="72">
        <f ca="1">IF(AND(Energy!$F$11=$A$3,Main!$B$43=$A172),Summary!AL29,AL172)</f>
        <v>-0.54568422539110428</v>
      </c>
      <c r="AM172" s="72">
        <f ca="1">IF(AND(Energy!$F$11=$A$3,Main!$B$43=$A172),Summary!AJ189,AM172)</f>
        <v>0</v>
      </c>
    </row>
    <row r="173" spans="1:39">
      <c r="A173">
        <f t="shared" si="14"/>
        <v>9</v>
      </c>
      <c r="D173" s="1">
        <f ca="1">IF(AND(Energy!$F$11=$A$3,Main!$B$43=A173),Main!C30,D173)</f>
        <v>5.4210526315789478</v>
      </c>
      <c r="E173" s="72">
        <f ca="1">IF(AND(Energy!$F$11=$A$3,Main!$B$43=A173),Main!B30,E173)</f>
        <v>0.37777777777777766</v>
      </c>
      <c r="F173" s="72">
        <f ca="1">IF(Main!$D$6=1,U173,IF(Main!$D$6=2,N173,IF(Main!$D$6=3,K173,IF(Main!$D$6=4,V173,J173))))</f>
        <v>553.36990396188594</v>
      </c>
      <c r="G173" s="72">
        <f ca="1">IF(AND(Energy!$F$11=$A$3,Main!$B$43=A173),Weight!H30,G173)</f>
        <v>15</v>
      </c>
      <c r="H173" s="72">
        <f ca="1">IF(AND(Energy!$F$11=$A$3,Main!$B$43=A173),Weight!U30,H173)</f>
        <v>23.090919868008456</v>
      </c>
      <c r="I173" s="72">
        <f ca="1">IF(AND(Energy!$F$11=$A$3,Main!$B$43=A173),Weight!V30,I173)</f>
        <v>51.518960571133462</v>
      </c>
      <c r="J173" s="72">
        <f ca="1">IF(AND(Energy!$F$11=$A$3,Main!$B$43=A173),Weight!I30,J173)</f>
        <v>23.490392428125002</v>
      </c>
      <c r="K173" s="72">
        <f ca="1">IF(AND(Energy!$F$11=$A$3,Main!$B$43=A173),Weight!W30,K173)</f>
        <v>66.518960571133462</v>
      </c>
      <c r="L173" s="72">
        <f ca="1">IF(AND(Energy!$F$11=$A$3,Main!$B$43=A173),'Aerodynamics-Cruise'!BI30,L173)</f>
        <v>66.518960571133462</v>
      </c>
      <c r="M173" s="72">
        <f ca="1">IF(AND(Energy!$F$11=$A$3,Main!$B$43=A173),'Aerodynamics-Cruise'!BJ30,M173)</f>
        <v>3.220203762873151</v>
      </c>
      <c r="N173" s="72">
        <f ca="1">IF(AND(Energy!$F$11=$A$3,Main!$B$43=A173),'Aerodynamics-Cruise'!BK30,N173)</f>
        <v>20.656755121540346</v>
      </c>
      <c r="O173" s="72">
        <f t="shared" ca="1" si="13"/>
        <v>168.47475298338745</v>
      </c>
      <c r="P173" s="72">
        <f ca="1">IF(AND(Energy!$F$11=$A$3,Main!$B$43=A173),'Aerodynamics-Cruise'!H30,P173)</f>
        <v>7.7477016451936667</v>
      </c>
      <c r="Q173" s="72">
        <f ca="1">IF(AND(Energy!$F$11=$A$3,Main!$B$43=A173),'Aerodynamics-Cruise'!I30,Q173)</f>
        <v>6.4966255698027391</v>
      </c>
      <c r="R173" s="72">
        <f ca="1">IF(AND(Energy!$F$11=$A$3,Main!$B$43=$A173),Summary!R30,R173)</f>
        <v>3.9094321036163513</v>
      </c>
      <c r="S173" s="72">
        <f ca="1">IF(AND(Energy!$F$11=$A$3,Main!$B$43=A173),'Aerodynamics-Cruise'!W30,S173)</f>
        <v>1</v>
      </c>
      <c r="T173" s="72">
        <f ca="1">IF(AND(Energy!$F$11=$A$3,Main!$B$43=A173),'Aerodynamics-Cruise'!BL30,T173)</f>
        <v>24.949177991471149</v>
      </c>
      <c r="U173" s="72">
        <f ca="1">IF(AND(Energy!$F$11=$A$3,Main!$B$43=A173),'Propulsion-Cruise'!M30,U173)</f>
        <v>56.436682689069045</v>
      </c>
      <c r="V173" s="72">
        <f ca="1">IF(AND(Energy!$F$11=$A$3,Main!$B$43=A173),Endurance!AP30,V173)</f>
        <v>553.36990396188594</v>
      </c>
      <c r="W173" s="72">
        <f ca="1">IF(AND(Energy!$F$11=$A$3,Main!$B$43=$A173),Summary!W30,W173)</f>
        <v>2.0479532163742684</v>
      </c>
      <c r="X173" s="13">
        <f ca="1">IF(AND(Energy!$F$11=$A$3,Main!$B$43=A173),Energy!D30,X173)</f>
        <v>1182.0301388888888</v>
      </c>
      <c r="Y173" s="126">
        <f ca="1">IF(AND(Energy!$F$11=$A$3,Main!$B$43=A173),'Aerodynamics-Cruise'!V30,Y173)</f>
        <v>185632.73919284859</v>
      </c>
      <c r="Z173" s="126">
        <f ca="1">IF(AND(Energy!$F$11=$A$3,Main!$B$43=$A173),Summary!Z30,Z173)</f>
        <v>137950.73086763124</v>
      </c>
      <c r="AA173" s="126">
        <f ca="1">IF(AND(Energy!$F$11=$A$3,Main!$B$43=$A173),Summary!AA30,AA173)</f>
        <v>137950.73086763124</v>
      </c>
      <c r="AB173" s="72">
        <f ca="1">IF(AND(Energy!$F$11=$A$3,Main!$B$43=$A173),Summary!AB30,AB173)</f>
        <v>3.9094321036163513</v>
      </c>
      <c r="AC173" s="72">
        <f ca="1">IF(AND(Energy!$F$11=$A$3,Main!$B$43=$A173),Summary!AC30,AC173)</f>
        <v>1.8824502932002487</v>
      </c>
      <c r="AD173" s="72">
        <f ca="1">IF(AND(Energy!$F$11=$A$3,Main!$B$43=$A173),Summary!AD30,AD173)</f>
        <v>0.43137388716950986</v>
      </c>
      <c r="AE173" s="72">
        <f ca="1">IF(AND(Energy!$F$11=$A$3,Main!$B$43=$A173),Summary!AE30,AE173)</f>
        <v>2.0479532163742684</v>
      </c>
      <c r="AF173" s="72">
        <f ca="1">IF(AND(Energy!$F$11=$A$3,Main!$B$43=$A173),Summary!AF30,AF173)</f>
        <v>14.349845201238397</v>
      </c>
      <c r="AG173" s="72">
        <f ca="1">IF(AND(Energy!$F$11=$A$3,Main!$B$43=$A173),Summary!AG30,AG173)</f>
        <v>11.708760740563333</v>
      </c>
      <c r="AH173" s="72">
        <f ca="1">IF(AND(Energy!$F$11=$A$3,Main!$B$43=$A173),Summary!AH30,AH173)</f>
        <v>47</v>
      </c>
      <c r="AI173" s="72">
        <f ca="1">IF(AND(Energy!$F$11=$A$3,Main!$B$43=$A173),Summary!AI30,AI173)</f>
        <v>2.7875725133335338</v>
      </c>
      <c r="AJ173" s="72">
        <f ca="1">IF(AND(Energy!$F$11=$A$3,Main!$B$43=$A173),Summary!AJ30,AJ173)</f>
        <v>0.22960943961554056</v>
      </c>
      <c r="AK173" s="72">
        <f ca="1">IF(AND(Energy!$F$11=$A$3,Main!$B$43=$A173),Summary!AK30,AK173)</f>
        <v>0.01</v>
      </c>
      <c r="AL173" s="72">
        <f ca="1">IF(AND(Energy!$F$11=$A$3,Main!$B$43=$A173),Summary!AL30,AL173)</f>
        <v>-0.54440398440802806</v>
      </c>
      <c r="AM173" s="72">
        <f ca="1">IF(AND(Energy!$F$11=$A$3,Main!$B$43=$A173),Summary!AJ190,AM173)</f>
        <v>0</v>
      </c>
    </row>
    <row r="174" spans="1:39">
      <c r="A174">
        <f t="shared" si="14"/>
        <v>9</v>
      </c>
      <c r="D174" s="1">
        <f ca="1">IF(AND(Energy!$F$11=$A$3,Main!$B$43=A174),Main!C31,D174)</f>
        <v>5.5789473684210531</v>
      </c>
      <c r="E174" s="72">
        <f ca="1">IF(AND(Energy!$F$11=$A$3,Main!$B$43=A174),Main!B31,E174)</f>
        <v>0.37777777777777766</v>
      </c>
      <c r="F174" s="72">
        <f ca="1">IF(Main!$D$6=1,U174,IF(Main!$D$6=2,N174,IF(Main!$D$6=3,K174,IF(Main!$D$6=4,V174,J174))))</f>
        <v>553.42420362334144</v>
      </c>
      <c r="G174" s="72">
        <f ca="1">IF(AND(Energy!$F$11=$A$3,Main!$B$43=A174),Weight!H31,G174)</f>
        <v>15</v>
      </c>
      <c r="H174" s="72">
        <f ca="1">IF(AND(Energy!$F$11=$A$3,Main!$B$43=A174),Weight!U31,H174)</f>
        <v>23.882405994747387</v>
      </c>
      <c r="I174" s="72">
        <f ca="1">IF(AND(Energy!$F$11=$A$3,Main!$B$43=A174),Weight!V31,I174)</f>
        <v>52.310446697872393</v>
      </c>
      <c r="J174" s="72">
        <f ca="1">IF(AND(Energy!$F$11=$A$3,Main!$B$43=A174),Weight!I31,J174)</f>
        <v>23.490392428125002</v>
      </c>
      <c r="K174" s="72">
        <f ca="1">IF(AND(Energy!$F$11=$A$3,Main!$B$43=A174),Weight!W31,K174)</f>
        <v>67.310446697872393</v>
      </c>
      <c r="L174" s="72">
        <f ca="1">IF(AND(Energy!$F$11=$A$3,Main!$B$43=A174),'Aerodynamics-Cruise'!BI31,L174)</f>
        <v>67.310446697872379</v>
      </c>
      <c r="M174" s="72">
        <f ca="1">IF(AND(Energy!$F$11=$A$3,Main!$B$43=A174),'Aerodynamics-Cruise'!BJ31,M174)</f>
        <v>3.2255499175795337</v>
      </c>
      <c r="N174" s="72">
        <f ca="1">IF(AND(Energy!$F$11=$A$3,Main!$B$43=A174),'Aerodynamics-Cruise'!BK31,N174)</f>
        <v>20.867898007414013</v>
      </c>
      <c r="O174" s="72">
        <f t="shared" ca="1" si="13"/>
        <v>171.20637888408899</v>
      </c>
      <c r="P174" s="72">
        <f ca="1">IF(AND(Energy!$F$11=$A$3,Main!$B$43=A174),'Aerodynamics-Cruise'!H31,P174)</f>
        <v>7.6825256348034188</v>
      </c>
      <c r="Q174" s="72">
        <f ca="1">IF(AND(Energy!$F$11=$A$3,Main!$B$43=A174),'Aerodynamics-Cruise'!I31,Q174)</f>
        <v>6.4442291881547025</v>
      </c>
      <c r="R174" s="72">
        <f ca="1">IF(AND(Energy!$F$11=$A$3,Main!$B$43=$A174),Summary!R31,R174)</f>
        <v>3.891331799166069</v>
      </c>
      <c r="S174" s="72">
        <f ca="1">IF(AND(Energy!$F$11=$A$3,Main!$B$43=A174),'Aerodynamics-Cruise'!W31,S174)</f>
        <v>1</v>
      </c>
      <c r="T174" s="72">
        <f ca="1">IF(AND(Energy!$F$11=$A$3,Main!$B$43=A174),'Aerodynamics-Cruise'!BL31,T174)</f>
        <v>24.780369928142822</v>
      </c>
      <c r="U174" s="72">
        <f ca="1">IF(AND(Energy!$F$11=$A$3,Main!$B$43=A174),'Propulsion-Cruise'!M31,U174)</f>
        <v>56.247695878862068</v>
      </c>
      <c r="V174" s="72">
        <f ca="1">IF(AND(Energy!$F$11=$A$3,Main!$B$43=A174),Endurance!AP31,V174)</f>
        <v>553.42420362334144</v>
      </c>
      <c r="W174" s="72">
        <f ca="1">IF(AND(Energy!$F$11=$A$3,Main!$B$43=$A174),Summary!W31,W174)</f>
        <v>2.1076023391812861</v>
      </c>
      <c r="X174" s="13">
        <f ca="1">IF(AND(Energy!$F$11=$A$3,Main!$B$43=A174),Energy!D31,X174)</f>
        <v>1182.0301388888888</v>
      </c>
      <c r="Y174" s="126">
        <f ca="1">IF(AND(Energy!$F$11=$A$3,Main!$B$43=A174),'Aerodynamics-Cruise'!V31,Y174)</f>
        <v>184071.14042556658</v>
      </c>
      <c r="Z174" s="126">
        <f ca="1">IF(AND(Energy!$F$11=$A$3,Main!$B$43=$A174),Summary!Z31,Z174)</f>
        <v>136836.26631071809</v>
      </c>
      <c r="AA174" s="126">
        <f ca="1">IF(AND(Energy!$F$11=$A$3,Main!$B$43=$A174),Summary!AA31,AA174)</f>
        <v>136836.26631071809</v>
      </c>
      <c r="AB174" s="72">
        <f ca="1">IF(AND(Energy!$F$11=$A$3,Main!$B$43=$A174),Summary!AB31,AB174)</f>
        <v>3.891331799166069</v>
      </c>
      <c r="AC174" s="72">
        <f ca="1">IF(AND(Energy!$F$11=$A$3,Main!$B$43=$A174),Summary!AC31,AC174)</f>
        <v>1.8473777332961843</v>
      </c>
      <c r="AD174" s="72">
        <f ca="1">IF(AND(Energy!$F$11=$A$3,Main!$B$43=$A174),Summary!AD31,AD174)</f>
        <v>0.4300427144192715</v>
      </c>
      <c r="AE174" s="72">
        <f ca="1">IF(AND(Energy!$F$11=$A$3,Main!$B$43=$A174),Summary!AE31,AE174)</f>
        <v>2.1076023391812861</v>
      </c>
      <c r="AF174" s="72">
        <f ca="1">IF(AND(Energy!$F$11=$A$3,Main!$B$43=$A174),Summary!AF31,AF174)</f>
        <v>14.767801857585145</v>
      </c>
      <c r="AG174" s="72">
        <f ca="1">IF(AND(Energy!$F$11=$A$3,Main!$B$43=$A174),Summary!AG31,AG174)</f>
        <v>11.692817712593339</v>
      </c>
      <c r="AH174" s="72">
        <f ca="1">IF(AND(Energy!$F$11=$A$3,Main!$B$43=$A174),Summary!AH31,AH174)</f>
        <v>47</v>
      </c>
      <c r="AI174" s="72">
        <f ca="1">IF(AND(Energy!$F$11=$A$3,Main!$B$43=$A174),Summary!AI31,AI174)</f>
        <v>2.7856217978889188</v>
      </c>
      <c r="AJ174" s="72">
        <f ca="1">IF(AND(Energy!$F$11=$A$3,Main!$B$43=$A174),Summary!AJ31,AJ174)</f>
        <v>0.23011497114126092</v>
      </c>
      <c r="AK174" s="72">
        <f ca="1">IF(AND(Energy!$F$11=$A$3,Main!$B$43=$A174),Summary!AK31,AK174)</f>
        <v>0.01</v>
      </c>
      <c r="AL174" s="72">
        <f ca="1">IF(AND(Energy!$F$11=$A$3,Main!$B$43=$A174),Summary!AL31,AL174)</f>
        <v>-0.54320782317446403</v>
      </c>
      <c r="AM174" s="72">
        <f ca="1">IF(AND(Energy!$F$11=$A$3,Main!$B$43=$A174),Summary!AJ191,AM174)</f>
        <v>0</v>
      </c>
    </row>
    <row r="175" spans="1:39">
      <c r="A175">
        <f t="shared" si="14"/>
        <v>9</v>
      </c>
      <c r="D175" s="1">
        <f ca="1">IF(AND(Energy!$F$11=$A$3,Main!$B$43=A175),Main!C32,D175)</f>
        <v>5.7368421052631584</v>
      </c>
      <c r="E175" s="72">
        <f ca="1">IF(AND(Energy!$F$11=$A$3,Main!$B$43=A175),Main!B32,E175)</f>
        <v>0.37777777777777766</v>
      </c>
      <c r="F175" s="72">
        <f ca="1">IF(Main!$D$6=1,U175,IF(Main!$D$6=2,N175,IF(Main!$D$6=3,K175,IF(Main!$D$6=4,V175,J175))))</f>
        <v>553.96689431990853</v>
      </c>
      <c r="G175" s="72">
        <f ca="1">IF(AND(Energy!$F$11=$A$3,Main!$B$43=A175),Weight!H32,G175)</f>
        <v>15</v>
      </c>
      <c r="H175" s="72">
        <f ca="1">IF(AND(Energy!$F$11=$A$3,Main!$B$43=A175),Weight!U32,H175)</f>
        <v>24.690318897662152</v>
      </c>
      <c r="I175" s="72">
        <f ca="1">IF(AND(Energy!$F$11=$A$3,Main!$B$43=A175),Weight!V32,I175)</f>
        <v>53.118359600787159</v>
      </c>
      <c r="J175" s="72">
        <f ca="1">IF(AND(Energy!$F$11=$A$3,Main!$B$43=A175),Weight!I32,J175)</f>
        <v>23.490392428125002</v>
      </c>
      <c r="K175" s="72">
        <f ca="1">IF(AND(Energy!$F$11=$A$3,Main!$B$43=A175),Weight!W32,K175)</f>
        <v>68.118359600787159</v>
      </c>
      <c r="L175" s="72">
        <f ca="1">IF(AND(Energy!$F$11=$A$3,Main!$B$43=A175),'Aerodynamics-Cruise'!BI32,L175)</f>
        <v>68.118359600787159</v>
      </c>
      <c r="M175" s="72">
        <f ca="1">IF(AND(Energy!$F$11=$A$3,Main!$B$43=A175),'Aerodynamics-Cruise'!BJ32,M175)</f>
        <v>3.2328851023442664</v>
      </c>
      <c r="N175" s="72">
        <f ca="1">IF(AND(Energy!$F$11=$A$3,Main!$B$43=A175),'Aerodynamics-Cruise'!BK32,N175)</f>
        <v>21.070454855136177</v>
      </c>
      <c r="O175" s="72">
        <f t="shared" ca="1" si="13"/>
        <v>173.902570482404</v>
      </c>
      <c r="P175" s="72">
        <f ca="1">IF(AND(Energy!$F$11=$A$3,Main!$B$43=A175),'Aerodynamics-Cruise'!H32,P175)</f>
        <v>7.6213471795147845</v>
      </c>
      <c r="Q175" s="72">
        <f ca="1">IF(AND(Energy!$F$11=$A$3,Main!$B$43=A175),'Aerodynamics-Cruise'!I32,Q175)</f>
        <v>6.3950285161337312</v>
      </c>
      <c r="R175" s="72">
        <f ca="1">IF(AND(Energy!$F$11=$A$3,Main!$B$43=$A175),Summary!R32,R175)</f>
        <v>3.8772692134784714</v>
      </c>
      <c r="S175" s="72">
        <f ca="1">IF(AND(Energy!$F$11=$A$3,Main!$B$43=A175),'Aerodynamics-Cruise'!W32,S175)</f>
        <v>1</v>
      </c>
      <c r="T175" s="72">
        <f ca="1">IF(AND(Energy!$F$11=$A$3,Main!$B$43=A175),'Aerodynamics-Cruise'!BL32,T175)</f>
        <v>24.638939756446842</v>
      </c>
      <c r="U175" s="72">
        <f ca="1">IF(AND(Energy!$F$11=$A$3,Main!$B$43=A175),'Propulsion-Cruise'!M32,U175)</f>
        <v>56.112158181952033</v>
      </c>
      <c r="V175" s="72">
        <f ca="1">IF(AND(Energy!$F$11=$A$3,Main!$B$43=A175),Endurance!AP32,V175)</f>
        <v>553.96689431990853</v>
      </c>
      <c r="W175" s="72">
        <f ca="1">IF(AND(Energy!$F$11=$A$3,Main!$B$43=$A175),Summary!W32,W175)</f>
        <v>2.1672514619883034</v>
      </c>
      <c r="X175" s="13">
        <f ca="1">IF(AND(Energy!$F$11=$A$3,Main!$B$43=A175),Energy!D32,X175)</f>
        <v>1182.0301388888888</v>
      </c>
      <c r="Y175" s="126">
        <f ca="1">IF(AND(Energy!$F$11=$A$3,Main!$B$43=A175),'Aerodynamics-Cruise'!V32,Y175)</f>
        <v>182605.32194740389</v>
      </c>
      <c r="Z175" s="126">
        <f ca="1">IF(AND(Energy!$F$11=$A$3,Main!$B$43=$A175),Summary!Z32,Z175)</f>
        <v>135789.78909357</v>
      </c>
      <c r="AA175" s="126">
        <f ca="1">IF(AND(Energy!$F$11=$A$3,Main!$B$43=$A175),Summary!AA32,AA175)</f>
        <v>135789.78909357</v>
      </c>
      <c r="AB175" s="72">
        <f ca="1">IF(AND(Energy!$F$11=$A$3,Main!$B$43=$A175),Summary!AB32,AB175)</f>
        <v>3.8772692134784714</v>
      </c>
      <c r="AC175" s="72">
        <f ca="1">IF(AND(Energy!$F$11=$A$3,Main!$B$43=$A175),Summary!AC32,AC175)</f>
        <v>1.8131712832537861</v>
      </c>
      <c r="AD175" s="72">
        <f ca="1">IF(AND(Energy!$F$11=$A$3,Main!$B$43=$A175),Summary!AD32,AD175)</f>
        <v>0.42889461839320103</v>
      </c>
      <c r="AE175" s="72">
        <f ca="1">IF(AND(Energy!$F$11=$A$3,Main!$B$43=$A175),Summary!AE32,AE175)</f>
        <v>2.1672514619883034</v>
      </c>
      <c r="AF175" s="72">
        <f ca="1">IF(AND(Energy!$F$11=$A$3,Main!$B$43=$A175),Summary!AF32,AF175)</f>
        <v>15.185758513931896</v>
      </c>
      <c r="AG175" s="72">
        <f ca="1">IF(AND(Energy!$F$11=$A$3,Main!$B$43=$A175),Summary!AG32,AG175)</f>
        <v>11.683284343179171</v>
      </c>
      <c r="AH175" s="72">
        <f ca="1">IF(AND(Energy!$F$11=$A$3,Main!$B$43=$A175),Summary!AH32,AH175)</f>
        <v>47</v>
      </c>
      <c r="AI175" s="72">
        <f ca="1">IF(AND(Energy!$F$11=$A$3,Main!$B$43=$A175),Summary!AI32,AI175)</f>
        <v>2.7837779599031309</v>
      </c>
      <c r="AJ175" s="72">
        <f ca="1">IF(AND(Energy!$F$11=$A$3,Main!$B$43=$A175),Summary!AJ32,AJ175)</f>
        <v>0.23058973294250829</v>
      </c>
      <c r="AK175" s="72">
        <f ca="1">IF(AND(Energy!$F$11=$A$3,Main!$B$43=$A175),Summary!AK32,AK175)</f>
        <v>0.01</v>
      </c>
      <c r="AL175" s="72">
        <f ca="1">IF(AND(Energy!$F$11=$A$3,Main!$B$43=$A175),Summary!AL32,AL175)</f>
        <v>-0.54208923401968456</v>
      </c>
      <c r="AM175" s="72">
        <f ca="1">IF(AND(Energy!$F$11=$A$3,Main!$B$43=$A175),Summary!AJ192,AM175)</f>
        <v>0</v>
      </c>
    </row>
    <row r="176" spans="1:39">
      <c r="A176">
        <f t="shared" si="14"/>
        <v>9</v>
      </c>
      <c r="D176" s="1">
        <f ca="1">IF(AND(Energy!$F$11=$A$3,Main!$B$43=A176),Main!C33,D176)</f>
        <v>5.8947368421052637</v>
      </c>
      <c r="E176" s="72">
        <f ca="1">IF(AND(Energy!$F$11=$A$3,Main!$B$43=A176),Main!B33,E176)</f>
        <v>0.37777777777777766</v>
      </c>
      <c r="F176" s="72">
        <f ca="1">IF(Main!$D$6=1,U176,IF(Main!$D$6=2,N176,IF(Main!$D$6=3,K176,IF(Main!$D$6=4,V176,J176))))</f>
        <v>554.96480983242452</v>
      </c>
      <c r="G176" s="72">
        <f ca="1">IF(AND(Energy!$F$11=$A$3,Main!$B$43=A176),Weight!H33,G176)</f>
        <v>15</v>
      </c>
      <c r="H176" s="72">
        <f ca="1">IF(AND(Energy!$F$11=$A$3,Main!$B$43=A176),Weight!U33,H176)</f>
        <v>25.514824698863876</v>
      </c>
      <c r="I176" s="72">
        <f ca="1">IF(AND(Energy!$F$11=$A$3,Main!$B$43=A176),Weight!V33,I176)</f>
        <v>53.942865401988882</v>
      </c>
      <c r="J176" s="72">
        <f ca="1">IF(AND(Energy!$F$11=$A$3,Main!$B$43=A176),Weight!I33,J176)</f>
        <v>23.490392428125002</v>
      </c>
      <c r="K176" s="72">
        <f ca="1">IF(AND(Energy!$F$11=$A$3,Main!$B$43=A176),Weight!W33,K176)</f>
        <v>68.942865401988882</v>
      </c>
      <c r="L176" s="72">
        <f ca="1">IF(AND(Energy!$F$11=$A$3,Main!$B$43=A176),'Aerodynamics-Cruise'!BI33,L176)</f>
        <v>68.942865401988868</v>
      </c>
      <c r="M176" s="72">
        <f ca="1">IF(AND(Energy!$F$11=$A$3,Main!$B$43=A176),'Aerodynamics-Cruise'!BJ33,M176)</f>
        <v>3.2420751462785753</v>
      </c>
      <c r="N176" s="72">
        <f ca="1">IF(AND(Energy!$F$11=$A$3,Main!$B$43=A176),'Aerodynamics-Cruise'!BK33,N176)</f>
        <v>21.26504238531458</v>
      </c>
      <c r="O176" s="72">
        <f t="shared" ca="1" si="13"/>
        <v>176.56756079961863</v>
      </c>
      <c r="P176" s="72">
        <f ca="1">IF(AND(Energy!$F$11=$A$3,Main!$B$43=A176),'Aerodynamics-Cruise'!H33,P176)</f>
        <v>7.5639033396098014</v>
      </c>
      <c r="Q176" s="72">
        <f ca="1">IF(AND(Energy!$F$11=$A$3,Main!$B$43=A176),'Aerodynamics-Cruise'!I33,Q176)</f>
        <v>6.3488153445464421</v>
      </c>
      <c r="R176" s="72">
        <f ca="1">IF(AND(Energy!$F$11=$A$3,Main!$B$43=$A176),Summary!R33,R176)</f>
        <v>3.8670050490727914</v>
      </c>
      <c r="S176" s="72">
        <f ca="1">IF(AND(Energy!$F$11=$A$3,Main!$B$43=A176),'Aerodynamics-Cruise'!W33,S176)</f>
        <v>1</v>
      </c>
      <c r="T176" s="72">
        <f ca="1">IF(AND(Energy!$F$11=$A$3,Main!$B$43=A176),'Aerodynamics-Cruise'!BL33,T176)</f>
        <v>24.522743026202452</v>
      </c>
      <c r="U176" s="72">
        <f ca="1">IF(AND(Energy!$F$11=$A$3,Main!$B$43=A176),'Propulsion-Cruise'!M33,U176)</f>
        <v>56.026161833117911</v>
      </c>
      <c r="V176" s="72">
        <f ca="1">IF(AND(Energy!$F$11=$A$3,Main!$B$43=A176),Endurance!AP33,V176)</f>
        <v>554.96480983242452</v>
      </c>
      <c r="W176" s="72">
        <f ca="1">IF(AND(Energy!$F$11=$A$3,Main!$B$43=$A176),Summary!W33,W176)</f>
        <v>2.2269005847953212</v>
      </c>
      <c r="X176" s="13">
        <f ca="1">IF(AND(Energy!$F$11=$A$3,Main!$B$43=A176),Energy!D33,X176)</f>
        <v>1182.0301388888888</v>
      </c>
      <c r="Y176" s="126">
        <f ca="1">IF(AND(Energy!$F$11=$A$3,Main!$B$43=A176),'Aerodynamics-Cruise'!V33,Y176)</f>
        <v>181228.9837971174</v>
      </c>
      <c r="Z176" s="126">
        <f ca="1">IF(AND(Energy!$F$11=$A$3,Main!$B$43=$A176),Summary!Z33,Z176)</f>
        <v>134806.8679931534</v>
      </c>
      <c r="AA176" s="126">
        <f ca="1">IF(AND(Energy!$F$11=$A$3,Main!$B$43=$A176),Summary!AA33,AA176)</f>
        <v>134806.8679931534</v>
      </c>
      <c r="AB176" s="72">
        <f ca="1">IF(AND(Energy!$F$11=$A$3,Main!$B$43=$A176),Summary!AB33,AB176)</f>
        <v>3.8670050490727914</v>
      </c>
      <c r="AC176" s="72">
        <f ca="1">IF(AND(Energy!$F$11=$A$3,Main!$B$43=$A176),Summary!AC33,AC176)</f>
        <v>1.7797992333831794</v>
      </c>
      <c r="AD176" s="72">
        <f ca="1">IF(AND(Energy!$F$11=$A$3,Main!$B$43=$A176),Summary!AD33,AD176)</f>
        <v>0.42791741895438901</v>
      </c>
      <c r="AE176" s="72">
        <f ca="1">IF(AND(Energy!$F$11=$A$3,Main!$B$43=$A176),Summary!AE33,AE176)</f>
        <v>2.2269005847953212</v>
      </c>
      <c r="AF176" s="72">
        <f ca="1">IF(AND(Energy!$F$11=$A$3,Main!$B$43=$A176),Summary!AF33,AF176)</f>
        <v>15.603715170278646</v>
      </c>
      <c r="AG176" s="72">
        <f ca="1">IF(AND(Energy!$F$11=$A$3,Main!$B$43=$A176),Summary!AG33,AG176)</f>
        <v>11.679708157437405</v>
      </c>
      <c r="AH176" s="72">
        <f ca="1">IF(AND(Energy!$F$11=$A$3,Main!$B$43=$A176),Summary!AH33,AH176)</f>
        <v>47</v>
      </c>
      <c r="AI176" s="72">
        <f ca="1">IF(AND(Energy!$F$11=$A$3,Main!$B$43=$A176),Summary!AI33,AI176)</f>
        <v>2.7820351980557043</v>
      </c>
      <c r="AJ176" s="72">
        <f ca="1">IF(AND(Energy!$F$11=$A$3,Main!$B$43=$A176),Summary!AJ33,AJ176)</f>
        <v>0.23103580536359711</v>
      </c>
      <c r="AK176" s="72">
        <f ca="1">IF(AND(Energy!$F$11=$A$3,Main!$B$43=$A176),Summary!AK33,AK176)</f>
        <v>0.01</v>
      </c>
      <c r="AL176" s="72">
        <f ca="1">IF(AND(Energy!$F$11=$A$3,Main!$B$43=$A176),Summary!AL33,AL176)</f>
        <v>-0.54104242003355318</v>
      </c>
      <c r="AM176" s="72">
        <f ca="1">IF(AND(Energy!$F$11=$A$3,Main!$B$43=$A176),Summary!AJ193,AM176)</f>
        <v>0</v>
      </c>
    </row>
    <row r="177" spans="1:39">
      <c r="A177">
        <f t="shared" si="14"/>
        <v>9</v>
      </c>
      <c r="D177" s="1">
        <f ca="1">IF(AND(Energy!$F$11=$A$3,Main!$B$43=A177),Main!C34,D177)</f>
        <v>6.052631578947369</v>
      </c>
      <c r="E177" s="72">
        <f ca="1">IF(AND(Energy!$F$11=$A$3,Main!$B$43=A177),Main!B34,E177)</f>
        <v>0.37777777777777766</v>
      </c>
      <c r="F177" s="72">
        <f ca="1">IF(Main!$D$6=1,U177,IF(Main!$D$6=2,N177,IF(Main!$D$6=3,K177,IF(Main!$D$6=4,V177,J177))))</f>
        <v>556.38879103416173</v>
      </c>
      <c r="G177" s="72">
        <f ca="1">IF(AND(Energy!$F$11=$A$3,Main!$B$43=A177),Weight!H34,G177)</f>
        <v>15</v>
      </c>
      <c r="H177" s="72">
        <f ca="1">IF(AND(Energy!$F$11=$A$3,Main!$B$43=A177),Weight!U34,H177)</f>
        <v>26.356095119162248</v>
      </c>
      <c r="I177" s="72">
        <f ca="1">IF(AND(Energy!$F$11=$A$3,Main!$B$43=A177),Weight!V34,I177)</f>
        <v>54.784135822287254</v>
      </c>
      <c r="J177" s="72">
        <f ca="1">IF(AND(Energy!$F$11=$A$3,Main!$B$43=A177),Weight!I34,J177)</f>
        <v>23.490392428125002</v>
      </c>
      <c r="K177" s="72">
        <f ca="1">IF(AND(Energy!$F$11=$A$3,Main!$B$43=A177),Weight!W34,K177)</f>
        <v>69.784135822287254</v>
      </c>
      <c r="L177" s="72">
        <f ca="1">IF(AND(Energy!$F$11=$A$3,Main!$B$43=A177),'Aerodynamics-Cruise'!BI34,L177)</f>
        <v>69.78413582228724</v>
      </c>
      <c r="M177" s="72">
        <f ca="1">IF(AND(Energy!$F$11=$A$3,Main!$B$43=A177),'Aerodynamics-Cruise'!BJ34,M177)</f>
        <v>3.2530005454593089</v>
      </c>
      <c r="N177" s="72">
        <f ca="1">IF(AND(Energy!$F$11=$A$3,Main!$B$43=A177),'Aerodynamics-Cruise'!BK34,N177)</f>
        <v>21.452236126949078</v>
      </c>
      <c r="O177" s="72">
        <f t="shared" ca="1" si="13"/>
        <v>179.20532939207962</v>
      </c>
      <c r="P177" s="72">
        <f ca="1">IF(AND(Energy!$F$11=$A$3,Main!$B$43=A177),'Aerodynamics-Cruise'!H34,P177)</f>
        <v>7.5099554608939636</v>
      </c>
      <c r="Q177" s="72">
        <f ca="1">IF(AND(Energy!$F$11=$A$3,Main!$B$43=A177),'Aerodynamics-Cruise'!I34,Q177)</f>
        <v>6.3054005488083593</v>
      </c>
      <c r="R177" s="72">
        <f ca="1">IF(AND(Energy!$F$11=$A$3,Main!$B$43=$A177),Summary!R34,R177)</f>
        <v>3.860328310217167</v>
      </c>
      <c r="S177" s="72">
        <f ca="1">IF(AND(Energy!$F$11=$A$3,Main!$B$43=A177),'Aerodynamics-Cruise'!W34,S177)</f>
        <v>1</v>
      </c>
      <c r="T177" s="72">
        <f ca="1">IF(AND(Energy!$F$11=$A$3,Main!$B$43=A177),'Aerodynamics-Cruise'!BL34,T177)</f>
        <v>24.42988921066318</v>
      </c>
      <c r="U177" s="72">
        <f ca="1">IF(AND(Energy!$F$11=$A$3,Main!$B$43=A177),'Propulsion-Cruise'!M34,U177)</f>
        <v>55.986262393027246</v>
      </c>
      <c r="V177" s="72">
        <f ca="1">IF(AND(Energy!$F$11=$A$3,Main!$B$43=A177),Endurance!AP34,V177)</f>
        <v>556.38879103416173</v>
      </c>
      <c r="W177" s="72">
        <f ca="1">IF(AND(Energy!$F$11=$A$3,Main!$B$43=$A177),Summary!W34,W177)</f>
        <v>2.2865497076023389</v>
      </c>
      <c r="X177" s="13">
        <f ca="1">IF(AND(Energy!$F$11=$A$3,Main!$B$43=A177),Energy!D34,X177)</f>
        <v>1182.0301388888888</v>
      </c>
      <c r="Y177" s="126">
        <f ca="1">IF(AND(Energy!$F$11=$A$3,Main!$B$43=A177),'Aerodynamics-Cruise'!V34,Y177)</f>
        <v>179936.40788773436</v>
      </c>
      <c r="Z177" s="126">
        <f ca="1">IF(AND(Energy!$F$11=$A$3,Main!$B$43=$A177),Summary!Z34,Z177)</f>
        <v>133883.4780781873</v>
      </c>
      <c r="AA177" s="126">
        <f ca="1">IF(AND(Energy!$F$11=$A$3,Main!$B$43=$A177),Summary!AA34,AA177)</f>
        <v>133883.4780781873</v>
      </c>
      <c r="AB177" s="72">
        <f ca="1">IF(AND(Energy!$F$11=$A$3,Main!$B$43=$A177),Summary!AB34,AB177)</f>
        <v>3.860328310217167</v>
      </c>
      <c r="AC177" s="72">
        <f ca="1">IF(AND(Energy!$F$11=$A$3,Main!$B$43=$A177),Summary!AC34,AC177)</f>
        <v>1.747231057411551</v>
      </c>
      <c r="AD177" s="72">
        <f ca="1">IF(AND(Energy!$F$11=$A$3,Main!$B$43=$A177),Summary!AD34,AD177)</f>
        <v>0.42710010948384713</v>
      </c>
      <c r="AE177" s="72">
        <f ca="1">IF(AND(Energy!$F$11=$A$3,Main!$B$43=$A177),Summary!AE34,AE177)</f>
        <v>2.2865497076023389</v>
      </c>
      <c r="AF177" s="72">
        <f ca="1">IF(AND(Energy!$F$11=$A$3,Main!$B$43=$A177),Summary!AF34,AF177)</f>
        <v>16.021671826625393</v>
      </c>
      <c r="AG177" s="72">
        <f ca="1">IF(AND(Energy!$F$11=$A$3,Main!$B$43=$A177),Summary!AG34,AG177)</f>
        <v>11.681685769366011</v>
      </c>
      <c r="AH177" s="72">
        <f ca="1">IF(AND(Energy!$F$11=$A$3,Main!$B$43=$A177),Summary!AH34,AH177)</f>
        <v>47</v>
      </c>
      <c r="AI177" s="72">
        <f ca="1">IF(AND(Energy!$F$11=$A$3,Main!$B$43=$A177),Summary!AI34,AI177)</f>
        <v>2.7803881803352053</v>
      </c>
      <c r="AJ177" s="72">
        <f ca="1">IF(AND(Energy!$F$11=$A$3,Main!$B$43=$A177),Summary!AJ34,AJ177)</f>
        <v>0.231455065107009</v>
      </c>
      <c r="AK177" s="72">
        <f ca="1">IF(AND(Energy!$F$11=$A$3,Main!$B$43=$A177),Summary!AK34,AK177)</f>
        <v>0.01</v>
      </c>
      <c r="AL177" s="72">
        <f ca="1">IF(AND(Energy!$F$11=$A$3,Main!$B$43=$A177),Summary!AL34,AL177)</f>
        <v>-0.54006219798508193</v>
      </c>
      <c r="AM177" s="72">
        <f ca="1">IF(AND(Energy!$F$11=$A$3,Main!$B$43=$A177),Summary!AJ194,AM177)</f>
        <v>0</v>
      </c>
    </row>
    <row r="178" spans="1:39">
      <c r="A178">
        <f t="shared" si="14"/>
        <v>9</v>
      </c>
      <c r="D178" s="1">
        <f ca="1">IF(AND(Energy!$F$11=$A$3,Main!$B$43=A178),Main!C35,D178)</f>
        <v>6.2105263157894743</v>
      </c>
      <c r="E178" s="72">
        <f ca="1">IF(AND(Energy!$F$11=$A$3,Main!$B$43=A178),Main!B35,E178)</f>
        <v>0.37777777777777766</v>
      </c>
      <c r="F178" s="72">
        <f ca="1">IF(Main!$D$6=1,U178,IF(Main!$D$6=2,N178,IF(Main!$D$6=3,K178,IF(Main!$D$6=4,V178,J178))))</f>
        <v>558.21313855118308</v>
      </c>
      <c r="G178" s="72">
        <f ca="1">IF(AND(Energy!$F$11=$A$3,Main!$B$43=A178),Weight!H35,G178)</f>
        <v>15</v>
      </c>
      <c r="H178" s="72">
        <f ca="1">IF(AND(Energy!$F$11=$A$3,Main!$B$43=A178),Weight!U35,H178)</f>
        <v>27.214307154520029</v>
      </c>
      <c r="I178" s="72">
        <f ca="1">IF(AND(Energy!$F$11=$A$3,Main!$B$43=A178),Weight!V35,I178)</f>
        <v>55.642347857645035</v>
      </c>
      <c r="J178" s="72">
        <f ca="1">IF(AND(Energy!$F$11=$A$3,Main!$B$43=A178),Weight!I35,J178)</f>
        <v>23.490392428125002</v>
      </c>
      <c r="K178" s="72">
        <f ca="1">IF(AND(Energy!$F$11=$A$3,Main!$B$43=A178),Weight!W35,K178)</f>
        <v>70.642347857645035</v>
      </c>
      <c r="L178" s="72">
        <f ca="1">IF(AND(Energy!$F$11=$A$3,Main!$B$43=A178),'Aerodynamics-Cruise'!BI35,L178)</f>
        <v>70.642347857645035</v>
      </c>
      <c r="M178" s="72">
        <f ca="1">IF(AND(Energy!$F$11=$A$3,Main!$B$43=A178),'Aerodynamics-Cruise'!BJ35,M178)</f>
        <v>3.2655545787392106</v>
      </c>
      <c r="N178" s="72">
        <f ca="1">IF(AND(Energy!$F$11=$A$3,Main!$B$43=A178),'Aerodynamics-Cruise'!BK35,N178)</f>
        <v>21.63257301457174</v>
      </c>
      <c r="O178" s="72">
        <f t="shared" ca="1" si="13"/>
        <v>181.81961788171793</v>
      </c>
      <c r="P178" s="72">
        <f ca="1">IF(AND(Energy!$F$11=$A$3,Main!$B$43=A178),'Aerodynamics-Cruise'!H35,P178)</f>
        <v>7.4592863616605642</v>
      </c>
      <c r="Q178" s="72">
        <f ca="1">IF(AND(Energy!$F$11=$A$3,Main!$B$43=A178),'Aerodynamics-Cruise'!I35,Q178)</f>
        <v>6.2646118915047806</v>
      </c>
      <c r="R178" s="72">
        <f ca="1">IF(AND(Energy!$F$11=$A$3,Main!$B$43=$A178),Summary!R35,R178)</f>
        <v>3.857052720341926</v>
      </c>
      <c r="S178" s="72">
        <f ca="1">IF(AND(Energy!$F$11=$A$3,Main!$B$43=A178),'Aerodynamics-Cruise'!W35,S178)</f>
        <v>1</v>
      </c>
      <c r="T178" s="72">
        <f ca="1">IF(AND(Energy!$F$11=$A$3,Main!$B$43=A178),'Aerodynamics-Cruise'!BL35,T178)</f>
        <v>24.358706732447605</v>
      </c>
      <c r="U178" s="72">
        <f ca="1">IF(AND(Energy!$F$11=$A$3,Main!$B$43=A178),'Propulsion-Cruise'!M35,U178)</f>
        <v>55.989415353476033</v>
      </c>
      <c r="V178" s="72">
        <f ca="1">IF(AND(Energy!$F$11=$A$3,Main!$B$43=A178),Endurance!AP35,V178)</f>
        <v>558.21313855118308</v>
      </c>
      <c r="W178" s="72">
        <f ca="1">IF(AND(Energy!$F$11=$A$3,Main!$B$43=$A178),Summary!W35,W178)</f>
        <v>2.3461988304093562</v>
      </c>
      <c r="X178" s="13">
        <f ca="1">IF(AND(Energy!$F$11=$A$3,Main!$B$43=A178),Energy!D35,X178)</f>
        <v>1182.0301388888888</v>
      </c>
      <c r="Y178" s="126">
        <f ca="1">IF(AND(Energy!$F$11=$A$3,Main!$B$43=A178),'Aerodynamics-Cruise'!V35,Y178)</f>
        <v>178722.39060701407</v>
      </c>
      <c r="Z178" s="126">
        <f ca="1">IF(AND(Energy!$F$11=$A$3,Main!$B$43=$A178),Summary!Z35,Z178)</f>
        <v>133015.95391682399</v>
      </c>
      <c r="AA178" s="126">
        <f ca="1">IF(AND(Energy!$F$11=$A$3,Main!$B$43=$A178),Summary!AA35,AA178)</f>
        <v>133015.95391682399</v>
      </c>
      <c r="AB178" s="72">
        <f ca="1">IF(AND(Energy!$F$11=$A$3,Main!$B$43=$A178),Summary!AB35,AB178)</f>
        <v>3.857052720341926</v>
      </c>
      <c r="AC178" s="72">
        <f ca="1">IF(AND(Energy!$F$11=$A$3,Main!$B$43=$A178),Summary!AC35,AC178)</f>
        <v>1.7154377755311314</v>
      </c>
      <c r="AD178" s="72">
        <f ca="1">IF(AND(Energy!$F$11=$A$3,Main!$B$43=$A178),Summary!AD35,AD178)</f>
        <v>0.42643271767107438</v>
      </c>
      <c r="AE178" s="72">
        <f ca="1">IF(AND(Energy!$F$11=$A$3,Main!$B$43=$A178),Summary!AE35,AE178)</f>
        <v>2.3461988304093562</v>
      </c>
      <c r="AF178" s="72">
        <f ca="1">IF(AND(Energy!$F$11=$A$3,Main!$B$43=$A178),Summary!AF35,AF178)</f>
        <v>16.439628482972143</v>
      </c>
      <c r="AG178" s="72">
        <f ca="1">IF(AND(Energy!$F$11=$A$3,Main!$B$43=$A178),Summary!AG35,AG178)</f>
        <v>11.688856561046469</v>
      </c>
      <c r="AH178" s="72">
        <f ca="1">IF(AND(Energy!$F$11=$A$3,Main!$B$43=$A178),Summary!AH35,AH178)</f>
        <v>47</v>
      </c>
      <c r="AI178" s="72">
        <f ca="1">IF(AND(Energy!$F$11=$A$3,Main!$B$43=$A178),Summary!AI35,AI178)</f>
        <v>2.7788319931763628</v>
      </c>
      <c r="AJ178" s="72">
        <f ca="1">IF(AND(Energy!$F$11=$A$3,Main!$B$43=$A178),Summary!AJ35,AJ178)</f>
        <v>0.23184921069918629</v>
      </c>
      <c r="AK178" s="72">
        <f ca="1">IF(AND(Energy!$F$11=$A$3,Main!$B$43=$A178),Summary!AK35,AK178)</f>
        <v>0.01</v>
      </c>
      <c r="AL178" s="72">
        <f ca="1">IF(AND(Energy!$F$11=$A$3,Main!$B$43=$A178),Summary!AL35,AL178)</f>
        <v>-0.53914391675584106</v>
      </c>
      <c r="AM178" s="72">
        <f ca="1">IF(AND(Energy!$F$11=$A$3,Main!$B$43=$A178),Summary!AJ195,AM178)</f>
        <v>0</v>
      </c>
    </row>
    <row r="179" spans="1:39">
      <c r="A179">
        <f t="shared" si="14"/>
        <v>9</v>
      </c>
      <c r="D179" s="1">
        <f ca="1">IF(AND(Energy!$F$11=$A$3,Main!$B$43=A179),Main!C36,D179)</f>
        <v>6.3684210526315796</v>
      </c>
      <c r="E179" s="72">
        <f ca="1">IF(AND(Energy!$F$11=$A$3,Main!$B$43=A179),Main!B36,E179)</f>
        <v>0.37777777777777766</v>
      </c>
      <c r="F179" s="72">
        <f ca="1">IF(Main!$D$6=1,U179,IF(Main!$D$6=2,N179,IF(Main!$D$6=3,K179,IF(Main!$D$6=4,V179,J179))))</f>
        <v>560.41515234951225</v>
      </c>
      <c r="G179" s="72">
        <f ca="1">IF(AND(Energy!$F$11=$A$3,Main!$B$43=A179),Weight!H36,G179)</f>
        <v>15</v>
      </c>
      <c r="H179" s="72">
        <f ca="1">IF(AND(Energy!$F$11=$A$3,Main!$B$43=A179),Weight!U36,H179)</f>
        <v>28.089642781476883</v>
      </c>
      <c r="I179" s="72">
        <f ca="1">IF(AND(Energy!$F$11=$A$3,Main!$B$43=A179),Weight!V36,I179)</f>
        <v>56.517683484601889</v>
      </c>
      <c r="J179" s="72">
        <f ca="1">IF(AND(Energy!$F$11=$A$3,Main!$B$43=A179),Weight!I36,J179)</f>
        <v>23.490392428125002</v>
      </c>
      <c r="K179" s="72">
        <f ca="1">IF(AND(Energy!$F$11=$A$3,Main!$B$43=A179),Weight!W36,K179)</f>
        <v>71.517683484601889</v>
      </c>
      <c r="L179" s="72">
        <f ca="1">IF(AND(Energy!$F$11=$A$3,Main!$B$43=A179),'Aerodynamics-Cruise'!BI36,L179)</f>
        <v>71.517683484601889</v>
      </c>
      <c r="M179" s="72">
        <f ca="1">IF(AND(Energy!$F$11=$A$3,Main!$B$43=A179),'Aerodynamics-Cruise'!BJ36,M179)</f>
        <v>3.2796417051794293</v>
      </c>
      <c r="N179" s="72">
        <f ca="1">IF(AND(Energy!$F$11=$A$3,Main!$B$43=A179),'Aerodynamics-Cruise'!BK36,N179)</f>
        <v>21.806553859726929</v>
      </c>
      <c r="O179" s="72">
        <f t="shared" ca="1" si="13"/>
        <v>184.41394477225657</v>
      </c>
      <c r="P179" s="72">
        <f ca="1">IF(AND(Energy!$F$11=$A$3,Main!$B$43=A179),'Aerodynamics-Cruise'!H36,P179)</f>
        <v>7.4116979071054203</v>
      </c>
      <c r="Q179" s="72">
        <f ca="1">IF(AND(Energy!$F$11=$A$3,Main!$B$43=A179),'Aerodynamics-Cruise'!I36,Q179)</f>
        <v>6.2262921260028161</v>
      </c>
      <c r="R179" s="72">
        <f ca="1">IF(AND(Energy!$F$11=$A$3,Main!$B$43=$A179),Summary!R36,R179)</f>
        <v>3.8570136814444189</v>
      </c>
      <c r="S179" s="72">
        <f ca="1">IF(AND(Energy!$F$11=$A$3,Main!$B$43=A179),'Aerodynamics-Cruise'!W36,S179)</f>
        <v>1</v>
      </c>
      <c r="T179" s="72">
        <f ca="1">IF(AND(Energy!$F$11=$A$3,Main!$B$43=A179),'Aerodynamics-Cruise'!BL36,T179)</f>
        <v>24.30771356233403</v>
      </c>
      <c r="U179" s="72">
        <f ca="1">IF(AND(Energy!$F$11=$A$3,Main!$B$43=A179),'Propulsion-Cruise'!M36,U179)</f>
        <v>56.032922817198681</v>
      </c>
      <c r="V179" s="72">
        <f ca="1">IF(AND(Energy!$F$11=$A$3,Main!$B$43=A179),Endurance!AP36,V179)</f>
        <v>560.41515234951225</v>
      </c>
      <c r="W179" s="72">
        <f ca="1">IF(AND(Energy!$F$11=$A$3,Main!$B$43=$A179),Summary!W36,W179)</f>
        <v>2.4058479532163739</v>
      </c>
      <c r="X179" s="13">
        <f ca="1">IF(AND(Energy!$F$11=$A$3,Main!$B$43=A179),Energy!D36,X179)</f>
        <v>1182.0301388888888</v>
      </c>
      <c r="Y179" s="126">
        <f ca="1">IF(AND(Energy!$F$11=$A$3,Main!$B$43=A179),'Aerodynamics-Cruise'!V36,Y179)</f>
        <v>177582.18470111088</v>
      </c>
      <c r="Z179" s="126">
        <f ca="1">IF(AND(Energy!$F$11=$A$3,Main!$B$43=$A179),Summary!Z36,Z179)</f>
        <v>132200.94919628426</v>
      </c>
      <c r="AA179" s="126">
        <f ca="1">IF(AND(Energy!$F$11=$A$3,Main!$B$43=$A179),Summary!AA36,AA179)</f>
        <v>132200.94919628426</v>
      </c>
      <c r="AB179" s="72">
        <f ca="1">IF(AND(Energy!$F$11=$A$3,Main!$B$43=$A179),Summary!AB36,AB179)</f>
        <v>3.8570136814444189</v>
      </c>
      <c r="AC179" s="72">
        <f ca="1">IF(AND(Energy!$F$11=$A$3,Main!$B$43=$A179),Summary!AC36,AC179)</f>
        <v>1.6843903927098307</v>
      </c>
      <c r="AD179" s="72">
        <f ca="1">IF(AND(Energy!$F$11=$A$3,Main!$B$43=$A179),Summary!AD36,AD179)</f>
        <v>0.42590618579173606</v>
      </c>
      <c r="AE179" s="72">
        <f ca="1">IF(AND(Energy!$F$11=$A$3,Main!$B$43=$A179),Summary!AE36,AE179)</f>
        <v>2.4058479532163739</v>
      </c>
      <c r="AF179" s="72">
        <f ca="1">IF(AND(Energy!$F$11=$A$3,Main!$B$43=$A179),Summary!AF36,AF179)</f>
        <v>16.857585139318893</v>
      </c>
      <c r="AG179" s="72">
        <f ca="1">IF(AND(Energy!$F$11=$A$3,Main!$B$43=$A179),Summary!AG36,AG179)</f>
        <v>11.700897308251522</v>
      </c>
      <c r="AH179" s="72">
        <f ca="1">IF(AND(Energy!$F$11=$A$3,Main!$B$43=$A179),Summary!AH36,AH179)</f>
        <v>47</v>
      </c>
      <c r="AI179" s="72">
        <f ca="1">IF(AND(Energy!$F$11=$A$3,Main!$B$43=$A179),Summary!AI36,AI179)</f>
        <v>2.7773620973456099</v>
      </c>
      <c r="AJ179" s="72">
        <f ca="1">IF(AND(Energy!$F$11=$A$3,Main!$B$43=$A179),Summary!AJ36,AJ179)</f>
        <v>0.23221978442273056</v>
      </c>
      <c r="AK179" s="72">
        <f ca="1">IF(AND(Energy!$F$11=$A$3,Main!$B$43=$A179),Summary!AK36,AK179)</f>
        <v>0.01</v>
      </c>
      <c r="AL179" s="72">
        <f ca="1">IF(AND(Energy!$F$11=$A$3,Main!$B$43=$A179),Summary!AL36,AL179)</f>
        <v>-0.53828338799877939</v>
      </c>
      <c r="AM179" s="72">
        <f ca="1">IF(AND(Energy!$F$11=$A$3,Main!$B$43=$A179),Summary!AJ196,AM179)</f>
        <v>0</v>
      </c>
    </row>
    <row r="180" spans="1:39">
      <c r="A180">
        <f t="shared" si="14"/>
        <v>9</v>
      </c>
      <c r="D180" s="1">
        <f ca="1">IF(AND(Energy!$F$11=$A$3,Main!$B$43=A180),Main!C37,D180)</f>
        <v>6.526315789473685</v>
      </c>
      <c r="E180" s="72">
        <f ca="1">IF(AND(Energy!$F$11=$A$3,Main!$B$43=A180),Main!B37,E180)</f>
        <v>0.37777777777777766</v>
      </c>
      <c r="F180" s="72">
        <f ca="1">IF(Main!$D$6=1,U180,IF(Main!$D$6=2,N180,IF(Main!$D$6=3,K180,IF(Main!$D$6=4,V180,J180))))</f>
        <v>564.55106716752414</v>
      </c>
      <c r="G180" s="72">
        <f ca="1">IF(AND(Energy!$F$11=$A$3,Main!$B$43=A180),Weight!H37,G180)</f>
        <v>15</v>
      </c>
      <c r="H180" s="72">
        <f ca="1">IF(AND(Energy!$F$11=$A$3,Main!$B$43=A180),Weight!U37,H180)</f>
        <v>28.982288687758953</v>
      </c>
      <c r="I180" s="72">
        <f ca="1">IF(AND(Energy!$F$11=$A$3,Main!$B$43=A180),Weight!V37,I180)</f>
        <v>57.410329390883959</v>
      </c>
      <c r="J180" s="72">
        <f ca="1">IF(AND(Energy!$F$11=$A$3,Main!$B$43=A180),Weight!I37,J180)</f>
        <v>23.490392428125002</v>
      </c>
      <c r="K180" s="72">
        <f ca="1">IF(AND(Energy!$F$11=$A$3,Main!$B$43=A180),Weight!W37,K180)</f>
        <v>72.410329390883959</v>
      </c>
      <c r="L180" s="72">
        <f ca="1">IF(AND(Energy!$F$11=$A$3,Main!$B$43=A180),'Aerodynamics-Cruise'!BI37,L180)</f>
        <v>72.410329390883945</v>
      </c>
      <c r="M180" s="72">
        <f ca="1">IF(AND(Energy!$F$11=$A$3,Main!$B$43=A180),'Aerodynamics-Cruise'!BJ37,M180)</f>
        <v>3.295176195308211</v>
      </c>
      <c r="N180" s="72">
        <f ca="1">IF(AND(Energy!$F$11=$A$3,Main!$B$43=A180),'Aerodynamics-Cruise'!BK37,N180)</f>
        <v>21.974645693903817</v>
      </c>
      <c r="O180" s="72">
        <f t="shared" ca="1" si="13"/>
        <v>186.99161952516735</v>
      </c>
      <c r="P180" s="72">
        <f ca="1">IF(AND(Energy!$F$11=$A$3,Main!$B$43=A180),'Aerodynamics-Cruise'!H37,P180)</f>
        <v>7.3670089096897451</v>
      </c>
      <c r="Q180" s="72">
        <f ca="1">IF(AND(Energy!$F$11=$A$3,Main!$B$43=A180),'Aerodynamics-Cruise'!I37,Q180)</f>
        <v>6.1902973535629462</v>
      </c>
      <c r="R180" s="72">
        <f ca="1">IF(AND(Energy!$F$11=$A$3,Main!$B$43=$A180),Summary!R37,R180)</f>
        <v>3.8600656825636981</v>
      </c>
      <c r="S180" s="72">
        <f ca="1">IF(AND(Energy!$F$11=$A$3,Main!$B$43=A180),'Aerodynamics-Cruise'!W37,S180)</f>
        <v>1</v>
      </c>
      <c r="T180" s="72">
        <f ca="1">IF(AND(Energy!$F$11=$A$3,Main!$B$43=A180),'Aerodynamics-Cruise'!BL37,T180)</f>
        <v>24.275592389833147</v>
      </c>
      <c r="U180" s="72">
        <f ca="1">IF(AND(Energy!$F$11=$A$3,Main!$B$43=A180),'Propulsion-Cruise'!M37,U180)</f>
        <v>56.114388445024055</v>
      </c>
      <c r="V180" s="72">
        <f ca="1">IF(AND(Energy!$F$11=$A$3,Main!$B$43=A180),Endurance!AP37,V180)</f>
        <v>564.55106716752414</v>
      </c>
      <c r="W180" s="72">
        <f ca="1">IF(AND(Energy!$F$11=$A$3,Main!$B$43=$A180),Summary!W37,W180)</f>
        <v>2.4654970760233912</v>
      </c>
      <c r="X180" s="13">
        <f ca="1">IF(AND(Energy!$F$11=$A$3,Main!$B$43=A180),Energy!D37,X180)</f>
        <v>1182.0301388888888</v>
      </c>
      <c r="Y180" s="126">
        <f ca="1">IF(AND(Energy!$F$11=$A$3,Main!$B$43=A180),'Aerodynamics-Cruise'!V37,Y180)</f>
        <v>176511.44896786279</v>
      </c>
      <c r="Z180" s="126">
        <f ca="1">IF(AND(Energy!$F$11=$A$3,Main!$B$43=$A180),Summary!Z37,Z180)</f>
        <v>131435.40174146288</v>
      </c>
      <c r="AA180" s="126">
        <f ca="1">IF(AND(Energy!$F$11=$A$3,Main!$B$43=$A180),Summary!AA37,AA180)</f>
        <v>131435.40174146288</v>
      </c>
      <c r="AB180" s="72">
        <f ca="1">IF(AND(Energy!$F$11=$A$3,Main!$B$43=$A180),Summary!AB37,AB180)</f>
        <v>3.8600656825636981</v>
      </c>
      <c r="AC180" s="72">
        <f ca="1">IF(AND(Energy!$F$11=$A$3,Main!$B$43=$A180),Summary!AC37,AC180)</f>
        <v>1.6540630491543167</v>
      </c>
      <c r="AD180" s="72">
        <f ca="1">IF(AND(Energy!$F$11=$A$3,Main!$B$43=$A180),Summary!AD37,AD180)</f>
        <v>0.42551226734171071</v>
      </c>
      <c r="AE180" s="72">
        <f ca="1">IF(AND(Energy!$F$11=$A$3,Main!$B$43=$A180),Summary!AE37,AE180)</f>
        <v>2.4654970760233912</v>
      </c>
      <c r="AF180" s="72">
        <f ca="1">IF(AND(Energy!$F$11=$A$3,Main!$B$43=$A180),Summary!AF37,AF180)</f>
        <v>17.275541795665642</v>
      </c>
      <c r="AG180" s="72">
        <f ca="1">IF(AND(Energy!$F$11=$A$3,Main!$B$43=$A180),Summary!AG37,AG180)</f>
        <v>11.717517591703531</v>
      </c>
      <c r="AH180" s="72">
        <f ca="1">IF(AND(Energy!$F$11=$A$3,Main!$B$43=$A180),Summary!AH37,AH180)</f>
        <v>47</v>
      </c>
      <c r="AI180" s="72">
        <f ca="1">IF(AND(Energy!$F$11=$A$3,Main!$B$43=$A180),Summary!AI37,AI180)</f>
        <v>2.7759742895247688</v>
      </c>
      <c r="AJ180" s="72">
        <f ca="1">IF(AND(Energy!$F$11=$A$3,Main!$B$43=$A180),Summary!AJ37,AJ180)</f>
        <v>0.23256819038107487</v>
      </c>
      <c r="AK180" s="72">
        <f ca="1">IF(AND(Energy!$F$11=$A$3,Main!$B$43=$A180),Summary!AK37,AK180)</f>
        <v>0.01</v>
      </c>
      <c r="AL180" s="72">
        <f ca="1">IF(AND(Energy!$F$11=$A$3,Main!$B$43=$A180),Summary!AL37,AL180)</f>
        <v>-0.53747682901330252</v>
      </c>
      <c r="AM180" s="72">
        <f ca="1">IF(AND(Energy!$F$11=$A$3,Main!$B$43=$A180),Summary!AJ197,AM180)</f>
        <v>0</v>
      </c>
    </row>
    <row r="181" spans="1:39">
      <c r="A181">
        <f t="shared" si="14"/>
        <v>9</v>
      </c>
      <c r="D181" s="1">
        <f ca="1">IF(AND(Energy!$F$11=$A$3,Main!$B$43=A181),Main!C38,D181)</f>
        <v>6.6842105263157903</v>
      </c>
      <c r="E181" s="72">
        <f ca="1">IF(AND(Energy!$F$11=$A$3,Main!$B$43=A181),Main!B38,E181)</f>
        <v>0.37777777777777766</v>
      </c>
      <c r="F181" s="72">
        <f ca="1">IF(Main!$D$6=1,U181,IF(Main!$D$6=2,N181,IF(Main!$D$6=3,K181,IF(Main!$D$6=4,V181,J181))))</f>
        <v>571.38714732759877</v>
      </c>
      <c r="G181" s="72">
        <f ca="1">IF(AND(Energy!$F$11=$A$3,Main!$B$43=A181),Weight!H38,G181)</f>
        <v>15</v>
      </c>
      <c r="H181" s="72">
        <f ca="1">IF(AND(Energy!$F$11=$A$3,Main!$B$43=A181),Weight!U38,H181)</f>
        <v>29.892436024863528</v>
      </c>
      <c r="I181" s="72">
        <f ca="1">IF(AND(Energy!$F$11=$A$3,Main!$B$43=A181),Weight!V38,I181)</f>
        <v>58.320476727988535</v>
      </c>
      <c r="J181" s="72">
        <f ca="1">IF(AND(Energy!$F$11=$A$3,Main!$B$43=A181),Weight!I38,J181)</f>
        <v>23.490392428125002</v>
      </c>
      <c r="K181" s="72">
        <f ca="1">IF(AND(Energy!$F$11=$A$3,Main!$B$43=A181),Weight!W38,K181)</f>
        <v>73.320476727988535</v>
      </c>
      <c r="L181" s="72">
        <f ca="1">IF(AND(Energy!$F$11=$A$3,Main!$B$43=A181),'Aerodynamics-Cruise'!BI38,L181)</f>
        <v>73.320476727988535</v>
      </c>
      <c r="M181" s="72">
        <f ca="1">IF(AND(Energy!$F$11=$A$3,Main!$B$43=A181),'Aerodynamics-Cruise'!BJ38,M181)</f>
        <v>3.3120809573670602</v>
      </c>
      <c r="N181" s="72">
        <f ca="1">IF(AND(Energy!$F$11=$A$3,Main!$B$43=A181),'Aerodynamics-Cruise'!BK38,N181)</f>
        <v>22.137283983020353</v>
      </c>
      <c r="O181" s="72">
        <f t="shared" ca="1" si="13"/>
        <v>189.55575589010155</v>
      </c>
      <c r="P181" s="72">
        <f ca="1">IF(AND(Energy!$F$11=$A$3,Main!$B$43=A181),'Aerodynamics-Cruise'!H38,P181)</f>
        <v>7.3250533049453228</v>
      </c>
      <c r="Q181" s="72">
        <f ca="1">IF(AND(Energy!$F$11=$A$3,Main!$B$43=A181),'Aerodynamics-Cruise'!I38,Q181)</f>
        <v>6.1564955948607816</v>
      </c>
      <c r="R181" s="72">
        <f ca="1">IF(AND(Energy!$F$11=$A$3,Main!$B$43=$A181),Summary!R38,R181)</f>
        <v>3.866080082167747</v>
      </c>
      <c r="S181" s="72">
        <f ca="1">IF(AND(Energy!$F$11=$A$3,Main!$B$43=A181),'Aerodynamics-Cruise'!W38,S181)</f>
        <v>1</v>
      </c>
      <c r="T181" s="72">
        <f ca="1">IF(AND(Energy!$F$11=$A$3,Main!$B$43=A181),'Aerodynamics-Cruise'!BL38,T181)</f>
        <v>24.261169563008053</v>
      </c>
      <c r="U181" s="72">
        <f ca="1">IF(AND(Energy!$F$11=$A$3,Main!$B$43=A181),'Propulsion-Cruise'!M38,U181)</f>
        <v>56.231679221019476</v>
      </c>
      <c r="V181" s="72">
        <f ca="1">IF(AND(Energy!$F$11=$A$3,Main!$B$43=A181),Endurance!AP38,V181)</f>
        <v>571.38714732759877</v>
      </c>
      <c r="W181" s="72">
        <f ca="1">IF(AND(Energy!$F$11=$A$3,Main!$B$43=$A181),Summary!W38,W181)</f>
        <v>2.5251461988304089</v>
      </c>
      <c r="X181" s="13">
        <f ca="1">IF(AND(Energy!$F$11=$A$3,Main!$B$43=A181),Energy!D38,X181)</f>
        <v>1182.0301388888888</v>
      </c>
      <c r="Y181" s="126">
        <f ca="1">IF(AND(Energy!$F$11=$A$3,Main!$B$43=A181),'Aerodynamics-Cruise'!V38,Y181)</f>
        <v>175506.20454959956</v>
      </c>
      <c r="Z181" s="126">
        <f ca="1">IF(AND(Energy!$F$11=$A$3,Main!$B$43=$A181),Summary!Z38,Z181)</f>
        <v>130716.50309982966</v>
      </c>
      <c r="AA181" s="126">
        <f ca="1">IF(AND(Energy!$F$11=$A$3,Main!$B$43=$A181),Summary!AA38,AA181)</f>
        <v>130716.50309982966</v>
      </c>
      <c r="AB181" s="72">
        <f ca="1">IF(AND(Energy!$F$11=$A$3,Main!$B$43=$A181),Summary!AB38,AB181)</f>
        <v>3.866080082167747</v>
      </c>
      <c r="AC181" s="72">
        <f ca="1">IF(AND(Energy!$F$11=$A$3,Main!$B$43=$A181),Summary!AC38,AC181)</f>
        <v>1.6244298422316215</v>
      </c>
      <c r="AD181" s="72">
        <f ca="1">IF(AND(Energy!$F$11=$A$3,Main!$B$43=$A181),Summary!AD38,AD181)</f>
        <v>0.42524343745834564</v>
      </c>
      <c r="AE181" s="72">
        <f ca="1">IF(AND(Energy!$F$11=$A$3,Main!$B$43=$A181),Summary!AE38,AE181)</f>
        <v>2.5251461988304089</v>
      </c>
      <c r="AF181" s="72">
        <f ca="1">IF(AND(Energy!$F$11=$A$3,Main!$B$43=$A181),Summary!AF38,AF181)</f>
        <v>17.693498452012392</v>
      </c>
      <c r="AG181" s="72">
        <f ca="1">IF(AND(Energy!$F$11=$A$3,Main!$B$43=$A181),Summary!AG38,AG181)</f>
        <v>11.738455863431867</v>
      </c>
      <c r="AH181" s="72">
        <f ca="1">IF(AND(Energy!$F$11=$A$3,Main!$B$43=$A181),Summary!AH38,AH181)</f>
        <v>47</v>
      </c>
      <c r="AI181" s="72">
        <f ca="1">IF(AND(Energy!$F$11=$A$3,Main!$B$43=$A181),Summary!AI38,AI181)</f>
        <v>2.7746646687291796</v>
      </c>
      <c r="AJ181" s="72">
        <f ca="1">IF(AND(Energy!$F$11=$A$3,Main!$B$43=$A181),Summary!AJ38,AJ181)</f>
        <v>0.23289571087890867</v>
      </c>
      <c r="AK181" s="72">
        <f ca="1">IF(AND(Energy!$F$11=$A$3,Main!$B$43=$A181),Summary!AK38,AK181)</f>
        <v>0.01</v>
      </c>
      <c r="AL181" s="72">
        <f ca="1">IF(AND(Energy!$F$11=$A$3,Main!$B$43=$A181),Summary!AL38,AL181)</f>
        <v>-0.53672081210503808</v>
      </c>
      <c r="AM181" s="72">
        <f ca="1">IF(AND(Energy!$F$11=$A$3,Main!$B$43=$A181),Summary!AJ198,AM181)</f>
        <v>0</v>
      </c>
    </row>
    <row r="182" spans="1:39">
      <c r="A182">
        <f t="shared" si="14"/>
        <v>9</v>
      </c>
      <c r="D182" s="1">
        <f ca="1">IF(AND(Energy!$F$11=$A$3,Main!$B$43=A182),Main!C39,D182)</f>
        <v>6.8421052631578956</v>
      </c>
      <c r="E182" s="72">
        <f ca="1">IF(AND(Energy!$F$11=$A$3,Main!$B$43=A182),Main!B39,E182)</f>
        <v>0.37777777777777766</v>
      </c>
      <c r="F182" s="72">
        <f ca="1">IF(Main!$D$6=1,U182,IF(Main!$D$6=2,N182,IF(Main!$D$6=3,K182,IF(Main!$D$6=4,V182,J182))))</f>
        <v>572.80129790651381</v>
      </c>
      <c r="G182" s="72">
        <f ca="1">IF(AND(Energy!$F$11=$A$3,Main!$B$43=A182),Weight!H39,G182)</f>
        <v>15</v>
      </c>
      <c r="H182" s="72">
        <f ca="1">IF(AND(Energy!$F$11=$A$3,Main!$B$43=A182),Weight!U39,H182)</f>
        <v>30.820280179885245</v>
      </c>
      <c r="I182" s="72">
        <f ca="1">IF(AND(Energy!$F$11=$A$3,Main!$B$43=A182),Weight!V39,I182)</f>
        <v>59.248320883010251</v>
      </c>
      <c r="J182" s="72">
        <f ca="1">IF(AND(Energy!$F$11=$A$3,Main!$B$43=A182),Weight!I39,J182)</f>
        <v>23.490392428125002</v>
      </c>
      <c r="K182" s="72">
        <f ca="1">IF(AND(Energy!$F$11=$A$3,Main!$B$43=A182),Weight!W39,K182)</f>
        <v>74.248320883010251</v>
      </c>
      <c r="L182" s="72">
        <f ca="1">IF(AND(Energy!$F$11=$A$3,Main!$B$43=A182),'Aerodynamics-Cruise'!BI39,L182)</f>
        <v>74.248320883010251</v>
      </c>
      <c r="M182" s="72">
        <f ca="1">IF(AND(Energy!$F$11=$A$3,Main!$B$43=A182),'Aerodynamics-Cruise'!BJ39,M182)</f>
        <v>3.3302865269913173</v>
      </c>
      <c r="N182" s="72">
        <f ca="1">IF(AND(Energy!$F$11=$A$3,Main!$B$43=A182),'Aerodynamics-Cruise'!BK39,N182)</f>
        <v>22.294874714605548</v>
      </c>
      <c r="O182" s="72">
        <f t="shared" ca="1" si="13"/>
        <v>192.10928449006698</v>
      </c>
      <c r="P182" s="72">
        <f ca="1">IF(AND(Energy!$F$11=$A$3,Main!$B$43=A182),'Aerodynamics-Cruise'!H39,P182)</f>
        <v>7.2856785610362635</v>
      </c>
      <c r="Q182" s="72">
        <f ca="1">IF(AND(Energy!$F$11=$A$3,Main!$B$43=A182),'Aerodynamics-Cruise'!I39,Q182)</f>
        <v>6.1247655436247994</v>
      </c>
      <c r="R182" s="72">
        <f ca="1">IF(AND(Energy!$F$11=$A$3,Main!$B$43=$A182),Summary!R39,R182)</f>
        <v>3.8749432033249418</v>
      </c>
      <c r="S182" s="72">
        <f ca="1">IF(AND(Energy!$F$11=$A$3,Main!$B$43=A182),'Aerodynamics-Cruise'!W39,S182)</f>
        <v>1</v>
      </c>
      <c r="T182" s="72">
        <f ca="1">IF(AND(Energy!$F$11=$A$3,Main!$B$43=A182),'Aerodynamics-Cruise'!BL39,T182)</f>
        <v>24.263397151808558</v>
      </c>
      <c r="U182" s="72">
        <f ca="1">IF(AND(Energy!$F$11=$A$3,Main!$B$43=A182),'Propulsion-Cruise'!M39,U182)</f>
        <v>56.382892869789892</v>
      </c>
      <c r="V182" s="72">
        <f ca="1">IF(AND(Energy!$F$11=$A$3,Main!$B$43=A182),Endurance!AP39,V182)</f>
        <v>572.80129790651381</v>
      </c>
      <c r="W182" s="72">
        <f ca="1">IF(AND(Energy!$F$11=$A$3,Main!$B$43=$A182),Summary!W39,W182)</f>
        <v>2.5847953216374262</v>
      </c>
      <c r="X182" s="13">
        <f ca="1">IF(AND(Energy!$F$11=$A$3,Main!$B$43=A182),Energy!D39,X182)</f>
        <v>1182.0301388888888</v>
      </c>
      <c r="Y182" s="126">
        <f ca="1">IF(AND(Energy!$F$11=$A$3,Main!$B$43=A182),'Aerodynamics-Cruise'!V39,Y182)</f>
        <v>174562.7968266925</v>
      </c>
      <c r="Z182" s="126">
        <f ca="1">IF(AND(Energy!$F$11=$A$3,Main!$B$43=$A182),Summary!Z39,Z182)</f>
        <v>130041.67200472318</v>
      </c>
      <c r="AA182" s="126">
        <f ca="1">IF(AND(Energy!$F$11=$A$3,Main!$B$43=$A182),Summary!AA39,AA182)</f>
        <v>130041.67200472318</v>
      </c>
      <c r="AB182" s="72">
        <f ca="1">IF(AND(Energy!$F$11=$A$3,Main!$B$43=$A182),Summary!AB39,AB182)</f>
        <v>3.8749432033249418</v>
      </c>
      <c r="AC182" s="72">
        <f ca="1">IF(AND(Energy!$F$11=$A$3,Main!$B$43=$A182),Summary!AC39,AC182)</f>
        <v>1.5954663718051221</v>
      </c>
      <c r="AD182" s="72">
        <f ca="1">IF(AND(Energy!$F$11=$A$3,Main!$B$43=$A182),Summary!AD39,AD182)</f>
        <v>0.42509281501755208</v>
      </c>
      <c r="AE182" s="72">
        <f ca="1">IF(AND(Energy!$F$11=$A$3,Main!$B$43=$A182),Summary!AE39,AE182)</f>
        <v>2.5847953216374262</v>
      </c>
      <c r="AF182" s="72">
        <f ca="1">IF(AND(Energy!$F$11=$A$3,Main!$B$43=$A182),Summary!AF39,AF182)</f>
        <v>18.111455108359142</v>
      </c>
      <c r="AG182" s="72">
        <f ca="1">IF(AND(Energy!$F$11=$A$3,Main!$B$43=$A182),Summary!AG39,AG182)</f>
        <v>11.763476062086893</v>
      </c>
      <c r="AH182" s="72">
        <f ca="1">IF(AND(Energy!$F$11=$A$3,Main!$B$43=$A182),Summary!AH39,AH182)</f>
        <v>47</v>
      </c>
      <c r="AI182" s="72">
        <f ca="1">IF(AND(Energy!$F$11=$A$3,Main!$B$43=$A182),Summary!AI39,AI182)</f>
        <v>2.77342960684609</v>
      </c>
      <c r="AJ182" s="72">
        <f ca="1">IF(AND(Energy!$F$11=$A$3,Main!$B$43=$A182),Summary!AJ39,AJ182)</f>
        <v>0.23320352007253001</v>
      </c>
      <c r="AK182" s="72">
        <f ca="1">IF(AND(Energy!$F$11=$A$3,Main!$B$43=$A182),Summary!AK39,AK182)</f>
        <v>0.01</v>
      </c>
      <c r="AL182" s="72">
        <f ca="1">IF(AND(Energy!$F$11=$A$3,Main!$B$43=$A182),Summary!AL39,AL182)</f>
        <v>-0.53601222240043767</v>
      </c>
      <c r="AM182" s="72">
        <f ca="1">IF(AND(Energy!$F$11=$A$3,Main!$B$43=$A182),Summary!AJ199,AM182)</f>
        <v>0</v>
      </c>
    </row>
    <row r="183" spans="1:39">
      <c r="A183">
        <f t="shared" si="14"/>
        <v>9</v>
      </c>
      <c r="D183" s="1">
        <f ca="1">IF(AND(Energy!$F$11=$A$3,Main!$B$43=A183),Main!C40,D183)</f>
        <v>7</v>
      </c>
      <c r="E183" s="72">
        <f ca="1">IF(AND(Energy!$F$11=$A$3,Main!$B$43=A183),Main!B40,E183)</f>
        <v>0.37777777777777766</v>
      </c>
      <c r="F183" s="72">
        <f ca="1">IF(Main!$D$6=1,U183,IF(Main!$D$6=2,N183,IF(Main!$D$6=3,K183,IF(Main!$D$6=4,V183,J183))))</f>
        <v>574.34621405126722</v>
      </c>
      <c r="G183" s="72">
        <f ca="1">IF(AND(Energy!$F$11=$A$3,Main!$B$43=A183),Weight!H40,G183)</f>
        <v>15</v>
      </c>
      <c r="H183" s="72">
        <f ca="1">IF(AND(Energy!$F$11=$A$3,Main!$B$43=A183),Weight!U40,H183)</f>
        <v>31.766020564244045</v>
      </c>
      <c r="I183" s="72">
        <f ca="1">IF(AND(Energy!$F$11=$A$3,Main!$B$43=A183),Weight!V40,I183)</f>
        <v>60.194061267369051</v>
      </c>
      <c r="J183" s="72">
        <f ca="1">IF(AND(Energy!$F$11=$A$3,Main!$B$43=A183),Weight!I40,J183)</f>
        <v>23.490392428125002</v>
      </c>
      <c r="K183" s="72">
        <f ca="1">IF(AND(Energy!$F$11=$A$3,Main!$B$43=A183),Weight!W40,K183)</f>
        <v>75.194061267369051</v>
      </c>
      <c r="L183" s="72">
        <f ca="1">IF(AND(Energy!$F$11=$A$3,Main!$B$43=A183),'Aerodynamics-Cruise'!BI40,L183)</f>
        <v>75.194061267369051</v>
      </c>
      <c r="M183" s="72">
        <f ca="1">IF(AND(Energy!$F$11=$A$3,Main!$B$43=A183),'Aerodynamics-Cruise'!BJ40,M183)</f>
        <v>3.3497301944091116</v>
      </c>
      <c r="N183" s="72">
        <f ca="1">IF(AND(Energy!$F$11=$A$3,Main!$B$43=A183),'Aerodynamics-Cruise'!BK40,N183)</f>
        <v>22.447796360695609</v>
      </c>
      <c r="O183" s="72">
        <f t="shared" ca="1" si="13"/>
        <v>194.65496467496399</v>
      </c>
      <c r="P183" s="72">
        <f ca="1">IF(AND(Energy!$F$11=$A$3,Main!$B$43=A183),'Aerodynamics-Cruise'!H40,P183)</f>
        <v>7.2487442875053425</v>
      </c>
      <c r="Q183" s="72">
        <f ca="1">IF(AND(Energy!$F$11=$A$3,Main!$B$43=A183),'Aerodynamics-Cruise'!I40,Q183)</f>
        <v>6.0949954755821363</v>
      </c>
      <c r="R183" s="72">
        <f ca="1">IF(AND(Energy!$F$11=$A$3,Main!$B$43=$A183),Summary!R40,R183)</f>
        <v>3.8865546916892364</v>
      </c>
      <c r="S183" s="72">
        <f ca="1">IF(AND(Energy!$F$11=$A$3,Main!$B$43=A183),'Aerodynamics-Cruise'!W40,S183)</f>
        <v>1</v>
      </c>
      <c r="T183" s="72">
        <f ca="1">IF(AND(Energy!$F$11=$A$3,Main!$B$43=A183),'Aerodynamics-Cruise'!BL40,T183)</f>
        <v>24.281337611407206</v>
      </c>
      <c r="U183" s="72">
        <f ca="1">IF(AND(Energy!$F$11=$A$3,Main!$B$43=A183),'Propulsion-Cruise'!M40,U183)</f>
        <v>56.56632998027105</v>
      </c>
      <c r="V183" s="72">
        <f ca="1">IF(AND(Energy!$F$11=$A$3,Main!$B$43=A183),Endurance!AP40,V183)</f>
        <v>574.34621405126722</v>
      </c>
      <c r="W183" s="72">
        <f ca="1">IF(AND(Energy!$F$11=$A$3,Main!$B$43=$A183),Summary!W40,W183)</f>
        <v>2.6444444444444435</v>
      </c>
      <c r="X183" s="13">
        <f ca="1">IF(AND(Energy!$F$11=$A$3,Main!$B$43=A183),Energy!D40,X183)</f>
        <v>1182.0301388888888</v>
      </c>
      <c r="Y183" s="126">
        <f ca="1">IF(AND(Energy!$F$11=$A$3,Main!$B$43=A183),'Aerodynamics-Cruise'!V40,Y183)</f>
        <v>173677.86208351015</v>
      </c>
      <c r="Z183" s="126">
        <f ca="1">IF(AND(Energy!$F$11=$A$3,Main!$B$43=$A183),Summary!Z40,Z183)</f>
        <v>129408.53114602155</v>
      </c>
      <c r="AA183" s="126">
        <f ca="1">IF(AND(Energy!$F$11=$A$3,Main!$B$43=$A183),Summary!AA40,AA183)</f>
        <v>129408.53114602155</v>
      </c>
      <c r="AB183" s="72">
        <f ca="1">IF(AND(Energy!$F$11=$A$3,Main!$B$43=$A183),Summary!AB40,AB183)</f>
        <v>3.8865546916892364</v>
      </c>
      <c r="AC183" s="72">
        <f ca="1">IF(AND(Energy!$F$11=$A$3,Main!$B$43=$A183),Summary!AC40,AC183)</f>
        <v>1.5671493843094257</v>
      </c>
      <c r="AD183" s="72">
        <f ca="1">IF(AND(Energy!$F$11=$A$3,Main!$B$43=$A183),Summary!AD40,AD183)</f>
        <v>0.42505409465647642</v>
      </c>
      <c r="AE183" s="72">
        <f ca="1">IF(AND(Energy!$F$11=$A$3,Main!$B$43=$A183),Summary!AE40,AE183)</f>
        <v>2.6444444444444435</v>
      </c>
      <c r="AF183" s="72">
        <f ca="1">IF(AND(Energy!$F$11=$A$3,Main!$B$43=$A183),Summary!AF40,AF183)</f>
        <v>18.529411764705888</v>
      </c>
      <c r="AG183" s="72">
        <f ca="1">IF(AND(Energy!$F$11=$A$3,Main!$B$43=$A183),Summary!AG40,AG183)</f>
        <v>11.792364690089675</v>
      </c>
      <c r="AH183" s="72">
        <f ca="1">IF(AND(Energy!$F$11=$A$3,Main!$B$43=$A183),Summary!AH40,AH183)</f>
        <v>47</v>
      </c>
      <c r="AI183" s="72">
        <f ca="1">IF(AND(Energy!$F$11=$A$3,Main!$B$43=$A183),Summary!AI40,AI183)</f>
        <v>2.7722657226996339</v>
      </c>
      <c r="AJ183" s="72">
        <f ca="1">IF(AND(Energy!$F$11=$A$3,Main!$B$43=$A183),Summary!AJ40,AJ183)</f>
        <v>0.23349269588831972</v>
      </c>
      <c r="AK183" s="72">
        <f ca="1">IF(AND(Energy!$F$11=$A$3,Main!$B$43=$A183),Summary!AK40,AK183)</f>
        <v>0.01</v>
      </c>
      <c r="AL183" s="72">
        <f ca="1">IF(AND(Energy!$F$11=$A$3,Main!$B$43=$A183),Summary!AL40,AL183)</f>
        <v>-0.53534822139075289</v>
      </c>
      <c r="AM183" s="72">
        <f ca="1">IF(AND(Energy!$F$11=$A$3,Main!$B$43=$A183),Summary!AJ200,AM183)</f>
        <v>0</v>
      </c>
    </row>
    <row r="184" spans="1:39">
      <c r="A184" s="7">
        <f>A164+1</f>
        <v>10</v>
      </c>
      <c r="D184" s="1">
        <f ca="1">IF(AND(Energy!$F$11=$A$3,Main!$B$43=A184),Main!C21,D184)</f>
        <v>4</v>
      </c>
      <c r="E184" s="72">
        <f ca="1">IF(AND(Energy!$F$11=$A$3,Main!$B$43=A184),Main!B21,E184)</f>
        <v>0.4</v>
      </c>
      <c r="F184" s="72">
        <f ca="1">IF(Main!$D$6=1,U184,IF(Main!$D$6=2,N184,IF(Main!$D$6=3,K184,IF(Main!$D$6=4,V184,J184))))</f>
        <v>598.61803669612198</v>
      </c>
      <c r="G184" s="72">
        <f ca="1">IF(AND(Energy!$F$11=$A$3,Main!$B$43=A184),Weight!H21,G184)</f>
        <v>15</v>
      </c>
      <c r="H184" s="72">
        <f ca="1">IF(AND(Energy!$F$11=$A$3,Main!$B$43=A184),Weight!U21,H184)</f>
        <v>17.51016189195208</v>
      </c>
      <c r="I184" s="72">
        <f ca="1">IF(AND(Energy!$F$11=$A$3,Main!$B$43=A184),Weight!V21,I184)</f>
        <v>45.938202595077087</v>
      </c>
      <c r="J184" s="72">
        <f ca="1">IF(AND(Energy!$F$11=$A$3,Main!$B$43=A184),Weight!I21,J184)</f>
        <v>23.490392428125002</v>
      </c>
      <c r="K184" s="72">
        <f ca="1">IF(AND(Energy!$F$11=$A$3,Main!$B$43=A184),Weight!W21,K184)</f>
        <v>60.938202595077087</v>
      </c>
      <c r="L184" s="72">
        <f ca="1">IF(AND(Energy!$F$11=$A$3,Main!$B$43=A184),'Aerodynamics-Cruise'!BI21,L184)</f>
        <v>60.938202595077087</v>
      </c>
      <c r="M184" s="72">
        <f ca="1">IF(AND(Energy!$F$11=$A$3,Main!$B$43=A184),'Aerodynamics-Cruise'!BJ21,M184)</f>
        <v>3.4170241939059056</v>
      </c>
      <c r="N184" s="72">
        <f ca="1">IF(AND(Energy!$F$11=$A$3,Main!$B$43=A184),'Aerodynamics-Cruise'!BK21,N184)</f>
        <v>17.833705334529785</v>
      </c>
      <c r="O184" s="72">
        <f t="shared" ca="1" si="13"/>
        <v>139.21512019960244</v>
      </c>
      <c r="P184" s="72">
        <f ca="1">IF(AND(Energy!$F$11=$A$3,Main!$B$43=A184),'Aerodynamics-Cruise'!H21,P184)</f>
        <v>8.3974538702102333</v>
      </c>
      <c r="Q184" s="72">
        <f ca="1">IF(AND(Energy!$F$11=$A$3,Main!$B$43=A184),'Aerodynamics-Cruise'!I21,Q184)</f>
        <v>6.9957167389612858</v>
      </c>
      <c r="R184" s="72">
        <f ca="1">IF(AND(Energy!$F$11=$A$3,Main!$B$43=$A184),Summary!R21,R184)</f>
        <v>4.1714221773664315</v>
      </c>
      <c r="S184" s="72">
        <f ca="1">IF(AND(Energy!$F$11=$A$3,Main!$B$43=A184),'Aerodynamics-Cruise'!W21,S184)</f>
        <v>1</v>
      </c>
      <c r="T184" s="72">
        <f ca="1">IF(AND(Energy!$F$11=$A$3,Main!$B$43=A184),'Aerodynamics-Cruise'!BL21,T184)</f>
        <v>28.694303041717149</v>
      </c>
      <c r="U184" s="72">
        <f ca="1">IF(AND(Energy!$F$11=$A$3,Main!$B$43=A184),'Propulsion-Cruise'!M21,U184)</f>
        <v>63.033948669224337</v>
      </c>
      <c r="V184" s="72">
        <f ca="1">IF(AND(Energy!$F$11=$A$3,Main!$B$43=A184),Endurance!AP21,V184)</f>
        <v>598.61803669612198</v>
      </c>
      <c r="W184" s="72">
        <f ca="1">IF(AND(Energy!$F$11=$A$3,Main!$B$43=$A184),Summary!W21,W184)</f>
        <v>1.6</v>
      </c>
      <c r="X184" s="13">
        <f ca="1">IF(AND(Energy!$F$11=$A$3,Main!$B$43=A184),Energy!D21,X184)</f>
        <v>1182.0301388888888</v>
      </c>
      <c r="Y184" s="126">
        <f ca="1">IF(AND(Energy!$F$11=$A$3,Main!$B$43=A184),'Aerodynamics-Cruise'!V21,Y184)</f>
        <v>213035.94916485384</v>
      </c>
      <c r="Z184" s="126">
        <f ca="1">IF(AND(Energy!$F$11=$A$3,Main!$B$43=$A184),Summary!Z21,Z184)</f>
        <v>157326.6860013057</v>
      </c>
      <c r="AA184" s="126">
        <f ca="1">IF(AND(Energy!$F$11=$A$3,Main!$B$43=$A184),Summary!AA21,AA184)</f>
        <v>157326.6860013057</v>
      </c>
      <c r="AB184" s="72">
        <f ca="1">IF(AND(Energy!$F$11=$A$3,Main!$B$43=$A184),Summary!AB21,AB184)</f>
        <v>4.1714221773664315</v>
      </c>
      <c r="AC184" s="72">
        <f ca="1">IF(AND(Energy!$F$11=$A$3,Main!$B$43=$A184),Summary!AC21,AC184)</f>
        <v>2.1602577892442127</v>
      </c>
      <c r="AD184" s="72">
        <f ca="1">IF(AND(Energy!$F$11=$A$3,Main!$B$43=$A184),Summary!AD21,AD184)</f>
        <v>0.4592943775534673</v>
      </c>
      <c r="AE184" s="72">
        <f ca="1">IF(AND(Energy!$F$11=$A$3,Main!$B$43=$A184),Summary!AE21,AE184)</f>
        <v>1.6</v>
      </c>
      <c r="AF184" s="72">
        <f ca="1">IF(AND(Energy!$F$11=$A$3,Main!$B$43=$A184),Summary!AF21,AF184)</f>
        <v>10</v>
      </c>
      <c r="AG184" s="72">
        <f ca="1">IF(AND(Energy!$F$11=$A$3,Main!$B$43=$A184),Summary!AG21,AG184)</f>
        <v>12.4702072333177</v>
      </c>
      <c r="AH184" s="72">
        <f ca="1">IF(AND(Energy!$F$11=$A$3,Main!$B$43=$A184),Summary!AH21,AH184)</f>
        <v>47</v>
      </c>
      <c r="AI184" s="72">
        <f ca="1">IF(AND(Energy!$F$11=$A$3,Main!$B$43=$A184),Summary!AI21,AI184)</f>
        <v>2.8241443591198032</v>
      </c>
      <c r="AJ184" s="72">
        <f ca="1">IF(AND(Energy!$F$11=$A$3,Main!$B$43=$A184),Summary!AJ21,AJ184)</f>
        <v>0.23359220150354804</v>
      </c>
      <c r="AK184" s="72">
        <f ca="1">IF(AND(Energy!$F$11=$A$3,Main!$B$43=$A184),Summary!AK21,AK184)</f>
        <v>0.01</v>
      </c>
      <c r="AL184" s="72">
        <f ca="1">IF(AND(Energy!$F$11=$A$3,Main!$B$43=$A184),Summary!AL21,AL184)</f>
        <v>-0.53514669305334528</v>
      </c>
      <c r="AM184" s="72">
        <f ca="1">IF(AND(Energy!$F$11=$A$3,Main!$B$43=$A184),Summary!AJ201,AM184)</f>
        <v>0</v>
      </c>
    </row>
    <row r="185" spans="1:39">
      <c r="A185">
        <f t="shared" ref="A185:A203" si="15">A184</f>
        <v>10</v>
      </c>
      <c r="D185" s="1">
        <f ca="1">IF(AND(Energy!$F$11=$A$3,Main!$B$43=A185),Main!C22,D185)</f>
        <v>4.1578947368421053</v>
      </c>
      <c r="E185" s="72">
        <f ca="1">IF(AND(Energy!$F$11=$A$3,Main!$B$43=A185),Main!B22,E185)</f>
        <v>0.4</v>
      </c>
      <c r="F185" s="72">
        <f ca="1">IF(Main!$D$6=1,U185,IF(Main!$D$6=2,N185,IF(Main!$D$6=3,K185,IF(Main!$D$6=4,V185,J185))))</f>
        <v>591.33227926272161</v>
      </c>
      <c r="G185" s="72">
        <f ca="1">IF(AND(Energy!$F$11=$A$3,Main!$B$43=A185),Weight!H22,G185)</f>
        <v>15</v>
      </c>
      <c r="H185" s="72">
        <f ca="1">IF(AND(Energy!$F$11=$A$3,Main!$B$43=A185),Weight!U22,H185)</f>
        <v>18.20391925643446</v>
      </c>
      <c r="I185" s="72">
        <f ca="1">IF(AND(Energy!$F$11=$A$3,Main!$B$43=A185),Weight!V22,I185)</f>
        <v>46.631959959559467</v>
      </c>
      <c r="J185" s="72">
        <f ca="1">IF(AND(Energy!$F$11=$A$3,Main!$B$43=A185),Weight!I22,J185)</f>
        <v>23.490392428125002</v>
      </c>
      <c r="K185" s="72">
        <f ca="1">IF(AND(Energy!$F$11=$A$3,Main!$B$43=A185),Weight!W22,K185)</f>
        <v>61.631959959559467</v>
      </c>
      <c r="L185" s="72">
        <f ca="1">IF(AND(Energy!$F$11=$A$3,Main!$B$43=A185),'Aerodynamics-Cruise'!BI22,L185)</f>
        <v>61.63195995955946</v>
      </c>
      <c r="M185" s="72">
        <f ca="1">IF(AND(Energy!$F$11=$A$3,Main!$B$43=A185),'Aerodynamics-Cruise'!BJ22,M185)</f>
        <v>3.3911996616980211</v>
      </c>
      <c r="N185" s="72">
        <f ca="1">IF(AND(Energy!$F$11=$A$3,Main!$B$43=A185),'Aerodynamics-Cruise'!BK22,N185)</f>
        <v>18.174087670408493</v>
      </c>
      <c r="O185" s="72">
        <f t="shared" ca="1" si="13"/>
        <v>142.67753850166224</v>
      </c>
      <c r="P185" s="72">
        <f ca="1">IF(AND(Energy!$F$11=$A$3,Main!$B$43=A185),'Aerodynamics-Cruise'!H22,P185)</f>
        <v>8.283056611345522</v>
      </c>
      <c r="Q185" s="72">
        <f ca="1">IF(AND(Energy!$F$11=$A$3,Main!$B$43=A185),'Aerodynamics-Cruise'!I22,Q185)</f>
        <v>6.9043926706299521</v>
      </c>
      <c r="R185" s="72">
        <f ca="1">IF(AND(Energy!$F$11=$A$3,Main!$B$43=$A185),Summary!R22,R185)</f>
        <v>4.1055045095125626</v>
      </c>
      <c r="S185" s="72">
        <f ca="1">IF(AND(Energy!$F$11=$A$3,Main!$B$43=A185),'Aerodynamics-Cruise'!W22,S185)</f>
        <v>1</v>
      </c>
      <c r="T185" s="72">
        <f ca="1">IF(AND(Energy!$F$11=$A$3,Main!$B$43=A185),'Aerodynamics-Cruise'!BL22,T185)</f>
        <v>28.089498778220491</v>
      </c>
      <c r="U185" s="72">
        <f ca="1">IF(AND(Energy!$F$11=$A$3,Main!$B$43=A185),'Propulsion-Cruise'!M22,U185)</f>
        <v>62.008683483832755</v>
      </c>
      <c r="V185" s="72">
        <f ca="1">IF(AND(Energy!$F$11=$A$3,Main!$B$43=A185),Endurance!AP22,V185)</f>
        <v>591.33227926272161</v>
      </c>
      <c r="W185" s="72">
        <f ca="1">IF(AND(Energy!$F$11=$A$3,Main!$B$43=$A185),Summary!W22,W185)</f>
        <v>1.6631578947368422</v>
      </c>
      <c r="X185" s="13">
        <f ca="1">IF(AND(Energy!$F$11=$A$3,Main!$B$43=A185),Energy!D22,X185)</f>
        <v>1182.0301388888888</v>
      </c>
      <c r="Y185" s="126">
        <f ca="1">IF(AND(Energy!$F$11=$A$3,Main!$B$43=A185),'Aerodynamics-Cruise'!V22,Y185)</f>
        <v>210133.79227292308</v>
      </c>
      <c r="Z185" s="126">
        <f ca="1">IF(AND(Energy!$F$11=$A$3,Main!$B$43=$A185),Summary!Z22,Z185)</f>
        <v>155269.40799607945</v>
      </c>
      <c r="AA185" s="126">
        <f ca="1">IF(AND(Energy!$F$11=$A$3,Main!$B$43=$A185),Summary!AA22,AA185)</f>
        <v>155269.40799607945</v>
      </c>
      <c r="AB185" s="72">
        <f ca="1">IF(AND(Energy!$F$11=$A$3,Main!$B$43=$A185),Summary!AB22,AB185)</f>
        <v>4.1055045095125626</v>
      </c>
      <c r="AC185" s="72">
        <f ca="1">IF(AND(Energy!$F$11=$A$3,Main!$B$43=$A185),Summary!AC22,AC185)</f>
        <v>2.1171078677107698</v>
      </c>
      <c r="AD185" s="72">
        <f ca="1">IF(AND(Energy!$F$11=$A$3,Main!$B$43=$A185),Summary!AD22,AD185)</f>
        <v>0.45544028081586418</v>
      </c>
      <c r="AE185" s="72">
        <f ca="1">IF(AND(Energy!$F$11=$A$3,Main!$B$43=$A185),Summary!AE22,AE185)</f>
        <v>1.6631578947368422</v>
      </c>
      <c r="AF185" s="72">
        <f ca="1">IF(AND(Energy!$F$11=$A$3,Main!$B$43=$A185),Summary!AF22,AF185)</f>
        <v>10.394736842105262</v>
      </c>
      <c r="AG185" s="72">
        <f ca="1">IF(AND(Energy!$F$11=$A$3,Main!$B$43=$A185),Summary!AG22,AG185)</f>
        <v>12.35652077293477</v>
      </c>
      <c r="AH185" s="72">
        <f ca="1">IF(AND(Energy!$F$11=$A$3,Main!$B$43=$A185),Summary!AH22,AH185)</f>
        <v>47</v>
      </c>
      <c r="AI185" s="72">
        <f ca="1">IF(AND(Energy!$F$11=$A$3,Main!$B$43=$A185),Summary!AI22,AI185)</f>
        <v>2.8208913872015788</v>
      </c>
      <c r="AJ185" s="72">
        <f ca="1">IF(AND(Energy!$F$11=$A$3,Main!$B$43=$A185),Summary!AJ22,AJ185)</f>
        <v>0.23211169012069643</v>
      </c>
      <c r="AK185" s="72">
        <f ca="1">IF(AND(Energy!$F$11=$A$3,Main!$B$43=$A185),Summary!AK22,AK185)</f>
        <v>0.01</v>
      </c>
      <c r="AL185" s="72">
        <f ca="1">IF(AND(Energy!$F$11=$A$3,Main!$B$43=$A185),Summary!AL22,AL185)</f>
        <v>-0.5385586461748052</v>
      </c>
      <c r="AM185" s="72">
        <f ca="1">IF(AND(Energy!$F$11=$A$3,Main!$B$43=$A185),Summary!AJ202,AM185)</f>
        <v>0</v>
      </c>
    </row>
    <row r="186" spans="1:39">
      <c r="A186">
        <f t="shared" si="15"/>
        <v>10</v>
      </c>
      <c r="D186" s="1">
        <f ca="1">IF(AND(Energy!$F$11=$A$3,Main!$B$43=A186),Main!C23,D186)</f>
        <v>4.3157894736842106</v>
      </c>
      <c r="E186" s="72">
        <f ca="1">IF(AND(Energy!$F$11=$A$3,Main!$B$43=A186),Main!B23,E186)</f>
        <v>0.4</v>
      </c>
      <c r="F186" s="72">
        <f ca="1">IF(Main!$D$6=1,U186,IF(Main!$D$6=2,N186,IF(Main!$D$6=3,K186,IF(Main!$D$6=4,V186,J186))))</f>
        <v>585.2458115648692</v>
      </c>
      <c r="G186" s="72">
        <f ca="1">IF(AND(Energy!$F$11=$A$3,Main!$B$43=A186),Weight!H23,G186)</f>
        <v>15</v>
      </c>
      <c r="H186" s="72">
        <f ca="1">IF(AND(Energy!$F$11=$A$3,Main!$B$43=A186),Weight!U23,H186)</f>
        <v>18.91424907705823</v>
      </c>
      <c r="I186" s="72">
        <f ca="1">IF(AND(Energy!$F$11=$A$3,Main!$B$43=A186),Weight!V23,I186)</f>
        <v>47.342289780183236</v>
      </c>
      <c r="J186" s="72">
        <f ca="1">IF(AND(Energy!$F$11=$A$3,Main!$B$43=A186),Weight!I23,J186)</f>
        <v>23.490392428125002</v>
      </c>
      <c r="K186" s="72">
        <f ca="1">IF(AND(Energy!$F$11=$A$3,Main!$B$43=A186),Weight!W23,K186)</f>
        <v>62.342289780183236</v>
      </c>
      <c r="L186" s="72">
        <f ca="1">IF(AND(Energy!$F$11=$A$3,Main!$B$43=A186),'Aerodynamics-Cruise'!BI23,L186)</f>
        <v>62.342289780183222</v>
      </c>
      <c r="M186" s="72">
        <f ca="1">IF(AND(Energy!$F$11=$A$3,Main!$B$43=A186),'Aerodynamics-Cruise'!BJ23,M186)</f>
        <v>3.3701427253463403</v>
      </c>
      <c r="N186" s="72">
        <f ca="1">IF(AND(Energy!$F$11=$A$3,Main!$B$43=A186),'Aerodynamics-Cruise'!BK23,N186)</f>
        <v>18.498412340615776</v>
      </c>
      <c r="O186" s="72">
        <f t="shared" ca="1" si="13"/>
        <v>146.05816182781297</v>
      </c>
      <c r="P186" s="72">
        <f ca="1">IF(AND(Energy!$F$11=$A$3,Main!$B$43=A186),'Aerodynamics-Cruise'!H23,P186)</f>
        <v>8.1767011161206575</v>
      </c>
      <c r="Q186" s="72">
        <f ca="1">IF(AND(Energy!$F$11=$A$3,Main!$B$43=A186),'Aerodynamics-Cruise'!I23,Q186)</f>
        <v>6.8194342808394106</v>
      </c>
      <c r="R186" s="72">
        <f ca="1">IF(AND(Energy!$F$11=$A$3,Main!$B$43=$A186),Summary!R23,R186)</f>
        <v>4.0477653894585641</v>
      </c>
      <c r="S186" s="72">
        <f ca="1">IF(AND(Energy!$F$11=$A$3,Main!$B$43=A186),'Aerodynamics-Cruise'!W23,S186)</f>
        <v>1</v>
      </c>
      <c r="T186" s="72">
        <f ca="1">IF(AND(Energy!$F$11=$A$3,Main!$B$43=A186),'Aerodynamics-Cruise'!BL23,T186)</f>
        <v>27.556649783825335</v>
      </c>
      <c r="U186" s="72">
        <f ca="1">IF(AND(Energy!$F$11=$A$3,Main!$B$43=A186),'Propulsion-Cruise'!M23,U186)</f>
        <v>61.119497092602579</v>
      </c>
      <c r="V186" s="72">
        <f ca="1">IF(AND(Energy!$F$11=$A$3,Main!$B$43=A186),Endurance!AP23,V186)</f>
        <v>585.2458115648692</v>
      </c>
      <c r="W186" s="72">
        <f ca="1">IF(AND(Energy!$F$11=$A$3,Main!$B$43=$A186),Summary!W23,W186)</f>
        <v>1.7263157894736842</v>
      </c>
      <c r="X186" s="13">
        <f ca="1">IF(AND(Energy!$F$11=$A$3,Main!$B$43=A186),Energy!D23,X186)</f>
        <v>1182.0301388888888</v>
      </c>
      <c r="Y186" s="126">
        <f ca="1">IF(AND(Energy!$F$11=$A$3,Main!$B$43=A186),'Aerodynamics-Cruise'!V23,Y186)</f>
        <v>207435.64778480574</v>
      </c>
      <c r="Z186" s="126">
        <f ca="1">IF(AND(Energy!$F$11=$A$3,Main!$B$43=$A186),Summary!Z23,Z186)</f>
        <v>153355.57889439267</v>
      </c>
      <c r="AA186" s="126">
        <f ca="1">IF(AND(Energy!$F$11=$A$3,Main!$B$43=$A186),Summary!AA23,AA186)</f>
        <v>153355.57889439267</v>
      </c>
      <c r="AB186" s="72">
        <f ca="1">IF(AND(Energy!$F$11=$A$3,Main!$B$43=$A186),Summary!AB23,AB186)</f>
        <v>4.0477653894585641</v>
      </c>
      <c r="AC186" s="72">
        <f ca="1">IF(AND(Energy!$F$11=$A$3,Main!$B$43=$A186),Summary!AC23,AC186)</f>
        <v>2.0750455122220455</v>
      </c>
      <c r="AD186" s="72">
        <f ca="1">IF(AND(Energy!$F$11=$A$3,Main!$B$43=$A186),Summary!AD23,AD186)</f>
        <v>0.45198046000188369</v>
      </c>
      <c r="AE186" s="72">
        <f ca="1">IF(AND(Energy!$F$11=$A$3,Main!$B$43=$A186),Summary!AE23,AE186)</f>
        <v>1.7263157894736842</v>
      </c>
      <c r="AF186" s="72">
        <f ca="1">IF(AND(Energy!$F$11=$A$3,Main!$B$43=$A186),Summary!AF23,AF186)</f>
        <v>10.789473684210527</v>
      </c>
      <c r="AG186" s="72">
        <f ca="1">IF(AND(Energy!$F$11=$A$3,Main!$B$43=$A186),Summary!AG23,AG186)</f>
        <v>12.258174165737021</v>
      </c>
      <c r="AH186" s="72">
        <f ca="1">IF(AND(Energy!$F$11=$A$3,Main!$B$43=$A186),Summary!AH23,AH186)</f>
        <v>47</v>
      </c>
      <c r="AI186" s="72">
        <f ca="1">IF(AND(Energy!$F$11=$A$3,Main!$B$43=$A186),Summary!AI23,AI186)</f>
        <v>2.8178354010686348</v>
      </c>
      <c r="AJ186" s="72">
        <f ca="1">IF(AND(Energy!$F$11=$A$3,Main!$B$43=$A186),Summary!AJ23,AJ186)</f>
        <v>0.230751009509302</v>
      </c>
      <c r="AK186" s="72">
        <f ca="1">IF(AND(Energy!$F$11=$A$3,Main!$B$43=$A186),Summary!AK23,AK186)</f>
        <v>0.01</v>
      </c>
      <c r="AL186" s="72">
        <f ca="1">IF(AND(Energy!$F$11=$A$3,Main!$B$43=$A186),Summary!AL23,AL186)</f>
        <v>-0.54173249094349296</v>
      </c>
      <c r="AM186" s="72">
        <f ca="1">IF(AND(Energy!$F$11=$A$3,Main!$B$43=$A186),Summary!AJ203,AM186)</f>
        <v>0</v>
      </c>
    </row>
    <row r="187" spans="1:39">
      <c r="A187">
        <f t="shared" si="15"/>
        <v>10</v>
      </c>
      <c r="D187" s="1">
        <f ca="1">IF(AND(Energy!$F$11=$A$3,Main!$B$43=A187),Main!C24,D187)</f>
        <v>4.4736842105263159</v>
      </c>
      <c r="E187" s="72">
        <f ca="1">IF(AND(Energy!$F$11=$A$3,Main!$B$43=A187),Main!B24,E187)</f>
        <v>0.4</v>
      </c>
      <c r="F187" s="72">
        <f ca="1">IF(Main!$D$6=1,U187,IF(Main!$D$6=2,N187,IF(Main!$D$6=3,K187,IF(Main!$D$6=4,V187,J187))))</f>
        <v>580.22815113639342</v>
      </c>
      <c r="G187" s="72">
        <f ca="1">IF(AND(Energy!$F$11=$A$3,Main!$B$43=A187),Weight!H24,G187)</f>
        <v>15</v>
      </c>
      <c r="H187" s="72">
        <f ca="1">IF(AND(Energy!$F$11=$A$3,Main!$B$43=A187),Weight!U24,H187)</f>
        <v>19.64126780733811</v>
      </c>
      <c r="I187" s="72">
        <f ca="1">IF(AND(Energy!$F$11=$A$3,Main!$B$43=A187),Weight!V24,I187)</f>
        <v>48.069308510463117</v>
      </c>
      <c r="J187" s="72">
        <f ca="1">IF(AND(Energy!$F$11=$A$3,Main!$B$43=A187),Weight!I24,J187)</f>
        <v>23.490392428125002</v>
      </c>
      <c r="K187" s="72">
        <f ca="1">IF(AND(Energy!$F$11=$A$3,Main!$B$43=A187),Weight!W24,K187)</f>
        <v>63.069308510463117</v>
      </c>
      <c r="L187" s="72">
        <f ca="1">IF(AND(Energy!$F$11=$A$3,Main!$B$43=A187),'Aerodynamics-Cruise'!BI24,L187)</f>
        <v>63.069308510463117</v>
      </c>
      <c r="M187" s="72">
        <f ca="1">IF(AND(Energy!$F$11=$A$3,Main!$B$43=A187),'Aerodynamics-Cruise'!BJ24,M187)</f>
        <v>3.3533754503560638</v>
      </c>
      <c r="N187" s="72">
        <f ca="1">IF(AND(Energy!$F$11=$A$3,Main!$B$43=A187),'Aerodynamics-Cruise'!BK24,N187)</f>
        <v>18.807708663748453</v>
      </c>
      <c r="O187" s="72">
        <f t="shared" ca="1" si="13"/>
        <v>149.36365193447148</v>
      </c>
      <c r="P187" s="72">
        <f ca="1">IF(AND(Energy!$F$11=$A$3,Main!$B$43=A187),'Aerodynamics-Cruise'!H24,P187)</f>
        <v>8.0776776087729463</v>
      </c>
      <c r="Q187" s="72">
        <f ca="1">IF(AND(Energy!$F$11=$A$3,Main!$B$43=A187),'Aerodynamics-Cruise'!I24,Q187)</f>
        <v>6.7402856863852483</v>
      </c>
      <c r="R187" s="72">
        <f ca="1">IF(AND(Energy!$F$11=$A$3,Main!$B$43=$A187),Summary!R24,R187)</f>
        <v>3.9974163996137091</v>
      </c>
      <c r="S187" s="72">
        <f ca="1">IF(AND(Energy!$F$11=$A$3,Main!$B$43=A187),'Aerodynamics-Cruise'!W24,S187)</f>
        <v>1</v>
      </c>
      <c r="T187" s="72">
        <f ca="1">IF(AND(Energy!$F$11=$A$3,Main!$B$43=A187),'Aerodynamics-Cruise'!BL24,T187)</f>
        <v>27.087485789150072</v>
      </c>
      <c r="U187" s="72">
        <f ca="1">IF(AND(Energy!$F$11=$A$3,Main!$B$43=A187),'Propulsion-Cruise'!M24,U187)</f>
        <v>60.351201598740857</v>
      </c>
      <c r="V187" s="72">
        <f ca="1">IF(AND(Energy!$F$11=$A$3,Main!$B$43=A187),Endurance!AP24,V187)</f>
        <v>580.22815113639342</v>
      </c>
      <c r="W187" s="72">
        <f ca="1">IF(AND(Energy!$F$11=$A$3,Main!$B$43=$A187),Summary!W24,W187)</f>
        <v>1.7894736842105265</v>
      </c>
      <c r="X187" s="13">
        <f ca="1">IF(AND(Energy!$F$11=$A$3,Main!$B$43=A187),Energy!D24,X187)</f>
        <v>1182.0301388888888</v>
      </c>
      <c r="Y187" s="126">
        <f ca="1">IF(AND(Energy!$F$11=$A$3,Main!$B$43=A187),'Aerodynamics-Cruise'!V24,Y187)</f>
        <v>204923.50931956351</v>
      </c>
      <c r="Z187" s="126">
        <f ca="1">IF(AND(Energy!$F$11=$A$3,Main!$B$43=$A187),Summary!Z24,Z187)</f>
        <v>151572.66671625999</v>
      </c>
      <c r="AA187" s="126">
        <f ca="1">IF(AND(Energy!$F$11=$A$3,Main!$B$43=$A187),Summary!AA24,AA187)</f>
        <v>151572.66671625999</v>
      </c>
      <c r="AB187" s="72">
        <f ca="1">IF(AND(Energy!$F$11=$A$3,Main!$B$43=$A187),Summary!AB24,AB187)</f>
        <v>3.9974163996137091</v>
      </c>
      <c r="AC187" s="72">
        <f ca="1">IF(AND(Energy!$F$11=$A$3,Main!$B$43=$A187),Summary!AC24,AC187)</f>
        <v>2.0340532848968289</v>
      </c>
      <c r="AD187" s="72">
        <f ca="1">IF(AND(Energy!$F$11=$A$3,Main!$B$43=$A187),Summary!AD24,AD187)</f>
        <v>0.44887905319172233</v>
      </c>
      <c r="AE187" s="72">
        <f ca="1">IF(AND(Energy!$F$11=$A$3,Main!$B$43=$A187),Summary!AE24,AE187)</f>
        <v>1.7894736842105265</v>
      </c>
      <c r="AF187" s="72">
        <f ca="1">IF(AND(Energy!$F$11=$A$3,Main!$B$43=$A187),Summary!AF24,AF187)</f>
        <v>11.184210526315788</v>
      </c>
      <c r="AG187" s="72">
        <f ca="1">IF(AND(Energy!$F$11=$A$3,Main!$B$43=$A187),Summary!AG24,AG187)</f>
        <v>12.173602606386355</v>
      </c>
      <c r="AH187" s="72">
        <f ca="1">IF(AND(Energy!$F$11=$A$3,Main!$B$43=$A187),Summary!AH24,AH187)</f>
        <v>47</v>
      </c>
      <c r="AI187" s="72">
        <f ca="1">IF(AND(Energy!$F$11=$A$3,Main!$B$43=$A187),Summary!AI24,AI187)</f>
        <v>2.8149617255903836</v>
      </c>
      <c r="AJ187" s="72">
        <f ca="1">IF(AND(Energy!$F$11=$A$3,Main!$B$43=$A187),Summary!AJ24,AJ187)</f>
        <v>0.22953350443791665</v>
      </c>
      <c r="AK187" s="72">
        <f ca="1">IF(AND(Energy!$F$11=$A$3,Main!$B$43=$A187),Summary!AK24,AK187)</f>
        <v>0.01</v>
      </c>
      <c r="AL187" s="72">
        <f ca="1">IF(AND(Energy!$F$11=$A$3,Main!$B$43=$A187),Summary!AL24,AL187)</f>
        <v>-0.5446030606853719</v>
      </c>
      <c r="AM187" s="72">
        <f ca="1">IF(AND(Energy!$F$11=$A$3,Main!$B$43=$A187),Summary!AJ204,AM187)</f>
        <v>0</v>
      </c>
    </row>
    <row r="188" spans="1:39">
      <c r="A188">
        <f t="shared" si="15"/>
        <v>10</v>
      </c>
      <c r="D188" s="1">
        <f ca="1">IF(AND(Energy!$F$11=$A$3,Main!$B$43=A188),Main!C25,D188)</f>
        <v>4.6315789473684212</v>
      </c>
      <c r="E188" s="72">
        <f ca="1">IF(AND(Energy!$F$11=$A$3,Main!$B$43=A188),Main!B25,E188)</f>
        <v>0.4</v>
      </c>
      <c r="F188" s="72">
        <f ca="1">IF(Main!$D$6=1,U188,IF(Main!$D$6=2,N188,IF(Main!$D$6=3,K188,IF(Main!$D$6=4,V188,J188))))</f>
        <v>576.16766280062564</v>
      </c>
      <c r="G188" s="72">
        <f ca="1">IF(AND(Energy!$F$11=$A$3,Main!$B$43=A188),Weight!H25,G188)</f>
        <v>15</v>
      </c>
      <c r="H188" s="72">
        <f ca="1">IF(AND(Energy!$F$11=$A$3,Main!$B$43=A188),Weight!U25,H188)</f>
        <v>20.385103515033506</v>
      </c>
      <c r="I188" s="72">
        <f ca="1">IF(AND(Energy!$F$11=$A$3,Main!$B$43=A188),Weight!V25,I188)</f>
        <v>48.813144218158513</v>
      </c>
      <c r="J188" s="72">
        <f ca="1">IF(AND(Energy!$F$11=$A$3,Main!$B$43=A188),Weight!I25,J188)</f>
        <v>23.490392428125002</v>
      </c>
      <c r="K188" s="72">
        <f ca="1">IF(AND(Energy!$F$11=$A$3,Main!$B$43=A188),Weight!W25,K188)</f>
        <v>63.813144218158513</v>
      </c>
      <c r="L188" s="72">
        <f ca="1">IF(AND(Energy!$F$11=$A$3,Main!$B$43=A188),'Aerodynamics-Cruise'!BI25,L188)</f>
        <v>63.81314421815852</v>
      </c>
      <c r="M188" s="72">
        <f ca="1">IF(AND(Energy!$F$11=$A$3,Main!$B$43=A188),'Aerodynamics-Cruise'!BJ25,M188)</f>
        <v>3.3404802128854807</v>
      </c>
      <c r="N188" s="72">
        <f ca="1">IF(AND(Energy!$F$11=$A$3,Main!$B$43=A188),'Aerodynamics-Cruise'!BK25,N188)</f>
        <v>19.102985245057692</v>
      </c>
      <c r="O188" s="72">
        <f t="shared" ca="1" si="13"/>
        <v>152.60062493211763</v>
      </c>
      <c r="P188" s="72">
        <f ca="1">IF(AND(Energy!$F$11=$A$3,Main!$B$43=A188),'Aerodynamics-Cruise'!H25,P188)</f>
        <v>7.9853623024192686</v>
      </c>
      <c r="Q188" s="72">
        <f ca="1">IF(AND(Energy!$F$11=$A$3,Main!$B$43=A188),'Aerodynamics-Cruise'!I25,Q188)</f>
        <v>6.6664577809324772</v>
      </c>
      <c r="R188" s="72">
        <f ca="1">IF(AND(Energy!$F$11=$A$3,Main!$B$43=$A188),Summary!R25,R188)</f>
        <v>3.9537820508663581</v>
      </c>
      <c r="S188" s="72">
        <f ca="1">IF(AND(Energy!$F$11=$A$3,Main!$B$43=A188),'Aerodynamics-Cruise'!W25,S188)</f>
        <v>1</v>
      </c>
      <c r="T188" s="72">
        <f ca="1">IF(AND(Energy!$F$11=$A$3,Main!$B$43=A188),'Aerodynamics-Cruise'!BL25,T188)</f>
        <v>26.67494476395321</v>
      </c>
      <c r="U188" s="72">
        <f ca="1">IF(AND(Energy!$F$11=$A$3,Main!$B$43=A188),'Propulsion-Cruise'!M25,U188)</f>
        <v>59.690795652250365</v>
      </c>
      <c r="V188" s="72">
        <f ca="1">IF(AND(Energy!$F$11=$A$3,Main!$B$43=A188),Endurance!AP25,V188)</f>
        <v>576.16766280062564</v>
      </c>
      <c r="W188" s="72">
        <f ca="1">IF(AND(Energy!$F$11=$A$3,Main!$B$43=$A188),Summary!W25,W188)</f>
        <v>1.8526315789473686</v>
      </c>
      <c r="X188" s="13">
        <f ca="1">IF(AND(Energy!$F$11=$A$3,Main!$B$43=A188),Energy!D25,X188)</f>
        <v>1182.0301388888888</v>
      </c>
      <c r="Y188" s="126">
        <f ca="1">IF(AND(Energy!$F$11=$A$3,Main!$B$43=A188),'Aerodynamics-Cruise'!V25,Y188)</f>
        <v>202581.55195778908</v>
      </c>
      <c r="Z188" s="126">
        <f ca="1">IF(AND(Energy!$F$11=$A$3,Main!$B$43=$A188),Summary!Z25,Z188)</f>
        <v>149909.64542549153</v>
      </c>
      <c r="AA188" s="126">
        <f ca="1">IF(AND(Energy!$F$11=$A$3,Main!$B$43=$A188),Summary!AA25,AA188)</f>
        <v>149909.64542549153</v>
      </c>
      <c r="AB188" s="72">
        <f ca="1">IF(AND(Energy!$F$11=$A$3,Main!$B$43=$A188),Summary!AB25,AB188)</f>
        <v>3.9537820508663581</v>
      </c>
      <c r="AC188" s="72">
        <f ca="1">IF(AND(Energy!$F$11=$A$3,Main!$B$43=$A188),Summary!AC25,AC188)</f>
        <v>1.9941087960081565</v>
      </c>
      <c r="AD188" s="72">
        <f ca="1">IF(AND(Energy!$F$11=$A$3,Main!$B$43=$A188),Summary!AD25,AD188)</f>
        <v>0.44610442233310377</v>
      </c>
      <c r="AE188" s="72">
        <f ca="1">IF(AND(Energy!$F$11=$A$3,Main!$B$43=$A188),Summary!AE25,AE188)</f>
        <v>1.8526315789473686</v>
      </c>
      <c r="AF188" s="72">
        <f ca="1">IF(AND(Energy!$F$11=$A$3,Main!$B$43=$A188),Summary!AF25,AF188)</f>
        <v>11.578947368421051</v>
      </c>
      <c r="AG188" s="72">
        <f ca="1">IF(AND(Energy!$F$11=$A$3,Main!$B$43=$A188),Summary!AG25,AG188)</f>
        <v>12.101442821086918</v>
      </c>
      <c r="AH188" s="72">
        <f ca="1">IF(AND(Energy!$F$11=$A$3,Main!$B$43=$A188),Summary!AH25,AH188)</f>
        <v>47</v>
      </c>
      <c r="AI188" s="72">
        <f ca="1">IF(AND(Energy!$F$11=$A$3,Main!$B$43=$A188),Summary!AI25,AI188)</f>
        <v>2.8122573189191447</v>
      </c>
      <c r="AJ188" s="72">
        <f ca="1">IF(AND(Energy!$F$11=$A$3,Main!$B$43=$A188),Summary!AJ25,AJ188)</f>
        <v>0.22862570237994823</v>
      </c>
      <c r="AK188" s="72">
        <f ca="1">IF(AND(Energy!$F$11=$A$3,Main!$B$43=$A188),Summary!AK25,AK188)</f>
        <v>0.01</v>
      </c>
      <c r="AL188" s="72">
        <f ca="1">IF(AND(Energy!$F$11=$A$3,Main!$B$43=$A188),Summary!AL25,AL188)</f>
        <v>-0.54675849083199424</v>
      </c>
      <c r="AM188" s="72">
        <f ca="1">IF(AND(Energy!$F$11=$A$3,Main!$B$43=$A188),Summary!AJ205,AM188)</f>
        <v>0</v>
      </c>
    </row>
    <row r="189" spans="1:39">
      <c r="A189">
        <f t="shared" si="15"/>
        <v>10</v>
      </c>
      <c r="D189" s="1">
        <f ca="1">IF(AND(Energy!$F$11=$A$3,Main!$B$43=A189),Main!C26,D189)</f>
        <v>4.7894736842105265</v>
      </c>
      <c r="E189" s="72">
        <f ca="1">IF(AND(Energy!$F$11=$A$3,Main!$B$43=A189),Main!B26,E189)</f>
        <v>0.4</v>
      </c>
      <c r="F189" s="72">
        <f ca="1">IF(Main!$D$6=1,U189,IF(Main!$D$6=2,N189,IF(Main!$D$6=3,K189,IF(Main!$D$6=4,V189,J189))))</f>
        <v>572.97174359540873</v>
      </c>
      <c r="G189" s="72">
        <f ca="1">IF(AND(Energy!$F$11=$A$3,Main!$B$43=A189),Weight!H26,G189)</f>
        <v>15</v>
      </c>
      <c r="H189" s="72">
        <f ca="1">IF(AND(Energy!$F$11=$A$3,Main!$B$43=A189),Weight!U26,H189)</f>
        <v>21.145894887246939</v>
      </c>
      <c r="I189" s="72">
        <f ca="1">IF(AND(Energy!$F$11=$A$3,Main!$B$43=A189),Weight!V26,I189)</f>
        <v>49.573935590371946</v>
      </c>
      <c r="J189" s="72">
        <f ca="1">IF(AND(Energy!$F$11=$A$3,Main!$B$43=A189),Weight!I26,J189)</f>
        <v>23.490392428125002</v>
      </c>
      <c r="K189" s="72">
        <f ca="1">IF(AND(Energy!$F$11=$A$3,Main!$B$43=A189),Weight!W26,K189)</f>
        <v>64.573935590371946</v>
      </c>
      <c r="L189" s="72">
        <f ca="1">IF(AND(Energy!$F$11=$A$3,Main!$B$43=A189),'Aerodynamics-Cruise'!BI26,L189)</f>
        <v>64.573935590371946</v>
      </c>
      <c r="M189" s="72">
        <f ca="1">IF(AND(Energy!$F$11=$A$3,Main!$B$43=A189),'Aerodynamics-Cruise'!BJ26,M189)</f>
        <v>3.3311107914601199</v>
      </c>
      <c r="N189" s="72">
        <f ca="1">IF(AND(Energy!$F$11=$A$3,Main!$B$43=A189),'Aerodynamics-Cruise'!BK26,N189)</f>
        <v>19.385105940012089</v>
      </c>
      <c r="O189" s="72">
        <f t="shared" ca="1" si="13"/>
        <v>155.77465815175015</v>
      </c>
      <c r="P189" s="72">
        <f ca="1">IF(AND(Energy!$F$11=$A$3,Main!$B$43=A189),'Aerodynamics-Cruise'!H26,P189)</f>
        <v>7.8992044598740447</v>
      </c>
      <c r="Q189" s="72">
        <f ca="1">IF(AND(Energy!$F$11=$A$3,Main!$B$43=A189),'Aerodynamics-Cruise'!I26,Q189)</f>
        <v>6.5975182600181403</v>
      </c>
      <c r="R189" s="72">
        <f ca="1">IF(AND(Energy!$F$11=$A$3,Main!$B$43=$A189),Summary!R26,R189)</f>
        <v>3.9162815903961721</v>
      </c>
      <c r="S189" s="72">
        <f ca="1">IF(AND(Energy!$F$11=$A$3,Main!$B$43=A189),'Aerodynamics-Cruise'!W26,S189)</f>
        <v>1</v>
      </c>
      <c r="T189" s="72">
        <f ca="1">IF(AND(Energy!$F$11=$A$3,Main!$B$43=A189),'Aerodynamics-Cruise'!BL26,T189)</f>
        <v>26.313125220236337</v>
      </c>
      <c r="U189" s="72">
        <f ca="1">IF(AND(Energy!$F$11=$A$3,Main!$B$43=A189),'Propulsion-Cruise'!M26,U189)</f>
        <v>59.127475962351468</v>
      </c>
      <c r="V189" s="72">
        <f ca="1">IF(AND(Energy!$F$11=$A$3,Main!$B$43=A189),Endurance!AP26,V189)</f>
        <v>572.97174359540873</v>
      </c>
      <c r="W189" s="72">
        <f ca="1">IF(AND(Energy!$F$11=$A$3,Main!$B$43=$A189),Summary!W26,W189)</f>
        <v>1.9157894736842107</v>
      </c>
      <c r="X189" s="13">
        <f ca="1">IF(AND(Energy!$F$11=$A$3,Main!$B$43=A189),Energy!D26,X189)</f>
        <v>1182.0301388888888</v>
      </c>
      <c r="Y189" s="126">
        <f ca="1">IF(AND(Energy!$F$11=$A$3,Main!$B$43=A189),'Aerodynamics-Cruise'!V26,Y189)</f>
        <v>200395.80398604608</v>
      </c>
      <c r="Z189" s="126">
        <f ca="1">IF(AND(Energy!$F$11=$A$3,Main!$B$43=$A189),Summary!Z26,Z189)</f>
        <v>148356.76990885116</v>
      </c>
      <c r="AA189" s="126">
        <f ca="1">IF(AND(Energy!$F$11=$A$3,Main!$B$43=$A189),Summary!AA26,AA189)</f>
        <v>148356.76990885116</v>
      </c>
      <c r="AB189" s="72">
        <f ca="1">IF(AND(Energy!$F$11=$A$3,Main!$B$43=$A189),Summary!AB26,AB189)</f>
        <v>3.9162815903961721</v>
      </c>
      <c r="AC189" s="72">
        <f ca="1">IF(AND(Energy!$F$11=$A$3,Main!$B$43=$A189),Summary!AC26,AC189)</f>
        <v>1.9551838678299138</v>
      </c>
      <c r="AD189" s="72">
        <f ca="1">IF(AND(Energy!$F$11=$A$3,Main!$B$43=$A189),Summary!AD26,AD189)</f>
        <v>0.44362939296846665</v>
      </c>
      <c r="AE189" s="72">
        <f ca="1">IF(AND(Energy!$F$11=$A$3,Main!$B$43=$A189),Summary!AE26,AE189)</f>
        <v>1.9157894736842107</v>
      </c>
      <c r="AF189" s="72">
        <f ca="1">IF(AND(Energy!$F$11=$A$3,Main!$B$43=$A189),Summary!AF26,AF189)</f>
        <v>11.973684210526317</v>
      </c>
      <c r="AG189" s="72">
        <f ca="1">IF(AND(Energy!$F$11=$A$3,Main!$B$43=$A189),Summary!AG26,AG189)</f>
        <v>12.040554219388458</v>
      </c>
      <c r="AH189" s="72">
        <f ca="1">IF(AND(Energy!$F$11=$A$3,Main!$B$43=$A189),Summary!AH26,AH189)</f>
        <v>47</v>
      </c>
      <c r="AI189" s="72">
        <f ca="1">IF(AND(Energy!$F$11=$A$3,Main!$B$43=$A189),Summary!AI26,AI189)</f>
        <v>2.8097105341031812</v>
      </c>
      <c r="AJ189" s="72">
        <f ca="1">IF(AND(Energy!$F$11=$A$3,Main!$B$43=$A189),Summary!AJ26,AJ189)</f>
        <v>0.22790434800735529</v>
      </c>
      <c r="AK189" s="72">
        <f ca="1">IF(AND(Energy!$F$11=$A$3,Main!$B$43=$A189),Summary!AK26,AK189)</f>
        <v>0.01</v>
      </c>
      <c r="AL189" s="72">
        <f ca="1">IF(AND(Energy!$F$11=$A$3,Main!$B$43=$A189),Summary!AL26,AL189)</f>
        <v>-0.54847992608896756</v>
      </c>
      <c r="AM189" s="72">
        <f ca="1">IF(AND(Energy!$F$11=$A$3,Main!$B$43=$A189),Summary!AJ206,AM189)</f>
        <v>0</v>
      </c>
    </row>
    <row r="190" spans="1:39">
      <c r="A190">
        <f t="shared" si="15"/>
        <v>10</v>
      </c>
      <c r="D190" s="1">
        <f ca="1">IF(AND(Energy!$F$11=$A$3,Main!$B$43=A190),Main!C27,D190)</f>
        <v>4.9473684210526319</v>
      </c>
      <c r="E190" s="72">
        <f ca="1">IF(AND(Energy!$F$11=$A$3,Main!$B$43=A190),Main!B27,E190)</f>
        <v>0.4</v>
      </c>
      <c r="F190" s="72">
        <f ca="1">IF(Main!$D$6=1,U190,IF(Main!$D$6=2,N190,IF(Main!$D$6=3,K190,IF(Main!$D$6=4,V190,J190))))</f>
        <v>570.57669406516777</v>
      </c>
      <c r="G190" s="72">
        <f ca="1">IF(AND(Energy!$F$11=$A$3,Main!$B$43=A190),Weight!H27,G190)</f>
        <v>15</v>
      </c>
      <c r="H190" s="72">
        <f ca="1">IF(AND(Energy!$F$11=$A$3,Main!$B$43=A190),Weight!U27,H190)</f>
        <v>21.923790367376768</v>
      </c>
      <c r="I190" s="72">
        <f ca="1">IF(AND(Energy!$F$11=$A$3,Main!$B$43=A190),Weight!V27,I190)</f>
        <v>50.351831070501774</v>
      </c>
      <c r="J190" s="72">
        <f ca="1">IF(AND(Energy!$F$11=$A$3,Main!$B$43=A190),Weight!I27,J190)</f>
        <v>23.490392428125002</v>
      </c>
      <c r="K190" s="72">
        <f ca="1">IF(AND(Energy!$F$11=$A$3,Main!$B$43=A190),Weight!W27,K190)</f>
        <v>65.351831070501774</v>
      </c>
      <c r="L190" s="72">
        <f ca="1">IF(AND(Energy!$F$11=$A$3,Main!$B$43=A190),'Aerodynamics-Cruise'!BI27,L190)</f>
        <v>65.351831070501774</v>
      </c>
      <c r="M190" s="72">
        <f ca="1">IF(AND(Energy!$F$11=$A$3,Main!$B$43=A190),'Aerodynamics-Cruise'!BJ27,M190)</f>
        <v>3.3250635190444102</v>
      </c>
      <c r="N190" s="72">
        <f ca="1">IF(AND(Energy!$F$11=$A$3,Main!$B$43=A190),'Aerodynamics-Cruise'!BK27,N190)</f>
        <v>19.654310570669409</v>
      </c>
      <c r="O190" s="72">
        <f t="shared" ca="1" si="13"/>
        <v>158.88638884967867</v>
      </c>
      <c r="P190" s="72">
        <f ca="1">IF(AND(Energy!$F$11=$A$3,Main!$B$43=A190),'Aerodynamics-Cruise'!H27,P190)</f>
        <v>7.8187157555825451</v>
      </c>
      <c r="Q190" s="72">
        <f ca="1">IF(AND(Energy!$F$11=$A$3,Main!$B$43=A190),'Aerodynamics-Cruise'!I27,Q190)</f>
        <v>6.5330834079343019</v>
      </c>
      <c r="R190" s="72">
        <f ca="1">IF(AND(Energy!$F$11=$A$3,Main!$B$43=$A190),Summary!R27,R190)</f>
        <v>3.884411222559113</v>
      </c>
      <c r="S190" s="72">
        <f ca="1">IF(AND(Energy!$F$11=$A$3,Main!$B$43=A190),'Aerodynamics-Cruise'!W27,S190)</f>
        <v>1</v>
      </c>
      <c r="T190" s="72">
        <f ca="1">IF(AND(Energy!$F$11=$A$3,Main!$B$43=A190),'Aerodynamics-Cruise'!BL27,T190)</f>
        <v>25.997726524665271</v>
      </c>
      <c r="U190" s="72">
        <f ca="1">IF(AND(Energy!$F$11=$A$3,Main!$B$43=A190),'Propulsion-Cruise'!M27,U190)</f>
        <v>58.653759393870651</v>
      </c>
      <c r="V190" s="72">
        <f ca="1">IF(AND(Energy!$F$11=$A$3,Main!$B$43=A190),Endurance!AP27,V190)</f>
        <v>570.57669406516777</v>
      </c>
      <c r="W190" s="72">
        <f ca="1">IF(AND(Energy!$F$11=$A$3,Main!$B$43=$A190),Summary!W27,W190)</f>
        <v>1.9789473684210528</v>
      </c>
      <c r="X190" s="13">
        <f ca="1">IF(AND(Energy!$F$11=$A$3,Main!$B$43=A190),Energy!D27,X190)</f>
        <v>1182.0301388888888</v>
      </c>
      <c r="Y190" s="126">
        <f ca="1">IF(AND(Energy!$F$11=$A$3,Main!$B$43=A190),'Aerodynamics-Cruise'!V27,Y190)</f>
        <v>198353.87701856162</v>
      </c>
      <c r="Z190" s="126">
        <f ca="1">IF(AND(Energy!$F$11=$A$3,Main!$B$43=$A190),Summary!Z27,Z190)</f>
        <v>146905.39071150962</v>
      </c>
      <c r="AA190" s="126">
        <f ca="1">IF(AND(Energy!$F$11=$A$3,Main!$B$43=$A190),Summary!AA27,AA190)</f>
        <v>146905.39071150962</v>
      </c>
      <c r="AB190" s="72">
        <f ca="1">IF(AND(Energy!$F$11=$A$3,Main!$B$43=$A190),Summary!AB27,AB190)</f>
        <v>3.884411222559113</v>
      </c>
      <c r="AC190" s="72">
        <f ca="1">IF(AND(Energy!$F$11=$A$3,Main!$B$43=$A190),Summary!AC27,AC190)</f>
        <v>1.9172366030279058</v>
      </c>
      <c r="AD190" s="72">
        <f ca="1">IF(AND(Energy!$F$11=$A$3,Main!$B$43=$A190),Summary!AD27,AD190)</f>
        <v>0.44143418729105743</v>
      </c>
      <c r="AE190" s="72">
        <f ca="1">IF(AND(Energy!$F$11=$A$3,Main!$B$43=$A190),Summary!AE27,AE190)</f>
        <v>1.9789473684210528</v>
      </c>
      <c r="AF190" s="72">
        <f ca="1">IF(AND(Energy!$F$11=$A$3,Main!$B$43=$A190),Summary!AF27,AF190)</f>
        <v>12.368421052631581</v>
      </c>
      <c r="AG190" s="72">
        <f ca="1">IF(AND(Energy!$F$11=$A$3,Main!$B$43=$A190),Summary!AG27,AG190)</f>
        <v>11.990179132010253</v>
      </c>
      <c r="AH190" s="72">
        <f ca="1">IF(AND(Energy!$F$11=$A$3,Main!$B$43=$A190),Summary!AH27,AH190)</f>
        <v>47</v>
      </c>
      <c r="AI190" s="72">
        <f ca="1">IF(AND(Energy!$F$11=$A$3,Main!$B$43=$A190),Summary!AI27,AI190)</f>
        <v>2.8073109229200024</v>
      </c>
      <c r="AJ190" s="72">
        <f ca="1">IF(AND(Energy!$F$11=$A$3,Main!$B$43=$A190),Summary!AJ27,AJ190)</f>
        <v>0.22843694156580593</v>
      </c>
      <c r="AK190" s="72">
        <f ca="1">IF(AND(Energy!$F$11=$A$3,Main!$B$43=$A190),Summary!AK27,AK190)</f>
        <v>0.01</v>
      </c>
      <c r="AL190" s="72">
        <f ca="1">IF(AND(Energy!$F$11=$A$3,Main!$B$43=$A190),Summary!AL27,AL190)</f>
        <v>-0.54720036816805773</v>
      </c>
      <c r="AM190" s="72">
        <f ca="1">IF(AND(Energy!$F$11=$A$3,Main!$B$43=$A190),Summary!AJ207,AM190)</f>
        <v>0</v>
      </c>
    </row>
    <row r="191" spans="1:39">
      <c r="A191">
        <f t="shared" si="15"/>
        <v>10</v>
      </c>
      <c r="D191" s="1">
        <f ca="1">IF(AND(Energy!$F$11=$A$3,Main!$B$43=A191),Main!C28,D191)</f>
        <v>5.1052631578947372</v>
      </c>
      <c r="E191" s="72">
        <f ca="1">IF(AND(Energy!$F$11=$A$3,Main!$B$43=A191),Main!B28,E191)</f>
        <v>0.4</v>
      </c>
      <c r="F191" s="72">
        <f ca="1">IF(Main!$D$6=1,U191,IF(Main!$D$6=2,N191,IF(Main!$D$6=3,K191,IF(Main!$D$6=4,V191,J191))))</f>
        <v>568.89066037799557</v>
      </c>
      <c r="G191" s="72">
        <f ca="1">IF(AND(Energy!$F$11=$A$3,Main!$B$43=A191),Weight!H28,G191)</f>
        <v>15</v>
      </c>
      <c r="H191" s="72">
        <f ca="1">IF(AND(Energy!$F$11=$A$3,Main!$B$43=A191),Weight!U28,H191)</f>
        <v>22.718947401354143</v>
      </c>
      <c r="I191" s="72">
        <f ca="1">IF(AND(Energy!$F$11=$A$3,Main!$B$43=A191),Weight!V28,I191)</f>
        <v>51.146988104479149</v>
      </c>
      <c r="J191" s="72">
        <f ca="1">IF(AND(Energy!$F$11=$A$3,Main!$B$43=A191),Weight!I28,J191)</f>
        <v>23.490392428125002</v>
      </c>
      <c r="K191" s="72">
        <f ca="1">IF(AND(Energy!$F$11=$A$3,Main!$B$43=A191),Weight!W28,K191)</f>
        <v>66.146988104479149</v>
      </c>
      <c r="L191" s="72">
        <f ca="1">IF(AND(Energy!$F$11=$A$3,Main!$B$43=A191),'Aerodynamics-Cruise'!BI28,L191)</f>
        <v>66.146988104479178</v>
      </c>
      <c r="M191" s="72">
        <f ca="1">IF(AND(Energy!$F$11=$A$3,Main!$B$43=A191),'Aerodynamics-Cruise'!BJ28,M191)</f>
        <v>3.3219299055202192</v>
      </c>
      <c r="N191" s="72">
        <f ca="1">IF(AND(Energy!$F$11=$A$3,Main!$B$43=A191),'Aerodynamics-Cruise'!BK28,N191)</f>
        <v>19.912216689027478</v>
      </c>
      <c r="O191" s="72">
        <f t="shared" ca="1" si="13"/>
        <v>161.94764863819751</v>
      </c>
      <c r="P191" s="72">
        <f ca="1">IF(AND(Energy!$F$11=$A$3,Main!$B$43=A191),'Aerodynamics-Cruise'!H28,P191)</f>
        <v>7.743461470135097</v>
      </c>
      <c r="Q191" s="72">
        <f ca="1">IF(AND(Energy!$F$11=$A$3,Main!$B$43=A191),'Aerodynamics-Cruise'!I28,Q191)</f>
        <v>6.4728112900984938</v>
      </c>
      <c r="R191" s="72">
        <f ca="1">IF(AND(Energy!$F$11=$A$3,Main!$B$43=$A191),Summary!R28,R191)</f>
        <v>3.8577354118361176</v>
      </c>
      <c r="S191" s="72">
        <f ca="1">IF(AND(Energy!$F$11=$A$3,Main!$B$43=A191),'Aerodynamics-Cruise'!W28,S191)</f>
        <v>1</v>
      </c>
      <c r="T191" s="72">
        <f ca="1">IF(AND(Energy!$F$11=$A$3,Main!$B$43=A191),'Aerodynamics-Cruise'!BL28,T191)</f>
        <v>25.723236229885341</v>
      </c>
      <c r="U191" s="72">
        <f ca="1">IF(AND(Energy!$F$11=$A$3,Main!$B$43=A191),'Propulsion-Cruise'!M28,U191)</f>
        <v>58.258971586010098</v>
      </c>
      <c r="V191" s="72">
        <f ca="1">IF(AND(Energy!$F$11=$A$3,Main!$B$43=A191),Endurance!AP28,V191)</f>
        <v>568.89066037799557</v>
      </c>
      <c r="W191" s="72">
        <f ca="1">IF(AND(Energy!$F$11=$A$3,Main!$B$43=$A191),Summary!W28,W191)</f>
        <v>2.0421052631578949</v>
      </c>
      <c r="X191" s="13">
        <f ca="1">IF(AND(Energy!$F$11=$A$3,Main!$B$43=A191),Energy!D28,X191)</f>
        <v>1182.0301388888888</v>
      </c>
      <c r="Y191" s="126">
        <f ca="1">IF(AND(Energy!$F$11=$A$3,Main!$B$43=A191),'Aerodynamics-Cruise'!V28,Y191)</f>
        <v>196444.74260986989</v>
      </c>
      <c r="Z191" s="126">
        <f ca="1">IF(AND(Energy!$F$11=$A$3,Main!$B$43=$A191),Summary!Z28,Z191)</f>
        <v>145547.80048475519</v>
      </c>
      <c r="AA191" s="126">
        <f ca="1">IF(AND(Energy!$F$11=$A$3,Main!$B$43=$A191),Summary!AA28,AA191)</f>
        <v>145547.80048475519</v>
      </c>
      <c r="AB191" s="72">
        <f ca="1">IF(AND(Energy!$F$11=$A$3,Main!$B$43=$A191),Summary!AB28,AB191)</f>
        <v>3.8577354118361176</v>
      </c>
      <c r="AC191" s="72">
        <f ca="1">IF(AND(Energy!$F$11=$A$3,Main!$B$43=$A191),Summary!AC28,AC191)</f>
        <v>1.8802534636251078</v>
      </c>
      <c r="AD191" s="72">
        <f ca="1">IF(AND(Energy!$F$11=$A$3,Main!$B$43=$A191),Summary!AD28,AD191)</f>
        <v>0.43949123949309105</v>
      </c>
      <c r="AE191" s="72">
        <f ca="1">IF(AND(Energy!$F$11=$A$3,Main!$B$43=$A191),Summary!AE28,AE191)</f>
        <v>2.0421052631578949</v>
      </c>
      <c r="AF191" s="72">
        <f ca="1">IF(AND(Energy!$F$11=$A$3,Main!$B$43=$A191),Summary!AF28,AF191)</f>
        <v>12.763157894736842</v>
      </c>
      <c r="AG191" s="72">
        <f ca="1">IF(AND(Energy!$F$11=$A$3,Main!$B$43=$A191),Summary!AG28,AG191)</f>
        <v>11.9490979603812</v>
      </c>
      <c r="AH191" s="72">
        <f ca="1">IF(AND(Energy!$F$11=$A$3,Main!$B$43=$A191),Summary!AH28,AH191)</f>
        <v>47</v>
      </c>
      <c r="AI191" s="72">
        <f ca="1">IF(AND(Energy!$F$11=$A$3,Main!$B$43=$A191),Summary!AI28,AI191)</f>
        <v>2.8050490732295787</v>
      </c>
      <c r="AJ191" s="72">
        <f ca="1">IF(AND(Energy!$F$11=$A$3,Main!$B$43=$A191),Summary!AJ28,AJ191)</f>
        <v>0.22901757560198194</v>
      </c>
      <c r="AK191" s="72">
        <f ca="1">IF(AND(Energy!$F$11=$A$3,Main!$B$43=$A191),Summary!AK28,AK191)</f>
        <v>0.01</v>
      </c>
      <c r="AL191" s="72">
        <f ca="1">IF(AND(Energy!$F$11=$A$3,Main!$B$43=$A191),Summary!AL28,AL191)</f>
        <v>-0.54581281988326791</v>
      </c>
      <c r="AM191" s="72">
        <f ca="1">IF(AND(Energy!$F$11=$A$3,Main!$B$43=$A191),Summary!AJ208,AM191)</f>
        <v>0</v>
      </c>
    </row>
    <row r="192" spans="1:39">
      <c r="A192">
        <f t="shared" si="15"/>
        <v>10</v>
      </c>
      <c r="D192" s="1">
        <f ca="1">IF(AND(Energy!$F$11=$A$3,Main!$B$43=A192),Main!C29,D192)</f>
        <v>5.2631578947368425</v>
      </c>
      <c r="E192" s="72">
        <f ca="1">IF(AND(Energy!$F$11=$A$3,Main!$B$43=A192),Main!B29,E192)</f>
        <v>0.4</v>
      </c>
      <c r="F192" s="72">
        <f ca="1">IF(Main!$D$6=1,U192,IF(Main!$D$6=2,N192,IF(Main!$D$6=3,K192,IF(Main!$D$6=4,V192,J192))))</f>
        <v>567.85284796137546</v>
      </c>
      <c r="G192" s="72">
        <f ca="1">IF(AND(Energy!$F$11=$A$3,Main!$B$43=A192),Weight!H29,G192)</f>
        <v>15</v>
      </c>
      <c r="H192" s="72">
        <f ca="1">IF(AND(Energy!$F$11=$A$3,Main!$B$43=A192),Weight!U29,H192)</f>
        <v>23.531531775097818</v>
      </c>
      <c r="I192" s="72">
        <f ca="1">IF(AND(Energy!$F$11=$A$3,Main!$B$43=A192),Weight!V29,I192)</f>
        <v>51.959572478222825</v>
      </c>
      <c r="J192" s="72">
        <f ca="1">IF(AND(Energy!$F$11=$A$3,Main!$B$43=A192),Weight!I29,J192)</f>
        <v>23.490392428125002</v>
      </c>
      <c r="K192" s="72">
        <f ca="1">IF(AND(Energy!$F$11=$A$3,Main!$B$43=A192),Weight!W29,K192)</f>
        <v>66.959572478222825</v>
      </c>
      <c r="L192" s="72">
        <f ca="1">IF(AND(Energy!$F$11=$A$3,Main!$B$43=A192),'Aerodynamics-Cruise'!BI29,L192)</f>
        <v>66.959572478222825</v>
      </c>
      <c r="M192" s="72">
        <f ca="1">IF(AND(Energy!$F$11=$A$3,Main!$B$43=A192),'Aerodynamics-Cruise'!BJ29,M192)</f>
        <v>3.3214681390345833</v>
      </c>
      <c r="N192" s="72">
        <f ca="1">IF(AND(Energy!$F$11=$A$3,Main!$B$43=A192),'Aerodynamics-Cruise'!BK29,N192)</f>
        <v>20.159631125555602</v>
      </c>
      <c r="O192" s="72">
        <f t="shared" ca="1" si="13"/>
        <v>164.96390071290276</v>
      </c>
      <c r="P192" s="72">
        <f ca="1">IF(AND(Energy!$F$11=$A$3,Main!$B$43=A192),'Aerodynamics-Cruise'!H29,P192)</f>
        <v>7.6730531555866301</v>
      </c>
      <c r="Q192" s="72">
        <f ca="1">IF(AND(Energy!$F$11=$A$3,Main!$B$43=A192),'Aerodynamics-Cruise'!I29,Q192)</f>
        <v>6.4163960752062756</v>
      </c>
      <c r="R192" s="72">
        <f ca="1">IF(AND(Energy!$F$11=$A$3,Main!$B$43=$A192),Summary!R29,R192)</f>
        <v>3.8358754907929722</v>
      </c>
      <c r="S192" s="72">
        <f ca="1">IF(AND(Energy!$F$11=$A$3,Main!$B$43=A192),'Aerodynamics-Cruise'!W29,S192)</f>
        <v>1</v>
      </c>
      <c r="T192" s="72">
        <f ca="1">IF(AND(Energy!$F$11=$A$3,Main!$B$43=A192),'Aerodynamics-Cruise'!BL29,T192)</f>
        <v>25.485801585399763</v>
      </c>
      <c r="U192" s="72">
        <f ca="1">IF(AND(Energy!$F$11=$A$3,Main!$B$43=A192),'Propulsion-Cruise'!M29,U192)</f>
        <v>57.935998892624916</v>
      </c>
      <c r="V192" s="72">
        <f ca="1">IF(AND(Energy!$F$11=$A$3,Main!$B$43=A192),Endurance!AP29,V192)</f>
        <v>567.85284796137546</v>
      </c>
      <c r="W192" s="72">
        <f ca="1">IF(AND(Energy!$F$11=$A$3,Main!$B$43=$A192),Summary!W29,W192)</f>
        <v>2.1052631578947372</v>
      </c>
      <c r="X192" s="13">
        <f ca="1">IF(AND(Energy!$F$11=$A$3,Main!$B$43=A192),Energy!D29,X192)</f>
        <v>1182.0301388888888</v>
      </c>
      <c r="Y192" s="126">
        <f ca="1">IF(AND(Energy!$F$11=$A$3,Main!$B$43=A192),'Aerodynamics-Cruise'!V29,Y192)</f>
        <v>194658.54618048065</v>
      </c>
      <c r="Z192" s="126">
        <f ca="1">IF(AND(Energy!$F$11=$A$3,Main!$B$43=$A192),Summary!Z29,Z192)</f>
        <v>144277.10592357774</v>
      </c>
      <c r="AA192" s="126">
        <f ca="1">IF(AND(Energy!$F$11=$A$3,Main!$B$43=$A192),Summary!AA29,AA192)</f>
        <v>144277.10592357774</v>
      </c>
      <c r="AB192" s="72">
        <f ca="1">IF(AND(Energy!$F$11=$A$3,Main!$B$43=$A192),Summary!AB29,AB192)</f>
        <v>3.8358754907929722</v>
      </c>
      <c r="AC192" s="72">
        <f ca="1">IF(AND(Energy!$F$11=$A$3,Main!$B$43=$A192),Summary!AC29,AC192)</f>
        <v>1.8442036442405751</v>
      </c>
      <c r="AD192" s="72">
        <f ca="1">IF(AND(Energy!$F$11=$A$3,Main!$B$43=$A192),Summary!AD29,AD192)</f>
        <v>0.43778110706715267</v>
      </c>
      <c r="AE192" s="72">
        <f ca="1">IF(AND(Energy!$F$11=$A$3,Main!$B$43=$A192),Summary!AE29,AE192)</f>
        <v>2.1052631578947372</v>
      </c>
      <c r="AF192" s="72">
        <f ca="1">IF(AND(Energy!$F$11=$A$3,Main!$B$43=$A192),Summary!AF29,AF192)</f>
        <v>13.157894736842106</v>
      </c>
      <c r="AG192" s="72">
        <f ca="1">IF(AND(Energy!$F$11=$A$3,Main!$B$43=$A192),Summary!AG29,AG192)</f>
        <v>11.916522814159508</v>
      </c>
      <c r="AH192" s="72">
        <f ca="1">IF(AND(Energy!$F$11=$A$3,Main!$B$43=$A192),Summary!AH29,AH192)</f>
        <v>47</v>
      </c>
      <c r="AI192" s="72">
        <f ca="1">IF(AND(Energy!$F$11=$A$3,Main!$B$43=$A192),Summary!AI29,AI192)</f>
        <v>2.8029164731743772</v>
      </c>
      <c r="AJ192" s="72">
        <f ca="1">IF(AND(Energy!$F$11=$A$3,Main!$B$43=$A192),Summary!AJ29,AJ192)</f>
        <v>0.22955973950225275</v>
      </c>
      <c r="AK192" s="72">
        <f ca="1">IF(AND(Energy!$F$11=$A$3,Main!$B$43=$A192),Summary!AK29,AK192)</f>
        <v>0.01</v>
      </c>
      <c r="AL192" s="72">
        <f ca="1">IF(AND(Energy!$F$11=$A$3,Main!$B$43=$A192),Summary!AL29,AL192)</f>
        <v>-0.544523528908885</v>
      </c>
      <c r="AM192" s="72">
        <f ca="1">IF(AND(Energy!$F$11=$A$3,Main!$B$43=$A192),Summary!AJ209,AM192)</f>
        <v>0</v>
      </c>
    </row>
    <row r="193" spans="1:39">
      <c r="A193">
        <f t="shared" si="15"/>
        <v>10</v>
      </c>
      <c r="D193" s="1">
        <f ca="1">IF(AND(Energy!$F$11=$A$3,Main!$B$43=A193),Main!C30,D193)</f>
        <v>5.4210526315789478</v>
      </c>
      <c r="E193" s="72">
        <f ca="1">IF(AND(Energy!$F$11=$A$3,Main!$B$43=A193),Main!B30,E193)</f>
        <v>0.4</v>
      </c>
      <c r="F193" s="72">
        <f ca="1">IF(Main!$D$6=1,U193,IF(Main!$D$6=2,N193,IF(Main!$D$6=3,K193,IF(Main!$D$6=4,V193,J193))))</f>
        <v>567.41172274931648</v>
      </c>
      <c r="G193" s="72">
        <f ca="1">IF(AND(Energy!$F$11=$A$3,Main!$B$43=A193),Weight!H30,G193)</f>
        <v>15</v>
      </c>
      <c r="H193" s="72">
        <f ca="1">IF(AND(Energy!$F$11=$A$3,Main!$B$43=A193),Weight!U30,H193)</f>
        <v>24.361717028599926</v>
      </c>
      <c r="I193" s="72">
        <f ca="1">IF(AND(Energy!$F$11=$A$3,Main!$B$43=A193),Weight!V30,I193)</f>
        <v>52.789757731724933</v>
      </c>
      <c r="J193" s="72">
        <f ca="1">IF(AND(Energy!$F$11=$A$3,Main!$B$43=A193),Weight!I30,J193)</f>
        <v>23.490392428125002</v>
      </c>
      <c r="K193" s="72">
        <f ca="1">IF(AND(Energy!$F$11=$A$3,Main!$B$43=A193),Weight!W30,K193)</f>
        <v>67.789757731724933</v>
      </c>
      <c r="L193" s="72">
        <f ca="1">IF(AND(Energy!$F$11=$A$3,Main!$B$43=A193),'Aerodynamics-Cruise'!BI30,L193)</f>
        <v>67.789757731724933</v>
      </c>
      <c r="M193" s="72">
        <f ca="1">IF(AND(Energy!$F$11=$A$3,Main!$B$43=A193),'Aerodynamics-Cruise'!BJ30,M193)</f>
        <v>3.3234731664541002</v>
      </c>
      <c r="N193" s="72">
        <f ca="1">IF(AND(Energy!$F$11=$A$3,Main!$B$43=A193),'Aerodynamics-Cruise'!BK30,N193)</f>
        <v>20.397263445954518</v>
      </c>
      <c r="O193" s="72">
        <f t="shared" ca="1" si="13"/>
        <v>167.93992158981905</v>
      </c>
      <c r="P193" s="72">
        <f ca="1">IF(AND(Energy!$F$11=$A$3,Main!$B$43=A193),'Aerodynamics-Cruise'!H30,P193)</f>
        <v>7.607142489801161</v>
      </c>
      <c r="Q193" s="72">
        <f ca="1">IF(AND(Energy!$F$11=$A$3,Main!$B$43=A193),'Aerodynamics-Cruise'!I30,Q193)</f>
        <v>6.3635632720480784</v>
      </c>
      <c r="R193" s="72">
        <f ca="1">IF(AND(Energy!$F$11=$A$3,Main!$B$43=$A193),Summary!R30,R193)</f>
        <v>3.8185009645358399</v>
      </c>
      <c r="S193" s="72">
        <f ca="1">IF(AND(Energy!$F$11=$A$3,Main!$B$43=A193),'Aerodynamics-Cruise'!W30,S193)</f>
        <v>1</v>
      </c>
      <c r="T193" s="72">
        <f ca="1">IF(AND(Energy!$F$11=$A$3,Main!$B$43=A193),'Aerodynamics-Cruise'!BL30,T193)</f>
        <v>25.282133938246993</v>
      </c>
      <c r="U193" s="72">
        <f ca="1">IF(AND(Energy!$F$11=$A$3,Main!$B$43=A193),'Propulsion-Cruise'!M30,U193)</f>
        <v>57.678797250254576</v>
      </c>
      <c r="V193" s="72">
        <f ca="1">IF(AND(Energy!$F$11=$A$3,Main!$B$43=A193),Endurance!AP30,V193)</f>
        <v>567.41172274931648</v>
      </c>
      <c r="W193" s="72">
        <f ca="1">IF(AND(Energy!$F$11=$A$3,Main!$B$43=$A193),Summary!W30,W193)</f>
        <v>2.168421052631579</v>
      </c>
      <c r="X193" s="13">
        <f ca="1">IF(AND(Energy!$F$11=$A$3,Main!$B$43=A193),Energy!D30,X193)</f>
        <v>1182.0301388888888</v>
      </c>
      <c r="Y193" s="126">
        <f ca="1">IF(AND(Energy!$F$11=$A$3,Main!$B$43=A193),'Aerodynamics-Cruise'!V30,Y193)</f>
        <v>192986.45110705533</v>
      </c>
      <c r="Z193" s="126">
        <f ca="1">IF(AND(Energy!$F$11=$A$3,Main!$B$43=$A193),Summary!Z30,Z193)</f>
        <v>143087.12033948195</v>
      </c>
      <c r="AA193" s="126">
        <f ca="1">IF(AND(Energy!$F$11=$A$3,Main!$B$43=$A193),Summary!AA30,AA193)</f>
        <v>143087.12033948195</v>
      </c>
      <c r="AB193" s="72">
        <f ca="1">IF(AND(Energy!$F$11=$A$3,Main!$B$43=$A193),Summary!AB30,AB193)</f>
        <v>3.8185009645358399</v>
      </c>
      <c r="AC193" s="72">
        <f ca="1">IF(AND(Energy!$F$11=$A$3,Main!$B$43=$A193),Summary!AC30,AC193)</f>
        <v>1.8090553684642594</v>
      </c>
      <c r="AD193" s="72">
        <f ca="1">IF(AND(Energy!$F$11=$A$3,Main!$B$43=$A193),Summary!AD30,AD193)</f>
        <v>0.43628676737584027</v>
      </c>
      <c r="AE193" s="72">
        <f ca="1">IF(AND(Energy!$F$11=$A$3,Main!$B$43=$A193),Summary!AE30,AE193)</f>
        <v>2.168421052631579</v>
      </c>
      <c r="AF193" s="72">
        <f ca="1">IF(AND(Energy!$F$11=$A$3,Main!$B$43=$A193),Summary!AF30,AF193)</f>
        <v>13.55263157894737</v>
      </c>
      <c r="AG193" s="72">
        <f ca="1">IF(AND(Energy!$F$11=$A$3,Main!$B$43=$A193),Summary!AG30,AG193)</f>
        <v>11.891778735420647</v>
      </c>
      <c r="AH193" s="72">
        <f ca="1">IF(AND(Energy!$F$11=$A$3,Main!$B$43=$A193),Summary!AH30,AH193)</f>
        <v>47</v>
      </c>
      <c r="AI193" s="72">
        <f ca="1">IF(AND(Energy!$F$11=$A$3,Main!$B$43=$A193),Summary!AI30,AI193)</f>
        <v>2.8009053970573299</v>
      </c>
      <c r="AJ193" s="72">
        <f ca="1">IF(AND(Energy!$F$11=$A$3,Main!$B$43=$A193),Summary!AJ30,AJ193)</f>
        <v>0.23006637488536208</v>
      </c>
      <c r="AK193" s="72">
        <f ca="1">IF(AND(Energy!$F$11=$A$3,Main!$B$43=$A193),Summary!AK30,AK193)</f>
        <v>0.01</v>
      </c>
      <c r="AL193" s="72">
        <f ca="1">IF(AND(Energy!$F$11=$A$3,Main!$B$43=$A193),Summary!AL30,AL193)</f>
        <v>-0.54332420695196737</v>
      </c>
      <c r="AM193" s="72">
        <f ca="1">IF(AND(Energy!$F$11=$A$3,Main!$B$43=$A193),Summary!AJ210,AM193)</f>
        <v>0</v>
      </c>
    </row>
    <row r="194" spans="1:39">
      <c r="A194">
        <f t="shared" si="15"/>
        <v>10</v>
      </c>
      <c r="D194" s="1">
        <f ca="1">IF(AND(Energy!$F$11=$A$3,Main!$B$43=A194),Main!C31,D194)</f>
        <v>5.5789473684210531</v>
      </c>
      <c r="E194" s="72">
        <f ca="1">IF(AND(Energy!$F$11=$A$3,Main!$B$43=A194),Main!B31,E194)</f>
        <v>0.4</v>
      </c>
      <c r="F194" s="72">
        <f ca="1">IF(Main!$D$6=1,U194,IF(Main!$D$6=2,N194,IF(Main!$D$6=3,K194,IF(Main!$D$6=4,V194,J194))))</f>
        <v>567.52240560975497</v>
      </c>
      <c r="G194" s="72">
        <f ca="1">IF(AND(Energy!$F$11=$A$3,Main!$B$43=A194),Weight!H31,G194)</f>
        <v>15</v>
      </c>
      <c r="H194" s="72">
        <f ca="1">IF(AND(Energy!$F$11=$A$3,Main!$B$43=A194),Weight!U31,H194)</f>
        <v>25.209683934770624</v>
      </c>
      <c r="I194" s="72">
        <f ca="1">IF(AND(Energy!$F$11=$A$3,Main!$B$43=A194),Weight!V31,I194)</f>
        <v>53.63772463789563</v>
      </c>
      <c r="J194" s="72">
        <f ca="1">IF(AND(Energy!$F$11=$A$3,Main!$B$43=A194),Weight!I31,J194)</f>
        <v>23.490392428125002</v>
      </c>
      <c r="K194" s="72">
        <f ca="1">IF(AND(Energy!$F$11=$A$3,Main!$B$43=A194),Weight!W31,K194)</f>
        <v>68.63772463789563</v>
      </c>
      <c r="L194" s="72">
        <f ca="1">IF(AND(Energy!$F$11=$A$3,Main!$B$43=A194),'Aerodynamics-Cruise'!BI31,L194)</f>
        <v>68.637724637895616</v>
      </c>
      <c r="M194" s="72">
        <f ca="1">IF(AND(Energy!$F$11=$A$3,Main!$B$43=A194),'Aerodynamics-Cruise'!BJ31,M194)</f>
        <v>3.3277639791791107</v>
      </c>
      <c r="N194" s="72">
        <f ca="1">IF(AND(Energy!$F$11=$A$3,Main!$B$43=A194),'Aerodynamics-Cruise'!BK31,N194)</f>
        <v>20.625779071876096</v>
      </c>
      <c r="O194" s="72">
        <f t="shared" ca="1" si="13"/>
        <v>170.88022242184596</v>
      </c>
      <c r="P194" s="72">
        <f ca="1">IF(AND(Energy!$F$11=$A$3,Main!$B$43=A194),'Aerodynamics-Cruise'!H31,P194)</f>
        <v>7.5454160985583707</v>
      </c>
      <c r="Q194" s="72">
        <f ca="1">IF(AND(Energy!$F$11=$A$3,Main!$B$43=A194),'Aerodynamics-Cruise'!I31,Q194)</f>
        <v>6.3140657117975101</v>
      </c>
      <c r="R194" s="72">
        <f ca="1">IF(AND(Energy!$F$11=$A$3,Main!$B$43=$A194),Summary!R31,R194)</f>
        <v>3.8053227238521141</v>
      </c>
      <c r="S194" s="72">
        <f ca="1">IF(AND(Energy!$F$11=$A$3,Main!$B$43=A194),'Aerodynamics-Cruise'!W31,S194)</f>
        <v>1</v>
      </c>
      <c r="T194" s="72">
        <f ca="1">IF(AND(Energy!$F$11=$A$3,Main!$B$43=A194),'Aerodynamics-Cruise'!BL31,T194)</f>
        <v>25.109363900700725</v>
      </c>
      <c r="U194" s="72">
        <f ca="1">IF(AND(Energy!$F$11=$A$3,Main!$B$43=A194),'Propulsion-Cruise'!M31,U194)</f>
        <v>57.482092744800823</v>
      </c>
      <c r="V194" s="72">
        <f ca="1">IF(AND(Energy!$F$11=$A$3,Main!$B$43=A194),Endurance!AP31,V194)</f>
        <v>567.52240560975497</v>
      </c>
      <c r="W194" s="72">
        <f ca="1">IF(AND(Energy!$F$11=$A$3,Main!$B$43=$A194),Summary!W31,W194)</f>
        <v>2.2315789473684213</v>
      </c>
      <c r="X194" s="13">
        <f ca="1">IF(AND(Energy!$F$11=$A$3,Main!$B$43=A194),Energy!D31,X194)</f>
        <v>1182.0301388888888</v>
      </c>
      <c r="Y194" s="126">
        <f ca="1">IF(AND(Energy!$F$11=$A$3,Main!$B$43=A194),'Aerodynamics-Cruise'!V31,Y194)</f>
        <v>191420.50736384786</v>
      </c>
      <c r="Z194" s="126">
        <f ca="1">IF(AND(Energy!$F$11=$A$3,Main!$B$43=$A194),Summary!Z31,Z194)</f>
        <v>141972.27305054374</v>
      </c>
      <c r="AA194" s="126">
        <f ca="1">IF(AND(Energy!$F$11=$A$3,Main!$B$43=$A194),Summary!AA31,AA194)</f>
        <v>141972.27305054374</v>
      </c>
      <c r="AB194" s="72">
        <f ca="1">IF(AND(Energy!$F$11=$A$3,Main!$B$43=$A194),Summary!AB31,AB194)</f>
        <v>3.8053227238521141</v>
      </c>
      <c r="AC194" s="72">
        <f ca="1">IF(AND(Energy!$F$11=$A$3,Main!$B$43=$A194),Summary!AC31,AC194)</f>
        <v>1.7747773232304769</v>
      </c>
      <c r="AD194" s="72">
        <f ca="1">IF(AND(Energy!$F$11=$A$3,Main!$B$43=$A194),Summary!AD31,AD194)</f>
        <v>0.43499297165994266</v>
      </c>
      <c r="AE194" s="72">
        <f ca="1">IF(AND(Energy!$F$11=$A$3,Main!$B$43=$A194),Summary!AE31,AE194)</f>
        <v>2.2315789473684213</v>
      </c>
      <c r="AF194" s="72">
        <f ca="1">IF(AND(Energy!$F$11=$A$3,Main!$B$43=$A194),Summary!AF31,AF194)</f>
        <v>13.947368421052632</v>
      </c>
      <c r="AG194" s="72">
        <f ca="1">IF(AND(Energy!$F$11=$A$3,Main!$B$43=$A194),Summary!AG31,AG194)</f>
        <v>11.874269531676779</v>
      </c>
      <c r="AH194" s="72">
        <f ca="1">IF(AND(Energy!$F$11=$A$3,Main!$B$43=$A194),Summary!AH31,AH194)</f>
        <v>47</v>
      </c>
      <c r="AI194" s="72">
        <f ca="1">IF(AND(Energy!$F$11=$A$3,Main!$B$43=$A194),Summary!AI31,AI194)</f>
        <v>2.7990088088570162</v>
      </c>
      <c r="AJ194" s="72">
        <f ca="1">IF(AND(Energy!$F$11=$A$3,Main!$B$43=$A194),Summary!AJ31,AJ194)</f>
        <v>0.23054010268028846</v>
      </c>
      <c r="AK194" s="72">
        <f ca="1">IF(AND(Energy!$F$11=$A$3,Main!$B$43=$A194),Summary!AK31,AK194)</f>
        <v>0.01</v>
      </c>
      <c r="AL194" s="72">
        <f ca="1">IF(AND(Energy!$F$11=$A$3,Main!$B$43=$A194),Summary!AL31,AL194)</f>
        <v>-0.54220754222757717</v>
      </c>
      <c r="AM194" s="72">
        <f ca="1">IF(AND(Energy!$F$11=$A$3,Main!$B$43=$A194),Summary!AJ211,AM194)</f>
        <v>0</v>
      </c>
    </row>
    <row r="195" spans="1:39">
      <c r="A195">
        <f t="shared" si="15"/>
        <v>10</v>
      </c>
      <c r="D195" s="1">
        <f ca="1">IF(AND(Energy!$F$11=$A$3,Main!$B$43=A195),Main!C32,D195)</f>
        <v>5.7368421052631584</v>
      </c>
      <c r="E195" s="72">
        <f ca="1">IF(AND(Energy!$F$11=$A$3,Main!$B$43=A195),Main!B32,E195)</f>
        <v>0.4</v>
      </c>
      <c r="F195" s="72">
        <f ca="1">IF(Main!$D$6=1,U195,IF(Main!$D$6=2,N195,IF(Main!$D$6=3,K195,IF(Main!$D$6=4,V195,J195))))</f>
        <v>568.14568578235878</v>
      </c>
      <c r="G195" s="72">
        <f ca="1">IF(AND(Energy!$F$11=$A$3,Main!$B$43=A195),Weight!H32,G195)</f>
        <v>15</v>
      </c>
      <c r="H195" s="72">
        <f ca="1">IF(AND(Energy!$F$11=$A$3,Main!$B$43=A195),Weight!U32,H195)</f>
        <v>26.075620033309434</v>
      </c>
      <c r="I195" s="72">
        <f ca="1">IF(AND(Energy!$F$11=$A$3,Main!$B$43=A195),Weight!V32,I195)</f>
        <v>54.503660736434441</v>
      </c>
      <c r="J195" s="72">
        <f ca="1">IF(AND(Energy!$F$11=$A$3,Main!$B$43=A195),Weight!I32,J195)</f>
        <v>23.490392428125002</v>
      </c>
      <c r="K195" s="72">
        <f ca="1">IF(AND(Energy!$F$11=$A$3,Main!$B$43=A195),Weight!W32,K195)</f>
        <v>69.503660736434441</v>
      </c>
      <c r="L195" s="72">
        <f ca="1">IF(AND(Energy!$F$11=$A$3,Main!$B$43=A195),'Aerodynamics-Cruise'!BI32,L195)</f>
        <v>69.503660736434441</v>
      </c>
      <c r="M195" s="72">
        <f ca="1">IF(AND(Energy!$F$11=$A$3,Main!$B$43=A195),'Aerodynamics-Cruise'!BJ32,M195)</f>
        <v>3.3341802776695628</v>
      </c>
      <c r="N195" s="72">
        <f ca="1">IF(AND(Energy!$F$11=$A$3,Main!$B$43=A195),'Aerodynamics-Cruise'!BK32,N195)</f>
        <v>20.845801650837629</v>
      </c>
      <c r="O195" s="72">
        <f t="shared" ca="1" si="13"/>
        <v>173.78906263934235</v>
      </c>
      <c r="P195" s="72">
        <f ca="1">IF(AND(Energy!$F$11=$A$3,Main!$B$43=A195),'Aerodynamics-Cruise'!H32,P195)</f>
        <v>7.4875911703537348</v>
      </c>
      <c r="Q195" s="72">
        <f ca="1">IF(AND(Energy!$F$11=$A$3,Main!$B$43=A195),'Aerodynamics-Cruise'!I32,Q195)</f>
        <v>6.2676801416975332</v>
      </c>
      <c r="R195" s="72">
        <f ca="1">IF(AND(Energy!$F$11=$A$3,Main!$B$43=$A195),Summary!R32,R195)</f>
        <v>3.7960873398702737</v>
      </c>
      <c r="S195" s="72">
        <f ca="1">IF(AND(Energy!$F$11=$A$3,Main!$B$43=A195),'Aerodynamics-Cruise'!W32,S195)</f>
        <v>1</v>
      </c>
      <c r="T195" s="72">
        <f ca="1">IF(AND(Energy!$F$11=$A$3,Main!$B$43=A195),'Aerodynamics-Cruise'!BL32,T195)</f>
        <v>24.964978807446183</v>
      </c>
      <c r="U195" s="72">
        <f ca="1">IF(AND(Energy!$F$11=$A$3,Main!$B$43=A195),'Propulsion-Cruise'!M32,U195)</f>
        <v>57.341267286685571</v>
      </c>
      <c r="V195" s="72">
        <f ca="1">IF(AND(Energy!$F$11=$A$3,Main!$B$43=A195),Endurance!AP32,V195)</f>
        <v>568.14568578235878</v>
      </c>
      <c r="W195" s="72">
        <f ca="1">IF(AND(Energy!$F$11=$A$3,Main!$B$43=$A195),Summary!W32,W195)</f>
        <v>2.2947368421052636</v>
      </c>
      <c r="X195" s="13">
        <f ca="1">IF(AND(Energy!$F$11=$A$3,Main!$B$43=A195),Energy!D32,X195)</f>
        <v>1182.0301388888888</v>
      </c>
      <c r="Y195" s="126">
        <f ca="1">IF(AND(Energy!$F$11=$A$3,Main!$B$43=A195),'Aerodynamics-Cruise'!V32,Y195)</f>
        <v>189953.54027407739</v>
      </c>
      <c r="Z195" s="126">
        <f ca="1">IF(AND(Energy!$F$11=$A$3,Main!$B$43=$A195),Summary!Z32,Z195)</f>
        <v>140927.53256340831</v>
      </c>
      <c r="AA195" s="126">
        <f ca="1">IF(AND(Energy!$F$11=$A$3,Main!$B$43=$A195),Summary!AA32,AA195)</f>
        <v>140927.53256340831</v>
      </c>
      <c r="AB195" s="72">
        <f ca="1">IF(AND(Energy!$F$11=$A$3,Main!$B$43=$A195),Summary!AB32,AB195)</f>
        <v>3.7960873398702737</v>
      </c>
      <c r="AC195" s="72">
        <f ca="1">IF(AND(Energy!$F$11=$A$3,Main!$B$43=$A195),Summary!AC32,AC195)</f>
        <v>1.7413389150130416</v>
      </c>
      <c r="AD195" s="72">
        <f ca="1">IF(AND(Energy!$F$11=$A$3,Main!$B$43=$A195),Summary!AD32,AD195)</f>
        <v>0.43388601756494471</v>
      </c>
      <c r="AE195" s="72">
        <f ca="1">IF(AND(Energy!$F$11=$A$3,Main!$B$43=$A195),Summary!AE32,AE195)</f>
        <v>2.2947368421052636</v>
      </c>
      <c r="AF195" s="72">
        <f ca="1">IF(AND(Energy!$F$11=$A$3,Main!$B$43=$A195),Summary!AF32,AF195)</f>
        <v>14.342105263157896</v>
      </c>
      <c r="AG195" s="72">
        <f ca="1">IF(AND(Energy!$F$11=$A$3,Main!$B$43=$A195),Summary!AG32,AG195)</f>
        <v>11.863466831950671</v>
      </c>
      <c r="AH195" s="72">
        <f ca="1">IF(AND(Energy!$F$11=$A$3,Main!$B$43=$A195),Summary!AH32,AH195)</f>
        <v>47</v>
      </c>
      <c r="AI195" s="72">
        <f ca="1">IF(AND(Energy!$F$11=$A$3,Main!$B$43=$A195),Summary!AI32,AI195)</f>
        <v>2.7972202801942303</v>
      </c>
      <c r="AJ195" s="72">
        <f ca="1">IF(AND(Energy!$F$11=$A$3,Main!$B$43=$A195),Summary!AJ32,AJ195)</f>
        <v>0.23098326705256472</v>
      </c>
      <c r="AK195" s="72">
        <f ca="1">IF(AND(Energy!$F$11=$A$3,Main!$B$43=$A195),Summary!AK32,AK195)</f>
        <v>0.01</v>
      </c>
      <c r="AL195" s="72">
        <f ca="1">IF(AND(Energy!$F$11=$A$3,Main!$B$43=$A195),Summary!AL32,AL195)</f>
        <v>-0.54116705678717036</v>
      </c>
      <c r="AM195" s="72">
        <f ca="1">IF(AND(Energy!$F$11=$A$3,Main!$B$43=$A195),Summary!AJ212,AM195)</f>
        <v>0</v>
      </c>
    </row>
    <row r="196" spans="1:39">
      <c r="A196">
        <f t="shared" si="15"/>
        <v>10</v>
      </c>
      <c r="D196" s="1">
        <f ca="1">IF(AND(Energy!$F$11=$A$3,Main!$B$43=A196),Main!C33,D196)</f>
        <v>5.8947368421052637</v>
      </c>
      <c r="E196" s="72">
        <f ca="1">IF(AND(Energy!$F$11=$A$3,Main!$B$43=A196),Main!B33,E196)</f>
        <v>0.4</v>
      </c>
      <c r="F196" s="72">
        <f ca="1">IF(Main!$D$6=1,U196,IF(Main!$D$6=2,N196,IF(Main!$D$6=3,K196,IF(Main!$D$6=4,V196,J196))))</f>
        <v>569.24720374192782</v>
      </c>
      <c r="G196" s="72">
        <f ca="1">IF(AND(Energy!$F$11=$A$3,Main!$B$43=A196),Weight!H33,G196)</f>
        <v>15</v>
      </c>
      <c r="H196" s="72">
        <f ca="1">IF(AND(Energy!$F$11=$A$3,Main!$B$43=A196),Weight!U33,H196)</f>
        <v>26.959719211571439</v>
      </c>
      <c r="I196" s="72">
        <f ca="1">IF(AND(Energy!$F$11=$A$3,Main!$B$43=A196),Weight!V33,I196)</f>
        <v>55.387759914696446</v>
      </c>
      <c r="J196" s="72">
        <f ca="1">IF(AND(Energy!$F$11=$A$3,Main!$B$43=A196),Weight!I33,J196)</f>
        <v>23.490392428125002</v>
      </c>
      <c r="K196" s="72">
        <f ca="1">IF(AND(Energy!$F$11=$A$3,Main!$B$43=A196),Weight!W33,K196)</f>
        <v>70.387759914696446</v>
      </c>
      <c r="L196" s="72">
        <f ca="1">IF(AND(Energy!$F$11=$A$3,Main!$B$43=A196),'Aerodynamics-Cruise'!BI33,L196)</f>
        <v>70.387759914696446</v>
      </c>
      <c r="M196" s="72">
        <f ca="1">IF(AND(Energy!$F$11=$A$3,Main!$B$43=A196),'Aerodynamics-Cruise'!BJ33,M196)</f>
        <v>3.3425796739082787</v>
      </c>
      <c r="N196" s="72">
        <f ca="1">IF(AND(Energy!$F$11=$A$3,Main!$B$43=A196),'Aerodynamics-Cruise'!BK33,N196)</f>
        <v>21.057915377196153</v>
      </c>
      <c r="O196" s="72">
        <f t="shared" ref="O196:O203" ca="1" si="16">L196^(3/2)/M196</f>
        <v>176.67046337833332</v>
      </c>
      <c r="P196" s="72">
        <f ca="1">IF(AND(Energy!$F$11=$A$3,Main!$B$43=A196),'Aerodynamics-Cruise'!H33,P196)</f>
        <v>7.4334117243815694</v>
      </c>
      <c r="Q196" s="72">
        <f ca="1">IF(AND(Energy!$F$11=$A$3,Main!$B$43=A196),'Aerodynamics-Cruise'!I33,Q196)</f>
        <v>6.224204323149813</v>
      </c>
      <c r="R196" s="72">
        <f ca="1">IF(AND(Energy!$F$11=$A$3,Main!$B$43=$A196),Summary!R33,R196)</f>
        <v>3.790572291043441</v>
      </c>
      <c r="S196" s="72">
        <f ca="1">IF(AND(Energy!$F$11=$A$3,Main!$B$43=A196),'Aerodynamics-Cruise'!W33,S196)</f>
        <v>1</v>
      </c>
      <c r="T196" s="72">
        <f ca="1">IF(AND(Energy!$F$11=$A$3,Main!$B$43=A196),'Aerodynamics-Cruise'!BL33,T196)</f>
        <v>24.846770937709323</v>
      </c>
      <c r="U196" s="72">
        <f ca="1">IF(AND(Energy!$F$11=$A$3,Main!$B$43=A196),'Propulsion-Cruise'!M33,U196)</f>
        <v>57.252263930749308</v>
      </c>
      <c r="V196" s="72">
        <f ca="1">IF(AND(Energy!$F$11=$A$3,Main!$B$43=A196),Endurance!AP33,V196)</f>
        <v>569.24720374192782</v>
      </c>
      <c r="W196" s="72">
        <f ca="1">IF(AND(Energy!$F$11=$A$3,Main!$B$43=$A196),Summary!W33,W196)</f>
        <v>2.3578947368421055</v>
      </c>
      <c r="X196" s="13">
        <f ca="1">IF(AND(Energy!$F$11=$A$3,Main!$B$43=A196),Energy!D33,X196)</f>
        <v>1182.0301388888888</v>
      </c>
      <c r="Y196" s="126">
        <f ca="1">IF(AND(Energy!$F$11=$A$3,Main!$B$43=A196),'Aerodynamics-Cruise'!V33,Y196)</f>
        <v>188579.05583197149</v>
      </c>
      <c r="Z196" s="126">
        <f ca="1">IF(AND(Energy!$F$11=$A$3,Main!$B$43=$A196),Summary!Z33,Z196)</f>
        <v>139948.34113308642</v>
      </c>
      <c r="AA196" s="126">
        <f ca="1">IF(AND(Energy!$F$11=$A$3,Main!$B$43=$A196),Summary!AA33,AA196)</f>
        <v>139948.34113308642</v>
      </c>
      <c r="AB196" s="72">
        <f ca="1">IF(AND(Energy!$F$11=$A$3,Main!$B$43=$A196),Summary!AB33,AB196)</f>
        <v>3.790572291043441</v>
      </c>
      <c r="AC196" s="72">
        <f ca="1">IF(AND(Energy!$F$11=$A$3,Main!$B$43=$A196),Summary!AC33,AC196)</f>
        <v>1.7087104430715618</v>
      </c>
      <c r="AD196" s="72">
        <f ca="1">IF(AND(Energy!$F$11=$A$3,Main!$B$43=$A196),Summary!AD33,AD196)</f>
        <v>0.43295355606676206</v>
      </c>
      <c r="AE196" s="72">
        <f ca="1">IF(AND(Energy!$F$11=$A$3,Main!$B$43=$A196),Summary!AE33,AE196)</f>
        <v>2.3578947368421055</v>
      </c>
      <c r="AF196" s="72">
        <f ca="1">IF(AND(Energy!$F$11=$A$3,Main!$B$43=$A196),Summary!AF33,AF196)</f>
        <v>14.736842105263161</v>
      </c>
      <c r="AG196" s="72">
        <f ca="1">IF(AND(Energy!$F$11=$A$3,Main!$B$43=$A196),Summary!AG33,AG196)</f>
        <v>11.85890090978935</v>
      </c>
      <c r="AH196" s="72">
        <f ca="1">IF(AND(Energy!$F$11=$A$3,Main!$B$43=$A196),Summary!AH33,AH196)</f>
        <v>47</v>
      </c>
      <c r="AI196" s="72">
        <f ca="1">IF(AND(Energy!$F$11=$A$3,Main!$B$43=$A196),Summary!AI33,AI196)</f>
        <v>2.7955339202179141</v>
      </c>
      <c r="AJ196" s="72">
        <f ca="1">IF(AND(Energy!$F$11=$A$3,Main!$B$43=$A196),Summary!AJ33,AJ196)</f>
        <v>0.23139797229842485</v>
      </c>
      <c r="AK196" s="72">
        <f ca="1">IF(AND(Energy!$F$11=$A$3,Main!$B$43=$A196),Summary!AK33,AK196)</f>
        <v>0.01</v>
      </c>
      <c r="AL196" s="72">
        <f ca="1">IF(AND(Energy!$F$11=$A$3,Main!$B$43=$A196),Summary!AL33,AL196)</f>
        <v>-0.54019698817279471</v>
      </c>
      <c r="AM196" s="72">
        <f ca="1">IF(AND(Energy!$F$11=$A$3,Main!$B$43=$A196),Summary!AJ213,AM196)</f>
        <v>0</v>
      </c>
    </row>
    <row r="197" spans="1:39">
      <c r="A197">
        <f t="shared" si="15"/>
        <v>10</v>
      </c>
      <c r="D197" s="1">
        <f ca="1">IF(AND(Energy!$F$11=$A$3,Main!$B$43=A197),Main!C34,D197)</f>
        <v>6.052631578947369</v>
      </c>
      <c r="E197" s="72">
        <f ca="1">IF(AND(Energy!$F$11=$A$3,Main!$B$43=A197),Main!B34,E197)</f>
        <v>0.4</v>
      </c>
      <c r="F197" s="72">
        <f ca="1">IF(Main!$D$6=1,U197,IF(Main!$D$6=2,N197,IF(Main!$D$6=3,K197,IF(Main!$D$6=4,V197,J197))))</f>
        <v>570.79534946833462</v>
      </c>
      <c r="G197" s="72">
        <f ca="1">IF(AND(Energy!$F$11=$A$3,Main!$B$43=A197),Weight!H34,G197)</f>
        <v>15</v>
      </c>
      <c r="H197" s="72">
        <f ca="1">IF(AND(Energy!$F$11=$A$3,Main!$B$43=A197),Weight!U34,H197)</f>
        <v>27.862181325757192</v>
      </c>
      <c r="I197" s="72">
        <f ca="1">IF(AND(Energy!$F$11=$A$3,Main!$B$43=A197),Weight!V34,I197)</f>
        <v>56.290222028882198</v>
      </c>
      <c r="J197" s="72">
        <f ca="1">IF(AND(Energy!$F$11=$A$3,Main!$B$43=A197),Weight!I34,J197)</f>
        <v>23.490392428125002</v>
      </c>
      <c r="K197" s="72">
        <f ca="1">IF(AND(Energy!$F$11=$A$3,Main!$B$43=A197),Weight!W34,K197)</f>
        <v>71.290222028882198</v>
      </c>
      <c r="L197" s="72">
        <f ca="1">IF(AND(Energy!$F$11=$A$3,Main!$B$43=A197),'Aerodynamics-Cruise'!BI34,L197)</f>
        <v>71.290222028882184</v>
      </c>
      <c r="M197" s="72">
        <f ca="1">IF(AND(Energy!$F$11=$A$3,Main!$B$43=A197),'Aerodynamics-Cruise'!BJ34,M197)</f>
        <v>3.3528353333894163</v>
      </c>
      <c r="N197" s="72">
        <f ca="1">IF(AND(Energy!$F$11=$A$3,Main!$B$43=A197),'Aerodynamics-Cruise'!BK34,N197)</f>
        <v>21.262667247309803</v>
      </c>
      <c r="O197" s="72">
        <f t="shared" ca="1" si="16"/>
        <v>179.52822058438954</v>
      </c>
      <c r="P197" s="72">
        <f ca="1">IF(AND(Energy!$F$11=$A$3,Main!$B$43=A197),'Aerodynamics-Cruise'!H34,P197)</f>
        <v>7.3826454197776501</v>
      </c>
      <c r="Q197" s="72">
        <f ca="1">IF(AND(Energy!$F$11=$A$3,Main!$B$43=A197),'Aerodynamics-Cruise'!I34,Q197)</f>
        <v>6.1834545482546703</v>
      </c>
      <c r="R197" s="72">
        <f ca="1">IF(AND(Energy!$F$11=$A$3,Main!$B$43=$A197),Summary!R34,R197)</f>
        <v>3.7885819499554101</v>
      </c>
      <c r="S197" s="72">
        <f ca="1">IF(AND(Energy!$F$11=$A$3,Main!$B$43=A197),'Aerodynamics-Cruise'!W34,S197)</f>
        <v>1</v>
      </c>
      <c r="T197" s="72">
        <f ca="1">IF(AND(Energy!$F$11=$A$3,Main!$B$43=A197),'Aerodynamics-Cruise'!BL34,T197)</f>
        <v>24.752794417316046</v>
      </c>
      <c r="U197" s="72">
        <f ca="1">IF(AND(Energy!$F$11=$A$3,Main!$B$43=A197),'Propulsion-Cruise'!M34,U197)</f>
        <v>57.211508037615161</v>
      </c>
      <c r="V197" s="72">
        <f ca="1">IF(AND(Energy!$F$11=$A$3,Main!$B$43=A197),Endurance!AP34,V197)</f>
        <v>570.79534946833462</v>
      </c>
      <c r="W197" s="72">
        <f ca="1">IF(AND(Energy!$F$11=$A$3,Main!$B$43=$A197),Summary!W34,W197)</f>
        <v>2.4210526315789478</v>
      </c>
      <c r="X197" s="13">
        <f ca="1">IF(AND(Energy!$F$11=$A$3,Main!$B$43=A197),Energy!D34,X197)</f>
        <v>1182.0301388888888</v>
      </c>
      <c r="Y197" s="126">
        <f ca="1">IF(AND(Energy!$F$11=$A$3,Main!$B$43=A197),'Aerodynamics-Cruise'!V34,Y197)</f>
        <v>187291.15975608421</v>
      </c>
      <c r="Z197" s="126">
        <f ca="1">IF(AND(Energy!$F$11=$A$3,Main!$B$43=$A197),Summary!Z34,Z197)</f>
        <v>139030.55876129007</v>
      </c>
      <c r="AA197" s="126">
        <f ca="1">IF(AND(Energy!$F$11=$A$3,Main!$B$43=$A197),Summary!AA34,AA197)</f>
        <v>139030.55876129007</v>
      </c>
      <c r="AB197" s="72">
        <f ca="1">IF(AND(Energy!$F$11=$A$3,Main!$B$43=$A197),Summary!AB34,AB197)</f>
        <v>3.7885819499554101</v>
      </c>
      <c r="AC197" s="72">
        <f ca="1">IF(AND(Energy!$F$11=$A$3,Main!$B$43=$A197),Summary!AC34,AC197)</f>
        <v>1.6768632112575979</v>
      </c>
      <c r="AD197" s="72">
        <f ca="1">IF(AND(Energy!$F$11=$A$3,Main!$B$43=$A197),Summary!AD34,AD197)</f>
        <v>0.43218442683284475</v>
      </c>
      <c r="AE197" s="72">
        <f ca="1">IF(AND(Energy!$F$11=$A$3,Main!$B$43=$A197),Summary!AE34,AE197)</f>
        <v>2.4210526315789478</v>
      </c>
      <c r="AF197" s="72">
        <f ca="1">IF(AND(Energy!$F$11=$A$3,Main!$B$43=$A197),Summary!AF34,AF197)</f>
        <v>15.131578947368421</v>
      </c>
      <c r="AG197" s="72">
        <f ca="1">IF(AND(Energy!$F$11=$A$3,Main!$B$43=$A197),Summary!AG34,AG197)</f>
        <v>11.860152949814285</v>
      </c>
      <c r="AH197" s="72">
        <f ca="1">IF(AND(Energy!$F$11=$A$3,Main!$B$43=$A197),Summary!AH34,AH197)</f>
        <v>47</v>
      </c>
      <c r="AI197" s="72">
        <f ca="1">IF(AND(Energy!$F$11=$A$3,Main!$B$43=$A197),Summary!AI34,AI197)</f>
        <v>2.7939443153830021</v>
      </c>
      <c r="AJ197" s="72">
        <f ca="1">IF(AND(Energy!$F$11=$A$3,Main!$B$43=$A197),Summary!AJ34,AJ197)</f>
        <v>0.23178611397241117</v>
      </c>
      <c r="AK197" s="72">
        <f ca="1">IF(AND(Energy!$F$11=$A$3,Main!$B$43=$A197),Summary!AK34,AK197)</f>
        <v>0.01</v>
      </c>
      <c r="AL197" s="72">
        <f ca="1">IF(AND(Energy!$F$11=$A$3,Main!$B$43=$A197),Summary!AL34,AL197)</f>
        <v>-0.53929219072166301</v>
      </c>
      <c r="AM197" s="72">
        <f ca="1">IF(AND(Energy!$F$11=$A$3,Main!$B$43=$A197),Summary!AJ214,AM197)</f>
        <v>0</v>
      </c>
    </row>
    <row r="198" spans="1:39">
      <c r="A198">
        <f t="shared" si="15"/>
        <v>10</v>
      </c>
      <c r="D198" s="1">
        <f ca="1">IF(AND(Energy!$F$11=$A$3,Main!$B$43=A198),Main!C35,D198)</f>
        <v>6.2105263157894743</v>
      </c>
      <c r="E198" s="72">
        <f ca="1">IF(AND(Energy!$F$11=$A$3,Main!$B$43=A198),Main!B35,E198)</f>
        <v>0.4</v>
      </c>
      <c r="F198" s="72">
        <f ca="1">IF(Main!$D$6=1,U198,IF(Main!$D$6=2,N198,IF(Main!$D$6=3,K198,IF(Main!$D$6=4,V198,J198))))</f>
        <v>575.27181825626178</v>
      </c>
      <c r="G198" s="72">
        <f ca="1">IF(AND(Energy!$F$11=$A$3,Main!$B$43=A198),Weight!H35,G198)</f>
        <v>15</v>
      </c>
      <c r="H198" s="72">
        <f ca="1">IF(AND(Energy!$F$11=$A$3,Main!$B$43=A198),Weight!U35,H198)</f>
        <v>28.783211856857264</v>
      </c>
      <c r="I198" s="72">
        <f ca="1">IF(AND(Energy!$F$11=$A$3,Main!$B$43=A198),Weight!V35,I198)</f>
        <v>57.21125255998227</v>
      </c>
      <c r="J198" s="72">
        <f ca="1">IF(AND(Energy!$F$11=$A$3,Main!$B$43=A198),Weight!I35,J198)</f>
        <v>23.490392428125002</v>
      </c>
      <c r="K198" s="72">
        <f ca="1">IF(AND(Energy!$F$11=$A$3,Main!$B$43=A198),Weight!W35,K198)</f>
        <v>72.21125255998227</v>
      </c>
      <c r="L198" s="72">
        <f ca="1">IF(AND(Energy!$F$11=$A$3,Main!$B$43=A198),'Aerodynamics-Cruise'!BI35,L198)</f>
        <v>72.21125255998227</v>
      </c>
      <c r="M198" s="72">
        <f ca="1">IF(AND(Energy!$F$11=$A$3,Main!$B$43=A198),'Aerodynamics-Cruise'!BJ35,M198)</f>
        <v>3.3648339782499832</v>
      </c>
      <c r="N198" s="72">
        <f ca="1">IF(AND(Energy!$F$11=$A$3,Main!$B$43=A198),'Aerodynamics-Cruise'!BK35,N198)</f>
        <v>21.460569236625048</v>
      </c>
      <c r="O198" s="72">
        <f t="shared" ca="1" si="16"/>
        <v>182.36591770910817</v>
      </c>
      <c r="P198" s="72">
        <f ca="1">IF(AND(Energy!$F$11=$A$3,Main!$B$43=A198),'Aerodynamics-Cruise'!H35,P198)</f>
        <v>7.3350808157607554</v>
      </c>
      <c r="Q198" s="72">
        <f ca="1">IF(AND(Energy!$F$11=$A$3,Main!$B$43=A198),'Aerodynamics-Cruise'!I35,Q198)</f>
        <v>6.1452635053205187</v>
      </c>
      <c r="R198" s="72">
        <f ca="1">IF(AND(Energy!$F$11=$A$3,Main!$B$43=$A198),Summary!R35,R198)</f>
        <v>3.7899441929750002</v>
      </c>
      <c r="S198" s="72">
        <f ca="1">IF(AND(Energy!$F$11=$A$3,Main!$B$43=A198),'Aerodynamics-Cruise'!W35,S198)</f>
        <v>1</v>
      </c>
      <c r="T198" s="72">
        <f ca="1">IF(AND(Energy!$F$11=$A$3,Main!$B$43=A198),'Aerodynamics-Cruise'!BL35,T198)</f>
        <v>24.681329162081393</v>
      </c>
      <c r="U198" s="72">
        <f ca="1">IF(AND(Energy!$F$11=$A$3,Main!$B$43=A198),'Propulsion-Cruise'!M35,U198)</f>
        <v>57.215841287873673</v>
      </c>
      <c r="V198" s="72">
        <f ca="1">IF(AND(Energy!$F$11=$A$3,Main!$B$43=A198),Endurance!AP35,V198)</f>
        <v>575.27181825626178</v>
      </c>
      <c r="W198" s="72">
        <f ca="1">IF(AND(Energy!$F$11=$A$3,Main!$B$43=$A198),Summary!W35,W198)</f>
        <v>2.4842105263157901</v>
      </c>
      <c r="X198" s="13">
        <f ca="1">IF(AND(Energy!$F$11=$A$3,Main!$B$43=A198),Energy!D35,X198)</f>
        <v>1182.0301388888888</v>
      </c>
      <c r="Y198" s="126">
        <f ca="1">IF(AND(Energy!$F$11=$A$3,Main!$B$43=A198),'Aerodynamics-Cruise'!V35,Y198)</f>
        <v>186084.48798151978</v>
      </c>
      <c r="Z198" s="126">
        <f ca="1">IF(AND(Energy!$F$11=$A$3,Main!$B$43=$A198),Summary!Z35,Z198)</f>
        <v>138170.41506575604</v>
      </c>
      <c r="AA198" s="126">
        <f ca="1">IF(AND(Energy!$F$11=$A$3,Main!$B$43=$A198),Summary!AA35,AA198)</f>
        <v>138170.41506575604</v>
      </c>
      <c r="AB198" s="72">
        <f ca="1">IF(AND(Energy!$F$11=$A$3,Main!$B$43=$A198),Summary!AB35,AB198)</f>
        <v>3.7899441929750002</v>
      </c>
      <c r="AC198" s="72">
        <f ca="1">IF(AND(Energy!$F$11=$A$3,Main!$B$43=$A198),Summary!AC35,AC198)</f>
        <v>1.6457696908970156</v>
      </c>
      <c r="AD198" s="72">
        <f ca="1">IF(AND(Energy!$F$11=$A$3,Main!$B$43=$A198),Summary!AD35,AD198)</f>
        <v>0.43156851721464745</v>
      </c>
      <c r="AE198" s="72">
        <f ca="1">IF(AND(Energy!$F$11=$A$3,Main!$B$43=$A198),Summary!AE35,AE198)</f>
        <v>2.4842105263157901</v>
      </c>
      <c r="AF198" s="72">
        <f ca="1">IF(AND(Energy!$F$11=$A$3,Main!$B$43=$A198),Summary!AF35,AF198)</f>
        <v>15.526315789473685</v>
      </c>
      <c r="AG198" s="72">
        <f ca="1">IF(AND(Energy!$F$11=$A$3,Main!$B$43=$A198),Summary!AG35,AG198)</f>
        <v>11.866848500246574</v>
      </c>
      <c r="AH198" s="72">
        <f ca="1">IF(AND(Energy!$F$11=$A$3,Main!$B$43=$A198),Summary!AH35,AH198)</f>
        <v>47</v>
      </c>
      <c r="AI198" s="72">
        <f ca="1">IF(AND(Energy!$F$11=$A$3,Main!$B$43=$A198),Summary!AI35,AI198)</f>
        <v>2.7924464774853024</v>
      </c>
      <c r="AJ198" s="72">
        <f ca="1">IF(AND(Energy!$F$11=$A$3,Main!$B$43=$A198),Summary!AJ35,AJ198)</f>
        <v>0.2321494052791821</v>
      </c>
      <c r="AK198" s="72">
        <f ca="1">IF(AND(Energy!$F$11=$A$3,Main!$B$43=$A198),Summary!AK35,AK198)</f>
        <v>0.01</v>
      </c>
      <c r="AL198" s="72">
        <f ca="1">IF(AND(Energy!$F$11=$A$3,Main!$B$43=$A198),Summary!AL35,AL198)</f>
        <v>-0.53844805280120178</v>
      </c>
      <c r="AM198" s="72">
        <f ca="1">IF(AND(Energy!$F$11=$A$3,Main!$B$43=$A198),Summary!AJ215,AM198)</f>
        <v>0</v>
      </c>
    </row>
    <row r="199" spans="1:39">
      <c r="A199">
        <f t="shared" si="15"/>
        <v>10</v>
      </c>
      <c r="D199" s="1">
        <f ca="1">IF(AND(Energy!$F$11=$A$3,Main!$B$43=A199),Main!C36,D199)</f>
        <v>6.3684210526315796</v>
      </c>
      <c r="E199" s="72">
        <f ca="1">IF(AND(Energy!$F$11=$A$3,Main!$B$43=A199),Main!B36,E199)</f>
        <v>0.4</v>
      </c>
      <c r="F199" s="72">
        <f ca="1">IF(Main!$D$6=1,U199,IF(Main!$D$6=2,N199,IF(Main!$D$6=3,K199,IF(Main!$D$6=4,V199,J199))))</f>
        <v>580.21326452673145</v>
      </c>
      <c r="G199" s="72">
        <f ca="1">IF(AND(Energy!$F$11=$A$3,Main!$B$43=A199),Weight!H36,G199)</f>
        <v>15</v>
      </c>
      <c r="H199" s="72">
        <f ca="1">IF(AND(Energy!$F$11=$A$3,Main!$B$43=A199),Weight!U36,H199)</f>
        <v>29.723021596673334</v>
      </c>
      <c r="I199" s="72">
        <f ca="1">IF(AND(Energy!$F$11=$A$3,Main!$B$43=A199),Weight!V36,I199)</f>
        <v>58.15106229979834</v>
      </c>
      <c r="J199" s="72">
        <f ca="1">IF(AND(Energy!$F$11=$A$3,Main!$B$43=A199),Weight!I36,J199)</f>
        <v>23.490392428125002</v>
      </c>
      <c r="K199" s="72">
        <f ca="1">IF(AND(Energy!$F$11=$A$3,Main!$B$43=A199),Weight!W36,K199)</f>
        <v>73.15106229979834</v>
      </c>
      <c r="L199" s="72">
        <f ca="1">IF(AND(Energy!$F$11=$A$3,Main!$B$43=A199),'Aerodynamics-Cruise'!BI36,L199)</f>
        <v>73.15106229979834</v>
      </c>
      <c r="M199" s="72">
        <f ca="1">IF(AND(Energy!$F$11=$A$3,Main!$B$43=A199),'Aerodynamics-Cruise'!BJ36,M199)</f>
        <v>3.3784741887218037</v>
      </c>
      <c r="N199" s="72">
        <f ca="1">IF(AND(Energy!$F$11=$A$3,Main!$B$43=A199),'Aerodynamics-Cruise'!BK36,N199)</f>
        <v>21.652100390168727</v>
      </c>
      <c r="O199" s="72">
        <f t="shared" ca="1" si="16"/>
        <v>185.18693793965241</v>
      </c>
      <c r="P199" s="72">
        <f ca="1">IF(AND(Energy!$F$11=$A$3,Main!$B$43=A199),'Aerodynamics-Cruise'!H36,P199)</f>
        <v>7.2905250092841722</v>
      </c>
      <c r="Q199" s="72">
        <f ca="1">IF(AND(Energy!$F$11=$A$3,Main!$B$43=A199),'Aerodynamics-Cruise'!I36,Q199)</f>
        <v>6.1094784368442259</v>
      </c>
      <c r="R199" s="72">
        <f ca="1">IF(AND(Energy!$F$11=$A$3,Main!$B$43=$A199),Summary!R36,R199)</f>
        <v>3.7945075232858607</v>
      </c>
      <c r="S199" s="72">
        <f ca="1">IF(AND(Energy!$F$11=$A$3,Main!$B$43=A199),'Aerodynamics-Cruise'!W36,S199)</f>
        <v>1</v>
      </c>
      <c r="T199" s="72">
        <f ca="1">IF(AND(Energy!$F$11=$A$3,Main!$B$43=A199),'Aerodynamics-Cruise'!BL36,T199)</f>
        <v>24.630850566097365</v>
      </c>
      <c r="U199" s="72">
        <f ca="1">IF(AND(Energy!$F$11=$A$3,Main!$B$43=A199),'Propulsion-Cruise'!M36,U199)</f>
        <v>57.262466184646236</v>
      </c>
      <c r="V199" s="72">
        <f ca="1">IF(AND(Energy!$F$11=$A$3,Main!$B$43=A199),Endurance!AP36,V199)</f>
        <v>580.21326452673145</v>
      </c>
      <c r="W199" s="72">
        <f ca="1">IF(AND(Energy!$F$11=$A$3,Main!$B$43=$A199),Summary!W36,W199)</f>
        <v>2.5473684210526319</v>
      </c>
      <c r="X199" s="13">
        <f ca="1">IF(AND(Energy!$F$11=$A$3,Main!$B$43=A199),Energy!D36,X199)</f>
        <v>1182.0301388888888</v>
      </c>
      <c r="Y199" s="126">
        <f ca="1">IF(AND(Energy!$F$11=$A$3,Main!$B$43=A199),'Aerodynamics-Cruise'!V36,Y199)</f>
        <v>184954.1467292484</v>
      </c>
      <c r="Z199" s="126">
        <f ca="1">IF(AND(Energy!$F$11=$A$3,Main!$B$43=$A199),Summary!Z36,Z199)</f>
        <v>137364.46774596386</v>
      </c>
      <c r="AA199" s="126">
        <f ca="1">IF(AND(Energy!$F$11=$A$3,Main!$B$43=$A199),Summary!AA36,AA199)</f>
        <v>137364.46774596386</v>
      </c>
      <c r="AB199" s="72">
        <f ca="1">IF(AND(Energy!$F$11=$A$3,Main!$B$43=$A199),Summary!AB36,AB199)</f>
        <v>3.7945075232858607</v>
      </c>
      <c r="AC199" s="72">
        <f ca="1">IF(AND(Energy!$F$11=$A$3,Main!$B$43=$A199),Summary!AC36,AC199)</f>
        <v>1.6154030713581251</v>
      </c>
      <c r="AD199" s="72">
        <f ca="1">IF(AND(Energy!$F$11=$A$3,Main!$B$43=$A199),Summary!AD36,AD199)</f>
        <v>0.43109664097841888</v>
      </c>
      <c r="AE199" s="72">
        <f ca="1">IF(AND(Energy!$F$11=$A$3,Main!$B$43=$A199),Summary!AE36,AE199)</f>
        <v>2.5473684210526319</v>
      </c>
      <c r="AF199" s="72">
        <f ca="1">IF(AND(Energy!$F$11=$A$3,Main!$B$43=$A199),Summary!AF36,AF199)</f>
        <v>15.921052631578949</v>
      </c>
      <c r="AG199" s="72">
        <f ca="1">IF(AND(Energy!$F$11=$A$3,Main!$B$43=$A199),Summary!AG36,AG199)</f>
        <v>11.878651904987647</v>
      </c>
      <c r="AH199" s="72">
        <f ca="1">IF(AND(Energy!$F$11=$A$3,Main!$B$43=$A199),Summary!AH36,AH199)</f>
        <v>47</v>
      </c>
      <c r="AI199" s="72">
        <f ca="1">IF(AND(Energy!$F$11=$A$3,Main!$B$43=$A199),Summary!AI36,AI199)</f>
        <v>2.7910357986263965</v>
      </c>
      <c r="AJ199" s="72">
        <f ca="1">IF(AND(Energy!$F$11=$A$3,Main!$B$43=$A199),Summary!AJ36,AJ199)</f>
        <v>0.23248939959874795</v>
      </c>
      <c r="AK199" s="72">
        <f ca="1">IF(AND(Energy!$F$11=$A$3,Main!$B$43=$A199),Summary!AK36,AK199)</f>
        <v>0.01</v>
      </c>
      <c r="AL199" s="72">
        <f ca="1">IF(AND(Energy!$F$11=$A$3,Main!$B$43=$A199),Summary!AL36,AL199)</f>
        <v>-0.53766042693634108</v>
      </c>
      <c r="AM199" s="72">
        <f ca="1">IF(AND(Energy!$F$11=$A$3,Main!$B$43=$A199),Summary!AJ216,AM199)</f>
        <v>0</v>
      </c>
    </row>
    <row r="200" spans="1:39">
      <c r="A200">
        <f t="shared" si="15"/>
        <v>10</v>
      </c>
      <c r="D200" s="1">
        <f ca="1">IF(AND(Energy!$F$11=$A$3,Main!$B$43=A200),Main!C37,D200)</f>
        <v>6.526315789473685</v>
      </c>
      <c r="E200" s="72">
        <f ca="1">IF(AND(Energy!$F$11=$A$3,Main!$B$43=A200),Main!B37,E200)</f>
        <v>0.4</v>
      </c>
      <c r="F200" s="72">
        <f ca="1">IF(Main!$D$6=1,U200,IF(Main!$D$6=2,N200,IF(Main!$D$6=3,K200,IF(Main!$D$6=4,V200,J200))))</f>
        <v>580.94088556092936</v>
      </c>
      <c r="G200" s="72">
        <f ca="1">IF(AND(Energy!$F$11=$A$3,Main!$B$43=A200),Weight!H37,G200)</f>
        <v>15</v>
      </c>
      <c r="H200" s="72">
        <f ca="1">IF(AND(Energy!$F$11=$A$3,Main!$B$43=A200),Weight!U37,H200)</f>
        <v>30.681826359971723</v>
      </c>
      <c r="I200" s="72">
        <f ca="1">IF(AND(Energy!$F$11=$A$3,Main!$B$43=A200),Weight!V37,I200)</f>
        <v>59.109867063096729</v>
      </c>
      <c r="J200" s="72">
        <f ca="1">IF(AND(Energy!$F$11=$A$3,Main!$B$43=A200),Weight!I37,J200)</f>
        <v>23.490392428125002</v>
      </c>
      <c r="K200" s="72">
        <f ca="1">IF(AND(Energy!$F$11=$A$3,Main!$B$43=A200),Weight!W37,K200)</f>
        <v>74.109867063096729</v>
      </c>
      <c r="L200" s="72">
        <f ca="1">IF(AND(Energy!$F$11=$A$3,Main!$B$43=A200),'Aerodynamics-Cruise'!BI37,L200)</f>
        <v>74.109867063096743</v>
      </c>
      <c r="M200" s="72">
        <f ca="1">IF(AND(Energy!$F$11=$A$3,Main!$B$43=A200),'Aerodynamics-Cruise'!BJ37,M200)</f>
        <v>3.3936649522645523</v>
      </c>
      <c r="N200" s="72">
        <f ca="1">IF(AND(Energy!$F$11=$A$3,Main!$B$43=A200),'Aerodynamics-Cruise'!BK37,N200)</f>
        <v>21.837708820855784</v>
      </c>
      <c r="O200" s="72">
        <f t="shared" ca="1" si="16"/>
        <v>187.99447592024219</v>
      </c>
      <c r="P200" s="72">
        <f ca="1">IF(AND(Energy!$F$11=$A$3,Main!$B$43=A200),'Aerodynamics-Cruise'!H37,P200)</f>
        <v>7.2488015902552911</v>
      </c>
      <c r="Q200" s="72">
        <f ca="1">IF(AND(Energy!$F$11=$A$3,Main!$B$43=A200),'Aerodynamics-Cruise'!I37,Q200)</f>
        <v>6.0759595437638048</v>
      </c>
      <c r="R200" s="72">
        <f ca="1">IF(AND(Energy!$F$11=$A$3,Main!$B$43=$A200),Summary!R37,R200)</f>
        <v>3.8021386192607545</v>
      </c>
      <c r="S200" s="72">
        <f ca="1">IF(AND(Energy!$F$11=$A$3,Main!$B$43=A200),'Aerodynamics-Cruise'!W37,S200)</f>
        <v>1</v>
      </c>
      <c r="T200" s="72">
        <f ca="1">IF(AND(Energy!$F$11=$A$3,Main!$B$43=A200),'Aerodynamics-Cruise'!BL37,T200)</f>
        <v>24.600003902768933</v>
      </c>
      <c r="U200" s="72">
        <f ca="1">IF(AND(Energy!$F$11=$A$3,Main!$B$43=A200),'Propulsion-Cruise'!M37,U200)</f>
        <v>57.348899162154737</v>
      </c>
      <c r="V200" s="72">
        <f ca="1">IF(AND(Energy!$F$11=$A$3,Main!$B$43=A200),Endurance!AP37,V200)</f>
        <v>580.94088556092936</v>
      </c>
      <c r="W200" s="72">
        <f ca="1">IF(AND(Energy!$F$11=$A$3,Main!$B$43=$A200),Summary!W37,W200)</f>
        <v>2.6105263157894742</v>
      </c>
      <c r="X200" s="13">
        <f ca="1">IF(AND(Energy!$F$11=$A$3,Main!$B$43=A200),Energy!D37,X200)</f>
        <v>1182.0301388888888</v>
      </c>
      <c r="Y200" s="126">
        <f ca="1">IF(AND(Energy!$F$11=$A$3,Main!$B$43=A200),'Aerodynamics-Cruise'!V37,Y200)</f>
        <v>183895.66063184303</v>
      </c>
      <c r="Z200" s="126">
        <f ca="1">IF(AND(Energy!$F$11=$A$3,Main!$B$43=$A200),Summary!Z37,Z200)</f>
        <v>136609.56660306882</v>
      </c>
      <c r="AA200" s="126">
        <f ca="1">IF(AND(Energy!$F$11=$A$3,Main!$B$43=$A200),Summary!AA37,AA200)</f>
        <v>136609.56660306882</v>
      </c>
      <c r="AB200" s="72">
        <f ca="1">IF(AND(Energy!$F$11=$A$3,Main!$B$43=$A200),Summary!AB37,AB200)</f>
        <v>3.8021386192607545</v>
      </c>
      <c r="AC200" s="72">
        <f ca="1">IF(AND(Energy!$F$11=$A$3,Main!$B$43=$A200),Summary!AC37,AC200)</f>
        <v>1.5857382334472543</v>
      </c>
      <c r="AD200" s="72">
        <f ca="1">IF(AND(Energy!$F$11=$A$3,Main!$B$43=$A200),Summary!AD37,AD200)</f>
        <v>0.43076043360203231</v>
      </c>
      <c r="AE200" s="72">
        <f ca="1">IF(AND(Energy!$F$11=$A$3,Main!$B$43=$A200),Summary!AE37,AE200)</f>
        <v>2.6105263157894742</v>
      </c>
      <c r="AF200" s="72">
        <f ca="1">IF(AND(Energy!$F$11=$A$3,Main!$B$43=$A200),Summary!AF37,AF200)</f>
        <v>16.315789473684209</v>
      </c>
      <c r="AG200" s="72">
        <f ca="1">IF(AND(Energy!$F$11=$A$3,Main!$B$43=$A200),Summary!AG37,AG200)</f>
        <v>11.895261548868534</v>
      </c>
      <c r="AH200" s="72">
        <f ca="1">IF(AND(Energy!$F$11=$A$3,Main!$B$43=$A200),Summary!AH37,AH200)</f>
        <v>47</v>
      </c>
      <c r="AI200" s="72">
        <f ca="1">IF(AND(Energy!$F$11=$A$3,Main!$B$43=$A200),Summary!AI37,AI200)</f>
        <v>2.78970801202472</v>
      </c>
      <c r="AJ200" s="72">
        <f ca="1">IF(AND(Energy!$F$11=$A$3,Main!$B$43=$A200),Summary!AJ37,AJ200)</f>
        <v>0.2328075095545859</v>
      </c>
      <c r="AK200" s="72">
        <f ca="1">IF(AND(Energy!$F$11=$A$3,Main!$B$43=$A200),Summary!AK37,AK200)</f>
        <v>0.01</v>
      </c>
      <c r="AL200" s="72">
        <f ca="1">IF(AND(Energy!$F$11=$A$3,Main!$B$43=$A200),Summary!AL37,AL200)</f>
        <v>-0.53692557109123162</v>
      </c>
      <c r="AM200" s="72">
        <f ca="1">IF(AND(Energy!$F$11=$A$3,Main!$B$43=$A200),Summary!AJ217,AM200)</f>
        <v>0</v>
      </c>
    </row>
    <row r="201" spans="1:39">
      <c r="A201">
        <f t="shared" si="15"/>
        <v>10</v>
      </c>
      <c r="D201" s="1">
        <f ca="1">IF(AND(Energy!$F$11=$A$3,Main!$B$43=A201),Main!C38,D201)</f>
        <v>6.6842105263157903</v>
      </c>
      <c r="E201" s="72">
        <f ca="1">IF(AND(Energy!$F$11=$A$3,Main!$B$43=A201),Main!B38,E201)</f>
        <v>0.4</v>
      </c>
      <c r="F201" s="72">
        <f ca="1">IF(Main!$D$6=1,U201,IF(Main!$D$6=2,N201,IF(Main!$D$6=3,K201,IF(Main!$D$6=4,V201,J201))))</f>
        <v>581.98531288168351</v>
      </c>
      <c r="G201" s="72">
        <f ca="1">IF(AND(Energy!$F$11=$A$3,Main!$B$43=A201),Weight!H38,G201)</f>
        <v>15</v>
      </c>
      <c r="H201" s="72">
        <f ca="1">IF(AND(Energy!$F$11=$A$3,Main!$B$43=A201),Weight!U38,H201)</f>
        <v>31.659846719426184</v>
      </c>
      <c r="I201" s="72">
        <f ca="1">IF(AND(Energy!$F$11=$A$3,Main!$B$43=A201),Weight!V38,I201)</f>
        <v>60.087887422551191</v>
      </c>
      <c r="J201" s="72">
        <f ca="1">IF(AND(Energy!$F$11=$A$3,Main!$B$43=A201),Weight!I38,J201)</f>
        <v>23.490392428125002</v>
      </c>
      <c r="K201" s="72">
        <f ca="1">IF(AND(Energy!$F$11=$A$3,Main!$B$43=A201),Weight!W38,K201)</f>
        <v>75.087887422551191</v>
      </c>
      <c r="L201" s="72">
        <f ca="1">IF(AND(Energy!$F$11=$A$3,Main!$B$43=A201),'Aerodynamics-Cruise'!BI38,L201)</f>
        <v>75.087887422551177</v>
      </c>
      <c r="M201" s="72">
        <f ca="1">IF(AND(Energy!$F$11=$A$3,Main!$B$43=A201),'Aerodynamics-Cruise'!BJ38,M201)</f>
        <v>3.4103244192995339</v>
      </c>
      <c r="N201" s="72">
        <f ca="1">IF(AND(Energy!$F$11=$A$3,Main!$B$43=A201),'Aerodynamics-Cruise'!BK38,N201)</f>
        <v>22.017813612575285</v>
      </c>
      <c r="O201" s="72">
        <f t="shared" ca="1" si="16"/>
        <v>190.79154894106648</v>
      </c>
      <c r="P201" s="72">
        <f ca="1">IF(AND(Energy!$F$11=$A$3,Main!$B$43=A201),'Aerodynamics-Cruise'!H38,P201)</f>
        <v>7.2097488651022141</v>
      </c>
      <c r="Q201" s="72">
        <f ca="1">IF(AND(Energy!$F$11=$A$3,Main!$B$43=A201),'Aerodynamics-Cruise'!I38,Q201)</f>
        <v>6.0445785980068401</v>
      </c>
      <c r="R201" s="72">
        <f ca="1">IF(AND(Energy!$F$11=$A$3,Main!$B$43=$A201),Summary!R38,R201)</f>
        <v>3.8127202369797968</v>
      </c>
      <c r="S201" s="72">
        <f ca="1">IF(AND(Energy!$F$11=$A$3,Main!$B$43=A201),'Aerodynamics-Cruise'!W38,S201)</f>
        <v>1</v>
      </c>
      <c r="T201" s="72">
        <f ca="1">IF(AND(Energy!$F$11=$A$3,Main!$B$43=A201),'Aerodynamics-Cruise'!BL38,T201)</f>
        <v>24.587582611675181</v>
      </c>
      <c r="U201" s="72">
        <f ca="1">IF(AND(Energy!$F$11=$A$3,Main!$B$43=A201),'Propulsion-Cruise'!M38,U201)</f>
        <v>57.472930792035932</v>
      </c>
      <c r="V201" s="72">
        <f ca="1">IF(AND(Energy!$F$11=$A$3,Main!$B$43=A201),Endurance!AP38,V201)</f>
        <v>581.98531288168351</v>
      </c>
      <c r="W201" s="72">
        <f ca="1">IF(AND(Energy!$F$11=$A$3,Main!$B$43=$A201),Summary!W38,W201)</f>
        <v>2.6736842105263161</v>
      </c>
      <c r="X201" s="13">
        <f ca="1">IF(AND(Energy!$F$11=$A$3,Main!$B$43=A201),Energy!D38,X201)</f>
        <v>1182.0301388888888</v>
      </c>
      <c r="Y201" s="126">
        <f ca="1">IF(AND(Energy!$F$11=$A$3,Main!$B$43=A201),'Aerodynamics-Cruise'!V38,Y201)</f>
        <v>182904.92766694116</v>
      </c>
      <c r="Z201" s="126">
        <f ca="1">IF(AND(Energy!$F$11=$A$3,Main!$B$43=$A201),Summary!Z38,Z201)</f>
        <v>135902.82225738134</v>
      </c>
      <c r="AA201" s="126">
        <f ca="1">IF(AND(Energy!$F$11=$A$3,Main!$B$43=$A201),Summary!AA38,AA201)</f>
        <v>135902.82225738134</v>
      </c>
      <c r="AB201" s="72">
        <f ca="1">IF(AND(Energy!$F$11=$A$3,Main!$B$43=$A201),Summary!AB38,AB201)</f>
        <v>3.8127202369797968</v>
      </c>
      <c r="AC201" s="72">
        <f ca="1">IF(AND(Energy!$F$11=$A$3,Main!$B$43=$A201),Summary!AC38,AC201)</f>
        <v>1.5567507754726697</v>
      </c>
      <c r="AD201" s="72">
        <f ca="1">IF(AND(Energy!$F$11=$A$3,Main!$B$43=$A201),Summary!AD38,AD201)</f>
        <v>0.43055226153760784</v>
      </c>
      <c r="AE201" s="72">
        <f ca="1">IF(AND(Energy!$F$11=$A$3,Main!$B$43=$A201),Summary!AE38,AE201)</f>
        <v>2.6736842105263161</v>
      </c>
      <c r="AF201" s="72">
        <f ca="1">IF(AND(Energy!$F$11=$A$3,Main!$B$43=$A201),Summary!AF38,AF201)</f>
        <v>16.710526315789476</v>
      </c>
      <c r="AG201" s="72">
        <f ca="1">IF(AND(Energy!$F$11=$A$3,Main!$B$43=$A201),Summary!AG38,AG201)</f>
        <v>11.916405781113662</v>
      </c>
      <c r="AH201" s="72">
        <f ca="1">IF(AND(Energy!$F$11=$A$3,Main!$B$43=$A201),Summary!AH38,AH201)</f>
        <v>47</v>
      </c>
      <c r="AI201" s="72">
        <f ca="1">IF(AND(Energy!$F$11=$A$3,Main!$B$43=$A201),Summary!AI38,AI201)</f>
        <v>2.7884591577824023</v>
      </c>
      <c r="AJ201" s="72">
        <f ca="1">IF(AND(Energy!$F$11=$A$3,Main!$B$43=$A201),Summary!AJ38,AJ201)</f>
        <v>0.23310502360057173</v>
      </c>
      <c r="AK201" s="72">
        <f ca="1">IF(AND(Energy!$F$11=$A$3,Main!$B$43=$A201),Summary!AK38,AK201)</f>
        <v>0.01</v>
      </c>
      <c r="AL201" s="72">
        <f ca="1">IF(AND(Energy!$F$11=$A$3,Main!$B$43=$A201),Summary!AL38,AL201)</f>
        <v>-0.53624009821674745</v>
      </c>
      <c r="AM201" s="72">
        <f ca="1">IF(AND(Energy!$F$11=$A$3,Main!$B$43=$A201),Summary!AJ218,AM201)</f>
        <v>0</v>
      </c>
    </row>
    <row r="202" spans="1:39">
      <c r="A202">
        <f t="shared" si="15"/>
        <v>10</v>
      </c>
      <c r="D202" s="1">
        <f ca="1">IF(AND(Energy!$F$11=$A$3,Main!$B$43=A202),Main!C39,D202)</f>
        <v>6.8421052631578956</v>
      </c>
      <c r="E202" s="72">
        <f ca="1">IF(AND(Energy!$F$11=$A$3,Main!$B$43=A202),Main!B39,E202)</f>
        <v>0.4</v>
      </c>
      <c r="F202" s="72">
        <f ca="1">IF(Main!$D$6=1,U202,IF(Main!$D$6=2,N202,IF(Main!$D$6=3,K202,IF(Main!$D$6=4,V202,J202))))</f>
        <v>583.3299521769402</v>
      </c>
      <c r="G202" s="72">
        <f ca="1">IF(AND(Energy!$F$11=$A$3,Main!$B$43=A202),Weight!H39,G202)</f>
        <v>15</v>
      </c>
      <c r="H202" s="72">
        <f ca="1">IF(AND(Energy!$F$11=$A$3,Main!$B$43=A202),Weight!U39,H202)</f>
        <v>32.657307760505731</v>
      </c>
      <c r="I202" s="72">
        <f ca="1">IF(AND(Energy!$F$11=$A$3,Main!$B$43=A202),Weight!V39,I202)</f>
        <v>61.085348463630737</v>
      </c>
      <c r="J202" s="72">
        <f ca="1">IF(AND(Energy!$F$11=$A$3,Main!$B$43=A202),Weight!I39,J202)</f>
        <v>23.490392428125002</v>
      </c>
      <c r="K202" s="72">
        <f ca="1">IF(AND(Energy!$F$11=$A$3,Main!$B$43=A202),Weight!W39,K202)</f>
        <v>76.085348463630737</v>
      </c>
      <c r="L202" s="72">
        <f ca="1">IF(AND(Energy!$F$11=$A$3,Main!$B$43=A202),'Aerodynamics-Cruise'!BI39,L202)</f>
        <v>76.085348463630709</v>
      </c>
      <c r="M202" s="72">
        <f ca="1">IF(AND(Energy!$F$11=$A$3,Main!$B$43=A202),'Aerodynamics-Cruise'!BJ39,M202)</f>
        <v>3.4283788320856976</v>
      </c>
      <c r="N202" s="72">
        <f ca="1">IF(AND(Energy!$F$11=$A$3,Main!$B$43=A202),'Aerodynamics-Cruise'!BK39,N202)</f>
        <v>22.192806626723694</v>
      </c>
      <c r="O202" s="72">
        <f t="shared" ca="1" si="16"/>
        <v>193.58100758068844</v>
      </c>
      <c r="P202" s="72">
        <f ca="1">IF(AND(Energy!$F$11=$A$3,Main!$B$43=A202),'Aerodynamics-Cruise'!H39,P202)</f>
        <v>7.1732183080644623</v>
      </c>
      <c r="Q202" s="72">
        <f ca="1">IF(AND(Energy!$F$11=$A$3,Main!$B$43=A202),'Aerodynamics-Cruise'!I39,Q202)</f>
        <v>6.0152177319598872</v>
      </c>
      <c r="R202" s="72">
        <f ca="1">IF(AND(Energy!$F$11=$A$3,Main!$B$43=$A202),Summary!R39,R202)</f>
        <v>3.8261494089869408</v>
      </c>
      <c r="S202" s="72">
        <f ca="1">IF(AND(Energy!$F$11=$A$3,Main!$B$43=A202),'Aerodynamics-Cruise'!W39,S202)</f>
        <v>1</v>
      </c>
      <c r="T202" s="72">
        <f ca="1">IF(AND(Energy!$F$11=$A$3,Main!$B$43=A202),'Aerodynamics-Cruise'!BL39,T202)</f>
        <v>24.592509805297784</v>
      </c>
      <c r="U202" s="72">
        <f ca="1">IF(AND(Energy!$F$11=$A$3,Main!$B$43=A202),'Propulsion-Cruise'!M39,U202)</f>
        <v>57.632591872777866</v>
      </c>
      <c r="V202" s="72">
        <f ca="1">IF(AND(Energy!$F$11=$A$3,Main!$B$43=A202),Endurance!AP39,V202)</f>
        <v>583.3299521769402</v>
      </c>
      <c r="W202" s="72">
        <f ca="1">IF(AND(Energy!$F$11=$A$3,Main!$B$43=$A202),Summary!W39,W202)</f>
        <v>2.7368421052631584</v>
      </c>
      <c r="X202" s="13">
        <f ca="1">IF(AND(Energy!$F$11=$A$3,Main!$B$43=A202),Energy!D39,X202)</f>
        <v>1182.0301388888888</v>
      </c>
      <c r="Y202" s="126">
        <f ca="1">IF(AND(Energy!$F$11=$A$3,Main!$B$43=A202),'Aerodynamics-Cruise'!V39,Y202)</f>
        <v>181978.17986786534</v>
      </c>
      <c r="Z202" s="126">
        <f ca="1">IF(AND(Energy!$F$11=$A$3,Main!$B$43=$A202),Summary!Z39,Z202)</f>
        <v>135241.57885568083</v>
      </c>
      <c r="AA202" s="126">
        <f ca="1">IF(AND(Energy!$F$11=$A$3,Main!$B$43=$A202),Summary!AA39,AA202)</f>
        <v>135241.57885568083</v>
      </c>
      <c r="AB202" s="72">
        <f ca="1">IF(AND(Energy!$F$11=$A$3,Main!$B$43=$A202),Summary!AB39,AB202)</f>
        <v>3.8261494089869408</v>
      </c>
      <c r="AC202" s="72">
        <f ca="1">IF(AND(Energy!$F$11=$A$3,Main!$B$43=$A202),Summary!AC39,AC202)</f>
        <v>1.5284174739722916</v>
      </c>
      <c r="AD202" s="72">
        <f ca="1">IF(AND(Energy!$F$11=$A$3,Main!$B$43=$A202),Summary!AD39,AD202)</f>
        <v>0.43046514329962848</v>
      </c>
      <c r="AE202" s="72">
        <f ca="1">IF(AND(Energy!$F$11=$A$3,Main!$B$43=$A202),Summary!AE39,AE202)</f>
        <v>2.7368421052631584</v>
      </c>
      <c r="AF202" s="72">
        <f ca="1">IF(AND(Energy!$F$11=$A$3,Main!$B$43=$A202),Summary!AF39,AF202)</f>
        <v>17.105263157894736</v>
      </c>
      <c r="AG202" s="72">
        <f ca="1">IF(AND(Energy!$F$11=$A$3,Main!$B$43=$A202),Summary!AG39,AG202)</f>
        <v>11.941839407089606</v>
      </c>
      <c r="AH202" s="72">
        <f ca="1">IF(AND(Energy!$F$11=$A$3,Main!$B$43=$A202),Summary!AH39,AH202)</f>
        <v>47</v>
      </c>
      <c r="AI202" s="72">
        <f ca="1">IF(AND(Energy!$F$11=$A$3,Main!$B$43=$A202),Summary!AI39,AI202)</f>
        <v>2.7872855528723264</v>
      </c>
      <c r="AJ202" s="72">
        <f ca="1">IF(AND(Energy!$F$11=$A$3,Main!$B$43=$A202),Summary!AJ39,AJ202)</f>
        <v>0.2333831201824462</v>
      </c>
      <c r="AK202" s="72">
        <f ca="1">IF(AND(Energy!$F$11=$A$3,Main!$B$43=$A202),Summary!AK39,AK202)</f>
        <v>0.01</v>
      </c>
      <c r="AL202" s="72">
        <f ca="1">IF(AND(Energy!$F$11=$A$3,Main!$B$43=$A202),Summary!AL39,AL202)</f>
        <v>-0.53560093345782045</v>
      </c>
      <c r="AM202" s="72">
        <f ca="1">IF(AND(Energy!$F$11=$A$3,Main!$B$43=$A202),Summary!AJ219,AM202)</f>
        <v>0</v>
      </c>
    </row>
    <row r="203" spans="1:39">
      <c r="A203">
        <f t="shared" si="15"/>
        <v>10</v>
      </c>
      <c r="D203" s="1">
        <f ca="1">IF(AND(Energy!$F$11=$A$3,Main!$B$43=A203),Main!C40,D203)</f>
        <v>7</v>
      </c>
      <c r="E203" s="72">
        <f ca="1">IF(AND(Energy!$F$11=$A$3,Main!$B$43=A203),Main!B40,E203)</f>
        <v>0.4</v>
      </c>
      <c r="F203" s="72">
        <f ca="1">IF(Main!$D$6=1,U203,IF(Main!$D$6=2,N203,IF(Main!$D$6=3,K203,IF(Main!$D$6=4,V203,J203))))</f>
        <v>584.95998907889782</v>
      </c>
      <c r="G203" s="72">
        <f ca="1">IF(AND(Energy!$F$11=$A$3,Main!$B$43=A203),Weight!H40,G203)</f>
        <v>15</v>
      </c>
      <c r="H203" s="72">
        <f ca="1">IF(AND(Energy!$F$11=$A$3,Main!$B$43=A203),Weight!U40,H203)</f>
        <v>33.674438853878812</v>
      </c>
      <c r="I203" s="72">
        <f ca="1">IF(AND(Energy!$F$11=$A$3,Main!$B$43=A203),Weight!V40,I203)</f>
        <v>62.102479557003818</v>
      </c>
      <c r="J203" s="72">
        <f ca="1">IF(AND(Energy!$F$11=$A$3,Main!$B$43=A203),Weight!I40,J203)</f>
        <v>23.490392428125002</v>
      </c>
      <c r="K203" s="72">
        <f ca="1">IF(AND(Energy!$F$11=$A$3,Main!$B$43=A203),Weight!W40,K203)</f>
        <v>77.102479557003818</v>
      </c>
      <c r="L203" s="72">
        <f ca="1">IF(AND(Energy!$F$11=$A$3,Main!$B$43=A203),'Aerodynamics-Cruise'!BI40,L203)</f>
        <v>77.102479557003832</v>
      </c>
      <c r="M203" s="72">
        <f ca="1">IF(AND(Energy!$F$11=$A$3,Main!$B$43=A203),'Aerodynamics-Cruise'!BJ40,M203)</f>
        <v>3.4477615993095063</v>
      </c>
      <c r="N203" s="72">
        <f ca="1">IF(AND(Energy!$F$11=$A$3,Main!$B$43=A203),'Aerodynamics-Cruise'!BK40,N203)</f>
        <v>22.363054212462188</v>
      </c>
      <c r="O203" s="72">
        <f t="shared" ca="1" si="16"/>
        <v>196.36554579869539</v>
      </c>
      <c r="P203" s="72">
        <f ca="1">IF(AND(Energy!$F$11=$A$3,Main!$B$43=A203),'Aerodynamics-Cruise'!H40,P203)</f>
        <v>7.1390732065194262</v>
      </c>
      <c r="Q203" s="72">
        <f ca="1">IF(AND(Energy!$F$11=$A$3,Main!$B$43=A203),'Aerodynamics-Cruise'!I40,Q203)</f>
        <v>5.9877683788146632</v>
      </c>
      <c r="R203" s="72">
        <f ca="1">IF(AND(Energy!$F$11=$A$3,Main!$B$43=$A203),Summary!R40,R203)</f>
        <v>3.8423358919473491</v>
      </c>
      <c r="S203" s="72">
        <f ca="1">IF(AND(Energy!$F$11=$A$3,Main!$B$43=A203),'Aerodynamics-Cruise'!W40,S203)</f>
        <v>1</v>
      </c>
      <c r="T203" s="72">
        <f ca="1">IF(AND(Energy!$F$11=$A$3,Main!$B$43=A203),'Aerodynamics-Cruise'!BL40,T203)</f>
        <v>24.613822456097061</v>
      </c>
      <c r="U203" s="72">
        <f ca="1">IF(AND(Energy!$F$11=$A$3,Main!$B$43=A203),'Propulsion-Cruise'!M40,U203)</f>
        <v>57.826124418064587</v>
      </c>
      <c r="V203" s="72">
        <f ca="1">IF(AND(Energy!$F$11=$A$3,Main!$B$43=A203),Endurance!AP40,V203)</f>
        <v>584.95998907889782</v>
      </c>
      <c r="W203" s="72">
        <f ca="1">IF(AND(Energy!$F$11=$A$3,Main!$B$43=$A203),Summary!W40,W203)</f>
        <v>2.8000000000000003</v>
      </c>
      <c r="X203" s="13">
        <f ca="1">IF(AND(Energy!$F$11=$A$3,Main!$B$43=A203),Energy!D40,X203)</f>
        <v>1182.0301388888888</v>
      </c>
      <c r="Y203" s="126">
        <f ca="1">IF(AND(Energy!$F$11=$A$3,Main!$B$43=A203),'Aerodynamics-Cruise'!V40,Y203)</f>
        <v>181111.94895675764</v>
      </c>
      <c r="Z203" s="126">
        <f ca="1">IF(AND(Energy!$F$11=$A$3,Main!$B$43=$A203),Summary!Z40,Z203)</f>
        <v>134623.39018091053</v>
      </c>
      <c r="AA203" s="126">
        <f ca="1">IF(AND(Energy!$F$11=$A$3,Main!$B$43=$A203),Summary!AA40,AA203)</f>
        <v>134623.39018091053</v>
      </c>
      <c r="AB203" s="72">
        <f ca="1">IF(AND(Energy!$F$11=$A$3,Main!$B$43=$A203),Summary!AB40,AB203)</f>
        <v>3.8423358919473491</v>
      </c>
      <c r="AC203" s="72">
        <f ca="1">IF(AND(Energy!$F$11=$A$3,Main!$B$43=$A203),Summary!AC40,AC203)</f>
        <v>1.5007161567771035</v>
      </c>
      <c r="AD203" s="72">
        <f ca="1">IF(AND(Energy!$F$11=$A$3,Main!$B$43=$A203),Summary!AD40,AD203)</f>
        <v>0.43049268060658585</v>
      </c>
      <c r="AE203" s="72">
        <f ca="1">IF(AND(Energy!$F$11=$A$3,Main!$B$43=$A203),Summary!AE40,AE203)</f>
        <v>2.8000000000000003</v>
      </c>
      <c r="AF203" s="72">
        <f ca="1">IF(AND(Energy!$F$11=$A$3,Main!$B$43=$A203),Summary!AF40,AF203)</f>
        <v>17.5</v>
      </c>
      <c r="AG203" s="72">
        <f ca="1">IF(AND(Energy!$F$11=$A$3,Main!$B$43=$A203),Summary!AG40,AG203)</f>
        <v>11.971340658239852</v>
      </c>
      <c r="AH203" s="72">
        <f ca="1">IF(AND(Energy!$F$11=$A$3,Main!$B$43=$A203),Summary!AH40,AH203)</f>
        <v>47</v>
      </c>
      <c r="AI203" s="72">
        <f ca="1">IF(AND(Energy!$F$11=$A$3,Main!$B$43=$A203),Summary!AI40,AI203)</f>
        <v>2.7861837647345604</v>
      </c>
      <c r="AJ203" s="72">
        <f ca="1">IF(AND(Energy!$F$11=$A$3,Main!$B$43=$A203),Summary!AJ40,AJ203)</f>
        <v>0.23364288000595196</v>
      </c>
      <c r="AK203" s="72">
        <f ca="1">IF(AND(Energy!$F$11=$A$3,Main!$B$43=$A203),Summary!AK40,AK203)</f>
        <v>0.01</v>
      </c>
      <c r="AL203" s="72">
        <f ca="1">IF(AND(Energy!$F$11=$A$3,Main!$B$43=$A203),Summary!AL40,AL203)</f>
        <v>-0.53500527740011794</v>
      </c>
      <c r="AM203" s="72">
        <f ca="1">IF(AND(Energy!$F$11=$A$3,Main!$B$43=$A203),Summary!AJ220,AM203)</f>
        <v>0</v>
      </c>
    </row>
    <row r="204" spans="1:39">
      <c r="B204" s="58" t="s">
        <v>603</v>
      </c>
      <c r="C204" s="58"/>
      <c r="D204" s="58" t="s">
        <v>607</v>
      </c>
      <c r="E204" s="72"/>
      <c r="F204" s="58"/>
      <c r="H204" s="58" t="s">
        <v>605</v>
      </c>
      <c r="I204" s="58">
        <v>1</v>
      </c>
      <c r="J204" s="58" t="s">
        <v>606</v>
      </c>
      <c r="K204" s="58">
        <v>1</v>
      </c>
      <c r="L204" s="58"/>
      <c r="M204" s="58"/>
      <c r="N204" s="58"/>
      <c r="O204" s="72"/>
      <c r="P204" s="58"/>
      <c r="R204" s="1"/>
      <c r="W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9">
      <c r="C205" s="58"/>
      <c r="D205" s="1">
        <f ca="1">INDEX(D4:D203,MATCH($F$205,$F$4:$F$203,0),0)</f>
        <v>5.4210526315789478</v>
      </c>
      <c r="E205" s="1">
        <f ca="1">INDEX(E4:E203,MATCH($F$205,$F$4:$F$203,0),0)</f>
        <v>0.26666666666666666</v>
      </c>
      <c r="F205" s="128">
        <f ca="1">MIN(F4:F203)</f>
        <v>516.15763096964713</v>
      </c>
      <c r="G205" s="1">
        <f t="shared" ref="G205:N205" ca="1" si="17">INDEX(G4:G203,MATCH($F$205,$F$4:$F$203,0),0)</f>
        <v>15</v>
      </c>
      <c r="H205" s="1">
        <f t="shared" ca="1" si="17"/>
        <v>17.056988052783822</v>
      </c>
      <c r="I205" s="1">
        <f t="shared" ca="1" si="17"/>
        <v>45.485028755908829</v>
      </c>
      <c r="J205" s="1">
        <f t="shared" ca="1" si="17"/>
        <v>23.490392428125002</v>
      </c>
      <c r="K205" s="1">
        <f t="shared" ca="1" si="17"/>
        <v>60.485028755908829</v>
      </c>
      <c r="L205" s="1">
        <f t="shared" ca="1" si="17"/>
        <v>60.48502875590885</v>
      </c>
      <c r="M205" s="1">
        <f t="shared" ca="1" si="17"/>
        <v>2.84532859486891</v>
      </c>
      <c r="N205" s="1">
        <f t="shared" ca="1" si="17"/>
        <v>21.257660315572625</v>
      </c>
      <c r="O205" s="72">
        <f ca="1">L205^(3/2)/M205</f>
        <v>165.32533399090624</v>
      </c>
      <c r="P205" s="1">
        <f t="shared" ref="P205:AM205" ca="1" si="18">INDEX(P4:P203,MATCH($F$205,$F$4:$F$203,0),0)</f>
        <v>8.7582299179965908</v>
      </c>
      <c r="Q205" s="1">
        <f t="shared" ca="1" si="18"/>
        <v>7.4413641204166057</v>
      </c>
      <c r="R205" s="1">
        <f ca="1">INDEX(R4:R203,MATCH($F$205,$F$4:$F$203,0),0)</f>
        <v>4.7052897464636096</v>
      </c>
      <c r="S205" s="1">
        <f t="shared" ca="1" si="18"/>
        <v>1</v>
      </c>
      <c r="T205" s="1">
        <f t="shared" ca="1" si="18"/>
        <v>24.920042026112089</v>
      </c>
      <c r="U205" s="1">
        <f t="shared" ca="1" si="18"/>
        <v>53.934378227086079</v>
      </c>
      <c r="V205" s="1">
        <f t="shared" ca="1" si="18"/>
        <v>516.15763096964713</v>
      </c>
      <c r="W205" s="1">
        <f t="shared" ref="W205" ca="1" si="19">INDEX(W4:W203,MATCH($F$205,$F$4:$F$203,0),0)</f>
        <v>1.4456140350877194</v>
      </c>
      <c r="X205" s="13">
        <f t="shared" ca="1" si="18"/>
        <v>1182.0301388888888</v>
      </c>
      <c r="Y205" s="81">
        <f t="shared" ca="1" si="18"/>
        <v>148125.678125951</v>
      </c>
      <c r="Z205" s="81">
        <f t="shared" ca="1" si="18"/>
        <v>111480.22462694555</v>
      </c>
      <c r="AA205" s="81">
        <f ca="1">INDEX(AA4:AA203,MATCH($F$205,$F$4:$F$203,0),0)</f>
        <v>111480.22462694555</v>
      </c>
      <c r="AB205" s="1">
        <f t="shared" ca="1" si="18"/>
        <v>4.7052897464636096</v>
      </c>
      <c r="AC205" s="1">
        <f t="shared" ca="1" si="18"/>
        <v>2.3304171391871269</v>
      </c>
      <c r="AD205" s="1">
        <f t="shared" ca="1" si="18"/>
        <v>0.41697811707205096</v>
      </c>
      <c r="AE205" s="1">
        <f t="shared" ca="1" si="18"/>
        <v>1.4456140350877194</v>
      </c>
      <c r="AF205" s="1">
        <f t="shared" ca="1" si="18"/>
        <v>20.328947368421055</v>
      </c>
      <c r="AG205" s="1">
        <f t="shared" ca="1" si="18"/>
        <v>11.217357540216177</v>
      </c>
      <c r="AH205" s="1">
        <f t="shared" ca="1" si="18"/>
        <v>47</v>
      </c>
      <c r="AI205" s="1">
        <f t="shared" ca="1" si="18"/>
        <v>2.7150863315650655</v>
      </c>
      <c r="AJ205" s="1">
        <f t="shared" ca="1" si="18"/>
        <v>0.23183112531774921</v>
      </c>
      <c r="AK205" s="1">
        <f t="shared" ca="1" si="18"/>
        <v>0.01</v>
      </c>
      <c r="AL205" s="1">
        <f t="shared" ca="1" si="18"/>
        <v>-0.53916140324833817</v>
      </c>
      <c r="AM205" s="1">
        <f t="shared" ca="1" si="18"/>
        <v>0</v>
      </c>
    </row>
    <row r="206" spans="1:39">
      <c r="B206" s="58" t="s">
        <v>603</v>
      </c>
      <c r="C206" s="58"/>
      <c r="D206" s="6" t="s">
        <v>612</v>
      </c>
      <c r="E206" s="72"/>
      <c r="F206" s="72"/>
      <c r="G206" s="1"/>
      <c r="H206" s="58" t="s">
        <v>605</v>
      </c>
      <c r="I206" s="58">
        <v>1</v>
      </c>
      <c r="J206" s="58" t="s">
        <v>606</v>
      </c>
      <c r="K206" s="58">
        <v>1</v>
      </c>
      <c r="L206" s="72"/>
      <c r="M206" s="72"/>
      <c r="N206" s="58"/>
      <c r="O206" s="72"/>
      <c r="P206" s="58"/>
      <c r="R206" s="1"/>
      <c r="W206" s="1"/>
      <c r="X206" s="13"/>
      <c r="Y206" s="81"/>
      <c r="Z206" s="81"/>
      <c r="AA206" s="8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>
      <c r="C207" s="58"/>
      <c r="D207" s="1">
        <f t="shared" ref="D207:N207" ca="1" si="20">INDEX(D4:D203,MATCH($T$207,$T$4:$T$203,0),0)</f>
        <v>6.8421052631578956</v>
      </c>
      <c r="E207" s="1">
        <f t="shared" ca="1" si="20"/>
        <v>0.33333333333333326</v>
      </c>
      <c r="F207" s="1">
        <f t="shared" ca="1" si="20"/>
        <v>544.97626023428745</v>
      </c>
      <c r="G207" s="1">
        <f t="shared" ca="1" si="20"/>
        <v>15</v>
      </c>
      <c r="H207" s="1">
        <f t="shared" ca="1" si="20"/>
        <v>27.261153810848953</v>
      </c>
      <c r="I207" s="1">
        <f t="shared" ca="1" si="20"/>
        <v>55.689194513973959</v>
      </c>
      <c r="J207" s="1">
        <f t="shared" ca="1" si="20"/>
        <v>23.490392428125002</v>
      </c>
      <c r="K207" s="1">
        <f t="shared" ca="1" si="20"/>
        <v>70.689194513973959</v>
      </c>
      <c r="L207" s="1">
        <f t="shared" ca="1" si="20"/>
        <v>70.689194513973959</v>
      </c>
      <c r="M207" s="1">
        <f t="shared" ca="1" si="20"/>
        <v>3.1643122905666816</v>
      </c>
      <c r="N207" s="1">
        <f t="shared" ca="1" si="20"/>
        <v>22.339512672219392</v>
      </c>
      <c r="O207" s="72">
        <f ca="1">L207^(3/2)/M207</f>
        <v>187.82362207563875</v>
      </c>
      <c r="P207" s="1">
        <f ca="1">INDEX(P4:P203,MATCH($T$207,$T$4:$T$203,0),0)</f>
        <v>7.5559165441535541</v>
      </c>
      <c r="Q207" s="1">
        <f ca="1">INDEX(Q4:Q203,MATCH($T$207,$T$4:$T$203,0),0)</f>
        <v>6.3850778295854544</v>
      </c>
      <c r="R207" s="1">
        <f ca="1">INDEX(R4:R203,MATCH($T$207,$T$4:$T$203,0),0)</f>
        <v>4.0199942862573446</v>
      </c>
      <c r="S207" s="1">
        <f ca="1">INDEX(S4:S203,MATCH($T$207,$T$4:$T$203,0),0)</f>
        <v>1</v>
      </c>
      <c r="T207" s="106">
        <f ca="1">MIN(T4:T203)</f>
        <v>23.909279587161219</v>
      </c>
      <c r="U207" s="1">
        <f t="shared" ref="U207:AM207" ca="1" si="21">INDEX(U4:U203,MATCH($T$207,$T$4:$T$203,0),0)</f>
        <v>54.604453689022122</v>
      </c>
      <c r="V207" s="1">
        <f t="shared" ca="1" si="21"/>
        <v>544.97626023428745</v>
      </c>
      <c r="W207" s="1">
        <f t="shared" ref="W207" ca="1" si="22">INDEX(W4:W203,MATCH($T$207,$T$4:$T$203,0),0)</f>
        <v>2.2807017543859649</v>
      </c>
      <c r="X207" s="13">
        <f t="shared" ca="1" si="21"/>
        <v>1182.0301388888888</v>
      </c>
      <c r="Y207" s="81">
        <f t="shared" ca="1" si="21"/>
        <v>159739.07862164447</v>
      </c>
      <c r="Z207" s="81">
        <f t="shared" ca="1" si="21"/>
        <v>119595.11814150268</v>
      </c>
      <c r="AA207" s="81">
        <f ca="1">INDEX(AA4:AA203,MATCH($T$207,$T$4:$T$203,0),0)</f>
        <v>119595.11814150268</v>
      </c>
      <c r="AB207" s="1">
        <f t="shared" ca="1" si="21"/>
        <v>4.0199942862573446</v>
      </c>
      <c r="AC207" s="1">
        <f t="shared" ca="1" si="21"/>
        <v>1.7428203313344521</v>
      </c>
      <c r="AD207" s="1">
        <f t="shared" ca="1" si="21"/>
        <v>0.41615910088142699</v>
      </c>
      <c r="AE207" s="1">
        <f t="shared" ca="1" si="21"/>
        <v>2.2807017543859649</v>
      </c>
      <c r="AF207" s="1">
        <f t="shared" ca="1" si="21"/>
        <v>20.526315789473689</v>
      </c>
      <c r="AG207" s="1">
        <f t="shared" ca="1" si="21"/>
        <v>11.491413100975629</v>
      </c>
      <c r="AH207" s="1">
        <f t="shared" ca="1" si="21"/>
        <v>47</v>
      </c>
      <c r="AI207" s="1">
        <f t="shared" ca="1" si="21"/>
        <v>2.7447196119658681</v>
      </c>
      <c r="AJ207" s="1">
        <f t="shared" ca="1" si="21"/>
        <v>0.23346222531563124</v>
      </c>
      <c r="AK207" s="1">
        <f t="shared" ca="1" si="21"/>
        <v>0.01</v>
      </c>
      <c r="AL207" s="1">
        <f t="shared" ca="1" si="21"/>
        <v>-0.53541559986588461</v>
      </c>
      <c r="AM207" s="1">
        <f t="shared" ca="1" si="21"/>
        <v>0</v>
      </c>
    </row>
    <row r="208" spans="1:39">
      <c r="B208" s="58" t="s">
        <v>603</v>
      </c>
      <c r="C208" s="58"/>
      <c r="D208" s="58" t="s">
        <v>608</v>
      </c>
      <c r="E208" s="72"/>
      <c r="F208" s="72"/>
      <c r="G208" s="1"/>
      <c r="H208" s="58" t="s">
        <v>605</v>
      </c>
      <c r="I208" s="58">
        <v>1</v>
      </c>
      <c r="J208" s="58" t="s">
        <v>606</v>
      </c>
      <c r="K208" s="58">
        <v>1</v>
      </c>
      <c r="L208" s="72"/>
      <c r="M208" s="72"/>
      <c r="N208" s="58"/>
      <c r="O208" s="72"/>
      <c r="P208" s="58"/>
      <c r="R208" s="1"/>
      <c r="W208" s="1"/>
      <c r="X208" s="13"/>
      <c r="Y208" s="81"/>
      <c r="Z208" s="81"/>
      <c r="AA208" s="8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2:39">
      <c r="C209" s="58"/>
      <c r="D209" s="1">
        <f t="shared" ref="D209:M209" ca="1" si="23">INDEX(D4:D203,MATCH($N$209,$N$4:$N$203,0),0)</f>
        <v>7</v>
      </c>
      <c r="E209" s="1">
        <f t="shared" ca="1" si="23"/>
        <v>0.35555555555555546</v>
      </c>
      <c r="F209" s="1">
        <f t="shared" ca="1" si="23"/>
        <v>562.70822238446306</v>
      </c>
      <c r="G209" s="1">
        <f t="shared" ca="1" si="23"/>
        <v>15</v>
      </c>
      <c r="H209" s="1">
        <f t="shared" ca="1" si="23"/>
        <v>29.898553088841084</v>
      </c>
      <c r="I209" s="1">
        <f t="shared" ca="1" si="23"/>
        <v>58.32659379196609</v>
      </c>
      <c r="J209" s="1">
        <f t="shared" ca="1" si="23"/>
        <v>23.490392428125002</v>
      </c>
      <c r="K209" s="1">
        <f t="shared" ca="1" si="23"/>
        <v>73.32659379196609</v>
      </c>
      <c r="L209" s="1">
        <f t="shared" ca="1" si="23"/>
        <v>73.32659379196609</v>
      </c>
      <c r="M209" s="1">
        <f t="shared" ca="1" si="23"/>
        <v>3.2617385723881278</v>
      </c>
      <c r="N209" s="106">
        <f ca="1">MAX(N4:N203)</f>
        <v>22.480831055163012</v>
      </c>
      <c r="O209" s="72">
        <f ca="1">L209^(3/2)/M209</f>
        <v>192.50548913345054</v>
      </c>
      <c r="P209" s="1">
        <f t="shared" ref="P209:AM209" ca="1" si="24">INDEX(P4:P203,MATCH($N$209,$N$4:$N$203,0),0)</f>
        <v>7.3725643603079103</v>
      </c>
      <c r="Q209" s="1">
        <f t="shared" ca="1" si="24"/>
        <v>6.2150857926393925</v>
      </c>
      <c r="R209" s="1">
        <f ca="1">INDEX(R4:R203,MATCH($N$209,$N$4:$N$203,0),0)</f>
        <v>3.9455658264482008</v>
      </c>
      <c r="S209" s="1">
        <f t="shared" ca="1" si="24"/>
        <v>1</v>
      </c>
      <c r="T209" s="1">
        <f t="shared" ca="1" si="24"/>
        <v>24.047377551430316</v>
      </c>
      <c r="U209" s="1">
        <f t="shared" ca="1" si="24"/>
        <v>55.544249301629598</v>
      </c>
      <c r="V209" s="1">
        <f t="shared" ca="1" si="24"/>
        <v>562.70822238446306</v>
      </c>
      <c r="W209" s="1">
        <f t="shared" ref="W209" ca="1" si="25">INDEX(W4:W203,MATCH($N$209,$N$4:$N$203,0),0)</f>
        <v>2.488888888888888</v>
      </c>
      <c r="X209" s="13">
        <f t="shared" ca="1" si="24"/>
        <v>1182.0301388888888</v>
      </c>
      <c r="Y209" s="81">
        <f t="shared" ca="1" si="24"/>
        <v>166253.69975788175</v>
      </c>
      <c r="Z209" s="81">
        <f t="shared" ca="1" si="24"/>
        <v>124183.55635186164</v>
      </c>
      <c r="AA209" s="81">
        <f ca="1">INDEX(AA4:AA203,MATCH($N$209,$N$4:$N$203,0),0)</f>
        <v>124183.55635186164</v>
      </c>
      <c r="AB209" s="1">
        <f t="shared" ca="1" si="24"/>
        <v>3.9455658264482008</v>
      </c>
      <c r="AC209" s="1">
        <f t="shared" ca="1" si="24"/>
        <v>1.6377974789566685</v>
      </c>
      <c r="AD209" s="1">
        <f t="shared" ca="1" si="24"/>
        <v>0.420205380132053</v>
      </c>
      <c r="AE209" s="1">
        <f t="shared" ca="1" si="24"/>
        <v>2.488888888888888</v>
      </c>
      <c r="AF209" s="1">
        <f t="shared" ca="1" si="24"/>
        <v>19.687500000000007</v>
      </c>
      <c r="AG209" s="1">
        <f t="shared" ca="1" si="24"/>
        <v>11.641191268495826</v>
      </c>
      <c r="AH209" s="1">
        <f t="shared" ca="1" si="24"/>
        <v>47</v>
      </c>
      <c r="AI209" s="1">
        <f t="shared" ca="1" si="24"/>
        <v>2.7580298383715602</v>
      </c>
      <c r="AJ209" s="1">
        <f t="shared" ca="1" si="24"/>
        <v>0.23354703114230033</v>
      </c>
      <c r="AK209" s="1">
        <f t="shared" ca="1" si="24"/>
        <v>0.01</v>
      </c>
      <c r="AL209" s="1">
        <f t="shared" ca="1" si="24"/>
        <v>-0.53522234618405817</v>
      </c>
      <c r="AM209" s="1">
        <f t="shared" ca="1" si="24"/>
        <v>0</v>
      </c>
    </row>
    <row r="210" spans="2:39">
      <c r="B210" s="58" t="s">
        <v>603</v>
      </c>
      <c r="C210" s="58"/>
      <c r="D210" s="58" t="s">
        <v>609</v>
      </c>
      <c r="E210" s="72"/>
      <c r="F210" s="72"/>
      <c r="G210" s="1"/>
      <c r="H210" s="58" t="s">
        <v>605</v>
      </c>
      <c r="I210" s="58">
        <f>COUNT([1]Variáveis!E45:E54)</f>
        <v>10</v>
      </c>
      <c r="J210" s="58" t="s">
        <v>606</v>
      </c>
      <c r="K210" s="58">
        <v>1</v>
      </c>
      <c r="L210" s="72"/>
      <c r="M210" s="72"/>
      <c r="N210" s="58"/>
      <c r="O210" s="72"/>
      <c r="P210" s="58"/>
    </row>
    <row r="211" spans="2:39">
      <c r="C211" s="58"/>
      <c r="D211" s="1">
        <f ca="1">IF(AND([1]Variáveis!$E$43=1,[1]Variáveis!$L$43=1),[1]Variáveis!Z$42,D211)</f>
        <v>0.29210526315789481</v>
      </c>
      <c r="E211" s="1">
        <f ca="1">IF(AND([1]Variáveis!$E$43=1,[1]Variáveis!$L$43=1),[1]Variáveis!AA$42,E211)</f>
        <v>2</v>
      </c>
      <c r="F211" s="1">
        <f ca="1">IF(AND([1]Variáveis!$E$43=1,[1]Variáveis!$L$43=1),[1]Variáveis!AB$42,F211)</f>
        <v>74.900702884866675</v>
      </c>
      <c r="G211" s="1">
        <f ca="1">IF(AND([1]Variáveis!$E$43=1,[1]Variáveis!$L$43=1),[1]Variáveis!AC$42,G211)</f>
        <v>51.46347211476445</v>
      </c>
      <c r="H211" s="1">
        <f ca="1">IF(AND([1]Variáveis!$E$43=1,[1]Variáveis!$L$43=1),[1]Variáveis!AD$42,H211)</f>
        <v>51.463472114764464</v>
      </c>
      <c r="I211" s="1">
        <f ca="1">IF(AND([1]Variáveis!$E$43=1,[1]Variáveis!$L$43=1),[1]Variáveis!AE$42,I211)</f>
        <v>3.5632068843550018</v>
      </c>
      <c r="J211" s="1">
        <f ca="1">IF(AND([1]Variáveis!$E$43=1,[1]Variáveis!$L$43=1),[1]Variáveis!AF$42,J211)</f>
        <v>14.443021072036402</v>
      </c>
      <c r="K211" s="1">
        <f ca="1">IF(AND([1]Variáveis!$E$43=1,[1]Variáveis!$L$43=1),[1]Variáveis!AG$42,K211)</f>
        <v>15.259433367753834</v>
      </c>
      <c r="L211" s="1">
        <f ca="1">IF(AND([1]Variáveis!$E$43=1,[1]Variáveis!$L$43=1),[1]Variáveis!AH$42,L211)</f>
        <v>54.372518027336888</v>
      </c>
      <c r="M211" s="1">
        <f ca="1">IF(AND([1]Variáveis!$E$43=1,[1]Variáveis!$L$43=1),[1]Variáveis!AI$42,M211)</f>
        <v>74.900702884866675</v>
      </c>
      <c r="N211" s="1">
        <f ca="1">IF(AND([1]Variáveis!$E$43=1,[1]Variáveis!$L$43=1),[1]Variáveis!AJ$42,N211)</f>
        <v>0.30499999999999999</v>
      </c>
      <c r="O211" s="72">
        <f t="shared" ref="O211:O220" ca="1" si="26">L211^(3/2)/M211</f>
        <v>5.3528278403221483</v>
      </c>
      <c r="P211" s="1">
        <f ca="1">IF(AND([1]Variáveis!$E$43=1,[1]Variáveis!$L$43=1),[1]Variáveis!AK$42,P211)</f>
        <v>0.65</v>
      </c>
      <c r="Q211" s="1">
        <f ca="1">IF(AND([1]Variáveis!$E$43=1,[1]Variáveis!$L$43=1),[1]Variáveis!AL$42,Q211)</f>
        <v>10.683821635968679</v>
      </c>
      <c r="R211" s="1"/>
    </row>
    <row r="212" spans="2:39">
      <c r="D212" s="1">
        <f ca="1">IF(AND([1]Variáveis!$E$43=2,[1]Variáveis!$L$43=1),[1]Variáveis!Z$42,D212)</f>
        <v>0.29210526315789481</v>
      </c>
      <c r="E212" s="1">
        <f ca="1">IF(AND([1]Variáveis!$E$43=2,[1]Variáveis!$L$43=1),[1]Variáveis!AA$42,E212)</f>
        <v>2.1111111111111112</v>
      </c>
      <c r="F212" s="1">
        <f ca="1">IF(AND([1]Variáveis!$E$43=2,[1]Variáveis!$L$43=1),[1]Variáveis!AB$42,F212)</f>
        <v>73.108349321909856</v>
      </c>
      <c r="G212" s="1">
        <f ca="1">IF(AND([1]Variáveis!$E$43=2,[1]Variáveis!$L$43=1),[1]Variáveis!AC$42,G212)</f>
        <v>52.783184195989953</v>
      </c>
      <c r="H212" s="1">
        <f ca="1">IF(AND([1]Variáveis!$E$43=2,[1]Variáveis!$L$43=1),[1]Variáveis!AD$42,H212)</f>
        <v>52.783184195989961</v>
      </c>
      <c r="I212" s="1">
        <f ca="1">IF(AND([1]Variáveis!$E$43=2,[1]Variáveis!$L$43=1),[1]Variáveis!AE$42,I212)</f>
        <v>3.5234796577228411</v>
      </c>
      <c r="J212" s="1">
        <f ca="1">IF(AND([1]Variáveis!$E$43=2,[1]Variáveis!$L$43=1),[1]Variáveis!AF$42,J212)</f>
        <v>14.980414057535029</v>
      </c>
      <c r="K212" s="1">
        <f ca="1">IF(AND([1]Variáveis!$E$43=2,[1]Variáveis!$L$43=1),[1]Variáveis!AG$42,K212)</f>
        <v>15.041262088454628</v>
      </c>
      <c r="L212" s="1">
        <f ca="1">IF(AND([1]Variáveis!$E$43=2,[1]Variáveis!$L$43=1),[1]Variáveis!AH$42,L212)</f>
        <v>52.997580995147658</v>
      </c>
      <c r="M212" s="1">
        <f ca="1">IF(AND([1]Variáveis!$E$43=2,[1]Variáveis!$L$43=1),[1]Variáveis!AI$42,M212)</f>
        <v>73.108349321909856</v>
      </c>
      <c r="N212" s="1">
        <f ca="1">IF(AND([1]Variáveis!$E$43=2,[1]Variáveis!$L$43=1),[1]Variáveis!AJ$42,N212)</f>
        <v>0.30499999999999999</v>
      </c>
      <c r="O212" s="72">
        <f t="shared" ca="1" si="26"/>
        <v>5.2773645155456723</v>
      </c>
      <c r="P212" s="1">
        <f ca="1">IF(AND([1]Variáveis!$E$43=2,[1]Variáveis!$L$43=1),[1]Variáveis!AK$42,P212)</f>
        <v>0.65</v>
      </c>
      <c r="Q212" s="1">
        <f ca="1">IF(AND([1]Variáveis!$E$43=2,[1]Variáveis!$L$43=1),[1]Variáveis!AL$42,Q212)</f>
        <v>10.53135692961634</v>
      </c>
      <c r="R212" s="1"/>
    </row>
    <row r="213" spans="2:39">
      <c r="D213" s="1">
        <f ca="1">IF(AND([1]Variáveis!$E$43=3,[1]Variáveis!$L$43=1),[1]Variáveis!Z$42,D213)</f>
        <v>0.25263157894736837</v>
      </c>
      <c r="E213" s="1">
        <f ca="1">IF(AND([1]Variáveis!$E$43=3,[1]Variáveis!$L$43=1),[1]Variáveis!AA$42,E213)</f>
        <v>2.2222222222222223</v>
      </c>
      <c r="F213" s="1">
        <f ca="1">IF(AND([1]Variáveis!$E$43=3,[1]Variáveis!$L$43=1),[1]Variáveis!AB$42,F213)</f>
        <v>61.812133314457931</v>
      </c>
      <c r="G213" s="1">
        <f ca="1">IF(AND([1]Variáveis!$E$43=3,[1]Variáveis!$L$43=1),[1]Variáveis!AC$42,G213)</f>
        <v>47.74835104265005</v>
      </c>
      <c r="H213" s="1">
        <f ca="1">IF(AND([1]Variáveis!$E$43=3,[1]Variáveis!$L$43=1),[1]Variáveis!AD$42,H213)</f>
        <v>47.74835104265005</v>
      </c>
      <c r="I213" s="1">
        <f ca="1">IF(AND([1]Variáveis!$E$43=3,[1]Variáveis!$L$43=1),[1]Variáveis!AE$42,I213)</f>
        <v>3.0163642945945788</v>
      </c>
      <c r="J213" s="1">
        <f ca="1">IF(AND([1]Variáveis!$E$43=3,[1]Variáveis!$L$43=1),[1]Variáveis!AF$42,J213)</f>
        <v>15.829769344577054</v>
      </c>
      <c r="K213" s="1">
        <f ca="1">IF(AND([1]Variáveis!$E$43=3,[1]Variáveis!$L$43=1),[1]Variáveis!AG$42,K213)</f>
        <v>14.992342535286813</v>
      </c>
      <c r="L213" s="1">
        <f ca="1">IF(AND([1]Variáveis!$E$43=3,[1]Variáveis!$L$43=1),[1]Variáveis!AH$42,L213)</f>
        <v>45.222366715770704</v>
      </c>
      <c r="M213" s="1">
        <f ca="1">IF(AND([1]Variáveis!$E$43=3,[1]Variáveis!$L$43=1),[1]Variáveis!AI$42,M213)</f>
        <v>61.812133314457931</v>
      </c>
      <c r="N213" s="1">
        <f ca="1">IF(AND([1]Variáveis!$E$43=3,[1]Variáveis!$L$43=1),[1]Variáveis!AJ$42,N213)</f>
        <v>0.30499999999999999</v>
      </c>
      <c r="O213" s="72">
        <f t="shared" ca="1" si="26"/>
        <v>4.9198991276961133</v>
      </c>
      <c r="P213" s="1">
        <f ca="1">IF(AND([1]Variáveis!$E$43=3,[1]Variáveis!$L$43=1),[1]Variáveis!AK$42,P213)</f>
        <v>0.65</v>
      </c>
      <c r="Q213" s="1">
        <f ca="1">IF(AND([1]Variáveis!$E$43=3,[1]Variáveis!$L$43=1),[1]Variáveis!AL$42,Q213)</f>
        <v>10.497923502662442</v>
      </c>
      <c r="R213" s="1"/>
    </row>
    <row r="214" spans="2:39">
      <c r="D214" s="1">
        <f ca="1">IF(AND([1]Variáveis!$E$43=4,[1]Variáveis!$L$43=1),[1]Variáveis!Z$42,D214)</f>
        <v>0.23684210526315785</v>
      </c>
      <c r="E214" s="1">
        <f ca="1">IF(AND([1]Variáveis!$E$43=4,[1]Variáveis!$L$43=1),[1]Variáveis!AA$42,E214)</f>
        <v>2.3333333333333335</v>
      </c>
      <c r="F214" s="1">
        <f ca="1">IF(AND([1]Variáveis!$E$43=4,[1]Variáveis!$L$43=1),[1]Variáveis!AB$42,F214)</f>
        <v>58.295816851970471</v>
      </c>
      <c r="G214" s="1">
        <f ca="1">IF(AND([1]Variáveis!$E$43=4,[1]Variáveis!$L$43=1),[1]Variáveis!AC$42,G214)</f>
        <v>46.831797392795394</v>
      </c>
      <c r="H214" s="1">
        <f ca="1">IF(AND([1]Variáveis!$E$43=4,[1]Variáveis!$L$43=1),[1]Variáveis!AD$42,H214)</f>
        <v>46.831797392795387</v>
      </c>
      <c r="I214" s="1">
        <f ca="1">IF(AND([1]Variáveis!$E$43=4,[1]Variáveis!$L$43=1),[1]Variáveis!AE$42,I214)</f>
        <v>2.8577389899261165</v>
      </c>
      <c r="J214" s="1">
        <f ca="1">IF(AND([1]Variáveis!$E$43=4,[1]Variáveis!$L$43=1),[1]Variáveis!AF$42,J214)</f>
        <v>16.387709849599023</v>
      </c>
      <c r="K214" s="1">
        <f ca="1">IF(AND([1]Variáveis!$E$43=4,[1]Variáveis!$L$43=1),[1]Variáveis!AG$42,K214)</f>
        <v>14.964632349778416</v>
      </c>
      <c r="L214" s="1">
        <f ca="1">IF(AND([1]Variáveis!$E$43=4,[1]Variáveis!$L$43=1),[1]Variáveis!AH$42,L214)</f>
        <v>42.765013335871458</v>
      </c>
      <c r="M214" s="1">
        <f ca="1">IF(AND([1]Variáveis!$E$43=4,[1]Variáveis!$L$43=1),[1]Variáveis!AI$42,M214)</f>
        <v>58.295816851970471</v>
      </c>
      <c r="N214" s="1">
        <f ca="1">IF(AND([1]Variáveis!$E$43=4,[1]Variáveis!$L$43=1),[1]Variáveis!AJ$42,N214)</f>
        <v>0.30499999999999999</v>
      </c>
      <c r="O214" s="72">
        <f t="shared" ca="1" si="26"/>
        <v>4.797285061168723</v>
      </c>
      <c r="P214" s="1">
        <f ca="1">IF(AND([1]Variáveis!$E$43=4,[1]Variáveis!$L$43=1),[1]Variáveis!AK$42,P214)</f>
        <v>0.65</v>
      </c>
      <c r="Q214" s="1">
        <f ca="1">IF(AND([1]Variáveis!$E$43=4,[1]Variáveis!$L$43=1),[1]Variáveis!AL$42,Q214)</f>
        <v>10.478867286320245</v>
      </c>
      <c r="R214" s="1"/>
    </row>
    <row r="215" spans="2:39">
      <c r="D215" s="1">
        <f ca="1">IF(AND([1]Variáveis!$E$43=5,[1]Variáveis!$L$43=1),[1]Variáveis!Z$42,D215)</f>
        <v>0.22105263157894733</v>
      </c>
      <c r="E215" s="1">
        <f ca="1">IF(AND([1]Variáveis!$E$43=5,[1]Variáveis!$L$43=1),[1]Variáveis!AA$42,E215)</f>
        <v>2.4444444444444446</v>
      </c>
      <c r="F215" s="1">
        <f ca="1">IF(AND([1]Variáveis!$E$43=5,[1]Variáveis!$L$43=1),[1]Variáveis!AB$42,F215)</f>
        <v>55.611295440776935</v>
      </c>
      <c r="G215" s="1">
        <f ca="1">IF(AND([1]Variáveis!$E$43=5,[1]Variáveis!$L$43=1),[1]Variáveis!AC$42,G215)</f>
        <v>45.997086922676715</v>
      </c>
      <c r="H215" s="1">
        <f ca="1">IF(AND([1]Variáveis!$E$43=5,[1]Variáveis!$L$43=1),[1]Variáveis!AD$42,H215)</f>
        <v>45.997086922676715</v>
      </c>
      <c r="I215" s="1">
        <f ca="1">IF(AND([1]Variáveis!$E$43=5,[1]Variáveis!$L$43=1),[1]Variáveis!AE$42,I215)</f>
        <v>2.7272071677030159</v>
      </c>
      <c r="J215" s="1">
        <f ca="1">IF(AND([1]Variáveis!$E$43=5,[1]Variáveis!$L$43=1),[1]Variáveis!AF$42,J215)</f>
        <v>16.866003971901282</v>
      </c>
      <c r="K215" s="1">
        <f ca="1">IF(AND([1]Variáveis!$E$43=5,[1]Variáveis!$L$43=1),[1]Variáveis!AG$42,K215)</f>
        <v>14.997849229245631</v>
      </c>
      <c r="L215" s="1">
        <f ca="1">IF(AND([1]Variáveis!$E$43=5,[1]Variáveis!$L$43=1),[1]Variáveis!AH$42,L215)</f>
        <v>40.902241918127835</v>
      </c>
      <c r="M215" s="1">
        <f ca="1">IF(AND([1]Variáveis!$E$43=5,[1]Variáveis!$L$43=1),[1]Variáveis!AI$42,M215)</f>
        <v>55.611295440776935</v>
      </c>
      <c r="N215" s="1">
        <f ca="1">IF(AND([1]Variáveis!$E$43=5,[1]Variáveis!$L$43=1),[1]Variáveis!AJ$42,N215)</f>
        <v>0.30499999999999999</v>
      </c>
      <c r="O215" s="72">
        <f t="shared" ca="1" si="26"/>
        <v>4.7038954200785765</v>
      </c>
      <c r="P215" s="1">
        <f ca="1">IF(AND([1]Variáveis!$E$43=5,[1]Variáveis!$L$43=1),[1]Variáveis!AK$42,P215)</f>
        <v>0.65</v>
      </c>
      <c r="Q215" s="1">
        <f ca="1">IF(AND([1]Variáveis!$E$43=5,[1]Variáveis!$L$43=1),[1]Variáveis!AL$42,Q215)</f>
        <v>10.502410992376557</v>
      </c>
      <c r="R215" s="1"/>
    </row>
    <row r="216" spans="2:39">
      <c r="D216" s="1">
        <f ca="1">IF(AND([1]Variáveis!$E$43=6,[1]Variáveis!$L$43=1),[1]Variáveis!Z$42,D216)</f>
        <v>0.21315789473684207</v>
      </c>
      <c r="E216" s="1">
        <f ca="1">IF(AND([1]Variáveis!$E$43=6,[1]Variáveis!$L$43=1),[1]Variáveis!AA$42,E216)</f>
        <v>2.5555555555555558</v>
      </c>
      <c r="F216" s="1">
        <f ca="1">IF(AND([1]Variáveis!$E$43=6,[1]Variáveis!$L$43=1),[1]Variáveis!AB$42,F216)</f>
        <v>54.336917026825311</v>
      </c>
      <c r="G216" s="1">
        <f ca="1">IF(AND([1]Variáveis!$E$43=6,[1]Variáveis!$L$43=1),[1]Variáveis!AC$42,G216)</f>
        <v>46.198814299955345</v>
      </c>
      <c r="H216" s="1">
        <f ca="1">IF(AND([1]Variáveis!$E$43=6,[1]Variáveis!$L$43=1),[1]Variáveis!AD$42,H216)</f>
        <v>46.198814299955338</v>
      </c>
      <c r="I216" s="1">
        <f ca="1">IF(AND([1]Variáveis!$E$43=6,[1]Variáveis!$L$43=1),[1]Variáveis!AE$42,I216)</f>
        <v>2.6715631350485132</v>
      </c>
      <c r="J216" s="1">
        <f ca="1">IF(AND([1]Variáveis!$E$43=6,[1]Variáveis!$L$43=1),[1]Variáveis!AF$42,J216)</f>
        <v>17.292802739290835</v>
      </c>
      <c r="K216" s="1">
        <f ca="1">IF(AND([1]Variáveis!$E$43=6,[1]Variáveis!$L$43=1),[1]Variáveis!AG$42,K216)</f>
        <v>14.96983479240455</v>
      </c>
      <c r="L216" s="1">
        <f ca="1">IF(AND([1]Variáveis!$E$43=6,[1]Variáveis!$L$43=1),[1]Variáveis!AH$42,L216)</f>
        <v>39.992858769154608</v>
      </c>
      <c r="M216" s="1">
        <f ca="1">IF(AND([1]Variáveis!$E$43=6,[1]Variáveis!$L$43=1),[1]Variáveis!AI$42,M216)</f>
        <v>54.336917026825311</v>
      </c>
      <c r="N216" s="1">
        <f ca="1">IF(AND([1]Variáveis!$E$43=6,[1]Variáveis!$L$43=1),[1]Variáveis!AJ$42,N216)</f>
        <v>0.30499999999999999</v>
      </c>
      <c r="O216" s="72">
        <f t="shared" ca="1" si="26"/>
        <v>4.654560508984261</v>
      </c>
      <c r="P216" s="1">
        <f ca="1">IF(AND([1]Variáveis!$E$43=6,[1]Variáveis!$L$43=1),[1]Variáveis!AK$42,P216)</f>
        <v>0.65</v>
      </c>
      <c r="Q216" s="1">
        <f ca="1">IF(AND([1]Variáveis!$E$43=6,[1]Variáveis!$L$43=1),[1]Variáveis!AL$42,Q216)</f>
        <v>10.482957289473127</v>
      </c>
      <c r="R216" s="1"/>
    </row>
    <row r="217" spans="2:39">
      <c r="D217" s="1">
        <f ca="1">IF(AND([1]Variáveis!$E$43=7,[1]Variáveis!$L$43=1),[1]Variáveis!Z$42,D217)</f>
        <v>0.20526315789473681</v>
      </c>
      <c r="E217" s="1">
        <f ca="1">IF(AND([1]Variáveis!$E$43=7,[1]Variáveis!$L$43=1),[1]Variáveis!AA$42,E217)</f>
        <v>2.666666666666667</v>
      </c>
      <c r="F217" s="1">
        <f ca="1">IF(AND([1]Variáveis!$E$43=7,[1]Variáveis!$L$43=1),[1]Variáveis!AB$42,F217)</f>
        <v>53.337517865067021</v>
      </c>
      <c r="G217" s="1">
        <f ca="1">IF(AND([1]Variáveis!$E$43=7,[1]Variáveis!$L$43=1),[1]Variáveis!AC$42,G217)</f>
        <v>46.401169262385892</v>
      </c>
      <c r="H217" s="1">
        <f ca="1">IF(AND([1]Variáveis!$E$43=7,[1]Variáveis!$L$43=1),[1]Variáveis!AD$42,H217)</f>
        <v>46.401169262385885</v>
      </c>
      <c r="I217" s="1">
        <f ca="1">IF(AND([1]Variáveis!$E$43=7,[1]Variáveis!$L$43=1),[1]Variáveis!AE$42,I217)</f>
        <v>2.6248859904588975</v>
      </c>
      <c r="J217" s="1">
        <f ca="1">IF(AND([1]Variáveis!$E$43=7,[1]Variáveis!$L$43=1),[1]Variáveis!AF$42,J217)</f>
        <v>17.677403678120804</v>
      </c>
      <c r="K217" s="1">
        <f ca="1">IF(AND([1]Variáveis!$E$43=7,[1]Variáveis!$L$43=1),[1]Variáveis!AG$42,K217)</f>
        <v>14.966277479327641</v>
      </c>
      <c r="L217" s="1">
        <f ca="1">IF(AND([1]Variáveis!$E$43=7,[1]Variáveis!$L$43=1),[1]Variáveis!AH$42,L217)</f>
        <v>39.284772084807628</v>
      </c>
      <c r="M217" s="1">
        <f ca="1">IF(AND([1]Variáveis!$E$43=7,[1]Variáveis!$L$43=1),[1]Variáveis!AI$42,M217)</f>
        <v>53.337517865067021</v>
      </c>
      <c r="N217" s="1">
        <f ca="1">IF(AND([1]Variáveis!$E$43=7,[1]Variáveis!$L$43=1),[1]Variáveis!AJ$42,N217)</f>
        <v>0.30499999999999999</v>
      </c>
      <c r="O217" s="72">
        <f t="shared" ca="1" si="26"/>
        <v>4.6164013088407962</v>
      </c>
      <c r="P217" s="1">
        <f ca="1">IF(AND([1]Variáveis!$E$43=7,[1]Variáveis!$L$43=1),[1]Variáveis!AK$42,P217)</f>
        <v>0.65</v>
      </c>
      <c r="Q217" s="1">
        <f ca="1">IF(AND([1]Variáveis!$E$43=7,[1]Variáveis!$L$43=1),[1]Variáveis!AL$42,Q217)</f>
        <v>10.48060538132806</v>
      </c>
      <c r="R217" s="1"/>
    </row>
    <row r="218" spans="2:39">
      <c r="D218" s="1">
        <f ca="1">IF(AND([1]Variáveis!$E$43=8,[1]Variáveis!$L$43=1),[1]Variáveis!Z$42,D218)</f>
        <v>0.19736842105263155</v>
      </c>
      <c r="E218" s="1">
        <f ca="1">IF(AND([1]Variáveis!$E$43=8,[1]Variáveis!$L$43=1),[1]Variáveis!AA$42,E218)</f>
        <v>2.7777777777777781</v>
      </c>
      <c r="F218" s="1">
        <f ca="1">IF(AND([1]Variáveis!$E$43=8,[1]Variáveis!$L$43=1),[1]Variáveis!AB$42,F218)</f>
        <v>52.579106454717142</v>
      </c>
      <c r="G218" s="1">
        <f ca="1">IF(AND([1]Variáveis!$E$43=8,[1]Variáveis!$L$43=1),[1]Variáveis!AC$42,G218)</f>
        <v>46.595082105882923</v>
      </c>
      <c r="H218" s="1">
        <f ca="1">IF(AND([1]Variáveis!$E$43=8,[1]Variáveis!$L$43=1),[1]Variáveis!AD$42,H218)</f>
        <v>46.595082105882923</v>
      </c>
      <c r="I218" s="1">
        <f ca="1">IF(AND([1]Variáveis!$E$43=8,[1]Variáveis!$L$43=1),[1]Variáveis!AE$42,I218)</f>
        <v>2.5860792007471516</v>
      </c>
      <c r="J218" s="1">
        <f ca="1">IF(AND([1]Variáveis!$E$43=8,[1]Variáveis!$L$43=1),[1]Variáveis!AF$42,J218)</f>
        <v>18.01765471545535</v>
      </c>
      <c r="K218" s="1">
        <f ca="1">IF(AND([1]Variáveis!$E$43=8,[1]Variáveis!$L$43=1),[1]Variáveis!AG$42,K218)</f>
        <v>14.985344526386626</v>
      </c>
      <c r="L218" s="1">
        <f ca="1">IF(AND([1]Variáveis!$E$43=8,[1]Variáveis!$L$43=1),[1]Variáveis!AH$42,L218)</f>
        <v>38.753287795718627</v>
      </c>
      <c r="M218" s="1">
        <f ca="1">IF(AND([1]Variáveis!$E$43=8,[1]Variáveis!$L$43=1),[1]Variáveis!AI$42,M218)</f>
        <v>52.579106454717142</v>
      </c>
      <c r="N218" s="1">
        <f ca="1">IF(AND([1]Variáveis!$E$43=8,[1]Variáveis!$L$43=1),[1]Variáveis!AJ$42,N218)</f>
        <v>0.30499999999999999</v>
      </c>
      <c r="O218" s="72">
        <f t="shared" ca="1" si="26"/>
        <v>4.5882770015295993</v>
      </c>
      <c r="P218" s="1">
        <f ca="1">IF(AND([1]Variáveis!$E$43=8,[1]Variáveis!$L$43=1),[1]Variáveis!AK$42,P218)</f>
        <v>0.65</v>
      </c>
      <c r="Q218" s="1">
        <f ca="1">IF(AND([1]Variáveis!$E$43=8,[1]Variáveis!$L$43=1),[1]Variáveis!AL$42,Q218)</f>
        <v>10.494076691270317</v>
      </c>
      <c r="R218" s="1"/>
    </row>
    <row r="219" spans="2:39">
      <c r="D219" s="1">
        <f ca="1">IF(AND([1]Variáveis!$E$43=9,[1]Variáveis!$L$43=1),[1]Variáveis!Z$42,D219)</f>
        <v>0.18947368421052629</v>
      </c>
      <c r="E219" s="1">
        <f ca="1">IF(AND([1]Variáveis!$E$43=9,[1]Variáveis!$L$43=1),[1]Variáveis!AA$42,E219)</f>
        <v>2.8888888888888893</v>
      </c>
      <c r="F219" s="1">
        <f ca="1">IF(AND([1]Variáveis!$E$43=9,[1]Variáveis!$L$43=1),[1]Variáveis!AB$42,F219)</f>
        <v>52.038860817562281</v>
      </c>
      <c r="G219" s="1">
        <f ca="1">IF(AND([1]Variáveis!$E$43=9,[1]Variáveis!$L$43=1),[1]Variáveis!AC$42,G219)</f>
        <v>46.773909369556115</v>
      </c>
      <c r="H219" s="1">
        <f ca="1">IF(AND([1]Variáveis!$E$43=9,[1]Variáveis!$L$43=1),[1]Variáveis!AD$42,H219)</f>
        <v>46.773909369556122</v>
      </c>
      <c r="I219" s="1">
        <f ca="1">IF(AND([1]Variáveis!$E$43=9,[1]Variáveis!$L$43=1),[1]Variáveis!AE$42,I219)</f>
        <v>2.5543735989879512</v>
      </c>
      <c r="J219" s="1">
        <f ca="1">IF(AND([1]Variáveis!$E$43=9,[1]Variáveis!$L$43=1),[1]Variáveis!AF$42,J219)</f>
        <v>18.311303165710786</v>
      </c>
      <c r="K219" s="1">
        <f ca="1">IF(AND([1]Variáveis!$E$43=9,[1]Variáveis!$L$43=1),[1]Variáveis!AG$42,K219)</f>
        <v>15.02595271924211</v>
      </c>
      <c r="L219" s="1">
        <f ca="1">IF(AND([1]Variáveis!$E$43=9,[1]Variáveis!$L$43=1),[1]Variáveis!AH$42,L219)</f>
        <v>38.38189692567326</v>
      </c>
      <c r="M219" s="1">
        <f ca="1">IF(AND([1]Variáveis!$E$43=9,[1]Variáveis!$L$43=1),[1]Variáveis!AI$42,M219)</f>
        <v>52.038860817562281</v>
      </c>
      <c r="N219" s="1">
        <f ca="1">IF(AND([1]Variáveis!$E$43=9,[1]Variáveis!$L$43=1),[1]Variáveis!AJ$42,N219)</f>
        <v>0.30499999999999999</v>
      </c>
      <c r="O219" s="72">
        <f t="shared" ca="1" si="26"/>
        <v>4.5694283448178101</v>
      </c>
      <c r="P219" s="1">
        <f ca="1">IF(AND([1]Variáveis!$E$43=9,[1]Variáveis!$L$43=1),[1]Variáveis!AK$42,P219)</f>
        <v>0.65</v>
      </c>
      <c r="Q219" s="1">
        <f ca="1">IF(AND([1]Variáveis!$E$43=9,[1]Variáveis!$L$43=1),[1]Variáveis!AL$42,Q219)</f>
        <v>10.522616478091582</v>
      </c>
      <c r="R219" s="1"/>
    </row>
    <row r="220" spans="2:39">
      <c r="D220" s="1">
        <f ca="1">IF(AND([1]Variáveis!$E$43=10,[1]Variáveis!$L$43=1),[1]Variáveis!Z$42,D220)</f>
        <v>0.18947368421052629</v>
      </c>
      <c r="E220" s="1">
        <f ca="1">IF(AND([1]Variáveis!$E$43=10,[1]Variáveis!$L$43=1),[1]Variáveis!AA$42,E220)</f>
        <v>3</v>
      </c>
      <c r="F220" s="1">
        <f ca="1">IF(AND([1]Variáveis!$E$43=10,[1]Variáveis!$L$43=1),[1]Variáveis!AB$42,F220)</f>
        <v>52.133128869047965</v>
      </c>
      <c r="G220" s="1">
        <f ca="1">IF(AND([1]Variáveis!$E$43=10,[1]Variáveis!$L$43=1),[1]Variáveis!AC$42,G220)</f>
        <v>48.028389869440218</v>
      </c>
      <c r="H220" s="1">
        <f ca="1">IF(AND([1]Variáveis!$E$43=10,[1]Variáveis!$L$43=1),[1]Variáveis!AD$42,H220)</f>
        <v>48.028389869440204</v>
      </c>
      <c r="I220" s="1">
        <f ca="1">IF(AND([1]Variáveis!$E$43=10,[1]Variáveis!$L$43=1),[1]Variáveis!AE$42,I220)</f>
        <v>2.5707603073017595</v>
      </c>
      <c r="J220" s="1">
        <f ca="1">IF(AND([1]Variáveis!$E$43=10,[1]Variáveis!$L$43=1),[1]Variáveis!AF$42,J220)</f>
        <v>18.682562404991483</v>
      </c>
      <c r="K220" s="1">
        <f ca="1">IF(AND([1]Variáveis!$E$43=10,[1]Variáveis!$L$43=1),[1]Variáveis!AG$42,K220)</f>
        <v>14.94143163460426</v>
      </c>
      <c r="L220" s="1">
        <f ca="1">IF(AND([1]Variáveis!$E$43=10,[1]Variáveis!$L$43=1),[1]Variáveis!AH$42,L220)</f>
        <v>38.410839380503482</v>
      </c>
      <c r="M220" s="1">
        <f ca="1">IF(AND([1]Variáveis!$E$43=10,[1]Variáveis!$L$43=1),[1]Variáveis!AI$42,M220)</f>
        <v>52.133128869047965</v>
      </c>
      <c r="N220" s="1">
        <f ca="1">IF(AND([1]Variáveis!$E$43=10,[1]Variáveis!$L$43=1),[1]Variáveis!AJ$42,N220)</f>
        <v>0.30499999999999999</v>
      </c>
      <c r="O220" s="72">
        <f t="shared" ca="1" si="26"/>
        <v>4.5663259206082936</v>
      </c>
      <c r="P220" s="1">
        <f ca="1">IF(AND([1]Variáveis!$E$43=10,[1]Variáveis!$L$43=1),[1]Variáveis!AK$42,P220)</f>
        <v>0.65</v>
      </c>
      <c r="Q220" s="1">
        <f ca="1">IF(AND([1]Variáveis!$E$43=10,[1]Variáveis!$L$43=1),[1]Variáveis!AL$42,Q220)</f>
        <v>10.463469493721</v>
      </c>
      <c r="R220" s="1"/>
    </row>
    <row r="221" spans="2:39">
      <c r="B221" s="58" t="s">
        <v>603</v>
      </c>
      <c r="C221" s="58"/>
      <c r="D221" s="58" t="s">
        <v>610</v>
      </c>
      <c r="E221" s="72"/>
      <c r="F221" s="72"/>
      <c r="G221" s="1"/>
      <c r="H221" s="58" t="s">
        <v>605</v>
      </c>
      <c r="I221" s="58">
        <f>I210</f>
        <v>10</v>
      </c>
      <c r="J221" s="58" t="s">
        <v>606</v>
      </c>
      <c r="K221" s="58">
        <v>1</v>
      </c>
      <c r="L221" s="72"/>
      <c r="M221" s="72"/>
      <c r="N221" s="58"/>
      <c r="O221" s="72"/>
      <c r="P221" s="58"/>
    </row>
    <row r="222" spans="2:39">
      <c r="C222" s="58"/>
      <c r="D222" s="1">
        <f ca="1">IF(AND([1]Variáveis!$E$43=1,[1]Variáveis!$L$43=1),[1]Variáveis!Z$43,D222)</f>
        <v>0.29210526315789481</v>
      </c>
      <c r="E222" s="1">
        <f ca="1">IF(AND([1]Variáveis!$E$43=1,[1]Variáveis!$L$43=1),[1]Variáveis!AA$43,E222)</f>
        <v>2</v>
      </c>
      <c r="F222" s="1">
        <f ca="1">IF(AND([1]Variáveis!$E$43=1,[1]Variáveis!$L$43=1),[1]Variáveis!AB$43,F222)</f>
        <v>74.900702884866675</v>
      </c>
      <c r="G222" s="1">
        <f ca="1">IF(AND([1]Variáveis!$E$43=1,[1]Variáveis!$L$43=1),[1]Variáveis!AC$43,G222)</f>
        <v>51.46347211476445</v>
      </c>
      <c r="H222" s="1">
        <f ca="1">IF(AND([1]Variáveis!$E$43=1,[1]Variáveis!$L$43=1),[1]Variáveis!AD$43,H222)</f>
        <v>51.463472114764464</v>
      </c>
      <c r="I222" s="1">
        <f ca="1">IF(AND([1]Variáveis!$E$43=1,[1]Variáveis!$L$43=1),[1]Variáveis!AE$43,I222)</f>
        <v>3.5632068843550018</v>
      </c>
      <c r="J222" s="1">
        <f ca="1">IF(AND([1]Variáveis!$E$43=1,[1]Variáveis!$L$43=1),[1]Variáveis!AF$43,J222)</f>
        <v>14.443021072036402</v>
      </c>
      <c r="K222" s="1">
        <f ca="1">IF(AND([1]Variáveis!$E$43=1,[1]Variáveis!$L$43=1),[1]Variáveis!AG$43,K222)</f>
        <v>15.259433367753834</v>
      </c>
      <c r="L222" s="1">
        <f ca="1">IF(AND([1]Variáveis!$E$43=1,[1]Variáveis!$L$43=1),[1]Variáveis!AH$43,L222)</f>
        <v>54.372518027336888</v>
      </c>
      <c r="M222" s="1">
        <f ca="1">IF(AND([1]Variáveis!$E$43=1,[1]Variáveis!$L$43=1),[1]Variáveis!AI$43,M222)</f>
        <v>74.900702884866675</v>
      </c>
      <c r="N222" s="1">
        <f ca="1">IF(AND([1]Variáveis!$E$43=1,[1]Variáveis!$L$43=1),[1]Variáveis!AJ$43,N222)</f>
        <v>0.30499999999999999</v>
      </c>
      <c r="O222" s="72">
        <f t="shared" ref="O222:O231" ca="1" si="27">L222^(3/2)/M222</f>
        <v>5.3528278403221483</v>
      </c>
      <c r="P222" s="1">
        <f ca="1">IF(AND([1]Variáveis!$E$43=1,[1]Variáveis!$L$43=1),[1]Variáveis!AK$43,P222)</f>
        <v>0.65</v>
      </c>
      <c r="Q222" s="1">
        <f ca="1">IF(AND([1]Variáveis!$E$43=1,[1]Variáveis!$L$43=1),[1]Variáveis!AL$43,Q222)</f>
        <v>10.683821635968679</v>
      </c>
      <c r="R222" s="1"/>
    </row>
    <row r="223" spans="2:39">
      <c r="D223" s="1">
        <f ca="1">IF(AND([1]Variáveis!$E$43=2,[1]Variáveis!$L$43=1),[1]Variáveis!Z$43,D223)</f>
        <v>0.29210526315789481</v>
      </c>
      <c r="E223" s="1">
        <f ca="1">IF(AND([1]Variáveis!$E$43=2,[1]Variáveis!$L$43=1),[1]Variáveis!AA$43,E223)</f>
        <v>2.1111111111111112</v>
      </c>
      <c r="F223" s="1">
        <f ca="1">IF(AND([1]Variáveis!$E$43=2,[1]Variáveis!$L$43=1),[1]Variáveis!AB$43,F223)</f>
        <v>73.108349321909856</v>
      </c>
      <c r="G223" s="1">
        <f ca="1">IF(AND([1]Variáveis!$E$43=2,[1]Variáveis!$L$43=1),[1]Variáveis!AC$43,G223)</f>
        <v>52.783184195989953</v>
      </c>
      <c r="H223" s="1">
        <f ca="1">IF(AND([1]Variáveis!$E$43=2,[1]Variáveis!$L$43=1),[1]Variáveis!AD$43,H223)</f>
        <v>52.783184195989961</v>
      </c>
      <c r="I223" s="1">
        <f ca="1">IF(AND([1]Variáveis!$E$43=2,[1]Variáveis!$L$43=1),[1]Variáveis!AE$43,I223)</f>
        <v>3.5234796577228411</v>
      </c>
      <c r="J223" s="1">
        <f ca="1">IF(AND([1]Variáveis!$E$43=2,[1]Variáveis!$L$43=1),[1]Variáveis!AF$43,J223)</f>
        <v>14.980414057535029</v>
      </c>
      <c r="K223" s="1">
        <f ca="1">IF(AND([1]Variáveis!$E$43=2,[1]Variáveis!$L$43=1),[1]Variáveis!AG$43,K223)</f>
        <v>15.041262088454628</v>
      </c>
      <c r="L223" s="1">
        <f ca="1">IF(AND([1]Variáveis!$E$43=2,[1]Variáveis!$L$43=1),[1]Variáveis!AH$43,L223)</f>
        <v>52.997580995147658</v>
      </c>
      <c r="M223" s="1">
        <f ca="1">IF(AND([1]Variáveis!$E$43=2,[1]Variáveis!$L$43=1),[1]Variáveis!AI$43,M223)</f>
        <v>73.108349321909856</v>
      </c>
      <c r="N223" s="1">
        <f ca="1">IF(AND([1]Variáveis!$E$43=2,[1]Variáveis!$L$43=1),[1]Variáveis!AJ$43,N223)</f>
        <v>0.30499999999999999</v>
      </c>
      <c r="O223" s="72">
        <f t="shared" ca="1" si="27"/>
        <v>5.2773645155456723</v>
      </c>
      <c r="P223" s="1">
        <f ca="1">IF(AND([1]Variáveis!$E$43=2,[1]Variáveis!$L$43=1),[1]Variáveis!AK$43,P223)</f>
        <v>0.65</v>
      </c>
      <c r="Q223" s="1">
        <f ca="1">IF(AND([1]Variáveis!$E$43=2,[1]Variáveis!$L$43=1),[1]Variáveis!AL$43,Q223)</f>
        <v>10.53135692961634</v>
      </c>
      <c r="R223" s="1"/>
    </row>
    <row r="224" spans="2:39">
      <c r="D224" s="1">
        <f ca="1">IF(AND([1]Variáveis!$E$43=3,[1]Variáveis!$L$43=1),[1]Variáveis!Z$43,D224)</f>
        <v>0.28421052631578952</v>
      </c>
      <c r="E224" s="1">
        <f ca="1">IF(AND([1]Variáveis!$E$43=3,[1]Variáveis!$L$43=1),[1]Variáveis!AA$43,E224)</f>
        <v>2.2222222222222223</v>
      </c>
      <c r="F224" s="1">
        <f ca="1">IF(AND([1]Variáveis!$E$43=3,[1]Variáveis!$L$43=1),[1]Variáveis!AB$43,F224)</f>
        <v>69.426416282923384</v>
      </c>
      <c r="G224" s="1">
        <f ca="1">IF(AND([1]Variáveis!$E$43=3,[1]Variáveis!$L$43=1),[1]Variáveis!AC$43,G224)</f>
        <v>52.800591365676176</v>
      </c>
      <c r="H224" s="1">
        <f ca="1">IF(AND([1]Variáveis!$E$43=3,[1]Variáveis!$L$43=1),[1]Variáveis!AD$43,H224)</f>
        <v>52.800591365676162</v>
      </c>
      <c r="I224" s="1">
        <f ca="1">IF(AND([1]Variáveis!$E$43=3,[1]Variáveis!$L$43=1),[1]Variáveis!AE$43,I224)</f>
        <v>3.3886131893780691</v>
      </c>
      <c r="J224" s="1">
        <f ca="1">IF(AND([1]Variáveis!$E$43=3,[1]Variáveis!$L$43=1),[1]Variáveis!AF$43,J224)</f>
        <v>15.581770008800252</v>
      </c>
      <c r="K224" s="1">
        <f ca="1">IF(AND([1]Variáveis!$E$43=3,[1]Variáveis!$L$43=1),[1]Variáveis!AG$43,K224)</f>
        <v>14.864563497745099</v>
      </c>
      <c r="L224" s="1">
        <f ca="1">IF(AND([1]Variáveis!$E$43=3,[1]Variáveis!$L$43=1),[1]Variáveis!AH$43,L224)</f>
        <v>50.370255922806848</v>
      </c>
      <c r="M224" s="1">
        <f ca="1">IF(AND([1]Variáveis!$E$43=3,[1]Variáveis!$L$43=1),[1]Variáveis!AI$43,M224)</f>
        <v>69.426416282923384</v>
      </c>
      <c r="N224" s="1">
        <f ca="1">IF(AND([1]Variáveis!$E$43=3,[1]Variáveis!$L$43=1),[1]Variáveis!AJ$43,N224)</f>
        <v>0.30499999999999999</v>
      </c>
      <c r="O224" s="72">
        <f t="shared" ca="1" si="27"/>
        <v>5.1491612005605845</v>
      </c>
      <c r="P224" s="1">
        <f ca="1">IF(AND([1]Variáveis!$E$43=3,[1]Variáveis!$L$43=1),[1]Variáveis!AK$43,P224)</f>
        <v>0.65</v>
      </c>
      <c r="Q224" s="1">
        <f ca="1">IF(AND([1]Variáveis!$E$43=3,[1]Variáveis!$L$43=1),[1]Variáveis!AL$43,Q224)</f>
        <v>10.408001516433762</v>
      </c>
      <c r="R224" s="1"/>
    </row>
    <row r="225" spans="2:18">
      <c r="D225" s="1">
        <f ca="1">IF(AND([1]Variáveis!$E$43=4,[1]Variáveis!$L$43=1),[1]Variáveis!Z$43,D225)</f>
        <v>0.28421052631578952</v>
      </c>
      <c r="E225" s="1">
        <f ca="1">IF(AND([1]Variáveis!$E$43=4,[1]Variáveis!$L$43=1),[1]Variáveis!AA$43,E225)</f>
        <v>2.3333333333333335</v>
      </c>
      <c r="F225" s="1">
        <f ca="1">IF(AND([1]Variáveis!$E$43=4,[1]Variáveis!$L$43=1),[1]Variáveis!AB$43,F225)</f>
        <v>68.728502111860209</v>
      </c>
      <c r="G225" s="1">
        <f ca="1">IF(AND([1]Variáveis!$E$43=4,[1]Variáveis!$L$43=1),[1]Variáveis!AC$43,G225)</f>
        <v>54.395439620748689</v>
      </c>
      <c r="H225" s="1">
        <f ca="1">IF(AND([1]Variáveis!$E$43=4,[1]Variáveis!$L$43=1),[1]Variáveis!AD$43,H225)</f>
        <v>54.395439620748689</v>
      </c>
      <c r="I225" s="1">
        <f ca="1">IF(AND([1]Variáveis!$E$43=4,[1]Variáveis!$L$43=1),[1]Variáveis!AE$43,I225)</f>
        <v>3.3821946831572962</v>
      </c>
      <c r="J225" s="1">
        <f ca="1">IF(AND([1]Variáveis!$E$43=4,[1]Variáveis!$L$43=1),[1]Variáveis!AF$43,J225)</f>
        <v>16.082882482084166</v>
      </c>
      <c r="K225" s="1">
        <f ca="1">IF(AND([1]Variáveis!$E$43=4,[1]Variáveis!$L$43=1),[1]Variáveis!AG$43,K225)</f>
        <v>14.723500776580799</v>
      </c>
      <c r="L225" s="1">
        <f ca="1">IF(AND([1]Variáveis!$E$43=4,[1]Variáveis!$L$43=1),[1]Variáveis!AH$43,L225)</f>
        <v>49.797746044013898</v>
      </c>
      <c r="M225" s="1">
        <f ca="1">IF(AND([1]Variáveis!$E$43=4,[1]Variáveis!$L$43=1),[1]Variáveis!AI$43,M225)</f>
        <v>68.728502111860209</v>
      </c>
      <c r="N225" s="1">
        <f ca="1">IF(AND([1]Variáveis!$E$43=4,[1]Variáveis!$L$43=1),[1]Variáveis!AJ$43,N225)</f>
        <v>0.30499999999999999</v>
      </c>
      <c r="O225" s="72">
        <f t="shared" ca="1" si="27"/>
        <v>5.113021868751372</v>
      </c>
      <c r="P225" s="1">
        <f ca="1">IF(AND([1]Variáveis!$E$43=4,[1]Variáveis!$L$43=1),[1]Variáveis!AK$43,P225)</f>
        <v>0.65</v>
      </c>
      <c r="Q225" s="1">
        <f ca="1">IF(AND([1]Variáveis!$E$43=4,[1]Variáveis!$L$43=1),[1]Variáveis!AL$43,Q225)</f>
        <v>10.309427515414971</v>
      </c>
      <c r="R225" s="1"/>
    </row>
    <row r="226" spans="2:18">
      <c r="D226" s="1">
        <f ca="1">IF(AND([1]Variáveis!$E$43=5,[1]Variáveis!$L$43=1),[1]Variáveis!Z$43,D226)</f>
        <v>0.28421052631578952</v>
      </c>
      <c r="E226" s="1">
        <f ca="1">IF(AND([1]Variáveis!$E$43=5,[1]Variáveis!$L$43=1),[1]Variáveis!AA$43,E226)</f>
        <v>2.4444444444444446</v>
      </c>
      <c r="F226" s="1">
        <f ca="1">IF(AND([1]Variáveis!$E$43=5,[1]Variáveis!$L$43=1),[1]Variáveis!AB$43,F226)</f>
        <v>68.420912581174989</v>
      </c>
      <c r="G226" s="1">
        <f ca="1">IF(AND([1]Variáveis!$E$43=5,[1]Variáveis!$L$43=1),[1]Variáveis!AC$43,G226)</f>
        <v>56.131798907432156</v>
      </c>
      <c r="H226" s="1">
        <f ca="1">IF(AND([1]Variáveis!$E$43=5,[1]Variáveis!$L$43=1),[1]Variáveis!AD$43,H226)</f>
        <v>56.131798907432149</v>
      </c>
      <c r="I226" s="1">
        <f ca="1">IF(AND([1]Variáveis!$E$43=5,[1]Variáveis!$L$43=1),[1]Variáveis!AE$43,I226)</f>
        <v>3.3881882360247895</v>
      </c>
      <c r="J226" s="1">
        <f ca="1">IF(AND([1]Variáveis!$E$43=5,[1]Variáveis!$L$43=1),[1]Variáveis!AF$43,J226)</f>
        <v>16.566906853229941</v>
      </c>
      <c r="K226" s="1">
        <f ca="1">IF(AND([1]Variáveis!$E$43=5,[1]Variáveis!$L$43=1),[1]Variáveis!AG$43,K226)</f>
        <v>14.612530540852971</v>
      </c>
      <c r="L226" s="1">
        <f ca="1">IF(AND([1]Variáveis!$E$43=5,[1]Variáveis!$L$43=1),[1]Variáveis!AH$43,L226)</f>
        <v>49.510004077070988</v>
      </c>
      <c r="M226" s="1">
        <f ca="1">IF(AND([1]Variáveis!$E$43=5,[1]Variáveis!$L$43=1),[1]Variáveis!AI$43,M226)</f>
        <v>68.420912581174989</v>
      </c>
      <c r="N226" s="1">
        <f ca="1">IF(AND([1]Variáveis!$E$43=5,[1]Variáveis!$L$43=1),[1]Variáveis!AJ$43,N226)</f>
        <v>0.30499999999999999</v>
      </c>
      <c r="O226" s="72">
        <f t="shared" ca="1" si="27"/>
        <v>5.0915566562996277</v>
      </c>
      <c r="P226" s="1">
        <f ca="1">IF(AND([1]Variáveis!$E$43=5,[1]Variáveis!$L$43=1),[1]Variáveis!AK$43,P226)</f>
        <v>0.65</v>
      </c>
      <c r="Q226" s="1">
        <f ca="1">IF(AND([1]Variáveis!$E$43=5,[1]Variáveis!$L$43=1),[1]Variáveis!AL$43,Q226)</f>
        <v>10.231895389037019</v>
      </c>
      <c r="R226" s="1"/>
    </row>
    <row r="227" spans="2:18">
      <c r="D227" s="1">
        <f ca="1">IF(AND([1]Variáveis!$E$43=6,[1]Variáveis!$L$43=1),[1]Variáveis!Z$43,D227)</f>
        <v>0.27631578947368424</v>
      </c>
      <c r="E227" s="1">
        <f ca="1">IF(AND([1]Variáveis!$E$43=6,[1]Variáveis!$L$43=1),[1]Variáveis!AA$43,E227)</f>
        <v>2.5555555555555558</v>
      </c>
      <c r="F227" s="1">
        <f ca="1">IF(AND([1]Variáveis!$E$43=6,[1]Variáveis!$L$43=1),[1]Variáveis!AB$43,F227)</f>
        <v>66.056218416797819</v>
      </c>
      <c r="G227" s="1">
        <f ca="1">IF(AND([1]Variáveis!$E$43=6,[1]Variáveis!$L$43=1),[1]Variáveis!AC$43,G227)</f>
        <v>56.357485292392546</v>
      </c>
      <c r="H227" s="1">
        <f ca="1">IF(AND([1]Variáveis!$E$43=6,[1]Variáveis!$L$43=1),[1]Variáveis!AD$43,H227)</f>
        <v>56.357485292392539</v>
      </c>
      <c r="I227" s="1">
        <f ca="1">IF(AND([1]Variáveis!$E$43=6,[1]Variáveis!$L$43=1),[1]Variáveis!AE$43,I227)</f>
        <v>3.2942866620378242</v>
      </c>
      <c r="J227" s="1">
        <f ca="1">IF(AND([1]Variáveis!$E$43=6,[1]Variáveis!$L$43=1),[1]Variáveis!AF$43,J227)</f>
        <v>17.107644559848403</v>
      </c>
      <c r="K227" s="1">
        <f ca="1">IF(AND([1]Variáveis!$E$43=6,[1]Variáveis!$L$43=1),[1]Variáveis!AG$43,K227)</f>
        <v>14.522834927441622</v>
      </c>
      <c r="L227" s="1">
        <f ca="1">IF(AND([1]Variáveis!$E$43=6,[1]Variáveis!$L$43=1),[1]Variáveis!AH$43,L227)</f>
        <v>47.842381396447983</v>
      </c>
      <c r="M227" s="1">
        <f ca="1">IF(AND([1]Variáveis!$E$43=6,[1]Variáveis!$L$43=1),[1]Variáveis!AI$43,M227)</f>
        <v>66.056218416797819</v>
      </c>
      <c r="N227" s="1">
        <f ca="1">IF(AND([1]Variáveis!$E$43=6,[1]Variáveis!$L$43=1),[1]Variáveis!AJ$43,N227)</f>
        <v>0.30499999999999999</v>
      </c>
      <c r="O227" s="72">
        <f t="shared" ca="1" si="27"/>
        <v>5.0096279781753505</v>
      </c>
      <c r="P227" s="1">
        <f ca="1">IF(AND([1]Variáveis!$E$43=6,[1]Variáveis!$L$43=1),[1]Variáveis!AK$43,P227)</f>
        <v>0.65</v>
      </c>
      <c r="Q227" s="1">
        <f ca="1">IF(AND([1]Variáveis!$E$43=6,[1]Variáveis!$L$43=1),[1]Variáveis!AL$43,Q227)</f>
        <v>10.169323539055673</v>
      </c>
      <c r="R227" s="1"/>
    </row>
    <row r="228" spans="2:18">
      <c r="D228" s="1">
        <f ca="1">IF(AND([1]Variáveis!$E$43=7,[1]Variáveis!$L$43=1),[1]Variáveis!Z$43,D228)</f>
        <v>0.27631578947368424</v>
      </c>
      <c r="E228" s="1">
        <f ca="1">IF(AND([1]Variáveis!$E$43=7,[1]Variáveis!$L$43=1),[1]Variáveis!AA$43,E228)</f>
        <v>2.666666666666667</v>
      </c>
      <c r="F228" s="1">
        <f ca="1">IF(AND([1]Variáveis!$E$43=7,[1]Variáveis!$L$43=1),[1]Variáveis!AB$43,F228)</f>
        <v>66.291370807141405</v>
      </c>
      <c r="G228" s="1">
        <f ca="1">IF(AND([1]Variáveis!$E$43=7,[1]Variáveis!$L$43=1),[1]Variáveis!AC$43,G228)</f>
        <v>58.252610576682557</v>
      </c>
      <c r="H228" s="1">
        <f ca="1">IF(AND([1]Variáveis!$E$43=7,[1]Variáveis!$L$43=1),[1]Variáveis!AD$43,H228)</f>
        <v>58.252610576682557</v>
      </c>
      <c r="I228" s="1">
        <f ca="1">IF(AND([1]Variáveis!$E$43=7,[1]Variáveis!$L$43=1),[1]Variáveis!AE$43,I228)</f>
        <v>3.3175767914474208</v>
      </c>
      <c r="J228" s="1">
        <f ca="1">IF(AND([1]Variáveis!$E$43=7,[1]Variáveis!$L$43=1),[1]Variáveis!AF$43,J228)</f>
        <v>17.558782882390375</v>
      </c>
      <c r="K228" s="1">
        <f ca="1">IF(AND([1]Variáveis!$E$43=7,[1]Variáveis!$L$43=1),[1]Variáveis!AG$43,K228)</f>
        <v>14.453943506322227</v>
      </c>
      <c r="L228" s="1">
        <f ca="1">IF(AND([1]Variáveis!$E$43=7,[1]Variáveis!$L$43=1),[1]Variáveis!AH$43,L228)</f>
        <v>47.95206752146678</v>
      </c>
      <c r="M228" s="1">
        <f ca="1">IF(AND([1]Variáveis!$E$43=7,[1]Variáveis!$L$43=1),[1]Variáveis!AI$43,M228)</f>
        <v>66.291370807141405</v>
      </c>
      <c r="N228" s="1">
        <f ca="1">IF(AND([1]Variáveis!$E$43=7,[1]Variáveis!$L$43=1),[1]Variáveis!AJ$43,N228)</f>
        <v>0.30499999999999999</v>
      </c>
      <c r="O228" s="72">
        <f t="shared" ca="1" si="27"/>
        <v>5.0090343050546373</v>
      </c>
      <c r="P228" s="1">
        <f ca="1">IF(AND([1]Variáveis!$E$43=7,[1]Variáveis!$L$43=1),[1]Variáveis!AK$43,P228)</f>
        <v>0.65</v>
      </c>
      <c r="Q228" s="1">
        <f ca="1">IF(AND([1]Variáveis!$E$43=7,[1]Variáveis!$L$43=1),[1]Variáveis!AL$43,Q228)</f>
        <v>10.121205787471226</v>
      </c>
      <c r="R228" s="1"/>
    </row>
    <row r="229" spans="2:18">
      <c r="D229" s="1">
        <f ca="1">IF(AND([1]Variáveis!$E$43=8,[1]Variáveis!$L$43=1),[1]Variáveis!Z$43,D229)</f>
        <v>0.26842105263157895</v>
      </c>
      <c r="E229" s="1">
        <f ca="1">IF(AND([1]Variáveis!$E$43=8,[1]Variáveis!$L$43=1),[1]Variáveis!AA$43,E229)</f>
        <v>2.7777777777777781</v>
      </c>
      <c r="F229" s="1">
        <f ca="1">IF(AND([1]Variáveis!$E$43=8,[1]Variáveis!$L$43=1),[1]Variáveis!AB$43,F229)</f>
        <v>64.477508042465232</v>
      </c>
      <c r="G229" s="1">
        <f ca="1">IF(AND([1]Variáveis!$E$43=8,[1]Variáveis!$L$43=1),[1]Variáveis!AC$43,G229)</f>
        <v>58.526847533424437</v>
      </c>
      <c r="H229" s="1">
        <f ca="1">IF(AND([1]Variáveis!$E$43=8,[1]Variáveis!$L$43=1),[1]Variáveis!AD$43,H229)</f>
        <v>58.52684753342443</v>
      </c>
      <c r="I229" s="1">
        <f ca="1">IF(AND([1]Variáveis!$E$43=8,[1]Variáveis!$L$43=1),[1]Variáveis!AE$43,I229)</f>
        <v>3.241440977522057</v>
      </c>
      <c r="J229" s="1">
        <f ca="1">IF(AND([1]Variáveis!$E$43=8,[1]Variáveis!$L$43=1),[1]Variáveis!AF$43,J229)</f>
        <v>18.055811578641084</v>
      </c>
      <c r="K229" s="1">
        <f ca="1">IF(AND([1]Variáveis!$E$43=8,[1]Variáveis!$L$43=1),[1]Variáveis!AG$43,K229)</f>
        <v>14.402195271737025</v>
      </c>
      <c r="L229" s="1">
        <f ca="1">IF(AND([1]Variáveis!$E$43=8,[1]Variáveis!$L$43=1),[1]Variáveis!AH$43,L229)</f>
        <v>46.683865920082809</v>
      </c>
      <c r="M229" s="1">
        <f ca="1">IF(AND([1]Variáveis!$E$43=8,[1]Variáveis!$L$43=1),[1]Variáveis!AI$43,M229)</f>
        <v>64.477508042465232</v>
      </c>
      <c r="N229" s="1">
        <f ca="1">IF(AND([1]Variáveis!$E$43=8,[1]Variáveis!$L$43=1),[1]Variáveis!AJ$43,N229)</f>
        <v>0.30499999999999999</v>
      </c>
      <c r="O229" s="72">
        <f t="shared" ca="1" si="27"/>
        <v>4.9470007395492246</v>
      </c>
      <c r="P229" s="1">
        <f ca="1">IF(AND([1]Variáveis!$E$43=8,[1]Variáveis!$L$43=1),[1]Variáveis!AK$43,P229)</f>
        <v>0.65</v>
      </c>
      <c r="Q229" s="1">
        <f ca="1">IF(AND([1]Variáveis!$E$43=8,[1]Variáveis!$L$43=1),[1]Variáveis!AL$43,Q229)</f>
        <v>10.085148673815072</v>
      </c>
      <c r="R229" s="1"/>
    </row>
    <row r="230" spans="2:18">
      <c r="D230" s="1">
        <f ca="1">IF(AND([1]Variáveis!$E$43=9,[1]Variáveis!$L$43=1),[1]Variáveis!Z$43,D230)</f>
        <v>0.26842105263157895</v>
      </c>
      <c r="E230" s="1">
        <f ca="1">IF(AND([1]Variáveis!$E$43=9,[1]Variáveis!$L$43=1),[1]Variáveis!AA$43,E230)</f>
        <v>2.8888888888888893</v>
      </c>
      <c r="F230" s="1">
        <f ca="1">IF(AND([1]Variáveis!$E$43=9,[1]Variáveis!$L$43=1),[1]Variáveis!AB$43,F230)</f>
        <v>65.088960850776999</v>
      </c>
      <c r="G230" s="1">
        <f ca="1">IF(AND([1]Variáveis!$E$43=9,[1]Variáveis!$L$43=1),[1]Variáveis!AC$43,G230)</f>
        <v>60.544251828914405</v>
      </c>
      <c r="H230" s="1">
        <f ca="1">IF(AND([1]Variáveis!$E$43=9,[1]Variáveis!$L$43=1),[1]Variáveis!AD$43,H230)</f>
        <v>60.544251828914398</v>
      </c>
      <c r="I230" s="1">
        <f ca="1">IF(AND([1]Variáveis!$E$43=9,[1]Variáveis!$L$43=1),[1]Variáveis!AE$43,I230)</f>
        <v>3.2769294850054802</v>
      </c>
      <c r="J230" s="1">
        <f ca="1">IF(AND([1]Variáveis!$E$43=9,[1]Variáveis!$L$43=1),[1]Variáveis!AF$43,J230)</f>
        <v>18.475909263825109</v>
      </c>
      <c r="K230" s="1">
        <f ca="1">IF(AND([1]Variáveis!$E$43=9,[1]Variáveis!$L$43=1),[1]Variáveis!AG$43,K230)</f>
        <v>14.363723092954052</v>
      </c>
      <c r="L230" s="1">
        <f ca="1">IF(AND([1]Variáveis!$E$43=9,[1]Variáveis!$L$43=1),[1]Variáveis!AH$43,L230)</f>
        <v>47.068907717755245</v>
      </c>
      <c r="M230" s="1">
        <f ca="1">IF(AND([1]Variáveis!$E$43=9,[1]Variáveis!$L$43=1),[1]Variáveis!AI$43,M230)</f>
        <v>65.088960850776999</v>
      </c>
      <c r="N230" s="1">
        <f ca="1">IF(AND([1]Variáveis!$E$43=9,[1]Variáveis!$L$43=1),[1]Variáveis!AJ$43,N230)</f>
        <v>0.30499999999999999</v>
      </c>
      <c r="O230" s="72">
        <f t="shared" ca="1" si="27"/>
        <v>4.9612811900882088</v>
      </c>
      <c r="P230" s="1">
        <f ca="1">IF(AND([1]Variáveis!$E$43=9,[1]Variáveis!$L$43=1),[1]Variáveis!AK$43,P230)</f>
        <v>0.65</v>
      </c>
      <c r="Q230" s="1">
        <f ca="1">IF(AND([1]Variáveis!$E$43=9,[1]Variáveis!$L$43=1),[1]Variáveis!AL$43,Q230)</f>
        <v>10.058298675694186</v>
      </c>
      <c r="R230" s="1"/>
    </row>
    <row r="231" spans="2:18">
      <c r="D231" s="1">
        <f ca="1">IF(AND([1]Variáveis!$E$43=10,[1]Variáveis!$L$43=1),[1]Variáveis!Z$43,D231)</f>
        <v>0.26052631578947366</v>
      </c>
      <c r="E231" s="1">
        <f ca="1">IF(AND([1]Variáveis!$E$43=10,[1]Variáveis!$L$43=1),[1]Variáveis!AA$43,E231)</f>
        <v>3</v>
      </c>
      <c r="F231" s="1">
        <f ca="1">IF(AND([1]Variáveis!$E$43=10,[1]Variáveis!$L$43=1),[1]Variáveis!AB$43,F231)</f>
        <v>63.657135914674988</v>
      </c>
      <c r="G231" s="1">
        <f ca="1">IF(AND([1]Variáveis!$E$43=10,[1]Variáveis!$L$43=1),[1]Variáveis!AC$43,G231)</f>
        <v>60.822276736526689</v>
      </c>
      <c r="H231" s="1">
        <f ca="1">IF(AND([1]Variáveis!$E$43=10,[1]Variáveis!$L$43=1),[1]Variáveis!AD$43,H231)</f>
        <v>60.822276736526689</v>
      </c>
      <c r="I231" s="1">
        <f ca="1">IF(AND([1]Variáveis!$E$43=10,[1]Variáveis!$L$43=1),[1]Variáveis!AE$43,I231)</f>
        <v>3.2132853593374131</v>
      </c>
      <c r="J231" s="1">
        <f ca="1">IF(AND([1]Variáveis!$E$43=10,[1]Variáveis!$L$43=1),[1]Variáveis!AF$43,J231)</f>
        <v>18.928377014442436</v>
      </c>
      <c r="K231" s="1">
        <f ca="1">IF(AND([1]Variáveis!$E$43=10,[1]Variáveis!$L$43=1),[1]Variáveis!AG$43,K231)</f>
        <v>14.339801157861276</v>
      </c>
      <c r="L231" s="1">
        <f ca="1">IF(AND([1]Variáveis!$E$43=10,[1]Variáveis!$L$43=1),[1]Variáveis!AH$43,L231)</f>
        <v>46.077873116365325</v>
      </c>
      <c r="M231" s="1">
        <f ca="1">IF(AND([1]Variáveis!$E$43=10,[1]Variáveis!$L$43=1),[1]Variáveis!AI$43,M231)</f>
        <v>63.657135914674988</v>
      </c>
      <c r="N231" s="1">
        <f ca="1">IF(AND([1]Variáveis!$E$43=10,[1]Variáveis!$L$43=1),[1]Variáveis!AJ$43,N231)</f>
        <v>0.30499999999999999</v>
      </c>
      <c r="O231" s="72">
        <f t="shared" ca="1" si="27"/>
        <v>4.913506580028467</v>
      </c>
      <c r="P231" s="1">
        <f ca="1">IF(AND([1]Variáveis!$E$43=10,[1]Variáveis!$L$43=1),[1]Variáveis!AK$43,P231)</f>
        <v>0.65</v>
      </c>
      <c r="Q231" s="1">
        <f ca="1">IF(AND([1]Variáveis!$E$43=10,[1]Variáveis!$L$43=1),[1]Variáveis!AL$43,Q231)</f>
        <v>10.041687135993426</v>
      </c>
      <c r="R231" s="1"/>
    </row>
    <row r="232" spans="2:18">
      <c r="B232" s="58" t="s">
        <v>603</v>
      </c>
      <c r="C232" s="58"/>
      <c r="D232" s="58" t="s">
        <v>611</v>
      </c>
      <c r="E232" s="72"/>
      <c r="F232" s="72"/>
      <c r="G232" s="1"/>
      <c r="H232" s="58" t="s">
        <v>605</v>
      </c>
      <c r="I232" s="58">
        <f>I221</f>
        <v>10</v>
      </c>
      <c r="J232" s="58" t="s">
        <v>606</v>
      </c>
      <c r="K232" s="58">
        <v>1</v>
      </c>
      <c r="L232" s="72"/>
      <c r="M232" s="72"/>
      <c r="N232" s="58"/>
      <c r="O232" s="72"/>
      <c r="P232" s="58"/>
    </row>
    <row r="233" spans="2:18">
      <c r="C233" s="58"/>
      <c r="D233" s="1">
        <f ca="1">IF(AND([1]Variáveis!$E$43=1,[1]Variáveis!$L$43=1),[1]Variáveis!Z$44,D233)</f>
        <v>0.28421052631578952</v>
      </c>
      <c r="E233" s="1">
        <f ca="1">IF(AND([1]Variáveis!$E$43=1,[1]Variáveis!$L$43=1),[1]Variáveis!AA$44,E233)</f>
        <v>2</v>
      </c>
      <c r="F233" s="1">
        <f ca="1">IF(AND([1]Variáveis!$E$43=1,[1]Variáveis!$L$43=1),[1]Variáveis!AB$44,F233)</f>
        <v>72.366082115107801</v>
      </c>
      <c r="G233" s="1">
        <f ca="1">IF(AND([1]Variáveis!$E$43=1,[1]Variáveis!$L$43=1),[1]Variáveis!AC$44,G233)</f>
        <v>50.099124806018018</v>
      </c>
      <c r="H233" s="1">
        <f ca="1">IF(AND([1]Variáveis!$E$43=1,[1]Variáveis!$L$43=1),[1]Variáveis!AD$44,H233)</f>
        <v>50.099124806018018</v>
      </c>
      <c r="I233" s="1">
        <f ca="1">IF(AND([1]Variáveis!$E$43=1,[1]Variáveis!$L$43=1),[1]Variáveis!AE$44,I233)</f>
        <v>3.4492051493651426</v>
      </c>
      <c r="J233" s="1">
        <f ca="1">IF(AND([1]Variáveis!$E$43=1,[1]Variáveis!$L$43=1),[1]Variáveis!AF$44,J233)</f>
        <v>14.524831848647569</v>
      </c>
      <c r="K233" s="1">
        <f ca="1">IF(AND([1]Variáveis!$E$43=1,[1]Variáveis!$L$43=1),[1]Variáveis!AG$44,K233)</f>
        <v>15.263263243585156</v>
      </c>
      <c r="L233" s="1">
        <f ca="1">IF(AND([1]Variáveis!$E$43=1,[1]Variáveis!$L$43=1),[1]Variáveis!AH$44,L233)</f>
        <v>52.646126175889627</v>
      </c>
      <c r="M233" s="1">
        <f ca="1">IF(AND([1]Variáveis!$E$43=1,[1]Variáveis!$L$43=1),[1]Variáveis!AI$44,M233)</f>
        <v>72.366082115107801</v>
      </c>
      <c r="N233" s="1">
        <f ca="1">IF(AND([1]Variáveis!$E$43=1,[1]Variáveis!$L$43=1),[1]Variáveis!AJ$44,N233)</f>
        <v>0.30499999999999999</v>
      </c>
      <c r="O233" s="72">
        <f t="shared" ref="O233:O242" ca="1" si="28">L233^(3/2)/M233</f>
        <v>5.2785491507427587</v>
      </c>
      <c r="P233" s="1">
        <f ca="1">IF(AND([1]Variáveis!$E$43=1,[1]Variáveis!$L$43=1),[1]Variáveis!AK$44,P233)</f>
        <v>0.65</v>
      </c>
      <c r="Q233" s="1">
        <f ca="1">IF(AND([1]Variáveis!$E$43=1,[1]Variáveis!$L$43=1),[1]Variáveis!AL$44,Q233)</f>
        <v>10.686654487554229</v>
      </c>
      <c r="R233" s="1"/>
    </row>
    <row r="234" spans="2:18">
      <c r="D234" s="1">
        <f ca="1">IF(AND([1]Variáveis!$E$43=2,[1]Variáveis!$L$43=1),[1]Variáveis!Z$44,D234)</f>
        <v>0.27631578947368424</v>
      </c>
      <c r="E234" s="1">
        <f ca="1">IF(AND([1]Variáveis!$E$43=2,[1]Variáveis!$L$43=1),[1]Variáveis!AA$44,E234)</f>
        <v>2.1111111111111112</v>
      </c>
      <c r="F234" s="1">
        <f ca="1">IF(AND([1]Variáveis!$E$43=2,[1]Variáveis!$L$43=1),[1]Variáveis!AB$44,F234)</f>
        <v>68.364558369158672</v>
      </c>
      <c r="G234" s="1">
        <f ca="1">IF(AND([1]Variáveis!$E$43=2,[1]Variáveis!$L$43=1),[1]Variáveis!AC$44,G234)</f>
        <v>50.039050109544505</v>
      </c>
      <c r="H234" s="1">
        <f ca="1">IF(AND([1]Variáveis!$E$43=2,[1]Variáveis!$L$43=1),[1]Variáveis!AD$44,H234)</f>
        <v>50.039050109544505</v>
      </c>
      <c r="I234" s="1">
        <f ca="1">IF(AND([1]Variáveis!$E$43=2,[1]Variáveis!$L$43=1),[1]Variáveis!AE$44,I234)</f>
        <v>3.3055725737772228</v>
      </c>
      <c r="J234" s="1">
        <f ca="1">IF(AND([1]Variáveis!$E$43=2,[1]Variáveis!$L$43=1),[1]Variáveis!AF$44,J234)</f>
        <v>15.137785963768968</v>
      </c>
      <c r="K234" s="1">
        <f ca="1">IF(AND([1]Variáveis!$E$43=2,[1]Variáveis!$L$43=1),[1]Variáveis!AG$44,K234)</f>
        <v>15.05729395939105</v>
      </c>
      <c r="L234" s="1">
        <f ca="1">IF(AND([1]Variáveis!$E$43=2,[1]Variáveis!$L$43=1),[1]Variáveis!AH$44,L234)</f>
        <v>49.772977947464504</v>
      </c>
      <c r="M234" s="1">
        <f ca="1">IF(AND([1]Variáveis!$E$43=2,[1]Variáveis!$L$43=1),[1]Variáveis!AI$44,M234)</f>
        <v>68.364558369158672</v>
      </c>
      <c r="N234" s="1">
        <f ca="1">IF(AND([1]Variáveis!$E$43=2,[1]Variáveis!$L$43=1),[1]Variáveis!AJ$44,N234)</f>
        <v>0.30499999999999999</v>
      </c>
      <c r="O234" s="72">
        <f t="shared" ca="1" si="28"/>
        <v>5.1364069602484879</v>
      </c>
      <c r="P234" s="1">
        <f ca="1">IF(AND([1]Variáveis!$E$43=2,[1]Variáveis!$L$43=1),[1]Variáveis!AK$44,P234)</f>
        <v>0.65</v>
      </c>
      <c r="Q234" s="1">
        <f ca="1">IF(AND([1]Variáveis!$E$43=2,[1]Variáveis!$L$43=1),[1]Variáveis!AL$44,Q234)</f>
        <v>10.542847085549022</v>
      </c>
      <c r="R234" s="1"/>
    </row>
    <row r="235" spans="2:18">
      <c r="D235" s="1">
        <f ca="1">IF(AND([1]Variáveis!$E$43=3,[1]Variáveis!$L$43=1),[1]Variáveis!Z$44,D235)</f>
        <v>0.26842105263157895</v>
      </c>
      <c r="E235" s="1">
        <f ca="1">IF(AND([1]Variáveis!$E$43=3,[1]Variáveis!$L$43=1),[1]Variáveis!AA$44,E235)</f>
        <v>2.2222222222222223</v>
      </c>
      <c r="F235" s="1">
        <f ca="1">IF(AND([1]Variáveis!$E$43=3,[1]Variáveis!$L$43=1),[1]Variáveis!AB$44,F235)</f>
        <v>65.179297291572524</v>
      </c>
      <c r="G235" s="1">
        <f ca="1">IF(AND([1]Variáveis!$E$43=3,[1]Variáveis!$L$43=1),[1]Variáveis!AC$44,G235)</f>
        <v>50.112959658665687</v>
      </c>
      <c r="H235" s="1">
        <f ca="1">IF(AND([1]Variáveis!$E$43=3,[1]Variáveis!$L$43=1),[1]Variáveis!AD$44,H235)</f>
        <v>50.112959658665694</v>
      </c>
      <c r="I235" s="1">
        <f ca="1">IF(AND([1]Variáveis!$E$43=3,[1]Variáveis!$L$43=1),[1]Variáveis!AE$44,I235)</f>
        <v>3.1871403438639314</v>
      </c>
      <c r="J235" s="1">
        <f ca="1">IF(AND([1]Variáveis!$E$43=3,[1]Variáveis!$L$43=1),[1]Variáveis!AF$44,J235)</f>
        <v>15.723486966975297</v>
      </c>
      <c r="K235" s="1">
        <f ca="1">IF(AND([1]Variáveis!$E$43=3,[1]Variáveis!$L$43=1),[1]Variáveis!AG$44,K235)</f>
        <v>14.900812958254297</v>
      </c>
      <c r="L235" s="1">
        <f ca="1">IF(AND([1]Variáveis!$E$43=3,[1]Variáveis!$L$43=1),[1]Variáveis!AH$44,L235)</f>
        <v>47.49098213562273</v>
      </c>
      <c r="M235" s="1">
        <f ca="1">IF(AND([1]Variáveis!$E$43=3,[1]Variáveis!$L$43=1),[1]Variáveis!AI$44,M235)</f>
        <v>65.179297291572524</v>
      </c>
      <c r="N235" s="1">
        <f ca="1">IF(AND([1]Variáveis!$E$43=3,[1]Variáveis!$L$43=1),[1]Variáveis!AJ$44,N235)</f>
        <v>0.30499999999999999</v>
      </c>
      <c r="O235" s="72">
        <f t="shared" ca="1" si="28"/>
        <v>5.0211945951390122</v>
      </c>
      <c r="P235" s="1">
        <f ca="1">IF(AND([1]Variáveis!$E$43=3,[1]Variáveis!$L$43=1),[1]Variáveis!AK$44,P235)</f>
        <v>0.65</v>
      </c>
      <c r="Q235" s="1">
        <f ca="1">IF(AND([1]Variáveis!$E$43=3,[1]Variáveis!$L$43=1),[1]Variáveis!AL$44,Q235)</f>
        <v>10.433614148227488</v>
      </c>
      <c r="R235" s="1"/>
    </row>
    <row r="236" spans="2:18">
      <c r="D236" s="1">
        <f ca="1">IF(AND([1]Variáveis!$E$43=4,[1]Variáveis!$L$43=1),[1]Variáveis!Z$44,D236)</f>
        <v>0.26052631578947366</v>
      </c>
      <c r="E236" s="1">
        <f ca="1">IF(AND([1]Variáveis!$E$43=4,[1]Variáveis!$L$43=1),[1]Variáveis!AA$44,E236)</f>
        <v>2.3333333333333335</v>
      </c>
      <c r="F236" s="1">
        <f ca="1">IF(AND([1]Variáveis!$E$43=4,[1]Variáveis!$L$43=1),[1]Variáveis!AB$44,F236)</f>
        <v>62.601549157528467</v>
      </c>
      <c r="G236" s="1">
        <f ca="1">IF(AND([1]Variáveis!$E$43=4,[1]Variáveis!$L$43=1),[1]Variáveis!AC$44,G236)</f>
        <v>50.271557389396584</v>
      </c>
      <c r="H236" s="1">
        <f ca="1">IF(AND([1]Variáveis!$E$43=4,[1]Variáveis!$L$43=1),[1]Variáveis!AD$44,H236)</f>
        <v>50.271557389396577</v>
      </c>
      <c r="I236" s="1">
        <f ca="1">IF(AND([1]Variáveis!$E$43=4,[1]Variáveis!$L$43=1),[1]Variáveis!AE$44,I236)</f>
        <v>3.087864213231978</v>
      </c>
      <c r="J236" s="1">
        <f ca="1">IF(AND([1]Variáveis!$E$43=4,[1]Variáveis!$L$43=1),[1]Variáveis!AF$44,J236)</f>
        <v>16.280365300383075</v>
      </c>
      <c r="K236" s="1">
        <f ca="1">IF(AND([1]Variáveis!$E$43=4,[1]Variáveis!$L$43=1),[1]Variáveis!AG$44,K236)</f>
        <v>14.783332431453612</v>
      </c>
      <c r="L236" s="1">
        <f ca="1">IF(AND([1]Variáveis!$E$43=4,[1]Variáveis!$L$43=1),[1]Variáveis!AH$44,L236)</f>
        <v>45.648923167397292</v>
      </c>
      <c r="M236" s="1">
        <f ca="1">IF(AND([1]Variáveis!$E$43=4,[1]Variáveis!$L$43=1),[1]Variáveis!AI$44,M236)</f>
        <v>62.601549157528467</v>
      </c>
      <c r="N236" s="1">
        <f ca="1">IF(AND([1]Variáveis!$E$43=4,[1]Variáveis!$L$43=1),[1]Variáveis!AJ$44,N236)</f>
        <v>0.30499999999999999</v>
      </c>
      <c r="O236" s="72">
        <f t="shared" ca="1" si="28"/>
        <v>4.9267522694230212</v>
      </c>
      <c r="P236" s="1">
        <f ca="1">IF(AND([1]Variáveis!$E$43=4,[1]Variáveis!$L$43=1),[1]Variáveis!AK$44,P236)</f>
        <v>0.65</v>
      </c>
      <c r="Q236" s="1">
        <f ca="1">IF(AND([1]Variáveis!$E$43=4,[1]Variáveis!$L$43=1),[1]Variáveis!AL$44,Q236)</f>
        <v>10.351630326753623</v>
      </c>
      <c r="R236" s="1"/>
    </row>
    <row r="237" spans="2:18">
      <c r="D237" s="1">
        <f ca="1">IF(AND([1]Variáveis!$E$43=5,[1]Variáveis!$L$43=1),[1]Variáveis!Z$44,D237)</f>
        <v>0.25263157894736837</v>
      </c>
      <c r="E237" s="1">
        <f ca="1">IF(AND([1]Variáveis!$E$43=5,[1]Variáveis!$L$43=1),[1]Variáveis!AA$44,E237)</f>
        <v>2.4444444444444446</v>
      </c>
      <c r="F237" s="1">
        <f ca="1">IF(AND([1]Variáveis!$E$43=5,[1]Variáveis!$L$43=1),[1]Variáveis!AB$44,F237)</f>
        <v>60.492640063040703</v>
      </c>
      <c r="G237" s="1">
        <f ca="1">IF(AND([1]Variáveis!$E$43=5,[1]Variáveis!$L$43=1),[1]Variáveis!AC$44,G237)</f>
        <v>50.48157309822691</v>
      </c>
      <c r="H237" s="1">
        <f ca="1">IF(AND([1]Variáveis!$E$43=5,[1]Variáveis!$L$43=1),[1]Variáveis!AD$44,H237)</f>
        <v>50.48157309822691</v>
      </c>
      <c r="I237" s="1">
        <f ca="1">IF(AND([1]Variáveis!$E$43=5,[1]Variáveis!$L$43=1),[1]Variáveis!AE$44,I237)</f>
        <v>3.0036352720792268</v>
      </c>
      <c r="J237" s="1">
        <f ca="1">IF(AND([1]Variáveis!$E$43=5,[1]Variáveis!$L$43=1),[1]Variáveis!AF$44,J237)</f>
        <v>16.806825238565569</v>
      </c>
      <c r="K237" s="1">
        <f ca="1">IF(AND([1]Variáveis!$E$43=5,[1]Variáveis!$L$43=1),[1]Variáveis!AG$44,K237)</f>
        <v>14.697656849664892</v>
      </c>
      <c r="L237" s="1">
        <f ca="1">IF(AND([1]Variáveis!$E$43=5,[1]Variáveis!$L$43=1),[1]Variáveis!AH$44,L237)</f>
        <v>44.146400530570318</v>
      </c>
      <c r="M237" s="1">
        <f ca="1">IF(AND([1]Variáveis!$E$43=5,[1]Variáveis!$L$43=1),[1]Variáveis!AI$44,M237)</f>
        <v>60.492640063040703</v>
      </c>
      <c r="N237" s="1">
        <f ca="1">IF(AND([1]Variáveis!$E$43=5,[1]Variáveis!$L$43=1),[1]Variáveis!AJ$44,N237)</f>
        <v>0.30499999999999999</v>
      </c>
      <c r="O237" s="72">
        <f t="shared" ca="1" si="28"/>
        <v>4.8488685424858859</v>
      </c>
      <c r="P237" s="1">
        <f ca="1">IF(AND([1]Variáveis!$E$43=5,[1]Variáveis!$L$43=1),[1]Variáveis!AK$44,P237)</f>
        <v>0.65</v>
      </c>
      <c r="Q237" s="1">
        <f ca="1">IF(AND([1]Variáveis!$E$43=5,[1]Variáveis!$L$43=1),[1]Variáveis!AL$44,Q237)</f>
        <v>10.291870479202119</v>
      </c>
      <c r="R237" s="1"/>
    </row>
    <row r="238" spans="2:18">
      <c r="D238" s="1">
        <f ca="1">IF(AND([1]Variáveis!$E$43=6,[1]Variáveis!$L$43=1),[1]Variáveis!Z$44,D238)</f>
        <v>0.23684210526315785</v>
      </c>
      <c r="E238" s="1">
        <f ca="1">IF(AND([1]Variáveis!$E$43=6,[1]Variáveis!$L$43=1),[1]Variáveis!AA$44,E238)</f>
        <v>2.5555555555555558</v>
      </c>
      <c r="F238" s="1">
        <f ca="1">IF(AND([1]Variáveis!$E$43=6,[1]Variáveis!$L$43=1),[1]Variáveis!AB$44,F238)</f>
        <v>57.404629908691412</v>
      </c>
      <c r="G238" s="1">
        <f ca="1">IF(AND([1]Variáveis!$E$43=6,[1]Variáveis!$L$43=1),[1]Variáveis!AC$44,G238)</f>
        <v>49.49860711491371</v>
      </c>
      <c r="H238" s="1">
        <f ca="1">IF(AND([1]Variáveis!$E$43=6,[1]Variáveis!$L$43=1),[1]Variáveis!AD$44,H238)</f>
        <v>49.49860711491371</v>
      </c>
      <c r="I238" s="1">
        <f ca="1">IF(AND([1]Variáveis!$E$43=6,[1]Variáveis!$L$43=1),[1]Variáveis!AE$44,I238)</f>
        <v>2.8577560737893357</v>
      </c>
      <c r="J238" s="1">
        <f ca="1">IF(AND([1]Variáveis!$E$43=6,[1]Variáveis!$L$43=1),[1]Variáveis!AF$44,J238)</f>
        <v>17.320795000281255</v>
      </c>
      <c r="K238" s="1">
        <f ca="1">IF(AND([1]Variáveis!$E$43=6,[1]Variáveis!$L$43=1),[1]Variáveis!AG$44,K238)</f>
        <v>14.700374467891619</v>
      </c>
      <c r="L238" s="1">
        <f ca="1">IF(AND([1]Variáveis!$E$43=6,[1]Variáveis!$L$43=1),[1]Variáveis!AH$44,L238)</f>
        <v>42.01008442259495</v>
      </c>
      <c r="M238" s="1">
        <f ca="1">IF(AND([1]Variáveis!$E$43=6,[1]Variáveis!$L$43=1),[1]Variáveis!AI$44,M238)</f>
        <v>57.404629908691412</v>
      </c>
      <c r="N238" s="1">
        <f ca="1">IF(AND([1]Variáveis!$E$43=6,[1]Variáveis!$L$43=1),[1]Variáveis!AJ$44,N238)</f>
        <v>0.30499999999999999</v>
      </c>
      <c r="O238" s="72">
        <f t="shared" ca="1" si="28"/>
        <v>4.743330763431211</v>
      </c>
      <c r="P238" s="1">
        <f ca="1">IF(AND([1]Variáveis!$E$43=6,[1]Variáveis!$L$43=1),[1]Variáveis!AK$44,P238)</f>
        <v>0.65</v>
      </c>
      <c r="Q238" s="1">
        <f ca="1">IF(AND([1]Variáveis!$E$43=6,[1]Variáveis!$L$43=1),[1]Variáveis!AL$44,Q238)</f>
        <v>10.294046967021886</v>
      </c>
      <c r="R238" s="1"/>
    </row>
    <row r="239" spans="2:18">
      <c r="D239" s="1">
        <f ca="1">IF(AND([1]Variáveis!$E$43=7,[1]Variáveis!$L$43=1),[1]Variáveis!Z$44,D239)</f>
        <v>0.22894736842105259</v>
      </c>
      <c r="E239" s="1">
        <f ca="1">IF(AND([1]Variáveis!$E$43=7,[1]Variáveis!$L$43=1),[1]Variáveis!AA$44,E239)</f>
        <v>2.666666666666667</v>
      </c>
      <c r="F239" s="1">
        <f ca="1">IF(AND([1]Variáveis!$E$43=7,[1]Variáveis!$L$43=1),[1]Variáveis!AB$44,F239)</f>
        <v>56.086828231393902</v>
      </c>
      <c r="G239" s="1">
        <f ca="1">IF(AND([1]Variáveis!$E$43=7,[1]Variáveis!$L$43=1),[1]Variáveis!AC$44,G239)</f>
        <v>49.737375010373526</v>
      </c>
      <c r="H239" s="1">
        <f ca="1">IF(AND([1]Variáveis!$E$43=7,[1]Variáveis!$L$43=1),[1]Variáveis!AD$44,H239)</f>
        <v>49.737375010373533</v>
      </c>
      <c r="I239" s="1">
        <f ca="1">IF(AND([1]Variáveis!$E$43=7,[1]Variáveis!$L$43=1),[1]Variáveis!AE$44,I239)</f>
        <v>2.7997535378882383</v>
      </c>
      <c r="J239" s="1">
        <f ca="1">IF(AND([1]Variáveis!$E$43=7,[1]Variáveis!$L$43=1),[1]Variáveis!AF$44,J239)</f>
        <v>17.76491192431488</v>
      </c>
      <c r="K239" s="1">
        <f ca="1">IF(AND([1]Variáveis!$E$43=7,[1]Variáveis!$L$43=1),[1]Variáveis!AG$44,K239)</f>
        <v>14.671905054923158</v>
      </c>
      <c r="L239" s="1">
        <f ca="1">IF(AND([1]Variáveis!$E$43=7,[1]Variáveis!$L$43=1),[1]Variáveis!AH$44,L239)</f>
        <v>41.077718085081443</v>
      </c>
      <c r="M239" s="1">
        <f ca="1">IF(AND([1]Variáveis!$E$43=7,[1]Variáveis!$L$43=1),[1]Variáveis!AI$44,M239)</f>
        <v>56.086828231393902</v>
      </c>
      <c r="N239" s="1">
        <f ca="1">IF(AND([1]Variáveis!$E$43=7,[1]Variáveis!$L$43=1),[1]Variáveis!AJ$44,N239)</f>
        <v>0.30499999999999999</v>
      </c>
      <c r="O239" s="72">
        <f t="shared" ca="1" si="28"/>
        <v>4.6940594342003505</v>
      </c>
      <c r="P239" s="1">
        <f ca="1">IF(AND([1]Variáveis!$E$43=7,[1]Variáveis!$L$43=1),[1]Variáveis!AK$44,P239)</f>
        <v>0.65</v>
      </c>
      <c r="Q239" s="1">
        <f ca="1">IF(AND([1]Variáveis!$E$43=7,[1]Variáveis!$L$43=1),[1]Variáveis!AL$44,Q239)</f>
        <v>10.274270895102715</v>
      </c>
      <c r="R239" s="1"/>
    </row>
    <row r="240" spans="2:18">
      <c r="D240" s="1">
        <f ca="1">IF(AND([1]Variáveis!$E$43=8,[1]Variáveis!$L$43=1),[1]Variáveis!Z$44,D240)</f>
        <v>0.22105263157894733</v>
      </c>
      <c r="E240" s="1">
        <f ca="1">IF(AND([1]Variáveis!$E$43=8,[1]Variáveis!$L$43=1),[1]Variáveis!AA$44,E240)</f>
        <v>2.7777777777777781</v>
      </c>
      <c r="F240" s="1">
        <f ca="1">IF(AND([1]Variáveis!$E$43=8,[1]Variáveis!$L$43=1),[1]Variáveis!AB$44,F240)</f>
        <v>55.018150059277282</v>
      </c>
      <c r="G240" s="1">
        <f ca="1">IF(AND([1]Variáveis!$E$43=8,[1]Variáveis!$L$43=1),[1]Variáveis!AC$44,G240)</f>
        <v>49.971721322394714</v>
      </c>
      <c r="H240" s="1">
        <f ca="1">IF(AND([1]Variáveis!$E$43=8,[1]Variáveis!$L$43=1),[1]Variáveis!AD$44,H240)</f>
        <v>49.971721322394707</v>
      </c>
      <c r="I240" s="1">
        <f ca="1">IF(AND([1]Variáveis!$E$43=8,[1]Variáveis!$L$43=1),[1]Variáveis!AE$44,I240)</f>
        <v>2.7500037895111635</v>
      </c>
      <c r="J240" s="1">
        <f ca="1">IF(AND([1]Variáveis!$E$43=8,[1]Variáveis!$L$43=1),[1]Variáveis!AF$44,J240)</f>
        <v>18.17150998591082</v>
      </c>
      <c r="K240" s="1">
        <f ca="1">IF(AND([1]Variáveis!$E$43=8,[1]Variáveis!$L$43=1),[1]Variáveis!AG$44,K240)</f>
        <v>14.66415501514974</v>
      </c>
      <c r="L240" s="1">
        <f ca="1">IF(AND([1]Variáveis!$E$43=8,[1]Variáveis!$L$43=1),[1]Variáveis!AH$44,L240)</f>
        <v>40.326481861640922</v>
      </c>
      <c r="M240" s="1">
        <f ca="1">IF(AND([1]Variáveis!$E$43=8,[1]Variáveis!$L$43=1),[1]Variáveis!AI$44,M240)</f>
        <v>55.018150059277282</v>
      </c>
      <c r="N240" s="1">
        <f ca="1">IF(AND([1]Variáveis!$E$43=8,[1]Variáveis!$L$43=1),[1]Variáveis!AJ$44,N240)</f>
        <v>0.30499999999999999</v>
      </c>
      <c r="O240" s="72">
        <f t="shared" ca="1" si="28"/>
        <v>4.6545694992022835</v>
      </c>
      <c r="P240" s="1">
        <f ca="1">IF(AND([1]Variáveis!$E$43=8,[1]Variáveis!$L$43=1),[1]Variáveis!AK$44,P240)</f>
        <v>0.65</v>
      </c>
      <c r="Q240" s="1">
        <f ca="1">IF(AND([1]Variáveis!$E$43=8,[1]Variáveis!$L$43=1),[1]Variáveis!AL$44,Q240)</f>
        <v>10.268980671061929</v>
      </c>
      <c r="R240" s="1"/>
    </row>
    <row r="241" spans="4:18">
      <c r="D241" s="1">
        <f ca="1">IF(AND([1]Variáveis!$E$43=9,[1]Variáveis!$L$43=1),[1]Variáveis!Z$44,D241)</f>
        <v>0.21315789473684207</v>
      </c>
      <c r="E241" s="1">
        <f ca="1">IF(AND([1]Variáveis!$E$43=9,[1]Variáveis!$L$43=1),[1]Variáveis!AA$44,E241)</f>
        <v>2.8888888888888893</v>
      </c>
      <c r="F241" s="1">
        <f ca="1">IF(AND([1]Variáveis!$E$43=9,[1]Variáveis!$L$43=1),[1]Variáveis!AB$44,F241)</f>
        <v>54.166456761013485</v>
      </c>
      <c r="G241" s="1">
        <f ca="1">IF(AND([1]Variáveis!$E$43=9,[1]Variáveis!$L$43=1),[1]Variáveis!AC$44,G241)</f>
        <v>50.192742759270743</v>
      </c>
      <c r="H241" s="1">
        <f ca="1">IF(AND([1]Variáveis!$E$43=9,[1]Variáveis!$L$43=1),[1]Variáveis!AD$44,H241)</f>
        <v>50.192742759270743</v>
      </c>
      <c r="I241" s="1">
        <f ca="1">IF(AND([1]Variáveis!$E$43=9,[1]Variáveis!$L$43=1),[1]Variáveis!AE$44,I241)</f>
        <v>2.7074621047155367</v>
      </c>
      <c r="J241" s="1">
        <f ca="1">IF(AND([1]Variáveis!$E$43=9,[1]Variáveis!$L$43=1),[1]Variáveis!AF$44,J241)</f>
        <v>18.538668619535237</v>
      </c>
      <c r="K241" s="1">
        <f ca="1">IF(AND([1]Variáveis!$E$43=9,[1]Variáveis!$L$43=1),[1]Variáveis!AG$44,K241)</f>
        <v>14.675430029158761</v>
      </c>
      <c r="L241" s="1">
        <f ca="1">IF(AND([1]Variáveis!$E$43=9,[1]Variáveis!$L$43=1),[1]Variáveis!AH$44,L241)</f>
        <v>39.733170674351769</v>
      </c>
      <c r="M241" s="1">
        <f ca="1">IF(AND([1]Variáveis!$E$43=9,[1]Variáveis!$L$43=1),[1]Variáveis!AI$44,M241)</f>
        <v>54.166456761013485</v>
      </c>
      <c r="N241" s="1">
        <f ca="1">IF(AND([1]Variáveis!$E$43=9,[1]Variáveis!$L$43=1),[1]Variáveis!AJ$44,N241)</f>
        <v>0.30499999999999999</v>
      </c>
      <c r="O241" s="72">
        <f t="shared" ca="1" si="28"/>
        <v>4.6238038956931682</v>
      </c>
      <c r="P241" s="1">
        <f ca="1">IF(AND([1]Variáveis!$E$43=9,[1]Variáveis!$L$43=1),[1]Variáveis!AK$44,P241)</f>
        <v>0.65</v>
      </c>
      <c r="Q241" s="1">
        <f ca="1">IF(AND([1]Variáveis!$E$43=9,[1]Variáveis!$L$43=1),[1]Variáveis!AL$44,Q241)</f>
        <v>10.276994159880967</v>
      </c>
      <c r="R241" s="1"/>
    </row>
    <row r="242" spans="4:18">
      <c r="D242" s="1">
        <f ca="1">IF(AND([1]Variáveis!$E$43=10,[1]Variáveis!$L$43=1),[1]Variáveis!Z$44,D242)</f>
        <v>0.20526315789473681</v>
      </c>
      <c r="E242" s="1">
        <f ca="1">IF(AND([1]Variáveis!$E$43=10,[1]Variáveis!$L$43=1),[1]Variáveis!AA$44,E242)</f>
        <v>3</v>
      </c>
      <c r="F242" s="1">
        <f ca="1">IF(AND([1]Variáveis!$E$43=10,[1]Variáveis!$L$43=1),[1]Variáveis!AB$44,F242)</f>
        <v>53.50902762232608</v>
      </c>
      <c r="G242" s="1">
        <f ca="1">IF(AND([1]Variáveis!$E$43=10,[1]Variáveis!$L$43=1),[1]Variáveis!AC$44,G242)</f>
        <v>50.393660665178245</v>
      </c>
      <c r="H242" s="1">
        <f ca="1">IF(AND([1]Variáveis!$E$43=10,[1]Variáveis!$L$43=1),[1]Variáveis!AD$44,H242)</f>
        <v>50.393660665178245</v>
      </c>
      <c r="I242" s="1">
        <f ca="1">IF(AND([1]Variáveis!$E$43=10,[1]Variáveis!$L$43=1),[1]Variáveis!AE$44,I242)</f>
        <v>2.6713654735997494</v>
      </c>
      <c r="J242" s="1">
        <f ca="1">IF(AND([1]Variáveis!$E$43=10,[1]Variáveis!$L$43=1),[1]Variáveis!AF$44,J242)</f>
        <v>18.864382714833546</v>
      </c>
      <c r="K242" s="1">
        <f ca="1">IF(AND([1]Variáveis!$E$43=10,[1]Variáveis!$L$43=1),[1]Variáveis!AG$44,K242)</f>
        <v>14.704627451671238</v>
      </c>
      <c r="L242" s="1">
        <f ca="1">IF(AND([1]Variáveis!$E$43=10,[1]Variáveis!$L$43=1),[1]Variáveis!AH$44,L242)</f>
        <v>39.281434076541615</v>
      </c>
      <c r="M242" s="1">
        <f ca="1">IF(AND([1]Variáveis!$E$43=10,[1]Variáveis!$L$43=1),[1]Variáveis!AI$44,M242)</f>
        <v>53.50902762232608</v>
      </c>
      <c r="N242" s="1">
        <f ca="1">IF(AND([1]Variáveis!$E$43=10,[1]Variáveis!$L$43=1),[1]Variáveis!AJ$44,N242)</f>
        <v>0.30499999999999999</v>
      </c>
      <c r="O242" s="72">
        <f t="shared" ca="1" si="28"/>
        <v>4.6010181114152733</v>
      </c>
      <c r="P242" s="1">
        <f ca="1">IF(AND([1]Variáveis!$E$43=10,[1]Variáveis!$L$43=1),[1]Variáveis!AK$44,P242)</f>
        <v>0.65</v>
      </c>
      <c r="Q242" s="1">
        <f ca="1">IF(AND([1]Variáveis!$E$43=10,[1]Variáveis!$L$43=1),[1]Variáveis!AL$44,Q242)</f>
        <v>10.297542647713302</v>
      </c>
      <c r="R242" s="1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90"/>
  <sheetViews>
    <sheetView zoomScale="90" workbookViewId="0">
      <selection activeCell="E41" sqref="E41"/>
    </sheetView>
  </sheetViews>
  <sheetFormatPr defaultRowHeight="12.75"/>
  <sheetData>
    <row r="1" spans="1:50">
      <c r="A1" s="17" t="s">
        <v>274</v>
      </c>
    </row>
    <row r="2" spans="1:50"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</row>
    <row r="3" spans="1:50">
      <c r="A3" t="s">
        <v>270</v>
      </c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</row>
    <row r="4" spans="1:50">
      <c r="D4" s="17"/>
      <c r="I4" s="17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</row>
    <row r="5" spans="1:50">
      <c r="A5" s="65" t="s">
        <v>110</v>
      </c>
      <c r="B5" s="61">
        <v>1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</row>
    <row r="6" spans="1:50">
      <c r="A6" s="35"/>
      <c r="B6" s="35"/>
      <c r="C6" s="35"/>
      <c r="D6" s="35"/>
      <c r="E6" s="60"/>
      <c r="F6" s="35"/>
      <c r="G6" s="35"/>
      <c r="H6" s="60"/>
      <c r="I6" s="35"/>
      <c r="J6" s="35"/>
      <c r="K6" s="35"/>
      <c r="L6" s="35"/>
      <c r="M6" s="35"/>
      <c r="N6" s="35"/>
      <c r="O6" s="35"/>
      <c r="Y6" s="35"/>
      <c r="Z6" s="37"/>
      <c r="AA6" s="40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</row>
    <row r="7" spans="1:50">
      <c r="A7" s="37"/>
      <c r="B7" s="40"/>
      <c r="C7" s="37"/>
      <c r="D7" s="35"/>
      <c r="E7" s="60"/>
      <c r="F7" s="35"/>
      <c r="G7" s="35"/>
      <c r="H7" s="60"/>
      <c r="I7" s="35"/>
      <c r="J7" s="37"/>
      <c r="K7" s="41"/>
      <c r="L7" s="37"/>
      <c r="M7" s="35"/>
      <c r="N7" s="35"/>
      <c r="O7" s="35"/>
      <c r="Y7" s="35"/>
      <c r="Z7" s="37"/>
      <c r="AA7" s="36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</row>
    <row r="8" spans="1:50">
      <c r="A8" s="37"/>
      <c r="B8" s="36"/>
      <c r="C8" s="37"/>
      <c r="D8" s="35"/>
      <c r="E8" s="60"/>
      <c r="F8" s="35"/>
      <c r="G8" s="35"/>
      <c r="H8" s="60"/>
      <c r="I8" s="35"/>
      <c r="J8" s="37"/>
      <c r="K8" s="38"/>
      <c r="L8" s="37"/>
      <c r="M8" s="35"/>
      <c r="N8" s="35"/>
      <c r="O8" s="35"/>
      <c r="Y8" s="35"/>
      <c r="Z8" s="37"/>
      <c r="AA8" s="40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</row>
    <row r="9" spans="1:50">
      <c r="A9" s="37"/>
      <c r="B9" s="40"/>
      <c r="C9" s="37"/>
      <c r="D9" s="35"/>
      <c r="E9" s="60"/>
      <c r="F9" s="35"/>
      <c r="G9" s="35"/>
      <c r="H9" s="60"/>
      <c r="I9" s="35"/>
      <c r="J9" s="37"/>
      <c r="K9" s="38"/>
      <c r="L9" s="37"/>
      <c r="M9" s="35"/>
      <c r="N9" s="35"/>
      <c r="O9" s="35"/>
      <c r="Y9" s="35"/>
      <c r="Z9" s="37"/>
      <c r="AA9" s="36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</row>
    <row r="10" spans="1:50">
      <c r="A10" s="37"/>
      <c r="B10" s="36"/>
      <c r="C10" s="37"/>
      <c r="D10" s="35"/>
      <c r="E10" s="60"/>
      <c r="F10" s="35"/>
      <c r="G10" s="35"/>
      <c r="H10" s="60"/>
      <c r="I10" s="35"/>
      <c r="J10" s="37"/>
      <c r="K10" s="38"/>
      <c r="L10" s="37"/>
      <c r="M10" s="35"/>
      <c r="N10" s="35"/>
      <c r="O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</row>
    <row r="11" spans="1:50">
      <c r="A11" s="35"/>
      <c r="B11" s="35"/>
      <c r="C11" s="35"/>
      <c r="D11" s="35"/>
      <c r="E11" s="60"/>
      <c r="F11" s="35"/>
      <c r="G11" s="35"/>
      <c r="H11" s="60"/>
      <c r="I11" s="35"/>
      <c r="J11" s="37"/>
      <c r="K11" s="38"/>
      <c r="L11" s="37"/>
      <c r="M11" s="35"/>
      <c r="N11" s="35"/>
      <c r="O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</row>
    <row r="12" spans="1:50">
      <c r="A12" s="35"/>
      <c r="B12" s="35"/>
      <c r="C12" s="35"/>
      <c r="D12" s="35"/>
      <c r="E12" s="60"/>
      <c r="F12" s="35"/>
      <c r="G12" s="35"/>
      <c r="H12" s="60"/>
      <c r="I12" s="35"/>
      <c r="J12" s="37"/>
      <c r="K12" s="38"/>
      <c r="L12" s="37"/>
      <c r="M12" s="35"/>
      <c r="N12" s="35"/>
      <c r="O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</row>
    <row r="13" spans="1:50"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</row>
    <row r="14" spans="1:50"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</row>
    <row r="15" spans="1:50">
      <c r="B15" t="s">
        <v>273</v>
      </c>
      <c r="Y15" s="35"/>
      <c r="Z15" s="35"/>
      <c r="AA15" s="35"/>
      <c r="AB15" s="35"/>
      <c r="AC15" s="35"/>
      <c r="AD15" s="35"/>
      <c r="AE15" s="37"/>
      <c r="AF15" s="35"/>
      <c r="AG15" s="35"/>
      <c r="AH15" s="35"/>
      <c r="AI15" s="35"/>
      <c r="AJ15" s="35"/>
      <c r="AK15" s="37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</row>
    <row r="16" spans="1:50">
      <c r="Y16" s="35"/>
      <c r="Z16" s="35"/>
      <c r="AA16" s="35"/>
      <c r="AB16" s="35"/>
      <c r="AC16" s="35"/>
      <c r="AD16" s="35"/>
      <c r="AE16" s="37"/>
      <c r="AF16" s="35"/>
      <c r="AG16" s="35"/>
      <c r="AH16" s="35"/>
      <c r="AI16" s="35"/>
      <c r="AJ16" s="35"/>
      <c r="AK16" s="37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</row>
    <row r="17" spans="2:50"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</row>
    <row r="18" spans="2:50">
      <c r="B18" s="9" t="s">
        <v>29</v>
      </c>
      <c r="D18" s="9" t="s">
        <v>57</v>
      </c>
      <c r="E18" s="9" t="s">
        <v>40</v>
      </c>
      <c r="F18" s="9" t="s">
        <v>110</v>
      </c>
      <c r="G18" s="9" t="s">
        <v>35</v>
      </c>
      <c r="H18" s="9" t="s">
        <v>116</v>
      </c>
      <c r="I18" s="9" t="s">
        <v>103</v>
      </c>
      <c r="J18" s="9" t="s">
        <v>104</v>
      </c>
      <c r="K18" s="9" t="s">
        <v>106</v>
      </c>
      <c r="L18" s="9" t="s">
        <v>123</v>
      </c>
      <c r="M18" s="9" t="s">
        <v>227</v>
      </c>
      <c r="N18" s="9" t="s">
        <v>220</v>
      </c>
      <c r="O18" s="47" t="s">
        <v>221</v>
      </c>
      <c r="P18" s="9" t="s">
        <v>222</v>
      </c>
      <c r="Q18" s="9" t="s">
        <v>223</v>
      </c>
      <c r="R18" s="9" t="s">
        <v>137</v>
      </c>
      <c r="S18" s="9" t="s">
        <v>141</v>
      </c>
      <c r="T18" s="23"/>
      <c r="U18" s="9" t="s">
        <v>228</v>
      </c>
      <c r="W18" s="9" t="s">
        <v>224</v>
      </c>
      <c r="Y18" s="35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5"/>
      <c r="AP18" s="35"/>
      <c r="AQ18" s="35"/>
      <c r="AR18" s="35"/>
      <c r="AS18" s="35"/>
      <c r="AT18" s="35"/>
      <c r="AU18" s="35"/>
      <c r="AV18" s="35"/>
      <c r="AW18" s="35"/>
      <c r="AX18" s="35"/>
    </row>
    <row r="19" spans="2:50">
      <c r="B19" s="9" t="s">
        <v>30</v>
      </c>
      <c r="D19" s="9" t="s">
        <v>4</v>
      </c>
      <c r="E19" s="9" t="s">
        <v>1</v>
      </c>
      <c r="G19" s="9" t="s">
        <v>98</v>
      </c>
      <c r="I19" s="9" t="s">
        <v>40</v>
      </c>
      <c r="J19" s="9" t="s">
        <v>100</v>
      </c>
      <c r="K19" s="9" t="s">
        <v>40</v>
      </c>
      <c r="L19" s="9" t="s">
        <v>100</v>
      </c>
      <c r="M19" s="9" t="s">
        <v>34</v>
      </c>
      <c r="N19" s="9" t="s">
        <v>34</v>
      </c>
      <c r="O19" s="48" t="s">
        <v>107</v>
      </c>
      <c r="P19" s="9" t="s">
        <v>225</v>
      </c>
      <c r="Q19" s="9" t="s">
        <v>226</v>
      </c>
      <c r="S19" s="9" t="s">
        <v>34</v>
      </c>
      <c r="T19" s="23"/>
      <c r="U19" s="9" t="s">
        <v>100</v>
      </c>
      <c r="Y19" s="35"/>
      <c r="Z19" s="35"/>
      <c r="AA19" s="35"/>
      <c r="AB19" s="37"/>
      <c r="AC19" s="37"/>
      <c r="AD19" s="37"/>
      <c r="AE19" s="37"/>
      <c r="AF19" s="37"/>
      <c r="AG19" s="37"/>
      <c r="AH19" s="37"/>
      <c r="AI19" s="35"/>
      <c r="AJ19" s="35"/>
      <c r="AK19" s="35"/>
      <c r="AL19" s="37"/>
      <c r="AM19" s="37"/>
      <c r="AN19" s="37"/>
      <c r="AO19" s="35"/>
      <c r="AP19" s="35"/>
      <c r="AQ19" s="35"/>
      <c r="AR19" s="35"/>
      <c r="AS19" s="35"/>
      <c r="AT19" s="35"/>
      <c r="AU19" s="35"/>
      <c r="AV19" s="35"/>
      <c r="AW19" s="35"/>
      <c r="AX19" s="35"/>
    </row>
    <row r="20" spans="2:50">
      <c r="T20" s="6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</row>
    <row r="21" spans="2:50">
      <c r="B21" s="66">
        <f>ISA!E21</f>
        <v>1.2249994633486807</v>
      </c>
      <c r="D21" s="1">
        <f>Propeller!$B$8</f>
        <v>0.30479999999999996</v>
      </c>
      <c r="E21" s="59">
        <v>1E-4</v>
      </c>
      <c r="F21" s="49">
        <f t="shared" ref="F21:F40" ca="1" si="0">IF(ISERROR(W21),1,W21)</f>
        <v>0.87677100064064939</v>
      </c>
      <c r="G21" s="19">
        <f ca="1">MAX(Motor!$B$7,K21*Motor!$B$7)</f>
        <v>10268.083629110035</v>
      </c>
      <c r="H21" s="10">
        <f ca="1">E21/(G21/60*D21)*Propulsão!J21</f>
        <v>1.8493072787242049E-6</v>
      </c>
      <c r="I21" s="13">
        <f ca="1">F21*Energy!$B$6</f>
        <v>10.389736357591696</v>
      </c>
      <c r="J21" s="51">
        <f ca="1">IF(ISERROR(U21),Motor!$B$10,MIN(Motor!$B$10,U21))</f>
        <v>47</v>
      </c>
      <c r="K21" s="20">
        <f ca="1">I21-Motor!$B$9*J21</f>
        <v>8.5567363575916957</v>
      </c>
      <c r="L21" s="14">
        <f ca="1">MAX(Motor!$B$8,J21-Motor!$B$8)</f>
        <v>44.7</v>
      </c>
      <c r="M21" s="14">
        <f ca="1">I21*J21</f>
        <v>488.31760880680969</v>
      </c>
      <c r="N21" s="20">
        <f ca="1">K21*L21</f>
        <v>382.48611518434882</v>
      </c>
      <c r="O21" s="1">
        <f ca="1">N21/(G21/60*(2*PI()))</f>
        <v>0.35571129781038607</v>
      </c>
      <c r="P21" s="10">
        <f ca="1">N21/(B21*(G21/60)^3*D21^5)</f>
        <v>2.3680481140458343E-2</v>
      </c>
      <c r="Q21" s="10">
        <f ca="1">Propeller!$B$15+Propeller!$B$16*H21+Propeller!$B$17*H21^2+Propeller!$B$18*H21^3+Propeller!$B$19*H21^4+Propeller!$B$20*H21^5+Propeller!$B$21*H21^6</f>
        <v>2.3680481140458932E-2</v>
      </c>
      <c r="R21" s="10">
        <f ca="1">(Propeller!$B$23+Propeller!$B$24*H21+Propeller!$B$25*H21^2+Propeller!$B$26*H21^3+Propeller!$B$27*H21^4+Propeller!$B$28*H21^5+Propeller!$B$29*H21^6)*Propulsão!M21</f>
        <v>6.6509698062001262E-6</v>
      </c>
      <c r="S21" s="19">
        <f ca="1">N21*R21</f>
        <v>2.5439036033818876E-3</v>
      </c>
      <c r="T21" s="19"/>
      <c r="U21" s="14">
        <f ca="1">MAX(Motor!$B$8,J21+0.05*(Q21/P21-1)*J21)</f>
        <v>47.000000000000057</v>
      </c>
      <c r="V21" s="50" t="str">
        <f ca="1">IF(ABS(Q21/P21-1)&lt;0.01,"OK","iterate")</f>
        <v>OK</v>
      </c>
      <c r="W21" s="1">
        <f ca="1">IF(U21&gt;Motor!$B$10,F21+0.05*(Motor!$B$10/U21-1)*F21,MIN(1,$B$5))</f>
        <v>0.87677100064064939</v>
      </c>
      <c r="X21" s="50" t="str">
        <f ca="1">IF(ABS((P21-Q21)/Q21)&lt;0.01,"OK","iterate")</f>
        <v>OK</v>
      </c>
      <c r="Y21" s="50"/>
      <c r="Z21" s="36">
        <f ca="1">S21/E21</f>
        <v>25.439036033818873</v>
      </c>
      <c r="AA21" s="36"/>
      <c r="AB21" s="36"/>
      <c r="AC21" s="38"/>
      <c r="AD21" s="41"/>
      <c r="AE21" s="40"/>
      <c r="AF21" s="38"/>
      <c r="AG21" s="40"/>
      <c r="AH21" s="40"/>
      <c r="AI21" s="36"/>
      <c r="AJ21" s="36"/>
      <c r="AK21" s="36"/>
      <c r="AL21" s="40"/>
      <c r="AM21" s="40"/>
      <c r="AN21" s="38"/>
      <c r="AO21" s="35"/>
      <c r="AP21" s="35"/>
      <c r="AQ21" s="35"/>
      <c r="AR21" s="35"/>
      <c r="AS21" s="35"/>
      <c r="AT21" s="35"/>
      <c r="AU21" s="35"/>
      <c r="AV21" s="35"/>
      <c r="AW21" s="35"/>
      <c r="AX21" s="35"/>
    </row>
    <row r="22" spans="2:50">
      <c r="B22" s="66">
        <f>ISA!E22</f>
        <v>1.2249994633486807</v>
      </c>
      <c r="D22" s="1">
        <f>Propeller!$B$8</f>
        <v>0.30479999999999996</v>
      </c>
      <c r="E22" s="59">
        <f>E21+($E$40-$E$21)/19</f>
        <v>1.5790421052631578</v>
      </c>
      <c r="F22" s="49">
        <f t="shared" ca="1" si="0"/>
        <v>0.87592915319818943</v>
      </c>
      <c r="G22" s="19">
        <f ca="1">MAX(Motor!$B$7,K22*Motor!$B$7)</f>
        <v>10256.112558478255</v>
      </c>
      <c r="H22" s="10">
        <f ca="1">E22/(G22/60*D22)*Propulsão!J22</f>
        <v>2.9235424778857766E-2</v>
      </c>
      <c r="I22" s="13">
        <f ca="1">F22*Energy!$B$6</f>
        <v>10.379760465398546</v>
      </c>
      <c r="J22" s="51">
        <f ca="1">IF(ISERROR(U22),Motor!$B$10,MIN(Motor!$B$10,U22))</f>
        <v>47</v>
      </c>
      <c r="K22" s="20">
        <f ca="1">I22-Motor!$B$9*J22</f>
        <v>8.5467604653985454</v>
      </c>
      <c r="L22" s="14">
        <f ca="1">MAX(Motor!$B$8,J22-Motor!$B$8)</f>
        <v>44.7</v>
      </c>
      <c r="M22" s="14">
        <f t="shared" ref="M22:M40" ca="1" si="1">I22*J22</f>
        <v>487.84874187373163</v>
      </c>
      <c r="N22" s="20">
        <f t="shared" ref="N22:N40" ca="1" si="2">K22*L22</f>
        <v>382.04019280331499</v>
      </c>
      <c r="O22" s="1">
        <f t="shared" ref="O22:O40" ca="1" si="3">N22/(G22/60*(2*PI()))</f>
        <v>0.35571129781038602</v>
      </c>
      <c r="P22" s="10">
        <f t="shared" ref="P22:P40" ca="1" si="4">N22/(B22*(G22/60)^3*D22^5)</f>
        <v>2.3735793745879478E-2</v>
      </c>
      <c r="Q22" s="10">
        <f ca="1">Propeller!$B$15+Propeller!$B$16*H22+Propeller!$B$17*H22^2+Propeller!$B$18*H22^3+Propeller!$B$19*H22^4+Propeller!$B$20*H22^5+Propeller!$B$21*H22^6</f>
        <v>2.3735793745880071E-2</v>
      </c>
      <c r="R22" s="10">
        <f ca="1">(Propeller!$B$23+Propeller!$B$24*H22+Propeller!$B$25*H22^2+Propeller!$B$26*H22^3+Propeller!$B$27*H22^4+Propeller!$B$28*H22^5+Propeller!$B$29*H22^6)*Propulsão!M22</f>
        <v>9.6880687587108397E-2</v>
      </c>
      <c r="S22" s="19">
        <f t="shared" ref="S22:S40" ca="1" si="5">N22*R22</f>
        <v>37.012316564696619</v>
      </c>
      <c r="T22" s="19"/>
      <c r="U22" s="14">
        <f ca="1">MAX(Motor!$B$8,J22+0.05*(Q22/P22-1)*J22)</f>
        <v>47.000000000000057</v>
      </c>
      <c r="V22" s="50" t="str">
        <f t="shared" ref="V22:V40" ca="1" si="6">IF(ABS((Q22-P22)/P22)&lt;0.01,"OK","iterate")</f>
        <v>OK</v>
      </c>
      <c r="W22" s="1">
        <f ca="1">IF(U22&gt;Motor!$B$10,F22+0.05*(Motor!$B$10/U22-1)*F22,MIN(1,$B$5))</f>
        <v>0.87592915319818943</v>
      </c>
      <c r="X22" s="50" t="str">
        <f t="shared" ref="X22:X40" ca="1" si="7">IF(ABS((P22-Q22)/Q22)&lt;0.01,"OK","iterate")</f>
        <v>OK</v>
      </c>
      <c r="Y22" s="35"/>
      <c r="Z22" s="36">
        <f t="shared" ref="Z22:Z40" ca="1" si="8">S22/E22</f>
        <v>23.439727440661422</v>
      </c>
      <c r="AA22" s="36"/>
      <c r="AB22" s="36"/>
      <c r="AC22" s="38"/>
      <c r="AD22" s="41"/>
      <c r="AE22" s="40"/>
      <c r="AF22" s="38"/>
      <c r="AG22" s="40"/>
      <c r="AH22" s="40"/>
      <c r="AI22" s="36"/>
      <c r="AJ22" s="36"/>
      <c r="AK22" s="36"/>
      <c r="AL22" s="40"/>
      <c r="AM22" s="40"/>
      <c r="AN22" s="38"/>
      <c r="AO22" s="35"/>
      <c r="AP22" s="35"/>
      <c r="AQ22" s="35"/>
      <c r="AR22" s="35"/>
      <c r="AS22" s="35"/>
      <c r="AT22" s="35"/>
      <c r="AU22" s="35"/>
      <c r="AV22" s="35"/>
      <c r="AW22" s="35"/>
      <c r="AX22" s="35"/>
    </row>
    <row r="23" spans="2:50">
      <c r="B23" s="66">
        <f>ISA!E23</f>
        <v>1.2249994633486807</v>
      </c>
      <c r="C23" s="6"/>
      <c r="D23" s="1">
        <f>Propeller!$B$8</f>
        <v>0.30479999999999996</v>
      </c>
      <c r="E23" s="59">
        <f t="shared" ref="E23:E39" si="9">E22+($E$40-$E$21)/19</f>
        <v>3.1579842105263154</v>
      </c>
      <c r="F23" s="49">
        <f t="shared" ca="1" si="0"/>
        <v>0.87557966166092238</v>
      </c>
      <c r="G23" s="19">
        <f ca="1">MAX(Motor!$B$7,K23*Motor!$B$7)</f>
        <v>10251.142788818319</v>
      </c>
      <c r="H23" s="10">
        <f ca="1">E23/(G23/60*D23)*Propulsão!J23</f>
        <v>5.849734395135768E-2</v>
      </c>
      <c r="I23" s="13">
        <f ca="1">F23*Energy!$B$6</f>
        <v>10.375618990681932</v>
      </c>
      <c r="J23" s="51">
        <f ca="1">IF(ISERROR(U23),Motor!$B$10,MIN(Motor!$B$10,U23))</f>
        <v>47</v>
      </c>
      <c r="K23" s="20">
        <f ca="1">I23-Motor!$B$9*J23</f>
        <v>8.5426189906819321</v>
      </c>
      <c r="L23" s="14">
        <f ca="1">MAX(Motor!$B$8,J23-Motor!$B$8)</f>
        <v>44.7</v>
      </c>
      <c r="M23" s="14">
        <f t="shared" ca="1" si="1"/>
        <v>487.65409256205083</v>
      </c>
      <c r="N23" s="20">
        <f t="shared" ca="1" si="2"/>
        <v>381.85506888348237</v>
      </c>
      <c r="O23" s="1">
        <f t="shared" ca="1" si="3"/>
        <v>0.35571129781038613</v>
      </c>
      <c r="P23" s="10">
        <f t="shared" ca="1" si="4"/>
        <v>2.3758813622586594E-2</v>
      </c>
      <c r="Q23" s="10">
        <f ca="1">Propeller!$B$15+Propeller!$B$16*H23+Propeller!$B$17*H23^2+Propeller!$B$18*H23^3+Propeller!$B$19*H23^4+Propeller!$B$20*H23^5+Propeller!$B$21*H23^6</f>
        <v>2.3758813622587201E-2</v>
      </c>
      <c r="R23" s="10">
        <f ca="1">(Propeller!$B$23+Propeller!$B$24*H23+Propeller!$B$25*H23^2+Propeller!$B$26*H23^3+Propeller!$B$27*H23^4+Propeller!$B$28*H23^5+Propeller!$B$29*H23^6)*Propulsão!M23</f>
        <v>0.18205624710286447</v>
      </c>
      <c r="S23" s="19">
        <f t="shared" ca="1" si="5"/>
        <v>69.519100778132596</v>
      </c>
      <c r="T23" s="19"/>
      <c r="U23" s="14">
        <f ca="1">MAX(Motor!$B$8,J23+0.05*(Q23/P23-1)*J23)</f>
        <v>47.000000000000057</v>
      </c>
      <c r="V23" s="50" t="str">
        <f t="shared" ca="1" si="6"/>
        <v>OK</v>
      </c>
      <c r="W23" s="1">
        <f ca="1">IF(U23&gt;Motor!$B$10,F23+0.05*(Motor!$B$10/U23-1)*F23,MIN(1,$B$5))</f>
        <v>0.87557966166092238</v>
      </c>
      <c r="X23" s="50" t="str">
        <f t="shared" ca="1" si="7"/>
        <v>OK</v>
      </c>
      <c r="Y23" s="35"/>
      <c r="Z23" s="36">
        <f t="shared" ca="1" si="8"/>
        <v>22.013758189926609</v>
      </c>
      <c r="AA23" s="36"/>
      <c r="AB23" s="36"/>
      <c r="AC23" s="38"/>
      <c r="AD23" s="41"/>
      <c r="AE23" s="40"/>
      <c r="AF23" s="38"/>
      <c r="AG23" s="40"/>
      <c r="AH23" s="40"/>
      <c r="AI23" s="36"/>
      <c r="AJ23" s="36"/>
      <c r="AK23" s="36"/>
      <c r="AL23" s="40"/>
      <c r="AM23" s="40"/>
      <c r="AN23" s="38"/>
      <c r="AO23" s="35"/>
      <c r="AP23" s="35"/>
      <c r="AQ23" s="35"/>
      <c r="AR23" s="35"/>
      <c r="AS23" s="35"/>
      <c r="AT23" s="35"/>
      <c r="AU23" s="35"/>
      <c r="AV23" s="35"/>
      <c r="AW23" s="35"/>
      <c r="AX23" s="35"/>
    </row>
    <row r="24" spans="2:50">
      <c r="B24" s="66">
        <f>ISA!E24</f>
        <v>1.2249994633486807</v>
      </c>
      <c r="C24" s="20"/>
      <c r="D24" s="1">
        <f>Propeller!$B$8</f>
        <v>0.30479999999999996</v>
      </c>
      <c r="E24" s="59">
        <f t="shared" si="9"/>
        <v>4.7369263157894732</v>
      </c>
      <c r="F24" s="49">
        <f t="shared" ca="1" si="0"/>
        <v>0.875987673825253</v>
      </c>
      <c r="G24" s="19">
        <f ca="1">MAX(Motor!$B$7,K24*Motor!$B$7)</f>
        <v>10256.9447217951</v>
      </c>
      <c r="H24" s="10">
        <f ca="1">E24/(G24/60*D24)*Propulsão!J24</f>
        <v>8.7695455946618261E-2</v>
      </c>
      <c r="I24" s="13">
        <f ca="1">F24*Energy!$B$6</f>
        <v>10.38045393482925</v>
      </c>
      <c r="J24" s="51">
        <f ca="1">IF(ISERROR(U24),Motor!$B$10,MIN(Motor!$B$10,U24))</f>
        <v>47</v>
      </c>
      <c r="K24" s="20">
        <f ca="1">I24-Motor!$B$9*J24</f>
        <v>8.5474539348292495</v>
      </c>
      <c r="L24" s="14">
        <f ca="1">MAX(Motor!$B$8,J24-Motor!$B$8)</f>
        <v>44.7</v>
      </c>
      <c r="M24" s="14">
        <f t="shared" ca="1" si="1"/>
        <v>487.88133493697472</v>
      </c>
      <c r="N24" s="20">
        <f t="shared" ca="1" si="2"/>
        <v>382.0711908868675</v>
      </c>
      <c r="O24" s="1">
        <f t="shared" ca="1" si="3"/>
        <v>0.35571129781038607</v>
      </c>
      <c r="P24" s="10">
        <f t="shared" ca="1" si="4"/>
        <v>2.3731942451731314E-2</v>
      </c>
      <c r="Q24" s="10">
        <f ca="1">Propeller!$B$15+Propeller!$B$16*H24+Propeller!$B$17*H24^2+Propeller!$B$18*H24^3+Propeller!$B$19*H24^4+Propeller!$B$20*H24^5+Propeller!$B$21*H24^6</f>
        <v>2.3731942451731918E-2</v>
      </c>
      <c r="R24" s="10">
        <f ca="1">(Propeller!$B$23+Propeller!$B$24*H24+Propeller!$B$25*H24^2+Propeller!$B$26*H24^3+Propeller!$B$27*H24^4+Propeller!$B$28*H24^5+Propeller!$B$29*H24^6)*Propulsão!M24</f>
        <v>0.25955496199526085</v>
      </c>
      <c r="S24" s="19">
        <f t="shared" ca="1" si="5"/>
        <v>99.168473430124948</v>
      </c>
      <c r="T24" s="19"/>
      <c r="U24" s="14">
        <f ca="1">MAX(Motor!$B$8,J24+0.05*(Q24/P24-1)*J24)</f>
        <v>47.000000000000057</v>
      </c>
      <c r="V24" s="50" t="str">
        <f t="shared" ca="1" si="6"/>
        <v>OK</v>
      </c>
      <c r="W24" s="1">
        <f ca="1">IF(U24&gt;Motor!$B$10,F24+0.05*(Motor!$B$10/U24-1)*F24,MIN(1,$B$5))</f>
        <v>0.875987673825253</v>
      </c>
      <c r="X24" s="50" t="str">
        <f t="shared" ca="1" si="7"/>
        <v>OK</v>
      </c>
      <c r="Y24" s="35"/>
      <c r="Z24" s="36">
        <f t="shared" ca="1" si="8"/>
        <v>20.935194431792038</v>
      </c>
      <c r="AA24" s="36"/>
      <c r="AB24" s="36"/>
      <c r="AC24" s="38"/>
      <c r="AD24" s="41"/>
      <c r="AE24" s="40"/>
      <c r="AF24" s="38"/>
      <c r="AG24" s="40"/>
      <c r="AH24" s="40"/>
      <c r="AI24" s="36"/>
      <c r="AJ24" s="36"/>
      <c r="AK24" s="36"/>
      <c r="AL24" s="40"/>
      <c r="AM24" s="40"/>
      <c r="AN24" s="38"/>
      <c r="AO24" s="35"/>
      <c r="AP24" s="35"/>
      <c r="AQ24" s="35"/>
      <c r="AR24" s="35"/>
      <c r="AS24" s="35"/>
      <c r="AT24" s="35"/>
      <c r="AU24" s="35"/>
      <c r="AV24" s="35"/>
      <c r="AW24" s="35"/>
      <c r="AX24" s="35"/>
    </row>
    <row r="25" spans="2:50">
      <c r="B25" s="66">
        <f>ISA!E25</f>
        <v>1.2249994633486807</v>
      </c>
      <c r="C25" s="6"/>
      <c r="D25" s="1">
        <f>Propeller!$B$8</f>
        <v>0.30479999999999996</v>
      </c>
      <c r="E25" s="59">
        <f t="shared" si="9"/>
        <v>6.315868421052631</v>
      </c>
      <c r="F25" s="49">
        <f t="shared" ca="1" si="0"/>
        <v>0.87740176022545946</v>
      </c>
      <c r="G25" s="19">
        <f ca="1">MAX(Motor!$B$7,K25*Motor!$B$7)</f>
        <v>10277.053030406036</v>
      </c>
      <c r="H25" s="10">
        <f ca="1">E25/(G25/60*D25)*Propulsão!J25</f>
        <v>0.11669787621352704</v>
      </c>
      <c r="I25" s="13">
        <f ca="1">F25*Energy!$B$6</f>
        <v>10.397210858671697</v>
      </c>
      <c r="J25" s="51">
        <f ca="1">IF(ISERROR(U25),Motor!$B$10,MIN(Motor!$B$10,U25))</f>
        <v>47</v>
      </c>
      <c r="K25" s="20">
        <f ca="1">I25-Motor!$B$9*J25</f>
        <v>8.5642108586716965</v>
      </c>
      <c r="L25" s="14">
        <f ca="1">MAX(Motor!$B$8,J25-Motor!$B$8)</f>
        <v>44.7</v>
      </c>
      <c r="M25" s="14">
        <f t="shared" ca="1" si="1"/>
        <v>488.66891035756976</v>
      </c>
      <c r="N25" s="20">
        <f t="shared" ca="1" si="2"/>
        <v>382.82022538262487</v>
      </c>
      <c r="O25" s="1">
        <f t="shared" ca="1" si="3"/>
        <v>0.35571129781038613</v>
      </c>
      <c r="P25" s="10">
        <f t="shared" ca="1" si="4"/>
        <v>2.363916442240695E-2</v>
      </c>
      <c r="Q25" s="10">
        <f ca="1">Propeller!$B$15+Propeller!$B$16*H25+Propeller!$B$17*H25^2+Propeller!$B$18*H25^3+Propeller!$B$19*H25^4+Propeller!$B$20*H25^5+Propeller!$B$21*H25^6</f>
        <v>2.3639164422407554E-2</v>
      </c>
      <c r="R25" s="10">
        <f ca="1">(Propeller!$B$23+Propeller!$B$24*H25+Propeller!$B$25*H25^2+Propeller!$B$26*H25^3+Propeller!$B$27*H25^4+Propeller!$B$28*H25^5+Propeller!$B$29*H25^6)*Propulsão!M25</f>
        <v>0.33087770872069344</v>
      </c>
      <c r="S25" s="19">
        <f t="shared" ca="1" si="5"/>
        <v>126.66667902654237</v>
      </c>
      <c r="T25" s="19"/>
      <c r="U25" s="14">
        <f ca="1">MAX(Motor!$B$8,J25+0.05*(Q25/P25-1)*J25)</f>
        <v>47.000000000000057</v>
      </c>
      <c r="V25" s="50" t="str">
        <f t="shared" ca="1" si="6"/>
        <v>OK</v>
      </c>
      <c r="W25" s="1">
        <f ca="1">IF(U25&gt;Motor!$B$10,F25+0.05*(Motor!$B$10/U25-1)*F25,MIN(1,$B$5))</f>
        <v>0.87740176022545946</v>
      </c>
      <c r="X25" s="50" t="str">
        <f t="shared" ca="1" si="7"/>
        <v>OK</v>
      </c>
      <c r="Y25" s="35"/>
      <c r="Z25" s="36">
        <f t="shared" ca="1" si="8"/>
        <v>20.055306821200613</v>
      </c>
      <c r="AA25" s="36"/>
      <c r="AB25" s="36"/>
      <c r="AC25" s="38"/>
      <c r="AD25" s="41"/>
      <c r="AE25" s="40"/>
      <c r="AF25" s="38"/>
      <c r="AG25" s="40"/>
      <c r="AH25" s="40"/>
      <c r="AI25" s="36"/>
      <c r="AJ25" s="36"/>
      <c r="AK25" s="36"/>
      <c r="AL25" s="40"/>
      <c r="AM25" s="40"/>
      <c r="AN25" s="38"/>
      <c r="AO25" s="35"/>
      <c r="AP25" s="35"/>
      <c r="AQ25" s="35"/>
      <c r="AR25" s="35"/>
      <c r="AS25" s="35"/>
      <c r="AT25" s="35"/>
      <c r="AU25" s="35"/>
      <c r="AV25" s="35"/>
      <c r="AW25" s="35"/>
      <c r="AX25" s="35"/>
    </row>
    <row r="26" spans="2:50">
      <c r="B26" s="66">
        <f>ISA!E26</f>
        <v>1.2249994633486807</v>
      </c>
      <c r="D26" s="1">
        <f>Propeller!$B$8</f>
        <v>0.30479999999999996</v>
      </c>
      <c r="E26" s="59">
        <f t="shared" si="9"/>
        <v>7.8948105263157888</v>
      </c>
      <c r="F26" s="49">
        <f t="shared" ca="1" si="0"/>
        <v>0.88004638423647796</v>
      </c>
      <c r="G26" s="19">
        <f ca="1">MAX(Motor!$B$7,K26*Motor!$B$7)</f>
        <v>10314.659583842718</v>
      </c>
      <c r="H26" s="10">
        <f ca="1">E26/(G26/60*D26)*Propulsão!J26</f>
        <v>0.14534004429148317</v>
      </c>
      <c r="I26" s="13">
        <f ca="1">F26*Energy!$B$6</f>
        <v>10.428549653202266</v>
      </c>
      <c r="J26" s="51">
        <f ca="1">IF(ISERROR(U26),Motor!$B$10,MIN(Motor!$B$10,U26))</f>
        <v>47</v>
      </c>
      <c r="K26" s="20">
        <f ca="1">I26-Motor!$B$9*J26</f>
        <v>8.5955496532022657</v>
      </c>
      <c r="L26" s="14">
        <f ca="1">MAX(Motor!$B$8,J26-Motor!$B$8)</f>
        <v>44.7</v>
      </c>
      <c r="M26" s="14">
        <f t="shared" ca="1" si="1"/>
        <v>490.14183370050648</v>
      </c>
      <c r="N26" s="20">
        <f t="shared" ca="1" si="2"/>
        <v>384.22106949814128</v>
      </c>
      <c r="O26" s="1">
        <f t="shared" ca="1" si="3"/>
        <v>0.35571129781038613</v>
      </c>
      <c r="P26" s="10">
        <f t="shared" ca="1" si="4"/>
        <v>2.3467105054166697E-2</v>
      </c>
      <c r="Q26" s="10">
        <f ca="1">Propeller!$B$15+Propeller!$B$16*H26+Propeller!$B$17*H26^2+Propeller!$B$18*H26^3+Propeller!$B$19*H26^4+Propeller!$B$20*H26^5+Propeller!$B$21*H26^6</f>
        <v>2.3467105054167294E-2</v>
      </c>
      <c r="R26" s="10">
        <f ca="1">(Propeller!$B$23+Propeller!$B$24*H26+Propeller!$B$25*H26^2+Propeller!$B$26*H26^3+Propeller!$B$27*H26^4+Propeller!$B$28*H26^5+Propeller!$B$29*H26^6)*Propulsão!M26</f>
        <v>0.39580721522622231</v>
      </c>
      <c r="S26" s="19">
        <f t="shared" ca="1" si="5"/>
        <v>152.07747154930013</v>
      </c>
      <c r="T26" s="19"/>
      <c r="U26" s="14">
        <f ca="1">MAX(Motor!$B$8,J26+0.05*(Q26/P26-1)*J26)</f>
        <v>47.000000000000057</v>
      </c>
      <c r="V26" s="50" t="str">
        <f t="shared" ca="1" si="6"/>
        <v>OK</v>
      </c>
      <c r="W26" s="1">
        <f ca="1">IF(U26&gt;Motor!$B$10,F26+0.05*(Motor!$B$10/U26-1)*F26,MIN(1,$B$5))</f>
        <v>0.88004638423647796</v>
      </c>
      <c r="X26" s="50" t="str">
        <f t="shared" ca="1" si="7"/>
        <v>OK</v>
      </c>
      <c r="Y26" s="35"/>
      <c r="Z26" s="36">
        <f t="shared" ca="1" si="8"/>
        <v>19.262966608556336</v>
      </c>
      <c r="AA26" s="36"/>
      <c r="AB26" s="36"/>
      <c r="AC26" s="38"/>
      <c r="AD26" s="41"/>
      <c r="AE26" s="40"/>
      <c r="AF26" s="38"/>
      <c r="AG26" s="40"/>
      <c r="AH26" s="40"/>
      <c r="AI26" s="36"/>
      <c r="AJ26" s="36"/>
      <c r="AK26" s="36"/>
      <c r="AL26" s="40"/>
      <c r="AM26" s="40"/>
      <c r="AN26" s="38"/>
      <c r="AO26" s="35"/>
      <c r="AP26" s="35"/>
      <c r="AQ26" s="35"/>
      <c r="AR26" s="35"/>
      <c r="AS26" s="35"/>
      <c r="AT26" s="35"/>
      <c r="AU26" s="35"/>
      <c r="AV26" s="35"/>
      <c r="AW26" s="35"/>
      <c r="AX26" s="35"/>
    </row>
    <row r="27" spans="2:50">
      <c r="B27" s="66">
        <f>ISA!E27</f>
        <v>1.2249994633486807</v>
      </c>
      <c r="D27" s="1">
        <f>Propeller!$B$8</f>
        <v>0.30479999999999996</v>
      </c>
      <c r="E27" s="59">
        <f t="shared" si="9"/>
        <v>9.4737526315789466</v>
      </c>
      <c r="F27" s="49">
        <f t="shared" ca="1" si="0"/>
        <v>0.88411384037506402</v>
      </c>
      <c r="G27" s="19">
        <f ca="1">MAX(Motor!$B$7,K27*Motor!$B$7)</f>
        <v>10372.498810133413</v>
      </c>
      <c r="H27" s="10">
        <f ca="1">E27/(G27/60*D27)*Propulsão!J27</f>
        <v>0.17343515117060102</v>
      </c>
      <c r="I27" s="13">
        <f ca="1">F27*Energy!$B$6</f>
        <v>10.476749008444511</v>
      </c>
      <c r="J27" s="51">
        <f ca="1">IF(ISERROR(U27),Motor!$B$10,MIN(Motor!$B$10,U27))</f>
        <v>47</v>
      </c>
      <c r="K27" s="20">
        <f ca="1">I27-Motor!$B$9*J27</f>
        <v>8.6437490084445106</v>
      </c>
      <c r="L27" s="14">
        <f ca="1">MAX(Motor!$B$8,J27-Motor!$B$8)</f>
        <v>44.7</v>
      </c>
      <c r="M27" s="14">
        <f t="shared" ca="1" si="1"/>
        <v>492.40720339689199</v>
      </c>
      <c r="N27" s="20">
        <f t="shared" ca="1" si="2"/>
        <v>386.37558067746966</v>
      </c>
      <c r="O27" s="1">
        <f t="shared" ca="1" si="3"/>
        <v>0.35571129781038618</v>
      </c>
      <c r="P27" s="10">
        <f t="shared" ca="1" si="4"/>
        <v>2.3206119755196538E-2</v>
      </c>
      <c r="Q27" s="10">
        <f ca="1">Propeller!$B$15+Propeller!$B$16*H27+Propeller!$B$17*H27^2+Propeller!$B$18*H27^3+Propeller!$B$19*H27^4+Propeller!$B$20*H27^5+Propeller!$B$21*H27^6</f>
        <v>2.3206119755197131E-2</v>
      </c>
      <c r="R27" s="10">
        <f ca="1">(Propeller!$B$23+Propeller!$B$24*H27+Propeller!$B$25*H27^2+Propeller!$B$26*H27^3+Propeller!$B$27*H27^4+Propeller!$B$28*H27^5+Propeller!$B$29*H27^6)*Propulsão!M27</f>
        <v>0.45357665511277845</v>
      </c>
      <c r="S27" s="19">
        <f t="shared" ca="1" si="5"/>
        <v>175.25094350094415</v>
      </c>
      <c r="T27" s="19"/>
      <c r="U27" s="14">
        <f ca="1">MAX(Motor!$B$8,J27+0.05*(Q27/P27-1)*J27)</f>
        <v>47.000000000000057</v>
      </c>
      <c r="V27" s="50" t="str">
        <f t="shared" ca="1" si="6"/>
        <v>OK</v>
      </c>
      <c r="W27" s="1">
        <f ca="1">IF(U27&gt;Motor!$B$10,F27+0.05*(Motor!$B$10/U27-1)*F27,MIN(1,$B$5))</f>
        <v>0.88411384037506402</v>
      </c>
      <c r="X27" s="50" t="str">
        <f t="shared" ca="1" si="7"/>
        <v>OK</v>
      </c>
      <c r="Y27" s="35"/>
      <c r="Z27" s="36">
        <f t="shared" ca="1" si="8"/>
        <v>18.498577102042812</v>
      </c>
      <c r="AA27" s="36"/>
      <c r="AB27" s="36"/>
      <c r="AC27" s="38"/>
      <c r="AD27" s="41"/>
      <c r="AE27" s="40"/>
      <c r="AF27" s="38"/>
      <c r="AG27" s="40"/>
      <c r="AH27" s="40"/>
      <c r="AI27" s="36"/>
      <c r="AJ27" s="36"/>
      <c r="AK27" s="36"/>
      <c r="AL27" s="40"/>
      <c r="AM27" s="40"/>
      <c r="AN27" s="38"/>
      <c r="AO27" s="35"/>
      <c r="AP27" s="35"/>
      <c r="AQ27" s="35"/>
      <c r="AR27" s="35"/>
      <c r="AS27" s="35"/>
      <c r="AT27" s="35"/>
      <c r="AU27" s="35"/>
      <c r="AV27" s="35"/>
      <c r="AW27" s="35"/>
      <c r="AX27" s="35"/>
    </row>
    <row r="28" spans="2:50">
      <c r="B28" s="66">
        <f>ISA!E28</f>
        <v>1.2249994633486807</v>
      </c>
      <c r="D28" s="1">
        <f>Propeller!$B$8</f>
        <v>0.30479999999999996</v>
      </c>
      <c r="E28" s="59">
        <f t="shared" si="9"/>
        <v>11.052694736842104</v>
      </c>
      <c r="F28" s="49">
        <f t="shared" ca="1" si="0"/>
        <v>0.88975708391721253</v>
      </c>
      <c r="G28" s="19">
        <f ca="1">MAX(Motor!$B$7,K28*Motor!$B$7)</f>
        <v>10452.745733302763</v>
      </c>
      <c r="H28" s="10">
        <f ca="1">E28/(G28/60*D28)*Propulsão!J28</f>
        <v>0.20078731187832219</v>
      </c>
      <c r="I28" s="13">
        <f ca="1">F28*Energy!$B$6</f>
        <v>10.543621444418969</v>
      </c>
      <c r="J28" s="51">
        <f ca="1">IF(ISERROR(U28),Motor!$B$10,MIN(Motor!$B$10,U28))</f>
        <v>47</v>
      </c>
      <c r="K28" s="20">
        <f ca="1">I28-Motor!$B$9*J28</f>
        <v>8.7106214444189689</v>
      </c>
      <c r="L28" s="14">
        <f ca="1">MAX(Motor!$B$8,J28-Motor!$B$8)</f>
        <v>44.7</v>
      </c>
      <c r="M28" s="14">
        <f t="shared" ca="1" si="1"/>
        <v>495.55020788769156</v>
      </c>
      <c r="N28" s="20">
        <f t="shared" ca="1" si="2"/>
        <v>389.36477856552796</v>
      </c>
      <c r="O28" s="1">
        <f t="shared" ca="1" si="3"/>
        <v>0.35571129781038618</v>
      </c>
      <c r="P28" s="10">
        <f t="shared" ca="1" si="4"/>
        <v>2.2851175414320482E-2</v>
      </c>
      <c r="Q28" s="10">
        <f ca="1">Propeller!$B$15+Propeller!$B$16*H28+Propeller!$B$17*H28^2+Propeller!$B$18*H28^3+Propeller!$B$19*H28^4+Propeller!$B$20*H28^5+Propeller!$B$21*H28^6</f>
        <v>2.2851175414321048E-2</v>
      </c>
      <c r="R28" s="10">
        <f ca="1">(Propeller!$B$23+Propeller!$B$24*H28+Propeller!$B$25*H28^2+Propeller!$B$26*H28^3+Propeller!$B$27*H28^4+Propeller!$B$28*H28^5+Propeller!$B$29*H28^6)*Propulsão!M28</f>
        <v>0.50351022511532573</v>
      </c>
      <c r="S28" s="19">
        <f t="shared" ca="1" si="5"/>
        <v>196.04914730750792</v>
      </c>
      <c r="T28" s="19"/>
      <c r="U28" s="14">
        <f ca="1">MAX(Motor!$B$8,J28+0.05*(Q28/P28-1)*J28)</f>
        <v>47.000000000000057</v>
      </c>
      <c r="V28" s="50" t="str">
        <f t="shared" ca="1" si="6"/>
        <v>OK</v>
      </c>
      <c r="W28" s="1">
        <f ca="1">IF(U28&gt;Motor!$B$10,F28+0.05*(Motor!$B$10/U28-1)*F28,MIN(1,$B$5))</f>
        <v>0.88975708391721253</v>
      </c>
      <c r="X28" s="50" t="str">
        <f t="shared" ca="1" si="7"/>
        <v>OK</v>
      </c>
      <c r="Y28" s="35"/>
      <c r="Z28" s="36">
        <f t="shared" ca="1" si="8"/>
        <v>17.737678636325178</v>
      </c>
      <c r="AA28" s="36"/>
      <c r="AB28" s="36"/>
      <c r="AC28" s="38"/>
      <c r="AD28" s="41"/>
      <c r="AE28" s="40"/>
      <c r="AF28" s="38"/>
      <c r="AG28" s="40"/>
      <c r="AH28" s="40"/>
      <c r="AI28" s="36"/>
      <c r="AJ28" s="36"/>
      <c r="AK28" s="36"/>
      <c r="AL28" s="40"/>
      <c r="AM28" s="40"/>
      <c r="AN28" s="38"/>
      <c r="AO28" s="35"/>
      <c r="AP28" s="35"/>
      <c r="AQ28" s="35"/>
      <c r="AR28" s="35"/>
      <c r="AS28" s="35"/>
      <c r="AT28" s="35"/>
      <c r="AU28" s="35"/>
      <c r="AV28" s="35"/>
      <c r="AW28" s="35"/>
      <c r="AX28" s="35"/>
    </row>
    <row r="29" spans="2:50">
      <c r="B29" s="66">
        <f>ISA!E29</f>
        <v>1.2249994633486807</v>
      </c>
      <c r="D29" s="1">
        <f>Propeller!$B$8</f>
        <v>0.30479999999999996</v>
      </c>
      <c r="E29" s="59">
        <f t="shared" si="9"/>
        <v>12.631636842105262</v>
      </c>
      <c r="F29" s="49">
        <f t="shared" ca="1" si="0"/>
        <v>0.8970848100070864</v>
      </c>
      <c r="G29" s="19">
        <f ca="1">MAX(Motor!$B$7,K29*Motor!$B$7)</f>
        <v>10556.945998300769</v>
      </c>
      <c r="H29" s="10">
        <f ca="1">E29/(G29/60*D29)*Propulsão!J29</f>
        <v>0.22720600600861596</v>
      </c>
      <c r="I29" s="13">
        <f ca="1">F29*Energy!$B$6</f>
        <v>10.630454998583975</v>
      </c>
      <c r="J29" s="51">
        <f ca="1">IF(ISERROR(U29),Motor!$B$10,MIN(Motor!$B$10,U29))</f>
        <v>47</v>
      </c>
      <c r="K29" s="20">
        <f ca="1">I29-Motor!$B$9*J29</f>
        <v>8.7974549985839747</v>
      </c>
      <c r="L29" s="14">
        <f ca="1">MAX(Motor!$B$8,J29-Motor!$B$8)</f>
        <v>44.7</v>
      </c>
      <c r="M29" s="14">
        <f t="shared" ca="1" si="1"/>
        <v>499.63138493344684</v>
      </c>
      <c r="N29" s="20">
        <f t="shared" ca="1" si="2"/>
        <v>393.24623843670372</v>
      </c>
      <c r="O29" s="1">
        <f t="shared" ca="1" si="3"/>
        <v>0.35571129781038613</v>
      </c>
      <c r="P29" s="10">
        <f t="shared" ca="1" si="4"/>
        <v>2.2402305551572823E-2</v>
      </c>
      <c r="Q29" s="10">
        <f ca="1">Propeller!$B$15+Propeller!$B$16*H29+Propeller!$B$17*H29^2+Propeller!$B$18*H29^3+Propeller!$B$19*H29^4+Propeller!$B$20*H29^5+Propeller!$B$21*H29^6</f>
        <v>2.2402305551573378E-2</v>
      </c>
      <c r="R29" s="10">
        <f ca="1">(Propeller!$B$23+Propeller!$B$24*H29+Propeller!$B$25*H29^2+Propeller!$B$26*H29^3+Propeller!$B$27*H29^4+Propeller!$B$28*H29^5+Propeller!$B$29*H29^6)*Propulsão!M29</f>
        <v>0.54541064135501116</v>
      </c>
      <c r="S29" s="19">
        <f t="shared" ca="1" si="5"/>
        <v>214.48068311620821</v>
      </c>
      <c r="T29" s="19"/>
      <c r="U29" s="14">
        <f ca="1">MAX(Motor!$B$8,J29+0.05*(Q29/P29-1)*J29)</f>
        <v>47.000000000000057</v>
      </c>
      <c r="V29" s="50" t="str">
        <f t="shared" ca="1" si="6"/>
        <v>OK</v>
      </c>
      <c r="W29" s="1">
        <f ca="1">IF(U29&gt;Motor!$B$10,F29+0.05*(Motor!$B$10/U29-1)*F29,MIN(1,$B$5))</f>
        <v>0.8970848100070864</v>
      </c>
      <c r="X29" s="50" t="str">
        <f t="shared" ca="1" si="7"/>
        <v>OK</v>
      </c>
      <c r="Y29" s="35"/>
      <c r="Z29" s="36">
        <f t="shared" ca="1" si="8"/>
        <v>16.979642923336421</v>
      </c>
      <c r="AA29" s="36"/>
      <c r="AB29" s="36"/>
      <c r="AC29" s="38"/>
      <c r="AD29" s="41"/>
      <c r="AE29" s="40"/>
      <c r="AF29" s="38"/>
      <c r="AG29" s="40"/>
      <c r="AH29" s="40"/>
      <c r="AI29" s="36"/>
      <c r="AJ29" s="36"/>
      <c r="AK29" s="36"/>
      <c r="AL29" s="40"/>
      <c r="AM29" s="40"/>
      <c r="AN29" s="38"/>
      <c r="AO29" s="35"/>
      <c r="AP29" s="35"/>
      <c r="AQ29" s="35"/>
      <c r="AR29" s="35"/>
      <c r="AS29" s="35"/>
      <c r="AT29" s="35"/>
      <c r="AU29" s="35"/>
      <c r="AV29" s="35"/>
      <c r="AW29" s="35"/>
      <c r="AX29" s="35"/>
    </row>
    <row r="30" spans="2:50">
      <c r="B30" s="66">
        <f>ISA!E30</f>
        <v>1.2249994633486807</v>
      </c>
      <c r="D30" s="1">
        <f>Propeller!$B$8</f>
        <v>0.30479999999999996</v>
      </c>
      <c r="E30" s="59">
        <f t="shared" si="9"/>
        <v>14.21057894736842</v>
      </c>
      <c r="F30" s="49">
        <f t="shared" ca="1" si="0"/>
        <v>0.90615972950237877</v>
      </c>
      <c r="G30" s="19">
        <f ca="1">MAX(Motor!$B$7,K30*Motor!$B$7)</f>
        <v>10685.991353523828</v>
      </c>
      <c r="H30" s="10">
        <f ca="1">E30/(G30/60*D30)*Propulsão!J30</f>
        <v>0.25251979578083961</v>
      </c>
      <c r="I30" s="13">
        <f ca="1">F30*Energy!$B$6</f>
        <v>10.737992794603191</v>
      </c>
      <c r="J30" s="51">
        <f ca="1">IF(ISERROR(U30),Motor!$B$10,MIN(Motor!$B$10,U30))</f>
        <v>47</v>
      </c>
      <c r="K30" s="20">
        <f ca="1">I30-Motor!$B$9*J30</f>
        <v>8.9049927946031904</v>
      </c>
      <c r="L30" s="14">
        <f ca="1">MAX(Motor!$B$8,J30-Motor!$B$8)</f>
        <v>44.7</v>
      </c>
      <c r="M30" s="14">
        <f t="shared" ca="1" si="1"/>
        <v>504.68566134634995</v>
      </c>
      <c r="N30" s="20">
        <f t="shared" ca="1" si="2"/>
        <v>398.05317791876263</v>
      </c>
      <c r="O30" s="1">
        <f t="shared" ca="1" si="3"/>
        <v>0.35571129781038613</v>
      </c>
      <c r="P30" s="10">
        <f t="shared" ca="1" si="4"/>
        <v>2.18645065083145E-2</v>
      </c>
      <c r="Q30" s="10">
        <f ca="1">Propeller!$B$15+Propeller!$B$16*H30+Propeller!$B$17*H30^2+Propeller!$B$18*H30^3+Propeller!$B$19*H30^4+Propeller!$B$20*H30^5+Propeller!$B$21*H30^6</f>
        <v>2.1864506508315059E-2</v>
      </c>
      <c r="R30" s="10">
        <f ca="1">(Propeller!$B$23+Propeller!$B$24*H30+Propeller!$B$25*H30^2+Propeller!$B$26*H30^3+Propeller!$B$27*H30^4+Propeller!$B$28*H30^5+Propeller!$B$29*H30^6)*Propulsão!M30</f>
        <v>0.57966238537710468</v>
      </c>
      <c r="S30" s="19">
        <f t="shared" ca="1" si="5"/>
        <v>230.73645461932699</v>
      </c>
      <c r="T30" s="19"/>
      <c r="U30" s="14">
        <f ca="1">MAX(Motor!$B$8,J30+0.05*(Q30/P30-1)*J30)</f>
        <v>47.000000000000057</v>
      </c>
      <c r="V30" s="50" t="str">
        <f t="shared" ca="1" si="6"/>
        <v>OK</v>
      </c>
      <c r="W30" s="1">
        <f ca="1">IF(U30&gt;Motor!$B$10,F30+0.05*(Motor!$B$10/U30-1)*F30,MIN(1,$B$5))</f>
        <v>0.90615972950237877</v>
      </c>
      <c r="X30" s="50" t="str">
        <f t="shared" ca="1" si="7"/>
        <v>OK</v>
      </c>
      <c r="Y30" s="35"/>
      <c r="Z30" s="36">
        <f t="shared" ca="1" si="8"/>
        <v>16.236949632657705</v>
      </c>
      <c r="AA30" s="36"/>
      <c r="AB30" s="36"/>
      <c r="AC30" s="38"/>
      <c r="AD30" s="41"/>
      <c r="AE30" s="40"/>
      <c r="AF30" s="38"/>
      <c r="AG30" s="40"/>
      <c r="AH30" s="40"/>
      <c r="AI30" s="36"/>
      <c r="AJ30" s="36"/>
      <c r="AK30" s="36"/>
      <c r="AL30" s="40"/>
      <c r="AM30" s="40"/>
      <c r="AN30" s="38"/>
      <c r="AO30" s="35"/>
      <c r="AP30" s="35"/>
      <c r="AQ30" s="35"/>
      <c r="AR30" s="35"/>
      <c r="AS30" s="35"/>
      <c r="AT30" s="35"/>
      <c r="AU30" s="35"/>
      <c r="AV30" s="35"/>
      <c r="AW30" s="35"/>
      <c r="AX30" s="35"/>
    </row>
    <row r="31" spans="2:50">
      <c r="B31" s="66">
        <f>ISA!E31</f>
        <v>1.2249994633486807</v>
      </c>
      <c r="D31" s="1">
        <f>Propeller!$B$8</f>
        <v>0.30479999999999996</v>
      </c>
      <c r="E31" s="59">
        <f t="shared" si="9"/>
        <v>15.789521052631578</v>
      </c>
      <c r="F31" s="49">
        <f t="shared" ca="1" si="0"/>
        <v>0.91718392419076389</v>
      </c>
      <c r="G31" s="19">
        <f ca="1">MAX(Motor!$B$7,K31*Motor!$B$7)</f>
        <v>10842.77428914735</v>
      </c>
      <c r="H31" s="10">
        <f ca="1">E31/(G31/60*D31)*Propulsão!J31</f>
        <v>0.27652029754909946</v>
      </c>
      <c r="I31" s="13">
        <f ca="1">F31*Energy!$B$6</f>
        <v>10.868629501660553</v>
      </c>
      <c r="J31" s="51">
        <f ca="1">IF(ISERROR(U31),Motor!$B$10,MIN(Motor!$B$10,U31))</f>
        <v>47</v>
      </c>
      <c r="K31" s="20">
        <f ca="1">I31-Motor!$B$9*J31</f>
        <v>9.0356295016605532</v>
      </c>
      <c r="L31" s="14">
        <f ca="1">MAX(Motor!$B$8,J31-Motor!$B$8)</f>
        <v>44.7</v>
      </c>
      <c r="M31" s="14">
        <f t="shared" ca="1" si="1"/>
        <v>510.825586578046</v>
      </c>
      <c r="N31" s="20">
        <f t="shared" ca="1" si="2"/>
        <v>403.89263872422674</v>
      </c>
      <c r="O31" s="1">
        <f t="shared" ca="1" si="3"/>
        <v>0.35571067819273788</v>
      </c>
      <c r="P31" s="10">
        <f t="shared" ca="1" si="4"/>
        <v>2.1236733903940673E-2</v>
      </c>
      <c r="Q31" s="10">
        <f ca="1">Propeller!$B$15+Propeller!$B$16*H31+Propeller!$B$17*H31^2+Propeller!$B$18*H31^3+Propeller!$B$19*H31^4+Propeller!$B$20*H31^5+Propeller!$B$21*H31^6</f>
        <v>2.1248947380933452E-2</v>
      </c>
      <c r="R31" s="10">
        <f ca="1">(Propeller!$B$23+Propeller!$B$24*H31+Propeller!$B$25*H31^2+Propeller!$B$26*H31^3+Propeller!$B$27*H31^4+Propeller!$B$28*H31^5+Propeller!$B$29*H31^6)*Propulsão!M31</f>
        <v>0.6069788807680333</v>
      </c>
      <c r="S31" s="19">
        <f t="shared" ca="1" si="5"/>
        <v>245.15430180327877</v>
      </c>
      <c r="T31" s="19"/>
      <c r="U31" s="14">
        <f ca="1">MAX(Motor!$B$8,J31+0.05*(Q31/P31-1)*J31)</f>
        <v>47.001351510597765</v>
      </c>
      <c r="V31" s="50" t="str">
        <f t="shared" ca="1" si="6"/>
        <v>OK</v>
      </c>
      <c r="W31" s="1">
        <f ca="1">IF(U31&gt;Motor!$B$10,F31+0.05*(Motor!$B$10/U31-1)*F31,MIN(1,$B$5))</f>
        <v>0.91718260552251951</v>
      </c>
      <c r="X31" s="50" t="str">
        <f t="shared" ca="1" si="7"/>
        <v>OK</v>
      </c>
      <c r="Y31" s="35"/>
      <c r="Z31" s="36">
        <f t="shared" ca="1" si="8"/>
        <v>15.526392535030052</v>
      </c>
      <c r="AA31" s="36"/>
      <c r="AB31" s="36"/>
      <c r="AC31" s="38"/>
      <c r="AD31" s="41"/>
      <c r="AE31" s="40"/>
      <c r="AF31" s="38"/>
      <c r="AG31" s="40"/>
      <c r="AH31" s="40"/>
      <c r="AI31" s="36"/>
      <c r="AJ31" s="36"/>
      <c r="AK31" s="36"/>
      <c r="AL31" s="40"/>
      <c r="AM31" s="40"/>
      <c r="AN31" s="38"/>
      <c r="AO31" s="35"/>
      <c r="AP31" s="35"/>
      <c r="AQ31" s="35"/>
      <c r="AR31" s="35"/>
      <c r="AS31" s="35"/>
      <c r="AT31" s="35"/>
      <c r="AU31" s="35"/>
      <c r="AV31" s="35"/>
      <c r="AW31" s="35"/>
      <c r="AX31" s="35"/>
    </row>
    <row r="32" spans="2:50">
      <c r="B32" s="66">
        <f>ISA!E32</f>
        <v>1.2249994633486807</v>
      </c>
      <c r="D32" s="1">
        <f>Propeller!$B$8</f>
        <v>0.30479999999999996</v>
      </c>
      <c r="E32" s="59">
        <f t="shared" si="9"/>
        <v>17.368463157894737</v>
      </c>
      <c r="F32" s="49">
        <f t="shared" ca="1" si="0"/>
        <v>0.92958567276849713</v>
      </c>
      <c r="G32" s="19">
        <f ca="1">MAX(Motor!$B$7,K32*Motor!$B$7)</f>
        <v>11019.108266768048</v>
      </c>
      <c r="H32" s="10">
        <f ca="1">E32/(G32/60*D32)*Propulsão!J32</f>
        <v>0.29930461805374242</v>
      </c>
      <c r="I32" s="13">
        <f ca="1">F32*Energy!$B$6</f>
        <v>11.015590222306692</v>
      </c>
      <c r="J32" s="51">
        <f ca="1">IF(ISERROR(U32),Motor!$B$10,MIN(Motor!$B$10,U32))</f>
        <v>47</v>
      </c>
      <c r="K32" s="20">
        <f ca="1">I32-Motor!$B$9*J32</f>
        <v>9.1825902223066915</v>
      </c>
      <c r="L32" s="14">
        <f ca="1">MAX(Motor!$B$8,J32-Motor!$B$8)</f>
        <v>44.7</v>
      </c>
      <c r="M32" s="14">
        <f t="shared" ca="1" si="1"/>
        <v>517.73274044841446</v>
      </c>
      <c r="N32" s="20">
        <f t="shared" ca="1" si="2"/>
        <v>410.46178293710915</v>
      </c>
      <c r="O32" s="1">
        <f t="shared" ca="1" si="3"/>
        <v>0.35571129781038552</v>
      </c>
      <c r="P32" s="10">
        <f t="shared" ca="1" si="4"/>
        <v>2.0562523710574779E-2</v>
      </c>
      <c r="Q32" s="10">
        <f ca="1">Propeller!$B$15+Propeller!$B$16*H32+Propeller!$B$17*H32^2+Propeller!$B$18*H32^3+Propeller!$B$19*H32^4+Propeller!$B$20*H32^5+Propeller!$B$21*H32^6</f>
        <v>2.0562523710585506E-2</v>
      </c>
      <c r="R32" s="10">
        <f ca="1">(Propeller!$B$23+Propeller!$B$24*H32+Propeller!$B$25*H32^2+Propeller!$B$26*H32^3+Propeller!$B$27*H32^4+Propeller!$B$28*H32^5+Propeller!$B$29*H32^6)*Propulsão!M32</f>
        <v>0.62852823680973602</v>
      </c>
      <c r="S32" s="19">
        <f t="shared" ca="1" si="5"/>
        <v>257.9868207072418</v>
      </c>
      <c r="T32" s="19"/>
      <c r="U32" s="14">
        <f ca="1">MAX(Motor!$B$8,J32+0.05*(Q32/P32-1)*J32)</f>
        <v>47.000000000001229</v>
      </c>
      <c r="V32" s="50" t="str">
        <f t="shared" ca="1" si="6"/>
        <v>OK</v>
      </c>
      <c r="W32" s="1">
        <f ca="1">IF(U32&gt;Motor!$B$10,F32+0.05*(Motor!$B$10/U32-1)*F32,MIN(1,$B$5))</f>
        <v>0.92958567276849591</v>
      </c>
      <c r="X32" s="50" t="str">
        <f t="shared" ca="1" si="7"/>
        <v>OK</v>
      </c>
      <c r="Y32" s="35"/>
      <c r="Z32" s="36">
        <f t="shared" ca="1" si="8"/>
        <v>14.853750637688133</v>
      </c>
      <c r="AA32" s="36"/>
      <c r="AB32" s="36"/>
      <c r="AC32" s="38"/>
      <c r="AD32" s="41"/>
      <c r="AE32" s="40"/>
      <c r="AF32" s="38"/>
      <c r="AG32" s="40"/>
      <c r="AH32" s="40"/>
      <c r="AI32" s="36"/>
      <c r="AJ32" s="36"/>
      <c r="AK32" s="36"/>
      <c r="AL32" s="40"/>
      <c r="AM32" s="40"/>
      <c r="AN32" s="38"/>
      <c r="AO32" s="35"/>
      <c r="AP32" s="35"/>
      <c r="AQ32" s="35"/>
      <c r="AR32" s="35"/>
      <c r="AS32" s="35"/>
      <c r="AT32" s="35"/>
      <c r="AU32" s="35"/>
      <c r="AV32" s="35"/>
      <c r="AW32" s="35"/>
      <c r="AX32" s="35"/>
    </row>
    <row r="33" spans="2:50">
      <c r="B33" s="66">
        <f>ISA!E33</f>
        <v>1.2249994633486807</v>
      </c>
      <c r="D33" s="1">
        <f>Propeller!$B$8</f>
        <v>0.30479999999999996</v>
      </c>
      <c r="E33" s="59">
        <f t="shared" si="9"/>
        <v>18.947405263157897</v>
      </c>
      <c r="F33" s="49">
        <f t="shared" ca="1" si="0"/>
        <v>0.96231199583183602</v>
      </c>
      <c r="G33" s="19">
        <f ca="1">MAX(Motor!$B$7,K33*Motor!$B$7)</f>
        <v>11486.607270139055</v>
      </c>
      <c r="H33" s="10">
        <f ca="1">E33/(G33/60*D33)*Propulsão!J33</f>
        <v>0.3132250215271255</v>
      </c>
      <c r="I33" s="13">
        <f ca="1">F33*Energy!$B$6</f>
        <v>11.403397150607258</v>
      </c>
      <c r="J33" s="51">
        <f ca="1">IF(ISERROR(U33),Motor!$B$10,MIN(Motor!$B$10,U33))</f>
        <v>47</v>
      </c>
      <c r="K33" s="20">
        <f ca="1">I33-Motor!$B$9*J33</f>
        <v>9.570397150607258</v>
      </c>
      <c r="L33" s="14">
        <f ca="1">MAX(Motor!$B$8,J33-Motor!$B$8)</f>
        <v>44.7</v>
      </c>
      <c r="M33" s="14">
        <f t="shared" ca="1" si="1"/>
        <v>535.95966607854109</v>
      </c>
      <c r="N33" s="20">
        <f t="shared" ca="1" si="2"/>
        <v>427.79675263214449</v>
      </c>
      <c r="O33" s="1">
        <f t="shared" ca="1" si="3"/>
        <v>0.35564531572554936</v>
      </c>
      <c r="P33" s="10">
        <f t="shared" ca="1" si="4"/>
        <v>1.8919306145451321E-2</v>
      </c>
      <c r="Q33" s="10">
        <f ca="1">Propeller!$B$15+Propeller!$B$16*H33+Propeller!$B$17*H33^2+Propeller!$B$18*H33^3+Propeller!$B$19*H33^4+Propeller!$B$20*H33^5+Propeller!$B$21*H33^6</f>
        <v>2.0091526277407474E-2</v>
      </c>
      <c r="R33" s="10">
        <f ca="1">(Propeller!$B$23+Propeller!$B$24*H33+Propeller!$B$25*H33^2+Propeller!$B$26*H33^3+Propeller!$B$27*H33^4+Propeller!$B$28*H33^5+Propeller!$B$29*H33^6)*Propulsão!M33</f>
        <v>0.63966712472542864</v>
      </c>
      <c r="S33" s="19">
        <f t="shared" ca="1" si="5"/>
        <v>273.64751872307932</v>
      </c>
      <c r="T33" s="19"/>
      <c r="U33" s="14">
        <f ca="1">MAX(Motor!$B$8,J33+0.05*(Q33/P33-1)*J33)</f>
        <v>47.145603506223679</v>
      </c>
      <c r="V33" s="50" t="str">
        <f t="shared" ca="1" si="6"/>
        <v>iterate</v>
      </c>
      <c r="W33" s="1">
        <f ca="1">IF(U33&gt;Motor!$B$10,F33+0.05*(Motor!$B$10/U33-1)*F33,MIN(1,$B$5))</f>
        <v>0.96216339660915795</v>
      </c>
      <c r="X33" s="50" t="str">
        <f t="shared" ca="1" si="7"/>
        <v>iterate</v>
      </c>
      <c r="Y33" s="35"/>
      <c r="Z33" s="36">
        <f t="shared" ca="1" si="8"/>
        <v>14.442479850007254</v>
      </c>
      <c r="AA33" s="36"/>
      <c r="AB33" s="36"/>
      <c r="AC33" s="38"/>
      <c r="AD33" s="41"/>
      <c r="AE33" s="40"/>
      <c r="AF33" s="38"/>
      <c r="AG33" s="40"/>
      <c r="AH33" s="40"/>
      <c r="AI33" s="36"/>
      <c r="AJ33" s="36"/>
      <c r="AK33" s="36"/>
      <c r="AL33" s="40"/>
      <c r="AM33" s="40"/>
      <c r="AN33" s="38"/>
      <c r="AO33" s="35"/>
      <c r="AP33" s="35"/>
      <c r="AQ33" s="35"/>
      <c r="AR33" s="35"/>
      <c r="AS33" s="35"/>
      <c r="AT33" s="35"/>
      <c r="AU33" s="35"/>
      <c r="AV33" s="35"/>
      <c r="AW33" s="35"/>
      <c r="AX33" s="35"/>
    </row>
    <row r="34" spans="2:50">
      <c r="B34" s="66">
        <f>ISA!E34</f>
        <v>1.2249994633486807</v>
      </c>
      <c r="D34" s="1">
        <f>Propeller!$B$8</f>
        <v>0.30479999999999996</v>
      </c>
      <c r="E34" s="59">
        <f t="shared" si="9"/>
        <v>20.526347368421057</v>
      </c>
      <c r="F34" s="49">
        <f t="shared" ca="1" si="0"/>
        <v>0.97235862646375781</v>
      </c>
      <c r="G34" s="19">
        <f ca="1">MAX(Motor!$B$7,K34*Motor!$B$7)</f>
        <v>11628.856851477121</v>
      </c>
      <c r="H34" s="10">
        <f ca="1">E34/(G34/60*D34)*Propulsão!J34</f>
        <v>0.33517616371319786</v>
      </c>
      <c r="I34" s="13">
        <f ca="1">F34*Energy!$B$6</f>
        <v>11.522449723595532</v>
      </c>
      <c r="J34" s="51">
        <f ca="1">IF(ISERROR(U34),Motor!$B$10,MIN(Motor!$B$10,U34))</f>
        <v>47</v>
      </c>
      <c r="K34" s="20">
        <f ca="1">I34-Motor!$B$9*J34</f>
        <v>9.6894497235955317</v>
      </c>
      <c r="L34" s="14">
        <f ca="1">MAX(Motor!$B$8,J34-Motor!$B$8)</f>
        <v>44.7</v>
      </c>
      <c r="M34" s="14">
        <f t="shared" ca="1" si="1"/>
        <v>541.55513700898996</v>
      </c>
      <c r="N34" s="20">
        <f t="shared" ca="1" si="2"/>
        <v>433.11840264472028</v>
      </c>
      <c r="O34" s="1">
        <f t="shared" ca="1" si="3"/>
        <v>0.35566488919098049</v>
      </c>
      <c r="P34" s="10">
        <f t="shared" ca="1" si="4"/>
        <v>1.8460293544815636E-2</v>
      </c>
      <c r="Q34" s="10">
        <f ca="1">Propeller!$B$15+Propeller!$B$16*H34+Propeller!$B$17*H34^2+Propeller!$B$18*H34^3+Propeller!$B$19*H34^4+Propeller!$B$20*H34^5+Propeller!$B$21*H34^6</f>
        <v>1.9265362973859005E-2</v>
      </c>
      <c r="R34" s="10">
        <f ca="1">(Propeller!$B$23+Propeller!$B$24*H34+Propeller!$B$25*H34^2+Propeller!$B$26*H34^3+Propeller!$B$27*H34^4+Propeller!$B$28*H34^5+Propeller!$B$29*H34^6)*Propulsão!M34</f>
        <v>0.65424730126675179</v>
      </c>
      <c r="S34" s="19">
        <f t="shared" ca="1" si="5"/>
        <v>283.36654605927464</v>
      </c>
      <c r="T34" s="19"/>
      <c r="U34" s="14">
        <f ca="1">MAX(Motor!$B$8,J34+0.05*(Q34/P34-1)*J34)</f>
        <v>47.10248554031164</v>
      </c>
      <c r="V34" s="50" t="str">
        <f t="shared" ca="1" si="6"/>
        <v>iterate</v>
      </c>
      <c r="W34" s="1">
        <f ca="1">IF(U34&gt;Motor!$B$10,F34+0.05*(Motor!$B$10/U34-1)*F34,MIN(1,$B$5))</f>
        <v>0.97225284361804731</v>
      </c>
      <c r="X34" s="50" t="str">
        <f t="shared" ca="1" si="7"/>
        <v>iterate</v>
      </c>
      <c r="Y34" s="35"/>
      <c r="Z34" s="36">
        <f t="shared" ca="1" si="8"/>
        <v>13.805015620812423</v>
      </c>
      <c r="AA34" s="36"/>
      <c r="AB34" s="36"/>
      <c r="AC34" s="38"/>
      <c r="AD34" s="41"/>
      <c r="AE34" s="40"/>
      <c r="AF34" s="38"/>
      <c r="AG34" s="40"/>
      <c r="AH34" s="40"/>
      <c r="AI34" s="36"/>
      <c r="AJ34" s="36"/>
      <c r="AK34" s="36"/>
      <c r="AL34" s="40"/>
      <c r="AM34" s="40"/>
      <c r="AN34" s="38"/>
      <c r="AO34" s="35"/>
      <c r="AP34" s="35"/>
      <c r="AQ34" s="35"/>
      <c r="AR34" s="35"/>
      <c r="AS34" s="35"/>
      <c r="AT34" s="35"/>
      <c r="AU34" s="35"/>
      <c r="AV34" s="35"/>
      <c r="AW34" s="35"/>
      <c r="AX34" s="35"/>
    </row>
    <row r="35" spans="2:50">
      <c r="B35" s="66">
        <f>ISA!E35</f>
        <v>1.2249994633486807</v>
      </c>
      <c r="D35" s="1">
        <f>Propeller!$B$8</f>
        <v>0.30479999999999996</v>
      </c>
      <c r="E35" s="59">
        <f t="shared" si="9"/>
        <v>22.105289473684216</v>
      </c>
      <c r="F35" s="49">
        <f t="shared" ca="1" si="0"/>
        <v>0.97716150476570096</v>
      </c>
      <c r="G35" s="19">
        <f ca="1">MAX(Motor!$B$7,K35*Motor!$B$7)</f>
        <v>11695.636598599935</v>
      </c>
      <c r="H35" s="10">
        <f ca="1">E35/(G35/60*D35)*Propulsão!J35</f>
        <v>0.35889781721976671</v>
      </c>
      <c r="I35" s="13">
        <f ca="1">F35*Energy!$B$6</f>
        <v>11.579363831473557</v>
      </c>
      <c r="J35" s="51">
        <f ca="1">IF(ISERROR(U35),Motor!$B$10,MIN(Motor!$B$10,U35))</f>
        <v>47</v>
      </c>
      <c r="K35" s="20">
        <f ca="1">I35-Motor!$B$9*J35</f>
        <v>9.7463638314735572</v>
      </c>
      <c r="L35" s="14">
        <f ca="1">MAX(Motor!$B$8,J35-Motor!$B$8)</f>
        <v>44.7</v>
      </c>
      <c r="M35" s="14">
        <f t="shared" ca="1" si="1"/>
        <v>544.23010007925723</v>
      </c>
      <c r="N35" s="20">
        <f t="shared" ca="1" si="2"/>
        <v>435.66246326686803</v>
      </c>
      <c r="O35" s="1">
        <f t="shared" ca="1" si="3"/>
        <v>0.35571129778509175</v>
      </c>
      <c r="P35" s="10">
        <f t="shared" ca="1" si="4"/>
        <v>1.8252467556859248E-2</v>
      </c>
      <c r="Q35" s="10">
        <f ca="1">Propeller!$B$15+Propeller!$B$16*H35+Propeller!$B$17*H35^2+Propeller!$B$18*H35^3+Propeller!$B$19*H35^4+Propeller!$B$20*H35^5+Propeller!$B$21*H35^6</f>
        <v>1.825246799004248E-2</v>
      </c>
      <c r="R35" s="10">
        <f ca="1">(Propeller!$B$23+Propeller!$B$24*H35+Propeller!$B$25*H35^2+Propeller!$B$26*H35^3+Propeller!$B$27*H35^4+Propeller!$B$28*H35^5+Propeller!$B$29*H35^6)*Propulsão!M35</f>
        <v>0.6656131109833372</v>
      </c>
      <c r="S35" s="19">
        <f t="shared" ca="1" si="5"/>
        <v>289.98264751372392</v>
      </c>
      <c r="T35" s="19"/>
      <c r="U35" s="14">
        <f ca="1">MAX(Motor!$B$8,J35+0.05*(Q35/P35-1)*J35)</f>
        <v>47.000000055772219</v>
      </c>
      <c r="V35" s="50" t="str">
        <f t="shared" ca="1" si="6"/>
        <v>OK</v>
      </c>
      <c r="W35" s="1">
        <f ca="1">IF(U35&gt;Motor!$B$10,F35+0.05*(Motor!$B$10/U35-1)*F35,MIN(1,$B$5))</f>
        <v>0.97716150470772389</v>
      </c>
      <c r="X35" s="50" t="str">
        <f t="shared" ca="1" si="7"/>
        <v>OK</v>
      </c>
      <c r="Y35" s="35"/>
      <c r="Z35" s="36">
        <f t="shared" ca="1" si="8"/>
        <v>13.118247008660116</v>
      </c>
      <c r="AA35" s="36"/>
      <c r="AB35" s="36"/>
      <c r="AC35" s="38"/>
      <c r="AD35" s="41"/>
      <c r="AE35" s="40"/>
      <c r="AF35" s="38"/>
      <c r="AG35" s="40"/>
      <c r="AH35" s="40"/>
      <c r="AI35" s="36"/>
      <c r="AJ35" s="36"/>
      <c r="AK35" s="36"/>
      <c r="AL35" s="40"/>
      <c r="AM35" s="40"/>
      <c r="AN35" s="38"/>
      <c r="AO35" s="35"/>
      <c r="AP35" s="35"/>
      <c r="AQ35" s="35"/>
      <c r="AR35" s="35"/>
      <c r="AS35" s="35"/>
      <c r="AT35" s="35"/>
      <c r="AU35" s="35"/>
      <c r="AV35" s="35"/>
      <c r="AW35" s="35"/>
      <c r="AX35" s="35"/>
    </row>
    <row r="36" spans="2:50">
      <c r="B36" s="66">
        <f>ISA!E36</f>
        <v>1.2249994633486807</v>
      </c>
      <c r="D36" s="1">
        <f>Propeller!$B$8</f>
        <v>0.30479999999999996</v>
      </c>
      <c r="E36" s="59">
        <f t="shared" si="9"/>
        <v>23.684231578947376</v>
      </c>
      <c r="F36" s="49">
        <f t="shared" ca="1" si="0"/>
        <v>0.99598838504844911</v>
      </c>
      <c r="G36" s="19">
        <f ca="1">MAX(Motor!$B$7,K36*Motor!$B$7)</f>
        <v>11963.35527303878</v>
      </c>
      <c r="H36" s="10">
        <f ca="1">E36/(G36/60*D36)*Propulsão!J36</f>
        <v>0.37592808722764498</v>
      </c>
      <c r="I36" s="13">
        <f ca="1">F36*Energy!$B$6</f>
        <v>11.802462362824123</v>
      </c>
      <c r="J36" s="51">
        <f ca="1">IF(ISERROR(U36),Motor!$B$10,MIN(Motor!$B$10,U36))</f>
        <v>47</v>
      </c>
      <c r="K36" s="20">
        <f ca="1">I36-Motor!$B$9*J36</f>
        <v>9.9694623628241228</v>
      </c>
      <c r="L36" s="14">
        <f ca="1">MAX(Motor!$B$8,J36-Motor!$B$8)</f>
        <v>44.7</v>
      </c>
      <c r="M36" s="14">
        <f t="shared" ca="1" si="1"/>
        <v>554.71573105273376</v>
      </c>
      <c r="N36" s="20">
        <f t="shared" ca="1" si="2"/>
        <v>445.63496761823831</v>
      </c>
      <c r="O36" s="1">
        <f t="shared" ca="1" si="3"/>
        <v>0.35571128479756597</v>
      </c>
      <c r="P36" s="10">
        <f t="shared" ca="1" si="4"/>
        <v>1.7444691774631042E-2</v>
      </c>
      <c r="Q36" s="10">
        <f ca="1">Propeller!$B$15+Propeller!$B$16*H36+Propeller!$B$17*H36^2+Propeller!$B$18*H36^3+Propeller!$B$19*H36^4+Propeller!$B$20*H36^5+Propeller!$B$21*H36^6</f>
        <v>1.7444905417903611E-2</v>
      </c>
      <c r="R36" s="10">
        <f ca="1">(Propeller!$B$23+Propeller!$B$24*H36+Propeller!$B$25*H36^2+Propeller!$B$26*H36^3+Propeller!$B$27*H36^4+Propeller!$B$28*H36^5+Propeller!$B$29*H36^6)*Propulsão!M36</f>
        <v>0.67047655957868868</v>
      </c>
      <c r="S36" s="19">
        <f t="shared" ca="1" si="5"/>
        <v>298.78779991663674</v>
      </c>
      <c r="T36" s="19"/>
      <c r="U36" s="14">
        <f ca="1">MAX(Motor!$B$8,J36+0.05*(Q36/P36-1)*J36)</f>
        <v>47.000028780198413</v>
      </c>
      <c r="V36" s="50" t="str">
        <f t="shared" ca="1" si="6"/>
        <v>OK</v>
      </c>
      <c r="W36" s="1">
        <f ca="1">IF(U36&gt;Motor!$B$10,F36+0.05*(Motor!$B$10/U36-1)*F36,MIN(1,$B$5))</f>
        <v>0.99598835455405998</v>
      </c>
      <c r="X36" s="50" t="str">
        <f t="shared" ca="1" si="7"/>
        <v>OK</v>
      </c>
      <c r="Y36" s="35"/>
      <c r="Z36" s="36">
        <f t="shared" ca="1" si="8"/>
        <v>12.615473671614728</v>
      </c>
      <c r="AA36" s="36"/>
      <c r="AB36" s="36"/>
      <c r="AC36" s="38"/>
      <c r="AD36" s="41"/>
      <c r="AE36" s="40"/>
      <c r="AF36" s="38"/>
      <c r="AG36" s="40"/>
      <c r="AH36" s="40"/>
      <c r="AI36" s="36"/>
      <c r="AJ36" s="36"/>
      <c r="AK36" s="36"/>
      <c r="AL36" s="40"/>
      <c r="AM36" s="40"/>
      <c r="AN36" s="38"/>
      <c r="AO36" s="35"/>
      <c r="AP36" s="35"/>
      <c r="AQ36" s="35"/>
      <c r="AR36" s="35"/>
      <c r="AS36" s="35"/>
      <c r="AT36" s="35"/>
      <c r="AU36" s="35"/>
      <c r="AV36" s="35"/>
      <c r="AW36" s="35"/>
      <c r="AX36" s="35"/>
    </row>
    <row r="37" spans="2:50">
      <c r="B37" s="66">
        <f>ISA!E37</f>
        <v>1.2249994633486807</v>
      </c>
      <c r="D37" s="1">
        <f>Propeller!$B$8</f>
        <v>0.30479999999999996</v>
      </c>
      <c r="E37" s="59">
        <f t="shared" si="9"/>
        <v>25.263173684210535</v>
      </c>
      <c r="F37" s="49">
        <f t="shared" ca="1" si="0"/>
        <v>1</v>
      </c>
      <c r="G37" s="19">
        <f ca="1">MAX(Motor!$B$7,K37*Motor!$B$7)</f>
        <v>12102.038903806582</v>
      </c>
      <c r="H37" s="10">
        <f ca="1">E37/(G37/60*D37)*Propulsão!J37</f>
        <v>0.39639470019340439</v>
      </c>
      <c r="I37" s="13">
        <f ca="1">F37*Energy!$B$6</f>
        <v>11.850000000000001</v>
      </c>
      <c r="J37" s="51">
        <f ca="1">IF(ISERROR(U37),Motor!$B$10,MIN(Motor!$B$10,U37))</f>
        <v>45.255578978491897</v>
      </c>
      <c r="K37" s="20">
        <f ca="1">I37-Motor!$B$9*J37</f>
        <v>10.085032419838818</v>
      </c>
      <c r="L37" s="14">
        <f ca="1">MAX(Motor!$B$8,J37-Motor!$B$8)</f>
        <v>42.9555789784919</v>
      </c>
      <c r="M37" s="14">
        <f t="shared" ca="1" si="1"/>
        <v>536.27861089512908</v>
      </c>
      <c r="N37" s="20">
        <f t="shared" ca="1" si="2"/>
        <v>433.20840661103762</v>
      </c>
      <c r="O37" s="1">
        <f t="shared" ca="1" si="3"/>
        <v>0.3418296363900647</v>
      </c>
      <c r="P37" s="10">
        <f t="shared" ca="1" si="4"/>
        <v>1.6381900393834709E-2</v>
      </c>
      <c r="Q37" s="10">
        <f ca="1">Propeller!$B$15+Propeller!$B$16*H37+Propeller!$B$17*H37^2+Propeller!$B$18*H37^3+Propeller!$B$19*H37^4+Propeller!$B$20*H37^5+Propeller!$B$21*H37^6</f>
        <v>1.6381900393834692E-2</v>
      </c>
      <c r="R37" s="10">
        <f ca="1">(Propeller!$B$23+Propeller!$B$24*H37+Propeller!$B$25*H37^2+Propeller!$B$26*H37^3+Propeller!$B$27*H37^4+Propeller!$B$28*H37^5+Propeller!$B$29*H37^6)*Propulsão!M37</f>
        <v>0.67170105027006588</v>
      </c>
      <c r="S37" s="19">
        <f t="shared" ca="1" si="5"/>
        <v>290.98654170645574</v>
      </c>
      <c r="T37" s="19"/>
      <c r="U37" s="14">
        <f ca="1">MAX(Motor!$B$8,J37+0.05*(Q37/P37-1)*J37)</f>
        <v>45.255578978491897</v>
      </c>
      <c r="V37" s="50" t="str">
        <f t="shared" ca="1" si="6"/>
        <v>OK</v>
      </c>
      <c r="W37" s="1">
        <f ca="1">IF(U37&gt;Motor!$B$10,F37+0.05*(Motor!$B$10/U37-1)*F37,MIN(1,$B$5))</f>
        <v>1</v>
      </c>
      <c r="X37" s="50" t="str">
        <f t="shared" ca="1" si="7"/>
        <v>OK</v>
      </c>
      <c r="Y37" s="35"/>
      <c r="Z37" s="36">
        <f t="shared" ca="1" si="8"/>
        <v>11.518210076999237</v>
      </c>
      <c r="AA37" s="36"/>
      <c r="AB37" s="36"/>
      <c r="AC37" s="38"/>
      <c r="AD37" s="41"/>
      <c r="AE37" s="40"/>
      <c r="AF37" s="38"/>
      <c r="AG37" s="40"/>
      <c r="AH37" s="40"/>
      <c r="AI37" s="36"/>
      <c r="AJ37" s="36"/>
      <c r="AK37" s="36"/>
      <c r="AL37" s="40"/>
      <c r="AM37" s="40"/>
      <c r="AN37" s="38"/>
      <c r="AO37" s="35"/>
      <c r="AP37" s="35"/>
      <c r="AQ37" s="35"/>
      <c r="AR37" s="35"/>
      <c r="AS37" s="35"/>
      <c r="AT37" s="35"/>
      <c r="AU37" s="35"/>
      <c r="AV37" s="35"/>
      <c r="AW37" s="35"/>
      <c r="AX37" s="35"/>
    </row>
    <row r="38" spans="2:50">
      <c r="B38" s="66">
        <f>ISA!E38</f>
        <v>1.2249994633486807</v>
      </c>
      <c r="D38" s="1">
        <f>Propeller!$B$8</f>
        <v>0.30479999999999996</v>
      </c>
      <c r="E38" s="59">
        <f t="shared" si="9"/>
        <v>26.842115789473695</v>
      </c>
      <c r="F38" s="49">
        <f t="shared" ca="1" si="0"/>
        <v>1</v>
      </c>
      <c r="G38" s="19">
        <f ca="1">MAX(Motor!$B$7,K38*Motor!$B$7)</f>
        <v>12213.96978422008</v>
      </c>
      <c r="H38" s="10">
        <f ca="1">E38/(G38/60*D38)*Propulsão!J38</f>
        <v>0.41730960461139616</v>
      </c>
      <c r="I38" s="13">
        <f ca="1">F38*Energy!$B$6</f>
        <v>11.850000000000001</v>
      </c>
      <c r="J38" s="51">
        <f ca="1">IF(ISERROR(U38),Motor!$B$10,MIN(Motor!$B$10,U38))</f>
        <v>42.863893499570992</v>
      </c>
      <c r="K38" s="20">
        <f ca="1">I38-Motor!$B$9*J38</f>
        <v>10.178308153516733</v>
      </c>
      <c r="L38" s="14">
        <f ca="1">MAX(Motor!$B$8,J38-Motor!$B$8)</f>
        <v>40.563893499570995</v>
      </c>
      <c r="M38" s="14">
        <f t="shared" ca="1" si="1"/>
        <v>507.93713796991631</v>
      </c>
      <c r="N38" s="20">
        <f t="shared" ca="1" si="2"/>
        <v>412.87180794506787</v>
      </c>
      <c r="O38" s="1">
        <f t="shared" ca="1" si="3"/>
        <v>0.32279720807549628</v>
      </c>
      <c r="P38" s="10">
        <f t="shared" ca="1" si="4"/>
        <v>1.5187550834617591E-2</v>
      </c>
      <c r="Q38" s="10">
        <f ca="1">Propeller!$B$15+Propeller!$B$16*H38+Propeller!$B$17*H38^2+Propeller!$B$18*H38^3+Propeller!$B$19*H38^4+Propeller!$B$20*H38^5+Propeller!$B$21*H38^6</f>
        <v>1.5187550834617572E-2</v>
      </c>
      <c r="R38" s="10">
        <f ca="1">(Propeller!$B$23+Propeller!$B$24*H38+Propeller!$B$25*H38^2+Propeller!$B$26*H38^3+Propeller!$B$27*H38^4+Propeller!$B$28*H38^5+Propeller!$B$29*H38^6)*Propulsão!M38</f>
        <v>0.66588686926747953</v>
      </c>
      <c r="S38" s="19">
        <f t="shared" ca="1" si="5"/>
        <v>274.92591560134531</v>
      </c>
      <c r="T38" s="19"/>
      <c r="U38" s="14">
        <f ca="1">MAX(Motor!$B$8,J38+0.05*(Q38/P38-1)*J38)</f>
        <v>42.863893499570992</v>
      </c>
      <c r="V38" s="50" t="str">
        <f t="shared" ca="1" si="6"/>
        <v>OK</v>
      </c>
      <c r="W38" s="1">
        <f ca="1">IF(U38&gt;Motor!$B$10,F38+0.05*(Motor!$B$10/U38-1)*F38,MIN(1,$B$5))</f>
        <v>1</v>
      </c>
      <c r="X38" s="50" t="str">
        <f t="shared" ca="1" si="7"/>
        <v>OK</v>
      </c>
      <c r="Y38" s="35"/>
      <c r="Z38" s="36">
        <f t="shared" ca="1" si="8"/>
        <v>10.242334015605403</v>
      </c>
      <c r="AA38" s="36"/>
      <c r="AB38" s="36"/>
      <c r="AC38" s="38"/>
      <c r="AD38" s="41"/>
      <c r="AE38" s="40"/>
      <c r="AF38" s="38"/>
      <c r="AG38" s="40"/>
      <c r="AH38" s="40"/>
      <c r="AI38" s="36"/>
      <c r="AJ38" s="36"/>
      <c r="AK38" s="36"/>
      <c r="AL38" s="40"/>
      <c r="AM38" s="40"/>
      <c r="AN38" s="38"/>
      <c r="AO38" s="35"/>
      <c r="AP38" s="35"/>
      <c r="AQ38" s="35"/>
      <c r="AR38" s="35"/>
      <c r="AS38" s="35"/>
      <c r="AT38" s="35"/>
      <c r="AU38" s="35"/>
      <c r="AV38" s="35"/>
      <c r="AW38" s="35"/>
      <c r="AX38" s="35"/>
    </row>
    <row r="39" spans="2:50">
      <c r="B39" s="66">
        <f>ISA!E39</f>
        <v>1.2249994633486807</v>
      </c>
      <c r="D39" s="1">
        <f>Propeller!$B$8</f>
        <v>0.30479999999999996</v>
      </c>
      <c r="E39" s="59">
        <f t="shared" si="9"/>
        <v>28.421057894736855</v>
      </c>
      <c r="F39" s="49">
        <f t="shared" ca="1" si="0"/>
        <v>1</v>
      </c>
      <c r="G39" s="19">
        <f ca="1">MAX(Motor!$B$7,K39*Motor!$B$7)</f>
        <v>12336.267695610386</v>
      </c>
      <c r="H39" s="10">
        <f ca="1">E39/(G39/60*D39)*Propulsão!J39</f>
        <v>0.43747670307883085</v>
      </c>
      <c r="I39" s="13">
        <f ca="1">F39*Energy!$B$6</f>
        <v>11.850000000000001</v>
      </c>
      <c r="J39" s="51">
        <f ca="1">IF(ISERROR(U39),Motor!$B$10,MIN(Motor!$B$10,U39))</f>
        <v>40.250690264735383</v>
      </c>
      <c r="K39" s="20">
        <f ca="1">I39-Motor!$B$9*J39</f>
        <v>10.280223079675322</v>
      </c>
      <c r="L39" s="14">
        <f ca="1">MAX(Motor!$B$8,J39-Motor!$B$8)</f>
        <v>37.950690264735385</v>
      </c>
      <c r="M39" s="14">
        <f t="shared" ca="1" si="1"/>
        <v>476.97067963711436</v>
      </c>
      <c r="N39" s="20">
        <f t="shared" ca="1" si="2"/>
        <v>390.14156194914227</v>
      </c>
      <c r="O39" s="1">
        <f t="shared" ca="1" si="3"/>
        <v>0.30200199746910533</v>
      </c>
      <c r="P39" s="10">
        <f t="shared" ca="1" si="4"/>
        <v>1.3928806426142243E-2</v>
      </c>
      <c r="Q39" s="10">
        <f ca="1">Propeller!$B$15+Propeller!$B$16*H39+Propeller!$B$17*H39^2+Propeller!$B$18*H39^3+Propeller!$B$19*H39^4+Propeller!$B$20*H39^5+Propeller!$B$21*H39^6</f>
        <v>1.3928806426142228E-2</v>
      </c>
      <c r="R39" s="10">
        <f ca="1">(Propeller!$B$23+Propeller!$B$24*H39+Propeller!$B$25*H39^2+Propeller!$B$26*H39^3+Propeller!$B$27*H39^4+Propeller!$B$28*H39^5+Propeller!$B$29*H39^6)*Propulsão!M39</f>
        <v>0.65071259015847482</v>
      </c>
      <c r="S39" s="19">
        <f t="shared" ca="1" si="5"/>
        <v>253.87002630439943</v>
      </c>
      <c r="T39" s="19"/>
      <c r="U39" s="14">
        <f ca="1">MAX(Motor!$B$8,J39+0.05*(Q39/P39-1)*J39)</f>
        <v>40.250690264735383</v>
      </c>
      <c r="V39" s="50" t="str">
        <f t="shared" ca="1" si="6"/>
        <v>OK</v>
      </c>
      <c r="W39" s="1">
        <f ca="1">IF(U39&gt;Motor!$B$10,F39+0.05*(Motor!$B$10/U39-1)*F39,MIN(1,$B$5))</f>
        <v>1</v>
      </c>
      <c r="X39" s="50" t="str">
        <f t="shared" ca="1" si="7"/>
        <v>OK</v>
      </c>
      <c r="Y39" s="35"/>
      <c r="Z39" s="36">
        <f t="shared" ca="1" si="8"/>
        <v>8.932462234328451</v>
      </c>
      <c r="AA39" s="36"/>
      <c r="AB39" s="36"/>
      <c r="AC39" s="38"/>
      <c r="AD39" s="41"/>
      <c r="AE39" s="40"/>
      <c r="AF39" s="38"/>
      <c r="AG39" s="40"/>
      <c r="AH39" s="40"/>
      <c r="AI39" s="36"/>
      <c r="AJ39" s="36"/>
      <c r="AK39" s="36"/>
      <c r="AL39" s="40"/>
      <c r="AM39" s="40"/>
      <c r="AN39" s="38"/>
      <c r="AO39" s="35"/>
      <c r="AP39" s="35"/>
      <c r="AQ39" s="35"/>
      <c r="AR39" s="35"/>
      <c r="AS39" s="35"/>
      <c r="AT39" s="35"/>
      <c r="AU39" s="35"/>
      <c r="AV39" s="35"/>
      <c r="AW39" s="35"/>
      <c r="AX39" s="35"/>
    </row>
    <row r="40" spans="2:50">
      <c r="B40" s="66">
        <f>ISA!E40</f>
        <v>1.2249994633486807</v>
      </c>
      <c r="D40" s="1">
        <f>Propeller!$B$8</f>
        <v>0.30479999999999996</v>
      </c>
      <c r="E40" s="59">
        <v>30</v>
      </c>
      <c r="F40" s="49">
        <f t="shared" ca="1" si="0"/>
        <v>1</v>
      </c>
      <c r="G40" s="19">
        <f ca="1">MAX(Motor!$B$7,K40*Motor!$B$7)</f>
        <v>12468.888669123406</v>
      </c>
      <c r="H40" s="10">
        <f ca="1">E40/(G40/60*D40)*Propulsão!J40</f>
        <v>0.45686930802944603</v>
      </c>
      <c r="I40" s="13">
        <f ca="1">F40*Energy!$B$6</f>
        <v>11.850000000000001</v>
      </c>
      <c r="J40" s="51">
        <f ca="1">IF(ISERROR(U40),Motor!$B$10,MIN(Motor!$B$10,U40))</f>
        <v>37.416908779414463</v>
      </c>
      <c r="K40" s="20">
        <f ca="1">I40-Motor!$B$9*J40</f>
        <v>10.390740557602838</v>
      </c>
      <c r="L40" s="14">
        <f ca="1">MAX(Motor!$B$8,J40-Motor!$B$8)</f>
        <v>35.116908779414466</v>
      </c>
      <c r="M40" s="14">
        <f t="shared" ca="1" si="1"/>
        <v>443.39036903606143</v>
      </c>
      <c r="N40" s="20">
        <f t="shared" ca="1" si="2"/>
        <v>364.89068831190104</v>
      </c>
      <c r="O40" s="1">
        <f t="shared" ca="1" si="3"/>
        <v>0.27945148091754946</v>
      </c>
      <c r="P40" s="10">
        <f t="shared" ca="1" si="4"/>
        <v>1.2616026084140993E-2</v>
      </c>
      <c r="Q40" s="10">
        <f ca="1">Propeller!$B$15+Propeller!$B$16*H40+Propeller!$B$17*H40^2+Propeller!$B$18*H40^3+Propeller!$B$19*H40^4+Propeller!$B$20*H40^5+Propeller!$B$21*H40^6</f>
        <v>1.2616026084140969E-2</v>
      </c>
      <c r="R40" s="10">
        <f ca="1">(Propeller!$B$23+Propeller!$B$24*H40+Propeller!$B$25*H40^2+Propeller!$B$26*H40^3+Propeller!$B$27*H40^4+Propeller!$B$28*H40^5+Propeller!$B$29*H40^6)*Propulsão!M40</f>
        <v>0.62317688414547112</v>
      </c>
      <c r="S40" s="19">
        <f t="shared" ca="1" si="5"/>
        <v>227.39144219590676</v>
      </c>
      <c r="T40" s="19"/>
      <c r="U40" s="14">
        <f ca="1">MAX(Motor!$B$8,J40+0.05*(Q40/P40-1)*J40)</f>
        <v>37.416908779414463</v>
      </c>
      <c r="V40" s="50" t="str">
        <f t="shared" ca="1" si="6"/>
        <v>OK</v>
      </c>
      <c r="W40" s="1">
        <f ca="1">IF(U40&gt;Motor!$B$10,F40+0.05*(Motor!$B$10/U40-1)*F40,MIN(1,$B$5))</f>
        <v>1</v>
      </c>
      <c r="X40" s="50" t="str">
        <f t="shared" ca="1" si="7"/>
        <v>OK</v>
      </c>
      <c r="Y40" s="35"/>
      <c r="Z40" s="36">
        <f t="shared" ca="1" si="8"/>
        <v>7.5797147398635589</v>
      </c>
      <c r="AA40" s="36"/>
      <c r="AB40" s="36"/>
      <c r="AC40" s="38"/>
      <c r="AD40" s="41"/>
      <c r="AE40" s="40"/>
      <c r="AF40" s="38"/>
      <c r="AG40" s="40"/>
      <c r="AH40" s="40"/>
      <c r="AI40" s="36"/>
      <c r="AJ40" s="36"/>
      <c r="AK40" s="36"/>
      <c r="AL40" s="40"/>
      <c r="AM40" s="40"/>
      <c r="AN40" s="38"/>
      <c r="AO40" s="35"/>
      <c r="AP40" s="35"/>
      <c r="AQ40" s="35"/>
      <c r="AR40" s="35"/>
      <c r="AS40" s="35"/>
      <c r="AT40" s="35"/>
      <c r="AU40" s="35"/>
      <c r="AV40" s="35"/>
      <c r="AW40" s="35"/>
      <c r="AX40" s="35"/>
    </row>
    <row r="41" spans="2:50">
      <c r="B41" s="1"/>
      <c r="D41" s="16"/>
      <c r="E41" s="59">
        <f>'Aerodynamics-Takeoff'!H41</f>
        <v>0</v>
      </c>
      <c r="F41" s="16"/>
      <c r="G41" s="19"/>
      <c r="H41" s="42"/>
      <c r="I41" s="40"/>
      <c r="J41" s="20"/>
      <c r="K41" s="19"/>
      <c r="L41" s="19"/>
      <c r="M41" s="20"/>
      <c r="N41" s="20"/>
      <c r="O41" s="42"/>
      <c r="P41" s="42"/>
      <c r="Q41" s="42"/>
      <c r="R41" s="19"/>
      <c r="S41" s="19"/>
      <c r="T41" s="19"/>
      <c r="U41" s="53"/>
      <c r="V41" s="16"/>
      <c r="W41" s="53"/>
      <c r="Y41" s="35"/>
      <c r="Z41" s="36"/>
      <c r="AA41" s="36"/>
      <c r="AB41" s="36"/>
      <c r="AC41" s="38"/>
      <c r="AD41" s="41"/>
      <c r="AE41" s="40"/>
      <c r="AF41" s="38"/>
      <c r="AG41" s="40"/>
      <c r="AH41" s="40"/>
      <c r="AI41" s="36"/>
      <c r="AJ41" s="36"/>
      <c r="AK41" s="36"/>
      <c r="AL41" s="40"/>
      <c r="AM41" s="40"/>
      <c r="AN41" s="38"/>
      <c r="AO41" s="35"/>
      <c r="AP41" s="35"/>
      <c r="AQ41" s="35"/>
      <c r="AR41" s="35"/>
      <c r="AS41" s="35"/>
      <c r="AT41" s="35"/>
      <c r="AU41" s="35"/>
      <c r="AV41" s="35"/>
      <c r="AW41" s="35"/>
      <c r="AX41" s="35"/>
    </row>
    <row r="42" spans="2:50">
      <c r="B42" s="1"/>
      <c r="D42" s="16"/>
      <c r="E42" s="19"/>
      <c r="F42" s="16"/>
      <c r="G42" s="19"/>
      <c r="H42" s="42"/>
      <c r="I42" s="40"/>
      <c r="J42" s="20"/>
      <c r="K42" s="19"/>
      <c r="L42" s="19"/>
      <c r="M42" s="20"/>
      <c r="N42" s="20"/>
      <c r="O42" s="42"/>
      <c r="P42" s="42"/>
      <c r="Q42" s="42"/>
      <c r="R42" s="19"/>
      <c r="S42" s="19"/>
      <c r="T42" s="19"/>
      <c r="U42" s="53"/>
      <c r="V42" s="16"/>
      <c r="W42" s="53"/>
      <c r="Y42" s="35"/>
      <c r="Z42" s="36"/>
      <c r="AA42" s="36"/>
      <c r="AB42" s="36"/>
      <c r="AC42" s="38"/>
      <c r="AD42" s="41"/>
      <c r="AE42" s="40"/>
      <c r="AF42" s="38"/>
      <c r="AG42" s="40"/>
      <c r="AH42" s="40"/>
      <c r="AI42" s="36"/>
      <c r="AJ42" s="36"/>
      <c r="AK42" s="36"/>
      <c r="AL42" s="40"/>
      <c r="AM42" s="40"/>
      <c r="AN42" s="38"/>
      <c r="AO42" s="35"/>
      <c r="AP42" s="35"/>
      <c r="AQ42" s="35"/>
      <c r="AR42" s="35"/>
      <c r="AS42" s="35"/>
      <c r="AT42" s="35"/>
      <c r="AU42" s="35"/>
      <c r="AV42" s="35"/>
      <c r="AW42" s="35"/>
      <c r="AX42" s="35"/>
    </row>
    <row r="43" spans="2:50">
      <c r="B43" s="1"/>
      <c r="Y43" s="35"/>
      <c r="Z43" s="36"/>
      <c r="AA43" s="36"/>
      <c r="AB43" s="36"/>
      <c r="AC43" s="38"/>
      <c r="AD43" s="41"/>
      <c r="AE43" s="40"/>
      <c r="AF43" s="38"/>
      <c r="AG43" s="40"/>
      <c r="AH43" s="40"/>
      <c r="AI43" s="36"/>
      <c r="AJ43" s="36"/>
      <c r="AK43" s="36"/>
      <c r="AL43" s="40"/>
      <c r="AM43" s="40"/>
      <c r="AN43" s="38"/>
      <c r="AO43" s="35"/>
      <c r="AP43" s="35"/>
      <c r="AQ43" s="35"/>
      <c r="AR43" s="35"/>
      <c r="AS43" s="35"/>
      <c r="AT43" s="35"/>
      <c r="AU43" s="35"/>
      <c r="AV43" s="35"/>
      <c r="AW43" s="35"/>
      <c r="AX43" s="35"/>
    </row>
    <row r="44" spans="2:50">
      <c r="B44" s="1"/>
      <c r="Y44" s="35"/>
      <c r="Z44" s="36"/>
      <c r="AA44" s="36"/>
      <c r="AB44" s="36"/>
      <c r="AC44" s="38"/>
      <c r="AD44" s="41"/>
      <c r="AE44" s="40"/>
      <c r="AF44" s="38"/>
      <c r="AG44" s="40"/>
      <c r="AH44" s="40"/>
      <c r="AI44" s="36"/>
      <c r="AJ44" s="36"/>
      <c r="AK44" s="36"/>
      <c r="AL44" s="40"/>
      <c r="AM44" s="40"/>
      <c r="AN44" s="38"/>
      <c r="AO44" s="35"/>
      <c r="AP44" s="35"/>
      <c r="AQ44" s="35"/>
      <c r="AR44" s="35"/>
      <c r="AS44" s="35"/>
      <c r="AT44" s="35"/>
      <c r="AU44" s="35"/>
      <c r="AV44" s="35"/>
      <c r="AW44" s="35"/>
      <c r="AX44" s="35"/>
    </row>
    <row r="45" spans="2:50">
      <c r="B45" s="1"/>
      <c r="Y45" s="35"/>
      <c r="Z45" s="36"/>
      <c r="AA45" s="36"/>
      <c r="AB45" s="36"/>
      <c r="AC45" s="38"/>
      <c r="AD45" s="41"/>
      <c r="AE45" s="40"/>
      <c r="AF45" s="38"/>
      <c r="AG45" s="40"/>
      <c r="AH45" s="40"/>
      <c r="AI45" s="36"/>
      <c r="AJ45" s="36"/>
      <c r="AK45" s="36"/>
      <c r="AL45" s="40"/>
      <c r="AM45" s="40"/>
      <c r="AN45" s="38"/>
      <c r="AO45" s="35"/>
      <c r="AP45" s="35"/>
      <c r="AQ45" s="35"/>
      <c r="AR45" s="35"/>
      <c r="AS45" s="35"/>
      <c r="AT45" s="35"/>
      <c r="AU45" s="35"/>
      <c r="AV45" s="35"/>
      <c r="AW45" s="35"/>
      <c r="AX45" s="35"/>
    </row>
    <row r="46" spans="2:50">
      <c r="B46" s="1"/>
      <c r="Y46" s="35"/>
      <c r="Z46" s="36"/>
      <c r="AA46" s="36"/>
      <c r="AB46" s="36"/>
      <c r="AC46" s="38"/>
      <c r="AD46" s="41"/>
      <c r="AE46" s="40"/>
      <c r="AF46" s="38"/>
      <c r="AG46" s="40"/>
      <c r="AH46" s="40"/>
      <c r="AI46" s="36"/>
      <c r="AJ46" s="36"/>
      <c r="AK46" s="36"/>
      <c r="AL46" s="40"/>
      <c r="AM46" s="40"/>
      <c r="AN46" s="38"/>
      <c r="AO46" s="35"/>
      <c r="AP46" s="35"/>
      <c r="AQ46" s="35"/>
      <c r="AR46" s="35"/>
      <c r="AS46" s="35"/>
      <c r="AT46" s="35"/>
      <c r="AU46" s="35"/>
      <c r="AV46" s="35"/>
      <c r="AW46" s="35"/>
      <c r="AX46" s="35"/>
    </row>
    <row r="47" spans="2:50">
      <c r="B47" s="1"/>
      <c r="Y47" s="35"/>
      <c r="Z47" s="36"/>
      <c r="AA47" s="36"/>
      <c r="AB47" s="36"/>
      <c r="AC47" s="38"/>
      <c r="AD47" s="41"/>
      <c r="AE47" s="40"/>
      <c r="AF47" s="38"/>
      <c r="AG47" s="40"/>
      <c r="AH47" s="40"/>
      <c r="AI47" s="36"/>
      <c r="AJ47" s="36"/>
      <c r="AK47" s="36"/>
      <c r="AL47" s="40"/>
      <c r="AM47" s="40"/>
      <c r="AN47" s="38"/>
      <c r="AO47" s="35"/>
      <c r="AP47" s="35"/>
      <c r="AQ47" s="35"/>
      <c r="AR47" s="35"/>
      <c r="AS47" s="35"/>
      <c r="AT47" s="35"/>
      <c r="AU47" s="35"/>
      <c r="AV47" s="35"/>
      <c r="AW47" s="35"/>
      <c r="AX47" s="35"/>
    </row>
    <row r="48" spans="2:50">
      <c r="Y48" s="35"/>
      <c r="Z48" s="36"/>
      <c r="AA48" s="36"/>
      <c r="AB48" s="36"/>
      <c r="AC48" s="38"/>
      <c r="AD48" s="41"/>
      <c r="AE48" s="40"/>
      <c r="AF48" s="38"/>
      <c r="AG48" s="40"/>
      <c r="AH48" s="40"/>
      <c r="AI48" s="36"/>
      <c r="AJ48" s="36"/>
      <c r="AK48" s="36"/>
      <c r="AL48" s="40"/>
      <c r="AM48" s="40"/>
      <c r="AN48" s="38"/>
      <c r="AO48" s="35"/>
      <c r="AP48" s="35"/>
      <c r="AQ48" s="35"/>
      <c r="AR48" s="35"/>
      <c r="AS48" s="35"/>
      <c r="AT48" s="35"/>
      <c r="AU48" s="35"/>
      <c r="AV48" s="35"/>
      <c r="AW48" s="35"/>
      <c r="AX48" s="35"/>
    </row>
    <row r="49" spans="25:50">
      <c r="Y49" s="35"/>
      <c r="Z49" s="36"/>
      <c r="AA49" s="36"/>
      <c r="AB49" s="36"/>
      <c r="AC49" s="38"/>
      <c r="AD49" s="41"/>
      <c r="AE49" s="40"/>
      <c r="AF49" s="38"/>
      <c r="AG49" s="40"/>
      <c r="AH49" s="40"/>
      <c r="AI49" s="36"/>
      <c r="AJ49" s="36"/>
      <c r="AK49" s="36"/>
      <c r="AL49" s="40"/>
      <c r="AM49" s="40"/>
      <c r="AN49" s="38"/>
      <c r="AO49" s="35"/>
      <c r="AP49" s="35"/>
      <c r="AQ49" s="35"/>
      <c r="AR49" s="35"/>
      <c r="AS49" s="35"/>
      <c r="AT49" s="35"/>
      <c r="AU49" s="35"/>
      <c r="AV49" s="35"/>
      <c r="AW49" s="35"/>
      <c r="AX49" s="35"/>
    </row>
    <row r="50" spans="25:50">
      <c r="Y50" s="35"/>
      <c r="Z50" s="36"/>
      <c r="AA50" s="36"/>
      <c r="AB50" s="36"/>
      <c r="AC50" s="38"/>
      <c r="AD50" s="41"/>
      <c r="AE50" s="40"/>
      <c r="AF50" s="38"/>
      <c r="AG50" s="40"/>
      <c r="AH50" s="40"/>
      <c r="AI50" s="36"/>
      <c r="AJ50" s="36"/>
      <c r="AK50" s="36"/>
      <c r="AL50" s="40"/>
      <c r="AM50" s="40"/>
      <c r="AN50" s="38"/>
      <c r="AO50" s="35"/>
      <c r="AP50" s="35"/>
      <c r="AQ50" s="35"/>
      <c r="AR50" s="35"/>
      <c r="AS50" s="35"/>
      <c r="AT50" s="35"/>
      <c r="AU50" s="35"/>
      <c r="AV50" s="35"/>
      <c r="AW50" s="35"/>
      <c r="AX50" s="35"/>
    </row>
    <row r="51" spans="25:50">
      <c r="Y51" s="35"/>
      <c r="Z51" s="36"/>
      <c r="AA51" s="36"/>
      <c r="AB51" s="36"/>
      <c r="AC51" s="38"/>
      <c r="AD51" s="41"/>
      <c r="AE51" s="40"/>
      <c r="AF51" s="38"/>
      <c r="AG51" s="40"/>
      <c r="AH51" s="40"/>
      <c r="AI51" s="36"/>
      <c r="AJ51" s="36"/>
      <c r="AK51" s="36"/>
      <c r="AL51" s="40"/>
      <c r="AM51" s="40"/>
      <c r="AN51" s="38"/>
      <c r="AO51" s="35"/>
      <c r="AP51" s="35"/>
      <c r="AQ51" s="35"/>
      <c r="AR51" s="35"/>
      <c r="AS51" s="35"/>
      <c r="AT51" s="35"/>
      <c r="AU51" s="35"/>
      <c r="AV51" s="35"/>
      <c r="AW51" s="35"/>
      <c r="AX51" s="35"/>
    </row>
    <row r="52" spans="25:50">
      <c r="Y52" s="35"/>
      <c r="Z52" s="36"/>
      <c r="AA52" s="36"/>
      <c r="AB52" s="36"/>
      <c r="AC52" s="38"/>
      <c r="AD52" s="41"/>
      <c r="AE52" s="40"/>
      <c r="AF52" s="38"/>
      <c r="AG52" s="40"/>
      <c r="AH52" s="40"/>
      <c r="AI52" s="36"/>
      <c r="AJ52" s="36"/>
      <c r="AK52" s="36"/>
      <c r="AL52" s="40"/>
      <c r="AM52" s="40"/>
      <c r="AN52" s="38"/>
      <c r="AO52" s="35"/>
      <c r="AP52" s="35"/>
      <c r="AQ52" s="35"/>
      <c r="AR52" s="35"/>
      <c r="AS52" s="35"/>
      <c r="AT52" s="35"/>
      <c r="AU52" s="35"/>
      <c r="AV52" s="35"/>
      <c r="AW52" s="35"/>
      <c r="AX52" s="35"/>
    </row>
    <row r="53" spans="25:50">
      <c r="Y53" s="35"/>
      <c r="Z53" s="36"/>
      <c r="AA53" s="36"/>
      <c r="AB53" s="36"/>
      <c r="AC53" s="38"/>
      <c r="AD53" s="41"/>
      <c r="AE53" s="40"/>
      <c r="AF53" s="38"/>
      <c r="AG53" s="40"/>
      <c r="AH53" s="40"/>
      <c r="AI53" s="36"/>
      <c r="AJ53" s="36"/>
      <c r="AK53" s="36"/>
      <c r="AL53" s="40"/>
      <c r="AM53" s="40"/>
      <c r="AN53" s="38"/>
      <c r="AO53" s="35"/>
      <c r="AP53" s="35"/>
      <c r="AQ53" s="35"/>
      <c r="AR53" s="35"/>
      <c r="AS53" s="35"/>
      <c r="AT53" s="35"/>
      <c r="AU53" s="35"/>
      <c r="AV53" s="35"/>
      <c r="AW53" s="35"/>
      <c r="AX53" s="35"/>
    </row>
    <row r="54" spans="25:50">
      <c r="Y54" s="35"/>
      <c r="Z54" s="36"/>
      <c r="AA54" s="36"/>
      <c r="AB54" s="36"/>
      <c r="AC54" s="38"/>
      <c r="AD54" s="41"/>
      <c r="AE54" s="40"/>
      <c r="AF54" s="38"/>
      <c r="AG54" s="40"/>
      <c r="AH54" s="40"/>
      <c r="AI54" s="36"/>
      <c r="AJ54" s="36"/>
      <c r="AK54" s="36"/>
      <c r="AL54" s="40"/>
      <c r="AM54" s="40"/>
      <c r="AN54" s="38"/>
      <c r="AO54" s="35"/>
      <c r="AP54" s="35"/>
      <c r="AQ54" s="35"/>
      <c r="AR54" s="35"/>
      <c r="AS54" s="35"/>
      <c r="AT54" s="35"/>
      <c r="AU54" s="35"/>
      <c r="AV54" s="35"/>
      <c r="AW54" s="35"/>
      <c r="AX54" s="35"/>
    </row>
    <row r="55" spans="25:50">
      <c r="Y55" s="35"/>
      <c r="Z55" s="36"/>
      <c r="AA55" s="36"/>
      <c r="AB55" s="36"/>
      <c r="AC55" s="38"/>
      <c r="AD55" s="41"/>
      <c r="AE55" s="40"/>
      <c r="AF55" s="38"/>
      <c r="AG55" s="40"/>
      <c r="AH55" s="40"/>
      <c r="AI55" s="36"/>
      <c r="AJ55" s="36"/>
      <c r="AK55" s="36"/>
      <c r="AL55" s="40"/>
      <c r="AM55" s="40"/>
      <c r="AN55" s="38"/>
      <c r="AO55" s="35"/>
      <c r="AP55" s="35"/>
      <c r="AQ55" s="35"/>
      <c r="AR55" s="35"/>
      <c r="AS55" s="35"/>
      <c r="AT55" s="35"/>
      <c r="AU55" s="35"/>
      <c r="AV55" s="35"/>
      <c r="AW55" s="35"/>
      <c r="AX55" s="35"/>
    </row>
    <row r="56" spans="25:50"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</row>
    <row r="57" spans="25:50"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</row>
    <row r="58" spans="25:50"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</row>
    <row r="59" spans="25:50"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</row>
    <row r="60" spans="25:50"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</row>
    <row r="61" spans="25:50"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</row>
    <row r="62" spans="25:50"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</row>
    <row r="63" spans="25:50"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</row>
    <row r="64" spans="25:50"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</row>
    <row r="65" spans="25:50"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</row>
    <row r="66" spans="25:50"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</row>
    <row r="67" spans="25:50"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</row>
    <row r="68" spans="25:50"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</row>
    <row r="69" spans="25:50"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</row>
    <row r="70" spans="25:50"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</row>
    <row r="71" spans="25:50"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</row>
    <row r="72" spans="25:50"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</row>
    <row r="73" spans="25:50"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</row>
    <row r="74" spans="25:50"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</row>
    <row r="75" spans="25:50"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</row>
    <row r="76" spans="25:50"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</row>
    <row r="77" spans="25:50"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</row>
    <row r="78" spans="25:50"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</row>
    <row r="79" spans="25:50"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</row>
    <row r="80" spans="25:50"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</row>
    <row r="81" spans="25:50"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</row>
    <row r="82" spans="25:50"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</row>
    <row r="83" spans="25:50"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</row>
    <row r="84" spans="25:50"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</row>
    <row r="85" spans="25:50"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</row>
    <row r="86" spans="25:50"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</row>
    <row r="87" spans="25:50"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</row>
    <row r="88" spans="25:50"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</row>
    <row r="89" spans="25:50"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</row>
    <row r="90" spans="25:50"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90"/>
  <sheetViews>
    <sheetView zoomScale="90" workbookViewId="0">
      <selection activeCell="X21" sqref="X21"/>
    </sheetView>
  </sheetViews>
  <sheetFormatPr defaultRowHeight="12.75"/>
  <sheetData>
    <row r="1" spans="1:50">
      <c r="A1" s="17" t="s">
        <v>272</v>
      </c>
    </row>
    <row r="2" spans="1:50"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</row>
    <row r="3" spans="1:50">
      <c r="A3" t="s">
        <v>270</v>
      </c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</row>
    <row r="4" spans="1:50">
      <c r="D4" s="17"/>
      <c r="I4" s="17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</row>
    <row r="5" spans="1:50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</row>
    <row r="6" spans="1:50">
      <c r="A6" s="35"/>
      <c r="B6" s="35"/>
      <c r="C6" s="35"/>
      <c r="D6" s="35"/>
      <c r="E6" s="60"/>
      <c r="F6" s="35"/>
      <c r="G6" s="35"/>
      <c r="H6" s="60"/>
      <c r="I6" s="35"/>
      <c r="J6" s="35"/>
      <c r="K6" s="35"/>
      <c r="L6" s="35"/>
      <c r="M6" s="35"/>
      <c r="N6" s="35"/>
      <c r="O6" s="35"/>
      <c r="Y6" s="35"/>
      <c r="Z6" s="37"/>
      <c r="AA6" s="40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</row>
    <row r="7" spans="1:50">
      <c r="A7" s="37"/>
      <c r="B7" s="40"/>
      <c r="C7" s="37"/>
      <c r="D7" s="35"/>
      <c r="E7" s="60"/>
      <c r="F7" s="35"/>
      <c r="G7" s="35"/>
      <c r="H7" s="60"/>
      <c r="I7" s="35"/>
      <c r="J7" s="37"/>
      <c r="K7" s="41"/>
      <c r="L7" s="37"/>
      <c r="M7" s="35"/>
      <c r="N7" s="35"/>
      <c r="O7" s="35"/>
      <c r="Y7" s="35"/>
      <c r="Z7" s="37"/>
      <c r="AA7" s="36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</row>
    <row r="8" spans="1:50">
      <c r="A8" s="37"/>
      <c r="B8" s="36"/>
      <c r="C8" s="37"/>
      <c r="D8" s="35"/>
      <c r="E8" s="60"/>
      <c r="F8" s="35"/>
      <c r="G8" s="35"/>
      <c r="H8" s="60"/>
      <c r="I8" s="35"/>
      <c r="J8" s="37"/>
      <c r="K8" s="38"/>
      <c r="L8" s="37"/>
      <c r="M8" s="35"/>
      <c r="N8" s="35"/>
      <c r="O8" s="35"/>
      <c r="Y8" s="35"/>
      <c r="Z8" s="37"/>
      <c r="AA8" s="40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</row>
    <row r="9" spans="1:50">
      <c r="A9" s="37"/>
      <c r="B9" s="40"/>
      <c r="C9" s="37"/>
      <c r="D9" s="35"/>
      <c r="E9" s="60"/>
      <c r="F9" s="35"/>
      <c r="G9" s="35"/>
      <c r="H9" s="60"/>
      <c r="I9" s="35"/>
      <c r="J9" s="37"/>
      <c r="K9" s="38"/>
      <c r="L9" s="37"/>
      <c r="M9" s="35"/>
      <c r="N9" s="35"/>
      <c r="O9" s="35"/>
      <c r="Y9" s="35"/>
      <c r="Z9" s="37"/>
      <c r="AA9" s="36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</row>
    <row r="10" spans="1:50">
      <c r="A10" s="37"/>
      <c r="B10" s="36"/>
      <c r="C10" s="37"/>
      <c r="D10" s="35"/>
      <c r="E10" s="60"/>
      <c r="F10" s="35"/>
      <c r="G10" s="35"/>
      <c r="H10" s="60"/>
      <c r="I10" s="35"/>
      <c r="J10" s="37"/>
      <c r="K10" s="38"/>
      <c r="L10" s="37"/>
      <c r="M10" s="35"/>
      <c r="N10" s="35"/>
      <c r="O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</row>
    <row r="11" spans="1:50">
      <c r="A11" s="35"/>
      <c r="B11" s="35"/>
      <c r="C11" s="35"/>
      <c r="D11" s="35"/>
      <c r="E11" s="60"/>
      <c r="F11" s="35"/>
      <c r="G11" s="35"/>
      <c r="H11" s="60"/>
      <c r="I11" s="35"/>
      <c r="J11" s="37"/>
      <c r="K11" s="38"/>
      <c r="L11" s="37"/>
      <c r="M11" s="35"/>
      <c r="N11" s="35"/>
      <c r="O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</row>
    <row r="12" spans="1:50">
      <c r="A12" s="35"/>
      <c r="B12" s="35"/>
      <c r="C12" s="35"/>
      <c r="D12" s="35"/>
      <c r="E12" s="60"/>
      <c r="F12" s="35"/>
      <c r="G12" s="35"/>
      <c r="H12" s="60"/>
      <c r="I12" s="35"/>
      <c r="J12" s="37"/>
      <c r="K12" s="38"/>
      <c r="L12" s="37"/>
      <c r="M12" s="35"/>
      <c r="N12" s="35"/>
      <c r="O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</row>
    <row r="13" spans="1:50"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</row>
    <row r="14" spans="1:50"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</row>
    <row r="15" spans="1:50">
      <c r="B15" t="s">
        <v>273</v>
      </c>
      <c r="Y15" s="35"/>
      <c r="Z15" s="35"/>
      <c r="AA15" s="35"/>
      <c r="AB15" s="35"/>
      <c r="AC15" s="35"/>
      <c r="AD15" s="35"/>
      <c r="AE15" s="37"/>
      <c r="AF15" s="35"/>
      <c r="AG15" s="35"/>
      <c r="AH15" s="35"/>
      <c r="AI15" s="35"/>
      <c r="AJ15" s="35"/>
      <c r="AK15" s="37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</row>
    <row r="16" spans="1:50">
      <c r="Y16" s="35"/>
      <c r="Z16" s="35"/>
      <c r="AA16" s="35"/>
      <c r="AB16" s="35"/>
      <c r="AC16" s="35"/>
      <c r="AD16" s="35"/>
      <c r="AE16" s="37"/>
      <c r="AF16" s="35"/>
      <c r="AG16" s="35"/>
      <c r="AH16" s="35"/>
      <c r="AI16" s="35"/>
      <c r="AJ16" s="35"/>
      <c r="AK16" s="37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</row>
    <row r="17" spans="2:50"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</row>
    <row r="18" spans="2:50">
      <c r="B18" s="9" t="s">
        <v>29</v>
      </c>
      <c r="D18" s="9" t="s">
        <v>57</v>
      </c>
      <c r="E18" s="9" t="s">
        <v>40</v>
      </c>
      <c r="F18" s="9" t="s">
        <v>110</v>
      </c>
      <c r="G18" s="9" t="s">
        <v>35</v>
      </c>
      <c r="H18" s="9" t="s">
        <v>116</v>
      </c>
      <c r="I18" s="9" t="s">
        <v>103</v>
      </c>
      <c r="J18" s="9" t="s">
        <v>104</v>
      </c>
      <c r="K18" s="9" t="s">
        <v>106</v>
      </c>
      <c r="L18" s="9" t="s">
        <v>123</v>
      </c>
      <c r="M18" s="9" t="s">
        <v>227</v>
      </c>
      <c r="N18" s="9" t="s">
        <v>220</v>
      </c>
      <c r="O18" s="47" t="s">
        <v>221</v>
      </c>
      <c r="P18" s="9" t="s">
        <v>222</v>
      </c>
      <c r="Q18" s="9" t="s">
        <v>223</v>
      </c>
      <c r="R18" s="9" t="s">
        <v>117</v>
      </c>
      <c r="S18" s="9" t="s">
        <v>141</v>
      </c>
      <c r="T18" s="9" t="s">
        <v>59</v>
      </c>
      <c r="U18" s="9" t="s">
        <v>228</v>
      </c>
      <c r="W18" s="9" t="s">
        <v>224</v>
      </c>
      <c r="Y18" s="35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5"/>
      <c r="AP18" s="35"/>
      <c r="AQ18" s="35"/>
      <c r="AR18" s="35"/>
      <c r="AS18" s="35"/>
      <c r="AT18" s="35"/>
      <c r="AU18" s="35"/>
      <c r="AV18" s="35"/>
      <c r="AW18" s="35"/>
      <c r="AX18" s="35"/>
    </row>
    <row r="19" spans="2:50">
      <c r="B19" s="9" t="s">
        <v>30</v>
      </c>
      <c r="D19" s="9" t="s">
        <v>4</v>
      </c>
      <c r="E19" s="9" t="s">
        <v>1</v>
      </c>
      <c r="G19" s="9" t="s">
        <v>98</v>
      </c>
      <c r="I19" s="9" t="s">
        <v>40</v>
      </c>
      <c r="J19" s="9" t="s">
        <v>100</v>
      </c>
      <c r="K19" s="9" t="s">
        <v>40</v>
      </c>
      <c r="L19" s="9" t="s">
        <v>100</v>
      </c>
      <c r="M19" s="9" t="s">
        <v>34</v>
      </c>
      <c r="N19" s="9" t="s">
        <v>34</v>
      </c>
      <c r="O19" s="48" t="s">
        <v>107</v>
      </c>
      <c r="P19" s="9" t="s">
        <v>225</v>
      </c>
      <c r="Q19" s="9" t="s">
        <v>226</v>
      </c>
      <c r="S19" s="9" t="s">
        <v>34</v>
      </c>
      <c r="T19" s="9" t="s">
        <v>34</v>
      </c>
      <c r="U19" s="9" t="s">
        <v>100</v>
      </c>
      <c r="Y19" s="35"/>
      <c r="Z19" s="35"/>
      <c r="AA19" s="35"/>
      <c r="AB19" s="37"/>
      <c r="AC19" s="37"/>
      <c r="AD19" s="37"/>
      <c r="AE19" s="37"/>
      <c r="AF19" s="37"/>
      <c r="AG19" s="37"/>
      <c r="AH19" s="37"/>
      <c r="AI19" s="35"/>
      <c r="AJ19" s="35"/>
      <c r="AK19" s="35"/>
      <c r="AL19" s="37"/>
      <c r="AM19" s="37"/>
      <c r="AN19" s="37"/>
      <c r="AO19" s="35"/>
      <c r="AP19" s="35"/>
      <c r="AQ19" s="35"/>
      <c r="AR19" s="35"/>
      <c r="AS19" s="35"/>
      <c r="AT19" s="35"/>
      <c r="AU19" s="35"/>
      <c r="AV19" s="35"/>
      <c r="AW19" s="35"/>
      <c r="AX19" s="35"/>
    </row>
    <row r="20" spans="2:50"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</row>
    <row r="21" spans="2:50">
      <c r="B21" s="1">
        <f>ISA!E21</f>
        <v>1.2249994633486807</v>
      </c>
      <c r="D21" s="1">
        <f>Propeller!$B$8</f>
        <v>0.30479999999999996</v>
      </c>
      <c r="E21" s="59">
        <f ca="1">'Aerodynamics-Takeoff'!H21</f>
        <v>14.629202114405427</v>
      </c>
      <c r="F21" s="49">
        <f t="shared" ref="F21:F40" ca="1" si="0">IF(ISERROR(W21),1,W21)</f>
        <v>0.53895362355081833</v>
      </c>
      <c r="G21" s="19">
        <f ca="1">MAX(Motor!$B$7,K21*Motor!$B$7)</f>
        <v>6912.4961992398703</v>
      </c>
      <c r="H21" s="10">
        <f ca="1">E21/(G21/60*D21)*Propulsão!J21</f>
        <v>0.40186872659897283</v>
      </c>
      <c r="I21" s="13">
        <f ca="1">F21*Energy!$B$6</f>
        <v>6.3866004390771982</v>
      </c>
      <c r="J21" s="51">
        <f ca="1">IF(ISERROR(U21),Motor!$B$10,U21)</f>
        <v>16.056075377287755</v>
      </c>
      <c r="K21" s="20">
        <f ca="1">I21-Motor!$B$9*J21</f>
        <v>5.7604134993629756</v>
      </c>
      <c r="L21" s="14">
        <f ca="1">MAX(Motor!$B$8,J21-Motor!$B$8)</f>
        <v>13.756075377287754</v>
      </c>
      <c r="M21" s="14">
        <f t="shared" ref="M21:M40" ca="1" si="1">I21*J21</f>
        <v>102.54373805444257</v>
      </c>
      <c r="N21" s="20">
        <f t="shared" ref="N21:N40" ca="1" si="2">K21*L21</f>
        <v>79.240682301583021</v>
      </c>
      <c r="O21" s="1">
        <f t="shared" ref="O21:O40" ca="1" si="3">N21/(G21/60*(2*PI()))</f>
        <v>0.10946736969193467</v>
      </c>
      <c r="P21" s="10">
        <f t="shared" ref="P21:P40" ca="1" si="4">N21/(B21*(G21/60)^3*D21^5)</f>
        <v>1.6080017948832136E-2</v>
      </c>
      <c r="Q21" s="10">
        <f ca="1">Propeller!$B$15+Propeller!$B$16*H21+Propeller!$B$17*H21^2+Propeller!$B$18*H21^3+Propeller!$B$19*H21^4+Propeller!$B$20*H21^5+Propeller!$B$21*H21^6</f>
        <v>1.6080017948317444E-2</v>
      </c>
      <c r="R21" s="10">
        <f ca="1">(Propeller!$B$23+Propeller!$B$24*H21+Propeller!$B$25*H21^2+Propeller!$B$26*H21^3+Propeller!$B$27*H21^4+Propeller!$B$28*H21^5+Propeller!$B$29*H21^6)*Propulsão!M21</f>
        <v>0.67237228638535773</v>
      </c>
      <c r="S21" s="19">
        <f t="shared" ref="S21:S40" ca="1" si="5">N21*R21</f>
        <v>53.27923873385113</v>
      </c>
      <c r="T21" s="59">
        <f ca="1">'Aerodynamics-Takeoff'!BL21</f>
        <v>53.279238733091098</v>
      </c>
      <c r="U21" s="14">
        <f ca="1">MIN(Motor!$B$10,MAX(Motor!$B$8,J21+0.05*(Q21/P21-1)*J21))</f>
        <v>16.056075377262058</v>
      </c>
      <c r="V21" s="50" t="str">
        <f t="shared" ref="V21:V40" ca="1" si="6">IF(ABS((Q21-P21)/P21)&lt;0.01,"OK","iterate")</f>
        <v>OK</v>
      </c>
      <c r="W21" s="1">
        <f ca="1">MIN(1,MAX(0.1,F21+0.05*(T21/S21-1)*F21))</f>
        <v>0.53895362355043397</v>
      </c>
      <c r="X21" s="50" t="str">
        <f t="shared" ref="X21:X40" ca="1" si="7">IF(ABS((P21-Q21)/Q21)&lt;0.01,"OK","iterate")</f>
        <v>OK</v>
      </c>
      <c r="Y21" s="35"/>
      <c r="Z21" s="36"/>
      <c r="AA21" s="36"/>
      <c r="AB21" s="36"/>
      <c r="AC21" s="38"/>
      <c r="AD21" s="41"/>
      <c r="AE21" s="40"/>
      <c r="AF21" s="38"/>
      <c r="AG21" s="40"/>
      <c r="AH21" s="40"/>
      <c r="AI21" s="36"/>
      <c r="AJ21" s="36"/>
      <c r="AK21" s="36"/>
      <c r="AL21" s="40"/>
      <c r="AM21" s="40"/>
      <c r="AN21" s="38"/>
      <c r="AO21" s="35"/>
      <c r="AP21" s="35"/>
      <c r="AQ21" s="35"/>
      <c r="AR21" s="35"/>
      <c r="AS21" s="35"/>
      <c r="AT21" s="35"/>
      <c r="AU21" s="35"/>
      <c r="AV21" s="35"/>
      <c r="AW21" s="35"/>
      <c r="AX21" s="35"/>
    </row>
    <row r="22" spans="2:50">
      <c r="B22" s="1">
        <f>ISA!E22</f>
        <v>1.2249994633486807</v>
      </c>
      <c r="D22" s="1">
        <f>Propeller!$B$8</f>
        <v>0.30479999999999996</v>
      </c>
      <c r="E22" s="59">
        <f ca="1">'Aerodynamics-Takeoff'!H22</f>
        <v>14.391374472657482</v>
      </c>
      <c r="F22" s="49">
        <f t="shared" ca="1" si="0"/>
        <v>0.53124554904736898</v>
      </c>
      <c r="G22" s="19">
        <f ca="1">MAX(Motor!$B$7,K22*Motor!$B$7)</f>
        <v>6818.062514466671</v>
      </c>
      <c r="H22" s="10">
        <f ca="1">E22/(G22/60*D22)*Propulsão!J22</f>
        <v>0.40081112849534212</v>
      </c>
      <c r="I22" s="13">
        <f ca="1">F22*Energy!$B$6</f>
        <v>6.2952597562113235</v>
      </c>
      <c r="J22" s="51">
        <f ca="1">IF(ISERROR(U22),Motor!$B$10,U22)</f>
        <v>15.73182036307135</v>
      </c>
      <c r="K22" s="20">
        <f ca="1">I22-Motor!$B$9*J22</f>
        <v>5.681718762051541</v>
      </c>
      <c r="L22" s="14">
        <f ca="1">MAX(Motor!$B$8,J22-Motor!$B$8)</f>
        <v>13.431820363071349</v>
      </c>
      <c r="M22" s="14">
        <f t="shared" ca="1" si="1"/>
        <v>99.035895623588885</v>
      </c>
      <c r="N22" s="20">
        <f t="shared" ca="1" si="2"/>
        <v>76.31582576536843</v>
      </c>
      <c r="O22" s="1">
        <f t="shared" ca="1" si="3"/>
        <v>0.10688703027518349</v>
      </c>
      <c r="P22" s="10">
        <f t="shared" ca="1" si="4"/>
        <v>1.613892897656621E-2</v>
      </c>
      <c r="Q22" s="10">
        <f ca="1">Propeller!$B$15+Propeller!$B$16*H22+Propeller!$B$17*H22^2+Propeller!$B$18*H22^3+Propeller!$B$19*H22^4+Propeller!$B$20*H22^5+Propeller!$B$21*H22^6</f>
        <v>1.6138928975986816E-2</v>
      </c>
      <c r="R22" s="10">
        <f ca="1">(Propeller!$B$23+Propeller!$B$24*H22+Propeller!$B$25*H22^2+Propeller!$B$26*H22^3+Propeller!$B$27*H22^4+Propeller!$B$28*H22^5+Propeller!$B$29*H22^6)*Propulsão!M22</f>
        <v>0.67247570085671138</v>
      </c>
      <c r="S22" s="19">
        <f t="shared" ca="1" si="5"/>
        <v>51.32053841802481</v>
      </c>
      <c r="T22" s="59">
        <f ca="1">'Aerodynamics-Takeoff'!BL22</f>
        <v>51.32053841719479</v>
      </c>
      <c r="U22" s="14">
        <f ca="1">MIN(Motor!$B$10,MAX(Motor!$B$8,J22+0.05*(Q22/P22-1)*J22))</f>
        <v>15.731820363043111</v>
      </c>
      <c r="V22" s="50" t="str">
        <f t="shared" ca="1" si="6"/>
        <v>OK</v>
      </c>
      <c r="W22" s="1">
        <f t="shared" ref="W22:W40" ca="1" si="8">MIN(1,MAX(0.1,F22+0.05*(T22/S22-1)*F22))</f>
        <v>0.53124554904693944</v>
      </c>
      <c r="X22" s="50" t="str">
        <f t="shared" ca="1" si="7"/>
        <v>OK</v>
      </c>
      <c r="Y22" s="35"/>
      <c r="Z22" s="36"/>
      <c r="AA22" s="36"/>
      <c r="AB22" s="36"/>
      <c r="AC22" s="38"/>
      <c r="AD22" s="41"/>
      <c r="AE22" s="40"/>
      <c r="AF22" s="38"/>
      <c r="AG22" s="40"/>
      <c r="AH22" s="40"/>
      <c r="AI22" s="36"/>
      <c r="AJ22" s="36"/>
      <c r="AK22" s="36"/>
      <c r="AL22" s="40"/>
      <c r="AM22" s="40"/>
      <c r="AN22" s="38"/>
      <c r="AO22" s="35"/>
      <c r="AP22" s="35"/>
      <c r="AQ22" s="35"/>
      <c r="AR22" s="35"/>
      <c r="AS22" s="35"/>
      <c r="AT22" s="35"/>
      <c r="AU22" s="35"/>
      <c r="AV22" s="35"/>
      <c r="AW22" s="35"/>
      <c r="AX22" s="35"/>
    </row>
    <row r="23" spans="2:50">
      <c r="B23" s="1">
        <f>ISA!E23</f>
        <v>1.2249994633486807</v>
      </c>
      <c r="C23" s="6"/>
      <c r="D23" s="1">
        <f>Propeller!$B$8</f>
        <v>0.30479999999999996</v>
      </c>
      <c r="E23" s="59">
        <f ca="1">'Aerodynamics-Takeoff'!H23</f>
        <v>14.165103874793797</v>
      </c>
      <c r="F23" s="49">
        <f t="shared" ca="1" si="0"/>
        <v>0.52392291609438613</v>
      </c>
      <c r="G23" s="19">
        <f ca="1">MAX(Motor!$B$7,K23*Motor!$B$7)</f>
        <v>6728.2184306147201</v>
      </c>
      <c r="H23" s="10">
        <f ca="1">E23/(G23/60*D23)*Propulsão!J23</f>
        <v>0.3997773247791338</v>
      </c>
      <c r="I23" s="13">
        <f ca="1">F23*Energy!$B$6</f>
        <v>6.2084865557184763</v>
      </c>
      <c r="J23" s="51">
        <f ca="1">IF(ISERROR(U23),Motor!$B$10,U23)</f>
        <v>15.426611885743666</v>
      </c>
      <c r="K23" s="20">
        <f ca="1">I23-Motor!$B$9*J23</f>
        <v>5.6068486921744736</v>
      </c>
      <c r="L23" s="14">
        <f ca="1">MAX(Motor!$B$8,J23-Motor!$B$8)</f>
        <v>13.126611885743667</v>
      </c>
      <c r="M23" s="14">
        <f t="shared" ca="1" si="1"/>
        <v>95.775912492926409</v>
      </c>
      <c r="N23" s="20">
        <f t="shared" ca="1" si="2"/>
        <v>73.598926684263787</v>
      </c>
      <c r="O23" s="1">
        <f t="shared" ca="1" si="3"/>
        <v>0.10445825838316343</v>
      </c>
      <c r="P23" s="10">
        <f t="shared" ca="1" si="4"/>
        <v>1.6196242599306639E-2</v>
      </c>
      <c r="Q23" s="10">
        <f ca="1">Propeller!$B$15+Propeller!$B$16*H23+Propeller!$B$17*H23^2+Propeller!$B$18*H23^3+Propeller!$B$19*H23^4+Propeller!$B$20*H23^5+Propeller!$B$21*H23^6</f>
        <v>1.6196242598660461E-2</v>
      </c>
      <c r="R23" s="10">
        <f ca="1">(Propeller!$B$23+Propeller!$B$24*H23+Propeller!$B$25*H23^2+Propeller!$B$26*H23^3+Propeller!$B$27*H23^4+Propeller!$B$28*H23^5+Propeller!$B$29*H23^6)*Propulsão!M23</f>
        <v>0.67255852523974002</v>
      </c>
      <c r="S23" s="19">
        <f t="shared" ca="1" si="5"/>
        <v>49.499585589996201</v>
      </c>
      <c r="T23" s="59">
        <f ca="1">'Aerodynamics-Takeoff'!BL23</f>
        <v>49.499585589099709</v>
      </c>
      <c r="U23" s="14">
        <f ca="1">MIN(Motor!$B$10,MAX(Motor!$B$8,J23+0.05*(Q23/P23-1)*J23))</f>
        <v>15.426611885712893</v>
      </c>
      <c r="V23" s="50" t="str">
        <f t="shared" ca="1" si="6"/>
        <v>OK</v>
      </c>
      <c r="W23" s="1">
        <f t="shared" ca="1" si="8"/>
        <v>0.52392291609391173</v>
      </c>
      <c r="X23" s="50" t="str">
        <f t="shared" ca="1" si="7"/>
        <v>OK</v>
      </c>
      <c r="Y23" s="35"/>
      <c r="Z23" s="36"/>
      <c r="AA23" s="36"/>
      <c r="AB23" s="36"/>
      <c r="AC23" s="38"/>
      <c r="AD23" s="41"/>
      <c r="AE23" s="40"/>
      <c r="AF23" s="38"/>
      <c r="AG23" s="40"/>
      <c r="AH23" s="40"/>
      <c r="AI23" s="36"/>
      <c r="AJ23" s="36"/>
      <c r="AK23" s="36"/>
      <c r="AL23" s="40"/>
      <c r="AM23" s="40"/>
      <c r="AN23" s="38"/>
      <c r="AO23" s="35"/>
      <c r="AP23" s="35"/>
      <c r="AQ23" s="35"/>
      <c r="AR23" s="35"/>
      <c r="AS23" s="35"/>
      <c r="AT23" s="35"/>
      <c r="AU23" s="35"/>
      <c r="AV23" s="35"/>
      <c r="AW23" s="35"/>
      <c r="AX23" s="35"/>
    </row>
    <row r="24" spans="2:50">
      <c r="B24" s="1">
        <f>ISA!E24</f>
        <v>1.2249994633486807</v>
      </c>
      <c r="C24" s="20"/>
      <c r="D24" s="1">
        <f>Propeller!$B$8</f>
        <v>0.30479999999999996</v>
      </c>
      <c r="E24" s="59">
        <f ca="1">'Aerodynamics-Takeoff'!H24</f>
        <v>13.434554183218914</v>
      </c>
      <c r="F24" s="49">
        <f t="shared" ca="1" si="0"/>
        <v>0.49787171265745467</v>
      </c>
      <c r="G24" s="19">
        <f ca="1">MAX(Motor!$B$7,K24*Motor!$B$7)</f>
        <v>6410.8529933988666</v>
      </c>
      <c r="H24" s="10">
        <f ca="1">E24/(G24/60*D24)*Propulsão!J24</f>
        <v>0.39792929929744109</v>
      </c>
      <c r="I24" s="13">
        <f ca="1">F24*Energy!$B$6</f>
        <v>5.8997797949908382</v>
      </c>
      <c r="J24" s="51">
        <f ca="1">IF(ISERROR(U24),Motor!$B$10,U24)</f>
        <v>14.292366679429861</v>
      </c>
      <c r="K24" s="20">
        <f ca="1">I24-Motor!$B$9*J24</f>
        <v>5.3423774944930731</v>
      </c>
      <c r="L24" s="14">
        <f ca="1">MAX(Motor!$B$8,J24-Motor!$B$8)</f>
        <v>11.99236667942986</v>
      </c>
      <c r="M24" s="14">
        <f t="shared" ca="1" si="1"/>
        <v>84.321816157900599</v>
      </c>
      <c r="N24" s="20">
        <f t="shared" ca="1" si="2"/>
        <v>64.067749853894711</v>
      </c>
      <c r="O24" s="1">
        <f t="shared" ca="1" si="3"/>
        <v>9.5432221819983204E-2</v>
      </c>
      <c r="P24" s="10">
        <f t="shared" ca="1" si="4"/>
        <v>1.6298027862028528E-2</v>
      </c>
      <c r="Q24" s="10">
        <f ca="1">Propeller!$B$15+Propeller!$B$16*H24+Propeller!$B$17*H24^2+Propeller!$B$18*H24^3+Propeller!$B$19*H24^4+Propeller!$B$20*H24^5+Propeller!$B$21*H24^6</f>
        <v>1.6298027861112105E-2</v>
      </c>
      <c r="R24" s="10">
        <f ca="1">(Propeller!$B$23+Propeller!$B$24*H24+Propeller!$B$25*H24^2+Propeller!$B$26*H24^3+Propeller!$B$27*H24^4+Propeller!$B$28*H24^5+Propeller!$B$29*H24^6)*Propulsão!M24</f>
        <v>0.67254689926287992</v>
      </c>
      <c r="S24" s="19">
        <f t="shared" ca="1" si="5"/>
        <v>43.088566506986716</v>
      </c>
      <c r="T24" s="59">
        <f ca="1">'Aerodynamics-Takeoff'!BL24</f>
        <v>43.088566505890505</v>
      </c>
      <c r="U24" s="14">
        <f ca="1">MIN(Motor!$B$10,MAX(Motor!$B$8,J24+0.05*(Q24/P24-1)*J24))</f>
        <v>14.292366679389678</v>
      </c>
      <c r="V24" s="50" t="str">
        <f t="shared" ca="1" si="6"/>
        <v>OK</v>
      </c>
      <c r="W24" s="1">
        <f t="shared" ca="1" si="8"/>
        <v>0.49787171265682134</v>
      </c>
      <c r="X24" s="50" t="str">
        <f t="shared" ca="1" si="7"/>
        <v>OK</v>
      </c>
      <c r="Y24" s="35"/>
      <c r="Z24" s="36"/>
      <c r="AA24" s="36"/>
      <c r="AB24" s="36"/>
      <c r="AC24" s="38"/>
      <c r="AD24" s="41"/>
      <c r="AE24" s="40"/>
      <c r="AF24" s="38"/>
      <c r="AG24" s="40"/>
      <c r="AH24" s="40"/>
      <c r="AI24" s="36"/>
      <c r="AJ24" s="36"/>
      <c r="AK24" s="36"/>
      <c r="AL24" s="40"/>
      <c r="AM24" s="40"/>
      <c r="AN24" s="38"/>
      <c r="AO24" s="35"/>
      <c r="AP24" s="35"/>
      <c r="AQ24" s="35"/>
      <c r="AR24" s="35"/>
      <c r="AS24" s="35"/>
      <c r="AT24" s="35"/>
      <c r="AU24" s="35"/>
      <c r="AV24" s="35"/>
      <c r="AW24" s="35"/>
      <c r="AX24" s="35"/>
    </row>
    <row r="25" spans="2:50">
      <c r="B25" s="1">
        <f>ISA!E25</f>
        <v>1.2249994633486807</v>
      </c>
      <c r="C25" s="6"/>
      <c r="D25" s="1">
        <f>Propeller!$B$8</f>
        <v>0.30479999999999996</v>
      </c>
      <c r="E25" s="59">
        <f ca="1">'Aerodynamics-Takeoff'!H25</f>
        <v>13.235366392151196</v>
      </c>
      <c r="F25" s="49">
        <f t="shared" ca="1" si="0"/>
        <v>0.4914987444831736</v>
      </c>
      <c r="G25" s="19">
        <f ca="1">MAX(Motor!$B$7,K25*Motor!$B$7)</f>
        <v>6332.061897618396</v>
      </c>
      <c r="H25" s="10">
        <f ca="1">E25/(G25/60*D25)*Propulsão!J25</f>
        <v>0.39690748853684654</v>
      </c>
      <c r="I25" s="13">
        <f ca="1">F25*Energy!$B$6</f>
        <v>5.8242601221256081</v>
      </c>
      <c r="J25" s="51">
        <f ca="1">IF(ISERROR(U25),Motor!$B$10,U25)</f>
        <v>14.039535233762983</v>
      </c>
      <c r="K25" s="20">
        <f ca="1">I25-Motor!$B$9*J25</f>
        <v>5.2767182480088515</v>
      </c>
      <c r="L25" s="14">
        <f ca="1">MAX(Motor!$B$8,J25-Motor!$B$8)</f>
        <v>11.739535233762982</v>
      </c>
      <c r="M25" s="14">
        <f t="shared" ca="1" si="1"/>
        <v>81.769905195183171</v>
      </c>
      <c r="N25" s="20">
        <f t="shared" ca="1" si="2"/>
        <v>61.946219791139988</v>
      </c>
      <c r="O25" s="1">
        <f t="shared" ca="1" si="3"/>
        <v>9.3420253102627693E-2</v>
      </c>
      <c r="P25" s="10">
        <f t="shared" ca="1" si="4"/>
        <v>1.635393976469772E-2</v>
      </c>
      <c r="Q25" s="10">
        <f ca="1">Propeller!$B$15+Propeller!$B$16*H25+Propeller!$B$17*H25^2+Propeller!$B$18*H25^3+Propeller!$B$19*H25^4+Propeller!$B$20*H25^5+Propeller!$B$21*H25^6</f>
        <v>1.6353939763700281E-2</v>
      </c>
      <c r="R25" s="10">
        <f ca="1">(Propeller!$B$23+Propeller!$B$24*H25+Propeller!$B$25*H25^2+Propeller!$B$26*H25^3+Propeller!$B$27*H25^4+Propeller!$B$28*H25^5+Propeller!$B$29*H25^6)*Propulsão!M25</f>
        <v>0.67258158393001977</v>
      </c>
      <c r="S25" s="19">
        <f t="shared" ca="1" si="5"/>
        <v>41.663886625602075</v>
      </c>
      <c r="T25" s="59">
        <f ca="1">'Aerodynamics-Takeoff'!BL25</f>
        <v>41.663886624444103</v>
      </c>
      <c r="U25" s="14">
        <f ca="1">MIN(Motor!$B$10,MAX(Motor!$B$8,J25+0.05*(Q25/P25-1)*J25))</f>
        <v>14.039535233720169</v>
      </c>
      <c r="V25" s="50" t="str">
        <f t="shared" ca="1" si="6"/>
        <v>OK</v>
      </c>
      <c r="W25" s="1">
        <f t="shared" ca="1" si="8"/>
        <v>0.49149874448249059</v>
      </c>
      <c r="X25" s="50" t="str">
        <f t="shared" ca="1" si="7"/>
        <v>OK</v>
      </c>
      <c r="Y25" s="35"/>
      <c r="Z25" s="36"/>
      <c r="AA25" s="36"/>
      <c r="AB25" s="36"/>
      <c r="AC25" s="38"/>
      <c r="AD25" s="41"/>
      <c r="AE25" s="40"/>
      <c r="AF25" s="38"/>
      <c r="AG25" s="40"/>
      <c r="AH25" s="40"/>
      <c r="AI25" s="36"/>
      <c r="AJ25" s="36"/>
      <c r="AK25" s="36"/>
      <c r="AL25" s="40"/>
      <c r="AM25" s="40"/>
      <c r="AN25" s="38"/>
      <c r="AO25" s="35"/>
      <c r="AP25" s="35"/>
      <c r="AQ25" s="35"/>
      <c r="AR25" s="35"/>
      <c r="AS25" s="35"/>
      <c r="AT25" s="35"/>
      <c r="AU25" s="35"/>
      <c r="AV25" s="35"/>
      <c r="AW25" s="35"/>
      <c r="AX25" s="35"/>
    </row>
    <row r="26" spans="2:50">
      <c r="B26" s="1">
        <f>ISA!E26</f>
        <v>1.2249994633486807</v>
      </c>
      <c r="D26" s="1">
        <f>Propeller!$B$8</f>
        <v>0.30479999999999996</v>
      </c>
      <c r="E26" s="59">
        <f ca="1">'Aerodynamics-Takeoff'!H26</f>
        <v>13.045219318895375</v>
      </c>
      <c r="F26" s="49">
        <f t="shared" ca="1" si="0"/>
        <v>0.48543118285641024</v>
      </c>
      <c r="G26" s="19">
        <f ca="1">MAX(Motor!$B$7,K26*Motor!$B$7)</f>
        <v>6256.942987213426</v>
      </c>
      <c r="H26" s="10">
        <f ca="1">E26/(G26/60*D26)*Propulsão!J26</f>
        <v>0.39590197052931431</v>
      </c>
      <c r="I26" s="13">
        <f ca="1">F26*Energy!$B$6</f>
        <v>5.752359516848462</v>
      </c>
      <c r="J26" s="51">
        <f ca="1">IF(ISERROR(U26),Motor!$B$10,U26)</f>
        <v>13.801034893442081</v>
      </c>
      <c r="K26" s="20">
        <f ca="1">I26-Motor!$B$9*J26</f>
        <v>5.2141191560042213</v>
      </c>
      <c r="L26" s="14">
        <f ca="1">MAX(Motor!$B$8,J26-Motor!$B$8)</f>
        <v>11.501034893442082</v>
      </c>
      <c r="M26" s="14">
        <f t="shared" ca="1" si="1"/>
        <v>79.388514411649254</v>
      </c>
      <c r="N26" s="20">
        <f t="shared" ca="1" si="2"/>
        <v>59.967766351769328</v>
      </c>
      <c r="O26" s="1">
        <f t="shared" ca="1" si="3"/>
        <v>9.1522327698061567E-2</v>
      </c>
      <c r="P26" s="10">
        <f t="shared" ca="1" si="4"/>
        <v>1.6408705441964194E-2</v>
      </c>
      <c r="Q26" s="10">
        <f ca="1">Propeller!$B$15+Propeller!$B$16*H26+Propeller!$B$17*H26^2+Propeller!$B$18*H26^3+Propeller!$B$19*H26^4+Propeller!$B$20*H26^5+Propeller!$B$21*H26^6</f>
        <v>1.640870544088513E-2</v>
      </c>
      <c r="R26" s="10">
        <f ca="1">(Propeller!$B$23+Propeller!$B$24*H26+Propeller!$B$25*H26^2+Propeller!$B$26*H26^3+Propeller!$B$27*H26^4+Propeller!$B$28*H26^5+Propeller!$B$29*H26^6)*Propulsão!M26</f>
        <v>0.67259996481321993</v>
      </c>
      <c r="S26" s="19">
        <f t="shared" ca="1" si="5"/>
        <v>40.334317538127443</v>
      </c>
      <c r="T26" s="59">
        <f ca="1">'Aerodynamics-Takeoff'!BL26</f>
        <v>40.334317536909786</v>
      </c>
      <c r="U26" s="14">
        <f ca="1">MIN(Motor!$B$10,MAX(Motor!$B$8,J26+0.05*(Q26/P26-1)*J26))</f>
        <v>13.801034893396702</v>
      </c>
      <c r="V26" s="50" t="str">
        <f t="shared" ca="1" si="6"/>
        <v>OK</v>
      </c>
      <c r="W26" s="1">
        <f t="shared" ca="1" si="8"/>
        <v>0.48543118285567749</v>
      </c>
      <c r="X26" s="50" t="str">
        <f t="shared" ca="1" si="7"/>
        <v>OK</v>
      </c>
      <c r="Y26" s="35"/>
      <c r="Z26" s="36"/>
      <c r="AA26" s="36"/>
      <c r="AB26" s="36"/>
      <c r="AC26" s="38"/>
      <c r="AD26" s="41"/>
      <c r="AE26" s="40"/>
      <c r="AF26" s="38"/>
      <c r="AG26" s="40"/>
      <c r="AH26" s="40"/>
      <c r="AI26" s="36"/>
      <c r="AJ26" s="36"/>
      <c r="AK26" s="36"/>
      <c r="AL26" s="40"/>
      <c r="AM26" s="40"/>
      <c r="AN26" s="38"/>
      <c r="AO26" s="35"/>
      <c r="AP26" s="35"/>
      <c r="AQ26" s="35"/>
      <c r="AR26" s="35"/>
      <c r="AS26" s="35"/>
      <c r="AT26" s="35"/>
      <c r="AU26" s="35"/>
      <c r="AV26" s="35"/>
      <c r="AW26" s="35"/>
      <c r="AX26" s="35"/>
    </row>
    <row r="27" spans="2:50">
      <c r="B27" s="1">
        <f>ISA!E27</f>
        <v>1.2249994633486807</v>
      </c>
      <c r="D27" s="1">
        <f>Propeller!$B$8</f>
        <v>0.30479999999999996</v>
      </c>
      <c r="E27" s="59">
        <f ca="1">'Aerodynamics-Takeoff'!H27</f>
        <v>12.863499584985497</v>
      </c>
      <c r="F27" s="49">
        <f t="shared" ca="1" si="0"/>
        <v>0.47965013445075816</v>
      </c>
      <c r="G27" s="19">
        <f ca="1">MAX(Motor!$B$7,K27*Motor!$B$7)</f>
        <v>6185.2734367925505</v>
      </c>
      <c r="H27" s="10">
        <f ca="1">E27/(G27/60*D27)*Propulsão!J27</f>
        <v>0.39491052583338199</v>
      </c>
      <c r="I27" s="13">
        <f ca="1">F27*Energy!$B$6</f>
        <v>5.6838540932414849</v>
      </c>
      <c r="J27" s="51">
        <f ca="1">IF(ISERROR(U27),Motor!$B$10,U27)</f>
        <v>13.575886220217388</v>
      </c>
      <c r="K27" s="20">
        <f ca="1">I27-Motor!$B$9*J27</f>
        <v>5.1543945306530068</v>
      </c>
      <c r="L27" s="14">
        <f ca="1">MAX(Motor!$B$8,J27-Motor!$B$8)</f>
        <v>11.275886220217387</v>
      </c>
      <c r="M27" s="14">
        <f t="shared" ca="1" si="1"/>
        <v>77.163356462163279</v>
      </c>
      <c r="N27" s="20">
        <f t="shared" ca="1" si="2"/>
        <v>58.120366261754107</v>
      </c>
      <c r="O27" s="1">
        <f t="shared" ca="1" si="3"/>
        <v>8.9730651484339535E-2</v>
      </c>
      <c r="P27" s="10">
        <f t="shared" ca="1" si="4"/>
        <v>1.646245766616012E-2</v>
      </c>
      <c r="Q27" s="10">
        <f ca="1">Propeller!$B$15+Propeller!$B$16*H27+Propeller!$B$17*H27^2+Propeller!$B$18*H27^3+Propeller!$B$19*H27^4+Propeller!$B$20*H27^5+Propeller!$B$21*H27^6</f>
        <v>1.6462457664994139E-2</v>
      </c>
      <c r="R27" s="10">
        <f ca="1">(Propeller!$B$23+Propeller!$B$24*H27+Propeller!$B$25*H27^2+Propeller!$B$26*H27^3+Propeller!$B$27*H27^4+Propeller!$B$28*H27^5+Propeller!$B$29*H27^6)*Propulsão!M27</f>
        <v>0.67260315433857487</v>
      </c>
      <c r="S27" s="19">
        <f t="shared" ca="1" si="5"/>
        <v>39.0919416789691</v>
      </c>
      <c r="T27" s="59">
        <f ca="1">'Aerodynamics-Takeoff'!BL27</f>
        <v>39.09194167769472</v>
      </c>
      <c r="U27" s="14">
        <f ca="1">MIN(Motor!$B$10,MAX(Motor!$B$8,J27+0.05*(Q27/P27-1)*J27))</f>
        <v>13.575886220169311</v>
      </c>
      <c r="V27" s="50" t="str">
        <f t="shared" ca="1" si="6"/>
        <v>OK</v>
      </c>
      <c r="W27" s="1">
        <f t="shared" ca="1" si="8"/>
        <v>0.47965013444997634</v>
      </c>
      <c r="X27" s="50" t="str">
        <f t="shared" ca="1" si="7"/>
        <v>OK</v>
      </c>
      <c r="Y27" s="35"/>
      <c r="Z27" s="36"/>
      <c r="AA27" s="36"/>
      <c r="AB27" s="36"/>
      <c r="AC27" s="38"/>
      <c r="AD27" s="41"/>
      <c r="AE27" s="40"/>
      <c r="AF27" s="38"/>
      <c r="AG27" s="40"/>
      <c r="AH27" s="40"/>
      <c r="AI27" s="36"/>
      <c r="AJ27" s="36"/>
      <c r="AK27" s="36"/>
      <c r="AL27" s="40"/>
      <c r="AM27" s="40"/>
      <c r="AN27" s="38"/>
      <c r="AO27" s="35"/>
      <c r="AP27" s="35"/>
      <c r="AQ27" s="35"/>
      <c r="AR27" s="35"/>
      <c r="AS27" s="35"/>
      <c r="AT27" s="35"/>
      <c r="AU27" s="35"/>
      <c r="AV27" s="35"/>
      <c r="AW27" s="35"/>
      <c r="AX27" s="35"/>
    </row>
    <row r="28" spans="2:50">
      <c r="B28" s="1">
        <f>ISA!E28</f>
        <v>1.2249994633486807</v>
      </c>
      <c r="D28" s="1">
        <f>Propeller!$B$8</f>
        <v>0.30479999999999996</v>
      </c>
      <c r="E28" s="59">
        <f ca="1">'Aerodynamics-Takeoff'!H28</f>
        <v>12.658704743682229</v>
      </c>
      <c r="F28" s="49">
        <f t="shared" ca="1" si="0"/>
        <v>0.47299730187220773</v>
      </c>
      <c r="G28" s="19">
        <f ca="1">MAX(Motor!$B$7,K28*Motor!$B$7)</f>
        <v>6102.8826978775705</v>
      </c>
      <c r="H28" s="10">
        <f ca="1">E28/(G28/60*D28)*Propulsão!J28</f>
        <v>0.39386983757133137</v>
      </c>
      <c r="I28" s="13">
        <f ca="1">F28*Energy!$B$6</f>
        <v>5.605018027185662</v>
      </c>
      <c r="J28" s="51">
        <f ca="1">IF(ISERROR(U28),Motor!$B$10,U28)</f>
        <v>13.314934503609537</v>
      </c>
      <c r="K28" s="20">
        <f ca="1">I28-Motor!$B$9*J28</f>
        <v>5.0857355815448901</v>
      </c>
      <c r="L28" s="14">
        <f ca="1">MAX(Motor!$B$8,J28-Motor!$B$8)</f>
        <v>11.014934503609538</v>
      </c>
      <c r="M28" s="14">
        <f t="shared" ca="1" si="1"/>
        <v>74.630447923527825</v>
      </c>
      <c r="N28" s="20">
        <f t="shared" ca="1" si="2"/>
        <v>56.019044333393531</v>
      </c>
      <c r="O28" s="1">
        <f t="shared" ca="1" si="3"/>
        <v>8.7654063703806087E-2</v>
      </c>
      <c r="P28" s="10">
        <f t="shared" ca="1" si="4"/>
        <v>1.6518616374546984E-2</v>
      </c>
      <c r="Q28" s="10">
        <f ca="1">Propeller!$B$15+Propeller!$B$16*H28+Propeller!$B$17*H28^2+Propeller!$B$18*H28^3+Propeller!$B$19*H28^4+Propeller!$B$20*H28^5+Propeller!$B$21*H28^6</f>
        <v>1.6518616371907303E-2</v>
      </c>
      <c r="R28" s="10">
        <f ca="1">(Propeller!$B$23+Propeller!$B$24*H28+Propeller!$B$25*H28^2+Propeller!$B$26*H28^3+Propeller!$B$27*H28^4+Propeller!$B$28*H28^5+Propeller!$B$29*H28^6)*Propulsão!M28</f>
        <v>0.67258341954489909</v>
      </c>
      <c r="S28" s="19">
        <f t="shared" ca="1" si="5"/>
        <v>37.677480397391122</v>
      </c>
      <c r="T28" s="59">
        <f ca="1">'Aerodynamics-Takeoff'!BL28</f>
        <v>37.677480394199868</v>
      </c>
      <c r="U28" s="14">
        <f ca="1">MIN(Motor!$B$10,MAX(Motor!$B$8,J28+0.05*(Q28/P28-1)*J28))</f>
        <v>13.314934503503151</v>
      </c>
      <c r="V28" s="50" t="str">
        <f t="shared" ca="1" si="6"/>
        <v>OK</v>
      </c>
      <c r="W28" s="1">
        <f t="shared" ca="1" si="8"/>
        <v>0.47299730187020461</v>
      </c>
      <c r="X28" s="50" t="str">
        <f t="shared" ca="1" si="7"/>
        <v>OK</v>
      </c>
      <c r="Y28" s="35"/>
      <c r="Z28" s="36"/>
      <c r="AA28" s="36"/>
      <c r="AB28" s="36"/>
      <c r="AC28" s="38"/>
      <c r="AD28" s="41"/>
      <c r="AE28" s="40"/>
      <c r="AF28" s="38"/>
      <c r="AG28" s="40"/>
      <c r="AH28" s="40"/>
      <c r="AI28" s="36"/>
      <c r="AJ28" s="36"/>
      <c r="AK28" s="36"/>
      <c r="AL28" s="40"/>
      <c r="AM28" s="40"/>
      <c r="AN28" s="38"/>
      <c r="AO28" s="35"/>
      <c r="AP28" s="35"/>
      <c r="AQ28" s="35"/>
      <c r="AR28" s="35"/>
      <c r="AS28" s="35"/>
      <c r="AT28" s="35"/>
      <c r="AU28" s="35"/>
      <c r="AV28" s="35"/>
      <c r="AW28" s="35"/>
      <c r="AX28" s="35"/>
    </row>
    <row r="29" spans="2:50">
      <c r="B29" s="1">
        <f>ISA!E29</f>
        <v>1.2249994633486807</v>
      </c>
      <c r="D29" s="1">
        <f>Propeller!$B$8</f>
        <v>0.30479999999999996</v>
      </c>
      <c r="E29" s="59">
        <f ca="1">'Aerodynamics-Takeoff'!H29</f>
        <v>12.409597035986524</v>
      </c>
      <c r="F29" s="49">
        <f t="shared" ca="1" si="0"/>
        <v>0.46469682272833274</v>
      </c>
      <c r="G29" s="19">
        <f ca="1">MAX(Motor!$B$7,K29*Motor!$B$7)</f>
        <v>6000.1994428104581</v>
      </c>
      <c r="H29" s="10">
        <f ca="1">E29/(G29/60*D29)*Propulsão!J29</f>
        <v>0.39272673698251798</v>
      </c>
      <c r="I29" s="13">
        <f ca="1">F29*Energy!$B$6</f>
        <v>5.5066573493307436</v>
      </c>
      <c r="J29" s="51">
        <f ca="1">IF(ISERROR(U29),Motor!$B$10,U29)</f>
        <v>12.986952487399419</v>
      </c>
      <c r="K29" s="20">
        <f ca="1">I29-Motor!$B$9*J29</f>
        <v>5.0001662023221662</v>
      </c>
      <c r="L29" s="14">
        <f ca="1">MAX(Motor!$B$8,J29-Motor!$B$8)</f>
        <v>10.68695248739942</v>
      </c>
      <c r="M29" s="14">
        <f t="shared" ca="1" si="1"/>
        <v>71.514697360147196</v>
      </c>
      <c r="N29" s="20">
        <f t="shared" ca="1" si="2"/>
        <v>53.43653863331739</v>
      </c>
      <c r="O29" s="1">
        <f t="shared" ca="1" si="3"/>
        <v>8.5044065747554048E-2</v>
      </c>
      <c r="P29" s="10">
        <f t="shared" ca="1" si="4"/>
        <v>1.65799913376935E-2</v>
      </c>
      <c r="Q29" s="10">
        <f ca="1">Propeller!$B$15+Propeller!$B$16*H29+Propeller!$B$17*H29^2+Propeller!$B$18*H29^3+Propeller!$B$19*H29^4+Propeller!$B$20*H29^5+Propeller!$B$21*H29^6</f>
        <v>1.6579991335017398E-2</v>
      </c>
      <c r="R29" s="10">
        <f ca="1">(Propeller!$B$23+Propeller!$B$24*H29+Propeller!$B$25*H29^2+Propeller!$B$26*H29^3+Propeller!$B$27*H29^4+Propeller!$B$28*H29^5+Propeller!$B$29*H29^6)*Propulsão!M29</f>
        <v>0.67253152514469294</v>
      </c>
      <c r="S29" s="19">
        <f t="shared" ca="1" si="5"/>
        <v>35.93775682551825</v>
      </c>
      <c r="T29" s="59">
        <f ca="1">'Aerodynamics-Takeoff'!BL29</f>
        <v>35.93775682241062</v>
      </c>
      <c r="U29" s="14">
        <f ca="1">MIN(Motor!$B$10,MAX(Motor!$B$8,J29+0.05*(Q29/P29-1)*J29))</f>
        <v>12.98695248729461</v>
      </c>
      <c r="V29" s="50" t="str">
        <f t="shared" ca="1" si="6"/>
        <v>OK</v>
      </c>
      <c r="W29" s="1">
        <f t="shared" ca="1" si="8"/>
        <v>0.46469682272632357</v>
      </c>
      <c r="X29" s="50" t="str">
        <f t="shared" ca="1" si="7"/>
        <v>OK</v>
      </c>
      <c r="Y29" s="35"/>
      <c r="Z29" s="36"/>
      <c r="AA29" s="36"/>
      <c r="AB29" s="36"/>
      <c r="AC29" s="38"/>
      <c r="AD29" s="41"/>
      <c r="AE29" s="40"/>
      <c r="AF29" s="38"/>
      <c r="AG29" s="40"/>
      <c r="AH29" s="40"/>
      <c r="AI29" s="36"/>
      <c r="AJ29" s="36"/>
      <c r="AK29" s="36"/>
      <c r="AL29" s="40"/>
      <c r="AM29" s="40"/>
      <c r="AN29" s="38"/>
      <c r="AO29" s="35"/>
      <c r="AP29" s="35"/>
      <c r="AQ29" s="35"/>
      <c r="AR29" s="35"/>
      <c r="AS29" s="35"/>
      <c r="AT29" s="35"/>
      <c r="AU29" s="35"/>
      <c r="AV29" s="35"/>
      <c r="AW29" s="35"/>
      <c r="AX29" s="35"/>
    </row>
    <row r="30" spans="2:50">
      <c r="B30" s="1">
        <f>ISA!E30</f>
        <v>1.2249994633486807</v>
      </c>
      <c r="D30" s="1">
        <f>Propeller!$B$8</f>
        <v>0.30479999999999996</v>
      </c>
      <c r="E30" s="59">
        <f ca="1">'Aerodynamics-Takeoff'!H30</f>
        <v>12.177080745869123</v>
      </c>
      <c r="F30" s="49">
        <f t="shared" ca="1" si="0"/>
        <v>0.45699809281138959</v>
      </c>
      <c r="G30" s="19">
        <f ca="1">MAX(Motor!$B$7,K30*Motor!$B$7)</f>
        <v>5904.7482533233924</v>
      </c>
      <c r="H30" s="10">
        <f ca="1">E30/(G30/60*D30)*Propulsão!J30</f>
        <v>0.39159782919491781</v>
      </c>
      <c r="I30" s="13">
        <f ca="1">F30*Energy!$B$6</f>
        <v>5.4154273998149671</v>
      </c>
      <c r="J30" s="51">
        <f ca="1">IF(ISERROR(U30),Motor!$B$10,U30)</f>
        <v>12.68727834355882</v>
      </c>
      <c r="K30" s="20">
        <f ca="1">I30-Motor!$B$9*J30</f>
        <v>4.9206235444161734</v>
      </c>
      <c r="L30" s="14">
        <f ca="1">MAX(Motor!$B$8,J30-Motor!$B$8)</f>
        <v>10.387278343558819</v>
      </c>
      <c r="M30" s="14">
        <f t="shared" ca="1" si="1"/>
        <v>68.707034770787487</v>
      </c>
      <c r="N30" s="20">
        <f t="shared" ca="1" si="2"/>
        <v>51.111886379719756</v>
      </c>
      <c r="O30" s="1">
        <f t="shared" ca="1" si="3"/>
        <v>8.2659334682103291E-2</v>
      </c>
      <c r="P30" s="10">
        <f t="shared" ca="1" si="4"/>
        <v>1.6640286139719174E-2</v>
      </c>
      <c r="Q30" s="10">
        <f ca="1">Propeller!$B$15+Propeller!$B$16*H30+Propeller!$B$17*H30^2+Propeller!$B$18*H30^3+Propeller!$B$19*H30^4+Propeller!$B$20*H30^5+Propeller!$B$21*H30^6</f>
        <v>1.6640286137011687E-2</v>
      </c>
      <c r="R30" s="10">
        <f ca="1">(Propeller!$B$23+Propeller!$B$24*H30+Propeller!$B$25*H30^2+Propeller!$B$26*H30^3+Propeller!$B$27*H30^4+Propeller!$B$28*H30^5+Propeller!$B$29*H30^6)*Propulsão!M30</f>
        <v>0.67246376674305963</v>
      </c>
      <c r="S30" s="19">
        <f t="shared" ca="1" si="5"/>
        <v>34.370891640249631</v>
      </c>
      <c r="T30" s="59">
        <f ca="1">'Aerodynamics-Takeoff'!BL30</f>
        <v>34.370891637222044</v>
      </c>
      <c r="U30" s="14">
        <f ca="1">MIN(Motor!$B$10,MAX(Motor!$B$8,J30+0.05*(Q30/P30-1)*J30))</f>
        <v>12.687278343455604</v>
      </c>
      <c r="V30" s="50" t="str">
        <f t="shared" ca="1" si="6"/>
        <v>OK</v>
      </c>
      <c r="W30" s="1">
        <f t="shared" ca="1" si="8"/>
        <v>0.45699809280937681</v>
      </c>
      <c r="X30" s="50" t="str">
        <f t="shared" ca="1" si="7"/>
        <v>OK</v>
      </c>
      <c r="Y30" s="35"/>
      <c r="Z30" s="36"/>
      <c r="AA30" s="36"/>
      <c r="AB30" s="36"/>
      <c r="AC30" s="38"/>
      <c r="AD30" s="41"/>
      <c r="AE30" s="40"/>
      <c r="AF30" s="38"/>
      <c r="AG30" s="40"/>
      <c r="AH30" s="40"/>
      <c r="AI30" s="36"/>
      <c r="AJ30" s="36"/>
      <c r="AK30" s="36"/>
      <c r="AL30" s="40"/>
      <c r="AM30" s="40"/>
      <c r="AN30" s="38"/>
      <c r="AO30" s="35"/>
      <c r="AP30" s="35"/>
      <c r="AQ30" s="35"/>
      <c r="AR30" s="35"/>
      <c r="AS30" s="35"/>
      <c r="AT30" s="35"/>
      <c r="AU30" s="35"/>
      <c r="AV30" s="35"/>
      <c r="AW30" s="35"/>
      <c r="AX30" s="35"/>
    </row>
    <row r="31" spans="2:50">
      <c r="B31" s="1">
        <f>ISA!E31</f>
        <v>1.2249994633486807</v>
      </c>
      <c r="D31" s="1">
        <f>Propeller!$B$8</f>
        <v>0.30479999999999996</v>
      </c>
      <c r="E31" s="59">
        <f ca="1">'Aerodynamics-Takeoff'!H31</f>
        <v>11.959376547462874</v>
      </c>
      <c r="F31" s="49">
        <f t="shared" ca="1" si="0"/>
        <v>0.4498365863873357</v>
      </c>
      <c r="G31" s="19">
        <f ca="1">MAX(Motor!$B$7,K31*Motor!$B$7)</f>
        <v>5815.7701448632006</v>
      </c>
      <c r="H31" s="10">
        <f ca="1">E31/(G31/60*D31)*Propulsão!J31</f>
        <v>0.39048088826821792</v>
      </c>
      <c r="I31" s="13">
        <f ca="1">F31*Energy!$B$6</f>
        <v>5.3305635486899288</v>
      </c>
      <c r="J31" s="51">
        <f ca="1">IF(ISERROR(U31),Motor!$B$10,U31)</f>
        <v>12.412523794632406</v>
      </c>
      <c r="K31" s="20">
        <f ca="1">I31-Motor!$B$9*J31</f>
        <v>4.8464751206992647</v>
      </c>
      <c r="L31" s="14">
        <f ca="1">MAX(Motor!$B$8,J31-Motor!$B$8)</f>
        <v>10.112523794632406</v>
      </c>
      <c r="M31" s="14">
        <f t="shared" ca="1" si="1"/>
        <v>66.165746886913894</v>
      </c>
      <c r="N31" s="20">
        <f t="shared" ca="1" si="2"/>
        <v>49.010094978165277</v>
      </c>
      <c r="O31" s="1">
        <f t="shared" ca="1" si="3"/>
        <v>8.0472907452174669E-2</v>
      </c>
      <c r="P31" s="10">
        <f t="shared" ca="1" si="4"/>
        <v>1.6699631288664321E-2</v>
      </c>
      <c r="Q31" s="10">
        <f ca="1">Propeller!$B$15+Propeller!$B$16*H31+Propeller!$B$17*H31^2+Propeller!$B$18*H31^3+Propeller!$B$19*H31^4+Propeller!$B$20*H31^5+Propeller!$B$21*H31^6</f>
        <v>1.6699631285928593E-2</v>
      </c>
      <c r="R31" s="10">
        <f ca="1">(Propeller!$B$23+Propeller!$B$24*H31+Propeller!$B$25*H31^2+Propeller!$B$26*H31^3+Propeller!$B$27*H31^4+Propeller!$B$28*H31^5+Propeller!$B$29*H31^6)*Propulsão!M31</f>
        <v>0.67238085782505352</v>
      </c>
      <c r="S31" s="19">
        <f t="shared" ca="1" si="5"/>
        <v>32.953449703506116</v>
      </c>
      <c r="T31" s="59">
        <f ca="1">'Aerodynamics-Takeoff'!BL31</f>
        <v>32.953449700554543</v>
      </c>
      <c r="U31" s="14">
        <f ca="1">MIN(Motor!$B$10,MAX(Motor!$B$8,J31+0.05*(Q31/P31-1)*J31))</f>
        <v>12.412523794530735</v>
      </c>
      <c r="V31" s="50" t="str">
        <f t="shared" ca="1" si="6"/>
        <v>OK</v>
      </c>
      <c r="W31" s="1">
        <f t="shared" ca="1" si="8"/>
        <v>0.44983658638532115</v>
      </c>
      <c r="X31" s="50" t="str">
        <f t="shared" ca="1" si="7"/>
        <v>OK</v>
      </c>
      <c r="Y31" s="35"/>
      <c r="Z31" s="36"/>
      <c r="AA31" s="36"/>
      <c r="AB31" s="36"/>
      <c r="AC31" s="38"/>
      <c r="AD31" s="41"/>
      <c r="AE31" s="40"/>
      <c r="AF31" s="38"/>
      <c r="AG31" s="40"/>
      <c r="AH31" s="40"/>
      <c r="AI31" s="36"/>
      <c r="AJ31" s="36"/>
      <c r="AK31" s="36"/>
      <c r="AL31" s="40"/>
      <c r="AM31" s="40"/>
      <c r="AN31" s="38"/>
      <c r="AO31" s="35"/>
      <c r="AP31" s="35"/>
      <c r="AQ31" s="35"/>
      <c r="AR31" s="35"/>
      <c r="AS31" s="35"/>
      <c r="AT31" s="35"/>
      <c r="AU31" s="35"/>
      <c r="AV31" s="35"/>
      <c r="AW31" s="35"/>
      <c r="AX31" s="35"/>
    </row>
    <row r="32" spans="2:50">
      <c r="B32" s="1">
        <f>ISA!E32</f>
        <v>1.2249994633486807</v>
      </c>
      <c r="D32" s="1">
        <f>Propeller!$B$8</f>
        <v>0.30479999999999996</v>
      </c>
      <c r="E32" s="59">
        <f ca="1">'Aerodynamics-Takeoff'!H32</f>
        <v>11.754972136958465</v>
      </c>
      <c r="F32" s="49">
        <f t="shared" ca="1" si="0"/>
        <v>0.44315766561586928</v>
      </c>
      <c r="G32" s="19">
        <f ca="1">MAX(Motor!$B$7,K32*Motor!$B$7)</f>
        <v>5732.6208101382726</v>
      </c>
      <c r="H32" s="10">
        <f ca="1">E32/(G32/60*D32)*Propulsão!J32</f>
        <v>0.38937392441028496</v>
      </c>
      <c r="I32" s="13">
        <f ca="1">F32*Energy!$B$6</f>
        <v>5.2514183375480519</v>
      </c>
      <c r="J32" s="51">
        <f ca="1">IF(ISERROR(U32),Motor!$B$10,U32)</f>
        <v>12.159854592810348</v>
      </c>
      <c r="K32" s="20">
        <f ca="1">I32-Motor!$B$9*J32</f>
        <v>4.7771840084284483</v>
      </c>
      <c r="L32" s="14">
        <f ca="1">MAX(Motor!$B$8,J32-Motor!$B$8)</f>
        <v>9.8598545928103469</v>
      </c>
      <c r="M32" s="14">
        <f t="shared" ca="1" si="1"/>
        <v>63.856483390602158</v>
      </c>
      <c r="N32" s="20">
        <f t="shared" ca="1" si="2"/>
        <v>47.102339686203379</v>
      </c>
      <c r="O32" s="1">
        <f t="shared" ca="1" si="3"/>
        <v>7.8462229830324359E-2</v>
      </c>
      <c r="P32" s="10">
        <f t="shared" ca="1" si="4"/>
        <v>1.6758142221055566E-2</v>
      </c>
      <c r="Q32" s="10">
        <f ca="1">Propeller!$B$15+Propeller!$B$16*H32+Propeller!$B$17*H32^2+Propeller!$B$18*H32^3+Propeller!$B$19*H32^4+Propeller!$B$20*H32^5+Propeller!$B$21*H32^6</f>
        <v>1.6758142218297183E-2</v>
      </c>
      <c r="R32" s="10">
        <f ca="1">(Propeller!$B$23+Propeller!$B$24*H32+Propeller!$B$25*H32^2+Propeller!$B$26*H32^3+Propeller!$B$27*H32^4+Propeller!$B$28*H32^5+Propeller!$B$29*H32^6)*Propulsão!M32</f>
        <v>0.67228337794683879</v>
      </c>
      <c r="S32" s="19">
        <f t="shared" ca="1" si="5"/>
        <v>31.666120033440251</v>
      </c>
      <c r="T32" s="59">
        <f ca="1">'Aerodynamics-Takeoff'!BL32</f>
        <v>31.666120030562798</v>
      </c>
      <c r="U32" s="14">
        <f ca="1">MIN(Motor!$B$10,MAX(Motor!$B$8,J32+0.05*(Q32/P32-1)*J32))</f>
        <v>12.159854592710273</v>
      </c>
      <c r="V32" s="50" t="str">
        <f t="shared" ca="1" si="6"/>
        <v>OK</v>
      </c>
      <c r="W32" s="1">
        <f t="shared" ca="1" si="8"/>
        <v>0.44315766561385583</v>
      </c>
      <c r="X32" s="50" t="str">
        <f t="shared" ca="1" si="7"/>
        <v>OK</v>
      </c>
      <c r="Y32" s="35"/>
      <c r="Z32" s="36"/>
      <c r="AA32" s="36"/>
      <c r="AB32" s="36"/>
      <c r="AC32" s="38"/>
      <c r="AD32" s="41"/>
      <c r="AE32" s="40"/>
      <c r="AF32" s="38"/>
      <c r="AG32" s="40"/>
      <c r="AH32" s="40"/>
      <c r="AI32" s="36"/>
      <c r="AJ32" s="36"/>
      <c r="AK32" s="36"/>
      <c r="AL32" s="40"/>
      <c r="AM32" s="40"/>
      <c r="AN32" s="38"/>
      <c r="AO32" s="35"/>
      <c r="AP32" s="35"/>
      <c r="AQ32" s="35"/>
      <c r="AR32" s="35"/>
      <c r="AS32" s="35"/>
      <c r="AT32" s="35"/>
      <c r="AU32" s="35"/>
      <c r="AV32" s="35"/>
      <c r="AW32" s="35"/>
      <c r="AX32" s="35"/>
    </row>
    <row r="33" spans="2:50">
      <c r="B33" s="1">
        <f>ISA!E33</f>
        <v>1.2249994633486807</v>
      </c>
      <c r="D33" s="1">
        <f>Propeller!$B$8</f>
        <v>0.30479999999999996</v>
      </c>
      <c r="E33" s="59">
        <f ca="1">'Aerodynamics-Takeoff'!H33</f>
        <v>11.562571144367805</v>
      </c>
      <c r="F33" s="49">
        <f t="shared" ca="1" si="0"/>
        <v>0.43691464606908131</v>
      </c>
      <c r="G33" s="19">
        <f ca="1">MAX(Motor!$B$7,K33*Motor!$B$7)</f>
        <v>5654.7484079141223</v>
      </c>
      <c r="H33" s="10">
        <f ca="1">E33/(G33/60*D33)*Propulsão!J33</f>
        <v>0.388275159834501</v>
      </c>
      <c r="I33" s="13">
        <f ca="1">F33*Energy!$B$6</f>
        <v>5.1774385559186138</v>
      </c>
      <c r="J33" s="51">
        <f ca="1">IF(ISERROR(U33),Motor!$B$10,U33)</f>
        <v>11.926877333605306</v>
      </c>
      <c r="K33" s="20">
        <f ca="1">I33-Motor!$B$9*J33</f>
        <v>4.7122903399080069</v>
      </c>
      <c r="L33" s="14">
        <f ca="1">MAX(Motor!$B$8,J33-Motor!$B$8)</f>
        <v>9.6268773336053073</v>
      </c>
      <c r="M33" s="14">
        <f t="shared" ca="1" si="1"/>
        <v>61.750674558719901</v>
      </c>
      <c r="N33" s="20">
        <f t="shared" ca="1" si="2"/>
        <v>45.364641062627641</v>
      </c>
      <c r="O33" s="1">
        <f t="shared" ca="1" si="3"/>
        <v>7.6608255708798395E-2</v>
      </c>
      <c r="P33" s="10">
        <f t="shared" ca="1" si="4"/>
        <v>1.6815920960787056E-2</v>
      </c>
      <c r="Q33" s="10">
        <f ca="1">Propeller!$B$15+Propeller!$B$16*H33+Propeller!$B$17*H33^2+Propeller!$B$18*H33^3+Propeller!$B$19*H33^4+Propeller!$B$20*H33^5+Propeller!$B$21*H33^6</f>
        <v>1.6815920957950894E-2</v>
      </c>
      <c r="R33" s="10">
        <f ca="1">(Propeller!$B$23+Propeller!$B$24*H33+Propeller!$B$25*H33^2+Propeller!$B$26*H33^3+Propeller!$B$27*H33^4+Propeller!$B$28*H33^5+Propeller!$B$29*H33^6)*Propulsão!M33</f>
        <v>0.67217179342883548</v>
      </c>
      <c r="S33" s="19">
        <f t="shared" ca="1" si="5"/>
        <v>30.492832141321813</v>
      </c>
      <c r="T33" s="59">
        <f ca="1">'Aerodynamics-Takeoff'!BL33</f>
        <v>30.492832138472394</v>
      </c>
      <c r="U33" s="14">
        <f ca="1">MIN(Motor!$B$10,MAX(Motor!$B$8,J33+0.05*(Q33/P33-1)*J33))</f>
        <v>11.926877333504727</v>
      </c>
      <c r="V33" s="50" t="str">
        <f t="shared" ca="1" si="6"/>
        <v>OK</v>
      </c>
      <c r="W33" s="1">
        <f t="shared" ca="1" si="8"/>
        <v>0.43691464606703995</v>
      </c>
      <c r="X33" s="50" t="str">
        <f t="shared" ca="1" si="7"/>
        <v>OK</v>
      </c>
      <c r="Y33" s="35"/>
      <c r="Z33" s="36"/>
      <c r="AA33" s="36"/>
      <c r="AB33" s="36"/>
      <c r="AC33" s="38"/>
      <c r="AD33" s="41"/>
      <c r="AE33" s="40"/>
      <c r="AF33" s="38"/>
      <c r="AG33" s="40"/>
      <c r="AH33" s="40"/>
      <c r="AI33" s="36"/>
      <c r="AJ33" s="36"/>
      <c r="AK33" s="36"/>
      <c r="AL33" s="40"/>
      <c r="AM33" s="40"/>
      <c r="AN33" s="38"/>
      <c r="AO33" s="35"/>
      <c r="AP33" s="35"/>
      <c r="AQ33" s="35"/>
      <c r="AR33" s="35"/>
      <c r="AS33" s="35"/>
      <c r="AT33" s="35"/>
      <c r="AU33" s="35"/>
      <c r="AV33" s="35"/>
      <c r="AW33" s="35"/>
      <c r="AX33" s="35"/>
    </row>
    <row r="34" spans="2:50">
      <c r="B34" s="1">
        <f>ISA!E34</f>
        <v>1.2249994633486807</v>
      </c>
      <c r="D34" s="1">
        <f>Propeller!$B$8</f>
        <v>0.30479999999999996</v>
      </c>
      <c r="E34" s="59">
        <f ca="1">'Aerodynamics-Takeoff'!H34</f>
        <v>11.381001633492176</v>
      </c>
      <c r="F34" s="49">
        <f t="shared" ca="1" si="0"/>
        <v>0.43106540160945517</v>
      </c>
      <c r="G34" s="19">
        <f ca="1">MAX(Motor!$B$7,K34*Motor!$B$7)</f>
        <v>5581.6528533744713</v>
      </c>
      <c r="H34" s="10">
        <f ca="1">E34/(G34/60*D34)*Propulsão!J34</f>
        <v>0.38718287423305914</v>
      </c>
      <c r="I34" s="13">
        <f ca="1">F34*Energy!$B$6</f>
        <v>5.1081250090720447</v>
      </c>
      <c r="J34" s="51">
        <f ca="1">IF(ISERROR(U34),Motor!$B$10,U34)</f>
        <v>11.711477725149726</v>
      </c>
      <c r="K34" s="20">
        <f ca="1">I34-Motor!$B$9*J34</f>
        <v>4.6513773777912055</v>
      </c>
      <c r="L34" s="14">
        <f ca="1">MAX(Motor!$B$8,J34-Motor!$B$8)</f>
        <v>9.4114777251497266</v>
      </c>
      <c r="M34" s="14">
        <f t="shared" ca="1" si="1"/>
        <v>59.823692261027489</v>
      </c>
      <c r="N34" s="20">
        <f t="shared" ca="1" si="2"/>
        <v>43.776334582347275</v>
      </c>
      <c r="O34" s="1">
        <f t="shared" ca="1" si="3"/>
        <v>7.4894160087506489E-2</v>
      </c>
      <c r="P34" s="10">
        <f t="shared" ca="1" si="4"/>
        <v>1.6873064522543963E-2</v>
      </c>
      <c r="Q34" s="10">
        <f ca="1">Propeller!$B$15+Propeller!$B$16*H34+Propeller!$B$17*H34^2+Propeller!$B$18*H34^3+Propeller!$B$19*H34^4+Propeller!$B$20*H34^5+Propeller!$B$21*H34^6</f>
        <v>1.6873064519610809E-2</v>
      </c>
      <c r="R34" s="10">
        <f ca="1">(Propeller!$B$23+Propeller!$B$24*H34+Propeller!$B$25*H34^2+Propeller!$B$26*H34^3+Propeller!$B$27*H34^4+Propeller!$B$28*H34^5+Propeller!$B$29*H34^6)*Propulsão!M34</f>
        <v>0.67204644610497755</v>
      </c>
      <c r="S34" s="19">
        <f t="shared" ca="1" si="5"/>
        <v>29.419730079568911</v>
      </c>
      <c r="T34" s="59">
        <f ca="1">'Aerodynamics-Takeoff'!BL34</f>
        <v>29.419730076727731</v>
      </c>
      <c r="U34" s="14">
        <f ca="1">MIN(Motor!$B$10,MAX(Motor!$B$8,J34+0.05*(Q34/P34-1)*J34))</f>
        <v>11.711477725047931</v>
      </c>
      <c r="V34" s="50" t="str">
        <f t="shared" ca="1" si="6"/>
        <v>OK</v>
      </c>
      <c r="W34" s="1">
        <f t="shared" ca="1" si="8"/>
        <v>0.43106540160737367</v>
      </c>
      <c r="X34" s="50" t="str">
        <f t="shared" ca="1" si="7"/>
        <v>OK</v>
      </c>
      <c r="Y34" s="35"/>
      <c r="Z34" s="36"/>
      <c r="AA34" s="36"/>
      <c r="AB34" s="36"/>
      <c r="AC34" s="38"/>
      <c r="AD34" s="41"/>
      <c r="AE34" s="40"/>
      <c r="AF34" s="38"/>
      <c r="AG34" s="40"/>
      <c r="AH34" s="40"/>
      <c r="AI34" s="36"/>
      <c r="AJ34" s="36"/>
      <c r="AK34" s="36"/>
      <c r="AL34" s="40"/>
      <c r="AM34" s="40"/>
      <c r="AN34" s="38"/>
      <c r="AO34" s="35"/>
      <c r="AP34" s="35"/>
      <c r="AQ34" s="35"/>
      <c r="AR34" s="35"/>
      <c r="AS34" s="35"/>
      <c r="AT34" s="35"/>
      <c r="AU34" s="35"/>
      <c r="AV34" s="35"/>
      <c r="AW34" s="35"/>
      <c r="AX34" s="35"/>
    </row>
    <row r="35" spans="2:50">
      <c r="B35" s="1">
        <f>ISA!E35</f>
        <v>1.2249994633486807</v>
      </c>
      <c r="D35" s="1">
        <f>Propeller!$B$8</f>
        <v>0.30479999999999996</v>
      </c>
      <c r="E35" s="59">
        <f ca="1">'Aerodynamics-Takeoff'!H35</f>
        <v>11.209097688879872</v>
      </c>
      <c r="F35" s="49">
        <f t="shared" ca="1" si="0"/>
        <v>0.42556800597951178</v>
      </c>
      <c r="G35" s="19">
        <f ca="1">MAX(Motor!$B$7,K35*Motor!$B$7)</f>
        <v>5512.832680607884</v>
      </c>
      <c r="H35" s="10">
        <f ca="1">E35/(G35/60*D35)*Propulsão!J35</f>
        <v>0.38609512567795612</v>
      </c>
      <c r="I35" s="13">
        <f ca="1">F35*Energy!$B$6</f>
        <v>5.0429808708572148</v>
      </c>
      <c r="J35" s="51">
        <f ca="1">IF(ISERROR(U35),Motor!$B$10,U35)</f>
        <v>11.511631718936211</v>
      </c>
      <c r="K35" s="20">
        <f ca="1">I35-Motor!$B$9*J35</f>
        <v>4.5940272338187027</v>
      </c>
      <c r="L35" s="14">
        <f ca="1">MAX(Motor!$B$8,J35-Motor!$B$8)</f>
        <v>9.2116317189362107</v>
      </c>
      <c r="M35" s="14">
        <f t="shared" ca="1" si="1"/>
        <v>58.052938550948475</v>
      </c>
      <c r="N35" s="20">
        <f t="shared" ca="1" si="2"/>
        <v>42.318486984701138</v>
      </c>
      <c r="O35" s="1">
        <f t="shared" ca="1" si="3"/>
        <v>7.3303836100201247E-2</v>
      </c>
      <c r="P35" s="10">
        <f t="shared" ca="1" si="4"/>
        <v>1.6929679519761046E-2</v>
      </c>
      <c r="Q35" s="10">
        <f ca="1">Propeller!$B$15+Propeller!$B$16*H35+Propeller!$B$17*H35^2+Propeller!$B$18*H35^3+Propeller!$B$19*H35^4+Propeller!$B$20*H35^5+Propeller!$B$21*H35^6</f>
        <v>1.6929679516740136E-2</v>
      </c>
      <c r="R35" s="10">
        <f ca="1">(Propeller!$B$23+Propeller!$B$24*H35+Propeller!$B$25*H35^2+Propeller!$B$26*H35^3+Propeller!$B$27*H35^4+Propeller!$B$28*H35^5+Propeller!$B$29*H35^6)*Propulsão!M35</f>
        <v>0.67190750120657028</v>
      </c>
      <c r="S35" s="19">
        <f t="shared" ca="1" si="5"/>
        <v>28.434108844733309</v>
      </c>
      <c r="T35" s="59">
        <f ca="1">'Aerodynamics-Takeoff'!BL35</f>
        <v>28.434108841909193</v>
      </c>
      <c r="U35" s="14">
        <f ca="1">MIN(Motor!$B$10,MAX(Motor!$B$8,J35+0.05*(Q35/P35-1)*J35))</f>
        <v>11.511631718833506</v>
      </c>
      <c r="V35" s="50" t="str">
        <f t="shared" ca="1" si="6"/>
        <v>OK</v>
      </c>
      <c r="W35" s="1">
        <f t="shared" ca="1" si="8"/>
        <v>0.42556800597739836</v>
      </c>
      <c r="X35" s="50" t="str">
        <f t="shared" ca="1" si="7"/>
        <v>OK</v>
      </c>
      <c r="Y35" s="35"/>
      <c r="Z35" s="36"/>
      <c r="AA35" s="36"/>
      <c r="AB35" s="36"/>
      <c r="AC35" s="38"/>
      <c r="AD35" s="41"/>
      <c r="AE35" s="40"/>
      <c r="AF35" s="38"/>
      <c r="AG35" s="40"/>
      <c r="AH35" s="40"/>
      <c r="AI35" s="36"/>
      <c r="AJ35" s="36"/>
      <c r="AK35" s="36"/>
      <c r="AL35" s="40"/>
      <c r="AM35" s="40"/>
      <c r="AN35" s="38"/>
      <c r="AO35" s="35"/>
      <c r="AP35" s="35"/>
      <c r="AQ35" s="35"/>
      <c r="AR35" s="35"/>
      <c r="AS35" s="35"/>
      <c r="AT35" s="35"/>
      <c r="AU35" s="35"/>
      <c r="AV35" s="35"/>
      <c r="AW35" s="35"/>
      <c r="AX35" s="35"/>
    </row>
    <row r="36" spans="2:50">
      <c r="B36" s="1">
        <f>ISA!E36</f>
        <v>1.2249994633486807</v>
      </c>
      <c r="D36" s="1">
        <f>Propeller!$B$8</f>
        <v>0.30479999999999996</v>
      </c>
      <c r="E36" s="59">
        <f ca="1">'Aerodynamics-Takeoff'!H36</f>
        <v>11.04629417170349</v>
      </c>
      <c r="F36" s="49">
        <f t="shared" ca="1" si="0"/>
        <v>0.42040249595377771</v>
      </c>
      <c r="G36" s="19">
        <f ca="1">MAX(Motor!$B$7,K36*Motor!$B$7)</f>
        <v>5448.0552068494308</v>
      </c>
      <c r="H36" s="10">
        <f ca="1">E36/(G36/60*D36)*Propulsão!J36</f>
        <v>0.38501139300355652</v>
      </c>
      <c r="I36" s="13">
        <f ca="1">F36*Energy!$B$6</f>
        <v>4.9817695770522663</v>
      </c>
      <c r="J36" s="51">
        <f ca="1">IF(ISERROR(U36),Motor!$B$10,U36)</f>
        <v>11.326245419639248</v>
      </c>
      <c r="K36" s="20">
        <f ca="1">I36-Motor!$B$9*J36</f>
        <v>4.5400460056863352</v>
      </c>
      <c r="L36" s="14">
        <f ca="1">MAX(Motor!$B$8,J36-Motor!$B$8)</f>
        <v>9.026245419639249</v>
      </c>
      <c r="M36" s="14">
        <f t="shared" ca="1" si="1"/>
        <v>56.424744853786386</v>
      </c>
      <c r="N36" s="20">
        <f t="shared" ca="1" si="2"/>
        <v>40.97956946377775</v>
      </c>
      <c r="O36" s="1">
        <f t="shared" ca="1" si="3"/>
        <v>7.182857880446776E-2</v>
      </c>
      <c r="P36" s="10">
        <f t="shared" ca="1" si="4"/>
        <v>1.6985797076106209E-2</v>
      </c>
      <c r="Q36" s="10">
        <f ca="1">Propeller!$B$15+Propeller!$B$16*H36+Propeller!$B$17*H36^2+Propeller!$B$18*H36^3+Propeller!$B$19*H36^4+Propeller!$B$20*H36^5+Propeller!$B$21*H36^6</f>
        <v>1.6985797073002341E-2</v>
      </c>
      <c r="R36" s="10">
        <f ca="1">(Propeller!$B$23+Propeller!$B$24*H36+Propeller!$B$25*H36^2+Propeller!$B$26*H36^3+Propeller!$B$27*H36^4+Propeller!$B$28*H36^5+Propeller!$B$29*H36^6)*Propulsão!M36</f>
        <v>0.67175533494724249</v>
      </c>
      <c r="S36" s="19">
        <f t="shared" ca="1" si="5"/>
        <v>27.528244411133812</v>
      </c>
      <c r="T36" s="59">
        <f ca="1">'Aerodynamics-Takeoff'!BL36</f>
        <v>27.528244408326746</v>
      </c>
      <c r="U36" s="14">
        <f ca="1">MIN(Motor!$B$10,MAX(Motor!$B$8,J36+0.05*(Q36/P36-1)*J36))</f>
        <v>11.326245419535764</v>
      </c>
      <c r="V36" s="50" t="str">
        <f t="shared" ca="1" si="6"/>
        <v>OK</v>
      </c>
      <c r="W36" s="1">
        <f t="shared" ca="1" si="8"/>
        <v>0.42040249595163426</v>
      </c>
      <c r="X36" s="50" t="str">
        <f t="shared" ca="1" si="7"/>
        <v>OK</v>
      </c>
      <c r="Y36" s="35"/>
      <c r="Z36" s="36"/>
      <c r="AA36" s="36"/>
      <c r="AB36" s="36"/>
      <c r="AC36" s="38"/>
      <c r="AD36" s="41"/>
      <c r="AE36" s="40"/>
      <c r="AF36" s="38"/>
      <c r="AG36" s="40"/>
      <c r="AH36" s="40"/>
      <c r="AI36" s="36"/>
      <c r="AJ36" s="36"/>
      <c r="AK36" s="36"/>
      <c r="AL36" s="40"/>
      <c r="AM36" s="40"/>
      <c r="AN36" s="38"/>
      <c r="AO36" s="35"/>
      <c r="AP36" s="35"/>
      <c r="AQ36" s="35"/>
      <c r="AR36" s="35"/>
      <c r="AS36" s="35"/>
      <c r="AT36" s="35"/>
      <c r="AU36" s="35"/>
      <c r="AV36" s="35"/>
      <c r="AW36" s="35"/>
      <c r="AX36" s="35"/>
    </row>
    <row r="37" spans="2:50">
      <c r="B37" s="1">
        <f>ISA!E37</f>
        <v>1.2249994633486807</v>
      </c>
      <c r="D37" s="1">
        <f>Propeller!$B$8</f>
        <v>0.30479999999999996</v>
      </c>
      <c r="E37" s="59">
        <f ca="1">'Aerodynamics-Takeoff'!H37</f>
        <v>10.891834490699978</v>
      </c>
      <c r="F37" s="49">
        <f t="shared" ca="1" si="0"/>
        <v>0.41554182659969929</v>
      </c>
      <c r="G37" s="19">
        <f ca="1">MAX(Motor!$B$7,K37*Motor!$B$7)</f>
        <v>5386.9979883032211</v>
      </c>
      <c r="H37" s="10">
        <f ca="1">E37/(G37/60*D37)*Propulsão!J37</f>
        <v>0.38393057216265325</v>
      </c>
      <c r="I37" s="13">
        <f ca="1">F37*Energy!$B$6</f>
        <v>4.9241706452064369</v>
      </c>
      <c r="J37" s="51">
        <f ca="1">IF(ISERROR(U37),Motor!$B$10,U37)</f>
        <v>11.153991153220582</v>
      </c>
      <c r="K37" s="20">
        <f ca="1">I37-Motor!$B$9*J37</f>
        <v>4.4891649902308339</v>
      </c>
      <c r="L37" s="14">
        <f ca="1">MAX(Motor!$B$8,J37-Motor!$B$8)</f>
        <v>8.8539911532205835</v>
      </c>
      <c r="M37" s="14">
        <f t="shared" ca="1" si="1"/>
        <v>54.924155813581088</v>
      </c>
      <c r="N37" s="20">
        <f t="shared" ca="1" si="2"/>
        <v>39.74702710885137</v>
      </c>
      <c r="O37" s="1">
        <f t="shared" ca="1" si="3"/>
        <v>7.0457822906005385E-2</v>
      </c>
      <c r="P37" s="10">
        <f t="shared" ca="1" si="4"/>
        <v>1.7041477688274551E-2</v>
      </c>
      <c r="Q37" s="10">
        <f ca="1">Propeller!$B$15+Propeller!$B$16*H37+Propeller!$B$17*H37^2+Propeller!$B$18*H37^3+Propeller!$B$19*H37^4+Propeller!$B$20*H37^5+Propeller!$B$21*H37^6</f>
        <v>1.7041477685085623E-2</v>
      </c>
      <c r="R37" s="10">
        <f ca="1">(Propeller!$B$23+Propeller!$B$24*H37+Propeller!$B$25*H37^2+Propeller!$B$26*H37^3+Propeller!$B$27*H37^4+Propeller!$B$28*H37^5+Propeller!$B$29*H37^6)*Propulsão!M37</f>
        <v>0.67159011956467796</v>
      </c>
      <c r="S37" s="19">
        <f t="shared" ca="1" si="5"/>
        <v>26.693710688373987</v>
      </c>
      <c r="T37" s="59">
        <f ca="1">'Aerodynamics-Takeoff'!BL37</f>
        <v>26.693710685581522</v>
      </c>
      <c r="U37" s="14">
        <f ca="1">MIN(Motor!$B$10,MAX(Motor!$B$8,J37+0.05*(Q37/P37-1)*J37))</f>
        <v>11.153991153116221</v>
      </c>
      <c r="V37" s="50" t="str">
        <f t="shared" ca="1" si="6"/>
        <v>OK</v>
      </c>
      <c r="W37" s="1">
        <f t="shared" ca="1" si="8"/>
        <v>0.41554182659752575</v>
      </c>
      <c r="X37" s="50" t="str">
        <f t="shared" ca="1" si="7"/>
        <v>OK</v>
      </c>
      <c r="Y37" s="35"/>
      <c r="Z37" s="36"/>
      <c r="AA37" s="36"/>
      <c r="AB37" s="36"/>
      <c r="AC37" s="38"/>
      <c r="AD37" s="41"/>
      <c r="AE37" s="40"/>
      <c r="AF37" s="38"/>
      <c r="AG37" s="40"/>
      <c r="AH37" s="40"/>
      <c r="AI37" s="36"/>
      <c r="AJ37" s="36"/>
      <c r="AK37" s="36"/>
      <c r="AL37" s="40"/>
      <c r="AM37" s="40"/>
      <c r="AN37" s="38"/>
      <c r="AO37" s="35"/>
      <c r="AP37" s="35"/>
      <c r="AQ37" s="35"/>
      <c r="AR37" s="35"/>
      <c r="AS37" s="35"/>
      <c r="AT37" s="35"/>
      <c r="AU37" s="35"/>
      <c r="AV37" s="35"/>
      <c r="AW37" s="35"/>
      <c r="AX37" s="35"/>
    </row>
    <row r="38" spans="2:50">
      <c r="B38" s="1">
        <f>ISA!E38</f>
        <v>1.2249994633486807</v>
      </c>
      <c r="D38" s="1">
        <f>Propeller!$B$8</f>
        <v>0.30479999999999996</v>
      </c>
      <c r="E38" s="59">
        <f ca="1">'Aerodynamics-Takeoff'!H38</f>
        <v>10.745049877378921</v>
      </c>
      <c r="F38" s="49">
        <f t="shared" ca="1" si="0"/>
        <v>0.41096210824706486</v>
      </c>
      <c r="G38" s="19">
        <f ca="1">MAX(Motor!$B$7,K38*Motor!$B$7)</f>
        <v>5329.3756589441282</v>
      </c>
      <c r="H38" s="10">
        <f ca="1">E38/(G38/60*D38)*Propulsão!J38</f>
        <v>0.38285169829654914</v>
      </c>
      <c r="I38" s="13">
        <f ca="1">F38*Energy!$B$6</f>
        <v>4.8699009827277191</v>
      </c>
      <c r="J38" s="51">
        <f ca="1">IF(ISERROR(U38),Motor!$B$10,U38)</f>
        <v>10.993707699908859</v>
      </c>
      <c r="K38" s="20">
        <f ca="1">I38-Motor!$B$9*J38</f>
        <v>4.441146382431274</v>
      </c>
      <c r="L38" s="14">
        <f ca="1">MAX(Motor!$B$8,J38-Motor!$B$8)</f>
        <v>8.6937076999088596</v>
      </c>
      <c r="M38" s="14">
        <f t="shared" ca="1" si="1"/>
        <v>53.538267931607443</v>
      </c>
      <c r="N38" s="20">
        <f t="shared" ca="1" si="2"/>
        <v>38.610028501365143</v>
      </c>
      <c r="O38" s="1">
        <f t="shared" ca="1" si="3"/>
        <v>6.9182327711483041E-2</v>
      </c>
      <c r="P38" s="10">
        <f t="shared" ca="1" si="4"/>
        <v>1.7096773553503967E-2</v>
      </c>
      <c r="Q38" s="10">
        <f ca="1">Propeller!$B$15+Propeller!$B$16*H38+Propeller!$B$17*H38^2+Propeller!$B$18*H38^3+Propeller!$B$19*H38^4+Propeller!$B$20*H38^5+Propeller!$B$21*H38^6</f>
        <v>1.7096773550230801E-2</v>
      </c>
      <c r="R38" s="10">
        <f ca="1">(Propeller!$B$23+Propeller!$B$24*H38+Propeller!$B$25*H38^2+Propeller!$B$26*H38^3+Propeller!$B$27*H38^4+Propeller!$B$28*H38^5+Propeller!$B$29*H38^6)*Propulsão!M38</f>
        <v>0.67141198385832757</v>
      </c>
      <c r="S38" s="19">
        <f t="shared" ca="1" si="5"/>
        <v>25.923235832928139</v>
      </c>
      <c r="T38" s="59">
        <f ca="1">'Aerodynamics-Takeoff'!BL38</f>
        <v>25.923235830149615</v>
      </c>
      <c r="U38" s="14">
        <f ca="1">MIN(Motor!$B$10,MAX(Motor!$B$8,J38+0.05*(Q38/P38-1)*J38))</f>
        <v>10.993707699803622</v>
      </c>
      <c r="V38" s="50" t="str">
        <f t="shared" ca="1" si="6"/>
        <v>OK</v>
      </c>
      <c r="W38" s="1">
        <f t="shared" ca="1" si="8"/>
        <v>0.41096210824486246</v>
      </c>
      <c r="X38" s="50" t="str">
        <f t="shared" ca="1" si="7"/>
        <v>OK</v>
      </c>
      <c r="Y38" s="35"/>
      <c r="Z38" s="36"/>
      <c r="AA38" s="36"/>
      <c r="AB38" s="36"/>
      <c r="AC38" s="38"/>
      <c r="AD38" s="41"/>
      <c r="AE38" s="40"/>
      <c r="AF38" s="38"/>
      <c r="AG38" s="40"/>
      <c r="AH38" s="40"/>
      <c r="AI38" s="36"/>
      <c r="AJ38" s="36"/>
      <c r="AK38" s="36"/>
      <c r="AL38" s="40"/>
      <c r="AM38" s="40"/>
      <c r="AN38" s="38"/>
      <c r="AO38" s="35"/>
      <c r="AP38" s="35"/>
      <c r="AQ38" s="35"/>
      <c r="AR38" s="35"/>
      <c r="AS38" s="35"/>
      <c r="AT38" s="35"/>
      <c r="AU38" s="35"/>
      <c r="AV38" s="35"/>
      <c r="AW38" s="35"/>
      <c r="AX38" s="35"/>
    </row>
    <row r="39" spans="2:50">
      <c r="B39" s="1">
        <f>ISA!E39</f>
        <v>1.2249994633486807</v>
      </c>
      <c r="D39" s="1">
        <f>Propeller!$B$8</f>
        <v>0.30479999999999996</v>
      </c>
      <c r="E39" s="59">
        <f ca="1">'Aerodynamics-Takeoff'!H39</f>
        <v>10.605346376012445</v>
      </c>
      <c r="F39" s="49">
        <f t="shared" ca="1" si="0"/>
        <v>0.40664212689215484</v>
      </c>
      <c r="G39" s="19">
        <f ca="1">MAX(Motor!$B$7,K39*Motor!$B$7)</f>
        <v>5274.9343515589462</v>
      </c>
      <c r="H39" s="10">
        <f ca="1">E39/(G39/60*D39)*Propulsão!J39</f>
        <v>0.38177393514611591</v>
      </c>
      <c r="I39" s="13">
        <f ca="1">F39*Energy!$B$6</f>
        <v>4.8187092036720358</v>
      </c>
      <c r="J39" s="51">
        <f ca="1">IF(ISERROR(U39),Motor!$B$10,U39)</f>
        <v>10.844373779369004</v>
      </c>
      <c r="K39" s="20">
        <f ca="1">I39-Motor!$B$9*J39</f>
        <v>4.3957786262766447</v>
      </c>
      <c r="L39" s="14">
        <f ca="1">MAX(Motor!$B$8,J39-Motor!$B$8)</f>
        <v>8.5443737793690033</v>
      </c>
      <c r="M39" s="14">
        <f t="shared" ca="1" si="1"/>
        <v>52.255883738705116</v>
      </c>
      <c r="N39" s="20">
        <f t="shared" ca="1" si="2"/>
        <v>37.559175634268861</v>
      </c>
      <c r="O39" s="1">
        <f t="shared" ca="1" si="3"/>
        <v>6.7993966130220143E-2</v>
      </c>
      <c r="P39" s="10">
        <f t="shared" ca="1" si="4"/>
        <v>1.7151729302925772E-2</v>
      </c>
      <c r="Q39" s="10">
        <f ca="1">Propeller!$B$15+Propeller!$B$16*H39+Propeller!$B$17*H39^2+Propeller!$B$18*H39^3+Propeller!$B$19*H39^4+Propeller!$B$20*H39^5+Propeller!$B$21*H39^6</f>
        <v>1.7151729299569145E-2</v>
      </c>
      <c r="R39" s="10">
        <f ca="1">(Propeller!$B$23+Propeller!$B$24*H39+Propeller!$B$25*H39^2+Propeller!$B$26*H39^3+Propeller!$B$27*H39^4+Propeller!$B$28*H39^5+Propeller!$B$29*H39^6)*Propulsão!M39</f>
        <v>0.67122102249233073</v>
      </c>
      <c r="S39" s="19">
        <f t="shared" ca="1" si="5"/>
        <v>25.210508273202979</v>
      </c>
      <c r="T39" s="59">
        <f ca="1">'Aerodynamics-Takeoff'!BL39</f>
        <v>25.210508270436062</v>
      </c>
      <c r="U39" s="14">
        <f ca="1">MIN(Motor!$B$10,MAX(Motor!$B$8,J39+0.05*(Q39/P39-1)*J39))</f>
        <v>10.844373779262892</v>
      </c>
      <c r="V39" s="50" t="str">
        <f t="shared" ca="1" si="6"/>
        <v>OK</v>
      </c>
      <c r="W39" s="1">
        <f t="shared" ca="1" si="8"/>
        <v>0.40664212688992335</v>
      </c>
      <c r="X39" s="50" t="str">
        <f t="shared" ca="1" si="7"/>
        <v>OK</v>
      </c>
      <c r="Y39" s="35"/>
      <c r="Z39" s="36"/>
      <c r="AA39" s="36"/>
      <c r="AB39" s="36"/>
      <c r="AC39" s="38"/>
      <c r="AD39" s="41"/>
      <c r="AE39" s="40"/>
      <c r="AF39" s="38"/>
      <c r="AG39" s="40"/>
      <c r="AH39" s="40"/>
      <c r="AI39" s="36"/>
      <c r="AJ39" s="36"/>
      <c r="AK39" s="36"/>
      <c r="AL39" s="40"/>
      <c r="AM39" s="40"/>
      <c r="AN39" s="38"/>
      <c r="AO39" s="35"/>
      <c r="AP39" s="35"/>
      <c r="AQ39" s="35"/>
      <c r="AR39" s="35"/>
      <c r="AS39" s="35"/>
      <c r="AT39" s="35"/>
      <c r="AU39" s="35"/>
      <c r="AV39" s="35"/>
      <c r="AW39" s="35"/>
      <c r="AX39" s="35"/>
    </row>
    <row r="40" spans="2:50">
      <c r="B40" s="1">
        <f>ISA!E40</f>
        <v>1.2249994633486807</v>
      </c>
      <c r="D40" s="1">
        <f>Propeller!$B$8</f>
        <v>0.30479999999999996</v>
      </c>
      <c r="E40" s="59">
        <f ca="1">'Aerodynamics-Takeoff'!H40</f>
        <v>9.5359142313991931</v>
      </c>
      <c r="F40" s="49">
        <f t="shared" ca="1" si="0"/>
        <v>0.36842285657956808</v>
      </c>
      <c r="G40" s="19">
        <f ca="1">MAX(Motor!$B$7,K40*Motor!$B$7)</f>
        <v>4796.5184289609733</v>
      </c>
      <c r="H40" s="10">
        <f ca="1">E40/(G40/60*D40)*Propulsão!J40</f>
        <v>0.37751541953129042</v>
      </c>
      <c r="I40" s="13">
        <f ca="1">F40*Energy!$B$6</f>
        <v>4.3658108504678825</v>
      </c>
      <c r="J40" s="51">
        <f ca="1">IF(ISERROR(U40),Motor!$B$10,U40)</f>
        <v>9.4550782493313363</v>
      </c>
      <c r="K40" s="20">
        <f ca="1">I40-Motor!$B$9*J40</f>
        <v>3.9970627987439604</v>
      </c>
      <c r="L40" s="14">
        <f ca="1">MAX(Motor!$B$8,J40-Motor!$B$8)</f>
        <v>7.1550782493313365</v>
      </c>
      <c r="M40" s="14">
        <f t="shared" ca="1" si="1"/>
        <v>41.279083212953623</v>
      </c>
      <c r="N40" s="20">
        <f t="shared" ca="1" si="2"/>
        <v>28.599297092504347</v>
      </c>
      <c r="O40" s="1">
        <f t="shared" ca="1" si="3"/>
        <v>5.6937792300467437E-2</v>
      </c>
      <c r="P40" s="10">
        <f t="shared" ca="1" si="4"/>
        <v>1.7370809051103324E-2</v>
      </c>
      <c r="Q40" s="10">
        <f ca="1">Propeller!$B$15+Propeller!$B$16*H40+Propeller!$B$17*H40^2+Propeller!$B$18*H40^3+Propeller!$B$19*H40^4+Propeller!$B$20*H40^5+Propeller!$B$21*H40^6</f>
        <v>1.7366115651555811E-2</v>
      </c>
      <c r="R40" s="10">
        <f ca="1">(Propeller!$B$23+Propeller!$B$24*H40+Propeller!$B$25*H40^2+Propeller!$B$26*H40^3+Propeller!$B$27*H40^4+Propeller!$B$28*H40^5+Propeller!$B$29*H40^6)*Propulsão!M40</f>
        <v>0.6700503055364867</v>
      </c>
      <c r="S40" s="19">
        <f t="shared" ca="1" si="5"/>
        <v>19.162967754961294</v>
      </c>
      <c r="T40" s="59">
        <f ca="1">'Aerodynamics-Takeoff'!BL40</f>
        <v>19.159390596191127</v>
      </c>
      <c r="U40" s="14">
        <f ca="1">MIN(Motor!$B$10,MAX(Motor!$B$8,J40+0.05*(Q40/P40-1)*J40))</f>
        <v>9.4549505164783447</v>
      </c>
      <c r="V40" s="50" t="str">
        <f t="shared" ca="1" si="6"/>
        <v>OK</v>
      </c>
      <c r="W40" s="1">
        <f t="shared" ca="1" si="8"/>
        <v>0.36841941789755023</v>
      </c>
      <c r="X40" s="50" t="str">
        <f t="shared" ca="1" si="7"/>
        <v>OK</v>
      </c>
      <c r="Y40" s="35"/>
      <c r="Z40" s="36"/>
      <c r="AA40" s="36"/>
      <c r="AB40" s="36"/>
      <c r="AC40" s="38"/>
      <c r="AD40" s="41"/>
      <c r="AE40" s="40"/>
      <c r="AF40" s="38"/>
      <c r="AG40" s="40"/>
      <c r="AH40" s="40"/>
      <c r="AI40" s="36"/>
      <c r="AJ40" s="36"/>
      <c r="AK40" s="36"/>
      <c r="AL40" s="40"/>
      <c r="AM40" s="40"/>
      <c r="AN40" s="38"/>
      <c r="AO40" s="35"/>
      <c r="AP40" s="35"/>
      <c r="AQ40" s="35"/>
      <c r="AR40" s="35"/>
      <c r="AS40" s="35"/>
      <c r="AT40" s="35"/>
      <c r="AU40" s="35"/>
      <c r="AV40" s="35"/>
      <c r="AW40" s="35"/>
      <c r="AX40" s="35"/>
    </row>
    <row r="41" spans="2:50">
      <c r="B41" s="1"/>
      <c r="D41" s="16"/>
      <c r="E41" s="19"/>
      <c r="F41" s="16"/>
      <c r="G41" s="19"/>
      <c r="H41" s="42"/>
      <c r="I41" s="40"/>
      <c r="J41" s="20"/>
      <c r="K41" s="19"/>
      <c r="L41" s="19"/>
      <c r="M41" s="20"/>
      <c r="N41" s="20"/>
      <c r="O41" s="42"/>
      <c r="P41" s="42"/>
      <c r="Q41" s="42"/>
      <c r="R41" s="19"/>
      <c r="S41" s="19"/>
      <c r="T41" s="19"/>
      <c r="U41" s="53"/>
      <c r="V41" s="16"/>
      <c r="W41" s="53"/>
      <c r="Y41" s="35"/>
      <c r="Z41" s="36"/>
      <c r="AA41" s="36"/>
      <c r="AB41" s="36"/>
      <c r="AC41" s="38"/>
      <c r="AD41" s="41"/>
      <c r="AE41" s="40"/>
      <c r="AF41" s="38"/>
      <c r="AG41" s="40"/>
      <c r="AH41" s="40"/>
      <c r="AI41" s="36"/>
      <c r="AJ41" s="36"/>
      <c r="AK41" s="36"/>
      <c r="AL41" s="40"/>
      <c r="AM41" s="40"/>
      <c r="AN41" s="38"/>
      <c r="AO41" s="35"/>
      <c r="AP41" s="35"/>
      <c r="AQ41" s="35"/>
      <c r="AR41" s="35"/>
      <c r="AS41" s="35"/>
      <c r="AT41" s="35"/>
      <c r="AU41" s="35"/>
      <c r="AV41" s="35"/>
      <c r="AW41" s="35"/>
      <c r="AX41" s="35"/>
    </row>
    <row r="42" spans="2:50">
      <c r="B42" s="1"/>
      <c r="D42" s="16"/>
      <c r="E42" s="19"/>
      <c r="F42" s="16"/>
      <c r="G42" s="19"/>
      <c r="H42" s="42"/>
      <c r="I42" s="40"/>
      <c r="J42" s="20"/>
      <c r="K42" s="19"/>
      <c r="L42" s="19"/>
      <c r="M42" s="20"/>
      <c r="N42" s="20"/>
      <c r="O42" s="42"/>
      <c r="P42" s="42"/>
      <c r="Q42" s="42"/>
      <c r="R42" s="19"/>
      <c r="S42" s="19"/>
      <c r="T42" s="19"/>
      <c r="U42" s="53"/>
      <c r="V42" s="16"/>
      <c r="W42" s="53"/>
      <c r="Y42" s="35"/>
      <c r="Z42" s="36"/>
      <c r="AA42" s="36"/>
      <c r="AB42" s="36"/>
      <c r="AC42" s="38"/>
      <c r="AD42" s="41"/>
      <c r="AE42" s="40"/>
      <c r="AF42" s="38"/>
      <c r="AG42" s="40"/>
      <c r="AH42" s="40"/>
      <c r="AI42" s="36"/>
      <c r="AJ42" s="36"/>
      <c r="AK42" s="36"/>
      <c r="AL42" s="40"/>
      <c r="AM42" s="40"/>
      <c r="AN42" s="38"/>
      <c r="AO42" s="35"/>
      <c r="AP42" s="35"/>
      <c r="AQ42" s="35"/>
      <c r="AR42" s="35"/>
      <c r="AS42" s="35"/>
      <c r="AT42" s="35"/>
      <c r="AU42" s="35"/>
      <c r="AV42" s="35"/>
      <c r="AW42" s="35"/>
      <c r="AX42" s="35"/>
    </row>
    <row r="43" spans="2:50">
      <c r="B43" s="1"/>
      <c r="Y43" s="35"/>
      <c r="Z43" s="36"/>
      <c r="AA43" s="36"/>
      <c r="AB43" s="36"/>
      <c r="AC43" s="38"/>
      <c r="AD43" s="41"/>
      <c r="AE43" s="40"/>
      <c r="AF43" s="38"/>
      <c r="AG43" s="40"/>
      <c r="AH43" s="40"/>
      <c r="AI43" s="36"/>
      <c r="AJ43" s="36"/>
      <c r="AK43" s="36"/>
      <c r="AL43" s="40"/>
      <c r="AM43" s="40"/>
      <c r="AN43" s="38"/>
      <c r="AO43" s="35"/>
      <c r="AP43" s="35"/>
      <c r="AQ43" s="35"/>
      <c r="AR43" s="35"/>
      <c r="AS43" s="35"/>
      <c r="AT43" s="35"/>
      <c r="AU43" s="35"/>
      <c r="AV43" s="35"/>
      <c r="AW43" s="35"/>
      <c r="AX43" s="35"/>
    </row>
    <row r="44" spans="2:50">
      <c r="B44" s="1"/>
      <c r="Y44" s="35"/>
      <c r="Z44" s="36"/>
      <c r="AA44" s="36"/>
      <c r="AB44" s="36"/>
      <c r="AC44" s="38"/>
      <c r="AD44" s="41"/>
      <c r="AE44" s="40"/>
      <c r="AF44" s="38"/>
      <c r="AG44" s="40"/>
      <c r="AH44" s="40"/>
      <c r="AI44" s="36"/>
      <c r="AJ44" s="36"/>
      <c r="AK44" s="36"/>
      <c r="AL44" s="40"/>
      <c r="AM44" s="40"/>
      <c r="AN44" s="38"/>
      <c r="AO44" s="35"/>
      <c r="AP44" s="35"/>
      <c r="AQ44" s="35"/>
      <c r="AR44" s="35"/>
      <c r="AS44" s="35"/>
      <c r="AT44" s="35"/>
      <c r="AU44" s="35"/>
      <c r="AV44" s="35"/>
      <c r="AW44" s="35"/>
      <c r="AX44" s="35"/>
    </row>
    <row r="45" spans="2:50">
      <c r="B45" s="1"/>
      <c r="Y45" s="35"/>
      <c r="Z45" s="36"/>
      <c r="AA45" s="36"/>
      <c r="AB45" s="36"/>
      <c r="AC45" s="38"/>
      <c r="AD45" s="41"/>
      <c r="AE45" s="40"/>
      <c r="AF45" s="38"/>
      <c r="AG45" s="40"/>
      <c r="AH45" s="40"/>
      <c r="AI45" s="36"/>
      <c r="AJ45" s="36"/>
      <c r="AK45" s="36"/>
      <c r="AL45" s="40"/>
      <c r="AM45" s="40"/>
      <c r="AN45" s="38"/>
      <c r="AO45" s="35"/>
      <c r="AP45" s="35"/>
      <c r="AQ45" s="35"/>
      <c r="AR45" s="35"/>
      <c r="AS45" s="35"/>
      <c r="AT45" s="35"/>
      <c r="AU45" s="35"/>
      <c r="AV45" s="35"/>
      <c r="AW45" s="35"/>
      <c r="AX45" s="35"/>
    </row>
    <row r="46" spans="2:50">
      <c r="B46" s="1"/>
      <c r="Y46" s="35"/>
      <c r="Z46" s="36"/>
      <c r="AA46" s="36"/>
      <c r="AB46" s="36"/>
      <c r="AC46" s="38"/>
      <c r="AD46" s="41"/>
      <c r="AE46" s="40"/>
      <c r="AF46" s="38"/>
      <c r="AG46" s="40"/>
      <c r="AH46" s="40"/>
      <c r="AI46" s="36"/>
      <c r="AJ46" s="36"/>
      <c r="AK46" s="36"/>
      <c r="AL46" s="40"/>
      <c r="AM46" s="40"/>
      <c r="AN46" s="38"/>
      <c r="AO46" s="35"/>
      <c r="AP46" s="35"/>
      <c r="AQ46" s="35"/>
      <c r="AR46" s="35"/>
      <c r="AS46" s="35"/>
      <c r="AT46" s="35"/>
      <c r="AU46" s="35"/>
      <c r="AV46" s="35"/>
      <c r="AW46" s="35"/>
      <c r="AX46" s="35"/>
    </row>
    <row r="47" spans="2:50">
      <c r="B47" s="1"/>
      <c r="Y47" s="35"/>
      <c r="Z47" s="36"/>
      <c r="AA47" s="36"/>
      <c r="AB47" s="36"/>
      <c r="AC47" s="38"/>
      <c r="AD47" s="41"/>
      <c r="AE47" s="40"/>
      <c r="AF47" s="38"/>
      <c r="AG47" s="40"/>
      <c r="AH47" s="40"/>
      <c r="AI47" s="36"/>
      <c r="AJ47" s="36"/>
      <c r="AK47" s="36"/>
      <c r="AL47" s="40"/>
      <c r="AM47" s="40"/>
      <c r="AN47" s="38"/>
      <c r="AO47" s="35"/>
      <c r="AP47" s="35"/>
      <c r="AQ47" s="35"/>
      <c r="AR47" s="35"/>
      <c r="AS47" s="35"/>
      <c r="AT47" s="35"/>
      <c r="AU47" s="35"/>
      <c r="AV47" s="35"/>
      <c r="AW47" s="35"/>
      <c r="AX47" s="35"/>
    </row>
    <row r="48" spans="2:50">
      <c r="Y48" s="35"/>
      <c r="Z48" s="36"/>
      <c r="AA48" s="36"/>
      <c r="AB48" s="36"/>
      <c r="AC48" s="38"/>
      <c r="AD48" s="41"/>
      <c r="AE48" s="40"/>
      <c r="AF48" s="38"/>
      <c r="AG48" s="40"/>
      <c r="AH48" s="40"/>
      <c r="AI48" s="36"/>
      <c r="AJ48" s="36"/>
      <c r="AK48" s="36"/>
      <c r="AL48" s="40"/>
      <c r="AM48" s="40"/>
      <c r="AN48" s="38"/>
      <c r="AO48" s="35"/>
      <c r="AP48" s="35"/>
      <c r="AQ48" s="35"/>
      <c r="AR48" s="35"/>
      <c r="AS48" s="35"/>
      <c r="AT48" s="35"/>
      <c r="AU48" s="35"/>
      <c r="AV48" s="35"/>
      <c r="AW48" s="35"/>
      <c r="AX48" s="35"/>
    </row>
    <row r="49" spans="25:50">
      <c r="Y49" s="35"/>
      <c r="Z49" s="36"/>
      <c r="AA49" s="36"/>
      <c r="AB49" s="36"/>
      <c r="AC49" s="38"/>
      <c r="AD49" s="41"/>
      <c r="AE49" s="40"/>
      <c r="AF49" s="38"/>
      <c r="AG49" s="40"/>
      <c r="AH49" s="40"/>
      <c r="AI49" s="36"/>
      <c r="AJ49" s="36"/>
      <c r="AK49" s="36"/>
      <c r="AL49" s="40"/>
      <c r="AM49" s="40"/>
      <c r="AN49" s="38"/>
      <c r="AO49" s="35"/>
      <c r="AP49" s="35"/>
      <c r="AQ49" s="35"/>
      <c r="AR49" s="35"/>
      <c r="AS49" s="35"/>
      <c r="AT49" s="35"/>
      <c r="AU49" s="35"/>
      <c r="AV49" s="35"/>
      <c r="AW49" s="35"/>
      <c r="AX49" s="35"/>
    </row>
    <row r="50" spans="25:50">
      <c r="Y50" s="35"/>
      <c r="Z50" s="36"/>
      <c r="AA50" s="36"/>
      <c r="AB50" s="36"/>
      <c r="AC50" s="38"/>
      <c r="AD50" s="41"/>
      <c r="AE50" s="40"/>
      <c r="AF50" s="38"/>
      <c r="AG50" s="40"/>
      <c r="AH50" s="40"/>
      <c r="AI50" s="36"/>
      <c r="AJ50" s="36"/>
      <c r="AK50" s="36"/>
      <c r="AL50" s="40"/>
      <c r="AM50" s="40"/>
      <c r="AN50" s="38"/>
      <c r="AO50" s="35"/>
      <c r="AP50" s="35"/>
      <c r="AQ50" s="35"/>
      <c r="AR50" s="35"/>
      <c r="AS50" s="35"/>
      <c r="AT50" s="35"/>
      <c r="AU50" s="35"/>
      <c r="AV50" s="35"/>
      <c r="AW50" s="35"/>
      <c r="AX50" s="35"/>
    </row>
    <row r="51" spans="25:50">
      <c r="Y51" s="35"/>
      <c r="Z51" s="36"/>
      <c r="AA51" s="36"/>
      <c r="AB51" s="36"/>
      <c r="AC51" s="38"/>
      <c r="AD51" s="41"/>
      <c r="AE51" s="40"/>
      <c r="AF51" s="38"/>
      <c r="AG51" s="40"/>
      <c r="AH51" s="40"/>
      <c r="AI51" s="36"/>
      <c r="AJ51" s="36"/>
      <c r="AK51" s="36"/>
      <c r="AL51" s="40"/>
      <c r="AM51" s="40"/>
      <c r="AN51" s="38"/>
      <c r="AO51" s="35"/>
      <c r="AP51" s="35"/>
      <c r="AQ51" s="35"/>
      <c r="AR51" s="35"/>
      <c r="AS51" s="35"/>
      <c r="AT51" s="35"/>
      <c r="AU51" s="35"/>
      <c r="AV51" s="35"/>
      <c r="AW51" s="35"/>
      <c r="AX51" s="35"/>
    </row>
    <row r="52" spans="25:50">
      <c r="Y52" s="35"/>
      <c r="Z52" s="36"/>
      <c r="AA52" s="36"/>
      <c r="AB52" s="36"/>
      <c r="AC52" s="38"/>
      <c r="AD52" s="41"/>
      <c r="AE52" s="40"/>
      <c r="AF52" s="38"/>
      <c r="AG52" s="40"/>
      <c r="AH52" s="40"/>
      <c r="AI52" s="36"/>
      <c r="AJ52" s="36"/>
      <c r="AK52" s="36"/>
      <c r="AL52" s="40"/>
      <c r="AM52" s="40"/>
      <c r="AN52" s="38"/>
      <c r="AO52" s="35"/>
      <c r="AP52" s="35"/>
      <c r="AQ52" s="35"/>
      <c r="AR52" s="35"/>
      <c r="AS52" s="35"/>
      <c r="AT52" s="35"/>
      <c r="AU52" s="35"/>
      <c r="AV52" s="35"/>
      <c r="AW52" s="35"/>
      <c r="AX52" s="35"/>
    </row>
    <row r="53" spans="25:50">
      <c r="Y53" s="35"/>
      <c r="Z53" s="36"/>
      <c r="AA53" s="36"/>
      <c r="AB53" s="36"/>
      <c r="AC53" s="38"/>
      <c r="AD53" s="41"/>
      <c r="AE53" s="40"/>
      <c r="AF53" s="38"/>
      <c r="AG53" s="40"/>
      <c r="AH53" s="40"/>
      <c r="AI53" s="36"/>
      <c r="AJ53" s="36"/>
      <c r="AK53" s="36"/>
      <c r="AL53" s="40"/>
      <c r="AM53" s="40"/>
      <c r="AN53" s="38"/>
      <c r="AO53" s="35"/>
      <c r="AP53" s="35"/>
      <c r="AQ53" s="35"/>
      <c r="AR53" s="35"/>
      <c r="AS53" s="35"/>
      <c r="AT53" s="35"/>
      <c r="AU53" s="35"/>
      <c r="AV53" s="35"/>
      <c r="AW53" s="35"/>
      <c r="AX53" s="35"/>
    </row>
    <row r="54" spans="25:50">
      <c r="Y54" s="35"/>
      <c r="Z54" s="36"/>
      <c r="AA54" s="36"/>
      <c r="AB54" s="36"/>
      <c r="AC54" s="38"/>
      <c r="AD54" s="41"/>
      <c r="AE54" s="40"/>
      <c r="AF54" s="38"/>
      <c r="AG54" s="40"/>
      <c r="AH54" s="40"/>
      <c r="AI54" s="36"/>
      <c r="AJ54" s="36"/>
      <c r="AK54" s="36"/>
      <c r="AL54" s="40"/>
      <c r="AM54" s="40"/>
      <c r="AN54" s="38"/>
      <c r="AO54" s="35"/>
      <c r="AP54" s="35"/>
      <c r="AQ54" s="35"/>
      <c r="AR54" s="35"/>
      <c r="AS54" s="35"/>
      <c r="AT54" s="35"/>
      <c r="AU54" s="35"/>
      <c r="AV54" s="35"/>
      <c r="AW54" s="35"/>
      <c r="AX54" s="35"/>
    </row>
    <row r="55" spans="25:50">
      <c r="Y55" s="35"/>
      <c r="Z55" s="36"/>
      <c r="AA55" s="36"/>
      <c r="AB55" s="36"/>
      <c r="AC55" s="38"/>
      <c r="AD55" s="41"/>
      <c r="AE55" s="40"/>
      <c r="AF55" s="38"/>
      <c r="AG55" s="40"/>
      <c r="AH55" s="40"/>
      <c r="AI55" s="36"/>
      <c r="AJ55" s="36"/>
      <c r="AK55" s="36"/>
      <c r="AL55" s="40"/>
      <c r="AM55" s="40"/>
      <c r="AN55" s="38"/>
      <c r="AO55" s="35"/>
      <c r="AP55" s="35"/>
      <c r="AQ55" s="35"/>
      <c r="AR55" s="35"/>
      <c r="AS55" s="35"/>
      <c r="AT55" s="35"/>
      <c r="AU55" s="35"/>
      <c r="AV55" s="35"/>
      <c r="AW55" s="35"/>
      <c r="AX55" s="35"/>
    </row>
    <row r="56" spans="25:50"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</row>
    <row r="57" spans="25:50"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</row>
    <row r="58" spans="25:50"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</row>
    <row r="59" spans="25:50"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</row>
    <row r="60" spans="25:50"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</row>
    <row r="61" spans="25:50"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</row>
    <row r="62" spans="25:50"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</row>
    <row r="63" spans="25:50"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</row>
    <row r="64" spans="25:50"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</row>
    <row r="65" spans="25:50"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</row>
    <row r="66" spans="25:50"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</row>
    <row r="67" spans="25:50"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</row>
    <row r="68" spans="25:50"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</row>
    <row r="69" spans="25:50"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</row>
    <row r="70" spans="25:50"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</row>
    <row r="71" spans="25:50"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</row>
    <row r="72" spans="25:50"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</row>
    <row r="73" spans="25:50"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</row>
    <row r="74" spans="25:50"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</row>
    <row r="75" spans="25:50"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</row>
    <row r="76" spans="25:50"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</row>
    <row r="77" spans="25:50"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</row>
    <row r="78" spans="25:50"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</row>
    <row r="79" spans="25:50"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</row>
    <row r="80" spans="25:50"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</row>
    <row r="81" spans="25:50"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</row>
    <row r="82" spans="25:50"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</row>
    <row r="83" spans="25:50"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</row>
    <row r="84" spans="25:50"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</row>
    <row r="85" spans="25:50"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</row>
    <row r="86" spans="25:50"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</row>
    <row r="87" spans="25:50"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</row>
    <row r="88" spans="25:50"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</row>
    <row r="89" spans="25:50"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</row>
    <row r="90" spans="25:50"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90"/>
  <sheetViews>
    <sheetView tabSelected="1" zoomScale="110" zoomScaleNormal="110" workbookViewId="0">
      <selection activeCell="W21" sqref="W21"/>
    </sheetView>
  </sheetViews>
  <sheetFormatPr defaultRowHeight="12.75"/>
  <sheetData>
    <row r="1" spans="1:50">
      <c r="A1" s="17" t="s">
        <v>275</v>
      </c>
    </row>
    <row r="2" spans="1:50"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</row>
    <row r="3" spans="1:50">
      <c r="A3" t="s">
        <v>270</v>
      </c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</row>
    <row r="4" spans="1:50">
      <c r="D4" s="17"/>
      <c r="I4" s="17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</row>
    <row r="5" spans="1:50">
      <c r="A5" s="65" t="s">
        <v>110</v>
      </c>
      <c r="B5" s="61">
        <v>1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</row>
    <row r="6" spans="1:50">
      <c r="A6" s="35"/>
      <c r="B6" s="35"/>
      <c r="C6" s="35"/>
      <c r="D6" s="35"/>
      <c r="E6" s="60"/>
      <c r="F6" s="35"/>
      <c r="G6" s="35"/>
      <c r="H6" s="60"/>
      <c r="I6" s="35"/>
      <c r="J6" s="35"/>
      <c r="K6" s="35"/>
      <c r="L6" s="35"/>
      <c r="M6" s="35"/>
      <c r="N6" s="35"/>
      <c r="O6" s="35"/>
      <c r="Y6" s="35"/>
      <c r="Z6" s="37"/>
      <c r="AA6" s="40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</row>
    <row r="7" spans="1:50">
      <c r="A7" s="37"/>
      <c r="B7" s="40"/>
      <c r="C7" s="37"/>
      <c r="D7" s="35"/>
      <c r="E7" s="60"/>
      <c r="F7" s="35"/>
      <c r="G7" s="35"/>
      <c r="H7" s="60"/>
      <c r="I7" s="35"/>
      <c r="J7" s="37"/>
      <c r="K7" s="41"/>
      <c r="L7" s="37"/>
      <c r="M7" s="35"/>
      <c r="N7" s="35"/>
      <c r="O7" s="35"/>
      <c r="Y7" s="35"/>
      <c r="Z7" s="37"/>
      <c r="AA7" s="36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</row>
    <row r="8" spans="1:50">
      <c r="A8" s="37"/>
      <c r="B8" s="36"/>
      <c r="C8" s="37"/>
      <c r="D8" s="35"/>
      <c r="E8" s="60"/>
      <c r="F8" s="35"/>
      <c r="G8" s="35"/>
      <c r="H8" s="60"/>
      <c r="I8" s="35"/>
      <c r="J8" s="37"/>
      <c r="K8" s="38"/>
      <c r="L8" s="37"/>
      <c r="M8" s="35"/>
      <c r="N8" s="35"/>
      <c r="O8" s="35"/>
      <c r="Y8" s="35"/>
      <c r="Z8" s="37"/>
      <c r="AA8" s="40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</row>
    <row r="9" spans="1:50">
      <c r="A9" s="37"/>
      <c r="B9" s="40"/>
      <c r="C9" s="37"/>
      <c r="D9" s="35"/>
      <c r="E9" s="60"/>
      <c r="F9" s="35"/>
      <c r="G9" s="35"/>
      <c r="H9" s="60"/>
      <c r="I9" s="35"/>
      <c r="J9" s="37"/>
      <c r="K9" s="38"/>
      <c r="L9" s="37"/>
      <c r="M9" s="35"/>
      <c r="N9" s="35"/>
      <c r="O9" s="35"/>
      <c r="Y9" s="35"/>
      <c r="Z9" s="37"/>
      <c r="AA9" s="36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</row>
    <row r="10" spans="1:50">
      <c r="A10" s="37"/>
      <c r="B10" s="36"/>
      <c r="C10" s="37"/>
      <c r="D10" s="35"/>
      <c r="E10" s="60"/>
      <c r="F10" s="35"/>
      <c r="G10" s="35"/>
      <c r="H10" s="60"/>
      <c r="I10" s="35"/>
      <c r="J10" s="37"/>
      <c r="K10" s="38"/>
      <c r="L10" s="37"/>
      <c r="M10" s="35"/>
      <c r="N10" s="35"/>
      <c r="O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</row>
    <row r="11" spans="1:50">
      <c r="A11" s="35"/>
      <c r="B11" s="35"/>
      <c r="C11" s="35"/>
      <c r="D11" s="35"/>
      <c r="E11" s="60"/>
      <c r="F11" s="35"/>
      <c r="G11" s="35"/>
      <c r="H11" s="60"/>
      <c r="I11" s="35"/>
      <c r="J11" s="37"/>
      <c r="K11" s="38"/>
      <c r="L11" s="37"/>
      <c r="M11" s="35"/>
      <c r="N11" s="35"/>
      <c r="O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</row>
    <row r="12" spans="1:50">
      <c r="A12" s="35"/>
      <c r="B12" s="35"/>
      <c r="C12" s="35"/>
      <c r="D12" s="35"/>
      <c r="E12" s="60"/>
      <c r="F12" s="35"/>
      <c r="G12" s="35"/>
      <c r="H12" s="60"/>
      <c r="I12" s="35"/>
      <c r="J12" s="37"/>
      <c r="K12" s="38"/>
      <c r="L12" s="37"/>
      <c r="M12" s="35"/>
      <c r="N12" s="35"/>
      <c r="O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</row>
    <row r="13" spans="1:50">
      <c r="E13" t="s">
        <v>301</v>
      </c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</row>
    <row r="14" spans="1:50"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</row>
    <row r="15" spans="1:50">
      <c r="B15" t="s">
        <v>273</v>
      </c>
      <c r="Y15" s="35"/>
      <c r="Z15" s="35"/>
      <c r="AA15" s="35"/>
      <c r="AB15" s="35"/>
      <c r="AC15" s="35"/>
      <c r="AD15" s="35"/>
      <c r="AE15" s="37"/>
      <c r="AF15" s="35"/>
      <c r="AG15" s="35"/>
      <c r="AH15" s="35"/>
      <c r="AI15" s="35"/>
      <c r="AJ15" s="35"/>
      <c r="AK15" s="37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</row>
    <row r="16" spans="1:50">
      <c r="Y16" s="35"/>
      <c r="Z16" s="35"/>
      <c r="AA16" s="35"/>
      <c r="AB16" s="35"/>
      <c r="AC16" s="35"/>
      <c r="AD16" s="35"/>
      <c r="AE16" s="37"/>
      <c r="AF16" s="35"/>
      <c r="AG16" s="35"/>
      <c r="AH16" s="35"/>
      <c r="AI16" s="35"/>
      <c r="AJ16" s="35"/>
      <c r="AK16" s="37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</row>
    <row r="17" spans="2:50"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</row>
    <row r="18" spans="2:50">
      <c r="B18" s="9" t="s">
        <v>29</v>
      </c>
      <c r="D18" s="9" t="s">
        <v>57</v>
      </c>
      <c r="E18" s="9" t="s">
        <v>40</v>
      </c>
      <c r="F18" s="9" t="s">
        <v>110</v>
      </c>
      <c r="G18" s="9" t="s">
        <v>35</v>
      </c>
      <c r="H18" s="9" t="s">
        <v>116</v>
      </c>
      <c r="I18" s="9" t="s">
        <v>103</v>
      </c>
      <c r="J18" s="9" t="s">
        <v>104</v>
      </c>
      <c r="K18" s="9" t="s">
        <v>106</v>
      </c>
      <c r="L18" s="9" t="s">
        <v>123</v>
      </c>
      <c r="M18" s="9" t="s">
        <v>227</v>
      </c>
      <c r="N18" s="9" t="s">
        <v>220</v>
      </c>
      <c r="O18" s="47" t="s">
        <v>221</v>
      </c>
      <c r="P18" s="9" t="s">
        <v>222</v>
      </c>
      <c r="Q18" s="9" t="s">
        <v>223</v>
      </c>
      <c r="R18" s="9" t="s">
        <v>117</v>
      </c>
      <c r="S18" s="9" t="s">
        <v>141</v>
      </c>
      <c r="T18" s="23"/>
      <c r="U18" s="9" t="s">
        <v>228</v>
      </c>
      <c r="W18" s="9" t="s">
        <v>224</v>
      </c>
      <c r="Y18" s="35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5"/>
      <c r="AP18" s="35"/>
      <c r="AQ18" s="35"/>
      <c r="AR18" s="35"/>
      <c r="AS18" s="35"/>
      <c r="AT18" s="35"/>
      <c r="AU18" s="35"/>
      <c r="AV18" s="35"/>
      <c r="AW18" s="35"/>
      <c r="AX18" s="35"/>
    </row>
    <row r="19" spans="2:50">
      <c r="B19" s="9" t="s">
        <v>30</v>
      </c>
      <c r="D19" s="9" t="s">
        <v>4</v>
      </c>
      <c r="E19" s="9" t="s">
        <v>1</v>
      </c>
      <c r="G19" s="9" t="s">
        <v>98</v>
      </c>
      <c r="I19" s="9" t="s">
        <v>40</v>
      </c>
      <c r="J19" s="9" t="s">
        <v>100</v>
      </c>
      <c r="K19" s="9" t="s">
        <v>40</v>
      </c>
      <c r="L19" s="9" t="s">
        <v>100</v>
      </c>
      <c r="M19" s="9" t="s">
        <v>34</v>
      </c>
      <c r="N19" s="9" t="s">
        <v>34</v>
      </c>
      <c r="O19" s="48" t="s">
        <v>107</v>
      </c>
      <c r="P19" s="9" t="s">
        <v>225</v>
      </c>
      <c r="Q19" s="9" t="s">
        <v>226</v>
      </c>
      <c r="S19" s="9" t="s">
        <v>34</v>
      </c>
      <c r="T19" s="23"/>
      <c r="U19" s="9" t="s">
        <v>100</v>
      </c>
      <c r="Y19" s="35"/>
      <c r="Z19" s="35"/>
      <c r="AA19" s="35"/>
      <c r="AB19" s="37"/>
      <c r="AC19" s="37"/>
      <c r="AD19" s="37"/>
      <c r="AE19" s="37"/>
      <c r="AF19" s="37"/>
      <c r="AG19" s="37"/>
      <c r="AH19" s="37"/>
      <c r="AI19" s="35"/>
      <c r="AJ19" s="35"/>
      <c r="AK19" s="35"/>
      <c r="AL19" s="37"/>
      <c r="AM19" s="37"/>
      <c r="AN19" s="37"/>
      <c r="AO19" s="35"/>
      <c r="AP19" s="35"/>
      <c r="AQ19" s="35"/>
      <c r="AR19" s="35"/>
      <c r="AS19" s="35"/>
      <c r="AT19" s="35"/>
      <c r="AU19" s="35"/>
      <c r="AV19" s="35"/>
      <c r="AW19" s="35"/>
      <c r="AX19" s="35"/>
    </row>
    <row r="20" spans="2:50">
      <c r="T20" s="6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</row>
    <row r="21" spans="2:50">
      <c r="B21" s="1">
        <f>Takeoff!F21</f>
        <v>1.2249994633486807</v>
      </c>
      <c r="D21" s="1">
        <f>Propeller!$B$8</f>
        <v>0.30479999999999996</v>
      </c>
      <c r="E21" s="20">
        <f ca="1">Takeoff!T21</f>
        <v>14.629202114405427</v>
      </c>
      <c r="F21" s="49">
        <f t="shared" ref="F21:F40" ca="1" si="0">IF(ISERROR(W21),1,W21)</f>
        <v>0.95669735818449575</v>
      </c>
      <c r="G21" s="19">
        <f ca="1">MAX(Motor!$B$7,K21*Motor!$B$7)</f>
        <v>10724.42465232054</v>
      </c>
      <c r="H21" s="10">
        <f ca="1">E21/(G21/60*D21)*Propulsão!J21</f>
        <v>0.25902704669641036</v>
      </c>
      <c r="I21" s="13">
        <f ca="1">F21*Energy!$B$6*Motor!$H$6</f>
        <v>10.770020509761961</v>
      </c>
      <c r="J21" s="51">
        <f ca="1">IF(ISERROR(U21),Motor!$B$10,MIN(Motor!$B$10,U21))</f>
        <v>47</v>
      </c>
      <c r="K21" s="20">
        <f ca="1">I21-Motor!$B$9*J21</f>
        <v>8.9370205097619611</v>
      </c>
      <c r="L21" s="14">
        <f ca="1">MAX(Motor!$B$8,J21-Motor!$B$8)</f>
        <v>44.7</v>
      </c>
      <c r="M21" s="14">
        <f ca="1">I21*J21</f>
        <v>506.19096395881218</v>
      </c>
      <c r="N21" s="20">
        <f ca="1">K21*L21</f>
        <v>399.48481678635966</v>
      </c>
      <c r="O21" s="1">
        <f ca="1">N21/(G21/60*(2*PI()))</f>
        <v>0.35571129646354649</v>
      </c>
      <c r="P21" s="10">
        <f ca="1">N21/(B21*(G21/60)^3*D21^5)</f>
        <v>2.1708074842079698E-2</v>
      </c>
      <c r="Q21" s="10">
        <f ca="1">Propeller!$B$15+Propeller!$B$16*H21+Propeller!$B$17*H21^2+Propeller!$B$18*H21^3+Propeller!$B$19*H21^4+Propeller!$B$20*H21^5+Propeller!$B$21*H21^6</f>
        <v>2.1708101933611938E-2</v>
      </c>
      <c r="R21" s="10">
        <f ca="1">(Propeller!$B$23+Propeller!$B$24*H21+Propeller!$B$25*H21^2+Propeller!$B$26*H21^3+Propeller!$B$27*H21^4+Propeller!$B$28*H21^5+Propeller!$B$29*H21^6)*Propulsão!M21</f>
        <v>0.58831806332542735</v>
      </c>
      <c r="S21" s="19">
        <f ca="1">N21*R21</f>
        <v>235.02413373966428</v>
      </c>
      <c r="T21" s="19"/>
      <c r="U21" s="14">
        <f ca="1">MAX(Motor!$B$8,J21+0.05*(Q21/P21-1)*J21)</f>
        <v>47.000002932784284</v>
      </c>
      <c r="V21" s="50" t="str">
        <f t="shared" ref="V21:V40" ca="1" si="1">IF(ABS((Q21-P21)/P21)&lt;0.01,"OK","iterate")</f>
        <v>OK</v>
      </c>
      <c r="W21" s="1">
        <f ca="1">IF(U21&gt;Motor!$B$10,F21+0.05*(Motor!$B$10/U21-1)*F21,MIN(1,$B$5))</f>
        <v>0.95669735519961618</v>
      </c>
      <c r="X21" s="50" t="str">
        <f t="shared" ref="X21:X40" ca="1" si="2">IF(ABS((P21-Q21)/Q21)&lt;0.01,"OK","iterate")</f>
        <v>OK</v>
      </c>
      <c r="Y21" s="25">
        <f ca="1">N21/(I21*J21)</f>
        <v>0.78919784277078675</v>
      </c>
      <c r="Z21" s="36"/>
      <c r="AA21" s="36">
        <f ca="1">S21/E21</f>
        <v>16.065410259677471</v>
      </c>
      <c r="AB21" s="36"/>
      <c r="AC21" s="38"/>
      <c r="AD21" s="41"/>
      <c r="AE21" s="40"/>
      <c r="AF21" s="38"/>
      <c r="AG21" s="40"/>
      <c r="AH21" s="40"/>
      <c r="AI21" s="36"/>
      <c r="AJ21" s="36"/>
      <c r="AK21" s="36"/>
      <c r="AL21" s="40"/>
      <c r="AM21" s="40"/>
      <c r="AN21" s="38"/>
      <c r="AO21" s="35"/>
      <c r="AP21" s="35"/>
      <c r="AQ21" s="35"/>
      <c r="AR21" s="35"/>
      <c r="AS21" s="35"/>
      <c r="AT21" s="35"/>
      <c r="AU21" s="35"/>
      <c r="AV21" s="35"/>
      <c r="AW21" s="35"/>
      <c r="AX21" s="35"/>
    </row>
    <row r="22" spans="2:50">
      <c r="B22" s="1">
        <f>Takeoff!F22</f>
        <v>1.2249994633486807</v>
      </c>
      <c r="D22" s="1">
        <f>Propeller!$B$8</f>
        <v>0.30479999999999996</v>
      </c>
      <c r="E22" s="20">
        <f ca="1">Takeoff!T22</f>
        <v>14.391374472657482</v>
      </c>
      <c r="F22" s="49">
        <f t="shared" ca="1" si="0"/>
        <v>0.95506531021631791</v>
      </c>
      <c r="G22" s="19">
        <f ca="1">MAX(Motor!$B$7,K22*Motor!$B$7)</f>
        <v>10702.377322188377</v>
      </c>
      <c r="H22" s="10">
        <f ca="1">E22/(G22/60*D22)*Propulsão!J22</f>
        <v>0.25534096288210423</v>
      </c>
      <c r="I22" s="13">
        <f ca="1">F22*Energy!$B$6*Motor!$H$6</f>
        <v>10.751647729760199</v>
      </c>
      <c r="J22" s="51">
        <f ca="1">IF(ISERROR(U22),Motor!$B$10,MIN(Motor!$B$10,U22))</f>
        <v>47</v>
      </c>
      <c r="K22" s="20">
        <f ca="1">I22-Motor!$B$9*J22</f>
        <v>8.9186477297601989</v>
      </c>
      <c r="L22" s="14">
        <f ca="1">MAX(Motor!$B$8,J22-Motor!$B$8)</f>
        <v>44.7</v>
      </c>
      <c r="M22" s="14">
        <f t="shared" ref="M22:M40" ca="1" si="3">I22*J22</f>
        <v>505.32744329872935</v>
      </c>
      <c r="N22" s="20">
        <f t="shared" ref="N22:N40" ca="1" si="4">K22*L22</f>
        <v>398.66355352028091</v>
      </c>
      <c r="O22" s="1">
        <f t="shared" ref="O22:O40" ca="1" si="5">N22/(G22/60*(2*PI()))</f>
        <v>0.35571129626567444</v>
      </c>
      <c r="P22" s="10">
        <f t="shared" ref="P22:P40" ca="1" si="6">N22/(B22*(G22/60)^3*D22^5)</f>
        <v>2.1797605978236195E-2</v>
      </c>
      <c r="Q22" s="10">
        <f ca="1">Propeller!$B$15+Propeller!$B$16*H22+Propeller!$B$17*H22^2+Propeller!$B$18*H22^3+Propeller!$B$19*H22^4+Propeller!$B$20*H22^5+Propeller!$B$21*H22^6</f>
        <v>2.1797637168352771E-2</v>
      </c>
      <c r="R22" s="10">
        <f ca="1">(Propeller!$B$23+Propeller!$B$24*H22+Propeller!$B$25*H22^2+Propeller!$B$26*H22^3+Propeller!$B$27*H22^4+Propeller!$B$28*H22^5+Propeller!$B$29*H22^6)*Propulsão!M22</f>
        <v>0.58381118407599575</v>
      </c>
      <c r="S22" s="19">
        <f t="shared" ref="S22:S40" ca="1" si="7">N22*R22</f>
        <v>232.7442412286193</v>
      </c>
      <c r="T22" s="19"/>
      <c r="U22" s="14">
        <f ca="1">MAX(Motor!$B$8,J22+0.05*(Q22/P22-1)*J22)</f>
        <v>47.000003362606613</v>
      </c>
      <c r="V22" s="50" t="str">
        <f t="shared" ca="1" si="1"/>
        <v>OK</v>
      </c>
      <c r="W22" s="1">
        <f ca="1">IF(U22&gt;Motor!$B$10,F22+0.05*(Motor!$B$10/U22-1)*F22,MIN(1,$B$5))</f>
        <v>0.95506530679981927</v>
      </c>
      <c r="X22" s="50" t="str">
        <f t="shared" ca="1" si="2"/>
        <v>OK</v>
      </c>
      <c r="Y22" s="25">
        <f t="shared" ref="Y22:Y40" ca="1" si="8">N22/(I22*J22)</f>
        <v>0.78892124068671843</v>
      </c>
      <c r="Z22" s="36"/>
      <c r="AA22" s="36">
        <f t="shared" ref="AA22:AA40" ca="1" si="9">S22/E22</f>
        <v>16.172481764741491</v>
      </c>
      <c r="AB22" s="36"/>
      <c r="AC22" s="38"/>
      <c r="AD22" s="41"/>
      <c r="AE22" s="40"/>
      <c r="AF22" s="38"/>
      <c r="AG22" s="40"/>
      <c r="AH22" s="40"/>
      <c r="AI22" s="36"/>
      <c r="AJ22" s="36"/>
      <c r="AK22" s="36"/>
      <c r="AL22" s="40"/>
      <c r="AM22" s="40"/>
      <c r="AN22" s="38"/>
      <c r="AO22" s="35"/>
      <c r="AP22" s="35"/>
      <c r="AQ22" s="35"/>
      <c r="AR22" s="35"/>
      <c r="AS22" s="35"/>
      <c r="AT22" s="35"/>
      <c r="AU22" s="35"/>
      <c r="AV22" s="35"/>
      <c r="AW22" s="35"/>
      <c r="AX22" s="35"/>
    </row>
    <row r="23" spans="2:50">
      <c r="B23" s="1">
        <f>Takeoff!F23</f>
        <v>1.2249994633486807</v>
      </c>
      <c r="C23" s="6"/>
      <c r="D23" s="1">
        <f>Propeller!$B$8</f>
        <v>0.30479999999999996</v>
      </c>
      <c r="E23" s="20">
        <f ca="1">Takeoff!T23</f>
        <v>14.165103874793797</v>
      </c>
      <c r="F23" s="49">
        <f t="shared" ca="1" si="0"/>
        <v>0.95355177608235231</v>
      </c>
      <c r="G23" s="19">
        <f ca="1">MAX(Motor!$B$7,K23*Motor!$B$7)</f>
        <v>10681.930995412902</v>
      </c>
      <c r="H23" s="10">
        <f ca="1">E23/(G23/60*D23)*Propulsão!J23</f>
        <v>0.25180739005671171</v>
      </c>
      <c r="I23" s="13">
        <f ca="1">F23*Energy!$B$6*Motor!$H$6</f>
        <v>10.734609119247082</v>
      </c>
      <c r="J23" s="51">
        <f ca="1">IF(ISERROR(U23),Motor!$B$10,MIN(Motor!$B$10,U23))</f>
        <v>47</v>
      </c>
      <c r="K23" s="20">
        <f ca="1">I23-Motor!$B$9*J23</f>
        <v>8.9016091192470821</v>
      </c>
      <c r="L23" s="14">
        <f ca="1">MAX(Motor!$B$8,J23-Motor!$B$8)</f>
        <v>44.7</v>
      </c>
      <c r="M23" s="14">
        <f t="shared" ca="1" si="3"/>
        <v>504.52662860461288</v>
      </c>
      <c r="N23" s="20">
        <f t="shared" ca="1" si="4"/>
        <v>397.90192763034457</v>
      </c>
      <c r="O23" s="1">
        <f t="shared" ca="1" si="5"/>
        <v>0.35571129606823515</v>
      </c>
      <c r="P23" s="10">
        <f t="shared" ca="1" si="6"/>
        <v>2.1881131597329819E-2</v>
      </c>
      <c r="Q23" s="10">
        <f ca="1">Propeller!$B$15+Propeller!$B$16*H23+Propeller!$B$17*H23^2+Propeller!$B$18*H23^3+Propeller!$B$19*H23^4+Propeller!$B$20*H23^5+Propeller!$B$21*H23^6</f>
        <v>2.1881166898576668E-2</v>
      </c>
      <c r="R23" s="10">
        <f ca="1">(Propeller!$B$23+Propeller!$B$24*H23+Propeller!$B$25*H23^2+Propeller!$B$26*H23^3+Propeller!$B$27*H23^4+Propeller!$B$28*H23^5+Propeller!$B$29*H23^6)*Propulsão!M23</f>
        <v>0.57938038859584884</v>
      </c>
      <c r="S23" s="19">
        <f t="shared" ca="1" si="7"/>
        <v>230.53657345350635</v>
      </c>
      <c r="T23" s="19"/>
      <c r="U23" s="14">
        <f ca="1">MAX(Motor!$B$8,J23+0.05*(Q23/P23-1)*J23)</f>
        <v>47.000003791299811</v>
      </c>
      <c r="V23" s="50" t="str">
        <f t="shared" ca="1" si="1"/>
        <v>OK</v>
      </c>
      <c r="W23" s="1">
        <f ca="1">IF(U23&gt;Motor!$B$10,F23+0.05*(Motor!$B$10/U23-1)*F23,MIN(1,$B$5))</f>
        <v>0.95355177223639442</v>
      </c>
      <c r="X23" s="50" t="str">
        <f t="shared" ca="1" si="2"/>
        <v>OK</v>
      </c>
      <c r="Y23" s="25">
        <f t="shared" ca="1" si="8"/>
        <v>0.78866387831864493</v>
      </c>
      <c r="Z23" s="36"/>
      <c r="AA23" s="36">
        <f t="shared" ca="1" si="9"/>
        <v>16.274965259078435</v>
      </c>
      <c r="AB23" s="36"/>
      <c r="AC23" s="38"/>
      <c r="AD23" s="41"/>
      <c r="AE23" s="40"/>
      <c r="AF23" s="38"/>
      <c r="AG23" s="40"/>
      <c r="AH23" s="40"/>
      <c r="AI23" s="36"/>
      <c r="AJ23" s="36"/>
      <c r="AK23" s="36"/>
      <c r="AL23" s="40"/>
      <c r="AM23" s="40"/>
      <c r="AN23" s="38"/>
      <c r="AO23" s="35"/>
      <c r="AP23" s="35"/>
      <c r="AQ23" s="35"/>
      <c r="AR23" s="35"/>
      <c r="AS23" s="35"/>
      <c r="AT23" s="35"/>
      <c r="AU23" s="35"/>
      <c r="AV23" s="35"/>
      <c r="AW23" s="35"/>
      <c r="AX23" s="35"/>
    </row>
    <row r="24" spans="2:50">
      <c r="B24" s="1">
        <f>Takeoff!F24</f>
        <v>1.2249994633486807</v>
      </c>
      <c r="C24" s="20"/>
      <c r="D24" s="1">
        <f>Propeller!$B$8</f>
        <v>0.30479999999999996</v>
      </c>
      <c r="E24" s="20">
        <f ca="1">Takeoff!T24</f>
        <v>13.434554183218914</v>
      </c>
      <c r="F24" s="49">
        <f t="shared" ca="1" si="0"/>
        <v>0.94892603112365348</v>
      </c>
      <c r="G24" s="19">
        <f ca="1">MAX(Motor!$B$7,K24*Motor!$B$7)</f>
        <v>10619.441819442598</v>
      </c>
      <c r="H24" s="10">
        <f ca="1">E24/(G24/60*D24)*Propulsão!J24</f>
        <v>0.24022601968509266</v>
      </c>
      <c r="I24" s="13">
        <f ca="1">F24*Energy!$B$6*Motor!$H$6</f>
        <v>10.682534795374529</v>
      </c>
      <c r="J24" s="51">
        <f ca="1">IF(ISERROR(U24),Motor!$B$10,MIN(Motor!$B$10,U24))</f>
        <v>47</v>
      </c>
      <c r="K24" s="20">
        <f ca="1">I24-Motor!$B$9*J24</f>
        <v>8.8495347953745291</v>
      </c>
      <c r="L24" s="14">
        <f ca="1">MAX(Motor!$B$8,J24-Motor!$B$8)</f>
        <v>44.7</v>
      </c>
      <c r="M24" s="14">
        <f t="shared" ca="1" si="3"/>
        <v>502.07913538260289</v>
      </c>
      <c r="N24" s="20">
        <f t="shared" ca="1" si="4"/>
        <v>395.5742053532415</v>
      </c>
      <c r="O24" s="1">
        <f t="shared" ca="1" si="5"/>
        <v>0.35571129563336001</v>
      </c>
      <c r="P24" s="10">
        <f t="shared" ca="1" si="6"/>
        <v>2.2139404440798916E-2</v>
      </c>
      <c r="Q24" s="10">
        <f ca="1">Propeller!$B$15+Propeller!$B$16*H24+Propeller!$B$17*H24^2+Propeller!$B$18*H24^3+Propeller!$B$19*H24^4+Propeller!$B$20*H24^5+Propeller!$B$21*H24^6</f>
        <v>2.2139449034647984E-2</v>
      </c>
      <c r="R24" s="10">
        <f ca="1">(Propeller!$B$23+Propeller!$B$24*H24+Propeller!$B$25*H24^2+Propeller!$B$26*H24^3+Propeller!$B$27*H24^4+Propeller!$B$28*H24^5+Propeller!$B$29*H24^6)*Propulsão!M24</f>
        <v>0.56409124009574207</v>
      </c>
      <c r="S24" s="19">
        <f t="shared" ca="1" si="7"/>
        <v>223.13994404759774</v>
      </c>
      <c r="T24" s="19"/>
      <c r="U24" s="14">
        <f ca="1">MAX(Motor!$B$8,J24+0.05*(Q24/P24-1)*J24)</f>
        <v>47.000004733440122</v>
      </c>
      <c r="V24" s="50" t="str">
        <f t="shared" ca="1" si="1"/>
        <v>OK</v>
      </c>
      <c r="W24" s="1">
        <f ca="1">IF(U24&gt;Motor!$B$10,F24+0.05*(Motor!$B$10/U24-1)*F24,MIN(1,$B$5))</f>
        <v>0.94892602634526613</v>
      </c>
      <c r="X24" s="50" t="str">
        <f t="shared" ca="1" si="2"/>
        <v>OK</v>
      </c>
      <c r="Y24" s="25">
        <f t="shared" ca="1" si="8"/>
        <v>0.78787222466792872</v>
      </c>
      <c r="Z24" s="36"/>
      <c r="AA24" s="36">
        <f t="shared" ca="1" si="9"/>
        <v>16.609404450973265</v>
      </c>
      <c r="AB24" s="36"/>
      <c r="AC24" s="38"/>
      <c r="AD24" s="41"/>
      <c r="AE24" s="40"/>
      <c r="AF24" s="38"/>
      <c r="AG24" s="40"/>
      <c r="AH24" s="40"/>
      <c r="AI24" s="36"/>
      <c r="AJ24" s="36"/>
      <c r="AK24" s="36"/>
      <c r="AL24" s="40"/>
      <c r="AM24" s="40"/>
      <c r="AN24" s="38"/>
      <c r="AO24" s="35"/>
      <c r="AP24" s="35"/>
      <c r="AQ24" s="35"/>
      <c r="AR24" s="35"/>
      <c r="AS24" s="35"/>
      <c r="AT24" s="35"/>
      <c r="AU24" s="35"/>
      <c r="AV24" s="35"/>
      <c r="AW24" s="35"/>
      <c r="AX24" s="35"/>
    </row>
    <row r="25" spans="2:50">
      <c r="B25" s="1">
        <f>Takeoff!F25</f>
        <v>1.2249994633486807</v>
      </c>
      <c r="C25" s="6"/>
      <c r="D25" s="1">
        <f>Propeller!$B$8</f>
        <v>0.30479999999999996</v>
      </c>
      <c r="E25" s="20">
        <f ca="1">Takeoff!T25</f>
        <v>13.235366392151196</v>
      </c>
      <c r="F25" s="49">
        <f t="shared" ca="1" si="0"/>
        <v>0.94773390607603802</v>
      </c>
      <c r="G25" s="19">
        <f ca="1">MAX(Motor!$B$7,K25*Motor!$B$7)</f>
        <v>10603.337408446694</v>
      </c>
      <c r="H25" s="10">
        <f ca="1">E25/(G25/60*D25)*Propulsão!J25</f>
        <v>0.23702374905485035</v>
      </c>
      <c r="I25" s="13">
        <f ca="1">F25*Energy!$B$6*Motor!$H$6</f>
        <v>10.669114447650998</v>
      </c>
      <c r="J25" s="51">
        <f ca="1">IF(ISERROR(U25),Motor!$B$10,MIN(Motor!$B$10,U25))</f>
        <v>47</v>
      </c>
      <c r="K25" s="20">
        <f ca="1">I25-Motor!$B$9*J25</f>
        <v>8.8361144476509974</v>
      </c>
      <c r="L25" s="14">
        <f ca="1">MAX(Motor!$B$8,J25-Motor!$B$8)</f>
        <v>44.7</v>
      </c>
      <c r="M25" s="14">
        <f t="shared" ca="1" si="3"/>
        <v>501.44837903959689</v>
      </c>
      <c r="N25" s="20">
        <f t="shared" ca="1" si="4"/>
        <v>394.97431580999961</v>
      </c>
      <c r="O25" s="1">
        <f t="shared" ca="1" si="5"/>
        <v>0.35571129541963481</v>
      </c>
      <c r="P25" s="10">
        <f t="shared" ca="1" si="6"/>
        <v>2.2206706412419303E-2</v>
      </c>
      <c r="Q25" s="10">
        <f ca="1">Propeller!$B$15+Propeller!$B$16*H25+Propeller!$B$17*H25^2+Propeller!$B$18*H25^3+Propeller!$B$19*H25^4+Propeller!$B$20*H25^5+Propeller!$B$21*H25^6</f>
        <v>2.2206755521624259E-2</v>
      </c>
      <c r="R25" s="10">
        <f ca="1">(Propeller!$B$23+Propeller!$B$24*H25+Propeller!$B$25*H25^2+Propeller!$B$26*H25^3+Propeller!$B$27*H25^4+Propeller!$B$28*H25^5+Propeller!$B$29*H25^6)*Propulsão!M25</f>
        <v>0.55965411384015451</v>
      </c>
      <c r="S25" s="19">
        <f t="shared" ca="1" si="7"/>
        <v>221.04900070426666</v>
      </c>
      <c r="T25" s="19"/>
      <c r="U25" s="14">
        <f ca="1">MAX(Motor!$B$8,J25+0.05*(Q25/P25-1)*J25)</f>
        <v>47.000005196926978</v>
      </c>
      <c r="V25" s="50" t="str">
        <f t="shared" ca="1" si="1"/>
        <v>OK</v>
      </c>
      <c r="W25" s="1">
        <f ca="1">IF(U25&gt;Motor!$B$10,F25+0.05*(Motor!$B$10/U25-1)*F25,MIN(1,$B$5))</f>
        <v>0.94773390083635356</v>
      </c>
      <c r="X25" s="50" t="str">
        <f t="shared" ca="1" si="2"/>
        <v>OK</v>
      </c>
      <c r="Y25" s="25">
        <f t="shared" ca="1" si="8"/>
        <v>0.78766695101592987</v>
      </c>
      <c r="Z25" s="36"/>
      <c r="AA25" s="36">
        <f t="shared" ca="1" si="9"/>
        <v>16.701388851263882</v>
      </c>
      <c r="AB25" s="36"/>
      <c r="AC25" s="38"/>
      <c r="AD25" s="41"/>
      <c r="AE25" s="40"/>
      <c r="AF25" s="38"/>
      <c r="AG25" s="40"/>
      <c r="AH25" s="40"/>
      <c r="AI25" s="36"/>
      <c r="AJ25" s="36"/>
      <c r="AK25" s="36"/>
      <c r="AL25" s="40"/>
      <c r="AM25" s="40"/>
      <c r="AN25" s="38"/>
      <c r="AO25" s="35"/>
      <c r="AP25" s="35"/>
      <c r="AQ25" s="35"/>
      <c r="AR25" s="35"/>
      <c r="AS25" s="35"/>
      <c r="AT25" s="35"/>
      <c r="AU25" s="35"/>
      <c r="AV25" s="35"/>
      <c r="AW25" s="35"/>
      <c r="AX25" s="35"/>
    </row>
    <row r="26" spans="2:50">
      <c r="B26" s="1">
        <f>Takeoff!F26</f>
        <v>1.2249994633486807</v>
      </c>
      <c r="D26" s="1">
        <f>Propeller!$B$8</f>
        <v>0.30479999999999996</v>
      </c>
      <c r="E26" s="20">
        <f ca="1">Takeoff!T26</f>
        <v>13.045219318895375</v>
      </c>
      <c r="F26" s="49">
        <f t="shared" ca="1" si="0"/>
        <v>0.94662344159923029</v>
      </c>
      <c r="G26" s="19">
        <f ca="1">MAX(Motor!$B$7,K26*Motor!$B$7)</f>
        <v>10588.336149870414</v>
      </c>
      <c r="H26" s="10">
        <f ca="1">E26/(G26/60*D26)*Propulsão!J26</f>
        <v>0.23394951039193124</v>
      </c>
      <c r="I26" s="13">
        <f ca="1">F26*Energy!$B$6*Motor!$H$6</f>
        <v>10.656613393803335</v>
      </c>
      <c r="J26" s="51">
        <f ca="1">IF(ISERROR(U26),Motor!$B$10,MIN(Motor!$B$10,U26))</f>
        <v>47</v>
      </c>
      <c r="K26" s="20">
        <f ca="1">I26-Motor!$B$9*J26</f>
        <v>8.8236133938033348</v>
      </c>
      <c r="L26" s="14">
        <f ca="1">MAX(Motor!$B$8,J26-Motor!$B$8)</f>
        <v>44.7</v>
      </c>
      <c r="M26" s="14">
        <f t="shared" ca="1" si="3"/>
        <v>500.86082950875675</v>
      </c>
      <c r="N26" s="20">
        <f t="shared" ca="1" si="4"/>
        <v>394.41551870300907</v>
      </c>
      <c r="O26" s="1">
        <f t="shared" ca="1" si="5"/>
        <v>0.3557112952133053</v>
      </c>
      <c r="P26" s="10">
        <f t="shared" ca="1" si="6"/>
        <v>2.2269674655119209E-2</v>
      </c>
      <c r="Q26" s="10">
        <f ca="1">Propeller!$B$15+Propeller!$B$16*H26+Propeller!$B$17*H26^2+Propeller!$B$18*H26^3+Propeller!$B$19*H26^4+Propeller!$B$20*H26^5+Propeller!$B$21*H26^6</f>
        <v>2.2269728142249309E-2</v>
      </c>
      <c r="R26" s="10">
        <f ca="1">(Propeller!$B$23+Propeller!$B$24*H26+Propeller!$B$25*H26^2+Propeller!$B$26*H26^3+Propeller!$B$27*H26^4+Propeller!$B$28*H26^5+Propeller!$B$29*H26^6)*Propulsão!M26</f>
        <v>0.55530822798981161</v>
      </c>
      <c r="S26" s="19">
        <f t="shared" ca="1" si="7"/>
        <v>219.02218278265036</v>
      </c>
      <c r="T26" s="19"/>
      <c r="U26" s="14">
        <f ca="1">MAX(Motor!$B$8,J26+0.05*(Q26/P26-1)*J26)</f>
        <v>47.000005644211591</v>
      </c>
      <c r="V26" s="50" t="str">
        <f t="shared" ca="1" si="1"/>
        <v>OK</v>
      </c>
      <c r="W26" s="1">
        <f ca="1">IF(U26&gt;Motor!$B$10,F26+0.05*(Motor!$B$10/U26-1)*F26,MIN(1,$B$5))</f>
        <v>0.946623435915249</v>
      </c>
      <c r="X26" s="50" t="str">
        <f t="shared" ca="1" si="2"/>
        <v>OK</v>
      </c>
      <c r="Y26" s="25">
        <f t="shared" ca="1" si="8"/>
        <v>0.78747527350032742</v>
      </c>
      <c r="Z26" s="36"/>
      <c r="AA26" s="36">
        <f t="shared" ca="1" si="9"/>
        <v>16.789459604209735</v>
      </c>
      <c r="AB26" s="36"/>
      <c r="AC26" s="38"/>
      <c r="AD26" s="41"/>
      <c r="AE26" s="40"/>
      <c r="AF26" s="38"/>
      <c r="AG26" s="40"/>
      <c r="AH26" s="40"/>
      <c r="AI26" s="36"/>
      <c r="AJ26" s="36"/>
      <c r="AK26" s="36"/>
      <c r="AL26" s="40"/>
      <c r="AM26" s="40"/>
      <c r="AN26" s="38"/>
      <c r="AO26" s="35"/>
      <c r="AP26" s="35"/>
      <c r="AQ26" s="35"/>
      <c r="AR26" s="35"/>
      <c r="AS26" s="35"/>
      <c r="AT26" s="35"/>
      <c r="AU26" s="35"/>
      <c r="AV26" s="35"/>
      <c r="AW26" s="35"/>
      <c r="AX26" s="35"/>
    </row>
    <row r="27" spans="2:50">
      <c r="B27" s="1">
        <f>Takeoff!F27</f>
        <v>1.2249994633486807</v>
      </c>
      <c r="D27" s="1">
        <f>Propeller!$B$8</f>
        <v>0.30479999999999996</v>
      </c>
      <c r="E27" s="20">
        <f ca="1">Takeoff!T27</f>
        <v>12.863499584985497</v>
      </c>
      <c r="F27" s="49">
        <f t="shared" ca="1" si="0"/>
        <v>0.94558728968269135</v>
      </c>
      <c r="G27" s="19">
        <f ca="1">MAX(Motor!$B$7,K27*Motor!$B$7)</f>
        <v>10574.338778571146</v>
      </c>
      <c r="H27" s="10">
        <f ca="1">E27/(G27/60*D27)*Propulsão!J27</f>
        <v>0.2309959645228101</v>
      </c>
      <c r="I27" s="13">
        <f ca="1">F27*Energy!$B$6*Motor!$H$6</f>
        <v>10.644948913602898</v>
      </c>
      <c r="J27" s="51">
        <f ca="1">IF(ISERROR(U27),Motor!$B$10,MIN(Motor!$B$10,U27))</f>
        <v>47</v>
      </c>
      <c r="K27" s="20">
        <f ca="1">I27-Motor!$B$9*J27</f>
        <v>8.8119489136028974</v>
      </c>
      <c r="L27" s="14">
        <f ca="1">MAX(Motor!$B$8,J27-Motor!$B$8)</f>
        <v>44.7</v>
      </c>
      <c r="M27" s="14">
        <f t="shared" ca="1" si="3"/>
        <v>500.31259893933617</v>
      </c>
      <c r="N27" s="20">
        <f t="shared" ca="1" si="4"/>
        <v>393.89411643804954</v>
      </c>
      <c r="O27" s="1">
        <f t="shared" ca="1" si="5"/>
        <v>0.35571129504364812</v>
      </c>
      <c r="P27" s="10">
        <f t="shared" ca="1" si="6"/>
        <v>2.2328670903806698E-2</v>
      </c>
      <c r="Q27" s="10">
        <f ca="1">Propeller!$B$15+Propeller!$B$16*H27+Propeller!$B$17*H27^2+Propeller!$B$18*H27^3+Propeller!$B$19*H27^4+Propeller!$B$20*H27^5+Propeller!$B$21*H27^6</f>
        <v>2.2328728024376847E-2</v>
      </c>
      <c r="R27" s="10">
        <f ca="1">(Propeller!$B$23+Propeller!$B$24*H27+Propeller!$B$25*H27^2+Propeller!$B$26*H27^3+Propeller!$B$27*H27^4+Propeller!$B$28*H27^5+Propeller!$B$29*H27^6)*Propulsão!M27</f>
        <v>0.55105319871946024</v>
      </c>
      <c r="S27" s="19">
        <f t="shared" ca="1" si="7"/>
        <v>217.05661281996271</v>
      </c>
      <c r="T27" s="19"/>
      <c r="U27" s="14">
        <f ca="1">MAX(Motor!$B$8,J27+0.05*(Q27/P27-1)*J27)</f>
        <v>47.000006011703086</v>
      </c>
      <c r="V27" s="50" t="str">
        <f t="shared" ca="1" si="1"/>
        <v>OK</v>
      </c>
      <c r="W27" s="1">
        <f ca="1">IF(U27&gt;Motor!$B$10,F27+0.05*(Motor!$B$10/U27-1)*F27,MIN(1,$B$5))</f>
        <v>0.9455872836352559</v>
      </c>
      <c r="X27" s="50" t="str">
        <f t="shared" ca="1" si="2"/>
        <v>OK</v>
      </c>
      <c r="Y27" s="25">
        <f t="shared" ca="1" si="8"/>
        <v>0.78729601707633579</v>
      </c>
      <c r="Z27" s="36"/>
      <c r="AA27" s="36">
        <f t="shared" ca="1" si="9"/>
        <v>16.873838366140657</v>
      </c>
      <c r="AB27" s="36"/>
      <c r="AC27" s="38"/>
      <c r="AD27" s="41"/>
      <c r="AE27" s="40"/>
      <c r="AF27" s="38"/>
      <c r="AG27" s="40"/>
      <c r="AH27" s="40"/>
      <c r="AI27" s="36"/>
      <c r="AJ27" s="36"/>
      <c r="AK27" s="36"/>
      <c r="AL27" s="40"/>
      <c r="AM27" s="40"/>
      <c r="AN27" s="38"/>
      <c r="AO27" s="35"/>
      <c r="AP27" s="35"/>
      <c r="AQ27" s="35"/>
      <c r="AR27" s="35"/>
      <c r="AS27" s="35"/>
      <c r="AT27" s="35"/>
      <c r="AU27" s="35"/>
      <c r="AV27" s="35"/>
      <c r="AW27" s="35"/>
      <c r="AX27" s="35"/>
    </row>
    <row r="28" spans="2:50">
      <c r="B28" s="1">
        <f>Takeoff!F28</f>
        <v>1.2249994633486807</v>
      </c>
      <c r="D28" s="1">
        <f>Propeller!$B$8</f>
        <v>0.30479999999999996</v>
      </c>
      <c r="E28" s="20">
        <f ca="1">Takeoff!T28</f>
        <v>12.658704743682229</v>
      </c>
      <c r="F28" s="49">
        <f t="shared" ca="1" si="0"/>
        <v>0.94444893852906298</v>
      </c>
      <c r="G28" s="19">
        <f ca="1">MAX(Motor!$B$7,K28*Motor!$B$7)</f>
        <v>10558.960800930598</v>
      </c>
      <c r="H28" s="10">
        <f ca="1">E28/(G28/60*D28)*Propulsão!J28</f>
        <v>0.22764943087184086</v>
      </c>
      <c r="I28" s="13">
        <f ca="1">F28*Energy!$B$6*Motor!$H$6</f>
        <v>10.632133925490928</v>
      </c>
      <c r="J28" s="51">
        <f ca="1">IF(ISERROR(U28),Motor!$B$10,MIN(Motor!$B$10,U28))</f>
        <v>47</v>
      </c>
      <c r="K28" s="20">
        <f ca="1">I28-Motor!$B$9*J28</f>
        <v>8.7991339254909278</v>
      </c>
      <c r="L28" s="14">
        <f ca="1">MAX(Motor!$B$8,J28-Motor!$B$8)</f>
        <v>44.7</v>
      </c>
      <c r="M28" s="14">
        <f t="shared" ca="1" si="3"/>
        <v>499.71029449807361</v>
      </c>
      <c r="N28" s="20">
        <f t="shared" ca="1" si="4"/>
        <v>393.32128646944449</v>
      </c>
      <c r="O28" s="1">
        <f t="shared" ca="1" si="5"/>
        <v>0.3557112947669534</v>
      </c>
      <c r="P28" s="10">
        <f t="shared" ca="1" si="6"/>
        <v>2.2393756807011594E-2</v>
      </c>
      <c r="Q28" s="10">
        <f ca="1">Propeller!$B$15+Propeller!$B$16*H28+Propeller!$B$17*H28^2+Propeller!$B$18*H28^3+Propeller!$B$19*H28^4+Propeller!$B$20*H28^5+Propeller!$B$21*H28^6</f>
        <v>2.2393819809120155E-2</v>
      </c>
      <c r="R28" s="10">
        <f ca="1">(Propeller!$B$23+Propeller!$B$24*H28+Propeller!$B$25*H28^2+Propeller!$B$26*H28^3+Propeller!$B$27*H28^4+Propeller!$B$28*H28^5+Propeller!$B$29*H28^6)*Propulsão!M28</f>
        <v>0.54613730583303732</v>
      </c>
      <c r="S28" s="19">
        <f t="shared" ca="1" si="7"/>
        <v>214.80742771920669</v>
      </c>
      <c r="T28" s="19"/>
      <c r="U28" s="14">
        <f ca="1">MAX(Motor!$B$8,J28+0.05*(Q28/P28-1)*J28)</f>
        <v>47.000006611438913</v>
      </c>
      <c r="V28" s="50" t="str">
        <f t="shared" ca="1" si="1"/>
        <v>OK</v>
      </c>
      <c r="W28" s="1">
        <f ca="1">IF(U28&gt;Motor!$B$10,F28+0.05*(Motor!$B$10/U28-1)*F28,MIN(1,$B$5))</f>
        <v>0.94444893188633361</v>
      </c>
      <c r="X28" s="50" t="str">
        <f t="shared" ca="1" si="2"/>
        <v>OK</v>
      </c>
      <c r="Y28" s="25">
        <f t="shared" ca="1" si="8"/>
        <v>0.78709862654422613</v>
      </c>
      <c r="Z28" s="36"/>
      <c r="AA28" s="36">
        <f t="shared" ca="1" si="9"/>
        <v>16.969147481413046</v>
      </c>
      <c r="AB28" s="36"/>
      <c r="AC28" s="38"/>
      <c r="AD28" s="41"/>
      <c r="AE28" s="40"/>
      <c r="AF28" s="38"/>
      <c r="AG28" s="40"/>
      <c r="AH28" s="40"/>
      <c r="AI28" s="36"/>
      <c r="AJ28" s="36"/>
      <c r="AK28" s="36"/>
      <c r="AL28" s="40"/>
      <c r="AM28" s="40"/>
      <c r="AN28" s="38"/>
      <c r="AO28" s="35"/>
      <c r="AP28" s="35"/>
      <c r="AQ28" s="35"/>
      <c r="AR28" s="35"/>
      <c r="AS28" s="35"/>
      <c r="AT28" s="35"/>
      <c r="AU28" s="35"/>
      <c r="AV28" s="35"/>
      <c r="AW28" s="35"/>
      <c r="AX28" s="35"/>
    </row>
    <row r="29" spans="2:50">
      <c r="B29" s="1">
        <f>Takeoff!F29</f>
        <v>1.2249994633486807</v>
      </c>
      <c r="D29" s="1">
        <f>Propeller!$B$8</f>
        <v>0.30479999999999996</v>
      </c>
      <c r="E29" s="20">
        <f ca="1">Takeoff!T29</f>
        <v>12.409597035986524</v>
      </c>
      <c r="F29" s="49">
        <f t="shared" ca="1" si="0"/>
        <v>0.94310612930650506</v>
      </c>
      <c r="G29" s="19">
        <f ca="1">MAX(Motor!$B$7,K29*Motor!$B$7)</f>
        <v>10540.820805794274</v>
      </c>
      <c r="H29" s="10">
        <f ca="1">E29/(G29/60*D29)*Propulsão!J29</f>
        <v>0.22355362944069238</v>
      </c>
      <c r="I29" s="13">
        <f ca="1">F29*Energy!$B$6*Motor!$H$6</f>
        <v>10.617017250667983</v>
      </c>
      <c r="J29" s="51">
        <f ca="1">IF(ISERROR(U29),Motor!$B$10,MIN(Motor!$B$10,U29))</f>
        <v>47</v>
      </c>
      <c r="K29" s="20">
        <f ca="1">I29-Motor!$B$9*J29</f>
        <v>8.7840172506679828</v>
      </c>
      <c r="L29" s="14">
        <f ca="1">MAX(Motor!$B$8,J29-Motor!$B$8)</f>
        <v>44.7</v>
      </c>
      <c r="M29" s="14">
        <f t="shared" ca="1" si="3"/>
        <v>498.99981078139518</v>
      </c>
      <c r="N29" s="20">
        <f t="shared" ca="1" si="4"/>
        <v>392.64557110485885</v>
      </c>
      <c r="O29" s="1">
        <f t="shared" ca="1" si="5"/>
        <v>0.35571129426729509</v>
      </c>
      <c r="P29" s="10">
        <f t="shared" ca="1" si="6"/>
        <v>2.24708991891245E-2</v>
      </c>
      <c r="Q29" s="10">
        <f ca="1">Propeller!$B$15+Propeller!$B$16*H29+Propeller!$B$17*H29^2+Propeller!$B$18*H29^3+Propeller!$B$19*H29^4+Propeller!$B$20*H29^5+Propeller!$B$21*H29^6</f>
        <v>2.2470972767811976E-2</v>
      </c>
      <c r="R29" s="10">
        <f ca="1">(Propeller!$B$23+Propeller!$B$24*H29+Propeller!$B$25*H29^2+Propeller!$B$26*H29^3+Propeller!$B$27*H29^4+Propeller!$B$28*H29^5+Propeller!$B$29*H29^6)*Propulsão!M29</f>
        <v>0.53998356263039482</v>
      </c>
      <c r="S29" s="19">
        <f t="shared" ca="1" si="7"/>
        <v>212.0221543362477</v>
      </c>
      <c r="T29" s="19"/>
      <c r="U29" s="14">
        <f ca="1">MAX(Motor!$B$8,J29+0.05*(Q29/P29-1)*J29)</f>
        <v>47.0000076948374</v>
      </c>
      <c r="V29" s="50" t="str">
        <f t="shared" ca="1" si="1"/>
        <v>OK</v>
      </c>
      <c r="W29" s="1">
        <f ca="1">IF(U29&gt;Motor!$B$10,F29+0.05*(Motor!$B$10/U29-1)*F29,MIN(1,$B$5))</f>
        <v>0.94310612158624219</v>
      </c>
      <c r="X29" s="50" t="str">
        <f t="shared" ca="1" si="2"/>
        <v>OK</v>
      </c>
      <c r="Y29" s="25">
        <f t="shared" ca="1" si="8"/>
        <v>0.78686517032943593</v>
      </c>
      <c r="Z29" s="36"/>
      <c r="AA29" s="36">
        <f t="shared" ca="1" si="9"/>
        <v>17.085337559423227</v>
      </c>
      <c r="AB29" s="36"/>
      <c r="AC29" s="38"/>
      <c r="AD29" s="41"/>
      <c r="AE29" s="40"/>
      <c r="AF29" s="38"/>
      <c r="AG29" s="40"/>
      <c r="AH29" s="40"/>
      <c r="AI29" s="36"/>
      <c r="AJ29" s="36"/>
      <c r="AK29" s="36"/>
      <c r="AL29" s="40"/>
      <c r="AM29" s="40"/>
      <c r="AN29" s="38"/>
      <c r="AO29" s="35"/>
      <c r="AP29" s="35"/>
      <c r="AQ29" s="35"/>
      <c r="AR29" s="35"/>
      <c r="AS29" s="35"/>
      <c r="AT29" s="35"/>
      <c r="AU29" s="35"/>
      <c r="AV29" s="35"/>
      <c r="AW29" s="35"/>
      <c r="AX29" s="35"/>
    </row>
    <row r="30" spans="2:50">
      <c r="B30" s="1">
        <f>Takeoff!F30</f>
        <v>1.2249994633486807</v>
      </c>
      <c r="D30" s="1">
        <f>Propeller!$B$8</f>
        <v>0.30479999999999996</v>
      </c>
      <c r="E30" s="20">
        <f ca="1">Takeoff!T30</f>
        <v>12.177080745869123</v>
      </c>
      <c r="F30" s="49">
        <f t="shared" ca="1" si="0"/>
        <v>0.94189400719880911</v>
      </c>
      <c r="G30" s="19">
        <f ca="1">MAX(Motor!$B$7,K30*Motor!$B$7)</f>
        <v>10524.446261629</v>
      </c>
      <c r="H30" s="10">
        <f ca="1">E30/(G30/60*D30)*Propulsão!J30</f>
        <v>0.2197062477647182</v>
      </c>
      <c r="I30" s="13">
        <f ca="1">F30*Energy!$B$6*Motor!$H$6</f>
        <v>10.603371786040594</v>
      </c>
      <c r="J30" s="51">
        <f ca="1">IF(ISERROR(U30),Motor!$B$10,MIN(Motor!$B$10,U30))</f>
        <v>47</v>
      </c>
      <c r="K30" s="20">
        <f ca="1">I30-Motor!$B$9*J30</f>
        <v>8.7703717860405934</v>
      </c>
      <c r="L30" s="14">
        <f ca="1">MAX(Motor!$B$8,J30-Motor!$B$8)</f>
        <v>44.7</v>
      </c>
      <c r="M30" s="14">
        <f t="shared" ca="1" si="3"/>
        <v>498.35847394390788</v>
      </c>
      <c r="N30" s="20">
        <f t="shared" ca="1" si="4"/>
        <v>392.03561883601458</v>
      </c>
      <c r="O30" s="1">
        <f t="shared" ca="1" si="5"/>
        <v>0.35571129380930094</v>
      </c>
      <c r="P30" s="10">
        <f t="shared" ca="1" si="6"/>
        <v>2.2540876612901151E-2</v>
      </c>
      <c r="Q30" s="10">
        <f ca="1">Propeller!$B$15+Propeller!$B$16*H30+Propeller!$B$17*H30^2+Propeller!$B$18*H30^3+Propeller!$B$19*H30^4+Propeller!$B$20*H30^5+Propeller!$B$21*H30^6</f>
        <v>2.2540959941401834E-2</v>
      </c>
      <c r="R30" s="10">
        <f ca="1">(Propeller!$B$23+Propeller!$B$24*H30+Propeller!$B$25*H30^2+Propeller!$B$26*H30^3+Propeller!$B$27*H30^4+Propeller!$B$28*H30^5+Propeller!$B$29*H30^6)*Propulsão!M30</f>
        <v>0.5340653132598715</v>
      </c>
      <c r="S30" s="19">
        <f t="shared" ca="1" si="7"/>
        <v>209.3726255826837</v>
      </c>
      <c r="T30" s="19"/>
      <c r="U30" s="14">
        <f ca="1">MAX(Motor!$B$8,J30+0.05*(Q30/P30-1)*J30)</f>
        <v>47.000008687416198</v>
      </c>
      <c r="V30" s="50" t="str">
        <f t="shared" ca="1" si="1"/>
        <v>OK</v>
      </c>
      <c r="W30" s="1">
        <f ca="1">IF(U30&gt;Motor!$B$10,F30+0.05*(Motor!$B$10/U30-1)*F30,MIN(1,$B$5))</f>
        <v>0.94189399849389022</v>
      </c>
      <c r="X30" s="50" t="str">
        <f t="shared" ca="1" si="2"/>
        <v>OK</v>
      </c>
      <c r="Y30" s="25">
        <f t="shared" ca="1" si="8"/>
        <v>0.7866538632994925</v>
      </c>
      <c r="Z30" s="36"/>
      <c r="AA30" s="36">
        <f t="shared" ca="1" si="9"/>
        <v>17.193991725291792</v>
      </c>
      <c r="AB30" s="36"/>
      <c r="AC30" s="38"/>
      <c r="AD30" s="41"/>
      <c r="AE30" s="40"/>
      <c r="AF30" s="38"/>
      <c r="AG30" s="40"/>
      <c r="AH30" s="40"/>
      <c r="AI30" s="36"/>
      <c r="AJ30" s="36"/>
      <c r="AK30" s="36"/>
      <c r="AL30" s="40"/>
      <c r="AM30" s="40"/>
      <c r="AN30" s="38"/>
      <c r="AO30" s="35"/>
      <c r="AP30" s="35"/>
      <c r="AQ30" s="35"/>
      <c r="AR30" s="35"/>
      <c r="AS30" s="35"/>
      <c r="AT30" s="35"/>
      <c r="AU30" s="35"/>
      <c r="AV30" s="35"/>
      <c r="AW30" s="35"/>
      <c r="AX30" s="35"/>
    </row>
    <row r="31" spans="2:50">
      <c r="B31" s="1">
        <f>Takeoff!F31</f>
        <v>1.2249994633486807</v>
      </c>
      <c r="D31" s="1">
        <f>Propeller!$B$8</f>
        <v>0.30479999999999996</v>
      </c>
      <c r="E31" s="20">
        <f ca="1">Takeoff!T31</f>
        <v>11.959376547462874</v>
      </c>
      <c r="F31" s="49">
        <f t="shared" ca="1" si="0"/>
        <v>0.94079505504636451</v>
      </c>
      <c r="G31" s="19">
        <f ca="1">MAX(Motor!$B$7,K31*Motor!$B$7)</f>
        <v>10509.600529165924</v>
      </c>
      <c r="H31" s="10">
        <f ca="1">E31/(G31/60*D31)*Propulsão!J31</f>
        <v>0.21608310285702118</v>
      </c>
      <c r="I31" s="13">
        <f ca="1">F31*Energy!$B$6*Motor!$H$6</f>
        <v>10.59100033218445</v>
      </c>
      <c r="J31" s="51">
        <f ca="1">IF(ISERROR(U31),Motor!$B$10,MIN(Motor!$B$10,U31))</f>
        <v>47</v>
      </c>
      <c r="K31" s="20">
        <f ca="1">I31-Motor!$B$9*J31</f>
        <v>8.7580003321844497</v>
      </c>
      <c r="L31" s="14">
        <f ca="1">MAX(Motor!$B$8,J31-Motor!$B$8)</f>
        <v>44.7</v>
      </c>
      <c r="M31" s="14">
        <f t="shared" ca="1" si="3"/>
        <v>497.77701561266917</v>
      </c>
      <c r="N31" s="20">
        <f t="shared" ca="1" si="4"/>
        <v>391.48261484864491</v>
      </c>
      <c r="O31" s="1">
        <f t="shared" ca="1" si="5"/>
        <v>0.35571129339193236</v>
      </c>
      <c r="P31" s="10">
        <f t="shared" ca="1" si="6"/>
        <v>2.2604603494736804E-2</v>
      </c>
      <c r="Q31" s="10">
        <f ca="1">Propeller!$B$15+Propeller!$B$16*H31+Propeller!$B$17*H31^2+Propeller!$B$18*H31^3+Propeller!$B$19*H31^4+Propeller!$B$20*H31^5+Propeller!$B$21*H31^6</f>
        <v>2.2604695755566402E-2</v>
      </c>
      <c r="R31" s="10">
        <f ca="1">(Propeller!$B$23+Propeller!$B$24*H31+Propeller!$B$25*H31^2+Propeller!$B$26*H31^3+Propeller!$B$27*H31^4+Propeller!$B$28*H31^5+Propeller!$B$29*H31^6)*Propulsão!M31</f>
        <v>0.52836996673116188</v>
      </c>
      <c r="S31" s="19">
        <f t="shared" ca="1" si="7"/>
        <v>206.84765618340677</v>
      </c>
      <c r="T31" s="19"/>
      <c r="U31" s="14">
        <f ca="1">MAX(Motor!$B$8,J31+0.05*(Q31/P31-1)*J31)</f>
        <v>47.000009591539602</v>
      </c>
      <c r="V31" s="50" t="str">
        <f t="shared" ca="1" si="1"/>
        <v>OK</v>
      </c>
      <c r="W31" s="1">
        <f ca="1">IF(U31&gt;Motor!$B$10,F31+0.05*(Motor!$B$10/U31-1)*F31,MIN(1,$B$5))</f>
        <v>0.94079504544671433</v>
      </c>
      <c r="X31" s="50" t="str">
        <f t="shared" ca="1" si="2"/>
        <v>OK</v>
      </c>
      <c r="Y31" s="25">
        <f t="shared" ca="1" si="8"/>
        <v>0.7864618143664267</v>
      </c>
      <c r="Z31" s="36"/>
      <c r="AA31" s="36">
        <f t="shared" ca="1" si="9"/>
        <v>17.295856131170027</v>
      </c>
      <c r="AB31" s="36"/>
      <c r="AC31" s="38"/>
      <c r="AD31" s="41"/>
      <c r="AE31" s="40"/>
      <c r="AF31" s="38"/>
      <c r="AG31" s="40"/>
      <c r="AH31" s="40"/>
      <c r="AI31" s="36"/>
      <c r="AJ31" s="36"/>
      <c r="AK31" s="36"/>
      <c r="AL31" s="40"/>
      <c r="AM31" s="40"/>
      <c r="AN31" s="38"/>
      <c r="AO31" s="35"/>
      <c r="AP31" s="35"/>
      <c r="AQ31" s="35"/>
      <c r="AR31" s="35"/>
      <c r="AS31" s="35"/>
      <c r="AT31" s="35"/>
      <c r="AU31" s="35"/>
      <c r="AV31" s="35"/>
      <c r="AW31" s="35"/>
      <c r="AX31" s="35"/>
    </row>
    <row r="32" spans="2:50">
      <c r="B32" s="1">
        <f>Takeoff!F32</f>
        <v>1.2249994633486807</v>
      </c>
      <c r="D32" s="1">
        <f>Propeller!$B$8</f>
        <v>0.30479999999999996</v>
      </c>
      <c r="E32" s="20">
        <f ca="1">Takeoff!T32</f>
        <v>11.754972136958465</v>
      </c>
      <c r="F32" s="49">
        <f t="shared" ca="1" si="0"/>
        <v>0.93979474926013695</v>
      </c>
      <c r="G32" s="19">
        <f ca="1">MAX(Motor!$B$7,K32*Motor!$B$7)</f>
        <v>10496.087409496749</v>
      </c>
      <c r="H32" s="10">
        <f ca="1">E32/(G32/60*D32)*Propulsão!J32</f>
        <v>0.21266334538906334</v>
      </c>
      <c r="I32" s="13">
        <f ca="1">F32*Energy!$B$6*Motor!$H$6</f>
        <v>10.579739389795993</v>
      </c>
      <c r="J32" s="51">
        <f ca="1">IF(ISERROR(U32),Motor!$B$10,MIN(Motor!$B$10,U32))</f>
        <v>47</v>
      </c>
      <c r="K32" s="20">
        <f ca="1">I32-Motor!$B$9*J32</f>
        <v>8.7467393897959926</v>
      </c>
      <c r="L32" s="14">
        <f ca="1">MAX(Motor!$B$8,J32-Motor!$B$8)</f>
        <v>44.7</v>
      </c>
      <c r="M32" s="14">
        <f t="shared" ca="1" si="3"/>
        <v>497.24775132041168</v>
      </c>
      <c r="N32" s="20">
        <f t="shared" ca="1" si="4"/>
        <v>390.97925072388091</v>
      </c>
      <c r="O32" s="1">
        <f t="shared" ca="1" si="5"/>
        <v>0.35571129300677962</v>
      </c>
      <c r="P32" s="10">
        <f t="shared" ca="1" si="6"/>
        <v>2.2662845237933694E-2</v>
      </c>
      <c r="Q32" s="10">
        <f ca="1">Propeller!$B$15+Propeller!$B$16*H32+Propeller!$B$17*H32^2+Propeller!$B$18*H32^3+Propeller!$B$19*H32^4+Propeller!$B$20*H32^5+Propeller!$B$21*H32^6</f>
        <v>2.2662945779458342E-2</v>
      </c>
      <c r="R32" s="10">
        <f ca="1">(Propeller!$B$23+Propeller!$B$24*H32+Propeller!$B$25*H32^2+Propeller!$B$26*H32^3+Propeller!$B$27*H32^4+Propeller!$B$28*H32^5+Propeller!$B$29*H32^6)*Propulsão!M32</f>
        <v>0.52288583045818837</v>
      </c>
      <c r="S32" s="19">
        <f t="shared" ca="1" si="7"/>
        <v>204.43751020667671</v>
      </c>
      <c r="T32" s="19"/>
      <c r="U32" s="14">
        <f ca="1">MAX(Motor!$B$8,J32+0.05*(Q32/P32-1)*J32)</f>
        <v>47.000010425548091</v>
      </c>
      <c r="V32" s="50" t="str">
        <f t="shared" ca="1" si="1"/>
        <v>OK</v>
      </c>
      <c r="W32" s="1">
        <f ca="1">IF(U32&gt;Motor!$B$10,F32+0.05*(Motor!$B$10/U32-1)*F32,MIN(1,$B$5))</f>
        <v>0.93979473883686759</v>
      </c>
      <c r="X32" s="50" t="str">
        <f t="shared" ca="1" si="2"/>
        <v>OK</v>
      </c>
      <c r="Y32" s="25">
        <f t="shared" ca="1" si="8"/>
        <v>0.78628661403829159</v>
      </c>
      <c r="Z32" s="36"/>
      <c r="AA32" s="36">
        <f t="shared" ca="1" si="9"/>
        <v>17.391577608585791</v>
      </c>
      <c r="AB32" s="36"/>
      <c r="AC32" s="38"/>
      <c r="AD32" s="41"/>
      <c r="AE32" s="40"/>
      <c r="AF32" s="38"/>
      <c r="AG32" s="40"/>
      <c r="AH32" s="40"/>
      <c r="AI32" s="36"/>
      <c r="AJ32" s="36"/>
      <c r="AK32" s="36"/>
      <c r="AL32" s="40"/>
      <c r="AM32" s="40"/>
      <c r="AN32" s="38"/>
      <c r="AO32" s="35"/>
      <c r="AP32" s="35"/>
      <c r="AQ32" s="35"/>
      <c r="AR32" s="35"/>
      <c r="AS32" s="35"/>
      <c r="AT32" s="35"/>
      <c r="AU32" s="35"/>
      <c r="AV32" s="35"/>
      <c r="AW32" s="35"/>
      <c r="AX32" s="35"/>
    </row>
    <row r="33" spans="2:50">
      <c r="B33" s="1">
        <f>Takeoff!F33</f>
        <v>1.2249994633486807</v>
      </c>
      <c r="D33" s="1">
        <f>Propeller!$B$8</f>
        <v>0.30479999999999996</v>
      </c>
      <c r="E33" s="20">
        <f ca="1">Takeoff!T33</f>
        <v>11.562571144367805</v>
      </c>
      <c r="F33" s="49">
        <f t="shared" ca="1" si="0"/>
        <v>0.93888090090810883</v>
      </c>
      <c r="G33" s="19">
        <f ca="1">MAX(Motor!$B$7,K33*Motor!$B$7)</f>
        <v>10483.742239163499</v>
      </c>
      <c r="H33" s="10">
        <f ca="1">E33/(G33/60*D33)*Propulsão!J33</f>
        <v>0.20942887490163373</v>
      </c>
      <c r="I33" s="13">
        <f ca="1">F33*Energy!$B$6*Motor!$H$6</f>
        <v>10.569451741973037</v>
      </c>
      <c r="J33" s="51">
        <f ca="1">IF(ISERROR(U33),Motor!$B$10,MIN(Motor!$B$10,U33))</f>
        <v>47</v>
      </c>
      <c r="K33" s="20">
        <f ca="1">I33-Motor!$B$9*J33</f>
        <v>8.7364517419730365</v>
      </c>
      <c r="L33" s="14">
        <f ca="1">MAX(Motor!$B$8,J33-Motor!$B$8)</f>
        <v>44.7</v>
      </c>
      <c r="M33" s="14">
        <f t="shared" ca="1" si="3"/>
        <v>496.76423187273275</v>
      </c>
      <c r="N33" s="20">
        <f t="shared" ca="1" si="4"/>
        <v>390.51939286619478</v>
      </c>
      <c r="O33" s="1">
        <f t="shared" ca="1" si="5"/>
        <v>0.35571129276177221</v>
      </c>
      <c r="P33" s="10">
        <f t="shared" ca="1" si="6"/>
        <v>2.271625008561913E-2</v>
      </c>
      <c r="Q33" s="10">
        <f ca="1">Propeller!$B$15+Propeller!$B$16*H33+Propeller!$B$17*H33^2+Propeller!$B$18*H33^3+Propeller!$B$19*H33^4+Propeller!$B$20*H33^5+Propeller!$B$21*H33^6</f>
        <v>2.2716355984936432E-2</v>
      </c>
      <c r="R33" s="10">
        <f ca="1">(Propeller!$B$23+Propeller!$B$24*H33+Propeller!$B$25*H33^2+Propeller!$B$26*H33^3+Propeller!$B$27*H33^4+Propeller!$B$28*H33^5+Propeller!$B$29*H33^6)*Propulsão!M33</f>
        <v>0.51760203501132451</v>
      </c>
      <c r="S33" s="19">
        <f t="shared" ca="1" si="7"/>
        <v>202.13363245892936</v>
      </c>
      <c r="T33" s="19"/>
      <c r="U33" s="14">
        <f ca="1">MAX(Motor!$B$8,J33+0.05*(Q33/P33-1)*J33)</f>
        <v>47.000010955302692</v>
      </c>
      <c r="V33" s="50" t="str">
        <f t="shared" ca="1" si="1"/>
        <v>OK</v>
      </c>
      <c r="W33" s="1">
        <f ca="1">IF(U33&gt;Motor!$B$10,F33+0.05*(Motor!$B$10/U33-1)*F33,MIN(1,$B$5))</f>
        <v>0.93888088996585128</v>
      </c>
      <c r="X33" s="50" t="str">
        <f t="shared" ca="1" si="2"/>
        <v>OK</v>
      </c>
      <c r="Y33" s="25">
        <f t="shared" ca="1" si="8"/>
        <v>0.78612623013132499</v>
      </c>
      <c r="Z33" s="36"/>
      <c r="AA33" s="36">
        <f t="shared" ca="1" si="9"/>
        <v>17.481720106638203</v>
      </c>
      <c r="AB33" s="36"/>
      <c r="AC33" s="38"/>
      <c r="AD33" s="41"/>
      <c r="AE33" s="40"/>
      <c r="AF33" s="38"/>
      <c r="AG33" s="40"/>
      <c r="AH33" s="40"/>
      <c r="AI33" s="36"/>
      <c r="AJ33" s="36"/>
      <c r="AK33" s="36"/>
      <c r="AL33" s="40"/>
      <c r="AM33" s="40"/>
      <c r="AN33" s="38"/>
      <c r="AO33" s="35"/>
      <c r="AP33" s="35"/>
      <c r="AQ33" s="35"/>
      <c r="AR33" s="35"/>
      <c r="AS33" s="35"/>
      <c r="AT33" s="35"/>
      <c r="AU33" s="35"/>
      <c r="AV33" s="35"/>
      <c r="AW33" s="35"/>
      <c r="AX33" s="35"/>
    </row>
    <row r="34" spans="2:50">
      <c r="B34" s="1">
        <f>Takeoff!F34</f>
        <v>1.2249994633486807</v>
      </c>
      <c r="D34" s="1">
        <f>Propeller!$B$8</f>
        <v>0.30479999999999996</v>
      </c>
      <c r="E34" s="20">
        <f ca="1">Takeoff!T34</f>
        <v>11.381001633492176</v>
      </c>
      <c r="F34" s="49">
        <f t="shared" ca="1" si="0"/>
        <v>0.93804305647159292</v>
      </c>
      <c r="G34" s="19">
        <f ca="1">MAX(Motor!$B$7,K34*Motor!$B$7)</f>
        <v>10472.42380456156</v>
      </c>
      <c r="H34" s="10">
        <f ca="1">E34/(G34/60*D34)*Propulsão!J34</f>
        <v>0.20636296191521072</v>
      </c>
      <c r="I34" s="13">
        <f ca="1">F34*Energy!$B$6*Motor!$H$6</f>
        <v>10.560019708228959</v>
      </c>
      <c r="J34" s="51">
        <f ca="1">IF(ISERROR(U34),Motor!$B$10,MIN(Motor!$B$10,U34))</f>
        <v>47</v>
      </c>
      <c r="K34" s="20">
        <f ca="1">I34-Motor!$B$9*J34</f>
        <v>8.7270197082289585</v>
      </c>
      <c r="L34" s="14">
        <f ca="1">MAX(Motor!$B$8,J34-Motor!$B$8)</f>
        <v>44.7</v>
      </c>
      <c r="M34" s="14">
        <f t="shared" ca="1" si="3"/>
        <v>496.32092628676105</v>
      </c>
      <c r="N34" s="20">
        <f t="shared" ca="1" si="4"/>
        <v>390.09778095783446</v>
      </c>
      <c r="O34" s="1">
        <f t="shared" ca="1" si="5"/>
        <v>0.3557112925562208</v>
      </c>
      <c r="P34" s="10">
        <f t="shared" ca="1" si="6"/>
        <v>2.2765379354730452E-2</v>
      </c>
      <c r="Q34" s="10">
        <f ca="1">Propeller!$B$15+Propeller!$B$16*H34+Propeller!$B$17*H34^2+Propeller!$B$18*H34^3+Propeller!$B$19*H34^4+Propeller!$B$20*H34^5+Propeller!$B$21*H34^6</f>
        <v>2.2765489785517866E-2</v>
      </c>
      <c r="R34" s="10">
        <f ca="1">(Propeller!$B$23+Propeller!$B$24*H34+Propeller!$B$25*H34^2+Propeller!$B$26*H34^3+Propeller!$B$27*H34^4+Propeller!$B$28*H34^5+Propeller!$B$29*H34^6)*Propulsão!M34</f>
        <v>0.51250693085585197</v>
      </c>
      <c r="S34" s="19">
        <f t="shared" ca="1" si="7"/>
        <v>199.92781645237815</v>
      </c>
      <c r="T34" s="19"/>
      <c r="U34" s="14">
        <f ca="1">MAX(Motor!$B$8,J34+0.05*(Q34/P34-1)*J34)</f>
        <v>47.000011399430093</v>
      </c>
      <c r="V34" s="50" t="str">
        <f t="shared" ca="1" si="1"/>
        <v>OK</v>
      </c>
      <c r="W34" s="1">
        <f ca="1">IF(U34&gt;Motor!$B$10,F34+0.05*(Motor!$B$10/U34-1)*F34,MIN(1,$B$5))</f>
        <v>0.93804304509589753</v>
      </c>
      <c r="X34" s="50" t="str">
        <f t="shared" ca="1" si="2"/>
        <v>OK</v>
      </c>
      <c r="Y34" s="25">
        <f t="shared" ca="1" si="8"/>
        <v>0.78597891061406977</v>
      </c>
      <c r="Z34" s="36"/>
      <c r="AA34" s="36">
        <f t="shared" ca="1" si="9"/>
        <v>17.566803247266716</v>
      </c>
      <c r="AB34" s="36"/>
      <c r="AC34" s="38"/>
      <c r="AD34" s="41"/>
      <c r="AE34" s="40"/>
      <c r="AF34" s="38"/>
      <c r="AG34" s="40"/>
      <c r="AH34" s="40"/>
      <c r="AI34" s="36"/>
      <c r="AJ34" s="36"/>
      <c r="AK34" s="36"/>
      <c r="AL34" s="40"/>
      <c r="AM34" s="40"/>
      <c r="AN34" s="38"/>
      <c r="AO34" s="35"/>
      <c r="AP34" s="35"/>
      <c r="AQ34" s="35"/>
      <c r="AR34" s="35"/>
      <c r="AS34" s="35"/>
      <c r="AT34" s="35"/>
      <c r="AU34" s="35"/>
      <c r="AV34" s="35"/>
      <c r="AW34" s="35"/>
      <c r="AX34" s="35"/>
    </row>
    <row r="35" spans="2:50">
      <c r="B35" s="1">
        <f>Takeoff!F35</f>
        <v>1.2249994633486807</v>
      </c>
      <c r="D35" s="1">
        <f>Propeller!$B$8</f>
        <v>0.30479999999999996</v>
      </c>
      <c r="E35" s="20">
        <f ca="1">Takeoff!T35</f>
        <v>11.209097688879872</v>
      </c>
      <c r="F35" s="49">
        <f t="shared" ca="1" si="0"/>
        <v>0.937271688483028</v>
      </c>
      <c r="G35" s="19">
        <f ca="1">MAX(Motor!$B$7,K35*Motor!$B$7)</f>
        <v>10462.003399958567</v>
      </c>
      <c r="H35" s="10">
        <f ca="1">E35/(G35/60*D35)*Propulsão!J35</f>
        <v>0.20344839752864871</v>
      </c>
      <c r="I35" s="13">
        <f ca="1">F35*Energy!$B$6*Motor!$H$6</f>
        <v>10.551336033097687</v>
      </c>
      <c r="J35" s="51">
        <f ca="1">IF(ISERROR(U35),Motor!$B$10,MIN(Motor!$B$10,U35))</f>
        <v>47</v>
      </c>
      <c r="K35" s="20">
        <f ca="1">I35-Motor!$B$9*J35</f>
        <v>8.7183360330976871</v>
      </c>
      <c r="L35" s="14">
        <f ca="1">MAX(Motor!$B$8,J35-Motor!$B$8)</f>
        <v>44.7</v>
      </c>
      <c r="M35" s="14">
        <f t="shared" ca="1" si="3"/>
        <v>495.91279355559129</v>
      </c>
      <c r="N35" s="20">
        <f t="shared" ca="1" si="4"/>
        <v>389.70962067946664</v>
      </c>
      <c r="O35" s="1">
        <f t="shared" ca="1" si="5"/>
        <v>0.35571129236213173</v>
      </c>
      <c r="P35" s="10">
        <f t="shared" ca="1" si="6"/>
        <v>2.2810751647253189E-2</v>
      </c>
      <c r="Q35" s="10">
        <f ca="1">Propeller!$B$15+Propeller!$B$16*H35+Propeller!$B$17*H35^2+Propeller!$B$18*H35^3+Propeller!$B$19*H35^4+Propeller!$B$20*H35^5+Propeller!$B$21*H35^6</f>
        <v>2.2810866367831802E-2</v>
      </c>
      <c r="R35" s="10">
        <f ca="1">(Propeller!$B$23+Propeller!$B$24*H35+Propeller!$B$25*H35^2+Propeller!$B$26*H35^3+Propeller!$B$27*H35^4+Propeller!$B$28*H35^5+Propeller!$B$29*H35^6)*Propulsão!M35</f>
        <v>0.50758538465829373</v>
      </c>
      <c r="S35" s="19">
        <f t="shared" ca="1" si="7"/>
        <v>197.81090771762481</v>
      </c>
      <c r="T35" s="19"/>
      <c r="U35" s="14">
        <f ca="1">MAX(Motor!$B$8,J35+0.05*(Q35/P35-1)*J35)</f>
        <v>47.000011818696898</v>
      </c>
      <c r="V35" s="50" t="str">
        <f t="shared" ca="1" si="1"/>
        <v>OK</v>
      </c>
      <c r="W35" s="1">
        <f ca="1">IF(U35&gt;Motor!$B$10,F35+0.05*(Motor!$B$10/U35-1)*F35,MIN(1,$B$5))</f>
        <v>0.93727167669863731</v>
      </c>
      <c r="X35" s="50" t="str">
        <f t="shared" ca="1" si="2"/>
        <v>OK</v>
      </c>
      <c r="Y35" s="25">
        <f t="shared" ca="1" si="8"/>
        <v>0.7858430468900186</v>
      </c>
      <c r="Z35" s="36"/>
      <c r="AA35" s="36">
        <f t="shared" ca="1" si="9"/>
        <v>17.647353356003457</v>
      </c>
      <c r="AB35" s="36"/>
      <c r="AC35" s="38"/>
      <c r="AD35" s="41"/>
      <c r="AE35" s="40"/>
      <c r="AF35" s="38"/>
      <c r="AG35" s="40"/>
      <c r="AH35" s="40"/>
      <c r="AI35" s="36"/>
      <c r="AJ35" s="36"/>
      <c r="AK35" s="36"/>
      <c r="AL35" s="40"/>
      <c r="AM35" s="40"/>
      <c r="AN35" s="38"/>
      <c r="AO35" s="35"/>
      <c r="AP35" s="35"/>
      <c r="AQ35" s="35"/>
      <c r="AR35" s="35"/>
      <c r="AS35" s="35"/>
      <c r="AT35" s="35"/>
      <c r="AU35" s="35"/>
      <c r="AV35" s="35"/>
      <c r="AW35" s="35"/>
      <c r="AX35" s="35"/>
    </row>
    <row r="36" spans="2:50">
      <c r="B36" s="1">
        <f>Takeoff!F36</f>
        <v>1.2249994633486807</v>
      </c>
      <c r="D36" s="1">
        <f>Propeller!$B$8</f>
        <v>0.30479999999999996</v>
      </c>
      <c r="E36" s="20">
        <f ca="1">Takeoff!T36</f>
        <v>11.04629417170349</v>
      </c>
      <c r="F36" s="49">
        <f t="shared" ca="1" si="0"/>
        <v>0.93656067639392848</v>
      </c>
      <c r="G36" s="19">
        <f ca="1">MAX(Motor!$B$7,K36*Motor!$B$7)</f>
        <v>10452.398343024448</v>
      </c>
      <c r="H36" s="10">
        <f ca="1">E36/(G36/60*D36)*Propulsão!J36</f>
        <v>0.20067770625573378</v>
      </c>
      <c r="I36" s="13">
        <f ca="1">F36*Energy!$B$6*Motor!$H$6</f>
        <v>10.543331814504651</v>
      </c>
      <c r="J36" s="51">
        <f ca="1">IF(ISERROR(U36),Motor!$B$10,MIN(Motor!$B$10,U36))</f>
        <v>47</v>
      </c>
      <c r="K36" s="20">
        <f ca="1">I36-Motor!$B$9*J36</f>
        <v>8.7103318145046504</v>
      </c>
      <c r="L36" s="14">
        <f ca="1">MAX(Motor!$B$8,J36-Motor!$B$8)</f>
        <v>44.7</v>
      </c>
      <c r="M36" s="14">
        <f t="shared" ca="1" si="3"/>
        <v>495.53659528171858</v>
      </c>
      <c r="N36" s="20">
        <f t="shared" ca="1" si="4"/>
        <v>389.35183210835788</v>
      </c>
      <c r="O36" s="1">
        <f t="shared" ca="1" si="5"/>
        <v>0.35571129217411968</v>
      </c>
      <c r="P36" s="10">
        <f t="shared" ca="1" si="6"/>
        <v>2.2852694016161707E-2</v>
      </c>
      <c r="Q36" s="10">
        <f ca="1">Propeller!$B$15+Propeller!$B$16*H36+Propeller!$B$17*H36^2+Propeller!$B$18*H36^3+Propeller!$B$19*H36^4+Propeller!$B$20*H36^5+Propeller!$B$21*H36^6</f>
        <v>2.2852812896835838E-2</v>
      </c>
      <c r="R36" s="10">
        <f ca="1">(Propeller!$B$23+Propeller!$B$24*H36+Propeller!$B$25*H36^2+Propeller!$B$26*H36^3+Propeller!$B$27*H36^4+Propeller!$B$28*H36^5+Propeller!$B$29*H36^6)*Propulsão!M36</f>
        <v>0.50283658218348271</v>
      </c>
      <c r="S36" s="19">
        <f t="shared" ca="1" si="7"/>
        <v>195.78034452424387</v>
      </c>
      <c r="T36" s="19"/>
      <c r="U36" s="14">
        <f ca="1">MAX(Motor!$B$8,J36+0.05*(Q36/P36-1)*J36)</f>
        <v>47.000012224798702</v>
      </c>
      <c r="V36" s="50" t="str">
        <f t="shared" ca="1" si="1"/>
        <v>OK</v>
      </c>
      <c r="W36" s="1">
        <f ca="1">IF(U36&gt;Motor!$B$10,F36+0.05*(Motor!$B$10/U36-1)*F36,MIN(1,$B$5))</f>
        <v>0.93656066421386175</v>
      </c>
      <c r="X36" s="50" t="str">
        <f t="shared" ca="1" si="2"/>
        <v>OK</v>
      </c>
      <c r="Y36" s="25">
        <f t="shared" ca="1" si="8"/>
        <v>0.78571761564250697</v>
      </c>
      <c r="Z36" s="36"/>
      <c r="AA36" s="36">
        <f t="shared" ca="1" si="9"/>
        <v>17.723622192296901</v>
      </c>
      <c r="AB36" s="36"/>
      <c r="AC36" s="38"/>
      <c r="AD36" s="41"/>
      <c r="AE36" s="40"/>
      <c r="AF36" s="38"/>
      <c r="AG36" s="40"/>
      <c r="AH36" s="40"/>
      <c r="AI36" s="36"/>
      <c r="AJ36" s="36"/>
      <c r="AK36" s="36"/>
      <c r="AL36" s="40"/>
      <c r="AM36" s="40"/>
      <c r="AN36" s="38"/>
      <c r="AO36" s="35"/>
      <c r="AP36" s="35"/>
      <c r="AQ36" s="35"/>
      <c r="AR36" s="35"/>
      <c r="AS36" s="35"/>
      <c r="AT36" s="35"/>
      <c r="AU36" s="35"/>
      <c r="AV36" s="35"/>
      <c r="AW36" s="35"/>
      <c r="AX36" s="35"/>
    </row>
    <row r="37" spans="2:50">
      <c r="B37" s="1">
        <f>Takeoff!F37</f>
        <v>1.2249994633486807</v>
      </c>
      <c r="D37" s="1">
        <f>Propeller!$B$8</f>
        <v>0.30479999999999996</v>
      </c>
      <c r="E37" s="20">
        <f ca="1">Takeoff!T37</f>
        <v>10.891834490699978</v>
      </c>
      <c r="F37" s="49">
        <f t="shared" ca="1" si="0"/>
        <v>0.93590356711758793</v>
      </c>
      <c r="G37" s="19">
        <f ca="1">MAX(Motor!$B$7,K37*Motor!$B$7)</f>
        <v>10443.521458756879</v>
      </c>
      <c r="H37" s="10">
        <f ca="1">E37/(G37/60*D37)*Propulsão!J37</f>
        <v>0.19803983053571522</v>
      </c>
      <c r="I37" s="13">
        <f ca="1">F37*Energy!$B$6*Motor!$H$6</f>
        <v>10.535934406826247</v>
      </c>
      <c r="J37" s="51">
        <f ca="1">IF(ISERROR(U37),Motor!$B$10,MIN(Motor!$B$10,U37))</f>
        <v>47</v>
      </c>
      <c r="K37" s="20">
        <f ca="1">I37-Motor!$B$9*J37</f>
        <v>8.7029344068262464</v>
      </c>
      <c r="L37" s="14">
        <f ca="1">MAX(Motor!$B$8,J37-Motor!$B$8)</f>
        <v>44.7</v>
      </c>
      <c r="M37" s="14">
        <f t="shared" ca="1" si="3"/>
        <v>495.18891712083359</v>
      </c>
      <c r="N37" s="20">
        <f t="shared" ca="1" si="4"/>
        <v>389.02116798513322</v>
      </c>
      <c r="O37" s="1">
        <f t="shared" ca="1" si="5"/>
        <v>0.35571129200084817</v>
      </c>
      <c r="P37" s="10">
        <f t="shared" ca="1" si="6"/>
        <v>2.2891559618594001E-2</v>
      </c>
      <c r="Q37" s="10">
        <f ca="1">Propeller!$B$15+Propeller!$B$16*H37+Propeller!$B$17*H37^2+Propeller!$B$18*H37^3+Propeller!$B$19*H37^4+Propeller!$B$20*H37^5+Propeller!$B$21*H37^6</f>
        <v>2.289168234609297E-2</v>
      </c>
      <c r="R37" s="10">
        <f ca="1">(Propeller!$B$23+Propeller!$B$24*H37+Propeller!$B$25*H37^2+Propeller!$B$26*H37^3+Propeller!$B$27*H37^4+Propeller!$B$28*H37^5+Propeller!$B$29*H37^6)*Propulsão!M37</f>
        <v>0.49825209175575214</v>
      </c>
      <c r="S37" s="19">
        <f t="shared" ca="1" si="7"/>
        <v>193.83061068585846</v>
      </c>
      <c r="T37" s="19"/>
      <c r="U37" s="14">
        <f ca="1">MAX(Motor!$B$8,J37+0.05*(Q37/P37-1)*J37)</f>
        <v>47.000012598950327</v>
      </c>
      <c r="V37" s="50" t="str">
        <f t="shared" ca="1" si="1"/>
        <v>OK</v>
      </c>
      <c r="W37" s="1">
        <f ca="1">IF(U37&gt;Motor!$B$10,F37+0.05*(Motor!$B$10/U37-1)*F37,MIN(1,$B$5))</f>
        <v>0.93590355457354601</v>
      </c>
      <c r="X37" s="50" t="str">
        <f t="shared" ca="1" si="2"/>
        <v>OK</v>
      </c>
      <c r="Y37" s="25">
        <f t="shared" ca="1" si="8"/>
        <v>0.78560152405471984</v>
      </c>
      <c r="Z37" s="36"/>
      <c r="AA37" s="36">
        <f t="shared" ca="1" si="9"/>
        <v>17.795956305740898</v>
      </c>
      <c r="AB37" s="36"/>
      <c r="AC37" s="38"/>
      <c r="AD37" s="41"/>
      <c r="AE37" s="40"/>
      <c r="AF37" s="38"/>
      <c r="AG37" s="40"/>
      <c r="AH37" s="40"/>
      <c r="AI37" s="36"/>
      <c r="AJ37" s="36"/>
      <c r="AK37" s="36"/>
      <c r="AL37" s="40"/>
      <c r="AM37" s="40"/>
      <c r="AN37" s="38"/>
      <c r="AO37" s="35"/>
      <c r="AP37" s="35"/>
      <c r="AQ37" s="35"/>
      <c r="AR37" s="35"/>
      <c r="AS37" s="35"/>
      <c r="AT37" s="35"/>
      <c r="AU37" s="35"/>
      <c r="AV37" s="35"/>
      <c r="AW37" s="35"/>
      <c r="AX37" s="35"/>
    </row>
    <row r="38" spans="2:50">
      <c r="B38" s="1">
        <f>Takeoff!F38</f>
        <v>1.2249994633486807</v>
      </c>
      <c r="D38" s="1">
        <f>Propeller!$B$8</f>
        <v>0.30479999999999996</v>
      </c>
      <c r="E38" s="20">
        <f ca="1">Takeoff!T38</f>
        <v>10.745049877378921</v>
      </c>
      <c r="F38" s="49">
        <f t="shared" ca="1" si="0"/>
        <v>0.93529478730550952</v>
      </c>
      <c r="G38" s="19">
        <f ca="1">MAX(Motor!$B$7,K38*Motor!$B$7)</f>
        <v>10435.297456945378</v>
      </c>
      <c r="H38" s="10">
        <f ca="1">E38/(G38/60*D38)*Propulsão!J38</f>
        <v>0.19552490288899771</v>
      </c>
      <c r="I38" s="13">
        <f ca="1">F38*Energy!$B$6*Motor!$H$6</f>
        <v>10.529081068091774</v>
      </c>
      <c r="J38" s="51">
        <f ca="1">IF(ISERROR(U38),Motor!$B$10,MIN(Motor!$B$10,U38))</f>
        <v>47</v>
      </c>
      <c r="K38" s="20">
        <f ca="1">I38-Motor!$B$9*J38</f>
        <v>8.6960810680917735</v>
      </c>
      <c r="L38" s="14">
        <f ca="1">MAX(Motor!$B$8,J38-Motor!$B$8)</f>
        <v>44.7</v>
      </c>
      <c r="M38" s="14">
        <f t="shared" ca="1" si="3"/>
        <v>494.86681020031335</v>
      </c>
      <c r="N38" s="20">
        <f t="shared" ca="1" si="4"/>
        <v>388.71482374370231</v>
      </c>
      <c r="O38" s="1">
        <f t="shared" ca="1" si="5"/>
        <v>0.35571129183708655</v>
      </c>
      <c r="P38" s="10">
        <f t="shared" ca="1" si="6"/>
        <v>2.2927655255907783E-2</v>
      </c>
      <c r="Q38" s="10">
        <f ca="1">Propeller!$B$15+Propeller!$B$16*H38+Propeller!$B$17*H38^2+Propeller!$B$18*H38^3+Propeller!$B$19*H38^4+Propeller!$B$20*H38^5+Propeller!$B$21*H38^6</f>
        <v>2.2927781626370346E-2</v>
      </c>
      <c r="R38" s="10">
        <f ca="1">(Propeller!$B$23+Propeller!$B$24*H38+Propeller!$B$25*H38^2+Propeller!$B$26*H38^3+Propeller!$B$27*H38^4+Propeller!$B$28*H38^5+Propeller!$B$29*H38^6)*Propulsão!M38</f>
        <v>0.49382401301628098</v>
      </c>
      <c r="S38" s="19">
        <f t="shared" ca="1" si="7"/>
        <v>191.95671418003141</v>
      </c>
      <c r="T38" s="19"/>
      <c r="U38" s="14">
        <f ca="1">MAX(Motor!$B$8,J38+0.05*(Q38/P38-1)*J38)</f>
        <v>47.00001295250577</v>
      </c>
      <c r="V38" s="50" t="str">
        <f t="shared" ca="1" si="1"/>
        <v>OK</v>
      </c>
      <c r="W38" s="1">
        <f ca="1">IF(U38&gt;Motor!$B$10,F38+0.05*(Motor!$B$10/U38-1)*F38,MIN(1,$B$5))</f>
        <v>0.9352947744178417</v>
      </c>
      <c r="X38" s="50" t="str">
        <f t="shared" ca="1" si="2"/>
        <v>OK</v>
      </c>
      <c r="Y38" s="25">
        <f t="shared" ca="1" si="8"/>
        <v>0.78549382527059641</v>
      </c>
      <c r="Z38" s="36"/>
      <c r="AA38" s="36">
        <f t="shared" ca="1" si="9"/>
        <v>17.864664787098793</v>
      </c>
      <c r="AB38" s="36"/>
      <c r="AC38" s="38"/>
      <c r="AD38" s="41"/>
      <c r="AE38" s="40"/>
      <c r="AF38" s="38"/>
      <c r="AG38" s="40"/>
      <c r="AH38" s="40"/>
      <c r="AI38" s="36"/>
      <c r="AJ38" s="36"/>
      <c r="AK38" s="36"/>
      <c r="AL38" s="40"/>
      <c r="AM38" s="40"/>
      <c r="AN38" s="38"/>
      <c r="AO38" s="35"/>
      <c r="AP38" s="35"/>
      <c r="AQ38" s="35"/>
      <c r="AR38" s="35"/>
      <c r="AS38" s="35"/>
      <c r="AT38" s="35"/>
      <c r="AU38" s="35"/>
      <c r="AV38" s="35"/>
      <c r="AW38" s="35"/>
      <c r="AX38" s="35"/>
    </row>
    <row r="39" spans="2:50">
      <c r="B39" s="1">
        <f>Takeoff!F39</f>
        <v>1.2249994633486807</v>
      </c>
      <c r="D39" s="1">
        <f>Propeller!$B$8</f>
        <v>0.30479999999999996</v>
      </c>
      <c r="E39" s="20">
        <f ca="1">Takeoff!T39</f>
        <v>10.605346376012445</v>
      </c>
      <c r="F39" s="49">
        <f t="shared" ca="1" si="0"/>
        <v>0.93472949373174019</v>
      </c>
      <c r="G39" s="19">
        <f ca="1">MAX(Motor!$B$7,K39*Motor!$B$7)</f>
        <v>10427.660910467966</v>
      </c>
      <c r="H39" s="10">
        <f ca="1">E39/(G39/60*D39)*Propulsão!J39</f>
        <v>0.19312408241147039</v>
      </c>
      <c r="I39" s="13">
        <f ca="1">F39*Energy!$B$6*Motor!$H$6</f>
        <v>10.522717275685066</v>
      </c>
      <c r="J39" s="51">
        <f ca="1">IF(ISERROR(U39),Motor!$B$10,MIN(Motor!$B$10,U39))</f>
        <v>47</v>
      </c>
      <c r="K39" s="20">
        <f ca="1">I39-Motor!$B$9*J39</f>
        <v>8.6897172756850658</v>
      </c>
      <c r="L39" s="14">
        <f ca="1">MAX(Motor!$B$8,J39-Motor!$B$8)</f>
        <v>44.7</v>
      </c>
      <c r="M39" s="14">
        <f t="shared" ca="1" si="3"/>
        <v>494.56771195719813</v>
      </c>
      <c r="N39" s="20">
        <f t="shared" ca="1" si="4"/>
        <v>388.43036222312247</v>
      </c>
      <c r="O39" s="1">
        <f t="shared" ca="1" si="5"/>
        <v>0.35571129168225518</v>
      </c>
      <c r="P39" s="10">
        <f t="shared" ca="1" si="6"/>
        <v>2.2961249015043948E-2</v>
      </c>
      <c r="Q39" s="10">
        <f ca="1">Propeller!$B$15+Propeller!$B$16*H39+Propeller!$B$17*H39^2+Propeller!$B$18*H39^3+Propeller!$B$19*H39^4+Propeller!$B$20*H39^5+Propeller!$B$21*H39^6</f>
        <v>2.2961378836249813E-2</v>
      </c>
      <c r="R39" s="10">
        <f ca="1">(Propeller!$B$23+Propeller!$B$24*H39+Propeller!$B$25*H39^2+Propeller!$B$26*H39^3+Propeller!$B$27*H39^4+Propeller!$B$28*H39^5+Propeller!$B$29*H39^6)*Propulsão!M39</f>
        <v>0.48954493833531604</v>
      </c>
      <c r="S39" s="19">
        <f t="shared" ca="1" si="7"/>
        <v>190.15411772208296</v>
      </c>
      <c r="T39" s="19"/>
      <c r="U39" s="14">
        <f ca="1">MAX(Motor!$B$8,J39+0.05*(Q39/P39-1)*J39)</f>
        <v>47.000013286726414</v>
      </c>
      <c r="V39" s="50" t="str">
        <f t="shared" ca="1" si="1"/>
        <v>OK</v>
      </c>
      <c r="W39" s="1">
        <f ca="1">IF(U39&gt;Motor!$B$10,F39+0.05*(Motor!$B$10/U39-1)*F39,MIN(1,$B$5))</f>
        <v>0.9347294805195151</v>
      </c>
      <c r="X39" s="50" t="str">
        <f t="shared" ca="1" si="2"/>
        <v>OK</v>
      </c>
      <c r="Y39" s="25">
        <f t="shared" ca="1" si="8"/>
        <v>0.78539369399177195</v>
      </c>
      <c r="Z39" s="36"/>
      <c r="AA39" s="36">
        <f t="shared" ca="1" si="9"/>
        <v>17.930024251935833</v>
      </c>
      <c r="AB39" s="36"/>
      <c r="AC39" s="38"/>
      <c r="AD39" s="41"/>
      <c r="AE39" s="40"/>
      <c r="AF39" s="38"/>
      <c r="AG39" s="40"/>
      <c r="AH39" s="40"/>
      <c r="AI39" s="36"/>
      <c r="AJ39" s="36"/>
      <c r="AK39" s="36"/>
      <c r="AL39" s="40"/>
      <c r="AM39" s="40"/>
      <c r="AN39" s="38"/>
      <c r="AO39" s="35"/>
      <c r="AP39" s="35"/>
      <c r="AQ39" s="35"/>
      <c r="AR39" s="35"/>
      <c r="AS39" s="35"/>
      <c r="AT39" s="35"/>
      <c r="AU39" s="35"/>
      <c r="AV39" s="35"/>
      <c r="AW39" s="35"/>
      <c r="AX39" s="35"/>
    </row>
    <row r="40" spans="2:50">
      <c r="B40" s="1">
        <f>Takeoff!F40</f>
        <v>1.2249994633486807</v>
      </c>
      <c r="D40" s="1">
        <f>Propeller!$B$8</f>
        <v>0.30479999999999996</v>
      </c>
      <c r="E40" s="20">
        <f ca="1">Takeoff!T40</f>
        <v>9.5359142313991931</v>
      </c>
      <c r="F40" s="49">
        <f t="shared" ca="1" si="0"/>
        <v>0.93094639931592404</v>
      </c>
      <c r="G40" s="19">
        <f ca="1">MAX(Motor!$B$7,K40*Motor!$B$7)</f>
        <v>10376.563434696365</v>
      </c>
      <c r="H40" s="10">
        <f ca="1">E40/(G40/60*D40)*Propulsão!J40</f>
        <v>0.17450475568280024</v>
      </c>
      <c r="I40" s="13">
        <f ca="1">F40*Energy!$B$6*Motor!$H$6</f>
        <v>10.480129090299016</v>
      </c>
      <c r="J40" s="51">
        <f ca="1">IF(ISERROR(U40),Motor!$B$10,MIN(Motor!$B$10,U40))</f>
        <v>47</v>
      </c>
      <c r="K40" s="20">
        <f ca="1">I40-Motor!$B$9*J40</f>
        <v>8.6471290902990159</v>
      </c>
      <c r="L40" s="14">
        <f ca="1">MAX(Motor!$B$8,J40-Motor!$B$8)</f>
        <v>44.7</v>
      </c>
      <c r="M40" s="14">
        <f t="shared" ca="1" si="3"/>
        <v>492.56606724405378</v>
      </c>
      <c r="N40" s="20">
        <f t="shared" ca="1" si="4"/>
        <v>386.52667033636601</v>
      </c>
      <c r="O40" s="1">
        <f t="shared" ca="1" si="5"/>
        <v>0.35571100552531376</v>
      </c>
      <c r="P40" s="10">
        <f t="shared" ca="1" si="6"/>
        <v>2.3187924030740638E-2</v>
      </c>
      <c r="Q40" s="10">
        <f ca="1">Propeller!$B$15+Propeller!$B$16*H40+Propeller!$B$17*H40^2+Propeller!$B$18*H40^3+Propeller!$B$19*H40^4+Propeller!$B$20*H40^5+Propeller!$B$21*H40^6</f>
        <v>2.3194192145546622E-2</v>
      </c>
      <c r="R40" s="10">
        <f ca="1">(Propeller!$B$23+Propeller!$B$24*H40+Propeller!$B$25*H40^2+Propeller!$B$26*H40^3+Propeller!$B$27*H40^4+Propeller!$B$28*H40^5+Propeller!$B$29*H40^6)*Propulsão!M40</f>
        <v>0.45466981550141589</v>
      </c>
      <c r="S40" s="19">
        <f t="shared" ca="1" si="7"/>
        <v>175.74200988821212</v>
      </c>
      <c r="T40" s="19"/>
      <c r="U40" s="14">
        <f ca="1">MAX(Motor!$B$8,J40+0.05*(Q40/P40-1)*J40)</f>
        <v>47.000635247457879</v>
      </c>
      <c r="V40" s="50" t="str">
        <f t="shared" ca="1" si="1"/>
        <v>OK</v>
      </c>
      <c r="W40" s="1">
        <f ca="1">IF(U40&gt;Motor!$B$10,F40+0.05*(Motor!$B$10/U40-1)*F40,MIN(1,$B$5))</f>
        <v>0.93094577019534885</v>
      </c>
      <c r="X40" s="50" t="str">
        <f t="shared" ca="1" si="2"/>
        <v>OK</v>
      </c>
      <c r="Y40" s="25">
        <f t="shared" ca="1" si="8"/>
        <v>0.78472045892039088</v>
      </c>
      <c r="Z40" s="36"/>
      <c r="AA40" s="36">
        <f t="shared" ca="1" si="9"/>
        <v>18.429487265053318</v>
      </c>
      <c r="AB40" s="36"/>
      <c r="AC40" s="38"/>
      <c r="AD40" s="41"/>
      <c r="AE40" s="40"/>
      <c r="AF40" s="38"/>
      <c r="AG40" s="40"/>
      <c r="AH40" s="40"/>
      <c r="AI40" s="36"/>
      <c r="AJ40" s="36"/>
      <c r="AK40" s="36"/>
      <c r="AL40" s="40"/>
      <c r="AM40" s="40"/>
      <c r="AN40" s="38"/>
      <c r="AO40" s="35"/>
      <c r="AP40" s="35"/>
      <c r="AQ40" s="35"/>
      <c r="AR40" s="35"/>
      <c r="AS40" s="35"/>
      <c r="AT40" s="35"/>
      <c r="AU40" s="35"/>
      <c r="AV40" s="35"/>
      <c r="AW40" s="35"/>
      <c r="AX40" s="35"/>
    </row>
    <row r="41" spans="2:50">
      <c r="B41" s="1"/>
      <c r="D41" s="16"/>
      <c r="E41" s="19"/>
      <c r="F41" s="16"/>
      <c r="G41" s="19"/>
      <c r="H41" s="42"/>
      <c r="I41" s="40"/>
      <c r="J41" s="20"/>
      <c r="K41" s="19"/>
      <c r="L41" s="19"/>
      <c r="M41" s="20"/>
      <c r="N41" s="20"/>
      <c r="O41" s="42"/>
      <c r="P41" s="42"/>
      <c r="Q41" s="42"/>
      <c r="R41" s="19"/>
      <c r="S41" s="19"/>
      <c r="T41" s="19"/>
      <c r="U41" s="53"/>
      <c r="V41" s="16"/>
      <c r="W41" s="53"/>
      <c r="Y41" s="35"/>
      <c r="Z41" s="36"/>
      <c r="AA41" s="36"/>
      <c r="AB41" s="36"/>
      <c r="AC41" s="38"/>
      <c r="AD41" s="41"/>
      <c r="AE41" s="40"/>
      <c r="AF41" s="38"/>
      <c r="AG41" s="40"/>
      <c r="AH41" s="40"/>
      <c r="AI41" s="36"/>
      <c r="AJ41" s="36"/>
      <c r="AK41" s="36"/>
      <c r="AL41" s="40"/>
      <c r="AM41" s="40"/>
      <c r="AN41" s="38"/>
      <c r="AO41" s="35"/>
      <c r="AP41" s="35"/>
      <c r="AQ41" s="35"/>
      <c r="AR41" s="35"/>
      <c r="AS41" s="35"/>
      <c r="AT41" s="35"/>
      <c r="AU41" s="35"/>
      <c r="AV41" s="35"/>
      <c r="AW41" s="35"/>
      <c r="AX41" s="35"/>
    </row>
    <row r="42" spans="2:50">
      <c r="B42" s="1"/>
      <c r="D42" s="16"/>
      <c r="E42" s="19"/>
      <c r="F42" s="16"/>
      <c r="G42" s="19"/>
      <c r="H42" s="42"/>
      <c r="I42" s="40"/>
      <c r="J42" s="20"/>
      <c r="K42" s="19"/>
      <c r="L42" s="19"/>
      <c r="M42" s="20"/>
      <c r="N42" s="20"/>
      <c r="O42" s="42"/>
      <c r="P42" s="42"/>
      <c r="Q42" s="42"/>
      <c r="R42" s="19"/>
      <c r="S42" s="19"/>
      <c r="T42" s="19"/>
      <c r="U42" s="53"/>
      <c r="V42" s="16"/>
      <c r="W42" s="53"/>
      <c r="Y42" s="35"/>
      <c r="Z42" s="36"/>
      <c r="AA42" s="36"/>
      <c r="AB42" s="36"/>
      <c r="AC42" s="38"/>
      <c r="AD42" s="41"/>
      <c r="AE42" s="40"/>
      <c r="AF42" s="38"/>
      <c r="AG42" s="40"/>
      <c r="AH42" s="40"/>
      <c r="AI42" s="36"/>
      <c r="AJ42" s="36"/>
      <c r="AK42" s="36"/>
      <c r="AL42" s="40"/>
      <c r="AM42" s="40"/>
      <c r="AN42" s="38"/>
      <c r="AO42" s="35"/>
      <c r="AP42" s="35"/>
      <c r="AQ42" s="35"/>
      <c r="AR42" s="35"/>
      <c r="AS42" s="35"/>
      <c r="AT42" s="35"/>
      <c r="AU42" s="35"/>
      <c r="AV42" s="35"/>
      <c r="AW42" s="35"/>
      <c r="AX42" s="35"/>
    </row>
    <row r="43" spans="2:50">
      <c r="B43" s="1"/>
      <c r="Y43" s="35"/>
      <c r="Z43" s="36"/>
      <c r="AA43" s="36"/>
      <c r="AB43" s="36"/>
      <c r="AC43" s="38"/>
      <c r="AD43" s="41"/>
      <c r="AE43" s="40"/>
      <c r="AF43" s="38"/>
      <c r="AG43" s="40"/>
      <c r="AH43" s="40"/>
      <c r="AI43" s="36"/>
      <c r="AJ43" s="36"/>
      <c r="AK43" s="36"/>
      <c r="AL43" s="40"/>
      <c r="AM43" s="40"/>
      <c r="AN43" s="38"/>
      <c r="AO43" s="35"/>
      <c r="AP43" s="35"/>
      <c r="AQ43" s="35"/>
      <c r="AR43" s="35"/>
      <c r="AS43" s="35"/>
      <c r="AT43" s="35"/>
      <c r="AU43" s="35"/>
      <c r="AV43" s="35"/>
      <c r="AW43" s="35"/>
      <c r="AX43" s="35"/>
    </row>
    <row r="44" spans="2:50">
      <c r="B44" s="1"/>
      <c r="Y44" s="35"/>
      <c r="Z44" s="36"/>
      <c r="AA44" s="36"/>
      <c r="AB44" s="36"/>
      <c r="AC44" s="38"/>
      <c r="AD44" s="41"/>
      <c r="AE44" s="40"/>
      <c r="AF44" s="38"/>
      <c r="AG44" s="40"/>
      <c r="AH44" s="40"/>
      <c r="AI44" s="36"/>
      <c r="AJ44" s="36"/>
      <c r="AK44" s="36"/>
      <c r="AL44" s="40"/>
      <c r="AM44" s="40"/>
      <c r="AN44" s="38"/>
      <c r="AO44" s="35"/>
      <c r="AP44" s="35"/>
      <c r="AQ44" s="35"/>
      <c r="AR44" s="35"/>
      <c r="AS44" s="35"/>
      <c r="AT44" s="35"/>
      <c r="AU44" s="35"/>
      <c r="AV44" s="35"/>
      <c r="AW44" s="35"/>
      <c r="AX44" s="35"/>
    </row>
    <row r="45" spans="2:50">
      <c r="B45" s="1"/>
      <c r="Y45" s="35"/>
      <c r="Z45" s="36"/>
      <c r="AA45" s="36"/>
      <c r="AB45" s="36"/>
      <c r="AC45" s="38"/>
      <c r="AD45" s="41"/>
      <c r="AE45" s="40"/>
      <c r="AF45" s="38"/>
      <c r="AG45" s="40"/>
      <c r="AH45" s="40"/>
      <c r="AI45" s="36"/>
      <c r="AJ45" s="36"/>
      <c r="AK45" s="36"/>
      <c r="AL45" s="40"/>
      <c r="AM45" s="40"/>
      <c r="AN45" s="38"/>
      <c r="AO45" s="35"/>
      <c r="AP45" s="35"/>
      <c r="AQ45" s="35"/>
      <c r="AR45" s="35"/>
      <c r="AS45" s="35"/>
      <c r="AT45" s="35"/>
      <c r="AU45" s="35"/>
      <c r="AV45" s="35"/>
      <c r="AW45" s="35"/>
      <c r="AX45" s="35"/>
    </row>
    <row r="46" spans="2:50">
      <c r="B46" s="1"/>
      <c r="Y46" s="35"/>
      <c r="Z46" s="36"/>
      <c r="AA46" s="36"/>
      <c r="AB46" s="36"/>
      <c r="AC46" s="38"/>
      <c r="AD46" s="41"/>
      <c r="AE46" s="40"/>
      <c r="AF46" s="38"/>
      <c r="AG46" s="40"/>
      <c r="AH46" s="40"/>
      <c r="AI46" s="36"/>
      <c r="AJ46" s="36"/>
      <c r="AK46" s="36"/>
      <c r="AL46" s="40"/>
      <c r="AM46" s="40"/>
      <c r="AN46" s="38"/>
      <c r="AO46" s="35"/>
      <c r="AP46" s="35"/>
      <c r="AQ46" s="35"/>
      <c r="AR46" s="35"/>
      <c r="AS46" s="35"/>
      <c r="AT46" s="35"/>
      <c r="AU46" s="35"/>
      <c r="AV46" s="35"/>
      <c r="AW46" s="35"/>
      <c r="AX46" s="35"/>
    </row>
    <row r="47" spans="2:50">
      <c r="B47" s="1"/>
      <c r="Y47" s="35"/>
      <c r="Z47" s="36"/>
      <c r="AA47" s="36"/>
      <c r="AB47" s="36"/>
      <c r="AC47" s="38"/>
      <c r="AD47" s="41"/>
      <c r="AE47" s="40"/>
      <c r="AF47" s="38"/>
      <c r="AG47" s="40"/>
      <c r="AH47" s="40"/>
      <c r="AI47" s="36"/>
      <c r="AJ47" s="36"/>
      <c r="AK47" s="36"/>
      <c r="AL47" s="40"/>
      <c r="AM47" s="40"/>
      <c r="AN47" s="38"/>
      <c r="AO47" s="35"/>
      <c r="AP47" s="35"/>
      <c r="AQ47" s="35"/>
      <c r="AR47" s="35"/>
      <c r="AS47" s="35"/>
      <c r="AT47" s="35"/>
      <c r="AU47" s="35"/>
      <c r="AV47" s="35"/>
      <c r="AW47" s="35"/>
      <c r="AX47" s="35"/>
    </row>
    <row r="48" spans="2:50">
      <c r="Y48" s="35"/>
      <c r="Z48" s="36"/>
      <c r="AA48" s="36"/>
      <c r="AB48" s="36"/>
      <c r="AC48" s="38"/>
      <c r="AD48" s="41"/>
      <c r="AE48" s="40"/>
      <c r="AF48" s="38"/>
      <c r="AG48" s="40"/>
      <c r="AH48" s="40"/>
      <c r="AI48" s="36"/>
      <c r="AJ48" s="36"/>
      <c r="AK48" s="36"/>
      <c r="AL48" s="40"/>
      <c r="AM48" s="40"/>
      <c r="AN48" s="38"/>
      <c r="AO48" s="35"/>
      <c r="AP48" s="35"/>
      <c r="AQ48" s="35"/>
      <c r="AR48" s="35"/>
      <c r="AS48" s="35"/>
      <c r="AT48" s="35"/>
      <c r="AU48" s="35"/>
      <c r="AV48" s="35"/>
      <c r="AW48" s="35"/>
      <c r="AX48" s="35"/>
    </row>
    <row r="49" spans="25:50">
      <c r="Y49" s="35"/>
      <c r="Z49" s="36"/>
      <c r="AA49" s="36"/>
      <c r="AB49" s="36"/>
      <c r="AC49" s="38"/>
      <c r="AD49" s="41"/>
      <c r="AE49" s="40"/>
      <c r="AF49" s="38"/>
      <c r="AG49" s="40"/>
      <c r="AH49" s="40"/>
      <c r="AI49" s="36"/>
      <c r="AJ49" s="36"/>
      <c r="AK49" s="36"/>
      <c r="AL49" s="40"/>
      <c r="AM49" s="40"/>
      <c r="AN49" s="38"/>
      <c r="AO49" s="35"/>
      <c r="AP49" s="35"/>
      <c r="AQ49" s="35"/>
      <c r="AR49" s="35"/>
      <c r="AS49" s="35"/>
      <c r="AT49" s="35"/>
      <c r="AU49" s="35"/>
      <c r="AV49" s="35"/>
      <c r="AW49" s="35"/>
      <c r="AX49" s="35"/>
    </row>
    <row r="50" spans="25:50">
      <c r="Y50" s="35"/>
      <c r="Z50" s="36"/>
      <c r="AA50" s="36"/>
      <c r="AB50" s="36"/>
      <c r="AC50" s="38"/>
      <c r="AD50" s="41"/>
      <c r="AE50" s="40"/>
      <c r="AF50" s="38"/>
      <c r="AG50" s="40"/>
      <c r="AH50" s="40"/>
      <c r="AI50" s="36"/>
      <c r="AJ50" s="36"/>
      <c r="AK50" s="36"/>
      <c r="AL50" s="40"/>
      <c r="AM50" s="40"/>
      <c r="AN50" s="38"/>
      <c r="AO50" s="35"/>
      <c r="AP50" s="35"/>
      <c r="AQ50" s="35"/>
      <c r="AR50" s="35"/>
      <c r="AS50" s="35"/>
      <c r="AT50" s="35"/>
      <c r="AU50" s="35"/>
      <c r="AV50" s="35"/>
      <c r="AW50" s="35"/>
      <c r="AX50" s="35"/>
    </row>
    <row r="51" spans="25:50">
      <c r="Y51" s="35"/>
      <c r="Z51" s="36"/>
      <c r="AA51" s="36"/>
      <c r="AB51" s="36"/>
      <c r="AC51" s="38"/>
      <c r="AD51" s="41"/>
      <c r="AE51" s="40"/>
      <c r="AF51" s="38"/>
      <c r="AG51" s="40"/>
      <c r="AH51" s="40"/>
      <c r="AI51" s="36"/>
      <c r="AJ51" s="36"/>
      <c r="AK51" s="36"/>
      <c r="AL51" s="40"/>
      <c r="AM51" s="40"/>
      <c r="AN51" s="38"/>
      <c r="AO51" s="35"/>
      <c r="AP51" s="35"/>
      <c r="AQ51" s="35"/>
      <c r="AR51" s="35"/>
      <c r="AS51" s="35"/>
      <c r="AT51" s="35"/>
      <c r="AU51" s="35"/>
      <c r="AV51" s="35"/>
      <c r="AW51" s="35"/>
      <c r="AX51" s="35"/>
    </row>
    <row r="52" spans="25:50">
      <c r="Y52" s="35"/>
      <c r="Z52" s="36"/>
      <c r="AA52" s="36"/>
      <c r="AB52" s="36"/>
      <c r="AC52" s="38"/>
      <c r="AD52" s="41"/>
      <c r="AE52" s="40"/>
      <c r="AF52" s="38"/>
      <c r="AG52" s="40"/>
      <c r="AH52" s="40"/>
      <c r="AI52" s="36"/>
      <c r="AJ52" s="36"/>
      <c r="AK52" s="36"/>
      <c r="AL52" s="40"/>
      <c r="AM52" s="40"/>
      <c r="AN52" s="38"/>
      <c r="AO52" s="35"/>
      <c r="AP52" s="35"/>
      <c r="AQ52" s="35"/>
      <c r="AR52" s="35"/>
      <c r="AS52" s="35"/>
      <c r="AT52" s="35"/>
      <c r="AU52" s="35"/>
      <c r="AV52" s="35"/>
      <c r="AW52" s="35"/>
      <c r="AX52" s="35"/>
    </row>
    <row r="53" spans="25:50">
      <c r="Y53" s="35"/>
      <c r="Z53" s="36"/>
      <c r="AA53" s="36"/>
      <c r="AB53" s="36"/>
      <c r="AC53" s="38"/>
      <c r="AD53" s="41"/>
      <c r="AE53" s="40"/>
      <c r="AF53" s="38"/>
      <c r="AG53" s="40"/>
      <c r="AH53" s="40"/>
      <c r="AI53" s="36"/>
      <c r="AJ53" s="36"/>
      <c r="AK53" s="36"/>
      <c r="AL53" s="40"/>
      <c r="AM53" s="40"/>
      <c r="AN53" s="38"/>
      <c r="AO53" s="35"/>
      <c r="AP53" s="35"/>
      <c r="AQ53" s="35"/>
      <c r="AR53" s="35"/>
      <c r="AS53" s="35"/>
      <c r="AT53" s="35"/>
      <c r="AU53" s="35"/>
      <c r="AV53" s="35"/>
      <c r="AW53" s="35"/>
      <c r="AX53" s="35"/>
    </row>
    <row r="54" spans="25:50">
      <c r="Y54" s="35"/>
      <c r="Z54" s="36"/>
      <c r="AA54" s="36"/>
      <c r="AB54" s="36"/>
      <c r="AC54" s="38"/>
      <c r="AD54" s="41"/>
      <c r="AE54" s="40"/>
      <c r="AF54" s="38"/>
      <c r="AG54" s="40"/>
      <c r="AH54" s="40"/>
      <c r="AI54" s="36"/>
      <c r="AJ54" s="36"/>
      <c r="AK54" s="36"/>
      <c r="AL54" s="40"/>
      <c r="AM54" s="40"/>
      <c r="AN54" s="38"/>
      <c r="AO54" s="35"/>
      <c r="AP54" s="35"/>
      <c r="AQ54" s="35"/>
      <c r="AR54" s="35"/>
      <c r="AS54" s="35"/>
      <c r="AT54" s="35"/>
      <c r="AU54" s="35"/>
      <c r="AV54" s="35"/>
      <c r="AW54" s="35"/>
      <c r="AX54" s="35"/>
    </row>
    <row r="55" spans="25:50">
      <c r="Y55" s="35"/>
      <c r="Z55" s="36"/>
      <c r="AA55" s="36"/>
      <c r="AB55" s="36"/>
      <c r="AC55" s="38"/>
      <c r="AD55" s="41"/>
      <c r="AE55" s="40"/>
      <c r="AF55" s="38"/>
      <c r="AG55" s="40"/>
      <c r="AH55" s="40"/>
      <c r="AI55" s="36"/>
      <c r="AJ55" s="36"/>
      <c r="AK55" s="36"/>
      <c r="AL55" s="40"/>
      <c r="AM55" s="40"/>
      <c r="AN55" s="38"/>
      <c r="AO55" s="35"/>
      <c r="AP55" s="35"/>
      <c r="AQ55" s="35"/>
      <c r="AR55" s="35"/>
      <c r="AS55" s="35"/>
      <c r="AT55" s="35"/>
      <c r="AU55" s="35"/>
      <c r="AV55" s="35"/>
      <c r="AW55" s="35"/>
      <c r="AX55" s="35"/>
    </row>
    <row r="56" spans="25:50"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</row>
    <row r="57" spans="25:50"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</row>
    <row r="58" spans="25:50"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</row>
    <row r="59" spans="25:50"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</row>
    <row r="60" spans="25:50"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</row>
    <row r="61" spans="25:50"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</row>
    <row r="62" spans="25:50"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</row>
    <row r="63" spans="25:50"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</row>
    <row r="64" spans="25:50"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</row>
    <row r="65" spans="25:50"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</row>
    <row r="66" spans="25:50"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</row>
    <row r="67" spans="25:50"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</row>
    <row r="68" spans="25:50"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</row>
    <row r="69" spans="25:50"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</row>
    <row r="70" spans="25:50"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</row>
    <row r="71" spans="25:50"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</row>
    <row r="72" spans="25:50"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</row>
    <row r="73" spans="25:50"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</row>
    <row r="74" spans="25:50"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</row>
    <row r="75" spans="25:50"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</row>
    <row r="76" spans="25:50"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</row>
    <row r="77" spans="25:50"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</row>
    <row r="78" spans="25:50"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</row>
    <row r="79" spans="25:50"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</row>
    <row r="80" spans="25:50"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</row>
    <row r="81" spans="25:50"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</row>
    <row r="82" spans="25:50"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</row>
    <row r="83" spans="25:50"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</row>
    <row r="84" spans="25:50"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</row>
    <row r="85" spans="25:50"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</row>
    <row r="86" spans="25:50"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</row>
    <row r="87" spans="25:50"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</row>
    <row r="88" spans="25:50"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</row>
    <row r="89" spans="25:50"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</row>
    <row r="90" spans="25:50"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90"/>
  <sheetViews>
    <sheetView topLeftCell="B1" zoomScale="90" workbookViewId="0">
      <selection activeCell="E21" sqref="E21"/>
    </sheetView>
  </sheetViews>
  <sheetFormatPr defaultRowHeight="12.75"/>
  <sheetData>
    <row r="1" spans="1:50">
      <c r="A1" s="17" t="s">
        <v>296</v>
      </c>
    </row>
    <row r="2" spans="1:50"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</row>
    <row r="3" spans="1:50">
      <c r="A3" t="s">
        <v>270</v>
      </c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</row>
    <row r="4" spans="1:50">
      <c r="D4" s="17"/>
      <c r="I4" s="17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</row>
    <row r="5" spans="1:50">
      <c r="A5" s="65" t="s">
        <v>110</v>
      </c>
      <c r="B5" s="61">
        <v>1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</row>
    <row r="6" spans="1:50">
      <c r="A6" s="35"/>
      <c r="B6" s="35"/>
      <c r="C6" s="35"/>
      <c r="D6" s="35"/>
      <c r="E6" s="60"/>
      <c r="F6" s="35"/>
      <c r="G6" s="35"/>
      <c r="H6" s="60"/>
      <c r="I6" s="35"/>
      <c r="J6" s="35"/>
      <c r="K6" s="35"/>
      <c r="L6" s="35"/>
      <c r="M6" s="35"/>
      <c r="N6" s="35"/>
      <c r="O6" s="35"/>
      <c r="Y6" s="35"/>
      <c r="Z6" s="37"/>
      <c r="AA6" s="40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</row>
    <row r="7" spans="1:50">
      <c r="A7" s="37"/>
      <c r="B7" s="40"/>
      <c r="C7" s="37"/>
      <c r="D7" s="35"/>
      <c r="E7" s="60"/>
      <c r="F7" s="35"/>
      <c r="G7" s="35"/>
      <c r="H7" s="60"/>
      <c r="I7" s="35"/>
      <c r="J7" s="37"/>
      <c r="K7" s="41"/>
      <c r="L7" s="37"/>
      <c r="M7" s="35"/>
      <c r="N7" s="35"/>
      <c r="O7" s="35"/>
      <c r="Y7" s="35"/>
      <c r="Z7" s="37"/>
      <c r="AA7" s="36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</row>
    <row r="8" spans="1:50">
      <c r="A8" s="37"/>
      <c r="B8" s="36"/>
      <c r="C8" s="37"/>
      <c r="D8" s="35"/>
      <c r="E8" s="60"/>
      <c r="F8" s="35"/>
      <c r="G8" s="35"/>
      <c r="H8" s="60"/>
      <c r="I8" s="35"/>
      <c r="J8" s="37"/>
      <c r="K8" s="38"/>
      <c r="L8" s="37"/>
      <c r="M8" s="35"/>
      <c r="N8" s="35"/>
      <c r="O8" s="35"/>
      <c r="Y8" s="35"/>
      <c r="Z8" s="37"/>
      <c r="AA8" s="40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</row>
    <row r="9" spans="1:50">
      <c r="A9" s="37"/>
      <c r="B9" s="40"/>
      <c r="C9" s="37"/>
      <c r="D9" s="35"/>
      <c r="E9" s="60"/>
      <c r="F9" s="35"/>
      <c r="G9" s="35"/>
      <c r="H9" s="60"/>
      <c r="I9" s="35"/>
      <c r="J9" s="37"/>
      <c r="K9" s="38"/>
      <c r="L9" s="37"/>
      <c r="M9" s="35"/>
      <c r="N9" s="35"/>
      <c r="O9" s="35"/>
      <c r="Y9" s="35"/>
      <c r="Z9" s="37"/>
      <c r="AA9" s="36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</row>
    <row r="10" spans="1:50">
      <c r="A10" s="37"/>
      <c r="B10" s="36"/>
      <c r="C10" s="37"/>
      <c r="D10" s="35"/>
      <c r="E10" s="60"/>
      <c r="F10" s="35"/>
      <c r="G10" s="35"/>
      <c r="H10" s="60"/>
      <c r="I10" s="35"/>
      <c r="J10" s="37"/>
      <c r="K10" s="38"/>
      <c r="L10" s="37"/>
      <c r="M10" s="35"/>
      <c r="N10" s="35"/>
      <c r="O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</row>
    <row r="11" spans="1:50">
      <c r="A11" s="35"/>
      <c r="B11" s="35"/>
      <c r="C11" s="35"/>
      <c r="D11" s="35"/>
      <c r="E11" s="60"/>
      <c r="F11" s="35"/>
      <c r="G11" s="35"/>
      <c r="H11" s="60"/>
      <c r="I11" s="35"/>
      <c r="J11" s="37"/>
      <c r="K11" s="38"/>
      <c r="L11" s="37"/>
      <c r="M11" s="35"/>
      <c r="N11" s="35"/>
      <c r="O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</row>
    <row r="12" spans="1:50">
      <c r="A12" s="35"/>
      <c r="B12" s="35"/>
      <c r="C12" s="35"/>
      <c r="D12" s="35"/>
      <c r="E12" s="60"/>
      <c r="F12" s="35"/>
      <c r="G12" s="35"/>
      <c r="H12" s="60"/>
      <c r="I12" s="35"/>
      <c r="J12" s="37"/>
      <c r="K12" s="38"/>
      <c r="L12" s="37"/>
      <c r="M12" s="35"/>
      <c r="N12" s="35"/>
      <c r="O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</row>
    <row r="13" spans="1:50">
      <c r="E13" t="s">
        <v>297</v>
      </c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</row>
    <row r="14" spans="1:50"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</row>
    <row r="15" spans="1:50">
      <c r="B15" t="s">
        <v>273</v>
      </c>
      <c r="Y15" s="35"/>
      <c r="Z15" s="35"/>
      <c r="AA15" s="35"/>
      <c r="AB15" s="35"/>
      <c r="AC15" s="35"/>
      <c r="AD15" s="35"/>
      <c r="AE15" s="37"/>
      <c r="AF15" s="35"/>
      <c r="AG15" s="35"/>
      <c r="AH15" s="35"/>
      <c r="AI15" s="35"/>
      <c r="AJ15" s="35"/>
      <c r="AK15" s="37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</row>
    <row r="16" spans="1:50">
      <c r="Y16" s="35"/>
      <c r="Z16" s="35"/>
      <c r="AA16" s="35"/>
      <c r="AB16" s="35"/>
      <c r="AC16" s="35"/>
      <c r="AD16" s="35"/>
      <c r="AE16" s="37"/>
      <c r="AF16" s="35"/>
      <c r="AG16" s="35"/>
      <c r="AH16" s="35"/>
      <c r="AI16" s="35"/>
      <c r="AJ16" s="35"/>
      <c r="AK16" s="37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</row>
    <row r="17" spans="2:50"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</row>
    <row r="18" spans="2:50">
      <c r="B18" s="9" t="s">
        <v>29</v>
      </c>
      <c r="D18" s="9" t="s">
        <v>57</v>
      </c>
      <c r="E18" s="9" t="s">
        <v>40</v>
      </c>
      <c r="F18" s="9" t="s">
        <v>110</v>
      </c>
      <c r="G18" s="9" t="s">
        <v>35</v>
      </c>
      <c r="H18" s="9" t="s">
        <v>116</v>
      </c>
      <c r="I18" s="9" t="s">
        <v>103</v>
      </c>
      <c r="J18" s="9" t="s">
        <v>104</v>
      </c>
      <c r="K18" s="9" t="s">
        <v>106</v>
      </c>
      <c r="L18" s="9" t="s">
        <v>123</v>
      </c>
      <c r="M18" s="9" t="s">
        <v>227</v>
      </c>
      <c r="N18" s="9" t="s">
        <v>220</v>
      </c>
      <c r="O18" s="47" t="s">
        <v>221</v>
      </c>
      <c r="P18" s="9" t="s">
        <v>222</v>
      </c>
      <c r="Q18" s="9" t="s">
        <v>223</v>
      </c>
      <c r="R18" s="9" t="s">
        <v>117</v>
      </c>
      <c r="S18" s="9" t="s">
        <v>141</v>
      </c>
      <c r="T18" s="23"/>
      <c r="U18" s="9" t="s">
        <v>228</v>
      </c>
      <c r="W18" s="9" t="s">
        <v>224</v>
      </c>
      <c r="Y18" s="35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5"/>
      <c r="AP18" s="35"/>
      <c r="AQ18" s="35"/>
      <c r="AR18" s="35"/>
      <c r="AS18" s="35"/>
      <c r="AT18" s="35"/>
      <c r="AU18" s="35"/>
      <c r="AV18" s="35"/>
      <c r="AW18" s="35"/>
      <c r="AX18" s="35"/>
    </row>
    <row r="19" spans="2:50">
      <c r="B19" s="9" t="s">
        <v>30</v>
      </c>
      <c r="D19" s="9" t="s">
        <v>4</v>
      </c>
      <c r="E19" s="9" t="s">
        <v>1</v>
      </c>
      <c r="G19" s="9" t="s">
        <v>98</v>
      </c>
      <c r="I19" s="9" t="s">
        <v>40</v>
      </c>
      <c r="J19" s="9" t="s">
        <v>100</v>
      </c>
      <c r="K19" s="9" t="s">
        <v>40</v>
      </c>
      <c r="L19" s="9" t="s">
        <v>100</v>
      </c>
      <c r="M19" s="9" t="s">
        <v>34</v>
      </c>
      <c r="N19" s="9" t="s">
        <v>34</v>
      </c>
      <c r="O19" s="48" t="s">
        <v>107</v>
      </c>
      <c r="P19" s="9" t="s">
        <v>225</v>
      </c>
      <c r="Q19" s="9" t="s">
        <v>226</v>
      </c>
      <c r="S19" s="9" t="s">
        <v>34</v>
      </c>
      <c r="T19" s="23"/>
      <c r="U19" s="9" t="s">
        <v>100</v>
      </c>
      <c r="Y19" s="35"/>
      <c r="Z19" s="35"/>
      <c r="AA19" s="35"/>
      <c r="AB19" s="37"/>
      <c r="AC19" s="37"/>
      <c r="AD19" s="37"/>
      <c r="AE19" s="37"/>
      <c r="AF19" s="37"/>
      <c r="AG19" s="37"/>
      <c r="AH19" s="37"/>
      <c r="AI19" s="35"/>
      <c r="AJ19" s="35"/>
      <c r="AK19" s="35"/>
      <c r="AL19" s="37"/>
      <c r="AM19" s="37"/>
      <c r="AN19" s="37"/>
      <c r="AO19" s="35"/>
      <c r="AP19" s="35"/>
      <c r="AQ19" s="35"/>
      <c r="AR19" s="35"/>
      <c r="AS19" s="35"/>
      <c r="AT19" s="35"/>
      <c r="AU19" s="35"/>
      <c r="AV19" s="35"/>
      <c r="AW19" s="35"/>
      <c r="AX19" s="35"/>
    </row>
    <row r="20" spans="2:50">
      <c r="T20" s="6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</row>
    <row r="21" spans="2:50">
      <c r="B21" s="1">
        <f>'RC'!F21</f>
        <v>0.65969672852566186</v>
      </c>
      <c r="D21" s="1">
        <f>Propeller!$B$8</f>
        <v>0.30479999999999996</v>
      </c>
      <c r="E21" s="20">
        <f ca="1">'RC'!X21</f>
        <v>29.912886947189744</v>
      </c>
      <c r="F21" s="49">
        <f t="shared" ref="F21:F40" ca="1" si="0">IF(ISERROR(W21),1,W21)</f>
        <v>1</v>
      </c>
      <c r="G21" s="19">
        <f ca="1">MAX(Motor!$B$7,K21*Motor!$B$7)</f>
        <v>13035.692661839403</v>
      </c>
      <c r="H21" s="10">
        <f ca="1">E21/(G21/60*D21)*Propulsão!J21</f>
        <v>0.4357352482700505</v>
      </c>
      <c r="I21" s="13">
        <f ca="1">F21*Energy!$B$6</f>
        <v>11.850000000000001</v>
      </c>
      <c r="J21" s="51">
        <f ca="1">IF(ISERROR(U21),Motor!$B$10,MIN(Motor!$B$10,U21))</f>
        <v>25.305712353873528</v>
      </c>
      <c r="K21" s="20">
        <f ca="1">I21-Motor!$B$9*J21</f>
        <v>10.863077218198933</v>
      </c>
      <c r="L21" s="14">
        <f ca="1">MAX(Motor!$B$8,J21-Motor!$B$8)</f>
        <v>23.005712353873527</v>
      </c>
      <c r="M21" s="14">
        <f t="shared" ref="M21:M40" ca="1" si="1">I21*J21</f>
        <v>299.87269139340134</v>
      </c>
      <c r="N21" s="20">
        <f t="shared" ref="N21:N40" ca="1" si="2">K21*L21</f>
        <v>249.91282975980127</v>
      </c>
      <c r="O21" s="1">
        <f t="shared" ref="O21:O40" ca="1" si="3">N21/(G21/60*(2*PI()))</f>
        <v>0.18307364202345314</v>
      </c>
      <c r="P21" s="10">
        <f t="shared" ref="P21:P40" ca="1" si="4">N21/(B21*(G21/60)^3*D21^5)</f>
        <v>1.4041736575786444E-2</v>
      </c>
      <c r="Q21" s="10">
        <f ca="1">Propeller!$B$15+Propeller!$B$16*H21+Propeller!$B$17*H21^2+Propeller!$B$18*H21^3+Propeller!$B$19*H21^4+Propeller!$B$20*H21^5+Propeller!$B$21*H21^6</f>
        <v>1.4041736575947126E-2</v>
      </c>
      <c r="R21" s="10">
        <f ca="1">(Propeller!$B$23+Propeller!$B$24*H21+Propeller!$B$25*H21^2+Propeller!$B$26*H21^3+Propeller!$B$27*H21^4+Propeller!$B$28*H21^5+Propeller!$B$29*H21^6)*Propulsão!M21</f>
        <v>0.65395214444659755</v>
      </c>
      <c r="S21" s="19">
        <f t="shared" ref="S21:S40" ca="1" si="5">N21*R21</f>
        <v>163.43103094613951</v>
      </c>
      <c r="T21" s="19"/>
      <c r="U21" s="14">
        <f ca="1">MAX(Motor!$B$8,J21+0.05*(Q21/P21-1)*J21)</f>
        <v>25.305712353888005</v>
      </c>
      <c r="V21" s="50" t="str">
        <f t="shared" ref="V21:V40" ca="1" si="6">IF(ABS((Q21-P21)/P21)&lt;0.01,"OK","iterate")</f>
        <v>OK</v>
      </c>
      <c r="W21" s="1">
        <f ca="1">IF(U21&gt;Motor!$B$10,F21+0.05*(Motor!$B$10/U21-1)*F21,MIN(1,$B$5))</f>
        <v>1</v>
      </c>
      <c r="X21" s="50" t="str">
        <f t="shared" ref="X21:X40" ca="1" si="7">IF(ABS((P21-Q21)/Q21)&lt;0.01,"OK","iterate")</f>
        <v>OK</v>
      </c>
      <c r="Y21" s="50"/>
      <c r="Z21" s="36"/>
      <c r="AA21" s="36"/>
      <c r="AB21" s="36"/>
      <c r="AC21" s="38"/>
      <c r="AD21" s="41"/>
      <c r="AE21" s="40"/>
      <c r="AF21" s="38"/>
      <c r="AG21" s="40"/>
      <c r="AH21" s="40"/>
      <c r="AI21" s="36"/>
      <c r="AJ21" s="36"/>
      <c r="AK21" s="36"/>
      <c r="AL21" s="40"/>
      <c r="AM21" s="40"/>
      <c r="AN21" s="38"/>
      <c r="AO21" s="35"/>
      <c r="AP21" s="35"/>
      <c r="AQ21" s="35"/>
      <c r="AR21" s="35"/>
      <c r="AS21" s="35"/>
      <c r="AT21" s="35"/>
      <c r="AU21" s="35"/>
      <c r="AV21" s="35"/>
      <c r="AW21" s="35"/>
      <c r="AX21" s="35"/>
    </row>
    <row r="22" spans="2:50">
      <c r="B22" s="1">
        <f>'RC'!F22</f>
        <v>0.65969672852566186</v>
      </c>
      <c r="D22" s="1">
        <f>Propeller!$B$8</f>
        <v>0.30479999999999996</v>
      </c>
      <c r="E22" s="20">
        <f ca="1">'RC'!X22</f>
        <v>29.421519599178584</v>
      </c>
      <c r="F22" s="49">
        <f t="shared" ca="1" si="0"/>
        <v>1</v>
      </c>
      <c r="G22" s="19">
        <f ca="1">MAX(Motor!$B$7,K22*Motor!$B$7)</f>
        <v>13009.39029762423</v>
      </c>
      <c r="H22" s="10">
        <f ca="1">E22/(G22/60*D22)*Propulsão!J22</f>
        <v>0.42944409247667764</v>
      </c>
      <c r="I22" s="13">
        <f ca="1">F22*Energy!$B$6</f>
        <v>11.850000000000001</v>
      </c>
      <c r="J22" s="51">
        <f ca="1">IF(ISERROR(U22),Motor!$B$10,MIN(Motor!$B$10,U22))</f>
        <v>25.867728683259188</v>
      </c>
      <c r="K22" s="20">
        <f ca="1">I22-Motor!$B$9*J22</f>
        <v>10.841158581352893</v>
      </c>
      <c r="L22" s="14">
        <f ca="1">MAX(Motor!$B$8,J22-Motor!$B$8)</f>
        <v>23.567728683259187</v>
      </c>
      <c r="M22" s="14">
        <f t="shared" ca="1" si="1"/>
        <v>306.53258489662142</v>
      </c>
      <c r="N22" s="20">
        <f t="shared" ca="1" si="2"/>
        <v>255.50148405751204</v>
      </c>
      <c r="O22" s="1">
        <f t="shared" ca="1" si="3"/>
        <v>0.18754602586945635</v>
      </c>
      <c r="P22" s="10">
        <f t="shared" ca="1" si="4"/>
        <v>1.444299313124147E-2</v>
      </c>
      <c r="Q22" s="10">
        <f ca="1">Propeller!$B$15+Propeller!$B$16*H22+Propeller!$B$17*H22^2+Propeller!$B$18*H22^3+Propeller!$B$19*H22^4+Propeller!$B$20*H22^5+Propeller!$B$21*H22^6</f>
        <v>1.4442993131421134E-2</v>
      </c>
      <c r="R22" s="10">
        <f ca="1">(Propeller!$B$23+Propeller!$B$24*H22+Propeller!$B$25*H22^2+Propeller!$B$26*H22^3+Propeller!$B$27*H22^4+Propeller!$B$28*H22^5+Propeller!$B$29*H22^6)*Propulsão!M22</f>
        <v>0.65949489506825798</v>
      </c>
      <c r="S22" s="19">
        <f t="shared" ca="1" si="5"/>
        <v>168.5019244182931</v>
      </c>
      <c r="T22" s="19"/>
      <c r="U22" s="14">
        <f ca="1">MAX(Motor!$B$8,J22+0.05*(Q22/P22-1)*J22)</f>
        <v>25.867728683275278</v>
      </c>
      <c r="V22" s="50" t="str">
        <f t="shared" ca="1" si="6"/>
        <v>OK</v>
      </c>
      <c r="W22" s="1">
        <f ca="1">IF(U22&gt;Motor!$B$10,F22+0.05*(Motor!$B$10/U22-1)*F22,MIN(1,$B$5))</f>
        <v>1</v>
      </c>
      <c r="X22" s="50" t="str">
        <f t="shared" ca="1" si="7"/>
        <v>OK</v>
      </c>
      <c r="Y22" s="35"/>
      <c r="Z22" s="36"/>
      <c r="AA22" s="36"/>
      <c r="AB22" s="36"/>
      <c r="AC22" s="38"/>
      <c r="AD22" s="41"/>
      <c r="AE22" s="40"/>
      <c r="AF22" s="38"/>
      <c r="AG22" s="40"/>
      <c r="AH22" s="40"/>
      <c r="AI22" s="36"/>
      <c r="AJ22" s="36"/>
      <c r="AK22" s="36"/>
      <c r="AL22" s="40"/>
      <c r="AM22" s="40"/>
      <c r="AN22" s="38"/>
      <c r="AO22" s="35"/>
      <c r="AP22" s="35"/>
      <c r="AQ22" s="35"/>
      <c r="AR22" s="35"/>
      <c r="AS22" s="35"/>
      <c r="AT22" s="35"/>
      <c r="AU22" s="35"/>
      <c r="AV22" s="35"/>
      <c r="AW22" s="35"/>
      <c r="AX22" s="35"/>
    </row>
    <row r="23" spans="2:50">
      <c r="B23" s="1">
        <f>'RC'!F23</f>
        <v>0.65969672852566186</v>
      </c>
      <c r="C23" s="6"/>
      <c r="D23" s="1">
        <f>Propeller!$B$8</f>
        <v>0.30479999999999996</v>
      </c>
      <c r="E23" s="20">
        <f ca="1">'RC'!X23</f>
        <v>28.954278467487942</v>
      </c>
      <c r="F23" s="49">
        <f t="shared" ca="1" si="0"/>
        <v>1</v>
      </c>
      <c r="G23" s="19">
        <f ca="1">MAX(Motor!$B$7,K23*Motor!$B$7)</f>
        <v>12985.018797759865</v>
      </c>
      <c r="H23" s="10">
        <f ca="1">E23/(G23/60*D23)*Propulsão!J23</f>
        <v>0.42341734088933769</v>
      </c>
      <c r="I23" s="13">
        <f ca="1">F23*Energy!$B$6</f>
        <v>11.850000000000001</v>
      </c>
      <c r="J23" s="51">
        <f ca="1">IF(ISERROR(U23),Motor!$B$10,MIN(Motor!$B$10,U23))</f>
        <v>26.388487227371069</v>
      </c>
      <c r="K23" s="20">
        <f ca="1">I23-Motor!$B$9*J23</f>
        <v>10.820848998132529</v>
      </c>
      <c r="L23" s="14">
        <f ca="1">MAX(Motor!$B$8,J23-Motor!$B$8)</f>
        <v>24.088487227371068</v>
      </c>
      <c r="M23" s="14">
        <f t="shared" ca="1" si="1"/>
        <v>312.70357364434722</v>
      </c>
      <c r="N23" s="20">
        <f t="shared" ca="1" si="2"/>
        <v>260.65788288082643</v>
      </c>
      <c r="O23" s="1">
        <f t="shared" ca="1" si="3"/>
        <v>0.19169009069209225</v>
      </c>
      <c r="P23" s="10">
        <f t="shared" ca="1" si="4"/>
        <v>1.4817595088559466E-2</v>
      </c>
      <c r="Q23" s="10">
        <f ca="1">Propeller!$B$15+Propeller!$B$16*H23+Propeller!$B$17*H23^2+Propeller!$B$18*H23^3+Propeller!$B$19*H23^4+Propeller!$B$20*H23^5+Propeller!$B$21*H23^6</f>
        <v>1.4817595088757005E-2</v>
      </c>
      <c r="R23" s="10">
        <f ca="1">(Propeller!$B$23+Propeller!$B$24*H23+Propeller!$B$25*H23^2+Propeller!$B$26*H23^3+Propeller!$B$27*H23^4+Propeller!$B$28*H23^5+Propeller!$B$29*H23^6)*Propulsão!M23</f>
        <v>0.66374731480460369</v>
      </c>
      <c r="S23" s="19">
        <f t="shared" ca="1" si="5"/>
        <v>173.01096984480142</v>
      </c>
      <c r="T23" s="19"/>
      <c r="U23" s="14">
        <f ca="1">MAX(Motor!$B$8,J23+0.05*(Q23/P23-1)*J23)</f>
        <v>26.388487227388659</v>
      </c>
      <c r="V23" s="50" t="str">
        <f t="shared" ca="1" si="6"/>
        <v>OK</v>
      </c>
      <c r="W23" s="1">
        <f ca="1">IF(U23&gt;Motor!$B$10,F23+0.05*(Motor!$B$10/U23-1)*F23,MIN(1,$B$5))</f>
        <v>1</v>
      </c>
      <c r="X23" s="50" t="str">
        <f t="shared" ca="1" si="7"/>
        <v>OK</v>
      </c>
      <c r="Y23" s="35"/>
      <c r="Z23" s="36"/>
      <c r="AA23" s="36"/>
      <c r="AB23" s="36"/>
      <c r="AC23" s="38"/>
      <c r="AD23" s="41"/>
      <c r="AE23" s="40"/>
      <c r="AF23" s="38"/>
      <c r="AG23" s="40"/>
      <c r="AH23" s="40"/>
      <c r="AI23" s="36"/>
      <c r="AJ23" s="36"/>
      <c r="AK23" s="36"/>
      <c r="AL23" s="40"/>
      <c r="AM23" s="40"/>
      <c r="AN23" s="38"/>
      <c r="AO23" s="35"/>
      <c r="AP23" s="35"/>
      <c r="AQ23" s="35"/>
      <c r="AR23" s="35"/>
      <c r="AS23" s="35"/>
      <c r="AT23" s="35"/>
      <c r="AU23" s="35"/>
      <c r="AV23" s="35"/>
      <c r="AW23" s="35"/>
      <c r="AX23" s="35"/>
    </row>
    <row r="24" spans="2:50">
      <c r="B24" s="1">
        <f>'RC'!F24</f>
        <v>0.65969672852566186</v>
      </c>
      <c r="C24" s="20"/>
      <c r="D24" s="1">
        <f>Propeller!$B$8</f>
        <v>0.30479999999999996</v>
      </c>
      <c r="E24" s="20">
        <f ca="1">'RC'!X24</f>
        <v>27.44967418856622</v>
      </c>
      <c r="F24" s="49">
        <f t="shared" ca="1" si="0"/>
        <v>1</v>
      </c>
      <c r="G24" s="19">
        <f ca="1">MAX(Motor!$B$7,K24*Motor!$B$7)</f>
        <v>12910.749402677066</v>
      </c>
      <c r="H24" s="10">
        <f ca="1">E24/(G24/60*D24)*Propulsão!J24</f>
        <v>0.40372367567731021</v>
      </c>
      <c r="I24" s="13">
        <f ca="1">F24*Energy!$B$6</f>
        <v>11.850000000000001</v>
      </c>
      <c r="J24" s="51">
        <f ca="1">IF(ISERROR(U24),Motor!$B$10,MIN(Motor!$B$10,U24))</f>
        <v>27.975440113758253</v>
      </c>
      <c r="K24" s="20">
        <f ca="1">I24-Motor!$B$9*J24</f>
        <v>10.758957835563429</v>
      </c>
      <c r="L24" s="14">
        <f ca="1">MAX(Motor!$B$8,J24-Motor!$B$8)</f>
        <v>25.675440113758253</v>
      </c>
      <c r="M24" s="14">
        <f t="shared" ca="1" si="1"/>
        <v>331.50896534803536</v>
      </c>
      <c r="N24" s="20">
        <f t="shared" ca="1" si="2"/>
        <v>276.24097759345892</v>
      </c>
      <c r="O24" s="1">
        <f t="shared" ca="1" si="3"/>
        <v>0.20431866050821304</v>
      </c>
      <c r="P24" s="10">
        <f t="shared" ca="1" si="4"/>
        <v>1.5976011151591935E-2</v>
      </c>
      <c r="Q24" s="10">
        <f ca="1">Propeller!$B$15+Propeller!$B$16*H24+Propeller!$B$17*H24^2+Propeller!$B$18*H24^3+Propeller!$B$19*H24^4+Propeller!$B$20*H24^5+Propeller!$B$21*H24^6</f>
        <v>1.597601115182232E-2</v>
      </c>
      <c r="R24" s="10">
        <f ca="1">(Propeller!$B$23+Propeller!$B$24*H24+Propeller!$B$25*H24^2+Propeller!$B$26*H24^3+Propeller!$B$27*H24^4+Propeller!$B$28*H24^5+Propeller!$B$29*H24^6)*Propulsão!M24</f>
        <v>0.67162169069890421</v>
      </c>
      <c r="S24" s="19">
        <f t="shared" ca="1" si="5"/>
        <v>185.529432411637</v>
      </c>
      <c r="T24" s="19"/>
      <c r="U24" s="14">
        <f ca="1">MAX(Motor!$B$8,J24+0.05*(Q24/P24-1)*J24)</f>
        <v>27.975440113778426</v>
      </c>
      <c r="V24" s="50" t="str">
        <f t="shared" ca="1" si="6"/>
        <v>OK</v>
      </c>
      <c r="W24" s="1">
        <f ca="1">IF(U24&gt;Motor!$B$10,F24+0.05*(Motor!$B$10/U24-1)*F24,MIN(1,$B$5))</f>
        <v>1</v>
      </c>
      <c r="X24" s="50" t="str">
        <f t="shared" ca="1" si="7"/>
        <v>OK</v>
      </c>
      <c r="Y24" s="35"/>
      <c r="Z24" s="36"/>
      <c r="AA24" s="36"/>
      <c r="AB24" s="36"/>
      <c r="AC24" s="38"/>
      <c r="AD24" s="41"/>
      <c r="AE24" s="40"/>
      <c r="AF24" s="38"/>
      <c r="AG24" s="40"/>
      <c r="AH24" s="40"/>
      <c r="AI24" s="36"/>
      <c r="AJ24" s="36"/>
      <c r="AK24" s="36"/>
      <c r="AL24" s="40"/>
      <c r="AM24" s="40"/>
      <c r="AN24" s="38"/>
      <c r="AO24" s="35"/>
      <c r="AP24" s="35"/>
      <c r="AQ24" s="35"/>
      <c r="AR24" s="35"/>
      <c r="AS24" s="35"/>
      <c r="AT24" s="35"/>
      <c r="AU24" s="35"/>
      <c r="AV24" s="35"/>
      <c r="AW24" s="35"/>
      <c r="AX24" s="35"/>
    </row>
    <row r="25" spans="2:50">
      <c r="B25" s="1">
        <f>'RC'!F25</f>
        <v>0.65969672852566186</v>
      </c>
      <c r="C25" s="6"/>
      <c r="D25" s="1">
        <f>Propeller!$B$8</f>
        <v>0.30479999999999996</v>
      </c>
      <c r="E25" s="20">
        <f ca="1">'RC'!X25</f>
        <v>27.03883277583968</v>
      </c>
      <c r="F25" s="49">
        <f t="shared" ca="1" si="0"/>
        <v>1</v>
      </c>
      <c r="G25" s="19">
        <f ca="1">MAX(Motor!$B$7,K25*Motor!$B$7)</f>
        <v>12891.57948810326</v>
      </c>
      <c r="H25" s="10">
        <f ca="1">E25/(G25/60*D25)*Propulsão!J25</f>
        <v>0.39827246796633847</v>
      </c>
      <c r="I25" s="13">
        <f ca="1">F25*Energy!$B$6</f>
        <v>11.850000000000001</v>
      </c>
      <c r="J25" s="51">
        <f ca="1">IF(ISERROR(U25),Motor!$B$10,MIN(Motor!$B$10,U25))</f>
        <v>28.385053673028938</v>
      </c>
      <c r="K25" s="20">
        <f ca="1">I25-Motor!$B$9*J25</f>
        <v>10.742982906751873</v>
      </c>
      <c r="L25" s="14">
        <f ca="1">MAX(Motor!$B$8,J25-Motor!$B$8)</f>
        <v>26.085053673028938</v>
      </c>
      <c r="M25" s="14">
        <f t="shared" ca="1" si="1"/>
        <v>336.36288602539298</v>
      </c>
      <c r="N25" s="20">
        <f t="shared" ca="1" si="2"/>
        <v>280.23128573105504</v>
      </c>
      <c r="O25" s="1">
        <f t="shared" ca="1" si="3"/>
        <v>0.20757826164398152</v>
      </c>
      <c r="P25" s="10">
        <f t="shared" ca="1" si="4"/>
        <v>1.6279191593212394E-2</v>
      </c>
      <c r="Q25" s="10">
        <f ca="1">Propeller!$B$15+Propeller!$B$16*H25+Propeller!$B$17*H25^2+Propeller!$B$18*H25^3+Propeller!$B$19*H25^4+Propeller!$B$20*H25^5+Propeller!$B$21*H25^6</f>
        <v>1.627919159345903E-2</v>
      </c>
      <c r="R25" s="10">
        <f ca="1">(Propeller!$B$23+Propeller!$B$24*H25+Propeller!$B$25*H25^2+Propeller!$B$26*H25^3+Propeller!$B$27*H25^4+Propeller!$B$28*H25^5+Propeller!$B$29*H25^6)*Propulsão!M25</f>
        <v>0.67243879360250425</v>
      </c>
      <c r="S25" s="19">
        <f t="shared" ca="1" si="5"/>
        <v>188.43838770666932</v>
      </c>
      <c r="T25" s="19"/>
      <c r="U25" s="14">
        <f ca="1">MAX(Motor!$B$8,J25+0.05*(Q25/P25-1)*J25)</f>
        <v>28.385053673050439</v>
      </c>
      <c r="V25" s="50" t="str">
        <f t="shared" ca="1" si="6"/>
        <v>OK</v>
      </c>
      <c r="W25" s="1">
        <f ca="1">IF(U25&gt;Motor!$B$10,F25+0.05*(Motor!$B$10/U25-1)*F25,MIN(1,$B$5))</f>
        <v>1</v>
      </c>
      <c r="X25" s="50" t="str">
        <f t="shared" ca="1" si="7"/>
        <v>OK</v>
      </c>
      <c r="Y25" s="35"/>
      <c r="Z25" s="36"/>
      <c r="AA25" s="36"/>
      <c r="AB25" s="36"/>
      <c r="AC25" s="38"/>
      <c r="AD25" s="41"/>
      <c r="AE25" s="40"/>
      <c r="AF25" s="38"/>
      <c r="AG25" s="40"/>
      <c r="AH25" s="40"/>
      <c r="AI25" s="36"/>
      <c r="AJ25" s="36"/>
      <c r="AK25" s="36"/>
      <c r="AL25" s="40"/>
      <c r="AM25" s="40"/>
      <c r="AN25" s="38"/>
      <c r="AO25" s="35"/>
      <c r="AP25" s="35"/>
      <c r="AQ25" s="35"/>
      <c r="AR25" s="35"/>
      <c r="AS25" s="35"/>
      <c r="AT25" s="35"/>
      <c r="AU25" s="35"/>
      <c r="AV25" s="35"/>
      <c r="AW25" s="35"/>
      <c r="AX25" s="35"/>
    </row>
    <row r="26" spans="2:50">
      <c r="B26" s="1">
        <f>'RC'!F26</f>
        <v>0.65969672852566186</v>
      </c>
      <c r="D26" s="1">
        <f>Propeller!$B$8</f>
        <v>0.30479999999999996</v>
      </c>
      <c r="E26" s="20">
        <f ca="1">'RC'!X26</f>
        <v>26.646781908866753</v>
      </c>
      <c r="F26" s="49">
        <f t="shared" ca="1" si="0"/>
        <v>1</v>
      </c>
      <c r="G26" s="19">
        <f ca="1">MAX(Motor!$B$7,K26*Motor!$B$7)</f>
        <v>12873.727020923543</v>
      </c>
      <c r="H26" s="10">
        <f ca="1">E26/(G26/60*D26)*Propulsão!J26</f>
        <v>0.39304198788791522</v>
      </c>
      <c r="I26" s="13">
        <f ca="1">F26*Energy!$B$6</f>
        <v>11.850000000000001</v>
      </c>
      <c r="J26" s="51">
        <f ca="1">IF(ISERROR(U26),Motor!$B$10,MIN(Motor!$B$10,U26))</f>
        <v>28.766516646955697</v>
      </c>
      <c r="K26" s="20">
        <f ca="1">I26-Motor!$B$9*J26</f>
        <v>10.728105850768729</v>
      </c>
      <c r="L26" s="14">
        <f ca="1">MAX(Motor!$B$8,J26-Motor!$B$8)</f>
        <v>26.466516646955697</v>
      </c>
      <c r="M26" s="14">
        <f t="shared" ca="1" si="1"/>
        <v>340.88322226642504</v>
      </c>
      <c r="N26" s="20">
        <f t="shared" ca="1" si="2"/>
        <v>283.93559208967338</v>
      </c>
      <c r="O26" s="1">
        <f t="shared" ca="1" si="3"/>
        <v>0.2106138475393293</v>
      </c>
      <c r="P26" s="10">
        <f t="shared" ca="1" si="4"/>
        <v>1.6563097389109674E-2</v>
      </c>
      <c r="Q26" s="10">
        <f ca="1">Propeller!$B$15+Propeller!$B$16*H26+Propeller!$B$17*H26^2+Propeller!$B$18*H26^3+Propeller!$B$19*H26^4+Propeller!$B$20*H26^5+Propeller!$B$21*H26^6</f>
        <v>1.6563097389370875E-2</v>
      </c>
      <c r="R26" s="10">
        <f ca="1">(Propeller!$B$23+Propeller!$B$24*H26+Propeller!$B$25*H26^2+Propeller!$B$26*H26^3+Propeller!$B$27*H26^4+Propeller!$B$28*H26^5+Propeller!$B$29*H26^6)*Propulsão!M26</f>
        <v>0.67275640820310267</v>
      </c>
      <c r="S26" s="19">
        <f t="shared" ca="1" si="5"/>
        <v>191.01948909526996</v>
      </c>
      <c r="T26" s="19"/>
      <c r="U26" s="14">
        <f ca="1">MAX(Motor!$B$8,J26+0.05*(Q26/P26-1)*J26)</f>
        <v>28.766516646978381</v>
      </c>
      <c r="V26" s="50" t="str">
        <f t="shared" ca="1" si="6"/>
        <v>OK</v>
      </c>
      <c r="W26" s="1">
        <f ca="1">IF(U26&gt;Motor!$B$10,F26+0.05*(Motor!$B$10/U26-1)*F26,MIN(1,$B$5))</f>
        <v>1</v>
      </c>
      <c r="X26" s="50" t="str">
        <f t="shared" ca="1" si="7"/>
        <v>OK</v>
      </c>
      <c r="Y26" s="35"/>
      <c r="Z26" s="36"/>
      <c r="AA26" s="36"/>
      <c r="AB26" s="36"/>
      <c r="AC26" s="38"/>
      <c r="AD26" s="41"/>
      <c r="AE26" s="40"/>
      <c r="AF26" s="38"/>
      <c r="AG26" s="40"/>
      <c r="AH26" s="40"/>
      <c r="AI26" s="36"/>
      <c r="AJ26" s="36"/>
      <c r="AK26" s="36"/>
      <c r="AL26" s="40"/>
      <c r="AM26" s="40"/>
      <c r="AN26" s="38"/>
      <c r="AO26" s="35"/>
      <c r="AP26" s="35"/>
      <c r="AQ26" s="35"/>
      <c r="AR26" s="35"/>
      <c r="AS26" s="35"/>
      <c r="AT26" s="35"/>
      <c r="AU26" s="35"/>
      <c r="AV26" s="35"/>
      <c r="AW26" s="35"/>
      <c r="AX26" s="35"/>
    </row>
    <row r="27" spans="2:50">
      <c r="B27" s="1">
        <f>'RC'!F27</f>
        <v>0.65969672852566186</v>
      </c>
      <c r="D27" s="1">
        <f>Propeller!$B$8</f>
        <v>0.30479999999999996</v>
      </c>
      <c r="E27" s="20">
        <f ca="1">'RC'!X27</f>
        <v>26.272229755698174</v>
      </c>
      <c r="F27" s="49">
        <f t="shared" ca="1" si="0"/>
        <v>1</v>
      </c>
      <c r="G27" s="19">
        <f ca="1">MAX(Motor!$B$7,K27*Motor!$B$7)</f>
        <v>12857.071656079759</v>
      </c>
      <c r="H27" s="10">
        <f ca="1">E27/(G27/60*D27)*Propulsão!J27</f>
        <v>0.38801931555467445</v>
      </c>
      <c r="I27" s="13">
        <f ca="1">F27*Energy!$B$6</f>
        <v>11.850000000000001</v>
      </c>
      <c r="J27" s="51">
        <f ca="1">IF(ISERROR(U27),Motor!$B$10,MIN(Motor!$B$10,U27))</f>
        <v>29.122400511139944</v>
      </c>
      <c r="K27" s="20">
        <f ca="1">I27-Motor!$B$9*J27</f>
        <v>10.714226380065544</v>
      </c>
      <c r="L27" s="14">
        <f ca="1">MAX(Motor!$B$8,J27-Motor!$B$8)</f>
        <v>26.822400511139943</v>
      </c>
      <c r="M27" s="14">
        <f t="shared" ca="1" si="1"/>
        <v>345.10044605700836</v>
      </c>
      <c r="N27" s="20">
        <f t="shared" ca="1" si="2"/>
        <v>287.38127113313908</v>
      </c>
      <c r="O27" s="1">
        <f t="shared" ca="1" si="3"/>
        <v>0.2134458813469067</v>
      </c>
      <c r="P27" s="10">
        <f t="shared" ca="1" si="4"/>
        <v>1.6829331911391243E-2</v>
      </c>
      <c r="Q27" s="10">
        <f ca="1">Propeller!$B$15+Propeller!$B$16*H27+Propeller!$B$17*H27^2+Propeller!$B$18*H27^3+Propeller!$B$19*H27^4+Propeller!$B$20*H27^5+Propeller!$B$21*H27^6</f>
        <v>1.6829331911662537E-2</v>
      </c>
      <c r="R27" s="10">
        <f ca="1">(Propeller!$B$23+Propeller!$B$24*H27+Propeller!$B$25*H27^2+Propeller!$B$26*H27^3+Propeller!$B$27*H27^4+Propeller!$B$28*H27^5+Propeller!$B$29*H27^6)*Propulsão!M27</f>
        <v>0.67266682700901681</v>
      </c>
      <c r="S27" s="19">
        <f t="shared" ca="1" si="5"/>
        <v>193.31184779494663</v>
      </c>
      <c r="T27" s="19"/>
      <c r="U27" s="14">
        <f ca="1">MAX(Motor!$B$8,J27+0.05*(Q27/P27-1)*J27)</f>
        <v>29.122400511163416</v>
      </c>
      <c r="V27" s="50" t="str">
        <f t="shared" ca="1" si="6"/>
        <v>OK</v>
      </c>
      <c r="W27" s="1">
        <f ca="1">IF(U27&gt;Motor!$B$10,F27+0.05*(Motor!$B$10/U27-1)*F27,MIN(1,$B$5))</f>
        <v>1</v>
      </c>
      <c r="X27" s="50" t="str">
        <f t="shared" ca="1" si="7"/>
        <v>OK</v>
      </c>
      <c r="Y27" s="35"/>
      <c r="Z27" s="36"/>
      <c r="AA27" s="36"/>
      <c r="AB27" s="36"/>
      <c r="AC27" s="38"/>
      <c r="AD27" s="41"/>
      <c r="AE27" s="40"/>
      <c r="AF27" s="38"/>
      <c r="AG27" s="40"/>
      <c r="AH27" s="40"/>
      <c r="AI27" s="36"/>
      <c r="AJ27" s="36"/>
      <c r="AK27" s="36"/>
      <c r="AL27" s="40"/>
      <c r="AM27" s="40"/>
      <c r="AN27" s="38"/>
      <c r="AO27" s="35"/>
      <c r="AP27" s="35"/>
      <c r="AQ27" s="35"/>
      <c r="AR27" s="35"/>
      <c r="AS27" s="35"/>
      <c r="AT27" s="35"/>
      <c r="AU27" s="35"/>
      <c r="AV27" s="35"/>
      <c r="AW27" s="35"/>
      <c r="AX27" s="35"/>
    </row>
    <row r="28" spans="2:50">
      <c r="B28" s="1">
        <f>'RC'!F28</f>
        <v>0.65969672852566186</v>
      </c>
      <c r="D28" s="1">
        <f>Propeller!$B$8</f>
        <v>0.30479999999999996</v>
      </c>
      <c r="E28" s="20">
        <f ca="1">'RC'!X28</f>
        <v>25.850372382859632</v>
      </c>
      <c r="F28" s="49">
        <f t="shared" ca="1" si="0"/>
        <v>1</v>
      </c>
      <c r="G28" s="19">
        <f ca="1">MAX(Motor!$B$7,K28*Motor!$B$7)</f>
        <v>12838.778965250811</v>
      </c>
      <c r="H28" s="10">
        <f ca="1">E28/(G28/60*D28)*Propulsão!J28</f>
        <v>0.38233280035361422</v>
      </c>
      <c r="I28" s="13">
        <f ca="1">F28*Energy!$B$6</f>
        <v>11.850000000000001</v>
      </c>
      <c r="J28" s="51">
        <f ca="1">IF(ISERROR(U28),Motor!$B$10,MIN(Motor!$B$10,U28))</f>
        <v>29.513269973368015</v>
      </c>
      <c r="K28" s="20">
        <f ca="1">I28-Motor!$B$9*J28</f>
        <v>10.698982471038649</v>
      </c>
      <c r="L28" s="14">
        <f ca="1">MAX(Motor!$B$8,J28-Motor!$B$8)</f>
        <v>27.213269973368014</v>
      </c>
      <c r="M28" s="14">
        <f t="shared" ca="1" si="1"/>
        <v>349.73224918441105</v>
      </c>
      <c r="N28" s="20">
        <f t="shared" ca="1" si="2"/>
        <v>291.15429842470678</v>
      </c>
      <c r="O28" s="1">
        <f t="shared" ca="1" si="3"/>
        <v>0.21655632169771377</v>
      </c>
      <c r="P28" s="10">
        <f t="shared" ca="1" si="4"/>
        <v>1.7123267744145448E-2</v>
      </c>
      <c r="Q28" s="10">
        <f ca="1">Propeller!$B$15+Propeller!$B$16*H28+Propeller!$B$17*H28^2+Propeller!$B$18*H28^3+Propeller!$B$19*H28^4+Propeller!$B$20*H28^5+Propeller!$B$21*H28^6</f>
        <v>1.7123267745235263E-2</v>
      </c>
      <c r="R28" s="10">
        <f ca="1">(Propeller!$B$23+Propeller!$B$24*H28+Propeller!$B$25*H28^2+Propeller!$B$26*H28^3+Propeller!$B$27*H28^4+Propeller!$B$28*H28^5+Propeller!$B$29*H28^6)*Propulsão!M28</f>
        <v>0.67213652886159814</v>
      </c>
      <c r="S28" s="19">
        <f t="shared" ca="1" si="5"/>
        <v>195.69543950631629</v>
      </c>
      <c r="T28" s="19"/>
      <c r="U28" s="14">
        <f ca="1">MAX(Motor!$B$8,J28+0.05*(Q28/P28-1)*J28)</f>
        <v>29.513269973461934</v>
      </c>
      <c r="V28" s="50" t="str">
        <f t="shared" ca="1" si="6"/>
        <v>OK</v>
      </c>
      <c r="W28" s="1">
        <f ca="1">IF(U28&gt;Motor!$B$10,F28+0.05*(Motor!$B$10/U28-1)*F28,MIN(1,$B$5))</f>
        <v>1</v>
      </c>
      <c r="X28" s="50" t="str">
        <f t="shared" ca="1" si="7"/>
        <v>OK</v>
      </c>
      <c r="Y28" s="35"/>
      <c r="Z28" s="36"/>
      <c r="AA28" s="36"/>
      <c r="AB28" s="36"/>
      <c r="AC28" s="38"/>
      <c r="AD28" s="41"/>
      <c r="AE28" s="40"/>
      <c r="AF28" s="38"/>
      <c r="AG28" s="40"/>
      <c r="AH28" s="40"/>
      <c r="AI28" s="36"/>
      <c r="AJ28" s="36"/>
      <c r="AK28" s="36"/>
      <c r="AL28" s="40"/>
      <c r="AM28" s="40"/>
      <c r="AN28" s="38"/>
      <c r="AO28" s="35"/>
      <c r="AP28" s="35"/>
      <c r="AQ28" s="35"/>
      <c r="AR28" s="35"/>
      <c r="AS28" s="35"/>
      <c r="AT28" s="35"/>
      <c r="AU28" s="35"/>
      <c r="AV28" s="35"/>
      <c r="AW28" s="35"/>
      <c r="AX28" s="35"/>
    </row>
    <row r="29" spans="2:50">
      <c r="B29" s="1">
        <f>'RC'!F29</f>
        <v>0.65969672852566186</v>
      </c>
      <c r="D29" s="1">
        <f>Propeller!$B$8</f>
        <v>0.30479999999999996</v>
      </c>
      <c r="E29" s="20">
        <f ca="1">'RC'!X29</f>
        <v>25.337550160719807</v>
      </c>
      <c r="F29" s="49">
        <f t="shared" ca="1" si="0"/>
        <v>1</v>
      </c>
      <c r="G29" s="19">
        <f ca="1">MAX(Motor!$B$7,K29*Motor!$B$7)</f>
        <v>12817.203362117805</v>
      </c>
      <c r="H29" s="10">
        <f ca="1">E29/(G29/60*D29)*Propulsão!J29</f>
        <v>0.37537886998654446</v>
      </c>
      <c r="I29" s="13">
        <f ca="1">F29*Energy!$B$6</f>
        <v>11.850000000000001</v>
      </c>
      <c r="J29" s="51">
        <f ca="1">IF(ISERROR(U29),Motor!$B$10,MIN(Motor!$B$10,U29))</f>
        <v>29.974287134327184</v>
      </c>
      <c r="K29" s="20">
        <f ca="1">I29-Motor!$B$9*J29</f>
        <v>10.681002801761242</v>
      </c>
      <c r="L29" s="14">
        <f ca="1">MAX(Motor!$B$8,J29-Motor!$B$8)</f>
        <v>27.674287134327184</v>
      </c>
      <c r="M29" s="14">
        <f t="shared" ca="1" si="1"/>
        <v>355.19530254177715</v>
      </c>
      <c r="N29" s="20">
        <f t="shared" ca="1" si="2"/>
        <v>295.58913841849375</v>
      </c>
      <c r="O29" s="1">
        <f t="shared" ca="1" si="3"/>
        <v>0.22022497969855656</v>
      </c>
      <c r="P29" s="10">
        <f t="shared" ca="1" si="4"/>
        <v>1.7472025462942076E-2</v>
      </c>
      <c r="Q29" s="10">
        <f ca="1">Propeller!$B$15+Propeller!$B$16*H29+Propeller!$B$17*H29^2+Propeller!$B$18*H29^3+Propeller!$B$19*H29^4+Propeller!$B$20*H29^5+Propeller!$B$21*H29^6</f>
        <v>1.7472025464008601E-2</v>
      </c>
      <c r="R29" s="10">
        <f ca="1">(Propeller!$B$23+Propeller!$B$24*H29+Propeller!$B$25*H29^2+Propeller!$B$26*H29^3+Propeller!$B$27*H29^4+Propeller!$B$28*H29^5+Propeller!$B$29*H29^6)*Propulsão!M29</f>
        <v>0.67092194315004416</v>
      </c>
      <c r="S29" s="19">
        <f t="shared" ca="1" si="5"/>
        <v>198.31723912178319</v>
      </c>
      <c r="T29" s="19"/>
      <c r="U29" s="14">
        <f ca="1">MAX(Motor!$B$8,J29+0.05*(Q29/P29-1)*J29)</f>
        <v>29.97428713441867</v>
      </c>
      <c r="V29" s="50" t="str">
        <f t="shared" ca="1" si="6"/>
        <v>OK</v>
      </c>
      <c r="W29" s="1">
        <f ca="1">IF(U29&gt;Motor!$B$10,F29+0.05*(Motor!$B$10/U29-1)*F29,MIN(1,$B$5))</f>
        <v>1</v>
      </c>
      <c r="X29" s="50" t="str">
        <f t="shared" ca="1" si="7"/>
        <v>OK</v>
      </c>
      <c r="Y29" s="35"/>
      <c r="Z29" s="36"/>
      <c r="AA29" s="36"/>
      <c r="AB29" s="36"/>
      <c r="AC29" s="38"/>
      <c r="AD29" s="41"/>
      <c r="AE29" s="40"/>
      <c r="AF29" s="38"/>
      <c r="AG29" s="40"/>
      <c r="AH29" s="40"/>
      <c r="AI29" s="36"/>
      <c r="AJ29" s="36"/>
      <c r="AK29" s="36"/>
      <c r="AL29" s="40"/>
      <c r="AM29" s="40"/>
      <c r="AN29" s="38"/>
      <c r="AO29" s="35"/>
      <c r="AP29" s="35"/>
      <c r="AQ29" s="35"/>
      <c r="AR29" s="35"/>
      <c r="AS29" s="35"/>
      <c r="AT29" s="35"/>
      <c r="AU29" s="35"/>
      <c r="AV29" s="35"/>
      <c r="AW29" s="35"/>
      <c r="AX29" s="35"/>
    </row>
    <row r="30" spans="2:50">
      <c r="B30" s="1">
        <f>'RC'!F30</f>
        <v>0.65969672852566186</v>
      </c>
      <c r="D30" s="1">
        <f>Propeller!$B$8</f>
        <v>0.30479999999999996</v>
      </c>
      <c r="E30" s="20">
        <f ca="1">'RC'!X30</f>
        <v>24.858990723279437</v>
      </c>
      <c r="F30" s="49">
        <f t="shared" ca="1" si="0"/>
        <v>1</v>
      </c>
      <c r="G30" s="19">
        <f ca="1">MAX(Motor!$B$7,K30*Motor!$B$7)</f>
        <v>12797.719929696406</v>
      </c>
      <c r="H30" s="10">
        <f ca="1">E30/(G30/60*D30)*Propulsão!J30</f>
        <v>0.36884964243051321</v>
      </c>
      <c r="I30" s="13">
        <f ca="1">F30*Energy!$B$6</f>
        <v>11.850000000000001</v>
      </c>
      <c r="J30" s="51">
        <f ca="1">IF(ISERROR(U30),Motor!$B$10,MIN(Motor!$B$10,U30))</f>
        <v>30.390599792901739</v>
      </c>
      <c r="K30" s="20">
        <f ca="1">I30-Motor!$B$9*J30</f>
        <v>10.664766608076834</v>
      </c>
      <c r="L30" s="14">
        <f ca="1">MAX(Motor!$B$8,J30-Motor!$B$8)</f>
        <v>28.090599792901738</v>
      </c>
      <c r="M30" s="14">
        <f t="shared" ca="1" si="1"/>
        <v>360.12860754588564</v>
      </c>
      <c r="N30" s="20">
        <f t="shared" ca="1" si="2"/>
        <v>299.57969067218846</v>
      </c>
      <c r="O30" s="1">
        <f t="shared" ca="1" si="3"/>
        <v>0.22353789057275067</v>
      </c>
      <c r="P30" s="10">
        <f t="shared" ca="1" si="4"/>
        <v>1.7788903141114986E-2</v>
      </c>
      <c r="Q30" s="10">
        <f ca="1">Propeller!$B$15+Propeller!$B$16*H30+Propeller!$B$17*H30^2+Propeller!$B$18*H30^3+Propeller!$B$19*H30^4+Propeller!$B$20*H30^5+Propeller!$B$21*H30^6</f>
        <v>1.778890314215863E-2</v>
      </c>
      <c r="R30" s="10">
        <f ca="1">(Propeller!$B$23+Propeller!$B$24*H30+Propeller!$B$25*H30^2+Propeller!$B$26*H30^3+Propeller!$B$27*H30^4+Propeller!$B$28*H30^5+Propeller!$B$29*H30^6)*Propulsão!M30</f>
        <v>0.66926428126622917</v>
      </c>
      <c r="S30" s="19">
        <f t="shared" ca="1" si="5"/>
        <v>200.49798635968148</v>
      </c>
      <c r="T30" s="19"/>
      <c r="U30" s="14">
        <f ca="1">MAX(Motor!$B$8,J30+0.05*(Q30/P30-1)*J30)</f>
        <v>30.390599792990887</v>
      </c>
      <c r="V30" s="50" t="str">
        <f t="shared" ca="1" si="6"/>
        <v>OK</v>
      </c>
      <c r="W30" s="1">
        <f ca="1">IF(U30&gt;Motor!$B$10,F30+0.05*(Motor!$B$10/U30-1)*F30,MIN(1,$B$5))</f>
        <v>1</v>
      </c>
      <c r="X30" s="50" t="str">
        <f t="shared" ca="1" si="7"/>
        <v>OK</v>
      </c>
      <c r="Y30" s="35"/>
      <c r="Z30" s="36"/>
      <c r="AA30" s="36"/>
      <c r="AB30" s="36"/>
      <c r="AC30" s="38"/>
      <c r="AD30" s="41"/>
      <c r="AE30" s="40"/>
      <c r="AF30" s="38"/>
      <c r="AG30" s="40"/>
      <c r="AH30" s="40"/>
      <c r="AI30" s="36"/>
      <c r="AJ30" s="36"/>
      <c r="AK30" s="36"/>
      <c r="AL30" s="40"/>
      <c r="AM30" s="40"/>
      <c r="AN30" s="38"/>
      <c r="AO30" s="35"/>
      <c r="AP30" s="35"/>
      <c r="AQ30" s="35"/>
      <c r="AR30" s="35"/>
      <c r="AS30" s="35"/>
      <c r="AT30" s="35"/>
      <c r="AU30" s="35"/>
      <c r="AV30" s="35"/>
      <c r="AW30" s="35"/>
      <c r="AX30" s="35"/>
    </row>
    <row r="31" spans="2:50">
      <c r="B31" s="1">
        <f>'RC'!F31</f>
        <v>0.65969672852566186</v>
      </c>
      <c r="D31" s="1">
        <f>Propeller!$B$8</f>
        <v>0.30479999999999996</v>
      </c>
      <c r="E31" s="20">
        <f ca="1">'RC'!X31</f>
        <v>24.411011139810388</v>
      </c>
      <c r="F31" s="49">
        <f t="shared" ca="1" si="0"/>
        <v>1</v>
      </c>
      <c r="G31" s="19">
        <f ca="1">MAX(Motor!$B$7,K31*Motor!$B$7)</f>
        <v>12780.046802784447</v>
      </c>
      <c r="H31" s="10">
        <f ca="1">E31/(G31/60*D31)*Propulsão!J31</f>
        <v>0.36270354539004529</v>
      </c>
      <c r="I31" s="13">
        <f ca="1">F31*Energy!$B$6</f>
        <v>11.850000000000001</v>
      </c>
      <c r="J31" s="51">
        <f ca="1">IF(ISERROR(U31),Motor!$B$10,MIN(Motor!$B$10,U31))</f>
        <v>30.768230709821619</v>
      </c>
      <c r="K31" s="20">
        <f ca="1">I31-Motor!$B$9*J31</f>
        <v>10.650039002316959</v>
      </c>
      <c r="L31" s="14">
        <f ca="1">MAX(Motor!$B$8,J31-Motor!$B$8)</f>
        <v>28.468230709821619</v>
      </c>
      <c r="M31" s="14">
        <f t="shared" ca="1" si="1"/>
        <v>364.60353391138625</v>
      </c>
      <c r="N31" s="20">
        <f t="shared" ca="1" si="2"/>
        <v>303.18776738655765</v>
      </c>
      <c r="O31" s="1">
        <f t="shared" ca="1" si="3"/>
        <v>0.22654298192735775</v>
      </c>
      <c r="P31" s="10">
        <f t="shared" ca="1" si="4"/>
        <v>1.8077940369798651E-2</v>
      </c>
      <c r="Q31" s="10">
        <f ca="1">Propeller!$B$15+Propeller!$B$16*H31+Propeller!$B$17*H31^2+Propeller!$B$18*H31^3+Propeller!$B$19*H31^4+Propeller!$B$20*H31^5+Propeller!$B$21*H31^6</f>
        <v>1.8077940370819792E-2</v>
      </c>
      <c r="R31" s="10">
        <f ca="1">(Propeller!$B$23+Propeller!$B$24*H31+Propeller!$B$25*H31^2+Propeller!$B$26*H31^3+Propeller!$B$27*H31^4+Propeller!$B$28*H31^5+Propeller!$B$29*H31^6)*Propulsão!M31</f>
        <v>0.66728428982608401</v>
      </c>
      <c r="S31" s="19">
        <f t="shared" ca="1" si="5"/>
        <v>202.31243404449509</v>
      </c>
      <c r="T31" s="19"/>
      <c r="U31" s="14">
        <f ca="1">MAX(Motor!$B$8,J31+0.05*(Q31/P31-1)*J31)</f>
        <v>30.768230709908519</v>
      </c>
      <c r="V31" s="50" t="str">
        <f t="shared" ca="1" si="6"/>
        <v>OK</v>
      </c>
      <c r="W31" s="1">
        <f ca="1">IF(U31&gt;Motor!$B$10,F31+0.05*(Motor!$B$10/U31-1)*F31,MIN(1,$B$5))</f>
        <v>1</v>
      </c>
      <c r="X31" s="50" t="str">
        <f t="shared" ca="1" si="7"/>
        <v>OK</v>
      </c>
      <c r="Y31" s="35"/>
      <c r="Z31" s="36"/>
      <c r="AA31" s="36"/>
      <c r="AB31" s="36"/>
      <c r="AC31" s="38"/>
      <c r="AD31" s="41"/>
      <c r="AE31" s="40"/>
      <c r="AF31" s="38"/>
      <c r="AG31" s="40"/>
      <c r="AH31" s="40"/>
      <c r="AI31" s="36"/>
      <c r="AJ31" s="36"/>
      <c r="AK31" s="36"/>
      <c r="AL31" s="40"/>
      <c r="AM31" s="40"/>
      <c r="AN31" s="38"/>
      <c r="AO31" s="35"/>
      <c r="AP31" s="35"/>
      <c r="AQ31" s="35"/>
      <c r="AR31" s="35"/>
      <c r="AS31" s="35"/>
      <c r="AT31" s="35"/>
      <c r="AU31" s="35"/>
      <c r="AV31" s="35"/>
      <c r="AW31" s="35"/>
      <c r="AX31" s="35"/>
    </row>
    <row r="32" spans="2:50">
      <c r="B32" s="1">
        <f>'RC'!F32</f>
        <v>0.65969672852566186</v>
      </c>
      <c r="D32" s="1">
        <f>Propeller!$B$8</f>
        <v>0.30479999999999996</v>
      </c>
      <c r="E32" s="20">
        <f ca="1">'RC'!X32</f>
        <v>23.990482001725344</v>
      </c>
      <c r="F32" s="49">
        <f t="shared" ca="1" si="0"/>
        <v>1</v>
      </c>
      <c r="G32" s="19">
        <f ca="1">MAX(Motor!$B$7,K32*Motor!$B$7)</f>
        <v>12763.950618169725</v>
      </c>
      <c r="H32" s="10">
        <f ca="1">E32/(G32/60*D32)*Propulsão!J32</f>
        <v>0.35690475536686189</v>
      </c>
      <c r="I32" s="13">
        <f ca="1">F32*Energy!$B$6</f>
        <v>11.850000000000001</v>
      </c>
      <c r="J32" s="51">
        <f ca="1">IF(ISERROR(U32),Motor!$B$10,MIN(Motor!$B$10,U32))</f>
        <v>31.112166278510045</v>
      </c>
      <c r="K32" s="20">
        <f ca="1">I32-Motor!$B$9*J32</f>
        <v>10.63662551513811</v>
      </c>
      <c r="L32" s="14">
        <f ca="1">MAX(Motor!$B$8,J32-Motor!$B$8)</f>
        <v>28.812166278510045</v>
      </c>
      <c r="M32" s="14">
        <f t="shared" ca="1" si="1"/>
        <v>368.67917040034411</v>
      </c>
      <c r="N32" s="20">
        <f t="shared" ca="1" si="2"/>
        <v>306.46422298440177</v>
      </c>
      <c r="O32" s="1">
        <f t="shared" ca="1" si="3"/>
        <v>0.22927993422045287</v>
      </c>
      <c r="P32" s="10">
        <f t="shared" ca="1" si="4"/>
        <v>1.8342521772016458E-2</v>
      </c>
      <c r="Q32" s="10">
        <f ca="1">Propeller!$B$15+Propeller!$B$16*H32+Propeller!$B$17*H32^2+Propeller!$B$18*H32^3+Propeller!$B$19*H32^4+Propeller!$B$20*H32^5+Propeller!$B$21*H32^6</f>
        <v>1.8342521773015069E-2</v>
      </c>
      <c r="R32" s="10">
        <f ca="1">(Propeller!$B$23+Propeller!$B$24*H32+Propeller!$B$25*H32^2+Propeller!$B$26*H32^3+Propeller!$B$27*H32^4+Propeller!$B$28*H32^5+Propeller!$B$29*H32^6)*Propulsão!M32</f>
        <v>0.6650697440589467</v>
      </c>
      <c r="S32" s="19">
        <f t="shared" ca="1" si="5"/>
        <v>203.82008234346006</v>
      </c>
      <c r="T32" s="19"/>
      <c r="U32" s="14">
        <f ca="1">MAX(Motor!$B$8,J32+0.05*(Q32/P32-1)*J32)</f>
        <v>31.112166278594735</v>
      </c>
      <c r="V32" s="50" t="str">
        <f t="shared" ca="1" si="6"/>
        <v>OK</v>
      </c>
      <c r="W32" s="1">
        <f ca="1">IF(U32&gt;Motor!$B$10,F32+0.05*(Motor!$B$10/U32-1)*F32,MIN(1,$B$5))</f>
        <v>1</v>
      </c>
      <c r="X32" s="50" t="str">
        <f t="shared" ca="1" si="7"/>
        <v>OK</v>
      </c>
      <c r="Y32" s="35"/>
      <c r="Z32" s="36"/>
      <c r="AA32" s="36"/>
      <c r="AB32" s="36"/>
      <c r="AC32" s="38"/>
      <c r="AD32" s="41"/>
      <c r="AE32" s="40"/>
      <c r="AF32" s="38"/>
      <c r="AG32" s="40"/>
      <c r="AH32" s="40"/>
      <c r="AI32" s="36"/>
      <c r="AJ32" s="36"/>
      <c r="AK32" s="36"/>
      <c r="AL32" s="40"/>
      <c r="AM32" s="40"/>
      <c r="AN32" s="38"/>
      <c r="AO32" s="35"/>
      <c r="AP32" s="35"/>
      <c r="AQ32" s="35"/>
      <c r="AR32" s="35"/>
      <c r="AS32" s="35"/>
      <c r="AT32" s="35"/>
      <c r="AU32" s="35"/>
      <c r="AV32" s="35"/>
      <c r="AW32" s="35"/>
      <c r="AX32" s="35"/>
    </row>
    <row r="33" spans="2:50">
      <c r="B33" s="1">
        <f>'RC'!F33</f>
        <v>0.65969672852566186</v>
      </c>
      <c r="D33" s="1">
        <f>Propeller!$B$8</f>
        <v>0.30479999999999996</v>
      </c>
      <c r="E33" s="20">
        <f ca="1">'RC'!X33</f>
        <v>23.594721425716866</v>
      </c>
      <c r="F33" s="49">
        <f t="shared" ca="1" si="0"/>
        <v>1</v>
      </c>
      <c r="G33" s="19">
        <f ca="1">MAX(Motor!$B$7,K33*Motor!$B$7)</f>
        <v>12749.236412562168</v>
      </c>
      <c r="H33" s="10">
        <f ca="1">E33/(G33/60*D33)*Propulsão!J33</f>
        <v>0.35142216978714275</v>
      </c>
      <c r="I33" s="13">
        <f ca="1">F33*Energy!$B$6</f>
        <v>11.850000000000001</v>
      </c>
      <c r="J33" s="51">
        <f ca="1">IF(ISERROR(U33),Motor!$B$10,MIN(Motor!$B$10,U33))</f>
        <v>31.42657238123396</v>
      </c>
      <c r="K33" s="20">
        <f ca="1">I33-Motor!$B$9*J33</f>
        <v>10.624363677131877</v>
      </c>
      <c r="L33" s="14">
        <f ca="1">MAX(Motor!$B$8,J33-Motor!$B$8)</f>
        <v>29.126572381233959</v>
      </c>
      <c r="M33" s="14">
        <f t="shared" ca="1" si="1"/>
        <v>372.40488271762246</v>
      </c>
      <c r="N33" s="20">
        <f t="shared" ca="1" si="2"/>
        <v>309.45129764653461</v>
      </c>
      <c r="O33" s="1">
        <f t="shared" ca="1" si="3"/>
        <v>0.23178189848979189</v>
      </c>
      <c r="P33" s="10">
        <f t="shared" ca="1" si="4"/>
        <v>1.8585506120534532E-2</v>
      </c>
      <c r="Q33" s="10">
        <f ca="1">Propeller!$B$15+Propeller!$B$16*H33+Propeller!$B$17*H33^2+Propeller!$B$18*H33^3+Propeller!$B$19*H33^4+Propeller!$B$20*H33^5+Propeller!$B$21*H33^6</f>
        <v>1.858550612151658E-2</v>
      </c>
      <c r="R33" s="10">
        <f ca="1">(Propeller!$B$23+Propeller!$B$24*H33+Propeller!$B$25*H33^2+Propeller!$B$26*H33^3+Propeller!$B$27*H33^4+Propeller!$B$28*H33^5+Propeller!$B$29*H33^6)*Propulsão!M33</f>
        <v>0.66268523262952139</v>
      </c>
      <c r="S33" s="19">
        <f t="shared" ca="1" si="5"/>
        <v>205.06880516840104</v>
      </c>
      <c r="T33" s="19"/>
      <c r="U33" s="14">
        <f ca="1">MAX(Motor!$B$8,J33+0.05*(Q33/P33-1)*J33)</f>
        <v>31.426572381316987</v>
      </c>
      <c r="V33" s="50" t="str">
        <f t="shared" ca="1" si="6"/>
        <v>OK</v>
      </c>
      <c r="W33" s="1">
        <f ca="1">IF(U33&gt;Motor!$B$10,F33+0.05*(Motor!$B$10/U33-1)*F33,MIN(1,$B$5))</f>
        <v>1</v>
      </c>
      <c r="X33" s="50" t="str">
        <f t="shared" ca="1" si="7"/>
        <v>OK</v>
      </c>
      <c r="Y33" s="35"/>
      <c r="Z33" s="36"/>
      <c r="AA33" s="36"/>
      <c r="AB33" s="36"/>
      <c r="AC33" s="38"/>
      <c r="AD33" s="41"/>
      <c r="AE33" s="40"/>
      <c r="AF33" s="38"/>
      <c r="AG33" s="40"/>
      <c r="AH33" s="40"/>
      <c r="AI33" s="36"/>
      <c r="AJ33" s="36"/>
      <c r="AK33" s="36"/>
      <c r="AL33" s="40"/>
      <c r="AM33" s="40"/>
      <c r="AN33" s="38"/>
      <c r="AO33" s="35"/>
      <c r="AP33" s="35"/>
      <c r="AQ33" s="35"/>
      <c r="AR33" s="35"/>
      <c r="AS33" s="35"/>
      <c r="AT33" s="35"/>
      <c r="AU33" s="35"/>
      <c r="AV33" s="35"/>
      <c r="AW33" s="35"/>
      <c r="AX33" s="35"/>
    </row>
    <row r="34" spans="2:50">
      <c r="B34" s="1">
        <f>'RC'!F34</f>
        <v>0.65969672852566186</v>
      </c>
      <c r="D34" s="1">
        <f>Propeller!$B$8</f>
        <v>0.30479999999999996</v>
      </c>
      <c r="E34" s="20">
        <f ca="1">'RC'!X34</f>
        <v>23.221306277971916</v>
      </c>
      <c r="F34" s="49">
        <f t="shared" ca="1" si="0"/>
        <v>1</v>
      </c>
      <c r="G34" s="19">
        <f ca="1">MAX(Motor!$B$7,K34*Motor!$B$7)</f>
        <v>12735.736152814494</v>
      </c>
      <c r="H34" s="10">
        <f ca="1">E34/(G34/60*D34)*Propulsão!J34</f>
        <v>0.34622710918974131</v>
      </c>
      <c r="I34" s="13">
        <f ca="1">F34*Energy!$B$6</f>
        <v>11.850000000000001</v>
      </c>
      <c r="J34" s="51">
        <f ca="1">IF(ISERROR(U34),Motor!$B$10,MIN(Motor!$B$10,U34))</f>
        <v>31.715039469858205</v>
      </c>
      <c r="K34" s="20">
        <f ca="1">I34-Motor!$B$9*J34</f>
        <v>10.613113460675532</v>
      </c>
      <c r="L34" s="14">
        <f ca="1">MAX(Motor!$B$8,J34-Motor!$B$8)</f>
        <v>29.415039469858204</v>
      </c>
      <c r="M34" s="14">
        <f t="shared" ca="1" si="1"/>
        <v>375.82321771781977</v>
      </c>
      <c r="N34" s="20">
        <f t="shared" ca="1" si="2"/>
        <v>312.18515134385416</v>
      </c>
      <c r="O34" s="1">
        <f t="shared" ca="1" si="3"/>
        <v>0.23407744664348601</v>
      </c>
      <c r="P34" s="10">
        <f t="shared" ca="1" si="4"/>
        <v>1.8809389096849847E-2</v>
      </c>
      <c r="Q34" s="10">
        <f ca="1">Propeller!$B$15+Propeller!$B$16*H34+Propeller!$B$17*H34^2+Propeller!$B$18*H34^3+Propeller!$B$19*H34^4+Propeller!$B$20*H34^5+Propeller!$B$21*H34^6</f>
        <v>1.8809389097819935E-2</v>
      </c>
      <c r="R34" s="10">
        <f ca="1">(Propeller!$B$23+Propeller!$B$24*H34+Propeller!$B$25*H34^2+Propeller!$B$26*H34^3+Propeller!$B$27*H34^4+Propeller!$B$28*H34^5+Propeller!$B$29*H34^6)*Propulsão!M34</f>
        <v>0.66017806599103257</v>
      </c>
      <c r="S34" s="19">
        <f t="shared" ca="1" si="5"/>
        <v>206.09778944530345</v>
      </c>
      <c r="T34" s="19"/>
      <c r="U34" s="14">
        <f ca="1">MAX(Motor!$B$8,J34+0.05*(Q34/P34-1)*J34)</f>
        <v>31.715039469939988</v>
      </c>
      <c r="V34" s="50" t="str">
        <f t="shared" ca="1" si="6"/>
        <v>OK</v>
      </c>
      <c r="W34" s="1">
        <f ca="1">IF(U34&gt;Motor!$B$10,F34+0.05*(Motor!$B$10/U34-1)*F34,MIN(1,$B$5))</f>
        <v>1</v>
      </c>
      <c r="X34" s="50" t="str">
        <f t="shared" ca="1" si="7"/>
        <v>OK</v>
      </c>
      <c r="Y34" s="35"/>
      <c r="Z34" s="36"/>
      <c r="AA34" s="36"/>
      <c r="AB34" s="36"/>
      <c r="AC34" s="38"/>
      <c r="AD34" s="41"/>
      <c r="AE34" s="40"/>
      <c r="AF34" s="38"/>
      <c r="AG34" s="40"/>
      <c r="AH34" s="40"/>
      <c r="AI34" s="36"/>
      <c r="AJ34" s="36"/>
      <c r="AK34" s="36"/>
      <c r="AL34" s="40"/>
      <c r="AM34" s="40"/>
      <c r="AN34" s="38"/>
      <c r="AO34" s="35"/>
      <c r="AP34" s="35"/>
      <c r="AQ34" s="35"/>
      <c r="AR34" s="35"/>
      <c r="AS34" s="35"/>
      <c r="AT34" s="35"/>
      <c r="AU34" s="35"/>
      <c r="AV34" s="35"/>
      <c r="AW34" s="35"/>
      <c r="AX34" s="35"/>
    </row>
    <row r="35" spans="2:50">
      <c r="B35" s="1">
        <f>'RC'!F35</f>
        <v>0.65969672852566186</v>
      </c>
      <c r="D35" s="1">
        <f>Propeller!$B$8</f>
        <v>0.30479999999999996</v>
      </c>
      <c r="E35" s="20">
        <f ca="1">'RC'!X35</f>
        <v>22.867828371672989</v>
      </c>
      <c r="F35" s="49">
        <f t="shared" ca="1" si="0"/>
        <v>1</v>
      </c>
      <c r="G35" s="19">
        <f ca="1">MAX(Motor!$B$7,K35*Motor!$B$7)</f>
        <v>12723.297110625666</v>
      </c>
      <c r="H35" s="10">
        <f ca="1">E35/(G35/60*D35)*Propulsão!J35</f>
        <v>0.34129013206509545</v>
      </c>
      <c r="I35" s="13">
        <f ca="1">F35*Energy!$B$6</f>
        <v>11.850000000000001</v>
      </c>
      <c r="J35" s="51">
        <f ca="1">IF(ISERROR(U35),Motor!$B$10,MIN(Motor!$B$10,U35))</f>
        <v>31.980830969617912</v>
      </c>
      <c r="K35" s="20">
        <f ca="1">I35-Motor!$B$9*J35</f>
        <v>10.602747592184903</v>
      </c>
      <c r="L35" s="14">
        <f ca="1">MAX(Motor!$B$8,J35-Motor!$B$8)</f>
        <v>29.680830969617912</v>
      </c>
      <c r="M35" s="14">
        <f t="shared" ca="1" si="1"/>
        <v>378.97284698997231</v>
      </c>
      <c r="N35" s="20">
        <f t="shared" ca="1" si="2"/>
        <v>314.6983590971634</v>
      </c>
      <c r="O35" s="1">
        <f t="shared" ca="1" si="3"/>
        <v>0.23619254819441499</v>
      </c>
      <c r="P35" s="10">
        <f t="shared" ca="1" si="4"/>
        <v>1.9016477740504835E-2</v>
      </c>
      <c r="Q35" s="10">
        <f ca="1">Propeller!$B$15+Propeller!$B$16*H35+Propeller!$B$17*H35^2+Propeller!$B$18*H35^3+Propeller!$B$19*H35^4+Propeller!$B$20*H35^5+Propeller!$B$21*H35^6</f>
        <v>1.9016477741459294E-2</v>
      </c>
      <c r="R35" s="10">
        <f ca="1">(Propeller!$B$23+Propeller!$B$24*H35+Propeller!$B$25*H35^2+Propeller!$B$26*H35^3+Propeller!$B$27*H35^4+Propeller!$B$28*H35^5+Propeller!$B$29*H35^6)*Propulsão!M35</f>
        <v>0.65758117519657089</v>
      </c>
      <c r="S35" s="19">
        <f t="shared" ca="1" si="5"/>
        <v>206.93971680754518</v>
      </c>
      <c r="T35" s="19"/>
      <c r="U35" s="14">
        <f ca="1">MAX(Motor!$B$8,J35+0.05*(Q35/P35-1)*J35)</f>
        <v>31.980830969698172</v>
      </c>
      <c r="V35" s="50" t="str">
        <f t="shared" ca="1" si="6"/>
        <v>OK</v>
      </c>
      <c r="W35" s="1">
        <f ca="1">IF(U35&gt;Motor!$B$10,F35+0.05*(Motor!$B$10/U35-1)*F35,MIN(1,$B$5))</f>
        <v>1</v>
      </c>
      <c r="X35" s="50" t="str">
        <f t="shared" ca="1" si="7"/>
        <v>OK</v>
      </c>
      <c r="Y35" s="35"/>
      <c r="Z35" s="36"/>
      <c r="AA35" s="36"/>
      <c r="AB35" s="36"/>
      <c r="AC35" s="38"/>
      <c r="AD35" s="41"/>
      <c r="AE35" s="40"/>
      <c r="AF35" s="38"/>
      <c r="AG35" s="40"/>
      <c r="AH35" s="40"/>
      <c r="AI35" s="36"/>
      <c r="AJ35" s="36"/>
      <c r="AK35" s="36"/>
      <c r="AL35" s="40"/>
      <c r="AM35" s="40"/>
      <c r="AN35" s="38"/>
      <c r="AO35" s="35"/>
      <c r="AP35" s="35"/>
      <c r="AQ35" s="35"/>
      <c r="AR35" s="35"/>
      <c r="AS35" s="35"/>
      <c r="AT35" s="35"/>
      <c r="AU35" s="35"/>
      <c r="AV35" s="35"/>
      <c r="AW35" s="35"/>
      <c r="AX35" s="35"/>
    </row>
    <row r="36" spans="2:50">
      <c r="B36" s="1">
        <f>'RC'!F36</f>
        <v>0.65969672852566186</v>
      </c>
      <c r="D36" s="1">
        <f>Propeller!$B$8</f>
        <v>0.30479999999999996</v>
      </c>
      <c r="E36" s="20">
        <f ca="1">'RC'!X36</f>
        <v>22.533115808238001</v>
      </c>
      <c r="F36" s="49">
        <f t="shared" ca="1" si="0"/>
        <v>1</v>
      </c>
      <c r="G36" s="19">
        <f ca="1">MAX(Motor!$B$7,K36*Motor!$B$7)</f>
        <v>12711.82154445091</v>
      </c>
      <c r="H36" s="10">
        <f ca="1">E36/(G36/60*D36)*Propulsão!J36</f>
        <v>0.33659831496941095</v>
      </c>
      <c r="I36" s="13">
        <f ca="1">F36*Energy!$B$6</f>
        <v>11.850000000000001</v>
      </c>
      <c r="J36" s="51">
        <f ca="1">IF(ISERROR(U36),Motor!$B$10,MIN(Motor!$B$10,U36))</f>
        <v>32.226035375059887</v>
      </c>
      <c r="K36" s="20">
        <f ca="1">I36-Motor!$B$9*J36</f>
        <v>10.593184620372666</v>
      </c>
      <c r="L36" s="14">
        <f ca="1">MAX(Motor!$B$8,J36-Motor!$B$8)</f>
        <v>29.926035375059886</v>
      </c>
      <c r="M36" s="14">
        <f t="shared" ca="1" si="1"/>
        <v>381.87851919445973</v>
      </c>
      <c r="N36" s="20">
        <f t="shared" ca="1" si="2"/>
        <v>317.01201768381276</v>
      </c>
      <c r="O36" s="1">
        <f t="shared" ca="1" si="3"/>
        <v>0.23814382285411564</v>
      </c>
      <c r="P36" s="10">
        <f t="shared" ca="1" si="4"/>
        <v>1.9208213381248087E-2</v>
      </c>
      <c r="Q36" s="10">
        <f ca="1">Propeller!$B$15+Propeller!$B$16*H36+Propeller!$B$17*H36^2+Propeller!$B$18*H36^3+Propeller!$B$19*H36^4+Propeller!$B$20*H36^5+Propeller!$B$21*H36^6</f>
        <v>1.9208213382186718E-2</v>
      </c>
      <c r="R36" s="10">
        <f ca="1">(Propeller!$B$23+Propeller!$B$24*H36+Propeller!$B$25*H36^2+Propeller!$B$26*H36^3+Propeller!$B$27*H36^4+Propeller!$B$28*H36^5+Propeller!$B$29*H36^6)*Propulsão!M36</f>
        <v>0.65492601146643858</v>
      </c>
      <c r="S36" s="19">
        <f t="shared" ca="1" si="5"/>
        <v>207.61941632858759</v>
      </c>
      <c r="T36" s="19"/>
      <c r="U36" s="14">
        <f ca="1">MAX(Motor!$B$8,J36+0.05*(Q36/P36-1)*J36)</f>
        <v>32.226035375138622</v>
      </c>
      <c r="V36" s="50" t="str">
        <f t="shared" ca="1" si="6"/>
        <v>OK</v>
      </c>
      <c r="W36" s="1">
        <f ca="1">IF(U36&gt;Motor!$B$10,F36+0.05*(Motor!$B$10/U36-1)*F36,MIN(1,$B$5))</f>
        <v>1</v>
      </c>
      <c r="X36" s="50" t="str">
        <f t="shared" ca="1" si="7"/>
        <v>OK</v>
      </c>
      <c r="Y36" s="35"/>
      <c r="Z36" s="36"/>
      <c r="AA36" s="36"/>
      <c r="AB36" s="36"/>
      <c r="AC36" s="38"/>
      <c r="AD36" s="41"/>
      <c r="AE36" s="40"/>
      <c r="AF36" s="38"/>
      <c r="AG36" s="40"/>
      <c r="AH36" s="40"/>
      <c r="AI36" s="36"/>
      <c r="AJ36" s="36"/>
      <c r="AK36" s="36"/>
      <c r="AL36" s="40"/>
      <c r="AM36" s="40"/>
      <c r="AN36" s="38"/>
      <c r="AO36" s="35"/>
      <c r="AP36" s="35"/>
      <c r="AQ36" s="35"/>
      <c r="AR36" s="35"/>
      <c r="AS36" s="35"/>
      <c r="AT36" s="35"/>
      <c r="AU36" s="35"/>
      <c r="AV36" s="35"/>
      <c r="AW36" s="35"/>
      <c r="AX36" s="35"/>
    </row>
    <row r="37" spans="2:50">
      <c r="B37" s="1">
        <f>'RC'!F37</f>
        <v>0.65969672852566186</v>
      </c>
      <c r="D37" s="1">
        <f>Propeller!$B$8</f>
        <v>0.30479999999999996</v>
      </c>
      <c r="E37" s="20">
        <f ca="1">'RC'!X37</f>
        <v>22.215604931199326</v>
      </c>
      <c r="F37" s="49">
        <f t="shared" ca="1" si="0"/>
        <v>1</v>
      </c>
      <c r="G37" s="19">
        <f ca="1">MAX(Motor!$B$7,K37*Motor!$B$7)</f>
        <v>12701.206418862015</v>
      </c>
      <c r="H37" s="10">
        <f ca="1">E37/(G37/60*D37)*Propulsão!J37</f>
        <v>0.33213270730488725</v>
      </c>
      <c r="I37" s="13">
        <f ca="1">F37*Energy!$B$6</f>
        <v>11.850000000000001</v>
      </c>
      <c r="J37" s="51">
        <f ca="1">IF(ISERROR(U37),Motor!$B$10,MIN(Motor!$B$10,U37))</f>
        <v>32.452854297898064</v>
      </c>
      <c r="K37" s="20">
        <f ca="1">I37-Motor!$B$9*J37</f>
        <v>10.584338682381977</v>
      </c>
      <c r="L37" s="14">
        <f ca="1">MAX(Motor!$B$8,J37-Motor!$B$8)</f>
        <v>30.152854297898063</v>
      </c>
      <c r="M37" s="14">
        <f t="shared" ca="1" si="1"/>
        <v>384.5663234300921</v>
      </c>
      <c r="N37" s="20">
        <f t="shared" ca="1" si="2"/>
        <v>319.14802212947012</v>
      </c>
      <c r="O37" s="1">
        <f t="shared" ca="1" si="3"/>
        <v>0.23994879049194009</v>
      </c>
      <c r="P37" s="10">
        <f t="shared" ca="1" si="4"/>
        <v>1.9386162202610777E-2</v>
      </c>
      <c r="Q37" s="10">
        <f ca="1">Propeller!$B$15+Propeller!$B$16*H37+Propeller!$B$17*H37^2+Propeller!$B$18*H37^3+Propeller!$B$19*H37^4+Propeller!$B$20*H37^5+Propeller!$B$21*H37^6</f>
        <v>1.9386162203534073E-2</v>
      </c>
      <c r="R37" s="10">
        <f ca="1">(Propeller!$B$23+Propeller!$B$24*H37+Propeller!$B$25*H37^2+Propeller!$B$26*H37^3+Propeller!$B$27*H37^4+Propeller!$B$28*H37^5+Propeller!$B$29*H37^6)*Propulsão!M37</f>
        <v>0.6522336811512115</v>
      </c>
      <c r="S37" s="19">
        <f t="shared" ca="1" si="5"/>
        <v>208.15908930563262</v>
      </c>
      <c r="T37" s="19"/>
      <c r="U37" s="14">
        <f ca="1">MAX(Motor!$B$8,J37+0.05*(Q37/P37-1)*J37)</f>
        <v>32.452854297975342</v>
      </c>
      <c r="V37" s="50" t="str">
        <f t="shared" ca="1" si="6"/>
        <v>OK</v>
      </c>
      <c r="W37" s="1">
        <f ca="1">IF(U37&gt;Motor!$B$10,F37+0.05*(Motor!$B$10/U37-1)*F37,MIN(1,$B$5))</f>
        <v>1</v>
      </c>
      <c r="X37" s="50" t="str">
        <f t="shared" ca="1" si="7"/>
        <v>OK</v>
      </c>
      <c r="Y37" s="35"/>
      <c r="Z37" s="36"/>
      <c r="AA37" s="36"/>
      <c r="AB37" s="36"/>
      <c r="AC37" s="38"/>
      <c r="AD37" s="41"/>
      <c r="AE37" s="40"/>
      <c r="AF37" s="38"/>
      <c r="AG37" s="40"/>
      <c r="AH37" s="40"/>
      <c r="AI37" s="36"/>
      <c r="AJ37" s="36"/>
      <c r="AK37" s="36"/>
      <c r="AL37" s="40"/>
      <c r="AM37" s="40"/>
      <c r="AN37" s="38"/>
      <c r="AO37" s="35"/>
      <c r="AP37" s="35"/>
      <c r="AQ37" s="35"/>
      <c r="AR37" s="35"/>
      <c r="AS37" s="35"/>
      <c r="AT37" s="35"/>
      <c r="AU37" s="35"/>
      <c r="AV37" s="35"/>
      <c r="AW37" s="35"/>
      <c r="AX37" s="35"/>
    </row>
    <row r="38" spans="2:50">
      <c r="B38" s="1">
        <f>'RC'!F38</f>
        <v>0.65969672852566186</v>
      </c>
      <c r="D38" s="1">
        <f>Propeller!$B$8</f>
        <v>0.30479999999999996</v>
      </c>
      <c r="E38" s="20">
        <f ca="1">'RC'!X38</f>
        <v>21.913913889377955</v>
      </c>
      <c r="F38" s="49">
        <f t="shared" ca="1" si="0"/>
        <v>1</v>
      </c>
      <c r="G38" s="19">
        <f ca="1">MAX(Motor!$B$7,K38*Motor!$B$7)</f>
        <v>12691.362745710159</v>
      </c>
      <c r="H38" s="10">
        <f ca="1">E38/(G38/60*D38)*Propulsão!J38</f>
        <v>0.3278764087571035</v>
      </c>
      <c r="I38" s="13">
        <f ca="1">F38*Energy!$B$6</f>
        <v>11.850000000000001</v>
      </c>
      <c r="J38" s="51">
        <f ca="1">IF(ISERROR(U38),Motor!$B$10,MIN(Motor!$B$10,U38))</f>
        <v>32.663189194303818</v>
      </c>
      <c r="K38" s="20">
        <f ca="1">I38-Motor!$B$9*J38</f>
        <v>10.576135621422152</v>
      </c>
      <c r="L38" s="14">
        <f ca="1">MAX(Motor!$B$8,J38-Motor!$B$8)</f>
        <v>30.363189194303818</v>
      </c>
      <c r="M38" s="14">
        <f t="shared" ca="1" si="1"/>
        <v>387.05879195250031</v>
      </c>
      <c r="N38" s="20">
        <f t="shared" ca="1" si="2"/>
        <v>321.12520681785679</v>
      </c>
      <c r="O38" s="1">
        <f t="shared" ca="1" si="3"/>
        <v>0.24162258241532572</v>
      </c>
      <c r="P38" s="10">
        <f t="shared" ca="1" si="4"/>
        <v>1.9551686835055211E-2</v>
      </c>
      <c r="Q38" s="10">
        <f ca="1">Propeller!$B$15+Propeller!$B$16*H38+Propeller!$B$17*H38^2+Propeller!$B$18*H38^3+Propeller!$B$19*H38^4+Propeller!$B$20*H38^5+Propeller!$B$21*H38^6</f>
        <v>1.9551686835963387E-2</v>
      </c>
      <c r="R38" s="10">
        <f ca="1">(Propeller!$B$23+Propeller!$B$24*H38+Propeller!$B$25*H38^2+Propeller!$B$26*H38^3+Propeller!$B$27*H38^4+Propeller!$B$28*H38^5+Propeller!$B$29*H38^6)*Propulsão!M38</f>
        <v>0.64952046951836917</v>
      </c>
      <c r="S38" s="19">
        <f t="shared" ca="1" si="5"/>
        <v>208.57739510651774</v>
      </c>
      <c r="T38" s="19"/>
      <c r="U38" s="14">
        <f ca="1">MAX(Motor!$B$8,J38+0.05*(Q38/P38-1)*J38)</f>
        <v>32.663189194379676</v>
      </c>
      <c r="V38" s="50" t="str">
        <f t="shared" ca="1" si="6"/>
        <v>OK</v>
      </c>
      <c r="W38" s="1">
        <f ca="1">IF(U38&gt;Motor!$B$10,F38+0.05*(Motor!$B$10/U38-1)*F38,MIN(1,$B$5))</f>
        <v>1</v>
      </c>
      <c r="X38" s="50" t="str">
        <f t="shared" ca="1" si="7"/>
        <v>OK</v>
      </c>
      <c r="Y38" s="35"/>
      <c r="Z38" s="36"/>
      <c r="AA38" s="36"/>
      <c r="AB38" s="36"/>
      <c r="AC38" s="38"/>
      <c r="AD38" s="41"/>
      <c r="AE38" s="40"/>
      <c r="AF38" s="38"/>
      <c r="AG38" s="40"/>
      <c r="AH38" s="40"/>
      <c r="AI38" s="36"/>
      <c r="AJ38" s="36"/>
      <c r="AK38" s="36"/>
      <c r="AL38" s="40"/>
      <c r="AM38" s="40"/>
      <c r="AN38" s="38"/>
      <c r="AO38" s="35"/>
      <c r="AP38" s="35"/>
      <c r="AQ38" s="35"/>
      <c r="AR38" s="35"/>
      <c r="AS38" s="35"/>
      <c r="AT38" s="35"/>
      <c r="AU38" s="35"/>
      <c r="AV38" s="35"/>
      <c r="AW38" s="35"/>
      <c r="AX38" s="35"/>
    </row>
    <row r="39" spans="2:50">
      <c r="B39" s="1">
        <f>'RC'!F39</f>
        <v>0.65969672852566186</v>
      </c>
      <c r="D39" s="1">
        <f>Propeller!$B$8</f>
        <v>0.30479999999999996</v>
      </c>
      <c r="E39" s="20">
        <f ca="1">'RC'!X39</f>
        <v>21.626815672280991</v>
      </c>
      <c r="F39" s="49">
        <f t="shared" ca="1" si="0"/>
        <v>1</v>
      </c>
      <c r="G39" s="19">
        <f ca="1">MAX(Motor!$B$7,K39*Motor!$B$7)</f>
        <v>12682.213266966648</v>
      </c>
      <c r="H39" s="10">
        <f ca="1">E39/(G39/60*D39)*Propulsão!J39</f>
        <v>0.32381428435336829</v>
      </c>
      <c r="I39" s="13">
        <f ca="1">F39*Energy!$B$6</f>
        <v>11.850000000000001</v>
      </c>
      <c r="J39" s="51">
        <f ca="1">IF(ISERROR(U39),Motor!$B$10,MIN(Motor!$B$10,U39))</f>
        <v>32.85869087685608</v>
      </c>
      <c r="K39" s="20">
        <f ca="1">I39-Motor!$B$9*J39</f>
        <v>10.568511055802615</v>
      </c>
      <c r="L39" s="14">
        <f ca="1">MAX(Motor!$B$8,J39-Motor!$B$8)</f>
        <v>30.55869087685608</v>
      </c>
      <c r="M39" s="14">
        <f t="shared" ca="1" si="1"/>
        <v>389.37548689074458</v>
      </c>
      <c r="N39" s="20">
        <f t="shared" ca="1" si="2"/>
        <v>322.959862382908</v>
      </c>
      <c r="O39" s="1">
        <f t="shared" ca="1" si="3"/>
        <v>0.24317833537337522</v>
      </c>
      <c r="P39" s="10">
        <f t="shared" ca="1" si="4"/>
        <v>1.9705978401161665E-2</v>
      </c>
      <c r="Q39" s="10">
        <f ca="1">Propeller!$B$15+Propeller!$B$16*H39+Propeller!$B$17*H39^2+Propeller!$B$18*H39^3+Propeller!$B$19*H39^4+Propeller!$B$20*H39^5+Propeller!$B$21*H39^6</f>
        <v>1.970597840205501E-2</v>
      </c>
      <c r="R39" s="10">
        <f ca="1">(Propeller!$B$23+Propeller!$B$24*H39+Propeller!$B$25*H39^2+Propeller!$B$26*H39^3+Propeller!$B$27*H39^4+Propeller!$B$28*H39^5+Propeller!$B$29*H39^6)*Propulsão!M39</f>
        <v>0.64679903436690933</v>
      </c>
      <c r="S39" s="19">
        <f t="shared" ca="1" si="5"/>
        <v>208.89012712853483</v>
      </c>
      <c r="T39" s="19"/>
      <c r="U39" s="14">
        <f ca="1">MAX(Motor!$B$8,J39+0.05*(Q39/P39-1)*J39)</f>
        <v>32.858690876930559</v>
      </c>
      <c r="V39" s="50" t="str">
        <f t="shared" ca="1" si="6"/>
        <v>OK</v>
      </c>
      <c r="W39" s="1">
        <f ca="1">IF(U39&gt;Motor!$B$10,F39+0.05*(Motor!$B$10/U39-1)*F39,MIN(1,$B$5))</f>
        <v>1</v>
      </c>
      <c r="X39" s="50" t="str">
        <f t="shared" ca="1" si="7"/>
        <v>OK</v>
      </c>
      <c r="Y39" s="35"/>
      <c r="Z39" s="36"/>
      <c r="AA39" s="36"/>
      <c r="AB39" s="36"/>
      <c r="AC39" s="38"/>
      <c r="AD39" s="41"/>
      <c r="AE39" s="40"/>
      <c r="AF39" s="38"/>
      <c r="AG39" s="40"/>
      <c r="AH39" s="40"/>
      <c r="AI39" s="36"/>
      <c r="AJ39" s="36"/>
      <c r="AK39" s="36"/>
      <c r="AL39" s="40"/>
      <c r="AM39" s="40"/>
      <c r="AN39" s="38"/>
      <c r="AO39" s="35"/>
      <c r="AP39" s="35"/>
      <c r="AQ39" s="35"/>
      <c r="AR39" s="35"/>
      <c r="AS39" s="35"/>
      <c r="AT39" s="35"/>
      <c r="AU39" s="35"/>
      <c r="AV39" s="35"/>
      <c r="AW39" s="35"/>
      <c r="AX39" s="35"/>
    </row>
    <row r="40" spans="2:50">
      <c r="B40" s="1">
        <f>'RC'!F40</f>
        <v>0.65969672852566186</v>
      </c>
      <c r="D40" s="1">
        <f>Propeller!$B$8</f>
        <v>0.30479999999999996</v>
      </c>
      <c r="E40" s="20">
        <f ca="1">'RC'!X40</f>
        <v>19.43145462796252</v>
      </c>
      <c r="F40" s="49">
        <f t="shared" ca="1" si="0"/>
        <v>1</v>
      </c>
      <c r="G40" s="19">
        <f ca="1">MAX(Motor!$B$7,K40*Motor!$B$7)</f>
        <v>12619.208017439996</v>
      </c>
      <c r="H40" s="10">
        <f ca="1">E40/(G40/60*D40)*Propulsão!J40</f>
        <v>0.29239617672127272</v>
      </c>
      <c r="I40" s="13">
        <f ca="1">F40*Energy!$B$6</f>
        <v>11.850000000000001</v>
      </c>
      <c r="J40" s="51">
        <f ca="1">IF(ISERROR(U40),Motor!$B$10,MIN(Motor!$B$10,U40))</f>
        <v>34.2050714875488</v>
      </c>
      <c r="K40" s="20">
        <f ca="1">I40-Motor!$B$9*J40</f>
        <v>10.516002211985597</v>
      </c>
      <c r="L40" s="14">
        <f ca="1">MAX(Motor!$B$8,J40-Motor!$B$8)</f>
        <v>31.905071487548799</v>
      </c>
      <c r="M40" s="14">
        <f t="shared" ca="1" si="1"/>
        <v>405.33009712745331</v>
      </c>
      <c r="N40" s="20">
        <f t="shared" ca="1" si="2"/>
        <v>335.51380233662178</v>
      </c>
      <c r="O40" s="1">
        <f t="shared" ca="1" si="3"/>
        <v>0.25389238394501029</v>
      </c>
      <c r="P40" s="10">
        <f t="shared" ca="1" si="4"/>
        <v>2.0780151047295914E-2</v>
      </c>
      <c r="Q40" s="10">
        <f ca="1">Propeller!$B$15+Propeller!$B$16*H40+Propeller!$B$17*H40^2+Propeller!$B$18*H40^3+Propeller!$B$19*H40^4+Propeller!$B$20*H40^5+Propeller!$B$21*H40^6</f>
        <v>2.078153854607491E-2</v>
      </c>
      <c r="R40" s="10">
        <f ca="1">(Propeller!$B$23+Propeller!$B$24*H40+Propeller!$B$25*H40^2+Propeller!$B$26*H40^3+Propeller!$B$27*H40^4+Propeller!$B$28*H40^5+Propeller!$B$29*H40^6)*Propulsão!M40</f>
        <v>0.62145856756532758</v>
      </c>
      <c r="S40" s="19">
        <f t="shared" ca="1" si="5"/>
        <v>208.50792699851343</v>
      </c>
      <c r="T40" s="19"/>
      <c r="U40" s="14">
        <f ca="1">MAX(Motor!$B$8,J40+0.05*(Q40/P40-1)*J40)</f>
        <v>34.205185681846082</v>
      </c>
      <c r="V40" s="50" t="str">
        <f t="shared" ca="1" si="6"/>
        <v>OK</v>
      </c>
      <c r="W40" s="1">
        <f ca="1">IF(U40&gt;Motor!$B$10,F40+0.05*(Motor!$B$10/U40-1)*F40,MIN(1,$B$5))</f>
        <v>1</v>
      </c>
      <c r="X40" s="50" t="str">
        <f t="shared" ca="1" si="7"/>
        <v>OK</v>
      </c>
      <c r="Y40" s="35"/>
      <c r="Z40" s="36"/>
      <c r="AA40" s="36"/>
      <c r="AB40" s="36"/>
      <c r="AC40" s="38"/>
      <c r="AD40" s="41"/>
      <c r="AE40" s="40"/>
      <c r="AF40" s="38"/>
      <c r="AG40" s="40"/>
      <c r="AH40" s="40"/>
      <c r="AI40" s="36"/>
      <c r="AJ40" s="36"/>
      <c r="AK40" s="36"/>
      <c r="AL40" s="40"/>
      <c r="AM40" s="40"/>
      <c r="AN40" s="38"/>
      <c r="AO40" s="35"/>
      <c r="AP40" s="35"/>
      <c r="AQ40" s="35"/>
      <c r="AR40" s="35"/>
      <c r="AS40" s="35"/>
      <c r="AT40" s="35"/>
      <c r="AU40" s="35"/>
      <c r="AV40" s="35"/>
      <c r="AW40" s="35"/>
      <c r="AX40" s="35"/>
    </row>
    <row r="41" spans="2:50">
      <c r="B41" s="1"/>
      <c r="D41" s="16"/>
      <c r="E41" s="19"/>
      <c r="F41" s="16"/>
      <c r="G41" s="19"/>
      <c r="H41" s="42"/>
      <c r="I41" s="40"/>
      <c r="J41" s="20"/>
      <c r="K41" s="19"/>
      <c r="L41" s="19"/>
      <c r="M41" s="20"/>
      <c r="N41" s="20"/>
      <c r="O41" s="42"/>
      <c r="P41" s="42"/>
      <c r="Q41" s="42"/>
      <c r="R41" s="19"/>
      <c r="S41" s="19"/>
      <c r="T41" s="19"/>
      <c r="U41" s="53"/>
      <c r="V41" s="16"/>
      <c r="W41" s="53"/>
      <c r="Y41" s="35"/>
      <c r="Z41" s="36"/>
      <c r="AA41" s="36"/>
      <c r="AB41" s="36"/>
      <c r="AC41" s="38"/>
      <c r="AD41" s="41"/>
      <c r="AE41" s="40"/>
      <c r="AF41" s="38"/>
      <c r="AG41" s="40"/>
      <c r="AH41" s="40"/>
      <c r="AI41" s="36"/>
      <c r="AJ41" s="36"/>
      <c r="AK41" s="36"/>
      <c r="AL41" s="40"/>
      <c r="AM41" s="40"/>
      <c r="AN41" s="38"/>
      <c r="AO41" s="35"/>
      <c r="AP41" s="35"/>
      <c r="AQ41" s="35"/>
      <c r="AR41" s="35"/>
      <c r="AS41" s="35"/>
      <c r="AT41" s="35"/>
      <c r="AU41" s="35"/>
      <c r="AV41" s="35"/>
      <c r="AW41" s="35"/>
      <c r="AX41" s="35"/>
    </row>
    <row r="42" spans="2:50">
      <c r="B42" s="1"/>
      <c r="D42" s="16"/>
      <c r="E42" s="19"/>
      <c r="F42" s="16"/>
      <c r="G42" s="19"/>
      <c r="H42" s="42"/>
      <c r="I42" s="40"/>
      <c r="J42" s="20"/>
      <c r="K42" s="19"/>
      <c r="L42" s="19"/>
      <c r="M42" s="20"/>
      <c r="N42" s="20"/>
      <c r="O42" s="42"/>
      <c r="P42" s="42"/>
      <c r="Q42" s="42"/>
      <c r="R42" s="19"/>
      <c r="S42" s="19"/>
      <c r="T42" s="19"/>
      <c r="U42" s="53"/>
      <c r="V42" s="16"/>
      <c r="W42" s="53"/>
      <c r="Y42" s="35"/>
      <c r="Z42" s="36"/>
      <c r="AA42" s="36"/>
      <c r="AB42" s="36"/>
      <c r="AC42" s="38"/>
      <c r="AD42" s="41"/>
      <c r="AE42" s="40"/>
      <c r="AF42" s="38"/>
      <c r="AG42" s="40"/>
      <c r="AH42" s="40"/>
      <c r="AI42" s="36"/>
      <c r="AJ42" s="36"/>
      <c r="AK42" s="36"/>
      <c r="AL42" s="40"/>
      <c r="AM42" s="40"/>
      <c r="AN42" s="38"/>
      <c r="AO42" s="35"/>
      <c r="AP42" s="35"/>
      <c r="AQ42" s="35"/>
      <c r="AR42" s="35"/>
      <c r="AS42" s="35"/>
      <c r="AT42" s="35"/>
      <c r="AU42" s="35"/>
      <c r="AV42" s="35"/>
      <c r="AW42" s="35"/>
      <c r="AX42" s="35"/>
    </row>
    <row r="43" spans="2:50">
      <c r="B43" s="1"/>
      <c r="Y43" s="35"/>
      <c r="Z43" s="36"/>
      <c r="AA43" s="36"/>
      <c r="AB43" s="36"/>
      <c r="AC43" s="38"/>
      <c r="AD43" s="41"/>
      <c r="AE43" s="40"/>
      <c r="AF43" s="38"/>
      <c r="AG43" s="40"/>
      <c r="AH43" s="40"/>
      <c r="AI43" s="36"/>
      <c r="AJ43" s="36"/>
      <c r="AK43" s="36"/>
      <c r="AL43" s="40"/>
      <c r="AM43" s="40"/>
      <c r="AN43" s="38"/>
      <c r="AO43" s="35"/>
      <c r="AP43" s="35"/>
      <c r="AQ43" s="35"/>
      <c r="AR43" s="35"/>
      <c r="AS43" s="35"/>
      <c r="AT43" s="35"/>
      <c r="AU43" s="35"/>
      <c r="AV43" s="35"/>
      <c r="AW43" s="35"/>
      <c r="AX43" s="35"/>
    </row>
    <row r="44" spans="2:50">
      <c r="B44" s="1"/>
      <c r="Y44" s="35"/>
      <c r="Z44" s="36"/>
      <c r="AA44" s="36"/>
      <c r="AB44" s="36"/>
      <c r="AC44" s="38"/>
      <c r="AD44" s="41"/>
      <c r="AE44" s="40"/>
      <c r="AF44" s="38"/>
      <c r="AG44" s="40"/>
      <c r="AH44" s="40"/>
      <c r="AI44" s="36"/>
      <c r="AJ44" s="36"/>
      <c r="AK44" s="36"/>
      <c r="AL44" s="40"/>
      <c r="AM44" s="40"/>
      <c r="AN44" s="38"/>
      <c r="AO44" s="35"/>
      <c r="AP44" s="35"/>
      <c r="AQ44" s="35"/>
      <c r="AR44" s="35"/>
      <c r="AS44" s="35"/>
      <c r="AT44" s="35"/>
      <c r="AU44" s="35"/>
      <c r="AV44" s="35"/>
      <c r="AW44" s="35"/>
      <c r="AX44" s="35"/>
    </row>
    <row r="45" spans="2:50">
      <c r="B45" s="1"/>
      <c r="Y45" s="35"/>
      <c r="Z45" s="36"/>
      <c r="AA45" s="36"/>
      <c r="AB45" s="36"/>
      <c r="AC45" s="38"/>
      <c r="AD45" s="41"/>
      <c r="AE45" s="40"/>
      <c r="AF45" s="38"/>
      <c r="AG45" s="40"/>
      <c r="AH45" s="40"/>
      <c r="AI45" s="36"/>
      <c r="AJ45" s="36"/>
      <c r="AK45" s="36"/>
      <c r="AL45" s="40"/>
      <c r="AM45" s="40"/>
      <c r="AN45" s="38"/>
      <c r="AO45" s="35"/>
      <c r="AP45" s="35"/>
      <c r="AQ45" s="35"/>
      <c r="AR45" s="35"/>
      <c r="AS45" s="35"/>
      <c r="AT45" s="35"/>
      <c r="AU45" s="35"/>
      <c r="AV45" s="35"/>
      <c r="AW45" s="35"/>
      <c r="AX45" s="35"/>
    </row>
    <row r="46" spans="2:50">
      <c r="B46" s="1"/>
      <c r="Y46" s="35"/>
      <c r="Z46" s="36"/>
      <c r="AA46" s="36"/>
      <c r="AB46" s="36"/>
      <c r="AC46" s="38"/>
      <c r="AD46" s="41"/>
      <c r="AE46" s="40"/>
      <c r="AF46" s="38"/>
      <c r="AG46" s="40"/>
      <c r="AH46" s="40"/>
      <c r="AI46" s="36"/>
      <c r="AJ46" s="36"/>
      <c r="AK46" s="36"/>
      <c r="AL46" s="40"/>
      <c r="AM46" s="40"/>
      <c r="AN46" s="38"/>
      <c r="AO46" s="35"/>
      <c r="AP46" s="35"/>
      <c r="AQ46" s="35"/>
      <c r="AR46" s="35"/>
      <c r="AS46" s="35"/>
      <c r="AT46" s="35"/>
      <c r="AU46" s="35"/>
      <c r="AV46" s="35"/>
      <c r="AW46" s="35"/>
      <c r="AX46" s="35"/>
    </row>
    <row r="47" spans="2:50">
      <c r="B47" s="1"/>
      <c r="Y47" s="35"/>
      <c r="Z47" s="36"/>
      <c r="AA47" s="36"/>
      <c r="AB47" s="36"/>
      <c r="AC47" s="38"/>
      <c r="AD47" s="41"/>
      <c r="AE47" s="40"/>
      <c r="AF47" s="38"/>
      <c r="AG47" s="40"/>
      <c r="AH47" s="40"/>
      <c r="AI47" s="36"/>
      <c r="AJ47" s="36"/>
      <c r="AK47" s="36"/>
      <c r="AL47" s="40"/>
      <c r="AM47" s="40"/>
      <c r="AN47" s="38"/>
      <c r="AO47" s="35"/>
      <c r="AP47" s="35"/>
      <c r="AQ47" s="35"/>
      <c r="AR47" s="35"/>
      <c r="AS47" s="35"/>
      <c r="AT47" s="35"/>
      <c r="AU47" s="35"/>
      <c r="AV47" s="35"/>
      <c r="AW47" s="35"/>
      <c r="AX47" s="35"/>
    </row>
    <row r="48" spans="2:50">
      <c r="Y48" s="35"/>
      <c r="Z48" s="36"/>
      <c r="AA48" s="36"/>
      <c r="AB48" s="36"/>
      <c r="AC48" s="38"/>
      <c r="AD48" s="41"/>
      <c r="AE48" s="40"/>
      <c r="AF48" s="38"/>
      <c r="AG48" s="40"/>
      <c r="AH48" s="40"/>
      <c r="AI48" s="36"/>
      <c r="AJ48" s="36"/>
      <c r="AK48" s="36"/>
      <c r="AL48" s="40"/>
      <c r="AM48" s="40"/>
      <c r="AN48" s="38"/>
      <c r="AO48" s="35"/>
      <c r="AP48" s="35"/>
      <c r="AQ48" s="35"/>
      <c r="AR48" s="35"/>
      <c r="AS48" s="35"/>
      <c r="AT48" s="35"/>
      <c r="AU48" s="35"/>
      <c r="AV48" s="35"/>
      <c r="AW48" s="35"/>
      <c r="AX48" s="35"/>
    </row>
    <row r="49" spans="25:50">
      <c r="Y49" s="35"/>
      <c r="Z49" s="36"/>
      <c r="AA49" s="36"/>
      <c r="AB49" s="36"/>
      <c r="AC49" s="38"/>
      <c r="AD49" s="41"/>
      <c r="AE49" s="40"/>
      <c r="AF49" s="38"/>
      <c r="AG49" s="40"/>
      <c r="AH49" s="40"/>
      <c r="AI49" s="36"/>
      <c r="AJ49" s="36"/>
      <c r="AK49" s="36"/>
      <c r="AL49" s="40"/>
      <c r="AM49" s="40"/>
      <c r="AN49" s="38"/>
      <c r="AO49" s="35"/>
      <c r="AP49" s="35"/>
      <c r="AQ49" s="35"/>
      <c r="AR49" s="35"/>
      <c r="AS49" s="35"/>
      <c r="AT49" s="35"/>
      <c r="AU49" s="35"/>
      <c r="AV49" s="35"/>
      <c r="AW49" s="35"/>
      <c r="AX49" s="35"/>
    </row>
    <row r="50" spans="25:50">
      <c r="Y50" s="35"/>
      <c r="Z50" s="36"/>
      <c r="AA50" s="36"/>
      <c r="AB50" s="36"/>
      <c r="AC50" s="38"/>
      <c r="AD50" s="41"/>
      <c r="AE50" s="40"/>
      <c r="AF50" s="38"/>
      <c r="AG50" s="40"/>
      <c r="AH50" s="40"/>
      <c r="AI50" s="36"/>
      <c r="AJ50" s="36"/>
      <c r="AK50" s="36"/>
      <c r="AL50" s="40"/>
      <c r="AM50" s="40"/>
      <c r="AN50" s="38"/>
      <c r="AO50" s="35"/>
      <c r="AP50" s="35"/>
      <c r="AQ50" s="35"/>
      <c r="AR50" s="35"/>
      <c r="AS50" s="35"/>
      <c r="AT50" s="35"/>
      <c r="AU50" s="35"/>
      <c r="AV50" s="35"/>
      <c r="AW50" s="35"/>
      <c r="AX50" s="35"/>
    </row>
    <row r="51" spans="25:50">
      <c r="Y51" s="35"/>
      <c r="Z51" s="36"/>
      <c r="AA51" s="36"/>
      <c r="AB51" s="36"/>
      <c r="AC51" s="38"/>
      <c r="AD51" s="41"/>
      <c r="AE51" s="40"/>
      <c r="AF51" s="38"/>
      <c r="AG51" s="40"/>
      <c r="AH51" s="40"/>
      <c r="AI51" s="36"/>
      <c r="AJ51" s="36"/>
      <c r="AK51" s="36"/>
      <c r="AL51" s="40"/>
      <c r="AM51" s="40"/>
      <c r="AN51" s="38"/>
      <c r="AO51" s="35"/>
      <c r="AP51" s="35"/>
      <c r="AQ51" s="35"/>
      <c r="AR51" s="35"/>
      <c r="AS51" s="35"/>
      <c r="AT51" s="35"/>
      <c r="AU51" s="35"/>
      <c r="AV51" s="35"/>
      <c r="AW51" s="35"/>
      <c r="AX51" s="35"/>
    </row>
    <row r="52" spans="25:50">
      <c r="Y52" s="35"/>
      <c r="Z52" s="36"/>
      <c r="AA52" s="36"/>
      <c r="AB52" s="36"/>
      <c r="AC52" s="38"/>
      <c r="AD52" s="41"/>
      <c r="AE52" s="40"/>
      <c r="AF52" s="38"/>
      <c r="AG52" s="40"/>
      <c r="AH52" s="40"/>
      <c r="AI52" s="36"/>
      <c r="AJ52" s="36"/>
      <c r="AK52" s="36"/>
      <c r="AL52" s="40"/>
      <c r="AM52" s="40"/>
      <c r="AN52" s="38"/>
      <c r="AO52" s="35"/>
      <c r="AP52" s="35"/>
      <c r="AQ52" s="35"/>
      <c r="AR52" s="35"/>
      <c r="AS52" s="35"/>
      <c r="AT52" s="35"/>
      <c r="AU52" s="35"/>
      <c r="AV52" s="35"/>
      <c r="AW52" s="35"/>
      <c r="AX52" s="35"/>
    </row>
    <row r="53" spans="25:50">
      <c r="Y53" s="35"/>
      <c r="Z53" s="36"/>
      <c r="AA53" s="36"/>
      <c r="AB53" s="36"/>
      <c r="AC53" s="38"/>
      <c r="AD53" s="41"/>
      <c r="AE53" s="40"/>
      <c r="AF53" s="38"/>
      <c r="AG53" s="40"/>
      <c r="AH53" s="40"/>
      <c r="AI53" s="36"/>
      <c r="AJ53" s="36"/>
      <c r="AK53" s="36"/>
      <c r="AL53" s="40"/>
      <c r="AM53" s="40"/>
      <c r="AN53" s="38"/>
      <c r="AO53" s="35"/>
      <c r="AP53" s="35"/>
      <c r="AQ53" s="35"/>
      <c r="AR53" s="35"/>
      <c r="AS53" s="35"/>
      <c r="AT53" s="35"/>
      <c r="AU53" s="35"/>
      <c r="AV53" s="35"/>
      <c r="AW53" s="35"/>
      <c r="AX53" s="35"/>
    </row>
    <row r="54" spans="25:50">
      <c r="Y54" s="35"/>
      <c r="Z54" s="36"/>
      <c r="AA54" s="36"/>
      <c r="AB54" s="36"/>
      <c r="AC54" s="38"/>
      <c r="AD54" s="41"/>
      <c r="AE54" s="40"/>
      <c r="AF54" s="38"/>
      <c r="AG54" s="40"/>
      <c r="AH54" s="40"/>
      <c r="AI54" s="36"/>
      <c r="AJ54" s="36"/>
      <c r="AK54" s="36"/>
      <c r="AL54" s="40"/>
      <c r="AM54" s="40"/>
      <c r="AN54" s="38"/>
      <c r="AO54" s="35"/>
      <c r="AP54" s="35"/>
      <c r="AQ54" s="35"/>
      <c r="AR54" s="35"/>
      <c r="AS54" s="35"/>
      <c r="AT54" s="35"/>
      <c r="AU54" s="35"/>
      <c r="AV54" s="35"/>
      <c r="AW54" s="35"/>
      <c r="AX54" s="35"/>
    </row>
    <row r="55" spans="25:50">
      <c r="Y55" s="35"/>
      <c r="Z55" s="36"/>
      <c r="AA55" s="36"/>
      <c r="AB55" s="36"/>
      <c r="AC55" s="38"/>
      <c r="AD55" s="41"/>
      <c r="AE55" s="40"/>
      <c r="AF55" s="38"/>
      <c r="AG55" s="40"/>
      <c r="AH55" s="40"/>
      <c r="AI55" s="36"/>
      <c r="AJ55" s="36"/>
      <c r="AK55" s="36"/>
      <c r="AL55" s="40"/>
      <c r="AM55" s="40"/>
      <c r="AN55" s="38"/>
      <c r="AO55" s="35"/>
      <c r="AP55" s="35"/>
      <c r="AQ55" s="35"/>
      <c r="AR55" s="35"/>
      <c r="AS55" s="35"/>
      <c r="AT55" s="35"/>
      <c r="AU55" s="35"/>
      <c r="AV55" s="35"/>
      <c r="AW55" s="35"/>
      <c r="AX55" s="35"/>
    </row>
    <row r="56" spans="25:50"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</row>
    <row r="57" spans="25:50"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</row>
    <row r="58" spans="25:50"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</row>
    <row r="59" spans="25:50"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</row>
    <row r="60" spans="25:50"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</row>
    <row r="61" spans="25:50"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</row>
    <row r="62" spans="25:50"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</row>
    <row r="63" spans="25:50"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</row>
    <row r="64" spans="25:50"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</row>
    <row r="65" spans="25:50"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</row>
    <row r="66" spans="25:50"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</row>
    <row r="67" spans="25:50"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</row>
    <row r="68" spans="25:50"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</row>
    <row r="69" spans="25:50"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</row>
    <row r="70" spans="25:50"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</row>
    <row r="71" spans="25:50"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</row>
    <row r="72" spans="25:50"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</row>
    <row r="73" spans="25:50"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</row>
    <row r="74" spans="25:50"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</row>
    <row r="75" spans="25:50"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</row>
    <row r="76" spans="25:50"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</row>
    <row r="77" spans="25:50"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</row>
    <row r="78" spans="25:50"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</row>
    <row r="79" spans="25:50"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</row>
    <row r="80" spans="25:50"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</row>
    <row r="81" spans="25:50"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</row>
    <row r="82" spans="25:50"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</row>
    <row r="83" spans="25:50"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</row>
    <row r="84" spans="25:50"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</row>
    <row r="85" spans="25:50"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</row>
    <row r="86" spans="25:50"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</row>
    <row r="87" spans="25:50"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</row>
    <row r="88" spans="25:50"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</row>
    <row r="89" spans="25:50"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</row>
    <row r="90" spans="25:50"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90"/>
  <sheetViews>
    <sheetView zoomScale="90" workbookViewId="0">
      <selection activeCell="F11" sqref="F11"/>
    </sheetView>
  </sheetViews>
  <sheetFormatPr defaultRowHeight="12.75"/>
  <sheetData>
    <row r="1" spans="1:50">
      <c r="A1" s="17" t="s">
        <v>725</v>
      </c>
    </row>
    <row r="2" spans="1:50"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</row>
    <row r="3" spans="1:50">
      <c r="A3" t="s">
        <v>270</v>
      </c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</row>
    <row r="4" spans="1:50">
      <c r="D4" s="17"/>
      <c r="I4" s="17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</row>
    <row r="5" spans="1:50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</row>
    <row r="6" spans="1:50">
      <c r="A6" s="35"/>
      <c r="B6" s="35"/>
      <c r="C6" s="35"/>
      <c r="D6" s="35"/>
      <c r="E6" s="60"/>
      <c r="F6" s="35"/>
      <c r="G6" s="35"/>
      <c r="H6" s="60"/>
      <c r="I6" s="35"/>
      <c r="J6" s="35"/>
      <c r="K6" s="35"/>
      <c r="L6" s="35"/>
      <c r="M6" s="35"/>
      <c r="N6" s="35"/>
      <c r="O6" s="35"/>
      <c r="Y6" s="35"/>
      <c r="Z6" s="37"/>
      <c r="AA6" s="40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</row>
    <row r="7" spans="1:50">
      <c r="A7" s="37"/>
      <c r="B7" s="40"/>
      <c r="C7" s="37"/>
      <c r="D7" s="35"/>
      <c r="E7" s="60"/>
      <c r="F7" s="35"/>
      <c r="G7" s="35"/>
      <c r="H7" s="60"/>
      <c r="I7" s="35"/>
      <c r="J7" s="37"/>
      <c r="K7" s="41"/>
      <c r="L7" s="37"/>
      <c r="M7" s="35"/>
      <c r="N7" s="35"/>
      <c r="O7" s="35"/>
      <c r="Y7" s="35"/>
      <c r="Z7" s="37"/>
      <c r="AA7" s="36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</row>
    <row r="8" spans="1:50">
      <c r="A8" s="37"/>
      <c r="B8" s="36"/>
      <c r="C8" s="37"/>
      <c r="D8" s="35"/>
      <c r="E8" s="60"/>
      <c r="F8" s="35"/>
      <c r="G8" s="35"/>
      <c r="H8" s="60"/>
      <c r="I8" s="35"/>
      <c r="J8" s="37"/>
      <c r="K8" s="38"/>
      <c r="L8" s="37"/>
      <c r="M8" s="35"/>
      <c r="N8" s="35"/>
      <c r="O8" s="35"/>
      <c r="Y8" s="35"/>
      <c r="Z8" s="37"/>
      <c r="AA8" s="40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</row>
    <row r="9" spans="1:50">
      <c r="A9" s="37"/>
      <c r="B9" s="40"/>
      <c r="C9" s="37"/>
      <c r="D9" s="35"/>
      <c r="E9" s="60"/>
      <c r="F9" s="35"/>
      <c r="G9" s="35"/>
      <c r="H9" s="60"/>
      <c r="I9" s="35"/>
      <c r="J9" s="37"/>
      <c r="K9" s="38"/>
      <c r="L9" s="37"/>
      <c r="M9" s="35"/>
      <c r="N9" s="35"/>
      <c r="O9" s="35"/>
      <c r="Y9" s="35"/>
      <c r="Z9" s="37"/>
      <c r="AA9" s="36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</row>
    <row r="10" spans="1:50">
      <c r="A10" s="37"/>
      <c r="B10" s="36"/>
      <c r="C10" s="37"/>
      <c r="D10" s="35"/>
      <c r="E10" s="60"/>
      <c r="F10" s="6" t="s">
        <v>632</v>
      </c>
      <c r="G10" s="35"/>
      <c r="H10" s="60"/>
      <c r="I10" s="35"/>
      <c r="J10" s="37"/>
      <c r="K10" s="38"/>
      <c r="L10" s="37"/>
      <c r="M10" s="35"/>
      <c r="N10" s="35"/>
      <c r="O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</row>
    <row r="11" spans="1:50">
      <c r="A11" s="35"/>
      <c r="B11" s="35"/>
      <c r="C11" s="35"/>
      <c r="D11" s="35"/>
      <c r="E11" s="60"/>
      <c r="F11" s="124">
        <v>0</v>
      </c>
      <c r="G11" s="35"/>
      <c r="H11" s="60"/>
      <c r="I11" s="35"/>
      <c r="J11" s="37"/>
      <c r="K11" s="38"/>
      <c r="L11" s="37"/>
      <c r="M11" s="35"/>
      <c r="N11" s="35"/>
      <c r="O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</row>
    <row r="12" spans="1:50">
      <c r="A12" s="35"/>
      <c r="B12" s="35"/>
      <c r="C12" s="35"/>
      <c r="D12" s="35"/>
      <c r="E12" s="60"/>
      <c r="F12" s="35"/>
      <c r="G12" s="35"/>
      <c r="H12" s="60"/>
      <c r="I12" s="35"/>
      <c r="J12" s="37"/>
      <c r="K12" s="38"/>
      <c r="L12" s="37"/>
      <c r="M12" s="35"/>
      <c r="N12" s="35"/>
      <c r="O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</row>
    <row r="13" spans="1:50">
      <c r="E13" t="s">
        <v>309</v>
      </c>
      <c r="T13" t="s">
        <v>724</v>
      </c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</row>
    <row r="14" spans="1:50"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</row>
    <row r="15" spans="1:50">
      <c r="B15" t="s">
        <v>273</v>
      </c>
      <c r="Y15" s="35"/>
      <c r="Z15" s="35"/>
      <c r="AA15" s="35"/>
      <c r="AB15" s="35"/>
      <c r="AC15" s="35"/>
      <c r="AD15" s="35"/>
      <c r="AE15" s="37"/>
      <c r="AF15" s="35"/>
      <c r="AG15" s="35"/>
      <c r="AH15" s="35"/>
      <c r="AI15" s="35"/>
      <c r="AJ15" s="35"/>
      <c r="AK15" s="37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</row>
    <row r="16" spans="1:50">
      <c r="Y16" s="35"/>
      <c r="Z16" s="35"/>
      <c r="AA16" s="35"/>
      <c r="AB16" s="35"/>
      <c r="AC16" s="35"/>
      <c r="AD16" s="35"/>
      <c r="AE16" s="37"/>
      <c r="AF16" s="35"/>
      <c r="AG16" s="35"/>
      <c r="AH16" s="35"/>
      <c r="AI16" s="35"/>
      <c r="AJ16" s="35"/>
      <c r="AK16" s="37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</row>
    <row r="17" spans="2:50"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</row>
    <row r="18" spans="2:50">
      <c r="B18" s="9" t="s">
        <v>29</v>
      </c>
      <c r="D18" s="9" t="s">
        <v>57</v>
      </c>
      <c r="E18" s="9" t="s">
        <v>40</v>
      </c>
      <c r="F18" s="9" t="s">
        <v>110</v>
      </c>
      <c r="G18" s="9" t="s">
        <v>35</v>
      </c>
      <c r="H18" s="9" t="s">
        <v>116</v>
      </c>
      <c r="I18" s="9" t="s">
        <v>103</v>
      </c>
      <c r="J18" s="9" t="s">
        <v>104</v>
      </c>
      <c r="K18" s="9" t="s">
        <v>106</v>
      </c>
      <c r="L18" s="9" t="s">
        <v>123</v>
      </c>
      <c r="M18" s="9" t="s">
        <v>227</v>
      </c>
      <c r="N18" s="9" t="s">
        <v>220</v>
      </c>
      <c r="O18" s="47" t="s">
        <v>221</v>
      </c>
      <c r="P18" s="9" t="s">
        <v>222</v>
      </c>
      <c r="Q18" s="9" t="s">
        <v>223</v>
      </c>
      <c r="R18" s="9" t="s">
        <v>117</v>
      </c>
      <c r="S18" s="9" t="s">
        <v>141</v>
      </c>
      <c r="T18" s="9" t="s">
        <v>59</v>
      </c>
      <c r="U18" s="9" t="s">
        <v>228</v>
      </c>
      <c r="W18" s="9" t="s">
        <v>224</v>
      </c>
      <c r="Y18" s="35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5"/>
      <c r="AP18" s="35"/>
      <c r="AQ18" s="35"/>
      <c r="AR18" s="35"/>
      <c r="AS18" s="35"/>
      <c r="AT18" s="35"/>
      <c r="AU18" s="35"/>
      <c r="AV18" s="35"/>
      <c r="AW18" s="35"/>
      <c r="AX18" s="35"/>
    </row>
    <row r="19" spans="2:50">
      <c r="B19" s="9" t="s">
        <v>30</v>
      </c>
      <c r="D19" s="9" t="s">
        <v>4</v>
      </c>
      <c r="E19" s="9" t="s">
        <v>1</v>
      </c>
      <c r="G19" s="9" t="s">
        <v>98</v>
      </c>
      <c r="I19" s="9" t="s">
        <v>40</v>
      </c>
      <c r="J19" s="9" t="s">
        <v>100</v>
      </c>
      <c r="K19" s="9" t="s">
        <v>40</v>
      </c>
      <c r="L19" s="9" t="s">
        <v>100</v>
      </c>
      <c r="M19" s="9" t="s">
        <v>34</v>
      </c>
      <c r="N19" s="9" t="s">
        <v>34</v>
      </c>
      <c r="O19" s="48" t="s">
        <v>107</v>
      </c>
      <c r="P19" s="9" t="s">
        <v>225</v>
      </c>
      <c r="Q19" s="9" t="s">
        <v>226</v>
      </c>
      <c r="S19" s="9" t="s">
        <v>34</v>
      </c>
      <c r="T19" s="9" t="s">
        <v>34</v>
      </c>
      <c r="U19" s="9" t="s">
        <v>100</v>
      </c>
      <c r="Y19" s="35"/>
      <c r="Z19" s="35"/>
      <c r="AA19" s="35"/>
      <c r="AB19" s="37"/>
      <c r="AC19" s="37"/>
      <c r="AD19" s="37"/>
      <c r="AE19" s="37"/>
      <c r="AF19" s="37"/>
      <c r="AG19" s="37"/>
      <c r="AH19" s="37"/>
      <c r="AI19" s="35"/>
      <c r="AJ19" s="35"/>
      <c r="AK19" s="35"/>
      <c r="AL19" s="37"/>
      <c r="AM19" s="37"/>
      <c r="AN19" s="37"/>
      <c r="AO19" s="35"/>
      <c r="AP19" s="35"/>
      <c r="AQ19" s="35"/>
      <c r="AR19" s="35"/>
      <c r="AS19" s="35"/>
      <c r="AT19" s="35"/>
      <c r="AU19" s="35"/>
      <c r="AV19" s="35"/>
      <c r="AW19" s="35"/>
      <c r="AX19" s="35"/>
    </row>
    <row r="20" spans="2:50"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</row>
    <row r="21" spans="2:50">
      <c r="B21" s="1">
        <f>'RC'!F21</f>
        <v>0.65969672852566186</v>
      </c>
      <c r="D21" s="1">
        <f>Propeller!$B$8</f>
        <v>0.30479999999999996</v>
      </c>
      <c r="E21" s="20">
        <f ca="1">'RC'!X21</f>
        <v>29.912886947189744</v>
      </c>
      <c r="F21" s="49">
        <f t="shared" ref="F21:F40" ca="1" si="0">IF($F$11=0,IF(ISERROR(W21),1,W21),0.5)</f>
        <v>1</v>
      </c>
      <c r="G21" s="19">
        <f ca="1">MAX(Motor!$B$7,K21*Motor!$B$7)</f>
        <v>13035.692661839403</v>
      </c>
      <c r="H21" s="10">
        <f ca="1">E21/(G21/60*D21)*Propulsão!J21</f>
        <v>0.4357352482700505</v>
      </c>
      <c r="I21" s="13">
        <f ca="1">F21*Energy!$B$6</f>
        <v>11.850000000000001</v>
      </c>
      <c r="J21" s="51">
        <f ca="1">IF(ISERROR(U21),Motor!$B$10,U21)</f>
        <v>25.305712353873528</v>
      </c>
      <c r="K21" s="20">
        <f ca="1">I21-Motor!$B$9*J21</f>
        <v>10.863077218198933</v>
      </c>
      <c r="L21" s="14">
        <f ca="1">MAX(Motor!$B$8,J21-Motor!$B$8)</f>
        <v>23.005712353873527</v>
      </c>
      <c r="M21" s="14">
        <f t="shared" ref="M21:M40" ca="1" si="1">I21*J21</f>
        <v>299.87269139340134</v>
      </c>
      <c r="N21" s="20">
        <f t="shared" ref="N21:N40" ca="1" si="2">K21*L21</f>
        <v>249.91282975980127</v>
      </c>
      <c r="O21" s="1">
        <f t="shared" ref="O21:O40" ca="1" si="3">N21/(G21/60*(2*PI()))</f>
        <v>0.18307364202345314</v>
      </c>
      <c r="P21" s="10">
        <f t="shared" ref="P21:P40" ca="1" si="4">N21/(B21*(G21/60)^3*D21^5)</f>
        <v>1.4041736575786444E-2</v>
      </c>
      <c r="Q21" s="10">
        <f ca="1">Propeller!$B$15+Propeller!$B$16*H21+Propeller!$B$17*H21^2+Propeller!$B$18*H21^3+Propeller!$B$19*H21^4+Propeller!$B$20*H21^5+Propeller!$B$21*H21^6</f>
        <v>1.4041736575947126E-2</v>
      </c>
      <c r="R21" s="10">
        <f ca="1">(Propeller!$B$23+Propeller!$B$24*H21+Propeller!$B$25*H21^2+Propeller!$B$26*H21^3+Propeller!$B$27*H21^4+Propeller!$B$28*H21^5+Propeller!$B$29*H21^6)*Propulsão!M21</f>
        <v>0.65395214444659755</v>
      </c>
      <c r="S21" s="19">
        <f t="shared" ref="S21:S40" ca="1" si="5">N21*R21</f>
        <v>163.43103094613951</v>
      </c>
      <c r="T21" s="19">
        <f ca="1">'Aerodynamics-RC'!BL21+'RC'!$B$8*'RC'!H21</f>
        <v>347.23660657770824</v>
      </c>
      <c r="U21" s="14">
        <f ca="1">MIN(Motor!$B$10,MAX(Motor!$B$8,J21+0.05*(Q21/P21-1)*J21))</f>
        <v>25.305712353888005</v>
      </c>
      <c r="V21" s="50" t="str">
        <f t="shared" ref="V21:V40" ca="1" si="6">IF(ABS((Q21-P21)/P21)&lt;0.01,"OK","iterate")</f>
        <v>OK</v>
      </c>
      <c r="W21" s="1">
        <f t="shared" ref="W21:W40" ca="1" si="7">MIN(1,MAX(0.1,F21+0.05*(T21/S21-1)*F21))</f>
        <v>1</v>
      </c>
      <c r="X21" s="50" t="str">
        <f t="shared" ref="X21:X40" ca="1" si="8">IF(ABS((P21-Q21)/Q21)&lt;0.01,"OK","iterate")</f>
        <v>OK</v>
      </c>
      <c r="Y21" s="35"/>
      <c r="Z21" s="36"/>
      <c r="AA21" s="36"/>
      <c r="AB21" s="36"/>
      <c r="AC21" s="38"/>
      <c r="AD21" s="41"/>
      <c r="AE21" s="40"/>
      <c r="AF21" s="38"/>
      <c r="AG21" s="40"/>
      <c r="AH21" s="40"/>
      <c r="AI21" s="36"/>
      <c r="AJ21" s="36"/>
      <c r="AK21" s="36"/>
      <c r="AL21" s="40"/>
      <c r="AM21" s="40"/>
      <c r="AN21" s="38"/>
      <c r="AO21" s="35"/>
      <c r="AP21" s="35"/>
      <c r="AQ21" s="35"/>
      <c r="AR21" s="35"/>
      <c r="AS21" s="35"/>
      <c r="AT21" s="35"/>
      <c r="AU21" s="35"/>
      <c r="AV21" s="35"/>
      <c r="AW21" s="35"/>
      <c r="AX21" s="35"/>
    </row>
    <row r="22" spans="2:50">
      <c r="B22" s="1">
        <f>'RC'!F22</f>
        <v>0.65969672852566186</v>
      </c>
      <c r="D22" s="1">
        <f>Propeller!$B$8</f>
        <v>0.30479999999999996</v>
      </c>
      <c r="E22" s="20">
        <f ca="1">'RC'!X22</f>
        <v>29.421519599178584</v>
      </c>
      <c r="F22" s="49">
        <f t="shared" ca="1" si="0"/>
        <v>1</v>
      </c>
      <c r="G22" s="19">
        <f ca="1">MAX(Motor!$B$7,K22*Motor!$B$7)</f>
        <v>13009.39029762423</v>
      </c>
      <c r="H22" s="10">
        <f ca="1">E22/(G22/60*D22)*Propulsão!J22</f>
        <v>0.42944409247667764</v>
      </c>
      <c r="I22" s="13">
        <f ca="1">F22*Energy!$B$6</f>
        <v>11.850000000000001</v>
      </c>
      <c r="J22" s="51">
        <f ca="1">IF(ISERROR(U22),Motor!$B$10,U22)</f>
        <v>25.867728683259188</v>
      </c>
      <c r="K22" s="20">
        <f ca="1">I22-Motor!$B$9*J22</f>
        <v>10.841158581352893</v>
      </c>
      <c r="L22" s="14">
        <f ca="1">MAX(Motor!$B$8,J22-Motor!$B$8)</f>
        <v>23.567728683259187</v>
      </c>
      <c r="M22" s="14">
        <f t="shared" ca="1" si="1"/>
        <v>306.53258489662142</v>
      </c>
      <c r="N22" s="20">
        <f t="shared" ca="1" si="2"/>
        <v>255.50148405751204</v>
      </c>
      <c r="O22" s="1">
        <f t="shared" ca="1" si="3"/>
        <v>0.18754602586945635</v>
      </c>
      <c r="P22" s="10">
        <f t="shared" ca="1" si="4"/>
        <v>1.444299313124147E-2</v>
      </c>
      <c r="Q22" s="10">
        <f ca="1">Propeller!$B$15+Propeller!$B$16*H22+Propeller!$B$17*H22^2+Propeller!$B$18*H22^3+Propeller!$B$19*H22^4+Propeller!$B$20*H22^5+Propeller!$B$21*H22^6</f>
        <v>1.4442993131421134E-2</v>
      </c>
      <c r="R22" s="10">
        <f ca="1">(Propeller!$B$23+Propeller!$B$24*H22+Propeller!$B$25*H22^2+Propeller!$B$26*H22^3+Propeller!$B$27*H22^4+Propeller!$B$28*H22^5+Propeller!$B$29*H22^6)*Propulsão!M22</f>
        <v>0.65949489506825798</v>
      </c>
      <c r="S22" s="19">
        <f t="shared" ca="1" si="5"/>
        <v>168.5019244182931</v>
      </c>
      <c r="T22" s="19">
        <f ca="1">'Aerodynamics-RC'!BL22+'RC'!$B$8*'RC'!H22</f>
        <v>339.51479559013586</v>
      </c>
      <c r="U22" s="14">
        <f ca="1">MIN(Motor!$B$10,MAX(Motor!$B$8,J22+0.05*(Q22/P22-1)*J22))</f>
        <v>25.867728683275278</v>
      </c>
      <c r="V22" s="50" t="str">
        <f t="shared" ca="1" si="6"/>
        <v>OK</v>
      </c>
      <c r="W22" s="1">
        <f t="shared" ca="1" si="7"/>
        <v>1</v>
      </c>
      <c r="X22" s="50" t="str">
        <f t="shared" ca="1" si="8"/>
        <v>OK</v>
      </c>
      <c r="Y22" s="35"/>
      <c r="Z22" s="36"/>
      <c r="AA22" s="36"/>
      <c r="AB22" s="36"/>
      <c r="AC22" s="38"/>
      <c r="AD22" s="41"/>
      <c r="AE22" s="40"/>
      <c r="AF22" s="38"/>
      <c r="AG22" s="40"/>
      <c r="AH22" s="40"/>
      <c r="AI22" s="36"/>
      <c r="AJ22" s="36"/>
      <c r="AK22" s="36"/>
      <c r="AL22" s="40"/>
      <c r="AM22" s="40"/>
      <c r="AN22" s="38"/>
      <c r="AO22" s="35"/>
      <c r="AP22" s="35"/>
      <c r="AQ22" s="35"/>
      <c r="AR22" s="35"/>
      <c r="AS22" s="35"/>
      <c r="AT22" s="35"/>
      <c r="AU22" s="35"/>
      <c r="AV22" s="35"/>
      <c r="AW22" s="35"/>
      <c r="AX22" s="35"/>
    </row>
    <row r="23" spans="2:50">
      <c r="B23" s="1">
        <f>'RC'!F23</f>
        <v>0.65969672852566186</v>
      </c>
      <c r="C23" s="6"/>
      <c r="D23" s="1">
        <f>Propeller!$B$8</f>
        <v>0.30479999999999996</v>
      </c>
      <c r="E23" s="20">
        <f ca="1">'RC'!X23</f>
        <v>28.954278467487942</v>
      </c>
      <c r="F23" s="49">
        <f t="shared" ca="1" si="0"/>
        <v>1</v>
      </c>
      <c r="G23" s="19">
        <f ca="1">MAX(Motor!$B$7,K23*Motor!$B$7)</f>
        <v>12985.018797759865</v>
      </c>
      <c r="H23" s="10">
        <f ca="1">E23/(G23/60*D23)*Propulsão!J23</f>
        <v>0.42341734088933769</v>
      </c>
      <c r="I23" s="13">
        <f ca="1">F23*Energy!$B$6</f>
        <v>11.850000000000001</v>
      </c>
      <c r="J23" s="51">
        <f ca="1">IF(ISERROR(U23),Motor!$B$10,U23)</f>
        <v>26.388487227371069</v>
      </c>
      <c r="K23" s="20">
        <f ca="1">I23-Motor!$B$9*J23</f>
        <v>10.820848998132529</v>
      </c>
      <c r="L23" s="14">
        <f ca="1">MAX(Motor!$B$8,J23-Motor!$B$8)</f>
        <v>24.088487227371068</v>
      </c>
      <c r="M23" s="14">
        <f t="shared" ca="1" si="1"/>
        <v>312.70357364434722</v>
      </c>
      <c r="N23" s="20">
        <f t="shared" ca="1" si="2"/>
        <v>260.65788288082643</v>
      </c>
      <c r="O23" s="1">
        <f t="shared" ca="1" si="3"/>
        <v>0.19169009069209225</v>
      </c>
      <c r="P23" s="10">
        <f t="shared" ca="1" si="4"/>
        <v>1.4817595088559466E-2</v>
      </c>
      <c r="Q23" s="10">
        <f ca="1">Propeller!$B$15+Propeller!$B$16*H23+Propeller!$B$17*H23^2+Propeller!$B$18*H23^3+Propeller!$B$19*H23^4+Propeller!$B$20*H23^5+Propeller!$B$21*H23^6</f>
        <v>1.4817595088757005E-2</v>
      </c>
      <c r="R23" s="10">
        <f ca="1">(Propeller!$B$23+Propeller!$B$24*H23+Propeller!$B$25*H23^2+Propeller!$B$26*H23^3+Propeller!$B$27*H23^4+Propeller!$B$28*H23^5+Propeller!$B$29*H23^6)*Propulsão!M23</f>
        <v>0.66374731480460369</v>
      </c>
      <c r="S23" s="19">
        <f t="shared" ca="1" si="5"/>
        <v>173.01096984480142</v>
      </c>
      <c r="T23" s="19">
        <f ca="1">'Aerodynamics-RC'!BL23+'RC'!$B$8*'RC'!H23</f>
        <v>332.38764102121536</v>
      </c>
      <c r="U23" s="14">
        <f ca="1">MIN(Motor!$B$10,MAX(Motor!$B$8,J23+0.05*(Q23/P23-1)*J23))</f>
        <v>26.388487227388659</v>
      </c>
      <c r="V23" s="50" t="str">
        <f t="shared" ca="1" si="6"/>
        <v>OK</v>
      </c>
      <c r="W23" s="1">
        <f t="shared" ca="1" si="7"/>
        <v>1</v>
      </c>
      <c r="X23" s="50" t="str">
        <f t="shared" ca="1" si="8"/>
        <v>OK</v>
      </c>
      <c r="Y23" s="35"/>
      <c r="Z23" s="36"/>
      <c r="AA23" s="36"/>
      <c r="AB23" s="36"/>
      <c r="AC23" s="38"/>
      <c r="AD23" s="41"/>
      <c r="AE23" s="40"/>
      <c r="AF23" s="38"/>
      <c r="AG23" s="40"/>
      <c r="AH23" s="40"/>
      <c r="AI23" s="36"/>
      <c r="AJ23" s="36"/>
      <c r="AK23" s="36"/>
      <c r="AL23" s="40"/>
      <c r="AM23" s="40"/>
      <c r="AN23" s="38"/>
      <c r="AO23" s="35"/>
      <c r="AP23" s="35"/>
      <c r="AQ23" s="35"/>
      <c r="AR23" s="35"/>
      <c r="AS23" s="35"/>
      <c r="AT23" s="35"/>
      <c r="AU23" s="35"/>
      <c r="AV23" s="35"/>
      <c r="AW23" s="35"/>
      <c r="AX23" s="35"/>
    </row>
    <row r="24" spans="2:50">
      <c r="B24" s="1">
        <f>'RC'!F24</f>
        <v>0.65969672852566186</v>
      </c>
      <c r="C24" s="20"/>
      <c r="D24" s="1">
        <f>Propeller!$B$8</f>
        <v>0.30479999999999996</v>
      </c>
      <c r="E24" s="20">
        <f ca="1">'RC'!X24</f>
        <v>27.44967418856622</v>
      </c>
      <c r="F24" s="49">
        <f t="shared" ca="1" si="0"/>
        <v>1</v>
      </c>
      <c r="G24" s="19">
        <f ca="1">MAX(Motor!$B$7,K24*Motor!$B$7)</f>
        <v>12910.749402677066</v>
      </c>
      <c r="H24" s="10">
        <f ca="1">E24/(G24/60*D24)*Propulsão!J24</f>
        <v>0.40372367567731021</v>
      </c>
      <c r="I24" s="13">
        <f ca="1">F24*Energy!$B$6</f>
        <v>11.850000000000001</v>
      </c>
      <c r="J24" s="51">
        <f ca="1">IF(ISERROR(U24),Motor!$B$10,U24)</f>
        <v>27.975440113758253</v>
      </c>
      <c r="K24" s="20">
        <f ca="1">I24-Motor!$B$9*J24</f>
        <v>10.758957835563429</v>
      </c>
      <c r="L24" s="14">
        <f ca="1">MAX(Motor!$B$8,J24-Motor!$B$8)</f>
        <v>25.675440113758253</v>
      </c>
      <c r="M24" s="14">
        <f t="shared" ca="1" si="1"/>
        <v>331.50896534803536</v>
      </c>
      <c r="N24" s="20">
        <f t="shared" ca="1" si="2"/>
        <v>276.24097759345892</v>
      </c>
      <c r="O24" s="1">
        <f t="shared" ca="1" si="3"/>
        <v>0.20431866050821304</v>
      </c>
      <c r="P24" s="10">
        <f t="shared" ca="1" si="4"/>
        <v>1.5976011151591935E-2</v>
      </c>
      <c r="Q24" s="10">
        <f ca="1">Propeller!$B$15+Propeller!$B$16*H24+Propeller!$B$17*H24^2+Propeller!$B$18*H24^3+Propeller!$B$19*H24^4+Propeller!$B$20*H24^5+Propeller!$B$21*H24^6</f>
        <v>1.597601115182232E-2</v>
      </c>
      <c r="R24" s="10">
        <f ca="1">(Propeller!$B$23+Propeller!$B$24*H24+Propeller!$B$25*H24^2+Propeller!$B$26*H24^3+Propeller!$B$27*H24^4+Propeller!$B$28*H24^5+Propeller!$B$29*H24^6)*Propulsão!M24</f>
        <v>0.67162169069890421</v>
      </c>
      <c r="S24" s="19">
        <f t="shared" ca="1" si="5"/>
        <v>185.529432411637</v>
      </c>
      <c r="T24" s="19">
        <f ca="1">'Aerodynamics-RC'!BL24+'RC'!$B$8*'RC'!H24</f>
        <v>294.3514211842292</v>
      </c>
      <c r="U24" s="14">
        <f ca="1">MIN(Motor!$B$10,MAX(Motor!$B$8,J24+0.05*(Q24/P24-1)*J24))</f>
        <v>27.975440113778426</v>
      </c>
      <c r="V24" s="50" t="str">
        <f t="shared" ca="1" si="6"/>
        <v>OK</v>
      </c>
      <c r="W24" s="1">
        <f t="shared" ca="1" si="7"/>
        <v>1</v>
      </c>
      <c r="X24" s="50" t="str">
        <f t="shared" ca="1" si="8"/>
        <v>OK</v>
      </c>
      <c r="Y24" s="35"/>
      <c r="Z24" s="36"/>
      <c r="AA24" s="36"/>
      <c r="AB24" s="36"/>
      <c r="AC24" s="38"/>
      <c r="AD24" s="41"/>
      <c r="AE24" s="40"/>
      <c r="AF24" s="38"/>
      <c r="AG24" s="40"/>
      <c r="AH24" s="40"/>
      <c r="AI24" s="36"/>
      <c r="AJ24" s="36"/>
      <c r="AK24" s="36"/>
      <c r="AL24" s="40"/>
      <c r="AM24" s="40"/>
      <c r="AN24" s="38"/>
      <c r="AO24" s="35"/>
      <c r="AP24" s="35"/>
      <c r="AQ24" s="35"/>
      <c r="AR24" s="35"/>
      <c r="AS24" s="35"/>
      <c r="AT24" s="35"/>
      <c r="AU24" s="35"/>
      <c r="AV24" s="35"/>
      <c r="AW24" s="35"/>
      <c r="AX24" s="35"/>
    </row>
    <row r="25" spans="2:50">
      <c r="B25" s="1">
        <f>'RC'!F25</f>
        <v>0.65969672852566186</v>
      </c>
      <c r="C25" s="6"/>
      <c r="D25" s="1">
        <f>Propeller!$B$8</f>
        <v>0.30479999999999996</v>
      </c>
      <c r="E25" s="20">
        <f ca="1">'RC'!X25</f>
        <v>27.03883277583968</v>
      </c>
      <c r="F25" s="49">
        <f t="shared" ca="1" si="0"/>
        <v>1</v>
      </c>
      <c r="G25" s="19">
        <f ca="1">MAX(Motor!$B$7,K25*Motor!$B$7)</f>
        <v>12891.57948810326</v>
      </c>
      <c r="H25" s="10">
        <f ca="1">E25/(G25/60*D25)*Propulsão!J25</f>
        <v>0.39827246796633847</v>
      </c>
      <c r="I25" s="13">
        <f ca="1">F25*Energy!$B$6</f>
        <v>11.850000000000001</v>
      </c>
      <c r="J25" s="51">
        <f ca="1">IF(ISERROR(U25),Motor!$B$10,U25)</f>
        <v>28.385053673028938</v>
      </c>
      <c r="K25" s="20">
        <f ca="1">I25-Motor!$B$9*J25</f>
        <v>10.742982906751873</v>
      </c>
      <c r="L25" s="14">
        <f ca="1">MAX(Motor!$B$8,J25-Motor!$B$8)</f>
        <v>26.085053673028938</v>
      </c>
      <c r="M25" s="14">
        <f t="shared" ca="1" si="1"/>
        <v>336.36288602539298</v>
      </c>
      <c r="N25" s="20">
        <f t="shared" ca="1" si="2"/>
        <v>280.23128573105504</v>
      </c>
      <c r="O25" s="1">
        <f t="shared" ca="1" si="3"/>
        <v>0.20757826164398152</v>
      </c>
      <c r="P25" s="10">
        <f t="shared" ca="1" si="4"/>
        <v>1.6279191593212394E-2</v>
      </c>
      <c r="Q25" s="10">
        <f ca="1">Propeller!$B$15+Propeller!$B$16*H25+Propeller!$B$17*H25^2+Propeller!$B$18*H25^3+Propeller!$B$19*H25^4+Propeller!$B$20*H25^5+Propeller!$B$21*H25^6</f>
        <v>1.627919159345903E-2</v>
      </c>
      <c r="R25" s="10">
        <f ca="1">(Propeller!$B$23+Propeller!$B$24*H25+Propeller!$B$25*H25^2+Propeller!$B$26*H25^3+Propeller!$B$27*H25^4+Propeller!$B$28*H25^5+Propeller!$B$29*H25^6)*Propulsão!M25</f>
        <v>0.67243879360250425</v>
      </c>
      <c r="S25" s="19">
        <f t="shared" ca="1" si="5"/>
        <v>188.43838770666932</v>
      </c>
      <c r="T25" s="19">
        <f ca="1">'Aerodynamics-RC'!BL25+'RC'!$B$8*'RC'!H25</f>
        <v>288.87435210044953</v>
      </c>
      <c r="U25" s="14">
        <f ca="1">MIN(Motor!$B$10,MAX(Motor!$B$8,J25+0.05*(Q25/P25-1)*J25))</f>
        <v>28.385053673050439</v>
      </c>
      <c r="V25" s="50" t="str">
        <f t="shared" ca="1" si="6"/>
        <v>OK</v>
      </c>
      <c r="W25" s="1">
        <f t="shared" ca="1" si="7"/>
        <v>1</v>
      </c>
      <c r="X25" s="50" t="str">
        <f t="shared" ca="1" si="8"/>
        <v>OK</v>
      </c>
      <c r="Y25" s="35"/>
      <c r="Z25" s="36"/>
      <c r="AA25" s="36"/>
      <c r="AB25" s="36"/>
      <c r="AC25" s="38"/>
      <c r="AD25" s="41"/>
      <c r="AE25" s="40"/>
      <c r="AF25" s="38"/>
      <c r="AG25" s="40"/>
      <c r="AH25" s="40"/>
      <c r="AI25" s="36"/>
      <c r="AJ25" s="36"/>
      <c r="AK25" s="36"/>
      <c r="AL25" s="40"/>
      <c r="AM25" s="40"/>
      <c r="AN25" s="38"/>
      <c r="AO25" s="35"/>
      <c r="AP25" s="35"/>
      <c r="AQ25" s="35"/>
      <c r="AR25" s="35"/>
      <c r="AS25" s="35"/>
      <c r="AT25" s="35"/>
      <c r="AU25" s="35"/>
      <c r="AV25" s="35"/>
      <c r="AW25" s="35"/>
      <c r="AX25" s="35"/>
    </row>
    <row r="26" spans="2:50">
      <c r="B26" s="1">
        <f>'RC'!F26</f>
        <v>0.65969672852566186</v>
      </c>
      <c r="D26" s="1">
        <f>Propeller!$B$8</f>
        <v>0.30479999999999996</v>
      </c>
      <c r="E26" s="20">
        <f ca="1">'RC'!X26</f>
        <v>26.646781908866753</v>
      </c>
      <c r="F26" s="49">
        <f t="shared" ca="1" si="0"/>
        <v>1</v>
      </c>
      <c r="G26" s="19">
        <f ca="1">MAX(Motor!$B$7,K26*Motor!$B$7)</f>
        <v>12873.727020923543</v>
      </c>
      <c r="H26" s="10">
        <f ca="1">E26/(G26/60*D26)*Propulsão!J26</f>
        <v>0.39304198788791522</v>
      </c>
      <c r="I26" s="13">
        <f ca="1">F26*Energy!$B$6</f>
        <v>11.850000000000001</v>
      </c>
      <c r="J26" s="51">
        <f ca="1">IF(ISERROR(U26),Motor!$B$10,U26)</f>
        <v>28.766516646955697</v>
      </c>
      <c r="K26" s="20">
        <f ca="1">I26-Motor!$B$9*J26</f>
        <v>10.728105850768729</v>
      </c>
      <c r="L26" s="14">
        <f ca="1">MAX(Motor!$B$8,J26-Motor!$B$8)</f>
        <v>26.466516646955697</v>
      </c>
      <c r="M26" s="14">
        <f t="shared" ca="1" si="1"/>
        <v>340.88322226642504</v>
      </c>
      <c r="N26" s="20">
        <f t="shared" ca="1" si="2"/>
        <v>283.93559208967338</v>
      </c>
      <c r="O26" s="1">
        <f t="shared" ca="1" si="3"/>
        <v>0.2106138475393293</v>
      </c>
      <c r="P26" s="10">
        <f t="shared" ca="1" si="4"/>
        <v>1.6563097389109674E-2</v>
      </c>
      <c r="Q26" s="10">
        <f ca="1">Propeller!$B$15+Propeller!$B$16*H26+Propeller!$B$17*H26^2+Propeller!$B$18*H26^3+Propeller!$B$19*H26^4+Propeller!$B$20*H26^5+Propeller!$B$21*H26^6</f>
        <v>1.6563097389370875E-2</v>
      </c>
      <c r="R26" s="10">
        <f ca="1">(Propeller!$B$23+Propeller!$B$24*H26+Propeller!$B$25*H26^2+Propeller!$B$26*H26^3+Propeller!$B$27*H26^4+Propeller!$B$28*H26^5+Propeller!$B$29*H26^6)*Propulsão!M26</f>
        <v>0.67275640820310267</v>
      </c>
      <c r="S26" s="19">
        <f t="shared" ca="1" si="5"/>
        <v>191.01948909526996</v>
      </c>
      <c r="T26" s="19">
        <f ca="1">'Aerodynamics-RC'!BL26+'RC'!$B$8*'RC'!H26</f>
        <v>283.79538671596015</v>
      </c>
      <c r="U26" s="14">
        <f ca="1">MIN(Motor!$B$10,MAX(Motor!$B$8,J26+0.05*(Q26/P26-1)*J26))</f>
        <v>28.766516646978381</v>
      </c>
      <c r="V26" s="50" t="str">
        <f t="shared" ca="1" si="6"/>
        <v>OK</v>
      </c>
      <c r="W26" s="1">
        <f t="shared" ca="1" si="7"/>
        <v>1</v>
      </c>
      <c r="X26" s="50" t="str">
        <f t="shared" ca="1" si="8"/>
        <v>OK</v>
      </c>
      <c r="Y26" s="35"/>
      <c r="Z26" s="36"/>
      <c r="AA26" s="36"/>
      <c r="AB26" s="36"/>
      <c r="AC26" s="38"/>
      <c r="AD26" s="41"/>
      <c r="AE26" s="40"/>
      <c r="AF26" s="38"/>
      <c r="AG26" s="40"/>
      <c r="AH26" s="40"/>
      <c r="AI26" s="36"/>
      <c r="AJ26" s="36"/>
      <c r="AK26" s="36"/>
      <c r="AL26" s="40"/>
      <c r="AM26" s="40"/>
      <c r="AN26" s="38"/>
      <c r="AO26" s="35"/>
      <c r="AP26" s="35"/>
      <c r="AQ26" s="35"/>
      <c r="AR26" s="35"/>
      <c r="AS26" s="35"/>
      <c r="AT26" s="35"/>
      <c r="AU26" s="35"/>
      <c r="AV26" s="35"/>
      <c r="AW26" s="35"/>
      <c r="AX26" s="35"/>
    </row>
    <row r="27" spans="2:50">
      <c r="B27" s="1">
        <f>'RC'!F27</f>
        <v>0.65969672852566186</v>
      </c>
      <c r="D27" s="1">
        <f>Propeller!$B$8</f>
        <v>0.30479999999999996</v>
      </c>
      <c r="E27" s="20">
        <f ca="1">'RC'!X27</f>
        <v>26.272229755698174</v>
      </c>
      <c r="F27" s="49">
        <f t="shared" ca="1" si="0"/>
        <v>1</v>
      </c>
      <c r="G27" s="19">
        <f ca="1">MAX(Motor!$B$7,K27*Motor!$B$7)</f>
        <v>12857.071656079759</v>
      </c>
      <c r="H27" s="10">
        <f ca="1">E27/(G27/60*D27)*Propulsão!J27</f>
        <v>0.38801931555467445</v>
      </c>
      <c r="I27" s="13">
        <f ca="1">F27*Energy!$B$6</f>
        <v>11.850000000000001</v>
      </c>
      <c r="J27" s="51">
        <f ca="1">IF(ISERROR(U27),Motor!$B$10,U27)</f>
        <v>29.122400511139944</v>
      </c>
      <c r="K27" s="20">
        <f ca="1">I27-Motor!$B$9*J27</f>
        <v>10.714226380065544</v>
      </c>
      <c r="L27" s="14">
        <f ca="1">MAX(Motor!$B$8,J27-Motor!$B$8)</f>
        <v>26.822400511139943</v>
      </c>
      <c r="M27" s="14">
        <f t="shared" ca="1" si="1"/>
        <v>345.10044605700836</v>
      </c>
      <c r="N27" s="20">
        <f t="shared" ca="1" si="2"/>
        <v>287.38127113313908</v>
      </c>
      <c r="O27" s="1">
        <f t="shared" ca="1" si="3"/>
        <v>0.2134458813469067</v>
      </c>
      <c r="P27" s="10">
        <f t="shared" ca="1" si="4"/>
        <v>1.6829331911391243E-2</v>
      </c>
      <c r="Q27" s="10">
        <f ca="1">Propeller!$B$15+Propeller!$B$16*H27+Propeller!$B$17*H27^2+Propeller!$B$18*H27^3+Propeller!$B$19*H27^4+Propeller!$B$20*H27^5+Propeller!$B$21*H27^6</f>
        <v>1.6829331911662537E-2</v>
      </c>
      <c r="R27" s="10">
        <f ca="1">(Propeller!$B$23+Propeller!$B$24*H27+Propeller!$B$25*H27^2+Propeller!$B$26*H27^3+Propeller!$B$27*H27^4+Propeller!$B$28*H27^5+Propeller!$B$29*H27^6)*Propulsão!M27</f>
        <v>0.67266682700901681</v>
      </c>
      <c r="S27" s="19">
        <f t="shared" ca="1" si="5"/>
        <v>193.31184779494663</v>
      </c>
      <c r="T27" s="19">
        <f ca="1">'Aerodynamics-RC'!BL27+'RC'!$B$8*'RC'!H27</f>
        <v>279.07830456804993</v>
      </c>
      <c r="U27" s="14">
        <f ca="1">MIN(Motor!$B$10,MAX(Motor!$B$8,J27+0.05*(Q27/P27-1)*J27))</f>
        <v>29.122400511163416</v>
      </c>
      <c r="V27" s="50" t="str">
        <f t="shared" ca="1" si="6"/>
        <v>OK</v>
      </c>
      <c r="W27" s="1">
        <f t="shared" ca="1" si="7"/>
        <v>1</v>
      </c>
      <c r="X27" s="50" t="str">
        <f t="shared" ca="1" si="8"/>
        <v>OK</v>
      </c>
      <c r="Y27" s="35"/>
      <c r="Z27" s="36"/>
      <c r="AA27" s="36"/>
      <c r="AB27" s="36"/>
      <c r="AC27" s="38"/>
      <c r="AD27" s="41"/>
      <c r="AE27" s="40"/>
      <c r="AF27" s="38"/>
      <c r="AG27" s="40"/>
      <c r="AH27" s="40"/>
      <c r="AI27" s="36"/>
      <c r="AJ27" s="36"/>
      <c r="AK27" s="36"/>
      <c r="AL27" s="40"/>
      <c r="AM27" s="40"/>
      <c r="AN27" s="38"/>
      <c r="AO27" s="35"/>
      <c r="AP27" s="35"/>
      <c r="AQ27" s="35"/>
      <c r="AR27" s="35"/>
      <c r="AS27" s="35"/>
      <c r="AT27" s="35"/>
      <c r="AU27" s="35"/>
      <c r="AV27" s="35"/>
      <c r="AW27" s="35"/>
      <c r="AX27" s="35"/>
    </row>
    <row r="28" spans="2:50">
      <c r="B28" s="1">
        <f>'RC'!F28</f>
        <v>0.65969672852566186</v>
      </c>
      <c r="D28" s="1">
        <f>Propeller!$B$8</f>
        <v>0.30479999999999996</v>
      </c>
      <c r="E28" s="20">
        <f ca="1">'RC'!X28</f>
        <v>25.850372382859632</v>
      </c>
      <c r="F28" s="49">
        <f t="shared" ca="1" si="0"/>
        <v>1</v>
      </c>
      <c r="G28" s="19">
        <f ca="1">MAX(Motor!$B$7,K28*Motor!$B$7)</f>
        <v>12838.778965250811</v>
      </c>
      <c r="H28" s="10">
        <f ca="1">E28/(G28/60*D28)*Propulsão!J28</f>
        <v>0.38233280035361422</v>
      </c>
      <c r="I28" s="13">
        <f ca="1">F28*Energy!$B$6</f>
        <v>11.850000000000001</v>
      </c>
      <c r="J28" s="51">
        <f ca="1">IF(ISERROR(U28),Motor!$B$10,U28)</f>
        <v>29.513269973368015</v>
      </c>
      <c r="K28" s="20">
        <f ca="1">I28-Motor!$B$9*J28</f>
        <v>10.698982471038649</v>
      </c>
      <c r="L28" s="14">
        <f ca="1">MAX(Motor!$B$8,J28-Motor!$B$8)</f>
        <v>27.213269973368014</v>
      </c>
      <c r="M28" s="14">
        <f t="shared" ca="1" si="1"/>
        <v>349.73224918441105</v>
      </c>
      <c r="N28" s="20">
        <f t="shared" ca="1" si="2"/>
        <v>291.15429842470678</v>
      </c>
      <c r="O28" s="1">
        <f t="shared" ca="1" si="3"/>
        <v>0.21655632169771377</v>
      </c>
      <c r="P28" s="10">
        <f t="shared" ca="1" si="4"/>
        <v>1.7123267744145448E-2</v>
      </c>
      <c r="Q28" s="10">
        <f ca="1">Propeller!$B$15+Propeller!$B$16*H28+Propeller!$B$17*H28^2+Propeller!$B$18*H28^3+Propeller!$B$19*H28^4+Propeller!$B$20*H28^5+Propeller!$B$21*H28^6</f>
        <v>1.7123267745235263E-2</v>
      </c>
      <c r="R28" s="10">
        <f ca="1">(Propeller!$B$23+Propeller!$B$24*H28+Propeller!$B$25*H28^2+Propeller!$B$26*H28^3+Propeller!$B$27*H28^4+Propeller!$B$28*H28^5+Propeller!$B$29*H28^6)*Propulsão!M28</f>
        <v>0.67213652886159814</v>
      </c>
      <c r="S28" s="19">
        <f t="shared" ca="1" si="5"/>
        <v>195.69543950631629</v>
      </c>
      <c r="T28" s="19">
        <f ca="1">'Aerodynamics-RC'!BL28+'RC'!$B$8*'RC'!H28</f>
        <v>272.91539249942531</v>
      </c>
      <c r="U28" s="14">
        <f ca="1">MIN(Motor!$B$10,MAX(Motor!$B$8,J28+0.05*(Q28/P28-1)*J28))</f>
        <v>29.513269973461934</v>
      </c>
      <c r="V28" s="50" t="str">
        <f t="shared" ca="1" si="6"/>
        <v>OK</v>
      </c>
      <c r="W28" s="1">
        <f t="shared" ca="1" si="7"/>
        <v>1</v>
      </c>
      <c r="X28" s="50" t="str">
        <f t="shared" ca="1" si="8"/>
        <v>OK</v>
      </c>
      <c r="Y28" s="35"/>
      <c r="Z28" s="36"/>
      <c r="AA28" s="36"/>
      <c r="AB28" s="36"/>
      <c r="AC28" s="38"/>
      <c r="AD28" s="41"/>
      <c r="AE28" s="40"/>
      <c r="AF28" s="38"/>
      <c r="AG28" s="40"/>
      <c r="AH28" s="40"/>
      <c r="AI28" s="36"/>
      <c r="AJ28" s="36"/>
      <c r="AK28" s="36"/>
      <c r="AL28" s="40"/>
      <c r="AM28" s="40"/>
      <c r="AN28" s="38"/>
      <c r="AO28" s="35"/>
      <c r="AP28" s="35"/>
      <c r="AQ28" s="35"/>
      <c r="AR28" s="35"/>
      <c r="AS28" s="35"/>
      <c r="AT28" s="35"/>
      <c r="AU28" s="35"/>
      <c r="AV28" s="35"/>
      <c r="AW28" s="35"/>
      <c r="AX28" s="35"/>
    </row>
    <row r="29" spans="2:50">
      <c r="B29" s="1">
        <f>'RC'!F29</f>
        <v>0.65969672852566186</v>
      </c>
      <c r="D29" s="1">
        <f>Propeller!$B$8</f>
        <v>0.30479999999999996</v>
      </c>
      <c r="E29" s="20">
        <f ca="1">'RC'!X29</f>
        <v>25.337550160719807</v>
      </c>
      <c r="F29" s="49">
        <f t="shared" ca="1" si="0"/>
        <v>1</v>
      </c>
      <c r="G29" s="19">
        <f ca="1">MAX(Motor!$B$7,K29*Motor!$B$7)</f>
        <v>12817.203362117805</v>
      </c>
      <c r="H29" s="10">
        <f ca="1">E29/(G29/60*D29)*Propulsão!J29</f>
        <v>0.37537886998654446</v>
      </c>
      <c r="I29" s="13">
        <f ca="1">F29*Energy!$B$6</f>
        <v>11.850000000000001</v>
      </c>
      <c r="J29" s="51">
        <f ca="1">IF(ISERROR(U29),Motor!$B$10,U29)</f>
        <v>29.974287134327184</v>
      </c>
      <c r="K29" s="20">
        <f ca="1">I29-Motor!$B$9*J29</f>
        <v>10.681002801761242</v>
      </c>
      <c r="L29" s="14">
        <f ca="1">MAX(Motor!$B$8,J29-Motor!$B$8)</f>
        <v>27.674287134327184</v>
      </c>
      <c r="M29" s="14">
        <f t="shared" ca="1" si="1"/>
        <v>355.19530254177715</v>
      </c>
      <c r="N29" s="20">
        <f t="shared" ca="1" si="2"/>
        <v>295.58913841849375</v>
      </c>
      <c r="O29" s="1">
        <f t="shared" ca="1" si="3"/>
        <v>0.22022497969855656</v>
      </c>
      <c r="P29" s="10">
        <f t="shared" ca="1" si="4"/>
        <v>1.7472025462942076E-2</v>
      </c>
      <c r="Q29" s="10">
        <f ca="1">Propeller!$B$15+Propeller!$B$16*H29+Propeller!$B$17*H29^2+Propeller!$B$18*H29^3+Propeller!$B$19*H29^4+Propeller!$B$20*H29^5+Propeller!$B$21*H29^6</f>
        <v>1.7472025464008601E-2</v>
      </c>
      <c r="R29" s="10">
        <f ca="1">(Propeller!$B$23+Propeller!$B$24*H29+Propeller!$B$25*H29^2+Propeller!$B$26*H29^3+Propeller!$B$27*H29^4+Propeller!$B$28*H29^5+Propeller!$B$29*H29^6)*Propulsão!M29</f>
        <v>0.67092194315004416</v>
      </c>
      <c r="S29" s="19">
        <f t="shared" ca="1" si="5"/>
        <v>198.31723912178319</v>
      </c>
      <c r="T29" s="19">
        <f ca="1">'Aerodynamics-RC'!BL29+'RC'!$B$8*'RC'!H29</f>
        <v>264.15882670355705</v>
      </c>
      <c r="U29" s="14">
        <f ca="1">MIN(Motor!$B$10,MAX(Motor!$B$8,J29+0.05*(Q29/P29-1)*J29))</f>
        <v>29.97428713441867</v>
      </c>
      <c r="V29" s="50" t="str">
        <f t="shared" ca="1" si="6"/>
        <v>OK</v>
      </c>
      <c r="W29" s="1">
        <f t="shared" ca="1" si="7"/>
        <v>1</v>
      </c>
      <c r="X29" s="50" t="str">
        <f t="shared" ca="1" si="8"/>
        <v>OK</v>
      </c>
      <c r="Y29" s="35"/>
      <c r="Z29" s="36"/>
      <c r="AA29" s="36"/>
      <c r="AB29" s="36"/>
      <c r="AC29" s="38"/>
      <c r="AD29" s="41"/>
      <c r="AE29" s="40"/>
      <c r="AF29" s="38"/>
      <c r="AG29" s="40"/>
      <c r="AH29" s="40"/>
      <c r="AI29" s="36"/>
      <c r="AJ29" s="36"/>
      <c r="AK29" s="36"/>
      <c r="AL29" s="40"/>
      <c r="AM29" s="40"/>
      <c r="AN29" s="38"/>
      <c r="AO29" s="35"/>
      <c r="AP29" s="35"/>
      <c r="AQ29" s="35"/>
      <c r="AR29" s="35"/>
      <c r="AS29" s="35"/>
      <c r="AT29" s="35"/>
      <c r="AU29" s="35"/>
      <c r="AV29" s="35"/>
      <c r="AW29" s="35"/>
      <c r="AX29" s="35"/>
    </row>
    <row r="30" spans="2:50">
      <c r="B30" s="1">
        <f>'RC'!F30</f>
        <v>0.65969672852566186</v>
      </c>
      <c r="D30" s="1">
        <f>Propeller!$B$8</f>
        <v>0.30479999999999996</v>
      </c>
      <c r="E30" s="20">
        <f ca="1">'RC'!X30</f>
        <v>24.858990723279437</v>
      </c>
      <c r="F30" s="49">
        <f t="shared" ca="1" si="0"/>
        <v>1</v>
      </c>
      <c r="G30" s="19">
        <f ca="1">MAX(Motor!$B$7,K30*Motor!$B$7)</f>
        <v>12797.719929696406</v>
      </c>
      <c r="H30" s="10">
        <f ca="1">E30/(G30/60*D30)*Propulsão!J30</f>
        <v>0.36884964243051321</v>
      </c>
      <c r="I30" s="13">
        <f ca="1">F30*Energy!$B$6</f>
        <v>11.850000000000001</v>
      </c>
      <c r="J30" s="51">
        <f ca="1">IF(ISERROR(U30),Motor!$B$10,U30)</f>
        <v>30.390599792901739</v>
      </c>
      <c r="K30" s="20">
        <f ca="1">I30-Motor!$B$9*J30</f>
        <v>10.664766608076834</v>
      </c>
      <c r="L30" s="14">
        <f ca="1">MAX(Motor!$B$8,J30-Motor!$B$8)</f>
        <v>28.090599792901738</v>
      </c>
      <c r="M30" s="14">
        <f t="shared" ca="1" si="1"/>
        <v>360.12860754588564</v>
      </c>
      <c r="N30" s="20">
        <f t="shared" ca="1" si="2"/>
        <v>299.57969067218846</v>
      </c>
      <c r="O30" s="1">
        <f t="shared" ca="1" si="3"/>
        <v>0.22353789057275067</v>
      </c>
      <c r="P30" s="10">
        <f t="shared" ca="1" si="4"/>
        <v>1.7788903141114986E-2</v>
      </c>
      <c r="Q30" s="10">
        <f ca="1">Propeller!$B$15+Propeller!$B$16*H30+Propeller!$B$17*H30^2+Propeller!$B$18*H30^3+Propeller!$B$19*H30^4+Propeller!$B$20*H30^5+Propeller!$B$21*H30^6</f>
        <v>1.778890314215863E-2</v>
      </c>
      <c r="R30" s="10">
        <f ca="1">(Propeller!$B$23+Propeller!$B$24*H30+Propeller!$B$25*H30^2+Propeller!$B$26*H30^3+Propeller!$B$27*H30^4+Propeller!$B$28*H30^5+Propeller!$B$29*H30^6)*Propulsão!M30</f>
        <v>0.66926428126622917</v>
      </c>
      <c r="S30" s="19">
        <f t="shared" ca="1" si="5"/>
        <v>200.49798635968148</v>
      </c>
      <c r="T30" s="19">
        <f ca="1">'Aerodynamics-RC'!BL30+'RC'!$B$8*'RC'!H30</f>
        <v>256.31198405335914</v>
      </c>
      <c r="U30" s="14">
        <f ca="1">MIN(Motor!$B$10,MAX(Motor!$B$8,J30+0.05*(Q30/P30-1)*J30))</f>
        <v>30.390599792990887</v>
      </c>
      <c r="V30" s="50" t="str">
        <f t="shared" ca="1" si="6"/>
        <v>OK</v>
      </c>
      <c r="W30" s="1">
        <f t="shared" ca="1" si="7"/>
        <v>1</v>
      </c>
      <c r="X30" s="50" t="str">
        <f t="shared" ca="1" si="8"/>
        <v>OK</v>
      </c>
      <c r="Y30" s="35"/>
      <c r="Z30" s="36"/>
      <c r="AA30" s="36"/>
      <c r="AB30" s="36"/>
      <c r="AC30" s="38"/>
      <c r="AD30" s="41"/>
      <c r="AE30" s="40"/>
      <c r="AF30" s="38"/>
      <c r="AG30" s="40"/>
      <c r="AH30" s="40"/>
      <c r="AI30" s="36"/>
      <c r="AJ30" s="36"/>
      <c r="AK30" s="36"/>
      <c r="AL30" s="40"/>
      <c r="AM30" s="40"/>
      <c r="AN30" s="38"/>
      <c r="AO30" s="35"/>
      <c r="AP30" s="35"/>
      <c r="AQ30" s="35"/>
      <c r="AR30" s="35"/>
      <c r="AS30" s="35"/>
      <c r="AT30" s="35"/>
      <c r="AU30" s="35"/>
      <c r="AV30" s="35"/>
      <c r="AW30" s="35"/>
      <c r="AX30" s="35"/>
    </row>
    <row r="31" spans="2:50">
      <c r="B31" s="1">
        <f>'RC'!F31</f>
        <v>0.65969672852566186</v>
      </c>
      <c r="D31" s="1">
        <f>Propeller!$B$8</f>
        <v>0.30479999999999996</v>
      </c>
      <c r="E31" s="20">
        <f ca="1">'RC'!X31</f>
        <v>24.411011139810388</v>
      </c>
      <c r="F31" s="49">
        <f t="shared" ca="1" si="0"/>
        <v>1</v>
      </c>
      <c r="G31" s="19">
        <f ca="1">MAX(Motor!$B$7,K31*Motor!$B$7)</f>
        <v>12780.046802784447</v>
      </c>
      <c r="H31" s="10">
        <f ca="1">E31/(G31/60*D31)*Propulsão!J31</f>
        <v>0.36270354539004529</v>
      </c>
      <c r="I31" s="13">
        <f ca="1">F31*Energy!$B$6</f>
        <v>11.850000000000001</v>
      </c>
      <c r="J31" s="51">
        <f ca="1">IF(ISERROR(U31),Motor!$B$10,U31)</f>
        <v>30.768230709821619</v>
      </c>
      <c r="K31" s="20">
        <f ca="1">I31-Motor!$B$9*J31</f>
        <v>10.650039002316959</v>
      </c>
      <c r="L31" s="14">
        <f ca="1">MAX(Motor!$B$8,J31-Motor!$B$8)</f>
        <v>28.468230709821619</v>
      </c>
      <c r="M31" s="14">
        <f t="shared" ca="1" si="1"/>
        <v>364.60353391138625</v>
      </c>
      <c r="N31" s="20">
        <f t="shared" ca="1" si="2"/>
        <v>303.18776738655765</v>
      </c>
      <c r="O31" s="1">
        <f t="shared" ca="1" si="3"/>
        <v>0.22654298192735775</v>
      </c>
      <c r="P31" s="10">
        <f t="shared" ca="1" si="4"/>
        <v>1.8077940369798651E-2</v>
      </c>
      <c r="Q31" s="10">
        <f ca="1">Propeller!$B$15+Propeller!$B$16*H31+Propeller!$B$17*H31^2+Propeller!$B$18*H31^3+Propeller!$B$19*H31^4+Propeller!$B$20*H31^5+Propeller!$B$21*H31^6</f>
        <v>1.8077940370819792E-2</v>
      </c>
      <c r="R31" s="10">
        <f ca="1">(Propeller!$B$23+Propeller!$B$24*H31+Propeller!$B$25*H31^2+Propeller!$B$26*H31^3+Propeller!$B$27*H31^4+Propeller!$B$28*H31^5+Propeller!$B$29*H31^6)*Propulsão!M31</f>
        <v>0.66728428982608401</v>
      </c>
      <c r="S31" s="19">
        <f t="shared" ca="1" si="5"/>
        <v>202.31243404449509</v>
      </c>
      <c r="T31" s="19">
        <f ca="1">'Aerodynamics-RC'!BL31+'RC'!$B$8*'RC'!H31</f>
        <v>249.24787526873376</v>
      </c>
      <c r="U31" s="14">
        <f ca="1">MIN(Motor!$B$10,MAX(Motor!$B$8,J31+0.05*(Q31/P31-1)*J31))</f>
        <v>30.768230709908519</v>
      </c>
      <c r="V31" s="50" t="str">
        <f t="shared" ca="1" si="6"/>
        <v>OK</v>
      </c>
      <c r="W31" s="1">
        <f t="shared" ca="1" si="7"/>
        <v>1</v>
      </c>
      <c r="X31" s="50" t="str">
        <f t="shared" ca="1" si="8"/>
        <v>OK</v>
      </c>
      <c r="Y31" s="35"/>
      <c r="Z31" s="36"/>
      <c r="AA31" s="36"/>
      <c r="AB31" s="36"/>
      <c r="AC31" s="38"/>
      <c r="AD31" s="41"/>
      <c r="AE31" s="40"/>
      <c r="AF31" s="38"/>
      <c r="AG31" s="40"/>
      <c r="AH31" s="40"/>
      <c r="AI31" s="36"/>
      <c r="AJ31" s="36"/>
      <c r="AK31" s="36"/>
      <c r="AL31" s="40"/>
      <c r="AM31" s="40"/>
      <c r="AN31" s="38"/>
      <c r="AO31" s="35"/>
      <c r="AP31" s="35"/>
      <c r="AQ31" s="35"/>
      <c r="AR31" s="35"/>
      <c r="AS31" s="35"/>
      <c r="AT31" s="35"/>
      <c r="AU31" s="35"/>
      <c r="AV31" s="35"/>
      <c r="AW31" s="35"/>
      <c r="AX31" s="35"/>
    </row>
    <row r="32" spans="2:50">
      <c r="B32" s="1">
        <f>'RC'!F32</f>
        <v>0.65969672852566186</v>
      </c>
      <c r="D32" s="1">
        <f>Propeller!$B$8</f>
        <v>0.30479999999999996</v>
      </c>
      <c r="E32" s="20">
        <f ca="1">'RC'!X32</f>
        <v>23.990482001725344</v>
      </c>
      <c r="F32" s="49">
        <f t="shared" ca="1" si="0"/>
        <v>1</v>
      </c>
      <c r="G32" s="19">
        <f ca="1">MAX(Motor!$B$7,K32*Motor!$B$7)</f>
        <v>12763.950618169725</v>
      </c>
      <c r="H32" s="10">
        <f ca="1">E32/(G32/60*D32)*Propulsão!J32</f>
        <v>0.35690475536686189</v>
      </c>
      <c r="I32" s="13">
        <f ca="1">F32*Energy!$B$6</f>
        <v>11.850000000000001</v>
      </c>
      <c r="J32" s="51">
        <f ca="1">IF(ISERROR(U32),Motor!$B$10,U32)</f>
        <v>31.112166278510045</v>
      </c>
      <c r="K32" s="20">
        <f ca="1">I32-Motor!$B$9*J32</f>
        <v>10.63662551513811</v>
      </c>
      <c r="L32" s="14">
        <f ca="1">MAX(Motor!$B$8,J32-Motor!$B$8)</f>
        <v>28.812166278510045</v>
      </c>
      <c r="M32" s="14">
        <f t="shared" ca="1" si="1"/>
        <v>368.67917040034411</v>
      </c>
      <c r="N32" s="20">
        <f t="shared" ca="1" si="2"/>
        <v>306.46422298440177</v>
      </c>
      <c r="O32" s="1">
        <f t="shared" ca="1" si="3"/>
        <v>0.22927993422045287</v>
      </c>
      <c r="P32" s="10">
        <f t="shared" ca="1" si="4"/>
        <v>1.8342521772016458E-2</v>
      </c>
      <c r="Q32" s="10">
        <f ca="1">Propeller!$B$15+Propeller!$B$16*H32+Propeller!$B$17*H32^2+Propeller!$B$18*H32^3+Propeller!$B$19*H32^4+Propeller!$B$20*H32^5+Propeller!$B$21*H32^6</f>
        <v>1.8342521773015069E-2</v>
      </c>
      <c r="R32" s="10">
        <f ca="1">(Propeller!$B$23+Propeller!$B$24*H32+Propeller!$B$25*H32^2+Propeller!$B$26*H32^3+Propeller!$B$27*H32^4+Propeller!$B$28*H32^5+Propeller!$B$29*H32^6)*Propulsão!M32</f>
        <v>0.6650697440589467</v>
      </c>
      <c r="S32" s="19">
        <f t="shared" ca="1" si="5"/>
        <v>203.82008234346006</v>
      </c>
      <c r="T32" s="19">
        <f ca="1">'Aerodynamics-RC'!BL32+'RC'!$B$8*'RC'!H32</f>
        <v>242.86229695668862</v>
      </c>
      <c r="U32" s="14">
        <f ca="1">MIN(Motor!$B$10,MAX(Motor!$B$8,J32+0.05*(Q32/P32-1)*J32))</f>
        <v>31.112166278594735</v>
      </c>
      <c r="V32" s="50" t="str">
        <f t="shared" ca="1" si="6"/>
        <v>OK</v>
      </c>
      <c r="W32" s="1">
        <f t="shared" ca="1" si="7"/>
        <v>1</v>
      </c>
      <c r="X32" s="50" t="str">
        <f t="shared" ca="1" si="8"/>
        <v>OK</v>
      </c>
      <c r="Y32" s="35"/>
      <c r="Z32" s="36"/>
      <c r="AA32" s="36"/>
      <c r="AB32" s="36"/>
      <c r="AC32" s="38"/>
      <c r="AD32" s="41"/>
      <c r="AE32" s="40"/>
      <c r="AF32" s="38"/>
      <c r="AG32" s="40"/>
      <c r="AH32" s="40"/>
      <c r="AI32" s="36"/>
      <c r="AJ32" s="36"/>
      <c r="AK32" s="36"/>
      <c r="AL32" s="40"/>
      <c r="AM32" s="40"/>
      <c r="AN32" s="38"/>
      <c r="AO32" s="35"/>
      <c r="AP32" s="35"/>
      <c r="AQ32" s="35"/>
      <c r="AR32" s="35"/>
      <c r="AS32" s="35"/>
      <c r="AT32" s="35"/>
      <c r="AU32" s="35"/>
      <c r="AV32" s="35"/>
      <c r="AW32" s="35"/>
      <c r="AX32" s="35"/>
    </row>
    <row r="33" spans="2:50">
      <c r="B33" s="1">
        <f>'RC'!F33</f>
        <v>0.65969672852566186</v>
      </c>
      <c r="D33" s="1">
        <f>Propeller!$B$8</f>
        <v>0.30479999999999996</v>
      </c>
      <c r="E33" s="20">
        <f ca="1">'RC'!X33</f>
        <v>23.594721425716866</v>
      </c>
      <c r="F33" s="49">
        <f t="shared" ca="1" si="0"/>
        <v>1</v>
      </c>
      <c r="G33" s="19">
        <f ca="1">MAX(Motor!$B$7,K33*Motor!$B$7)</f>
        <v>12749.236412562168</v>
      </c>
      <c r="H33" s="10">
        <f ca="1">E33/(G33/60*D33)*Propulsão!J33</f>
        <v>0.35142216978714275</v>
      </c>
      <c r="I33" s="13">
        <f ca="1">F33*Energy!$B$6</f>
        <v>11.850000000000001</v>
      </c>
      <c r="J33" s="51">
        <f ca="1">IF(ISERROR(U33),Motor!$B$10,U33)</f>
        <v>31.42657238123396</v>
      </c>
      <c r="K33" s="20">
        <f ca="1">I33-Motor!$B$9*J33</f>
        <v>10.624363677131877</v>
      </c>
      <c r="L33" s="14">
        <f ca="1">MAX(Motor!$B$8,J33-Motor!$B$8)</f>
        <v>29.126572381233959</v>
      </c>
      <c r="M33" s="14">
        <f t="shared" ca="1" si="1"/>
        <v>372.40488271762246</v>
      </c>
      <c r="N33" s="20">
        <f t="shared" ca="1" si="2"/>
        <v>309.45129764653461</v>
      </c>
      <c r="O33" s="1">
        <f t="shared" ca="1" si="3"/>
        <v>0.23178189848979189</v>
      </c>
      <c r="P33" s="10">
        <f t="shared" ca="1" si="4"/>
        <v>1.8585506120534532E-2</v>
      </c>
      <c r="Q33" s="10">
        <f ca="1">Propeller!$B$15+Propeller!$B$16*H33+Propeller!$B$17*H33^2+Propeller!$B$18*H33^3+Propeller!$B$19*H33^4+Propeller!$B$20*H33^5+Propeller!$B$21*H33^6</f>
        <v>1.858550612151658E-2</v>
      </c>
      <c r="R33" s="10">
        <f ca="1">(Propeller!$B$23+Propeller!$B$24*H33+Propeller!$B$25*H33^2+Propeller!$B$26*H33^3+Propeller!$B$27*H33^4+Propeller!$B$28*H33^5+Propeller!$B$29*H33^6)*Propulsão!M33</f>
        <v>0.66268523262952139</v>
      </c>
      <c r="S33" s="19">
        <f t="shared" ca="1" si="5"/>
        <v>205.06880516840104</v>
      </c>
      <c r="T33" s="19">
        <f ca="1">'Aerodynamics-RC'!BL33+'RC'!$B$8*'RC'!H33</f>
        <v>237.06890036383788</v>
      </c>
      <c r="U33" s="14">
        <f ca="1">MIN(Motor!$B$10,MAX(Motor!$B$8,J33+0.05*(Q33/P33-1)*J33))</f>
        <v>31.426572381316987</v>
      </c>
      <c r="V33" s="50" t="str">
        <f t="shared" ca="1" si="6"/>
        <v>OK</v>
      </c>
      <c r="W33" s="1">
        <f t="shared" ca="1" si="7"/>
        <v>1</v>
      </c>
      <c r="X33" s="50" t="str">
        <f t="shared" ca="1" si="8"/>
        <v>OK</v>
      </c>
      <c r="Y33" s="35"/>
      <c r="Z33" s="36"/>
      <c r="AA33" s="36"/>
      <c r="AB33" s="36"/>
      <c r="AC33" s="38"/>
      <c r="AD33" s="41"/>
      <c r="AE33" s="40"/>
      <c r="AF33" s="38"/>
      <c r="AG33" s="40"/>
      <c r="AH33" s="40"/>
      <c r="AI33" s="36"/>
      <c r="AJ33" s="36"/>
      <c r="AK33" s="36"/>
      <c r="AL33" s="40"/>
      <c r="AM33" s="40"/>
      <c r="AN33" s="38"/>
      <c r="AO33" s="35"/>
      <c r="AP33" s="35"/>
      <c r="AQ33" s="35"/>
      <c r="AR33" s="35"/>
      <c r="AS33" s="35"/>
      <c r="AT33" s="35"/>
      <c r="AU33" s="35"/>
      <c r="AV33" s="35"/>
      <c r="AW33" s="35"/>
      <c r="AX33" s="35"/>
    </row>
    <row r="34" spans="2:50">
      <c r="B34" s="1">
        <f>'RC'!F34</f>
        <v>0.65969672852566186</v>
      </c>
      <c r="D34" s="1">
        <f>Propeller!$B$8</f>
        <v>0.30479999999999996</v>
      </c>
      <c r="E34" s="20">
        <f ca="1">'RC'!X34</f>
        <v>23.221306277971916</v>
      </c>
      <c r="F34" s="49">
        <f t="shared" ca="1" si="0"/>
        <v>1</v>
      </c>
      <c r="G34" s="19">
        <f ca="1">MAX(Motor!$B$7,K34*Motor!$B$7)</f>
        <v>12735.736152814494</v>
      </c>
      <c r="H34" s="10">
        <f ca="1">E34/(G34/60*D34)*Propulsão!J34</f>
        <v>0.34622710918974131</v>
      </c>
      <c r="I34" s="13">
        <f ca="1">F34*Energy!$B$6</f>
        <v>11.850000000000001</v>
      </c>
      <c r="J34" s="51">
        <f ca="1">IF(ISERROR(U34),Motor!$B$10,U34)</f>
        <v>31.715039469858205</v>
      </c>
      <c r="K34" s="20">
        <f ca="1">I34-Motor!$B$9*J34</f>
        <v>10.613113460675532</v>
      </c>
      <c r="L34" s="14">
        <f ca="1">MAX(Motor!$B$8,J34-Motor!$B$8)</f>
        <v>29.415039469858204</v>
      </c>
      <c r="M34" s="14">
        <f t="shared" ca="1" si="1"/>
        <v>375.82321771781977</v>
      </c>
      <c r="N34" s="20">
        <f t="shared" ca="1" si="2"/>
        <v>312.18515134385416</v>
      </c>
      <c r="O34" s="1">
        <f t="shared" ca="1" si="3"/>
        <v>0.23407744664348601</v>
      </c>
      <c r="P34" s="10">
        <f t="shared" ca="1" si="4"/>
        <v>1.8809389096849847E-2</v>
      </c>
      <c r="Q34" s="10">
        <f ca="1">Propeller!$B$15+Propeller!$B$16*H34+Propeller!$B$17*H34^2+Propeller!$B$18*H34^3+Propeller!$B$19*H34^4+Propeller!$B$20*H34^5+Propeller!$B$21*H34^6</f>
        <v>1.8809389097819935E-2</v>
      </c>
      <c r="R34" s="10">
        <f ca="1">(Propeller!$B$23+Propeller!$B$24*H34+Propeller!$B$25*H34^2+Propeller!$B$26*H34^3+Propeller!$B$27*H34^4+Propeller!$B$28*H34^5+Propeller!$B$29*H34^6)*Propulsão!M34</f>
        <v>0.66017806599103257</v>
      </c>
      <c r="S34" s="19">
        <f t="shared" ca="1" si="5"/>
        <v>206.09778944530345</v>
      </c>
      <c r="T34" s="19">
        <f ca="1">'Aerodynamics-RC'!BL34+'RC'!$B$8*'RC'!H34</f>
        <v>231.79273597034089</v>
      </c>
      <c r="U34" s="14">
        <f ca="1">MIN(Motor!$B$10,MAX(Motor!$B$8,J34+0.05*(Q34/P34-1)*J34))</f>
        <v>31.715039469939988</v>
      </c>
      <c r="V34" s="50" t="str">
        <f t="shared" ca="1" si="6"/>
        <v>OK</v>
      </c>
      <c r="W34" s="1">
        <f t="shared" ca="1" si="7"/>
        <v>1</v>
      </c>
      <c r="X34" s="50" t="str">
        <f t="shared" ca="1" si="8"/>
        <v>OK</v>
      </c>
      <c r="Y34" s="35"/>
      <c r="Z34" s="36"/>
      <c r="AA34" s="36"/>
      <c r="AB34" s="36"/>
      <c r="AC34" s="38"/>
      <c r="AD34" s="41"/>
      <c r="AE34" s="40"/>
      <c r="AF34" s="38"/>
      <c r="AG34" s="40"/>
      <c r="AH34" s="40"/>
      <c r="AI34" s="36"/>
      <c r="AJ34" s="36"/>
      <c r="AK34" s="36"/>
      <c r="AL34" s="40"/>
      <c r="AM34" s="40"/>
      <c r="AN34" s="38"/>
      <c r="AO34" s="35"/>
      <c r="AP34" s="35"/>
      <c r="AQ34" s="35"/>
      <c r="AR34" s="35"/>
      <c r="AS34" s="35"/>
      <c r="AT34" s="35"/>
      <c r="AU34" s="35"/>
      <c r="AV34" s="35"/>
      <c r="AW34" s="35"/>
      <c r="AX34" s="35"/>
    </row>
    <row r="35" spans="2:50">
      <c r="B35" s="1">
        <f>'RC'!F35</f>
        <v>0.65969672852566186</v>
      </c>
      <c r="D35" s="1">
        <f>Propeller!$B$8</f>
        <v>0.30479999999999996</v>
      </c>
      <c r="E35" s="20">
        <f ca="1">'RC'!X35</f>
        <v>22.867828371672989</v>
      </c>
      <c r="F35" s="49">
        <f t="shared" ca="1" si="0"/>
        <v>1</v>
      </c>
      <c r="G35" s="19">
        <f ca="1">MAX(Motor!$B$7,K35*Motor!$B$7)</f>
        <v>12723.297110625666</v>
      </c>
      <c r="H35" s="10">
        <f ca="1">E35/(G35/60*D35)*Propulsão!J35</f>
        <v>0.34129013206509545</v>
      </c>
      <c r="I35" s="13">
        <f ca="1">F35*Energy!$B$6</f>
        <v>11.850000000000001</v>
      </c>
      <c r="J35" s="51">
        <f ca="1">IF(ISERROR(U35),Motor!$B$10,U35)</f>
        <v>31.980830969617912</v>
      </c>
      <c r="K35" s="20">
        <f ca="1">I35-Motor!$B$9*J35</f>
        <v>10.602747592184903</v>
      </c>
      <c r="L35" s="14">
        <f ca="1">MAX(Motor!$B$8,J35-Motor!$B$8)</f>
        <v>29.680830969617912</v>
      </c>
      <c r="M35" s="14">
        <f t="shared" ca="1" si="1"/>
        <v>378.97284698997231</v>
      </c>
      <c r="N35" s="20">
        <f t="shared" ca="1" si="2"/>
        <v>314.6983590971634</v>
      </c>
      <c r="O35" s="1">
        <f t="shared" ca="1" si="3"/>
        <v>0.23619254819441499</v>
      </c>
      <c r="P35" s="10">
        <f t="shared" ca="1" si="4"/>
        <v>1.9016477740504835E-2</v>
      </c>
      <c r="Q35" s="10">
        <f ca="1">Propeller!$B$15+Propeller!$B$16*H35+Propeller!$B$17*H35^2+Propeller!$B$18*H35^3+Propeller!$B$19*H35^4+Propeller!$B$20*H35^5+Propeller!$B$21*H35^6</f>
        <v>1.9016477741459294E-2</v>
      </c>
      <c r="R35" s="10">
        <f ca="1">(Propeller!$B$23+Propeller!$B$24*H35+Propeller!$B$25*H35^2+Propeller!$B$26*H35^3+Propeller!$B$27*H35^4+Propeller!$B$28*H35^5+Propeller!$B$29*H35^6)*Propulsão!M35</f>
        <v>0.65758117519657089</v>
      </c>
      <c r="S35" s="19">
        <f t="shared" ca="1" si="5"/>
        <v>206.93971680754518</v>
      </c>
      <c r="T35" s="19">
        <f ca="1">'Aerodynamics-RC'!BL35+'RC'!$B$8*'RC'!H35</f>
        <v>226.96296766646333</v>
      </c>
      <c r="U35" s="14">
        <f ca="1">MIN(Motor!$B$10,MAX(Motor!$B$8,J35+0.05*(Q35/P35-1)*J35))</f>
        <v>31.980830969698172</v>
      </c>
      <c r="V35" s="50" t="str">
        <f t="shared" ca="1" si="6"/>
        <v>OK</v>
      </c>
      <c r="W35" s="1">
        <f t="shared" ca="1" si="7"/>
        <v>1</v>
      </c>
      <c r="X35" s="50" t="str">
        <f t="shared" ca="1" si="8"/>
        <v>OK</v>
      </c>
      <c r="Y35" s="35"/>
      <c r="Z35" s="36"/>
      <c r="AA35" s="36"/>
      <c r="AB35" s="36"/>
      <c r="AC35" s="38"/>
      <c r="AD35" s="41"/>
      <c r="AE35" s="40"/>
      <c r="AF35" s="38"/>
      <c r="AG35" s="40"/>
      <c r="AH35" s="40"/>
      <c r="AI35" s="36"/>
      <c r="AJ35" s="36"/>
      <c r="AK35" s="36"/>
      <c r="AL35" s="40"/>
      <c r="AM35" s="40"/>
      <c r="AN35" s="38"/>
      <c r="AO35" s="35"/>
      <c r="AP35" s="35"/>
      <c r="AQ35" s="35"/>
      <c r="AR35" s="35"/>
      <c r="AS35" s="35"/>
      <c r="AT35" s="35"/>
      <c r="AU35" s="35"/>
      <c r="AV35" s="35"/>
      <c r="AW35" s="35"/>
      <c r="AX35" s="35"/>
    </row>
    <row r="36" spans="2:50">
      <c r="B36" s="1">
        <f>'RC'!F36</f>
        <v>0.65969672852566186</v>
      </c>
      <c r="D36" s="1">
        <f>Propeller!$B$8</f>
        <v>0.30479999999999996</v>
      </c>
      <c r="E36" s="20">
        <f ca="1">'RC'!X36</f>
        <v>22.533115808238001</v>
      </c>
      <c r="F36" s="49">
        <f t="shared" ca="1" si="0"/>
        <v>1</v>
      </c>
      <c r="G36" s="19">
        <f ca="1">MAX(Motor!$B$7,K36*Motor!$B$7)</f>
        <v>12711.82154445091</v>
      </c>
      <c r="H36" s="10">
        <f ca="1">E36/(G36/60*D36)*Propulsão!J36</f>
        <v>0.33659831496941095</v>
      </c>
      <c r="I36" s="13">
        <f ca="1">F36*Energy!$B$6</f>
        <v>11.850000000000001</v>
      </c>
      <c r="J36" s="51">
        <f ca="1">IF(ISERROR(U36),Motor!$B$10,U36)</f>
        <v>32.226035375059887</v>
      </c>
      <c r="K36" s="20">
        <f ca="1">I36-Motor!$B$9*J36</f>
        <v>10.593184620372666</v>
      </c>
      <c r="L36" s="14">
        <f ca="1">MAX(Motor!$B$8,J36-Motor!$B$8)</f>
        <v>29.926035375059886</v>
      </c>
      <c r="M36" s="14">
        <f t="shared" ca="1" si="1"/>
        <v>381.87851919445973</v>
      </c>
      <c r="N36" s="20">
        <f t="shared" ca="1" si="2"/>
        <v>317.01201768381276</v>
      </c>
      <c r="O36" s="1">
        <f t="shared" ca="1" si="3"/>
        <v>0.23814382285411564</v>
      </c>
      <c r="P36" s="10">
        <f t="shared" ca="1" si="4"/>
        <v>1.9208213381248087E-2</v>
      </c>
      <c r="Q36" s="10">
        <f ca="1">Propeller!$B$15+Propeller!$B$16*H36+Propeller!$B$17*H36^2+Propeller!$B$18*H36^3+Propeller!$B$19*H36^4+Propeller!$B$20*H36^5+Propeller!$B$21*H36^6</f>
        <v>1.9208213382186718E-2</v>
      </c>
      <c r="R36" s="10">
        <f ca="1">(Propeller!$B$23+Propeller!$B$24*H36+Propeller!$B$25*H36^2+Propeller!$B$26*H36^3+Propeller!$B$27*H36^4+Propeller!$B$28*H36^5+Propeller!$B$29*H36^6)*Propulsão!M36</f>
        <v>0.65492601146643858</v>
      </c>
      <c r="S36" s="19">
        <f t="shared" ca="1" si="5"/>
        <v>207.61941632858759</v>
      </c>
      <c r="T36" s="19">
        <f ca="1">'Aerodynamics-RC'!BL36+'RC'!$B$8*'RC'!H36</f>
        <v>222.54321134461631</v>
      </c>
      <c r="U36" s="14">
        <f ca="1">MIN(Motor!$B$10,MAX(Motor!$B$8,J36+0.05*(Q36/P36-1)*J36))</f>
        <v>32.226035375138622</v>
      </c>
      <c r="V36" s="50" t="str">
        <f t="shared" ca="1" si="6"/>
        <v>OK</v>
      </c>
      <c r="W36" s="1">
        <f t="shared" ca="1" si="7"/>
        <v>1</v>
      </c>
      <c r="X36" s="50" t="str">
        <f t="shared" ca="1" si="8"/>
        <v>OK</v>
      </c>
      <c r="Y36" s="35"/>
      <c r="Z36" s="36"/>
      <c r="AA36" s="36"/>
      <c r="AB36" s="36"/>
      <c r="AC36" s="38"/>
      <c r="AD36" s="41"/>
      <c r="AE36" s="40"/>
      <c r="AF36" s="38"/>
      <c r="AG36" s="40"/>
      <c r="AH36" s="40"/>
      <c r="AI36" s="36"/>
      <c r="AJ36" s="36"/>
      <c r="AK36" s="36"/>
      <c r="AL36" s="40"/>
      <c r="AM36" s="40"/>
      <c r="AN36" s="38"/>
      <c r="AO36" s="35"/>
      <c r="AP36" s="35"/>
      <c r="AQ36" s="35"/>
      <c r="AR36" s="35"/>
      <c r="AS36" s="35"/>
      <c r="AT36" s="35"/>
      <c r="AU36" s="35"/>
      <c r="AV36" s="35"/>
      <c r="AW36" s="35"/>
      <c r="AX36" s="35"/>
    </row>
    <row r="37" spans="2:50">
      <c r="B37" s="1">
        <f>'RC'!F37</f>
        <v>0.65969672852566186</v>
      </c>
      <c r="D37" s="1">
        <f>Propeller!$B$8</f>
        <v>0.30479999999999996</v>
      </c>
      <c r="E37" s="20">
        <f ca="1">'RC'!X37</f>
        <v>22.215604931199326</v>
      </c>
      <c r="F37" s="49">
        <f t="shared" ca="1" si="0"/>
        <v>1</v>
      </c>
      <c r="G37" s="19">
        <f ca="1">MAX(Motor!$B$7,K37*Motor!$B$7)</f>
        <v>12701.206418862015</v>
      </c>
      <c r="H37" s="10">
        <f ca="1">E37/(G37/60*D37)*Propulsão!J37</f>
        <v>0.33213270730488725</v>
      </c>
      <c r="I37" s="13">
        <f ca="1">F37*Energy!$B$6</f>
        <v>11.850000000000001</v>
      </c>
      <c r="J37" s="51">
        <f ca="1">IF(ISERROR(U37),Motor!$B$10,U37)</f>
        <v>32.452854297898064</v>
      </c>
      <c r="K37" s="20">
        <f ca="1">I37-Motor!$B$9*J37</f>
        <v>10.584338682381977</v>
      </c>
      <c r="L37" s="14">
        <f ca="1">MAX(Motor!$B$8,J37-Motor!$B$8)</f>
        <v>30.152854297898063</v>
      </c>
      <c r="M37" s="14">
        <f t="shared" ca="1" si="1"/>
        <v>384.5663234300921</v>
      </c>
      <c r="N37" s="20">
        <f t="shared" ca="1" si="2"/>
        <v>319.14802212947012</v>
      </c>
      <c r="O37" s="1">
        <f t="shared" ca="1" si="3"/>
        <v>0.23994879049194009</v>
      </c>
      <c r="P37" s="10">
        <f t="shared" ca="1" si="4"/>
        <v>1.9386162202610777E-2</v>
      </c>
      <c r="Q37" s="10">
        <f ca="1">Propeller!$B$15+Propeller!$B$16*H37+Propeller!$B$17*H37^2+Propeller!$B$18*H37^3+Propeller!$B$19*H37^4+Propeller!$B$20*H37^5+Propeller!$B$21*H37^6</f>
        <v>1.9386162203534073E-2</v>
      </c>
      <c r="R37" s="10">
        <f ca="1">(Propeller!$B$23+Propeller!$B$24*H37+Propeller!$B$25*H37^2+Propeller!$B$26*H37^3+Propeller!$B$27*H37^4+Propeller!$B$28*H37^5+Propeller!$B$29*H37^6)*Propulsão!M37</f>
        <v>0.6522336811512115</v>
      </c>
      <c r="S37" s="19">
        <f t="shared" ca="1" si="5"/>
        <v>208.15908930563262</v>
      </c>
      <c r="T37" s="19">
        <f ca="1">'Aerodynamics-RC'!BL37+'RC'!$B$8*'RC'!H37</f>
        <v>218.48892097267901</v>
      </c>
      <c r="U37" s="14">
        <f ca="1">MIN(Motor!$B$10,MAX(Motor!$B$8,J37+0.05*(Q37/P37-1)*J37))</f>
        <v>32.452854297975342</v>
      </c>
      <c r="V37" s="50" t="str">
        <f t="shared" ca="1" si="6"/>
        <v>OK</v>
      </c>
      <c r="W37" s="1">
        <f t="shared" ca="1" si="7"/>
        <v>1</v>
      </c>
      <c r="X37" s="50" t="str">
        <f t="shared" ca="1" si="8"/>
        <v>OK</v>
      </c>
      <c r="Y37" s="35"/>
      <c r="Z37" s="36"/>
      <c r="AA37" s="36"/>
      <c r="AB37" s="36"/>
      <c r="AC37" s="38"/>
      <c r="AD37" s="41"/>
      <c r="AE37" s="40"/>
      <c r="AF37" s="38"/>
      <c r="AG37" s="40"/>
      <c r="AH37" s="40"/>
      <c r="AI37" s="36"/>
      <c r="AJ37" s="36"/>
      <c r="AK37" s="36"/>
      <c r="AL37" s="40"/>
      <c r="AM37" s="40"/>
      <c r="AN37" s="38"/>
      <c r="AO37" s="35"/>
      <c r="AP37" s="35"/>
      <c r="AQ37" s="35"/>
      <c r="AR37" s="35"/>
      <c r="AS37" s="35"/>
      <c r="AT37" s="35"/>
      <c r="AU37" s="35"/>
      <c r="AV37" s="35"/>
      <c r="AW37" s="35"/>
      <c r="AX37" s="35"/>
    </row>
    <row r="38" spans="2:50">
      <c r="B38" s="1">
        <f>'RC'!F38</f>
        <v>0.65969672852566186</v>
      </c>
      <c r="D38" s="1">
        <f>Propeller!$B$8</f>
        <v>0.30479999999999996</v>
      </c>
      <c r="E38" s="20">
        <f ca="1">'RC'!X38</f>
        <v>21.913913889377955</v>
      </c>
      <c r="F38" s="49">
        <f t="shared" ca="1" si="0"/>
        <v>1</v>
      </c>
      <c r="G38" s="19">
        <f ca="1">MAX(Motor!$B$7,K38*Motor!$B$7)</f>
        <v>12691.362745710159</v>
      </c>
      <c r="H38" s="10">
        <f ca="1">E38/(G38/60*D38)*Propulsão!J38</f>
        <v>0.3278764087571035</v>
      </c>
      <c r="I38" s="13">
        <f ca="1">F38*Energy!$B$6</f>
        <v>11.850000000000001</v>
      </c>
      <c r="J38" s="51">
        <f ca="1">IF(ISERROR(U38),Motor!$B$10,U38)</f>
        <v>32.663189194303818</v>
      </c>
      <c r="K38" s="20">
        <f ca="1">I38-Motor!$B$9*J38</f>
        <v>10.576135621422152</v>
      </c>
      <c r="L38" s="14">
        <f ca="1">MAX(Motor!$B$8,J38-Motor!$B$8)</f>
        <v>30.363189194303818</v>
      </c>
      <c r="M38" s="14">
        <f t="shared" ca="1" si="1"/>
        <v>387.05879195250031</v>
      </c>
      <c r="N38" s="20">
        <f t="shared" ca="1" si="2"/>
        <v>321.12520681785679</v>
      </c>
      <c r="O38" s="1">
        <f t="shared" ca="1" si="3"/>
        <v>0.24162258241532572</v>
      </c>
      <c r="P38" s="10">
        <f t="shared" ca="1" si="4"/>
        <v>1.9551686835055211E-2</v>
      </c>
      <c r="Q38" s="10">
        <f ca="1">Propeller!$B$15+Propeller!$B$16*H38+Propeller!$B$17*H38^2+Propeller!$B$18*H38^3+Propeller!$B$19*H38^4+Propeller!$B$20*H38^5+Propeller!$B$21*H38^6</f>
        <v>1.9551686835963387E-2</v>
      </c>
      <c r="R38" s="10">
        <f ca="1">(Propeller!$B$23+Propeller!$B$24*H38+Propeller!$B$25*H38^2+Propeller!$B$26*H38^3+Propeller!$B$27*H38^4+Propeller!$B$28*H38^5+Propeller!$B$29*H38^6)*Propulsão!M38</f>
        <v>0.64952046951836917</v>
      </c>
      <c r="S38" s="19">
        <f t="shared" ca="1" si="5"/>
        <v>208.57739510651774</v>
      </c>
      <c r="T38" s="19">
        <f ca="1">'Aerodynamics-RC'!BL38+'RC'!$B$8*'RC'!H38</f>
        <v>214.76183186650877</v>
      </c>
      <c r="U38" s="14">
        <f ca="1">MIN(Motor!$B$10,MAX(Motor!$B$8,J38+0.05*(Q38/P38-1)*J38))</f>
        <v>32.663189194379676</v>
      </c>
      <c r="V38" s="50" t="str">
        <f t="shared" ca="1" si="6"/>
        <v>OK</v>
      </c>
      <c r="W38" s="1">
        <f t="shared" ca="1" si="7"/>
        <v>1</v>
      </c>
      <c r="X38" s="50" t="str">
        <f t="shared" ca="1" si="8"/>
        <v>OK</v>
      </c>
      <c r="Y38" s="35"/>
      <c r="Z38" s="36"/>
      <c r="AA38" s="36"/>
      <c r="AB38" s="36"/>
      <c r="AC38" s="38"/>
      <c r="AD38" s="41"/>
      <c r="AE38" s="40"/>
      <c r="AF38" s="38"/>
      <c r="AG38" s="40"/>
      <c r="AH38" s="40"/>
      <c r="AI38" s="36"/>
      <c r="AJ38" s="36"/>
      <c r="AK38" s="36"/>
      <c r="AL38" s="40"/>
      <c r="AM38" s="40"/>
      <c r="AN38" s="38"/>
      <c r="AO38" s="35"/>
      <c r="AP38" s="35"/>
      <c r="AQ38" s="35"/>
      <c r="AR38" s="35"/>
      <c r="AS38" s="35"/>
      <c r="AT38" s="35"/>
      <c r="AU38" s="35"/>
      <c r="AV38" s="35"/>
      <c r="AW38" s="35"/>
      <c r="AX38" s="35"/>
    </row>
    <row r="39" spans="2:50">
      <c r="B39" s="1">
        <f>'RC'!F39</f>
        <v>0.65969672852566186</v>
      </c>
      <c r="D39" s="1">
        <f>Propeller!$B$8</f>
        <v>0.30479999999999996</v>
      </c>
      <c r="E39" s="20">
        <f ca="1">'RC'!X39</f>
        <v>21.626815672280991</v>
      </c>
      <c r="F39" s="49">
        <f t="shared" ca="1" si="0"/>
        <v>1</v>
      </c>
      <c r="G39" s="19">
        <f ca="1">MAX(Motor!$B$7,K39*Motor!$B$7)</f>
        <v>12682.213266966648</v>
      </c>
      <c r="H39" s="10">
        <f ca="1">E39/(G39/60*D39)*Propulsão!J39</f>
        <v>0.32381428435336829</v>
      </c>
      <c r="I39" s="13">
        <f ca="1">F39*Energy!$B$6</f>
        <v>11.850000000000001</v>
      </c>
      <c r="J39" s="51">
        <f ca="1">IF(ISERROR(U39),Motor!$B$10,U39)</f>
        <v>32.85869087685608</v>
      </c>
      <c r="K39" s="20">
        <f ca="1">I39-Motor!$B$9*J39</f>
        <v>10.568511055802615</v>
      </c>
      <c r="L39" s="14">
        <f ca="1">MAX(Motor!$B$8,J39-Motor!$B$8)</f>
        <v>30.55869087685608</v>
      </c>
      <c r="M39" s="14">
        <f t="shared" ca="1" si="1"/>
        <v>389.37548689074458</v>
      </c>
      <c r="N39" s="20">
        <f t="shared" ca="1" si="2"/>
        <v>322.959862382908</v>
      </c>
      <c r="O39" s="1">
        <f t="shared" ca="1" si="3"/>
        <v>0.24317833537337522</v>
      </c>
      <c r="P39" s="10">
        <f t="shared" ca="1" si="4"/>
        <v>1.9705978401161665E-2</v>
      </c>
      <c r="Q39" s="10">
        <f ca="1">Propeller!$B$15+Propeller!$B$16*H39+Propeller!$B$17*H39^2+Propeller!$B$18*H39^3+Propeller!$B$19*H39^4+Propeller!$B$20*H39^5+Propeller!$B$21*H39^6</f>
        <v>1.970597840205501E-2</v>
      </c>
      <c r="R39" s="10">
        <f ca="1">(Propeller!$B$23+Propeller!$B$24*H39+Propeller!$B$25*H39^2+Propeller!$B$26*H39^3+Propeller!$B$27*H39^4+Propeller!$B$28*H39^5+Propeller!$B$29*H39^6)*Propulsão!M39</f>
        <v>0.64679903436690933</v>
      </c>
      <c r="S39" s="19">
        <f t="shared" ca="1" si="5"/>
        <v>208.89012712853483</v>
      </c>
      <c r="T39" s="19">
        <f ca="1">'Aerodynamics-RC'!BL39+'RC'!$B$8*'RC'!H39</f>
        <v>211.32888929360317</v>
      </c>
      <c r="U39" s="14">
        <f ca="1">MIN(Motor!$B$10,MAX(Motor!$B$8,J39+0.05*(Q39/P39-1)*J39))</f>
        <v>32.858690876930559</v>
      </c>
      <c r="V39" s="50" t="str">
        <f t="shared" ca="1" si="6"/>
        <v>OK</v>
      </c>
      <c r="W39" s="1">
        <f t="shared" ca="1" si="7"/>
        <v>1</v>
      </c>
      <c r="X39" s="50" t="str">
        <f t="shared" ca="1" si="8"/>
        <v>OK</v>
      </c>
      <c r="Y39" s="35"/>
      <c r="Z39" s="36"/>
      <c r="AA39" s="36"/>
      <c r="AB39" s="36"/>
      <c r="AC39" s="38"/>
      <c r="AD39" s="41"/>
      <c r="AE39" s="40"/>
      <c r="AF39" s="38"/>
      <c r="AG39" s="40"/>
      <c r="AH39" s="40"/>
      <c r="AI39" s="36"/>
      <c r="AJ39" s="36"/>
      <c r="AK39" s="36"/>
      <c r="AL39" s="40"/>
      <c r="AM39" s="40"/>
      <c r="AN39" s="38"/>
      <c r="AO39" s="35"/>
      <c r="AP39" s="35"/>
      <c r="AQ39" s="35"/>
      <c r="AR39" s="35"/>
      <c r="AS39" s="35"/>
      <c r="AT39" s="35"/>
      <c r="AU39" s="35"/>
      <c r="AV39" s="35"/>
      <c r="AW39" s="35"/>
      <c r="AX39" s="35"/>
    </row>
    <row r="40" spans="2:50">
      <c r="B40" s="1">
        <f>'RC'!F40</f>
        <v>0.65969672852566186</v>
      </c>
      <c r="D40" s="1">
        <f>Propeller!$B$8</f>
        <v>0.30479999999999996</v>
      </c>
      <c r="E40" s="20">
        <f ca="1">'RC'!X40</f>
        <v>19.43145462796252</v>
      </c>
      <c r="F40" s="49">
        <f t="shared" ca="1" si="0"/>
        <v>0.91542105096603388</v>
      </c>
      <c r="G40" s="19">
        <f ca="1">MAX(Motor!$B$7,K40*Motor!$B$7)</f>
        <v>11678.781744584441</v>
      </c>
      <c r="H40" s="10">
        <f ca="1">E40/(G40/60*D40)*Propulsão!J40</f>
        <v>0.31594118789495185</v>
      </c>
      <c r="I40" s="13">
        <f ca="1">F40*Energy!$B$6</f>
        <v>10.847739453947502</v>
      </c>
      <c r="J40" s="51">
        <f ca="1">IF(ISERROR(U40),Motor!$B$10,U40)</f>
        <v>28.602628636277696</v>
      </c>
      <c r="K40" s="20">
        <f ca="1">I40-Motor!$B$9*J40</f>
        <v>9.7322369371326722</v>
      </c>
      <c r="L40" s="14">
        <f ca="1">MAX(Motor!$B$8,J40-Motor!$B$8)</f>
        <v>26.302628636277696</v>
      </c>
      <c r="M40" s="14">
        <f t="shared" ca="1" si="1"/>
        <v>310.27386314435824</v>
      </c>
      <c r="N40" s="20">
        <f t="shared" ca="1" si="2"/>
        <v>255.98341395766536</v>
      </c>
      <c r="O40" s="1">
        <f t="shared" ca="1" si="3"/>
        <v>0.20930792220580702</v>
      </c>
      <c r="P40" s="10">
        <f t="shared" ca="1" si="4"/>
        <v>2.0001096592793689E-2</v>
      </c>
      <c r="Q40" s="10">
        <f ca="1">Propeller!$B$15+Propeller!$B$16*H40+Propeller!$B$17*H40^2+Propeller!$B$18*H40^3+Propeller!$B$19*H40^4+Propeller!$B$20*H40^5+Propeller!$B$21*H40^6</f>
        <v>1.9994908266152533E-2</v>
      </c>
      <c r="R40" s="10">
        <f ca="1">(Propeller!$B$23+Propeller!$B$24*H40+Propeller!$B$25*H40^2+Propeller!$B$26*H40^3+Propeller!$B$27*H40^4+Propeller!$B$28*H40^5+Propeller!$B$29*H40^6)*Propulsão!M40</f>
        <v>0.64077979193166423</v>
      </c>
      <c r="S40" s="19">
        <f t="shared" ca="1" si="5"/>
        <v>164.02899873374989</v>
      </c>
      <c r="T40" s="19">
        <f ca="1">'Aerodynamics-RC'!BL40+'RC'!$B$8*'RC'!H40</f>
        <v>163.99931413880719</v>
      </c>
      <c r="U40" s="14">
        <f ca="1">MIN(Motor!$B$10,MAX(Motor!$B$8,J40+0.05*(Q40/P40-1)*J40))</f>
        <v>28.602186154516819</v>
      </c>
      <c r="V40" s="50" t="str">
        <f t="shared" ca="1" si="6"/>
        <v>OK</v>
      </c>
      <c r="W40" s="1">
        <f t="shared" ca="1" si="7"/>
        <v>0.91541276770413815</v>
      </c>
      <c r="X40" s="50" t="str">
        <f t="shared" ca="1" si="8"/>
        <v>OK</v>
      </c>
      <c r="Y40" s="35"/>
      <c r="Z40" s="36"/>
      <c r="AA40" s="36"/>
      <c r="AB40" s="36"/>
      <c r="AC40" s="38"/>
      <c r="AD40" s="41"/>
      <c r="AE40" s="40"/>
      <c r="AF40" s="38"/>
      <c r="AG40" s="40"/>
      <c r="AH40" s="40"/>
      <c r="AI40" s="36"/>
      <c r="AJ40" s="36"/>
      <c r="AK40" s="36"/>
      <c r="AL40" s="40"/>
      <c r="AM40" s="40"/>
      <c r="AN40" s="38"/>
      <c r="AO40" s="35"/>
      <c r="AP40" s="35"/>
      <c r="AQ40" s="35"/>
      <c r="AR40" s="35"/>
      <c r="AS40" s="35"/>
      <c r="AT40" s="35"/>
      <c r="AU40" s="35"/>
      <c r="AV40" s="35"/>
      <c r="AW40" s="35"/>
      <c r="AX40" s="35"/>
    </row>
    <row r="41" spans="2:50">
      <c r="B41" s="1"/>
      <c r="D41" s="16"/>
      <c r="E41" s="19"/>
      <c r="F41" s="16"/>
      <c r="G41" s="19"/>
      <c r="H41" s="42"/>
      <c r="I41" s="40"/>
      <c r="J41" s="20"/>
      <c r="K41" s="19"/>
      <c r="L41" s="19"/>
      <c r="M41" s="20"/>
      <c r="N41" s="20"/>
      <c r="O41" s="42"/>
      <c r="P41" s="42"/>
      <c r="Q41" s="42"/>
      <c r="R41" s="19"/>
      <c r="S41" s="19"/>
      <c r="T41" s="19"/>
      <c r="U41" s="53"/>
      <c r="V41" s="16"/>
      <c r="W41" s="53"/>
      <c r="Y41" s="35"/>
      <c r="Z41" s="36"/>
      <c r="AA41" s="36"/>
      <c r="AB41" s="36"/>
      <c r="AC41" s="38"/>
      <c r="AD41" s="41"/>
      <c r="AE41" s="40"/>
      <c r="AF41" s="38"/>
      <c r="AG41" s="40"/>
      <c r="AH41" s="40"/>
      <c r="AI41" s="36"/>
      <c r="AJ41" s="36"/>
      <c r="AK41" s="36"/>
      <c r="AL41" s="40"/>
      <c r="AM41" s="40"/>
      <c r="AN41" s="38"/>
      <c r="AO41" s="35"/>
      <c r="AP41" s="35"/>
      <c r="AQ41" s="35"/>
      <c r="AR41" s="35"/>
      <c r="AS41" s="35"/>
      <c r="AT41" s="35"/>
      <c r="AU41" s="35"/>
      <c r="AV41" s="35"/>
      <c r="AW41" s="35"/>
      <c r="AX41" s="35"/>
    </row>
    <row r="42" spans="2:50">
      <c r="B42" s="1"/>
      <c r="D42" s="16"/>
      <c r="E42" s="19"/>
      <c r="F42" s="16"/>
      <c r="G42" s="19"/>
      <c r="H42" s="42"/>
      <c r="I42" s="40"/>
      <c r="J42" s="20"/>
      <c r="K42" s="19"/>
      <c r="L42" s="19"/>
      <c r="M42" s="20"/>
      <c r="N42" s="20"/>
      <c r="O42" s="42"/>
      <c r="P42" s="42"/>
      <c r="Q42" s="42"/>
      <c r="R42" s="19"/>
      <c r="S42" s="19"/>
      <c r="T42" s="19"/>
      <c r="U42" s="53"/>
      <c r="V42" s="16"/>
      <c r="W42" s="53"/>
      <c r="Y42" s="35"/>
      <c r="Z42" s="36"/>
      <c r="AA42" s="36"/>
      <c r="AB42" s="36"/>
      <c r="AC42" s="38"/>
      <c r="AD42" s="41"/>
      <c r="AE42" s="40"/>
      <c r="AF42" s="38"/>
      <c r="AG42" s="40"/>
      <c r="AH42" s="40"/>
      <c r="AI42" s="36"/>
      <c r="AJ42" s="36"/>
      <c r="AK42" s="36"/>
      <c r="AL42" s="40"/>
      <c r="AM42" s="40"/>
      <c r="AN42" s="38"/>
      <c r="AO42" s="35"/>
      <c r="AP42" s="35"/>
      <c r="AQ42" s="35"/>
      <c r="AR42" s="35"/>
      <c r="AS42" s="35"/>
      <c r="AT42" s="35"/>
      <c r="AU42" s="35"/>
      <c r="AV42" s="35"/>
      <c r="AW42" s="35"/>
      <c r="AX42" s="35"/>
    </row>
    <row r="43" spans="2:50">
      <c r="B43" s="1"/>
      <c r="Y43" s="35"/>
      <c r="Z43" s="36"/>
      <c r="AA43" s="36"/>
      <c r="AB43" s="36"/>
      <c r="AC43" s="38"/>
      <c r="AD43" s="41"/>
      <c r="AE43" s="40"/>
      <c r="AF43" s="38"/>
      <c r="AG43" s="40"/>
      <c r="AH43" s="40"/>
      <c r="AI43" s="36"/>
      <c r="AJ43" s="36"/>
      <c r="AK43" s="36"/>
      <c r="AL43" s="40"/>
      <c r="AM43" s="40"/>
      <c r="AN43" s="38"/>
      <c r="AO43" s="35"/>
      <c r="AP43" s="35"/>
      <c r="AQ43" s="35"/>
      <c r="AR43" s="35"/>
      <c r="AS43" s="35"/>
      <c r="AT43" s="35"/>
      <c r="AU43" s="35"/>
      <c r="AV43" s="35"/>
      <c r="AW43" s="35"/>
      <c r="AX43" s="35"/>
    </row>
    <row r="44" spans="2:50">
      <c r="B44" s="1"/>
      <c r="Y44" s="35"/>
      <c r="Z44" s="36"/>
      <c r="AA44" s="36"/>
      <c r="AB44" s="36"/>
      <c r="AC44" s="38"/>
      <c r="AD44" s="41"/>
      <c r="AE44" s="40"/>
      <c r="AF44" s="38"/>
      <c r="AG44" s="40"/>
      <c r="AH44" s="40"/>
      <c r="AI44" s="36"/>
      <c r="AJ44" s="36"/>
      <c r="AK44" s="36"/>
      <c r="AL44" s="40"/>
      <c r="AM44" s="40"/>
      <c r="AN44" s="38"/>
      <c r="AO44" s="35"/>
      <c r="AP44" s="35"/>
      <c r="AQ44" s="35"/>
      <c r="AR44" s="35"/>
      <c r="AS44" s="35"/>
      <c r="AT44" s="35"/>
      <c r="AU44" s="35"/>
      <c r="AV44" s="35"/>
      <c r="AW44" s="35"/>
      <c r="AX44" s="35"/>
    </row>
    <row r="45" spans="2:50">
      <c r="B45" s="1"/>
      <c r="Y45" s="35"/>
      <c r="Z45" s="36"/>
      <c r="AA45" s="36"/>
      <c r="AB45" s="36"/>
      <c r="AC45" s="38"/>
      <c r="AD45" s="41"/>
      <c r="AE45" s="40"/>
      <c r="AF45" s="38"/>
      <c r="AG45" s="40"/>
      <c r="AH45" s="40"/>
      <c r="AI45" s="36"/>
      <c r="AJ45" s="36"/>
      <c r="AK45" s="36"/>
      <c r="AL45" s="40"/>
      <c r="AM45" s="40"/>
      <c r="AN45" s="38"/>
      <c r="AO45" s="35"/>
      <c r="AP45" s="35"/>
      <c r="AQ45" s="35"/>
      <c r="AR45" s="35"/>
      <c r="AS45" s="35"/>
      <c r="AT45" s="35"/>
      <c r="AU45" s="35"/>
      <c r="AV45" s="35"/>
      <c r="AW45" s="35"/>
      <c r="AX45" s="35"/>
    </row>
    <row r="46" spans="2:50">
      <c r="B46" s="1"/>
      <c r="Y46" s="35"/>
      <c r="Z46" s="36"/>
      <c r="AA46" s="36"/>
      <c r="AB46" s="36"/>
      <c r="AC46" s="38"/>
      <c r="AD46" s="41"/>
      <c r="AE46" s="40"/>
      <c r="AF46" s="38"/>
      <c r="AG46" s="40"/>
      <c r="AH46" s="40"/>
      <c r="AI46" s="36"/>
      <c r="AJ46" s="36"/>
      <c r="AK46" s="36"/>
      <c r="AL46" s="40"/>
      <c r="AM46" s="40"/>
      <c r="AN46" s="38"/>
      <c r="AO46" s="35"/>
      <c r="AP46" s="35"/>
      <c r="AQ46" s="35"/>
      <c r="AR46" s="35"/>
      <c r="AS46" s="35"/>
      <c r="AT46" s="35"/>
      <c r="AU46" s="35"/>
      <c r="AV46" s="35"/>
      <c r="AW46" s="35"/>
      <c r="AX46" s="35"/>
    </row>
    <row r="47" spans="2:50">
      <c r="B47" s="1"/>
      <c r="Y47" s="35"/>
      <c r="Z47" s="36"/>
      <c r="AA47" s="36"/>
      <c r="AB47" s="36"/>
      <c r="AC47" s="38"/>
      <c r="AD47" s="41"/>
      <c r="AE47" s="40"/>
      <c r="AF47" s="38"/>
      <c r="AG47" s="40"/>
      <c r="AH47" s="40"/>
      <c r="AI47" s="36"/>
      <c r="AJ47" s="36"/>
      <c r="AK47" s="36"/>
      <c r="AL47" s="40"/>
      <c r="AM47" s="40"/>
      <c r="AN47" s="38"/>
      <c r="AO47" s="35"/>
      <c r="AP47" s="35"/>
      <c r="AQ47" s="35"/>
      <c r="AR47" s="35"/>
      <c r="AS47" s="35"/>
      <c r="AT47" s="35"/>
      <c r="AU47" s="35"/>
      <c r="AV47" s="35"/>
      <c r="AW47" s="35"/>
      <c r="AX47" s="35"/>
    </row>
    <row r="48" spans="2:50">
      <c r="Y48" s="35"/>
      <c r="Z48" s="36"/>
      <c r="AA48" s="36"/>
      <c r="AB48" s="36"/>
      <c r="AC48" s="38"/>
      <c r="AD48" s="41"/>
      <c r="AE48" s="40"/>
      <c r="AF48" s="38"/>
      <c r="AG48" s="40"/>
      <c r="AH48" s="40"/>
      <c r="AI48" s="36"/>
      <c r="AJ48" s="36"/>
      <c r="AK48" s="36"/>
      <c r="AL48" s="40"/>
      <c r="AM48" s="40"/>
      <c r="AN48" s="38"/>
      <c r="AO48" s="35"/>
      <c r="AP48" s="35"/>
      <c r="AQ48" s="35"/>
      <c r="AR48" s="35"/>
      <c r="AS48" s="35"/>
      <c r="AT48" s="35"/>
      <c r="AU48" s="35"/>
      <c r="AV48" s="35"/>
      <c r="AW48" s="35"/>
      <c r="AX48" s="35"/>
    </row>
    <row r="49" spans="25:50">
      <c r="Y49" s="35"/>
      <c r="Z49" s="36"/>
      <c r="AA49" s="36"/>
      <c r="AB49" s="36"/>
      <c r="AC49" s="38"/>
      <c r="AD49" s="41"/>
      <c r="AE49" s="40"/>
      <c r="AF49" s="38"/>
      <c r="AG49" s="40"/>
      <c r="AH49" s="40"/>
      <c r="AI49" s="36"/>
      <c r="AJ49" s="36"/>
      <c r="AK49" s="36"/>
      <c r="AL49" s="40"/>
      <c r="AM49" s="40"/>
      <c r="AN49" s="38"/>
      <c r="AO49" s="35"/>
      <c r="AP49" s="35"/>
      <c r="AQ49" s="35"/>
      <c r="AR49" s="35"/>
      <c r="AS49" s="35"/>
      <c r="AT49" s="35"/>
      <c r="AU49" s="35"/>
      <c r="AV49" s="35"/>
      <c r="AW49" s="35"/>
      <c r="AX49" s="35"/>
    </row>
    <row r="50" spans="25:50">
      <c r="Y50" s="35"/>
      <c r="Z50" s="36"/>
      <c r="AA50" s="36"/>
      <c r="AB50" s="36"/>
      <c r="AC50" s="38"/>
      <c r="AD50" s="41"/>
      <c r="AE50" s="40"/>
      <c r="AF50" s="38"/>
      <c r="AG50" s="40"/>
      <c r="AH50" s="40"/>
      <c r="AI50" s="36"/>
      <c r="AJ50" s="36"/>
      <c r="AK50" s="36"/>
      <c r="AL50" s="40"/>
      <c r="AM50" s="40"/>
      <c r="AN50" s="38"/>
      <c r="AO50" s="35"/>
      <c r="AP50" s="35"/>
      <c r="AQ50" s="35"/>
      <c r="AR50" s="35"/>
      <c r="AS50" s="35"/>
      <c r="AT50" s="35"/>
      <c r="AU50" s="35"/>
      <c r="AV50" s="35"/>
      <c r="AW50" s="35"/>
      <c r="AX50" s="35"/>
    </row>
    <row r="51" spans="25:50">
      <c r="Y51" s="35"/>
      <c r="Z51" s="36"/>
      <c r="AA51" s="36"/>
      <c r="AB51" s="36"/>
      <c r="AC51" s="38"/>
      <c r="AD51" s="41"/>
      <c r="AE51" s="40"/>
      <c r="AF51" s="38"/>
      <c r="AG51" s="40"/>
      <c r="AH51" s="40"/>
      <c r="AI51" s="36"/>
      <c r="AJ51" s="36"/>
      <c r="AK51" s="36"/>
      <c r="AL51" s="40"/>
      <c r="AM51" s="40"/>
      <c r="AN51" s="38"/>
      <c r="AO51" s="35"/>
      <c r="AP51" s="35"/>
      <c r="AQ51" s="35"/>
      <c r="AR51" s="35"/>
      <c r="AS51" s="35"/>
      <c r="AT51" s="35"/>
      <c r="AU51" s="35"/>
      <c r="AV51" s="35"/>
      <c r="AW51" s="35"/>
      <c r="AX51" s="35"/>
    </row>
    <row r="52" spans="25:50">
      <c r="Y52" s="35"/>
      <c r="Z52" s="36"/>
      <c r="AA52" s="36"/>
      <c r="AB52" s="36"/>
      <c r="AC52" s="38"/>
      <c r="AD52" s="41"/>
      <c r="AE52" s="40"/>
      <c r="AF52" s="38"/>
      <c r="AG52" s="40"/>
      <c r="AH52" s="40"/>
      <c r="AI52" s="36"/>
      <c r="AJ52" s="36"/>
      <c r="AK52" s="36"/>
      <c r="AL52" s="40"/>
      <c r="AM52" s="40"/>
      <c r="AN52" s="38"/>
      <c r="AO52" s="35"/>
      <c r="AP52" s="35"/>
      <c r="AQ52" s="35"/>
      <c r="AR52" s="35"/>
      <c r="AS52" s="35"/>
      <c r="AT52" s="35"/>
      <c r="AU52" s="35"/>
      <c r="AV52" s="35"/>
      <c r="AW52" s="35"/>
      <c r="AX52" s="35"/>
    </row>
    <row r="53" spans="25:50">
      <c r="Y53" s="35"/>
      <c r="Z53" s="36"/>
      <c r="AA53" s="36"/>
      <c r="AB53" s="36"/>
      <c r="AC53" s="38"/>
      <c r="AD53" s="41"/>
      <c r="AE53" s="40"/>
      <c r="AF53" s="38"/>
      <c r="AG53" s="40"/>
      <c r="AH53" s="40"/>
      <c r="AI53" s="36"/>
      <c r="AJ53" s="36"/>
      <c r="AK53" s="36"/>
      <c r="AL53" s="40"/>
      <c r="AM53" s="40"/>
      <c r="AN53" s="38"/>
      <c r="AO53" s="35"/>
      <c r="AP53" s="35"/>
      <c r="AQ53" s="35"/>
      <c r="AR53" s="35"/>
      <c r="AS53" s="35"/>
      <c r="AT53" s="35"/>
      <c r="AU53" s="35"/>
      <c r="AV53" s="35"/>
      <c r="AW53" s="35"/>
      <c r="AX53" s="35"/>
    </row>
    <row r="54" spans="25:50">
      <c r="Y54" s="35"/>
      <c r="Z54" s="36"/>
      <c r="AA54" s="36"/>
      <c r="AB54" s="36"/>
      <c r="AC54" s="38"/>
      <c r="AD54" s="41"/>
      <c r="AE54" s="40"/>
      <c r="AF54" s="38"/>
      <c r="AG54" s="40"/>
      <c r="AH54" s="40"/>
      <c r="AI54" s="36"/>
      <c r="AJ54" s="36"/>
      <c r="AK54" s="36"/>
      <c r="AL54" s="40"/>
      <c r="AM54" s="40"/>
      <c r="AN54" s="38"/>
      <c r="AO54" s="35"/>
      <c r="AP54" s="35"/>
      <c r="AQ54" s="35"/>
      <c r="AR54" s="35"/>
      <c r="AS54" s="35"/>
      <c r="AT54" s="35"/>
      <c r="AU54" s="35"/>
      <c r="AV54" s="35"/>
      <c r="AW54" s="35"/>
      <c r="AX54" s="35"/>
    </row>
    <row r="55" spans="25:50">
      <c r="Y55" s="35"/>
      <c r="Z55" s="36"/>
      <c r="AA55" s="36"/>
      <c r="AB55" s="36"/>
      <c r="AC55" s="38"/>
      <c r="AD55" s="41"/>
      <c r="AE55" s="40"/>
      <c r="AF55" s="38"/>
      <c r="AG55" s="40"/>
      <c r="AH55" s="40"/>
      <c r="AI55" s="36"/>
      <c r="AJ55" s="36"/>
      <c r="AK55" s="36"/>
      <c r="AL55" s="40"/>
      <c r="AM55" s="40"/>
      <c r="AN55" s="38"/>
      <c r="AO55" s="35"/>
      <c r="AP55" s="35"/>
      <c r="AQ55" s="35"/>
      <c r="AR55" s="35"/>
      <c r="AS55" s="35"/>
      <c r="AT55" s="35"/>
      <c r="AU55" s="35"/>
      <c r="AV55" s="35"/>
      <c r="AW55" s="35"/>
      <c r="AX55" s="35"/>
    </row>
    <row r="56" spans="25:50"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</row>
    <row r="57" spans="25:50"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</row>
    <row r="58" spans="25:50"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</row>
    <row r="59" spans="25:50"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</row>
    <row r="60" spans="25:50"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</row>
    <row r="61" spans="25:50"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</row>
    <row r="62" spans="25:50"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</row>
    <row r="63" spans="25:50"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</row>
    <row r="64" spans="25:50"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</row>
    <row r="65" spans="25:50"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</row>
    <row r="66" spans="25:50"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</row>
    <row r="67" spans="25:50"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</row>
    <row r="68" spans="25:50"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</row>
    <row r="69" spans="25:50"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</row>
    <row r="70" spans="25:50"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</row>
    <row r="71" spans="25:50"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</row>
    <row r="72" spans="25:50"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</row>
    <row r="73" spans="25:50"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</row>
    <row r="74" spans="25:50"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</row>
    <row r="75" spans="25:50"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</row>
    <row r="76" spans="25:50"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</row>
    <row r="77" spans="25:50"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</row>
    <row r="78" spans="25:50"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</row>
    <row r="79" spans="25:50"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</row>
    <row r="80" spans="25:50"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</row>
    <row r="81" spans="25:50"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</row>
    <row r="82" spans="25:50"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</row>
    <row r="83" spans="25:50"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</row>
    <row r="84" spans="25:50"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</row>
    <row r="85" spans="25:50"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</row>
    <row r="86" spans="25:50"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</row>
    <row r="87" spans="25:50"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</row>
    <row r="88" spans="25:50"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</row>
    <row r="89" spans="25:50"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</row>
    <row r="90" spans="25:50"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90"/>
  <sheetViews>
    <sheetView zoomScale="90" workbookViewId="0">
      <selection activeCell="F12" sqref="F12"/>
    </sheetView>
  </sheetViews>
  <sheetFormatPr defaultRowHeight="12.75"/>
  <sheetData>
    <row r="1" spans="1:50">
      <c r="A1" s="17" t="s">
        <v>299</v>
      </c>
    </row>
    <row r="2" spans="1:50"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</row>
    <row r="3" spans="1:50">
      <c r="A3" t="s">
        <v>270</v>
      </c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</row>
    <row r="4" spans="1:50">
      <c r="D4" s="17"/>
      <c r="I4" s="17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</row>
    <row r="5" spans="1:50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</row>
    <row r="6" spans="1:50">
      <c r="A6" s="35"/>
      <c r="B6" s="35"/>
      <c r="C6" s="35"/>
      <c r="D6" s="35"/>
      <c r="E6" s="60"/>
      <c r="F6" s="35"/>
      <c r="G6" s="35"/>
      <c r="H6" s="60"/>
      <c r="I6" s="35"/>
      <c r="J6" s="35"/>
      <c r="K6" s="35"/>
      <c r="L6" s="35"/>
      <c r="M6" s="35"/>
      <c r="N6" s="35"/>
      <c r="O6" s="35"/>
      <c r="Y6" s="35"/>
      <c r="Z6" s="37"/>
      <c r="AA6" s="40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</row>
    <row r="7" spans="1:50">
      <c r="A7" s="37"/>
      <c r="B7" s="40"/>
      <c r="C7" s="37"/>
      <c r="D7" s="35"/>
      <c r="E7" s="60"/>
      <c r="F7" s="35"/>
      <c r="G7" s="35"/>
      <c r="H7" s="60"/>
      <c r="I7" s="35"/>
      <c r="J7" s="37"/>
      <c r="K7" s="41"/>
      <c r="L7" s="37"/>
      <c r="M7" s="35"/>
      <c r="N7" s="35"/>
      <c r="O7" s="35"/>
      <c r="Y7" s="35"/>
      <c r="Z7" s="37"/>
      <c r="AA7" s="36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</row>
    <row r="8" spans="1:50">
      <c r="A8" s="37"/>
      <c r="B8" s="36"/>
      <c r="C8" s="37"/>
      <c r="D8" s="35"/>
      <c r="E8" s="60"/>
      <c r="F8" s="35"/>
      <c r="G8" s="35"/>
      <c r="H8" s="60"/>
      <c r="I8" s="35"/>
      <c r="J8" s="37"/>
      <c r="K8" s="38"/>
      <c r="L8" s="37"/>
      <c r="M8" s="35"/>
      <c r="N8" s="35"/>
      <c r="O8" s="35"/>
      <c r="Y8" s="35"/>
      <c r="Z8" s="37"/>
      <c r="AA8" s="40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</row>
    <row r="9" spans="1:50">
      <c r="A9" s="37"/>
      <c r="B9" s="40"/>
      <c r="C9" s="37"/>
      <c r="D9" s="35"/>
      <c r="E9" s="60"/>
      <c r="F9" s="35"/>
      <c r="G9" s="35"/>
      <c r="H9" s="60"/>
      <c r="I9" s="35"/>
      <c r="J9" s="37"/>
      <c r="K9" s="38"/>
      <c r="L9" s="37"/>
      <c r="M9" s="35"/>
      <c r="N9" s="35"/>
      <c r="O9" s="35"/>
      <c r="Y9" s="35"/>
      <c r="Z9" s="37"/>
      <c r="AA9" s="36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</row>
    <row r="10" spans="1:50">
      <c r="A10" s="37"/>
      <c r="B10" s="36"/>
      <c r="C10" s="37"/>
      <c r="D10" s="35"/>
      <c r="E10" s="60"/>
      <c r="F10" s="6" t="s">
        <v>632</v>
      </c>
      <c r="G10" s="35"/>
      <c r="H10" s="60"/>
      <c r="I10" s="35"/>
      <c r="J10" s="37"/>
      <c r="K10" s="38"/>
      <c r="L10" s="37"/>
      <c r="M10" s="35"/>
      <c r="N10" s="35"/>
      <c r="O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</row>
    <row r="11" spans="1:50">
      <c r="A11" s="35"/>
      <c r="B11" s="35"/>
      <c r="C11" s="35"/>
      <c r="D11" s="35"/>
      <c r="E11" s="60"/>
      <c r="F11" s="108">
        <v>0</v>
      </c>
      <c r="G11" s="35"/>
      <c r="H11" s="60"/>
      <c r="I11" s="35"/>
      <c r="J11" s="37"/>
      <c r="K11" s="38"/>
      <c r="L11" s="37"/>
      <c r="M11" s="35"/>
      <c r="N11" s="35"/>
      <c r="O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</row>
    <row r="12" spans="1:50">
      <c r="A12" s="35"/>
      <c r="B12" s="35"/>
      <c r="C12" s="35"/>
      <c r="D12" s="35"/>
      <c r="E12" s="60"/>
      <c r="F12" s="35"/>
      <c r="G12" s="35"/>
      <c r="H12" s="60"/>
      <c r="I12" s="35"/>
      <c r="J12" s="37"/>
      <c r="K12" s="38"/>
      <c r="L12" s="37"/>
      <c r="M12" s="35"/>
      <c r="N12" s="35"/>
      <c r="O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</row>
    <row r="13" spans="1:50">
      <c r="E13" t="s">
        <v>300</v>
      </c>
      <c r="T13" t="s">
        <v>300</v>
      </c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</row>
    <row r="14" spans="1:50"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</row>
    <row r="15" spans="1:50">
      <c r="B15" t="s">
        <v>273</v>
      </c>
      <c r="Y15" s="35"/>
      <c r="Z15" s="35"/>
      <c r="AA15" s="35"/>
      <c r="AB15" s="35"/>
      <c r="AC15" s="35"/>
      <c r="AD15" s="35"/>
      <c r="AE15" s="37"/>
      <c r="AF15" s="35"/>
      <c r="AG15" s="35"/>
      <c r="AH15" s="35"/>
      <c r="AI15" s="35"/>
      <c r="AJ15" s="35"/>
      <c r="AK15" s="37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</row>
    <row r="16" spans="1:50">
      <c r="Y16" s="35"/>
      <c r="Z16" s="35"/>
      <c r="AA16" s="35"/>
      <c r="AB16" s="35"/>
      <c r="AC16" s="35"/>
      <c r="AD16" s="35"/>
      <c r="AE16" s="37"/>
      <c r="AF16" s="35"/>
      <c r="AG16" s="35"/>
      <c r="AH16" s="35"/>
      <c r="AI16" s="35"/>
      <c r="AJ16" s="35"/>
      <c r="AK16" s="37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</row>
    <row r="17" spans="2:50"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</row>
    <row r="18" spans="2:50">
      <c r="B18" s="9" t="s">
        <v>29</v>
      </c>
      <c r="D18" s="9" t="s">
        <v>57</v>
      </c>
      <c r="E18" s="9" t="s">
        <v>40</v>
      </c>
      <c r="F18" s="9" t="s">
        <v>110</v>
      </c>
      <c r="G18" s="9" t="s">
        <v>35</v>
      </c>
      <c r="H18" s="9" t="s">
        <v>116</v>
      </c>
      <c r="I18" s="9" t="s">
        <v>103</v>
      </c>
      <c r="J18" s="9" t="s">
        <v>104</v>
      </c>
      <c r="K18" s="9" t="s">
        <v>106</v>
      </c>
      <c r="L18" s="9" t="s">
        <v>123</v>
      </c>
      <c r="M18" s="9" t="s">
        <v>227</v>
      </c>
      <c r="N18" s="9" t="s">
        <v>220</v>
      </c>
      <c r="O18" s="47" t="s">
        <v>221</v>
      </c>
      <c r="P18" s="9" t="s">
        <v>222</v>
      </c>
      <c r="Q18" s="9" t="s">
        <v>223</v>
      </c>
      <c r="R18" s="9" t="s">
        <v>117</v>
      </c>
      <c r="S18" s="9" t="s">
        <v>141</v>
      </c>
      <c r="T18" s="9" t="s">
        <v>59</v>
      </c>
      <c r="U18" s="9" t="s">
        <v>228</v>
      </c>
      <c r="W18" s="9" t="s">
        <v>224</v>
      </c>
      <c r="Y18" s="35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5"/>
      <c r="AP18" s="35"/>
      <c r="AQ18" s="35"/>
      <c r="AR18" s="35"/>
      <c r="AS18" s="35"/>
      <c r="AT18" s="35"/>
      <c r="AU18" s="35"/>
      <c r="AV18" s="35"/>
      <c r="AW18" s="35"/>
      <c r="AX18" s="35"/>
    </row>
    <row r="19" spans="2:50">
      <c r="B19" s="9" t="s">
        <v>30</v>
      </c>
      <c r="D19" s="9" t="s">
        <v>4</v>
      </c>
      <c r="E19" s="9" t="s">
        <v>1</v>
      </c>
      <c r="G19" s="9" t="s">
        <v>98</v>
      </c>
      <c r="I19" s="9" t="s">
        <v>40</v>
      </c>
      <c r="J19" s="9" t="s">
        <v>100</v>
      </c>
      <c r="K19" s="9" t="s">
        <v>40</v>
      </c>
      <c r="L19" s="9" t="s">
        <v>100</v>
      </c>
      <c r="M19" s="9" t="s">
        <v>34</v>
      </c>
      <c r="N19" s="9" t="s">
        <v>34</v>
      </c>
      <c r="O19" s="48" t="s">
        <v>107</v>
      </c>
      <c r="P19" s="9" t="s">
        <v>225</v>
      </c>
      <c r="Q19" s="9" t="s">
        <v>226</v>
      </c>
      <c r="S19" s="9" t="s">
        <v>34</v>
      </c>
      <c r="T19" s="9" t="s">
        <v>34</v>
      </c>
      <c r="U19" s="9" t="s">
        <v>100</v>
      </c>
      <c r="Y19" s="35"/>
      <c r="Z19" s="35"/>
      <c r="AA19" s="35"/>
      <c r="AB19" s="37"/>
      <c r="AC19" s="37"/>
      <c r="AD19" s="37"/>
      <c r="AE19" s="37"/>
      <c r="AF19" s="37"/>
      <c r="AG19" s="37"/>
      <c r="AH19" s="37"/>
      <c r="AI19" s="35"/>
      <c r="AJ19" s="35"/>
      <c r="AK19" s="35"/>
      <c r="AL19" s="37"/>
      <c r="AM19" s="37"/>
      <c r="AN19" s="37"/>
      <c r="AO19" s="35"/>
      <c r="AP19" s="35"/>
      <c r="AQ19" s="35"/>
      <c r="AR19" s="35"/>
      <c r="AS19" s="35"/>
      <c r="AT19" s="35"/>
      <c r="AU19" s="35"/>
      <c r="AV19" s="35"/>
      <c r="AW19" s="35"/>
      <c r="AX19" s="35"/>
    </row>
    <row r="20" spans="2:50"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</row>
    <row r="21" spans="2:50">
      <c r="B21" s="1">
        <f>Turn!F21</f>
        <v>0.65969672852566186</v>
      </c>
      <c r="D21" s="1">
        <f>Propeller!$B$8</f>
        <v>0.30479999999999996</v>
      </c>
      <c r="E21" s="19">
        <f ca="1">Turn!X21</f>
        <v>29.912886947201152</v>
      </c>
      <c r="F21" s="49">
        <f ca="1">IF($F$11=0,IF(ISERROR(W21),1,W21),0.5)</f>
        <v>1</v>
      </c>
      <c r="G21" s="19">
        <f ca="1">MAX(Motor!$B$7,K21*Motor!$B$7)</f>
        <v>13035.69266184009</v>
      </c>
      <c r="H21" s="10">
        <f ca="1">E21/(G21/60*D21)*Propulsão!J21</f>
        <v>0.43573524827019366</v>
      </c>
      <c r="I21" s="13">
        <f ca="1">F21*Energy!$B$6</f>
        <v>11.850000000000001</v>
      </c>
      <c r="J21" s="51">
        <f ca="1">IF(ISERROR(U21),Motor!$B$10/2,U21)</f>
        <v>25.305712353858947</v>
      </c>
      <c r="K21" s="20">
        <f ca="1">I21-Motor!$B$9*J21</f>
        <v>10.863077218199502</v>
      </c>
      <c r="L21" s="14">
        <f ca="1">MAX(Motor!$B$8,J21-Motor!$B$8)</f>
        <v>23.005712353858947</v>
      </c>
      <c r="M21" s="14">
        <f t="shared" ref="M21:M40" ca="1" si="0">I21*J21</f>
        <v>299.87269139322854</v>
      </c>
      <c r="N21" s="20">
        <f t="shared" ref="N21:N40" ca="1" si="1">K21*L21</f>
        <v>249.91282975965595</v>
      </c>
      <c r="O21" s="1">
        <f t="shared" ref="O21:O40" ca="1" si="2">N21/(G21/60*(2*PI()))</f>
        <v>0.18307364202333704</v>
      </c>
      <c r="P21" s="10">
        <f t="shared" ref="P21:P40" ca="1" si="3">N21/(B21*(G21/60)^3*D21^5)</f>
        <v>1.4041736575776058E-2</v>
      </c>
      <c r="Q21" s="10">
        <f ca="1">Propeller!$B$15+Propeller!$B$16*H21+Propeller!$B$17*H21^2+Propeller!$B$18*H21^3+Propeller!$B$19*H21^4+Propeller!$B$20*H21^5+Propeller!$B$21*H21^6</f>
        <v>1.4041736575937875E-2</v>
      </c>
      <c r="R21" s="10">
        <f ca="1">(Propeller!$B$23+Propeller!$B$24*H21+Propeller!$B$25*H21^2+Propeller!$B$26*H21^3+Propeller!$B$27*H21^4+Propeller!$B$28*H21^5+Propeller!$B$29*H21^6)*Propulsão!M21</f>
        <v>0.65395214444645688</v>
      </c>
      <c r="S21" s="19">
        <f t="shared" ref="S21:S40" ca="1" si="4">N21*R21</f>
        <v>163.43103094600932</v>
      </c>
      <c r="T21" s="19">
        <f ca="1">Turn!S21</f>
        <v>355.33251284965093</v>
      </c>
      <c r="U21" s="14">
        <f ca="1">MIN(Motor!$B$10,MAX(Motor!$B$8,J21+0.05*(Q21/P21-1)*J21))</f>
        <v>25.305712353873528</v>
      </c>
      <c r="V21" s="50" t="str">
        <f t="shared" ref="V21:V40" ca="1" si="5">IF(ABS((Q21-P21)/P21)&lt;0.01,"OK","iterate")</f>
        <v>OK</v>
      </c>
      <c r="W21" s="1">
        <f ca="1">MIN(1,MAX(0.1,F21+0.05*(T21/S21-1)*F21))</f>
        <v>1</v>
      </c>
      <c r="X21" s="50" t="str">
        <f t="shared" ref="X21:X40" ca="1" si="6">IF(ABS((P21-Q21)/Q21)&lt;0.01,"OK","iterate")</f>
        <v>OK</v>
      </c>
      <c r="Y21" s="35"/>
      <c r="Z21" s="36"/>
      <c r="AA21" s="36"/>
      <c r="AB21" s="36"/>
      <c r="AC21" s="38"/>
      <c r="AD21" s="41"/>
      <c r="AE21" s="40"/>
      <c r="AF21" s="38"/>
      <c r="AG21" s="40"/>
      <c r="AH21" s="40"/>
      <c r="AI21" s="36"/>
      <c r="AJ21" s="36"/>
      <c r="AK21" s="36"/>
      <c r="AL21" s="40"/>
      <c r="AM21" s="40"/>
      <c r="AN21" s="38"/>
      <c r="AO21" s="35"/>
      <c r="AP21" s="35"/>
      <c r="AQ21" s="35"/>
      <c r="AR21" s="35"/>
      <c r="AS21" s="35"/>
      <c r="AT21" s="35"/>
      <c r="AU21" s="35"/>
      <c r="AV21" s="35"/>
      <c r="AW21" s="35"/>
      <c r="AX21" s="35"/>
    </row>
    <row r="22" spans="2:50">
      <c r="B22" s="1">
        <f>Turn!F22</f>
        <v>0.65969672852566186</v>
      </c>
      <c r="D22" s="1">
        <f>Propeller!$B$8</f>
        <v>0.30479999999999996</v>
      </c>
      <c r="E22" s="19">
        <f ca="1">Turn!X22</f>
        <v>29.421519599191594</v>
      </c>
      <c r="F22" s="49">
        <f t="shared" ref="F22:F40" ca="1" si="7">IF($F$11=0,IF(ISERROR(W22),1,W22),0.5)</f>
        <v>1</v>
      </c>
      <c r="G22" s="19">
        <f ca="1">MAX(Motor!$B$7,K22*Motor!$B$7)</f>
        <v>13009.390297624994</v>
      </c>
      <c r="H22" s="10">
        <f ca="1">E22/(G22/60*D22)*Propulsão!J22</f>
        <v>0.42944409247684234</v>
      </c>
      <c r="I22" s="13">
        <f ca="1">F22*Energy!$B$6</f>
        <v>11.850000000000001</v>
      </c>
      <c r="J22" s="51">
        <f ca="1">IF(ISERROR(U22),Motor!$B$10,U22)</f>
        <v>25.867728683242984</v>
      </c>
      <c r="K22" s="20">
        <f ca="1">I22-Motor!$B$9*J22</f>
        <v>10.841158581353525</v>
      </c>
      <c r="L22" s="14">
        <f ca="1">MAX(Motor!$B$8,J22-Motor!$B$8)</f>
        <v>23.567728683242983</v>
      </c>
      <c r="M22" s="14">
        <f t="shared" ca="1" si="0"/>
        <v>306.5325848964294</v>
      </c>
      <c r="N22" s="20">
        <f t="shared" ca="1" si="1"/>
        <v>255.50148405735129</v>
      </c>
      <c r="O22" s="1">
        <f t="shared" ca="1" si="2"/>
        <v>0.18754602586932734</v>
      </c>
      <c r="P22" s="10">
        <f t="shared" ca="1" si="3"/>
        <v>1.4442993131229837E-2</v>
      </c>
      <c r="Q22" s="10">
        <f ca="1">Propeller!$B$15+Propeller!$B$16*H22+Propeller!$B$17*H22^2+Propeller!$B$18*H22^3+Propeller!$B$19*H22^4+Propeller!$B$20*H22^5+Propeller!$B$21*H22^6</f>
        <v>1.4442993131410769E-2</v>
      </c>
      <c r="R22" s="10">
        <f ca="1">(Propeller!$B$23+Propeller!$B$24*H22+Propeller!$B$25*H22^2+Propeller!$B$26*H22^3+Propeller!$B$27*H22^4+Propeller!$B$28*H22^5+Propeller!$B$29*H22^6)*Propulsão!M22</f>
        <v>0.65949489506812708</v>
      </c>
      <c r="S22" s="19">
        <f t="shared" ca="1" si="4"/>
        <v>168.50192441815364</v>
      </c>
      <c r="T22" s="19">
        <f ca="1">Turn!S22</f>
        <v>343.63004890082624</v>
      </c>
      <c r="U22" s="14">
        <f ca="1">MIN(Motor!$B$10,MAX(Motor!$B$8,J22+0.05*(Q22/P22-1)*J22))</f>
        <v>25.867728683259188</v>
      </c>
      <c r="V22" s="50" t="str">
        <f t="shared" ca="1" si="5"/>
        <v>OK</v>
      </c>
      <c r="W22" s="1">
        <f t="shared" ref="W22:W40" ca="1" si="8">MIN(1,MAX(0.1,F22+0.05*(T22/S22-1)*F22))</f>
        <v>1</v>
      </c>
      <c r="X22" s="50" t="str">
        <f t="shared" ca="1" si="6"/>
        <v>OK</v>
      </c>
      <c r="Y22" s="35"/>
      <c r="Z22" s="36"/>
      <c r="AA22" s="36"/>
      <c r="AB22" s="36"/>
      <c r="AC22" s="38"/>
      <c r="AD22" s="41"/>
      <c r="AE22" s="40"/>
      <c r="AF22" s="38"/>
      <c r="AG22" s="40"/>
      <c r="AH22" s="40"/>
      <c r="AI22" s="36"/>
      <c r="AJ22" s="36"/>
      <c r="AK22" s="36"/>
      <c r="AL22" s="40"/>
      <c r="AM22" s="40"/>
      <c r="AN22" s="38"/>
      <c r="AO22" s="35"/>
      <c r="AP22" s="35"/>
      <c r="AQ22" s="35"/>
      <c r="AR22" s="35"/>
      <c r="AS22" s="35"/>
      <c r="AT22" s="35"/>
      <c r="AU22" s="35"/>
      <c r="AV22" s="35"/>
      <c r="AW22" s="35"/>
      <c r="AX22" s="35"/>
    </row>
    <row r="23" spans="2:50">
      <c r="B23" s="1">
        <f>Turn!F23</f>
        <v>0.65969672852566186</v>
      </c>
      <c r="C23" s="6"/>
      <c r="D23" s="1">
        <f>Propeller!$B$8</f>
        <v>0.30479999999999996</v>
      </c>
      <c r="E23" s="19">
        <f ca="1">Turn!X23</f>
        <v>28.95427846750254</v>
      </c>
      <c r="F23" s="49">
        <f t="shared" ca="1" si="7"/>
        <v>1</v>
      </c>
      <c r="G23" s="19">
        <f ca="1">MAX(Motor!$B$7,K23*Motor!$B$7)</f>
        <v>12985.0187977607</v>
      </c>
      <c r="H23" s="10">
        <f ca="1">E23/(G23/60*D23)*Propulsão!J23</f>
        <v>0.42341734088952399</v>
      </c>
      <c r="I23" s="13">
        <f ca="1">F23*Energy!$B$6</f>
        <v>11.850000000000001</v>
      </c>
      <c r="J23" s="51">
        <f ca="1">IF(ISERROR(U23),Motor!$B$10,U23)</f>
        <v>26.388487227353359</v>
      </c>
      <c r="K23" s="20">
        <f ca="1">I23-Motor!$B$9*J23</f>
        <v>10.82084899813322</v>
      </c>
      <c r="L23" s="14">
        <f ca="1">MAX(Motor!$B$8,J23-Motor!$B$8)</f>
        <v>24.088487227353358</v>
      </c>
      <c r="M23" s="14">
        <f t="shared" ca="1" si="0"/>
        <v>312.70357364413735</v>
      </c>
      <c r="N23" s="20">
        <f t="shared" ca="1" si="1"/>
        <v>260.65788288065147</v>
      </c>
      <c r="O23" s="1">
        <f t="shared" ca="1" si="2"/>
        <v>0.19169009069195123</v>
      </c>
      <c r="P23" s="10">
        <f t="shared" ca="1" si="3"/>
        <v>1.4817595088546662E-2</v>
      </c>
      <c r="Q23" s="10">
        <f ca="1">Propeller!$B$15+Propeller!$B$16*H23+Propeller!$B$17*H23^2+Propeller!$B$18*H23^3+Propeller!$B$19*H23^4+Propeller!$B$20*H23^5+Propeller!$B$21*H23^6</f>
        <v>1.4817595088745573E-2</v>
      </c>
      <c r="R23" s="10">
        <f ca="1">(Propeller!$B$23+Propeller!$B$24*H23+Propeller!$B$25*H23^2+Propeller!$B$26*H23^3+Propeller!$B$27*H23^4+Propeller!$B$28*H23^5+Propeller!$B$29*H23^6)*Propulsão!M23</f>
        <v>0.66374731480448645</v>
      </c>
      <c r="S23" s="19">
        <f t="shared" ca="1" si="4"/>
        <v>173.01096984465474</v>
      </c>
      <c r="T23" s="19">
        <f ca="1">Turn!S23</f>
        <v>332.80244261699198</v>
      </c>
      <c r="U23" s="14">
        <f ca="1">MIN(Motor!$B$10,MAX(Motor!$B$8,J23+0.05*(Q23/P23-1)*J23))</f>
        <v>26.388487227371069</v>
      </c>
      <c r="V23" s="50" t="str">
        <f t="shared" ca="1" si="5"/>
        <v>OK</v>
      </c>
      <c r="W23" s="1">
        <f t="shared" ca="1" si="8"/>
        <v>1</v>
      </c>
      <c r="X23" s="50" t="str">
        <f t="shared" ca="1" si="6"/>
        <v>OK</v>
      </c>
      <c r="Y23" s="35"/>
      <c r="Z23" s="36"/>
      <c r="AA23" s="36"/>
      <c r="AB23" s="36"/>
      <c r="AC23" s="38"/>
      <c r="AD23" s="41"/>
      <c r="AE23" s="40"/>
      <c r="AF23" s="38"/>
      <c r="AG23" s="40"/>
      <c r="AH23" s="40"/>
      <c r="AI23" s="36"/>
      <c r="AJ23" s="36"/>
      <c r="AK23" s="36"/>
      <c r="AL23" s="40"/>
      <c r="AM23" s="40"/>
      <c r="AN23" s="38"/>
      <c r="AO23" s="35"/>
      <c r="AP23" s="35"/>
      <c r="AQ23" s="35"/>
      <c r="AR23" s="35"/>
      <c r="AS23" s="35"/>
      <c r="AT23" s="35"/>
      <c r="AU23" s="35"/>
      <c r="AV23" s="35"/>
      <c r="AW23" s="35"/>
      <c r="AX23" s="35"/>
    </row>
    <row r="24" spans="2:50">
      <c r="B24" s="1">
        <f>Turn!F24</f>
        <v>0.65969672852566186</v>
      </c>
      <c r="C24" s="20"/>
      <c r="D24" s="1">
        <f>Propeller!$B$8</f>
        <v>0.30479999999999996</v>
      </c>
      <c r="E24" s="19">
        <f ca="1">Turn!X24</f>
        <v>27.449674188584485</v>
      </c>
      <c r="F24" s="49">
        <f t="shared" ca="1" si="7"/>
        <v>1</v>
      </c>
      <c r="G24" s="19">
        <f ca="1">MAX(Motor!$B$7,K24*Motor!$B$7)</f>
        <v>12910.749402678022</v>
      </c>
      <c r="H24" s="10">
        <f ca="1">E24/(G24/60*D24)*Propulsão!J24</f>
        <v>0.40372367567754897</v>
      </c>
      <c r="I24" s="13">
        <f ca="1">F24*Energy!$B$6</f>
        <v>11.850000000000001</v>
      </c>
      <c r="J24" s="51">
        <f ca="1">IF(ISERROR(U24),Motor!$B$10,U24)</f>
        <v>27.975440113737946</v>
      </c>
      <c r="K24" s="20">
        <f ca="1">I24-Motor!$B$9*J24</f>
        <v>10.758957835564221</v>
      </c>
      <c r="L24" s="14">
        <f ca="1">MAX(Motor!$B$8,J24-Motor!$B$8)</f>
        <v>25.675440113737945</v>
      </c>
      <c r="M24" s="14">
        <f t="shared" ca="1" si="0"/>
        <v>331.50896534779469</v>
      </c>
      <c r="N24" s="20">
        <f t="shared" ca="1" si="1"/>
        <v>276.24097759326077</v>
      </c>
      <c r="O24" s="1">
        <f t="shared" ca="1" si="2"/>
        <v>0.20431866050805131</v>
      </c>
      <c r="P24" s="10">
        <f t="shared" ca="1" si="3"/>
        <v>1.5976011151576926E-2</v>
      </c>
      <c r="Q24" s="10">
        <f ca="1">Propeller!$B$15+Propeller!$B$16*H24+Propeller!$B$17*H24^2+Propeller!$B$18*H24^3+Propeller!$B$19*H24^4+Propeller!$B$20*H24^5+Propeller!$B$21*H24^6</f>
        <v>1.5976011151808876E-2</v>
      </c>
      <c r="R24" s="10">
        <f ca="1">(Propeller!$B$23+Propeller!$B$24*H24+Propeller!$B$25*H24^2+Propeller!$B$26*H24^3+Propeller!$B$27*H24^4+Propeller!$B$28*H24^5+Propeller!$B$29*H24^6)*Propulsão!M24</f>
        <v>0.67162169069885158</v>
      </c>
      <c r="S24" s="19">
        <f t="shared" ca="1" si="4"/>
        <v>185.52943241148938</v>
      </c>
      <c r="T24" s="19">
        <f ca="1">Turn!S24</f>
        <v>289.35255979300769</v>
      </c>
      <c r="U24" s="14">
        <f ca="1">MIN(Motor!$B$10,MAX(Motor!$B$8,J24+0.05*(Q24/P24-1)*J24))</f>
        <v>27.975440113758253</v>
      </c>
      <c r="V24" s="50" t="str">
        <f t="shared" ca="1" si="5"/>
        <v>OK</v>
      </c>
      <c r="W24" s="1">
        <f t="shared" ca="1" si="8"/>
        <v>1</v>
      </c>
      <c r="X24" s="50" t="str">
        <f t="shared" ca="1" si="6"/>
        <v>OK</v>
      </c>
      <c r="Y24" s="35"/>
      <c r="Z24" s="36"/>
      <c r="AA24" s="36"/>
      <c r="AB24" s="36"/>
      <c r="AC24" s="38"/>
      <c r="AD24" s="41"/>
      <c r="AE24" s="40"/>
      <c r="AF24" s="38"/>
      <c r="AG24" s="40"/>
      <c r="AH24" s="40"/>
      <c r="AI24" s="36"/>
      <c r="AJ24" s="36"/>
      <c r="AK24" s="36"/>
      <c r="AL24" s="40"/>
      <c r="AM24" s="40"/>
      <c r="AN24" s="38"/>
      <c r="AO24" s="35"/>
      <c r="AP24" s="35"/>
      <c r="AQ24" s="35"/>
      <c r="AR24" s="35"/>
      <c r="AS24" s="35"/>
      <c r="AT24" s="35"/>
      <c r="AU24" s="35"/>
      <c r="AV24" s="35"/>
      <c r="AW24" s="35"/>
      <c r="AX24" s="35"/>
    </row>
    <row r="25" spans="2:50">
      <c r="B25" s="1">
        <f>Turn!F25</f>
        <v>0.65969672852566186</v>
      </c>
      <c r="C25" s="6"/>
      <c r="D25" s="1">
        <f>Propeller!$B$8</f>
        <v>0.30479999999999996</v>
      </c>
      <c r="E25" s="19">
        <f ca="1">Turn!X25</f>
        <v>27.038832775859639</v>
      </c>
      <c r="F25" s="49">
        <f t="shared" ca="1" si="7"/>
        <v>1</v>
      </c>
      <c r="G25" s="19">
        <f ca="1">MAX(Motor!$B$7,K25*Motor!$B$7)</f>
        <v>12891.579488104282</v>
      </c>
      <c r="H25" s="10">
        <f ca="1">E25/(G25/60*D25)*Propulsão!J25</f>
        <v>0.39827246796660093</v>
      </c>
      <c r="I25" s="13">
        <f ca="1">F25*Energy!$B$6</f>
        <v>11.850000000000001</v>
      </c>
      <c r="J25" s="51">
        <f ca="1">IF(ISERROR(U25),Motor!$B$10,U25)</f>
        <v>28.385053673007288</v>
      </c>
      <c r="K25" s="20">
        <f ca="1">I25-Motor!$B$9*J25</f>
        <v>10.742982906752717</v>
      </c>
      <c r="L25" s="14">
        <f ca="1">MAX(Motor!$B$8,J25-Motor!$B$8)</f>
        <v>26.085053673007288</v>
      </c>
      <c r="M25" s="14">
        <f t="shared" ca="1" si="0"/>
        <v>336.36288602513639</v>
      </c>
      <c r="N25" s="20">
        <f t="shared" ca="1" si="1"/>
        <v>280.23128573084449</v>
      </c>
      <c r="O25" s="1">
        <f t="shared" ca="1" si="2"/>
        <v>0.20757826164380908</v>
      </c>
      <c r="P25" s="10">
        <f t="shared" ca="1" si="3"/>
        <v>1.6279191593196293E-2</v>
      </c>
      <c r="Q25" s="10">
        <f ca="1">Propeller!$B$15+Propeller!$B$16*H25+Propeller!$B$17*H25^2+Propeller!$B$18*H25^3+Propeller!$B$19*H25^4+Propeller!$B$20*H25^5+Propeller!$B$21*H25^6</f>
        <v>1.6279191593444615E-2</v>
      </c>
      <c r="R25" s="10">
        <f ca="1">(Propeller!$B$23+Propeller!$B$24*H25+Propeller!$B$25*H25^2+Propeller!$B$26*H25^3+Propeller!$B$27*H25^4+Propeller!$B$28*H25^5+Propeller!$B$29*H25^6)*Propulsão!M25</f>
        <v>0.67243879360247527</v>
      </c>
      <c r="S25" s="19">
        <f t="shared" ca="1" si="4"/>
        <v>188.43838770651962</v>
      </c>
      <c r="T25" s="19">
        <f ca="1">Turn!S25</f>
        <v>280.96316607291919</v>
      </c>
      <c r="U25" s="14">
        <f ca="1">MIN(Motor!$B$10,MAX(Motor!$B$8,J25+0.05*(Q25/P25-1)*J25))</f>
        <v>28.385053673028938</v>
      </c>
      <c r="V25" s="50" t="str">
        <f t="shared" ca="1" si="5"/>
        <v>OK</v>
      </c>
      <c r="W25" s="1">
        <f t="shared" ca="1" si="8"/>
        <v>1</v>
      </c>
      <c r="X25" s="50" t="str">
        <f t="shared" ca="1" si="6"/>
        <v>OK</v>
      </c>
      <c r="Y25" s="35"/>
      <c r="Z25" s="36"/>
      <c r="AA25" s="36"/>
      <c r="AB25" s="36"/>
      <c r="AC25" s="38"/>
      <c r="AD25" s="41"/>
      <c r="AE25" s="40"/>
      <c r="AF25" s="38"/>
      <c r="AG25" s="40"/>
      <c r="AH25" s="40"/>
      <c r="AI25" s="36"/>
      <c r="AJ25" s="36"/>
      <c r="AK25" s="36"/>
      <c r="AL25" s="40"/>
      <c r="AM25" s="40"/>
      <c r="AN25" s="38"/>
      <c r="AO25" s="35"/>
      <c r="AP25" s="35"/>
      <c r="AQ25" s="35"/>
      <c r="AR25" s="35"/>
      <c r="AS25" s="35"/>
      <c r="AT25" s="35"/>
      <c r="AU25" s="35"/>
      <c r="AV25" s="35"/>
      <c r="AW25" s="35"/>
      <c r="AX25" s="35"/>
    </row>
    <row r="26" spans="2:50">
      <c r="B26" s="1">
        <f>Turn!F26</f>
        <v>0.65969672852566186</v>
      </c>
      <c r="D26" s="1">
        <f>Propeller!$B$8</f>
        <v>0.30479999999999996</v>
      </c>
      <c r="E26" s="19">
        <f ca="1">Turn!X26</f>
        <v>26.646781908888325</v>
      </c>
      <c r="F26" s="49">
        <f t="shared" ca="1" si="7"/>
        <v>1</v>
      </c>
      <c r="G26" s="19">
        <f ca="1">MAX(Motor!$B$7,K26*Motor!$B$7)</f>
        <v>12873.72702092462</v>
      </c>
      <c r="H26" s="10">
        <f ca="1">E26/(G26/60*D26)*Propulsão!J26</f>
        <v>0.39304198788820055</v>
      </c>
      <c r="I26" s="13">
        <f ca="1">F26*Energy!$B$6</f>
        <v>11.850000000000001</v>
      </c>
      <c r="J26" s="51">
        <f ca="1">IF(ISERROR(U26),Motor!$B$10,U26)</f>
        <v>28.76651664693286</v>
      </c>
      <c r="K26" s="20">
        <f ca="1">I26-Motor!$B$9*J26</f>
        <v>10.728105850769619</v>
      </c>
      <c r="L26" s="14">
        <f ca="1">MAX(Motor!$B$8,J26-Motor!$B$8)</f>
        <v>26.46651664693286</v>
      </c>
      <c r="M26" s="14">
        <f t="shared" ca="1" si="0"/>
        <v>340.88322226615446</v>
      </c>
      <c r="N26" s="20">
        <f t="shared" ca="1" si="1"/>
        <v>283.93559208945192</v>
      </c>
      <c r="O26" s="1">
        <f t="shared" ca="1" si="2"/>
        <v>0.21061384753914736</v>
      </c>
      <c r="P26" s="10">
        <f t="shared" ca="1" si="3"/>
        <v>1.6563097389092594E-2</v>
      </c>
      <c r="Q26" s="10">
        <f ca="1">Propeller!$B$15+Propeller!$B$16*H26+Propeller!$B$17*H26^2+Propeller!$B$18*H26^3+Propeller!$B$19*H26^4+Propeller!$B$20*H26^5+Propeller!$B$21*H26^6</f>
        <v>1.6563097389355571E-2</v>
      </c>
      <c r="R26" s="10">
        <f ca="1">(Propeller!$B$23+Propeller!$B$24*H26+Propeller!$B$25*H26^2+Propeller!$B$26*H26^3+Propeller!$B$27*H26^4+Propeller!$B$28*H26^5+Propeller!$B$29*H26^6)*Propulsão!M26</f>
        <v>0.67275640820309246</v>
      </c>
      <c r="S26" s="19">
        <f t="shared" ca="1" si="4"/>
        <v>191.01948909511808</v>
      </c>
      <c r="T26" s="19">
        <f ca="1">Turn!S26</f>
        <v>273.15958756053891</v>
      </c>
      <c r="U26" s="14">
        <f ca="1">MIN(Motor!$B$10,MAX(Motor!$B$8,J26+0.05*(Q26/P26-1)*J26))</f>
        <v>28.766516646955697</v>
      </c>
      <c r="V26" s="50" t="str">
        <f t="shared" ca="1" si="5"/>
        <v>OK</v>
      </c>
      <c r="W26" s="1">
        <f t="shared" ca="1" si="8"/>
        <v>1</v>
      </c>
      <c r="X26" s="50" t="str">
        <f t="shared" ca="1" si="6"/>
        <v>OK</v>
      </c>
      <c r="Y26" s="35"/>
      <c r="Z26" s="36"/>
      <c r="AA26" s="36"/>
      <c r="AB26" s="36"/>
      <c r="AC26" s="38"/>
      <c r="AD26" s="41"/>
      <c r="AE26" s="40"/>
      <c r="AF26" s="38"/>
      <c r="AG26" s="40"/>
      <c r="AH26" s="40"/>
      <c r="AI26" s="36"/>
      <c r="AJ26" s="36"/>
      <c r="AK26" s="36"/>
      <c r="AL26" s="40"/>
      <c r="AM26" s="40"/>
      <c r="AN26" s="38"/>
      <c r="AO26" s="35"/>
      <c r="AP26" s="35"/>
      <c r="AQ26" s="35"/>
      <c r="AR26" s="35"/>
      <c r="AS26" s="35"/>
      <c r="AT26" s="35"/>
      <c r="AU26" s="35"/>
      <c r="AV26" s="35"/>
      <c r="AW26" s="35"/>
      <c r="AX26" s="35"/>
    </row>
    <row r="27" spans="2:50">
      <c r="B27" s="1">
        <f>Turn!F27</f>
        <v>0.65969672852566186</v>
      </c>
      <c r="D27" s="1">
        <f>Propeller!$B$8</f>
        <v>0.30479999999999996</v>
      </c>
      <c r="E27" s="19">
        <f ca="1">Turn!X27</f>
        <v>26.272229755721025</v>
      </c>
      <c r="F27" s="49">
        <f t="shared" ca="1" si="7"/>
        <v>1</v>
      </c>
      <c r="G27" s="19">
        <f ca="1">MAX(Motor!$B$7,K27*Motor!$B$7)</f>
        <v>12857.071656080871</v>
      </c>
      <c r="H27" s="10">
        <f ca="1">E27/(G27/60*D27)*Propulsão!J27</f>
        <v>0.38801931555497848</v>
      </c>
      <c r="I27" s="13">
        <f ca="1">F27*Energy!$B$6</f>
        <v>11.850000000000001</v>
      </c>
      <c r="J27" s="51">
        <f ca="1">IF(ISERROR(U27),Motor!$B$10,U27)</f>
        <v>29.122400511116314</v>
      </c>
      <c r="K27" s="20">
        <f ca="1">I27-Motor!$B$9*J27</f>
        <v>10.714226380066465</v>
      </c>
      <c r="L27" s="14">
        <f ca="1">MAX(Motor!$B$8,J27-Motor!$B$8)</f>
        <v>26.822400511116314</v>
      </c>
      <c r="M27" s="14">
        <f t="shared" ca="1" si="0"/>
        <v>345.10044605672834</v>
      </c>
      <c r="N27" s="20">
        <f t="shared" ca="1" si="1"/>
        <v>287.38127113291063</v>
      </c>
      <c r="O27" s="1">
        <f t="shared" ca="1" si="2"/>
        <v>0.2134458813467186</v>
      </c>
      <c r="P27" s="10">
        <f t="shared" ca="1" si="3"/>
        <v>1.6829331911373504E-2</v>
      </c>
      <c r="Q27" s="10">
        <f ca="1">Propeller!$B$15+Propeller!$B$16*H27+Propeller!$B$17*H27^2+Propeller!$B$18*H27^3+Propeller!$B$19*H27^4+Propeller!$B$20*H27^5+Propeller!$B$21*H27^6</f>
        <v>1.6829331911646608E-2</v>
      </c>
      <c r="R27" s="10">
        <f ca="1">(Propeller!$B$23+Propeller!$B$24*H27+Propeller!$B$25*H27^2+Propeller!$B$26*H27^3+Propeller!$B$27*H27^4+Propeller!$B$28*H27^5+Propeller!$B$29*H27^6)*Propulsão!M27</f>
        <v>0.67266682700902947</v>
      </c>
      <c r="S27" s="19">
        <f t="shared" ca="1" si="4"/>
        <v>193.31184779479659</v>
      </c>
      <c r="T27" s="19">
        <f ca="1">Turn!S27</f>
        <v>265.88814688671528</v>
      </c>
      <c r="U27" s="14">
        <f ca="1">MIN(Motor!$B$10,MAX(Motor!$B$8,J27+0.05*(Q27/P27-1)*J27))</f>
        <v>29.122400511139944</v>
      </c>
      <c r="V27" s="50" t="str">
        <f t="shared" ca="1" si="5"/>
        <v>OK</v>
      </c>
      <c r="W27" s="1">
        <f t="shared" ca="1" si="8"/>
        <v>1</v>
      </c>
      <c r="X27" s="50" t="str">
        <f t="shared" ca="1" si="6"/>
        <v>OK</v>
      </c>
      <c r="Y27" s="35"/>
      <c r="Z27" s="36"/>
      <c r="AA27" s="36"/>
      <c r="AB27" s="36"/>
      <c r="AC27" s="38"/>
      <c r="AD27" s="41"/>
      <c r="AE27" s="40"/>
      <c r="AF27" s="38"/>
      <c r="AG27" s="40"/>
      <c r="AH27" s="40"/>
      <c r="AI27" s="36"/>
      <c r="AJ27" s="36"/>
      <c r="AK27" s="36"/>
      <c r="AL27" s="40"/>
      <c r="AM27" s="40"/>
      <c r="AN27" s="38"/>
      <c r="AO27" s="35"/>
      <c r="AP27" s="35"/>
      <c r="AQ27" s="35"/>
      <c r="AR27" s="35"/>
      <c r="AS27" s="35"/>
      <c r="AT27" s="35"/>
      <c r="AU27" s="35"/>
      <c r="AV27" s="35"/>
      <c r="AW27" s="35"/>
      <c r="AX27" s="35"/>
    </row>
    <row r="28" spans="2:50">
      <c r="B28" s="1">
        <f>Turn!F28</f>
        <v>0.65969672852566186</v>
      </c>
      <c r="D28" s="1">
        <f>Propeller!$B$8</f>
        <v>0.30479999999999996</v>
      </c>
      <c r="E28" s="19">
        <f ca="1">Turn!X28</f>
        <v>25.850372382951573</v>
      </c>
      <c r="F28" s="49">
        <f t="shared" ca="1" si="7"/>
        <v>1</v>
      </c>
      <c r="G28" s="19">
        <f ca="1">MAX(Motor!$B$7,K28*Motor!$B$7)</f>
        <v>12838.778965255278</v>
      </c>
      <c r="H28" s="10">
        <f ca="1">E28/(G28/60*D28)*Propulsão!J28</f>
        <v>0.38233280035484102</v>
      </c>
      <c r="I28" s="13">
        <f ca="1">F28*Energy!$B$6</f>
        <v>11.850000000000001</v>
      </c>
      <c r="J28" s="51">
        <f ca="1">IF(ISERROR(U28),Motor!$B$10,U28)</f>
        <v>29.513269973273321</v>
      </c>
      <c r="K28" s="20">
        <f ca="1">I28-Motor!$B$9*J28</f>
        <v>10.698982471042342</v>
      </c>
      <c r="L28" s="14">
        <f ca="1">MAX(Motor!$B$8,J28-Motor!$B$8)</f>
        <v>27.21326997327332</v>
      </c>
      <c r="M28" s="14">
        <f t="shared" ca="1" si="0"/>
        <v>349.7322491832889</v>
      </c>
      <c r="N28" s="20">
        <f t="shared" ca="1" si="1"/>
        <v>291.15429842379416</v>
      </c>
      <c r="O28" s="1">
        <f t="shared" ca="1" si="2"/>
        <v>0.21655632169695962</v>
      </c>
      <c r="P28" s="10">
        <f t="shared" ca="1" si="3"/>
        <v>1.7123267744073897E-2</v>
      </c>
      <c r="Q28" s="10">
        <f ca="1">Propeller!$B$15+Propeller!$B$16*H28+Propeller!$B$17*H28^2+Propeller!$B$18*H28^3+Propeller!$B$19*H28^4+Propeller!$B$20*H28^5+Propeller!$B$21*H28^6</f>
        <v>1.7123267745172706E-2</v>
      </c>
      <c r="R28" s="10">
        <f ca="1">(Propeller!$B$23+Propeller!$B$24*H28+Propeller!$B$25*H28^2+Propeller!$B$26*H28^3+Propeller!$B$27*H28^4+Propeller!$B$28*H28^5+Propeller!$B$29*H28^6)*Propulsão!M28</f>
        <v>0.67213652886174391</v>
      </c>
      <c r="S28" s="19">
        <f t="shared" ca="1" si="4"/>
        <v>195.69543950574533</v>
      </c>
      <c r="T28" s="19">
        <f ca="1">Turn!S28</f>
        <v>257.28104078680184</v>
      </c>
      <c r="U28" s="14">
        <f ca="1">MIN(Motor!$B$10,MAX(Motor!$B$8,J28+0.05*(Q28/P28-1)*J28))</f>
        <v>29.513269973368015</v>
      </c>
      <c r="V28" s="50" t="str">
        <f t="shared" ca="1" si="5"/>
        <v>OK</v>
      </c>
      <c r="W28" s="1">
        <f t="shared" ca="1" si="8"/>
        <v>1</v>
      </c>
      <c r="X28" s="50" t="str">
        <f t="shared" ca="1" si="6"/>
        <v>OK</v>
      </c>
      <c r="Y28" s="35"/>
      <c r="Z28" s="36"/>
      <c r="AA28" s="36"/>
      <c r="AB28" s="36"/>
      <c r="AC28" s="38"/>
      <c r="AD28" s="41"/>
      <c r="AE28" s="40"/>
      <c r="AF28" s="38"/>
      <c r="AG28" s="40"/>
      <c r="AH28" s="40"/>
      <c r="AI28" s="36"/>
      <c r="AJ28" s="36"/>
      <c r="AK28" s="36"/>
      <c r="AL28" s="40"/>
      <c r="AM28" s="40"/>
      <c r="AN28" s="38"/>
      <c r="AO28" s="35"/>
      <c r="AP28" s="35"/>
      <c r="AQ28" s="35"/>
      <c r="AR28" s="35"/>
      <c r="AS28" s="35"/>
      <c r="AT28" s="35"/>
      <c r="AU28" s="35"/>
      <c r="AV28" s="35"/>
      <c r="AW28" s="35"/>
      <c r="AX28" s="35"/>
    </row>
    <row r="29" spans="2:50">
      <c r="B29" s="1">
        <f>Turn!F29</f>
        <v>0.65969672852566186</v>
      </c>
      <c r="D29" s="1">
        <f>Propeller!$B$8</f>
        <v>0.30479999999999996</v>
      </c>
      <c r="E29" s="19">
        <f ca="1">Turn!X29</f>
        <v>25.337550160812658</v>
      </c>
      <c r="F29" s="49">
        <f t="shared" ca="1" si="7"/>
        <v>1</v>
      </c>
      <c r="G29" s="19">
        <f ca="1">MAX(Motor!$B$7,K29*Motor!$B$7)</f>
        <v>12817.203362122154</v>
      </c>
      <c r="H29" s="10">
        <f ca="1">E29/(G29/60*D29)*Propulsão!J29</f>
        <v>0.37537886998779268</v>
      </c>
      <c r="I29" s="13">
        <f ca="1">F29*Energy!$B$6</f>
        <v>11.850000000000001</v>
      </c>
      <c r="J29" s="51">
        <f ca="1">IF(ISERROR(U29),Motor!$B$10,U29)</f>
        <v>29.974287134234967</v>
      </c>
      <c r="K29" s="20">
        <f ca="1">I29-Motor!$B$9*J29</f>
        <v>10.681002801764837</v>
      </c>
      <c r="L29" s="14">
        <f ca="1">MAX(Motor!$B$8,J29-Motor!$B$8)</f>
        <v>27.674287134234966</v>
      </c>
      <c r="M29" s="14">
        <f t="shared" ca="1" si="0"/>
        <v>355.19530254068439</v>
      </c>
      <c r="N29" s="20">
        <f t="shared" ca="1" si="1"/>
        <v>295.58913841760824</v>
      </c>
      <c r="O29" s="1">
        <f t="shared" ca="1" si="2"/>
        <v>0.22022497969782215</v>
      </c>
      <c r="P29" s="10">
        <f t="shared" ca="1" si="3"/>
        <v>1.7472025462871951E-2</v>
      </c>
      <c r="Q29" s="10">
        <f ca="1">Propeller!$B$15+Propeller!$B$16*H29+Propeller!$B$17*H29^2+Propeller!$B$18*H29^3+Propeller!$B$19*H29^4+Propeller!$B$20*H29^5+Propeller!$B$21*H29^6</f>
        <v>1.7472025463947046E-2</v>
      </c>
      <c r="R29" s="10">
        <f ca="1">(Propeller!$B$23+Propeller!$B$24*H29+Propeller!$B$25*H29^2+Propeller!$B$26*H29^3+Propeller!$B$27*H29^4+Propeller!$B$28*H29^5+Propeller!$B$29*H29^6)*Propulsão!M29</f>
        <v>0.6709219431502973</v>
      </c>
      <c r="S29" s="19">
        <f t="shared" ca="1" si="4"/>
        <v>198.31723912126392</v>
      </c>
      <c r="T29" s="19">
        <f ca="1">Turn!S29</f>
        <v>246.20408199694774</v>
      </c>
      <c r="U29" s="14">
        <f ca="1">MIN(Motor!$B$10,MAX(Motor!$B$8,J29+0.05*(Q29/P29-1)*J29))</f>
        <v>29.974287134327184</v>
      </c>
      <c r="V29" s="50" t="str">
        <f t="shared" ca="1" si="5"/>
        <v>OK</v>
      </c>
      <c r="W29" s="1">
        <f t="shared" ca="1" si="8"/>
        <v>1</v>
      </c>
      <c r="X29" s="50" t="str">
        <f t="shared" ca="1" si="6"/>
        <v>OK</v>
      </c>
      <c r="Y29" s="35"/>
      <c r="Z29" s="36"/>
      <c r="AA29" s="36"/>
      <c r="AB29" s="36"/>
      <c r="AC29" s="38"/>
      <c r="AD29" s="41"/>
      <c r="AE29" s="40"/>
      <c r="AF29" s="38"/>
      <c r="AG29" s="40"/>
      <c r="AH29" s="40"/>
      <c r="AI29" s="36"/>
      <c r="AJ29" s="36"/>
      <c r="AK29" s="36"/>
      <c r="AL29" s="40"/>
      <c r="AM29" s="40"/>
      <c r="AN29" s="38"/>
      <c r="AO29" s="35"/>
      <c r="AP29" s="35"/>
      <c r="AQ29" s="35"/>
      <c r="AR29" s="35"/>
      <c r="AS29" s="35"/>
      <c r="AT29" s="35"/>
      <c r="AU29" s="35"/>
      <c r="AV29" s="35"/>
      <c r="AW29" s="35"/>
      <c r="AX29" s="35"/>
    </row>
    <row r="30" spans="2:50">
      <c r="B30" s="1">
        <f>Turn!F30</f>
        <v>0.65969672852566186</v>
      </c>
      <c r="D30" s="1">
        <f>Propeller!$B$8</f>
        <v>0.30479999999999996</v>
      </c>
      <c r="E30" s="19">
        <f ca="1">Turn!X30</f>
        <v>24.858990723373086</v>
      </c>
      <c r="F30" s="49">
        <f t="shared" ca="1" si="7"/>
        <v>1</v>
      </c>
      <c r="G30" s="19">
        <f ca="1">MAX(Motor!$B$7,K30*Motor!$B$7)</f>
        <v>12797.719929700643</v>
      </c>
      <c r="H30" s="10">
        <f ca="1">E30/(G30/60*D30)*Propulsão!J30</f>
        <v>0.3688496424317807</v>
      </c>
      <c r="I30" s="13">
        <f ca="1">F30*Energy!$B$6</f>
        <v>11.850000000000001</v>
      </c>
      <c r="J30" s="51">
        <f ca="1">IF(ISERROR(U30),Motor!$B$10,U30)</f>
        <v>30.390599792811891</v>
      </c>
      <c r="K30" s="20">
        <f ca="1">I30-Motor!$B$9*J30</f>
        <v>10.664766608080338</v>
      </c>
      <c r="L30" s="14">
        <f ca="1">MAX(Motor!$B$8,J30-Motor!$B$8)</f>
        <v>28.09059979281189</v>
      </c>
      <c r="M30" s="14">
        <f t="shared" ca="1" si="0"/>
        <v>360.12860754482097</v>
      </c>
      <c r="N30" s="20">
        <f t="shared" ca="1" si="1"/>
        <v>299.57969067132871</v>
      </c>
      <c r="O30" s="1">
        <f t="shared" ca="1" si="2"/>
        <v>0.22353789057203513</v>
      </c>
      <c r="P30" s="10">
        <f t="shared" ca="1" si="3"/>
        <v>1.778890314104627E-2</v>
      </c>
      <c r="Q30" s="10">
        <f ca="1">Propeller!$B$15+Propeller!$B$16*H30+Propeller!$B$17*H30^2+Propeller!$B$18*H30^3+Propeller!$B$19*H30^4+Propeller!$B$20*H30^5+Propeller!$B$21*H30^6</f>
        <v>1.7788903142098106E-2</v>
      </c>
      <c r="R30" s="10">
        <f ca="1">(Propeller!$B$23+Propeller!$B$24*H30+Propeller!$B$25*H30^2+Propeller!$B$26*H30^3+Propeller!$B$27*H30^4+Propeller!$B$28*H30^5+Propeller!$B$29*H30^6)*Propulsão!M30</f>
        <v>0.66926428126657933</v>
      </c>
      <c r="S30" s="19">
        <f t="shared" ca="1" si="4"/>
        <v>200.49798635921096</v>
      </c>
      <c r="T30" s="19">
        <f ca="1">Turn!S30</f>
        <v>236.24860363097267</v>
      </c>
      <c r="U30" s="14">
        <f ca="1">MIN(Motor!$B$10,MAX(Motor!$B$8,J30+0.05*(Q30/P30-1)*J30))</f>
        <v>30.390599792901739</v>
      </c>
      <c r="V30" s="50" t="str">
        <f t="shared" ca="1" si="5"/>
        <v>OK</v>
      </c>
      <c r="W30" s="1">
        <f t="shared" ca="1" si="8"/>
        <v>1</v>
      </c>
      <c r="X30" s="50" t="str">
        <f t="shared" ca="1" si="6"/>
        <v>OK</v>
      </c>
      <c r="Y30" s="35"/>
      <c r="Z30" s="36"/>
      <c r="AA30" s="36"/>
      <c r="AB30" s="36"/>
      <c r="AC30" s="38"/>
      <c r="AD30" s="41"/>
      <c r="AE30" s="40"/>
      <c r="AF30" s="38"/>
      <c r="AG30" s="40"/>
      <c r="AH30" s="40"/>
      <c r="AI30" s="36"/>
      <c r="AJ30" s="36"/>
      <c r="AK30" s="36"/>
      <c r="AL30" s="40"/>
      <c r="AM30" s="40"/>
      <c r="AN30" s="38"/>
      <c r="AO30" s="35"/>
      <c r="AP30" s="35"/>
      <c r="AQ30" s="35"/>
      <c r="AR30" s="35"/>
      <c r="AS30" s="35"/>
      <c r="AT30" s="35"/>
      <c r="AU30" s="35"/>
      <c r="AV30" s="35"/>
      <c r="AW30" s="35"/>
      <c r="AX30" s="35"/>
    </row>
    <row r="31" spans="2:50">
      <c r="B31" s="1">
        <f>Turn!F31</f>
        <v>0.65969672852566186</v>
      </c>
      <c r="D31" s="1">
        <f>Propeller!$B$8</f>
        <v>0.30479999999999996</v>
      </c>
      <c r="E31" s="19">
        <f ca="1">Turn!X31</f>
        <v>24.411011139904709</v>
      </c>
      <c r="F31" s="49">
        <f t="shared" ca="1" si="7"/>
        <v>1</v>
      </c>
      <c r="G31" s="19">
        <f ca="1">MAX(Motor!$B$7,K31*Motor!$B$7)</f>
        <v>12780.046802788578</v>
      </c>
      <c r="H31" s="10">
        <f ca="1">E31/(G31/60*D31)*Propulsão!J31</f>
        <v>0.36270354539132948</v>
      </c>
      <c r="I31" s="13">
        <f ca="1">F31*Energy!$B$6</f>
        <v>11.850000000000001</v>
      </c>
      <c r="J31" s="51">
        <f ca="1">IF(ISERROR(U31),Motor!$B$10,U31)</f>
        <v>30.768230709734052</v>
      </c>
      <c r="K31" s="20">
        <f ca="1">I31-Motor!$B$9*J31</f>
        <v>10.650039002320373</v>
      </c>
      <c r="L31" s="14">
        <f ca="1">MAX(Motor!$B$8,J31-Motor!$B$8)</f>
        <v>28.468230709734051</v>
      </c>
      <c r="M31" s="14">
        <f t="shared" ca="1" si="0"/>
        <v>364.60353391034857</v>
      </c>
      <c r="N31" s="20">
        <f t="shared" ca="1" si="1"/>
        <v>303.18776738572222</v>
      </c>
      <c r="O31" s="1">
        <f t="shared" ca="1" si="2"/>
        <v>0.22654298192666028</v>
      </c>
      <c r="P31" s="10">
        <f t="shared" ca="1" si="3"/>
        <v>1.8077940369731305E-2</v>
      </c>
      <c r="Q31" s="10">
        <f ca="1">Propeller!$B$15+Propeller!$B$16*H31+Propeller!$B$17*H31^2+Propeller!$B$18*H31^3+Propeller!$B$19*H31^4+Propeller!$B$20*H31^5+Propeller!$B$21*H31^6</f>
        <v>1.8077940370760326E-2</v>
      </c>
      <c r="R31" s="10">
        <f ca="1">(Propeller!$B$23+Propeller!$B$24*H31+Propeller!$B$25*H31^2+Propeller!$B$26*H31^3+Propeller!$B$27*H31^4+Propeller!$B$28*H31^5+Propeller!$B$29*H31^6)*Propulsão!M31</f>
        <v>0.66728428982652066</v>
      </c>
      <c r="S31" s="19">
        <f t="shared" ca="1" si="4"/>
        <v>202.31243404406999</v>
      </c>
      <c r="T31" s="19">
        <f ca="1">Turn!S31</f>
        <v>227.25799169780643</v>
      </c>
      <c r="U31" s="14">
        <f ca="1">MIN(Motor!$B$10,MAX(Motor!$B$8,J31+0.05*(Q31/P31-1)*J31))</f>
        <v>30.768230709821619</v>
      </c>
      <c r="V31" s="50" t="str">
        <f t="shared" ca="1" si="5"/>
        <v>OK</v>
      </c>
      <c r="W31" s="1">
        <f t="shared" ca="1" si="8"/>
        <v>1</v>
      </c>
      <c r="X31" s="50" t="str">
        <f t="shared" ca="1" si="6"/>
        <v>OK</v>
      </c>
      <c r="Y31" s="35"/>
      <c r="Z31" s="36"/>
      <c r="AA31" s="36"/>
      <c r="AB31" s="36"/>
      <c r="AC31" s="38"/>
      <c r="AD31" s="41"/>
      <c r="AE31" s="40"/>
      <c r="AF31" s="38"/>
      <c r="AG31" s="40"/>
      <c r="AH31" s="40"/>
      <c r="AI31" s="36"/>
      <c r="AJ31" s="36"/>
      <c r="AK31" s="36"/>
      <c r="AL31" s="40"/>
      <c r="AM31" s="40"/>
      <c r="AN31" s="38"/>
      <c r="AO31" s="35"/>
      <c r="AP31" s="35"/>
      <c r="AQ31" s="35"/>
      <c r="AR31" s="35"/>
      <c r="AS31" s="35"/>
      <c r="AT31" s="35"/>
      <c r="AU31" s="35"/>
      <c r="AV31" s="35"/>
      <c r="AW31" s="35"/>
      <c r="AX31" s="35"/>
    </row>
    <row r="32" spans="2:50">
      <c r="B32" s="1">
        <f>Turn!F32</f>
        <v>0.65969672852566186</v>
      </c>
      <c r="D32" s="1">
        <f>Propeller!$B$8</f>
        <v>0.30479999999999996</v>
      </c>
      <c r="E32" s="19">
        <f ca="1">Turn!X32</f>
        <v>23.990482001820197</v>
      </c>
      <c r="F32" s="49">
        <f t="shared" ca="1" si="7"/>
        <v>1</v>
      </c>
      <c r="G32" s="19">
        <f ca="1">MAX(Motor!$B$7,K32*Motor!$B$7)</f>
        <v>12763.950618173749</v>
      </c>
      <c r="H32" s="10">
        <f ca="1">E32/(G32/60*D32)*Propulsão!J32</f>
        <v>0.35690475536816052</v>
      </c>
      <c r="I32" s="13">
        <f ca="1">F32*Energy!$B$6</f>
        <v>11.850000000000001</v>
      </c>
      <c r="J32" s="51">
        <f ca="1">IF(ISERROR(U32),Motor!$B$10,U32)</f>
        <v>31.112166278424713</v>
      </c>
      <c r="K32" s="20">
        <f ca="1">I32-Motor!$B$9*J32</f>
        <v>10.636625515141438</v>
      </c>
      <c r="L32" s="14">
        <f ca="1">MAX(Motor!$B$8,J32-Motor!$B$8)</f>
        <v>28.812166278424712</v>
      </c>
      <c r="M32" s="14">
        <f t="shared" ca="1" si="0"/>
        <v>368.67917039933292</v>
      </c>
      <c r="N32" s="20">
        <f t="shared" ca="1" si="1"/>
        <v>306.46422298358999</v>
      </c>
      <c r="O32" s="1">
        <f t="shared" ca="1" si="2"/>
        <v>0.22927993421977327</v>
      </c>
      <c r="P32" s="10">
        <f t="shared" ca="1" si="3"/>
        <v>1.8342521771950535E-2</v>
      </c>
      <c r="Q32" s="10">
        <f ca="1">Propeller!$B$15+Propeller!$B$16*H32+Propeller!$B$17*H32^2+Propeller!$B$18*H32^3+Propeller!$B$19*H32^4+Propeller!$B$20*H32^5+Propeller!$B$21*H32^6</f>
        <v>1.8342521772956696E-2</v>
      </c>
      <c r="R32" s="10">
        <f ca="1">(Propeller!$B$23+Propeller!$B$24*H32+Propeller!$B$25*H32^2+Propeller!$B$26*H32^3+Propeller!$B$27*H32^4+Propeller!$B$28*H32^5+Propeller!$B$29*H32^6)*Propulsão!M32</f>
        <v>0.66506974405946029</v>
      </c>
      <c r="S32" s="19">
        <f t="shared" ca="1" si="4"/>
        <v>203.82008234307756</v>
      </c>
      <c r="T32" s="19">
        <f ca="1">Turn!S32</f>
        <v>219.10365656746882</v>
      </c>
      <c r="U32" s="14">
        <f ca="1">MIN(Motor!$B$10,MAX(Motor!$B$8,J32+0.05*(Q32/P32-1)*J32))</f>
        <v>31.112166278510045</v>
      </c>
      <c r="V32" s="50" t="str">
        <f t="shared" ca="1" si="5"/>
        <v>OK</v>
      </c>
      <c r="W32" s="1">
        <f t="shared" ca="1" si="8"/>
        <v>1</v>
      </c>
      <c r="X32" s="50" t="str">
        <f t="shared" ca="1" si="6"/>
        <v>OK</v>
      </c>
      <c r="Y32" s="35"/>
      <c r="Z32" s="36"/>
      <c r="AA32" s="36"/>
      <c r="AB32" s="36"/>
      <c r="AC32" s="38"/>
      <c r="AD32" s="41"/>
      <c r="AE32" s="40"/>
      <c r="AF32" s="38"/>
      <c r="AG32" s="40"/>
      <c r="AH32" s="40"/>
      <c r="AI32" s="36"/>
      <c r="AJ32" s="36"/>
      <c r="AK32" s="36"/>
      <c r="AL32" s="40"/>
      <c r="AM32" s="40"/>
      <c r="AN32" s="38"/>
      <c r="AO32" s="35"/>
      <c r="AP32" s="35"/>
      <c r="AQ32" s="35"/>
      <c r="AR32" s="35"/>
      <c r="AS32" s="35"/>
      <c r="AT32" s="35"/>
      <c r="AU32" s="35"/>
      <c r="AV32" s="35"/>
      <c r="AW32" s="35"/>
      <c r="AX32" s="35"/>
    </row>
    <row r="33" spans="2:50">
      <c r="B33" s="1">
        <f>Turn!F33</f>
        <v>0.65969672852566186</v>
      </c>
      <c r="D33" s="1">
        <f>Propeller!$B$8</f>
        <v>0.30479999999999996</v>
      </c>
      <c r="E33" s="19">
        <f ca="1">Turn!X33</f>
        <v>23.594721425812608</v>
      </c>
      <c r="F33" s="49">
        <f t="shared" ca="1" si="7"/>
        <v>1</v>
      </c>
      <c r="G33" s="19">
        <f ca="1">MAX(Motor!$B$7,K33*Motor!$B$7)</f>
        <v>12749.236412566112</v>
      </c>
      <c r="H33" s="10">
        <f ca="1">E33/(G33/60*D33)*Propulsão!J33</f>
        <v>0.35142216978846008</v>
      </c>
      <c r="I33" s="13">
        <f ca="1">F33*Energy!$B$6</f>
        <v>11.850000000000001</v>
      </c>
      <c r="J33" s="51">
        <f ca="1">IF(ISERROR(U33),Motor!$B$10,U33)</f>
        <v>31.426572381150308</v>
      </c>
      <c r="K33" s="20">
        <f ca="1">I33-Motor!$B$9*J33</f>
        <v>10.62436367713514</v>
      </c>
      <c r="L33" s="14">
        <f ca="1">MAX(Motor!$B$8,J33-Motor!$B$8)</f>
        <v>29.126572381150307</v>
      </c>
      <c r="M33" s="14">
        <f t="shared" ca="1" si="0"/>
        <v>372.40488271663122</v>
      </c>
      <c r="N33" s="20">
        <f t="shared" ca="1" si="1"/>
        <v>309.45129764574091</v>
      </c>
      <c r="O33" s="1">
        <f t="shared" ca="1" si="2"/>
        <v>0.2317818984891257</v>
      </c>
      <c r="P33" s="10">
        <f t="shared" ca="1" si="3"/>
        <v>1.8585506120469615E-2</v>
      </c>
      <c r="Q33" s="10">
        <f ca="1">Propeller!$B$15+Propeller!$B$16*H33+Propeller!$B$17*H33^2+Propeller!$B$18*H33^3+Propeller!$B$19*H33^4+Propeller!$B$20*H33^5+Propeller!$B$21*H33^6</f>
        <v>1.8585506121459025E-2</v>
      </c>
      <c r="R33" s="10">
        <f ca="1">(Propeller!$B$23+Propeller!$B$24*H33+Propeller!$B$25*H33^2+Propeller!$B$26*H33^3+Propeller!$B$27*H33^4+Propeller!$B$28*H33^5+Propeller!$B$29*H33^6)*Propulsão!M33</f>
        <v>0.66268523263010781</v>
      </c>
      <c r="S33" s="19">
        <f t="shared" ca="1" si="4"/>
        <v>205.06880516805654</v>
      </c>
      <c r="T33" s="19">
        <f ca="1">Turn!S33</f>
        <v>211.67898364081</v>
      </c>
      <c r="U33" s="14">
        <f ca="1">MIN(Motor!$B$10,MAX(Motor!$B$8,J33+0.05*(Q33/P33-1)*J33))</f>
        <v>31.42657238123396</v>
      </c>
      <c r="V33" s="50" t="str">
        <f t="shared" ca="1" si="5"/>
        <v>OK</v>
      </c>
      <c r="W33" s="1">
        <f t="shared" ca="1" si="8"/>
        <v>1</v>
      </c>
      <c r="X33" s="50" t="str">
        <f t="shared" ca="1" si="6"/>
        <v>OK</v>
      </c>
      <c r="Y33" s="35"/>
      <c r="Z33" s="36"/>
      <c r="AA33" s="36"/>
      <c r="AB33" s="36"/>
      <c r="AC33" s="38"/>
      <c r="AD33" s="41"/>
      <c r="AE33" s="40"/>
      <c r="AF33" s="38"/>
      <c r="AG33" s="40"/>
      <c r="AH33" s="40"/>
      <c r="AI33" s="36"/>
      <c r="AJ33" s="36"/>
      <c r="AK33" s="36"/>
      <c r="AL33" s="40"/>
      <c r="AM33" s="40"/>
      <c r="AN33" s="38"/>
      <c r="AO33" s="35"/>
      <c r="AP33" s="35"/>
      <c r="AQ33" s="35"/>
      <c r="AR33" s="35"/>
      <c r="AS33" s="35"/>
      <c r="AT33" s="35"/>
      <c r="AU33" s="35"/>
      <c r="AV33" s="35"/>
      <c r="AW33" s="35"/>
      <c r="AX33" s="35"/>
    </row>
    <row r="34" spans="2:50">
      <c r="B34" s="1">
        <f>Turn!F34</f>
        <v>0.65969672852566186</v>
      </c>
      <c r="D34" s="1">
        <f>Propeller!$B$8</f>
        <v>0.30479999999999996</v>
      </c>
      <c r="E34" s="19">
        <f ca="1">Turn!X34</f>
        <v>23.22130627806888</v>
      </c>
      <c r="F34" s="49">
        <f t="shared" ca="1" si="7"/>
        <v>0.99806479388201996</v>
      </c>
      <c r="G34" s="19">
        <f ca="1">MAX(Motor!$B$7,K34*Motor!$B$7)</f>
        <v>12714.577110687251</v>
      </c>
      <c r="H34" s="10">
        <f ca="1">E34/(G34/60*D34)*Propulsão!J34</f>
        <v>0.34680328517605824</v>
      </c>
      <c r="I34" s="13">
        <f ca="1">F34*Energy!$B$6</f>
        <v>11.827067807501939</v>
      </c>
      <c r="J34" s="51">
        <f ca="1">IF(ISERROR(U34),Motor!$B$10,U34)</f>
        <v>31.579150819946403</v>
      </c>
      <c r="K34" s="20">
        <f ca="1">I34-Motor!$B$9*J34</f>
        <v>10.595480925524029</v>
      </c>
      <c r="L34" s="14">
        <f ca="1">MAX(Motor!$B$8,J34-Motor!$B$8)</f>
        <v>29.279150819946402</v>
      </c>
      <c r="M34" s="14">
        <f t="shared" ca="1" si="0"/>
        <v>373.48875805083657</v>
      </c>
      <c r="N34" s="20">
        <f t="shared" ca="1" si="1"/>
        <v>310.22668402828333</v>
      </c>
      <c r="O34" s="1">
        <f t="shared" ca="1" si="2"/>
        <v>0.23299607912530904</v>
      </c>
      <c r="P34" s="10">
        <f t="shared" ca="1" si="3"/>
        <v>1.8784861530296796E-2</v>
      </c>
      <c r="Q34" s="10">
        <f ca="1">Propeller!$B$15+Propeller!$B$16*H34+Propeller!$B$17*H34^2+Propeller!$B$18*H34^3+Propeller!$B$19*H34^4+Propeller!$B$20*H34^5+Propeller!$B$21*H34^6</f>
        <v>1.8784861526402144E-2</v>
      </c>
      <c r="R34" s="10">
        <f ca="1">(Propeller!$B$23+Propeller!$B$24*H34+Propeller!$B$25*H34^2+Propeller!$B$26*H34^3+Propeller!$B$27*H34^4+Propeller!$B$28*H34^5+Propeller!$B$29*H34^6)*Propulsão!M34</f>
        <v>0.66045934192160061</v>
      </c>
      <c r="S34" s="19">
        <f t="shared" ca="1" si="4"/>
        <v>204.89211157984033</v>
      </c>
      <c r="T34" s="19">
        <f ca="1">Turn!S34</f>
        <v>204.89211155868023</v>
      </c>
      <c r="U34" s="14">
        <f ca="1">MIN(Motor!$B$10,MAX(Motor!$B$8,J34+0.05*(Q34/P34-1)*J34))</f>
        <v>31.579150819619038</v>
      </c>
      <c r="V34" s="50" t="str">
        <f t="shared" ca="1" si="5"/>
        <v>OK</v>
      </c>
      <c r="W34" s="1">
        <f t="shared" ca="1" si="8"/>
        <v>0.9980647938768662</v>
      </c>
      <c r="X34" s="50" t="str">
        <f t="shared" ca="1" si="6"/>
        <v>OK</v>
      </c>
      <c r="Y34" s="35"/>
      <c r="Z34" s="36"/>
      <c r="AA34" s="36"/>
      <c r="AB34" s="36"/>
      <c r="AC34" s="38"/>
      <c r="AD34" s="41"/>
      <c r="AE34" s="40"/>
      <c r="AF34" s="38"/>
      <c r="AG34" s="40"/>
      <c r="AH34" s="40"/>
      <c r="AI34" s="36"/>
      <c r="AJ34" s="36"/>
      <c r="AK34" s="36"/>
      <c r="AL34" s="40"/>
      <c r="AM34" s="40"/>
      <c r="AN34" s="38"/>
      <c r="AO34" s="35"/>
      <c r="AP34" s="35"/>
      <c r="AQ34" s="35"/>
      <c r="AR34" s="35"/>
      <c r="AS34" s="35"/>
      <c r="AT34" s="35"/>
      <c r="AU34" s="35"/>
      <c r="AV34" s="35"/>
      <c r="AW34" s="35"/>
      <c r="AX34" s="35"/>
    </row>
    <row r="35" spans="2:50">
      <c r="B35" s="1">
        <f>Turn!F35</f>
        <v>0.65969672852566186</v>
      </c>
      <c r="D35" s="1">
        <f>Propeller!$B$8</f>
        <v>0.30479999999999996</v>
      </c>
      <c r="E35" s="19">
        <f ca="1">Turn!X35</f>
        <v>22.867828371770738</v>
      </c>
      <c r="F35" s="49">
        <f t="shared" ca="1" si="7"/>
        <v>0.98648762831602665</v>
      </c>
      <c r="G35" s="19">
        <f ca="1">MAX(Motor!$B$7,K35*Motor!$B$7)</f>
        <v>12575.277426965949</v>
      </c>
      <c r="H35" s="10">
        <f ca="1">E35/(G35/60*D35)*Propulsão!J35</f>
        <v>0.34530735217784558</v>
      </c>
      <c r="I35" s="13">
        <f ca="1">F35*Energy!$B$6</f>
        <v>11.689878395544918</v>
      </c>
      <c r="J35" s="51">
        <f ca="1">IF(ISERROR(U35),Motor!$B$10,U35)</f>
        <v>31.037962558702123</v>
      </c>
      <c r="K35" s="20">
        <f ca="1">I35-Motor!$B$9*J35</f>
        <v>10.479397855755535</v>
      </c>
      <c r="L35" s="14">
        <f ca="1">MAX(Motor!$B$8,J35-Motor!$B$8)</f>
        <v>28.737962558702122</v>
      </c>
      <c r="M35" s="14">
        <f t="shared" ca="1" si="0"/>
        <v>362.83000795670404</v>
      </c>
      <c r="N35" s="20">
        <f t="shared" ca="1" si="1"/>
        <v>301.15654321644587</v>
      </c>
      <c r="O35" s="1">
        <f t="shared" ca="1" si="2"/>
        <v>0.22868943977928424</v>
      </c>
      <c r="P35" s="10">
        <f t="shared" ca="1" si="3"/>
        <v>1.8848386821092168E-2</v>
      </c>
      <c r="Q35" s="10">
        <f ca="1">Propeller!$B$15+Propeller!$B$16*H35+Propeller!$B$17*H35^2+Propeller!$B$18*H35^3+Propeller!$B$19*H35^4+Propeller!$B$20*H35^5+Propeller!$B$21*H35^6</f>
        <v>1.8848386817087563E-2</v>
      </c>
      <c r="R35" s="10">
        <f ca="1">(Propeller!$B$23+Propeller!$B$24*H35+Propeller!$B$25*H35^2+Propeller!$B$26*H35^3+Propeller!$B$27*H35^4+Propeller!$B$28*H35^5+Propeller!$B$29*H35^6)*Propulsão!M35</f>
        <v>0.65965117721370614</v>
      </c>
      <c r="S35" s="19">
        <f t="shared" ca="1" si="4"/>
        <v>198.65826825833889</v>
      </c>
      <c r="T35" s="19">
        <f ca="1">Turn!S35</f>
        <v>198.65826823729824</v>
      </c>
      <c r="U35" s="14">
        <f ca="1">MIN(Motor!$B$10,MAX(Motor!$B$8,J35+0.05*(Q35/P35-1)*J35))</f>
        <v>31.037962558372399</v>
      </c>
      <c r="V35" s="50" t="str">
        <f t="shared" ca="1" si="5"/>
        <v>OK</v>
      </c>
      <c r="W35" s="1">
        <f t="shared" ca="1" si="8"/>
        <v>0.9864876283108025</v>
      </c>
      <c r="X35" s="50" t="str">
        <f t="shared" ca="1" si="6"/>
        <v>OK</v>
      </c>
      <c r="Y35" s="35"/>
      <c r="Z35" s="36"/>
      <c r="AA35" s="36"/>
      <c r="AB35" s="36"/>
      <c r="AC35" s="38"/>
      <c r="AD35" s="41"/>
      <c r="AE35" s="40"/>
      <c r="AF35" s="38"/>
      <c r="AG35" s="40"/>
      <c r="AH35" s="40"/>
      <c r="AI35" s="36"/>
      <c r="AJ35" s="36"/>
      <c r="AK35" s="36"/>
      <c r="AL35" s="40"/>
      <c r="AM35" s="40"/>
      <c r="AN35" s="38"/>
      <c r="AO35" s="35"/>
      <c r="AP35" s="35"/>
      <c r="AQ35" s="35"/>
      <c r="AR35" s="35"/>
      <c r="AS35" s="35"/>
      <c r="AT35" s="35"/>
      <c r="AU35" s="35"/>
      <c r="AV35" s="35"/>
      <c r="AW35" s="35"/>
      <c r="AX35" s="35"/>
    </row>
    <row r="36" spans="2:50">
      <c r="B36" s="1">
        <f>Turn!F36</f>
        <v>0.65969672852566186</v>
      </c>
      <c r="D36" s="1">
        <f>Propeller!$B$8</f>
        <v>0.30479999999999996</v>
      </c>
      <c r="E36" s="19">
        <f ca="1">Turn!X36</f>
        <v>22.533115808336419</v>
      </c>
      <c r="F36" s="49">
        <f t="shared" ca="1" si="7"/>
        <v>0.9756508677821889</v>
      </c>
      <c r="G36" s="19">
        <f ca="1">MAX(Motor!$B$7,K36*Motor!$B$7)</f>
        <v>12444.619114079791</v>
      </c>
      <c r="H36" s="10">
        <f ca="1">E36/(G36/60*D36)*Propulsão!J36</f>
        <v>0.34382552594411891</v>
      </c>
      <c r="I36" s="13">
        <f ca="1">F36*Energy!$B$6</f>
        <v>11.561462783218939</v>
      </c>
      <c r="J36" s="51">
        <f ca="1">IF(ISERROR(U36),Motor!$B$10,U36)</f>
        <v>30.537098842800514</v>
      </c>
      <c r="K36" s="20">
        <f ca="1">I36-Motor!$B$9*J36</f>
        <v>10.370515928349718</v>
      </c>
      <c r="L36" s="14">
        <f ca="1">MAX(Motor!$B$8,J36-Motor!$B$8)</f>
        <v>28.237098842800513</v>
      </c>
      <c r="M36" s="14">
        <f t="shared" ca="1" si="0"/>
        <v>353.05353177851629</v>
      </c>
      <c r="N36" s="20">
        <f t="shared" ca="1" si="1"/>
        <v>292.8332833196481</v>
      </c>
      <c r="O36" s="1">
        <f t="shared" ca="1" si="2"/>
        <v>0.22470369296922124</v>
      </c>
      <c r="P36" s="10">
        <f t="shared" ca="1" si="3"/>
        <v>1.8910813760305858E-2</v>
      </c>
      <c r="Q36" s="10">
        <f ca="1">Propeller!$B$15+Propeller!$B$16*H36+Propeller!$B$17*H36^2+Propeller!$B$18*H36^3+Propeller!$B$19*H36^4+Propeller!$B$20*H36^5+Propeller!$B$21*H36^6</f>
        <v>1.8910813756197391E-2</v>
      </c>
      <c r="R36" s="10">
        <f ca="1">(Propeller!$B$23+Propeller!$B$24*H36+Propeller!$B$25*H36^2+Propeller!$B$26*H36^3+Propeller!$B$27*H36^4+Propeller!$B$28*H36^5+Propeller!$B$29*H36^6)*Propulsão!M36</f>
        <v>0.65883395771356623</v>
      </c>
      <c r="S36" s="19">
        <f t="shared" ca="1" si="4"/>
        <v>192.9285109997418</v>
      </c>
      <c r="T36" s="19">
        <f ca="1">Turn!S36</f>
        <v>192.92851097882911</v>
      </c>
      <c r="U36" s="14">
        <f ca="1">MIN(Motor!$B$10,MAX(Motor!$B$8,J36+0.05*(Q36/P36-1)*J36))</f>
        <v>30.537098842468797</v>
      </c>
      <c r="V36" s="50" t="str">
        <f t="shared" ca="1" si="5"/>
        <v>OK</v>
      </c>
      <c r="W36" s="1">
        <f t="shared" ca="1" si="8"/>
        <v>0.97565086777690102</v>
      </c>
      <c r="X36" s="50" t="str">
        <f t="shared" ca="1" si="6"/>
        <v>OK</v>
      </c>
      <c r="Y36" s="35"/>
      <c r="Z36" s="36"/>
      <c r="AA36" s="36"/>
      <c r="AB36" s="36"/>
      <c r="AC36" s="38"/>
      <c r="AD36" s="41"/>
      <c r="AE36" s="40"/>
      <c r="AF36" s="38"/>
      <c r="AG36" s="40"/>
      <c r="AH36" s="40"/>
      <c r="AI36" s="36"/>
      <c r="AJ36" s="36"/>
      <c r="AK36" s="36"/>
      <c r="AL36" s="40"/>
      <c r="AM36" s="40"/>
      <c r="AN36" s="38"/>
      <c r="AO36" s="35"/>
      <c r="AP36" s="35"/>
      <c r="AQ36" s="35"/>
      <c r="AR36" s="35"/>
      <c r="AS36" s="35"/>
      <c r="AT36" s="35"/>
      <c r="AU36" s="35"/>
      <c r="AV36" s="35"/>
      <c r="AW36" s="35"/>
      <c r="AX36" s="35"/>
    </row>
    <row r="37" spans="2:50">
      <c r="B37" s="1">
        <f>Turn!F37</f>
        <v>0.65969672852566186</v>
      </c>
      <c r="D37" s="1">
        <f>Propeller!$B$8</f>
        <v>0.30479999999999996</v>
      </c>
      <c r="E37" s="19">
        <f ca="1">Turn!X37</f>
        <v>22.215604931298369</v>
      </c>
      <c r="F37" s="49">
        <f t="shared" ca="1" si="7"/>
        <v>0.96549008341847409</v>
      </c>
      <c r="G37" s="19">
        <f ca="1">MAX(Motor!$B$7,K37*Motor!$B$7)</f>
        <v>12321.870414850309</v>
      </c>
      <c r="H37" s="10">
        <f ca="1">E37/(G37/60*D37)*Propulsão!J37</f>
        <v>0.34235760740265081</v>
      </c>
      <c r="I37" s="13">
        <f ca="1">F37*Energy!$B$6</f>
        <v>11.441057488508919</v>
      </c>
      <c r="J37" s="51">
        <f ca="1">IF(ISERROR(U37),Motor!$B$10,U37)</f>
        <v>30.072619047464769</v>
      </c>
      <c r="K37" s="20">
        <f ca="1">I37-Motor!$B$9*J37</f>
        <v>10.268225345657793</v>
      </c>
      <c r="L37" s="14">
        <f ca="1">MAX(Motor!$B$8,J37-Motor!$B$8)</f>
        <v>27.772619047464769</v>
      </c>
      <c r="M37" s="14">
        <f t="shared" ca="1" si="0"/>
        <v>344.06256335207274</v>
      </c>
      <c r="N37" s="20">
        <f t="shared" ca="1" si="1"/>
        <v>285.17551081847614</v>
      </c>
      <c r="O37" s="1">
        <f t="shared" ca="1" si="2"/>
        <v>0.22100748019951386</v>
      </c>
      <c r="P37" s="10">
        <f t="shared" ca="1" si="3"/>
        <v>1.8972166358312694E-2</v>
      </c>
      <c r="Q37" s="10">
        <f ca="1">Propeller!$B$15+Propeller!$B$16*H37+Propeller!$B$17*H37^2+Propeller!$B$18*H37^3+Propeller!$B$19*H37^4+Propeller!$B$20*H37^5+Propeller!$B$21*H37^6</f>
        <v>1.8972166354098534E-2</v>
      </c>
      <c r="R37" s="10">
        <f ca="1">(Propeller!$B$23+Propeller!$B$24*H37+Propeller!$B$25*H37^2+Propeller!$B$26*H37^3+Propeller!$B$27*H37^4+Propeller!$B$28*H37^5+Propeller!$B$29*H37^6)*Propulsão!M37</f>
        <v>0.65800812798150576</v>
      </c>
      <c r="S37" s="19">
        <f t="shared" ca="1" si="4"/>
        <v>187.64780401983512</v>
      </c>
      <c r="T37" s="19">
        <f ca="1">Turn!S37</f>
        <v>187.64780399902642</v>
      </c>
      <c r="U37" s="14">
        <f ca="1">MIN(Motor!$B$10,MAX(Motor!$B$8,J37+0.05*(Q37/P37-1)*J37))</f>
        <v>30.072619047130779</v>
      </c>
      <c r="V37" s="50" t="str">
        <f t="shared" ca="1" si="5"/>
        <v>OK</v>
      </c>
      <c r="W37" s="1">
        <f t="shared" ca="1" si="8"/>
        <v>0.96549008341312081</v>
      </c>
      <c r="X37" s="50" t="str">
        <f t="shared" ca="1" si="6"/>
        <v>OK</v>
      </c>
      <c r="Y37" s="35"/>
      <c r="Z37" s="36"/>
      <c r="AA37" s="36"/>
      <c r="AB37" s="36"/>
      <c r="AC37" s="38"/>
      <c r="AD37" s="41"/>
      <c r="AE37" s="40"/>
      <c r="AF37" s="38"/>
      <c r="AG37" s="40"/>
      <c r="AH37" s="40"/>
      <c r="AI37" s="36"/>
      <c r="AJ37" s="36"/>
      <c r="AK37" s="36"/>
      <c r="AL37" s="40"/>
      <c r="AM37" s="40"/>
      <c r="AN37" s="38"/>
      <c r="AO37" s="35"/>
      <c r="AP37" s="35"/>
      <c r="AQ37" s="35"/>
      <c r="AR37" s="35"/>
      <c r="AS37" s="35"/>
      <c r="AT37" s="35"/>
      <c r="AU37" s="35"/>
      <c r="AV37" s="35"/>
      <c r="AW37" s="35"/>
      <c r="AX37" s="35"/>
    </row>
    <row r="38" spans="2:50">
      <c r="B38" s="1">
        <f>Turn!F38</f>
        <v>0.65969672852566186</v>
      </c>
      <c r="D38" s="1">
        <f>Propeller!$B$8</f>
        <v>0.30479999999999996</v>
      </c>
      <c r="E38" s="19">
        <f ca="1">Turn!X38</f>
        <v>21.913913889477552</v>
      </c>
      <c r="F38" s="49">
        <f t="shared" ca="1" si="7"/>
        <v>0.95594857670396904</v>
      </c>
      <c r="G38" s="19">
        <f ca="1">MAX(Motor!$B$7,K38*Motor!$B$7)</f>
        <v>12206.385516172009</v>
      </c>
      <c r="H38" s="10">
        <f ca="1">E38/(G38/60*D38)*Propulsão!J38</f>
        <v>0.34090340943295283</v>
      </c>
      <c r="I38" s="13">
        <f ca="1">F38*Energy!$B$6</f>
        <v>11.327990633942035</v>
      </c>
      <c r="J38" s="51">
        <f ca="1">IF(ISERROR(U38),Motor!$B$10,U38)</f>
        <v>29.641094970516935</v>
      </c>
      <c r="K38" s="20">
        <f ca="1">I38-Motor!$B$9*J38</f>
        <v>10.171987930091873</v>
      </c>
      <c r="L38" s="14">
        <f ca="1">MAX(Motor!$B$8,J38-Motor!$B$8)</f>
        <v>27.341094970516934</v>
      </c>
      <c r="M38" s="14">
        <f t="shared" ca="1" si="0"/>
        <v>335.77404620580216</v>
      </c>
      <c r="N38" s="20">
        <f t="shared" ca="1" si="1"/>
        <v>278.11328803559388</v>
      </c>
      <c r="O38" s="1">
        <f t="shared" ca="1" si="2"/>
        <v>0.21757352070403554</v>
      </c>
      <c r="P38" s="10">
        <f t="shared" ca="1" si="3"/>
        <v>1.9032467652796512E-2</v>
      </c>
      <c r="Q38" s="10">
        <f ca="1">Propeller!$B$15+Propeller!$B$16*H38+Propeller!$B$17*H38^2+Propeller!$B$18*H38^3+Propeller!$B$19*H38^4+Propeller!$B$20*H38^5+Propeller!$B$21*H38^6</f>
        <v>1.9032467648478331E-2</v>
      </c>
      <c r="R38" s="10">
        <f ca="1">(Propeller!$B$23+Propeller!$B$24*H38+Propeller!$B$25*H38^2+Propeller!$B$26*H38^3+Propeller!$B$27*H38^4+Propeller!$B$28*H38^5+Propeller!$B$29*H38^6)*Propulsão!M38</f>
        <v>0.65717411899249711</v>
      </c>
      <c r="S38" s="19">
        <f t="shared" ca="1" si="4"/>
        <v>182.768855044898</v>
      </c>
      <c r="T38" s="19">
        <f ca="1">Turn!S38</f>
        <v>182.76885502418446</v>
      </c>
      <c r="U38" s="14">
        <f ca="1">MIN(Motor!$B$10,MAX(Motor!$B$8,J38+0.05*(Q38/P38-1)*J38))</f>
        <v>29.641094970180678</v>
      </c>
      <c r="V38" s="50" t="str">
        <f t="shared" ca="1" si="5"/>
        <v>OK</v>
      </c>
      <c r="W38" s="1">
        <f t="shared" ca="1" si="8"/>
        <v>0.95594857669855204</v>
      </c>
      <c r="X38" s="50" t="str">
        <f t="shared" ca="1" si="6"/>
        <v>OK</v>
      </c>
      <c r="Y38" s="35"/>
      <c r="Z38" s="36"/>
      <c r="AA38" s="36"/>
      <c r="AB38" s="36"/>
      <c r="AC38" s="38"/>
      <c r="AD38" s="41"/>
      <c r="AE38" s="40"/>
      <c r="AF38" s="38"/>
      <c r="AG38" s="40"/>
      <c r="AH38" s="40"/>
      <c r="AI38" s="36"/>
      <c r="AJ38" s="36"/>
      <c r="AK38" s="36"/>
      <c r="AL38" s="40"/>
      <c r="AM38" s="40"/>
      <c r="AN38" s="38"/>
      <c r="AO38" s="35"/>
      <c r="AP38" s="35"/>
      <c r="AQ38" s="35"/>
      <c r="AR38" s="35"/>
      <c r="AS38" s="35"/>
      <c r="AT38" s="35"/>
      <c r="AU38" s="35"/>
      <c r="AV38" s="35"/>
      <c r="AW38" s="35"/>
      <c r="AX38" s="35"/>
    </row>
    <row r="39" spans="2:50">
      <c r="B39" s="1">
        <f>Turn!F39</f>
        <v>0.65969672852566186</v>
      </c>
      <c r="D39" s="1">
        <f>Propeller!$B$8</f>
        <v>0.30479999999999996</v>
      </c>
      <c r="E39" s="19">
        <f ca="1">Turn!X39</f>
        <v>21.626815672381081</v>
      </c>
      <c r="F39" s="49">
        <f t="shared" ca="1" si="7"/>
        <v>0.94697620842685581</v>
      </c>
      <c r="G39" s="19">
        <f ca="1">MAX(Motor!$B$7,K39*Motor!$B$7)</f>
        <v>12097.59173802743</v>
      </c>
      <c r="H39" s="10">
        <f ca="1">E39/(G39/60*D39)*Propulsão!J39</f>
        <v>0.33946275440670626</v>
      </c>
      <c r="I39" s="13">
        <f ca="1">F39*Energy!$B$6</f>
        <v>11.221668069858243</v>
      </c>
      <c r="J39" s="51">
        <f ca="1">IF(ISERROR(U39),Motor!$B$10,U39)</f>
        <v>29.239528757799217</v>
      </c>
      <c r="K39" s="20">
        <f ca="1">I39-Motor!$B$9*J39</f>
        <v>10.081326448304074</v>
      </c>
      <c r="L39" s="14">
        <f ca="1">MAX(Motor!$B$8,J39-Motor!$B$8)</f>
        <v>26.939528757799216</v>
      </c>
      <c r="M39" s="14">
        <f t="shared" ca="1" si="0"/>
        <v>328.11628623909735</v>
      </c>
      <c r="N39" s="20">
        <f t="shared" ca="1" si="1"/>
        <v>271.5861837708494</v>
      </c>
      <c r="O39" s="1">
        <f t="shared" ca="1" si="2"/>
        <v>0.21437795831739231</v>
      </c>
      <c r="P39" s="10">
        <f t="shared" ca="1" si="3"/>
        <v>1.9091739838755815E-2</v>
      </c>
      <c r="Q39" s="10">
        <f ca="1">Propeller!$B$15+Propeller!$B$16*H39+Propeller!$B$17*H39^2+Propeller!$B$18*H39^3+Propeller!$B$19*H39^4+Propeller!$B$20*H39^5+Propeller!$B$21*H39^6</f>
        <v>1.9091739834335045E-2</v>
      </c>
      <c r="R39" s="10">
        <f ca="1">(Propeller!$B$23+Propeller!$B$24*H39+Propeller!$B$25*H39^2+Propeller!$B$26*H39^3+Propeller!$B$27*H39^4+Propeller!$B$28*H39^5+Propeller!$B$29*H39^6)*Propulsão!M39</f>
        <v>0.65633234728723377</v>
      </c>
      <c r="S39" s="19">
        <f t="shared" ca="1" si="4"/>
        <v>178.25079748510362</v>
      </c>
      <c r="T39" s="19">
        <f ca="1">Turn!S39</f>
        <v>178.25079746447688</v>
      </c>
      <c r="U39" s="14">
        <f ca="1">MIN(Motor!$B$10,MAX(Motor!$B$8,J39+0.05*(Q39/P39-1)*J39))</f>
        <v>29.23952875746069</v>
      </c>
      <c r="V39" s="50" t="str">
        <f t="shared" ca="1" si="5"/>
        <v>OK</v>
      </c>
      <c r="W39" s="1">
        <f t="shared" ca="1" si="8"/>
        <v>0.94697620842137675</v>
      </c>
      <c r="X39" s="50" t="str">
        <f t="shared" ca="1" si="6"/>
        <v>OK</v>
      </c>
      <c r="Y39" s="35"/>
      <c r="Z39" s="36"/>
      <c r="AA39" s="36"/>
      <c r="AB39" s="36"/>
      <c r="AC39" s="38"/>
      <c r="AD39" s="41"/>
      <c r="AE39" s="40"/>
      <c r="AF39" s="38"/>
      <c r="AG39" s="40"/>
      <c r="AH39" s="40"/>
      <c r="AI39" s="36"/>
      <c r="AJ39" s="36"/>
      <c r="AK39" s="36"/>
      <c r="AL39" s="40"/>
      <c r="AM39" s="40"/>
      <c r="AN39" s="38"/>
      <c r="AO39" s="35"/>
      <c r="AP39" s="35"/>
      <c r="AQ39" s="35"/>
      <c r="AR39" s="35"/>
      <c r="AS39" s="35"/>
      <c r="AT39" s="35"/>
      <c r="AU39" s="35"/>
      <c r="AV39" s="35"/>
      <c r="AW39" s="35"/>
      <c r="AX39" s="35"/>
    </row>
    <row r="40" spans="2:50">
      <c r="B40" s="1">
        <f>Turn!F40</f>
        <v>0.65969672852566186</v>
      </c>
      <c r="D40" s="1">
        <f>Propeller!$B$8</f>
        <v>0.30479999999999996</v>
      </c>
      <c r="E40" s="19">
        <f ca="1">Turn!X40</f>
        <v>19.431650494678902</v>
      </c>
      <c r="F40" s="49">
        <f t="shared" ca="1" si="7"/>
        <v>0.85264605406844718</v>
      </c>
      <c r="G40" s="19">
        <f ca="1">MAX(Motor!$B$7,K40*Motor!$B$7)</f>
        <v>10972.516062551878</v>
      </c>
      <c r="H40" s="10">
        <f ca="1">E40/(G40/60*D40)*Propulsão!J40</f>
        <v>0.33628069891497969</v>
      </c>
      <c r="I40" s="13">
        <f ca="1">F40*Energy!$B$6</f>
        <v>10.103855740711101</v>
      </c>
      <c r="J40" s="51">
        <f ca="1">IF(ISERROR(U40),Motor!$B$10,U40)</f>
        <v>24.619951174431868</v>
      </c>
      <c r="K40" s="20">
        <f ca="1">I40-Motor!$B$9*J40</f>
        <v>9.1436776449082586</v>
      </c>
      <c r="L40" s="14">
        <f ca="1">MAX(Motor!$B$8,J40-Motor!$B$8)</f>
        <v>22.319951174431868</v>
      </c>
      <c r="M40" s="14">
        <f t="shared" ca="1" si="0"/>
        <v>248.75643500981045</v>
      </c>
      <c r="N40" s="20">
        <f t="shared" ca="1" si="1"/>
        <v>204.0864385890965</v>
      </c>
      <c r="O40" s="1">
        <f t="shared" ca="1" si="2"/>
        <v>0.17761486244890157</v>
      </c>
      <c r="P40" s="10">
        <f t="shared" ca="1" si="3"/>
        <v>1.9227821364628566E-2</v>
      </c>
      <c r="Q40" s="10">
        <f ca="1">Propeller!$B$15+Propeller!$B$16*H40+Propeller!$B$17*H40^2+Propeller!$B$18*H40^3+Propeller!$B$19*H40^4+Propeller!$B$20*H40^5+Propeller!$B$21*H40^6</f>
        <v>1.9221015796812894E-2</v>
      </c>
      <c r="R40" s="10">
        <f ca="1">(Propeller!$B$23+Propeller!$B$24*H40+Propeller!$B$25*H40^2+Propeller!$B$26*H40^3+Propeller!$B$27*H40^4+Propeller!$B$28*H40^5+Propeller!$B$29*H40^6)*Propulsão!M40</f>
        <v>0.65403839784505557</v>
      </c>
      <c r="S40" s="19">
        <f t="shared" ca="1" si="4"/>
        <v>133.48036731671601</v>
      </c>
      <c r="T40" s="19">
        <f ca="1">Turn!S40</f>
        <v>133.45330261863506</v>
      </c>
      <c r="U40" s="14">
        <f ca="1">MIN(Motor!$B$10,MAX(Motor!$B$8,J40+0.05*(Q40/P40-1)*J40))</f>
        <v>24.619515470500158</v>
      </c>
      <c r="V40" s="50" t="str">
        <f t="shared" ca="1" si="5"/>
        <v>OK</v>
      </c>
      <c r="W40" s="1">
        <f t="shared" ca="1" si="8"/>
        <v>0.85263740987286729</v>
      </c>
      <c r="X40" s="50" t="str">
        <f t="shared" ca="1" si="6"/>
        <v>OK</v>
      </c>
      <c r="Y40" s="35"/>
      <c r="Z40" s="36"/>
      <c r="AA40" s="36"/>
      <c r="AB40" s="36"/>
      <c r="AC40" s="38"/>
      <c r="AD40" s="41"/>
      <c r="AE40" s="40"/>
      <c r="AF40" s="38"/>
      <c r="AG40" s="40"/>
      <c r="AH40" s="40"/>
      <c r="AI40" s="36"/>
      <c r="AJ40" s="36"/>
      <c r="AK40" s="36"/>
      <c r="AL40" s="40"/>
      <c r="AM40" s="40"/>
      <c r="AN40" s="38"/>
      <c r="AO40" s="35"/>
      <c r="AP40" s="35"/>
      <c r="AQ40" s="35"/>
      <c r="AR40" s="35"/>
      <c r="AS40" s="35"/>
      <c r="AT40" s="35"/>
      <c r="AU40" s="35"/>
      <c r="AV40" s="35"/>
      <c r="AW40" s="35"/>
      <c r="AX40" s="35"/>
    </row>
    <row r="41" spans="2:50">
      <c r="B41" s="1"/>
      <c r="D41" s="16"/>
      <c r="E41" s="19"/>
      <c r="F41" s="16"/>
      <c r="G41" s="19"/>
      <c r="H41" s="42"/>
      <c r="I41" s="40"/>
      <c r="J41" s="20"/>
      <c r="K41" s="19"/>
      <c r="L41" s="19"/>
      <c r="M41" s="20"/>
      <c r="N41" s="20"/>
      <c r="O41" s="42"/>
      <c r="P41" s="42"/>
      <c r="Q41" s="42"/>
      <c r="R41" s="19"/>
      <c r="S41" s="19"/>
      <c r="T41" s="19"/>
      <c r="U41" s="53"/>
      <c r="V41" s="16"/>
      <c r="W41" s="53"/>
      <c r="Y41" s="35"/>
      <c r="Z41" s="36"/>
      <c r="AA41" s="36"/>
      <c r="AB41" s="36"/>
      <c r="AC41" s="38"/>
      <c r="AD41" s="41"/>
      <c r="AE41" s="40"/>
      <c r="AF41" s="38"/>
      <c r="AG41" s="40"/>
      <c r="AH41" s="40"/>
      <c r="AI41" s="36"/>
      <c r="AJ41" s="36"/>
      <c r="AK41" s="36"/>
      <c r="AL41" s="40"/>
      <c r="AM41" s="40"/>
      <c r="AN41" s="38"/>
      <c r="AO41" s="35"/>
      <c r="AP41" s="35"/>
      <c r="AQ41" s="35"/>
      <c r="AR41" s="35"/>
      <c r="AS41" s="35"/>
      <c r="AT41" s="35"/>
      <c r="AU41" s="35"/>
      <c r="AV41" s="35"/>
      <c r="AW41" s="35"/>
      <c r="AX41" s="35"/>
    </row>
    <row r="42" spans="2:50">
      <c r="B42" s="1"/>
      <c r="D42" s="16"/>
      <c r="E42" s="19"/>
      <c r="F42" s="16"/>
      <c r="G42" s="19"/>
      <c r="H42" s="42"/>
      <c r="I42" s="40"/>
      <c r="J42" s="20"/>
      <c r="K42" s="19"/>
      <c r="L42" s="19"/>
      <c r="M42" s="20"/>
      <c r="N42" s="20"/>
      <c r="O42" s="42"/>
      <c r="P42" s="42"/>
      <c r="Q42" s="42"/>
      <c r="R42" s="19"/>
      <c r="S42" s="19"/>
      <c r="T42" s="19"/>
      <c r="U42" s="53"/>
      <c r="V42" s="16"/>
      <c r="W42" s="53"/>
      <c r="Y42" s="35"/>
      <c r="Z42" s="36"/>
      <c r="AA42" s="36"/>
      <c r="AB42" s="36"/>
      <c r="AC42" s="38"/>
      <c r="AD42" s="41"/>
      <c r="AE42" s="40"/>
      <c r="AF42" s="38"/>
      <c r="AG42" s="40"/>
      <c r="AH42" s="40"/>
      <c r="AI42" s="36"/>
      <c r="AJ42" s="36"/>
      <c r="AK42" s="36"/>
      <c r="AL42" s="40"/>
      <c r="AM42" s="40"/>
      <c r="AN42" s="38"/>
      <c r="AO42" s="35"/>
      <c r="AP42" s="35"/>
      <c r="AQ42" s="35"/>
      <c r="AR42" s="35"/>
      <c r="AS42" s="35"/>
      <c r="AT42" s="35"/>
      <c r="AU42" s="35"/>
      <c r="AV42" s="35"/>
      <c r="AW42" s="35"/>
      <c r="AX42" s="35"/>
    </row>
    <row r="43" spans="2:50">
      <c r="B43" s="1"/>
      <c r="Y43" s="35"/>
      <c r="Z43" s="36"/>
      <c r="AA43" s="36"/>
      <c r="AB43" s="36"/>
      <c r="AC43" s="38"/>
      <c r="AD43" s="41"/>
      <c r="AE43" s="40"/>
      <c r="AF43" s="38"/>
      <c r="AG43" s="40"/>
      <c r="AH43" s="40"/>
      <c r="AI43" s="36"/>
      <c r="AJ43" s="36"/>
      <c r="AK43" s="36"/>
      <c r="AL43" s="40"/>
      <c r="AM43" s="40"/>
      <c r="AN43" s="38"/>
      <c r="AO43" s="35"/>
      <c r="AP43" s="35"/>
      <c r="AQ43" s="35"/>
      <c r="AR43" s="35"/>
      <c r="AS43" s="35"/>
      <c r="AT43" s="35"/>
      <c r="AU43" s="35"/>
      <c r="AV43" s="35"/>
      <c r="AW43" s="35"/>
      <c r="AX43" s="35"/>
    </row>
    <row r="44" spans="2:50">
      <c r="B44" s="1"/>
      <c r="Y44" s="35"/>
      <c r="Z44" s="36"/>
      <c r="AA44" s="36"/>
      <c r="AB44" s="36"/>
      <c r="AC44" s="38"/>
      <c r="AD44" s="41"/>
      <c r="AE44" s="40"/>
      <c r="AF44" s="38"/>
      <c r="AG44" s="40"/>
      <c r="AH44" s="40"/>
      <c r="AI44" s="36"/>
      <c r="AJ44" s="36"/>
      <c r="AK44" s="36"/>
      <c r="AL44" s="40"/>
      <c r="AM44" s="40"/>
      <c r="AN44" s="38"/>
      <c r="AO44" s="35"/>
      <c r="AP44" s="35"/>
      <c r="AQ44" s="35"/>
      <c r="AR44" s="35"/>
      <c r="AS44" s="35"/>
      <c r="AT44" s="35"/>
      <c r="AU44" s="35"/>
      <c r="AV44" s="35"/>
      <c r="AW44" s="35"/>
      <c r="AX44" s="35"/>
    </row>
    <row r="45" spans="2:50">
      <c r="B45" s="1"/>
      <c r="Y45" s="35"/>
      <c r="Z45" s="36"/>
      <c r="AA45" s="36"/>
      <c r="AB45" s="36"/>
      <c r="AC45" s="38"/>
      <c r="AD45" s="41"/>
      <c r="AE45" s="40"/>
      <c r="AF45" s="38"/>
      <c r="AG45" s="40"/>
      <c r="AH45" s="40"/>
      <c r="AI45" s="36"/>
      <c r="AJ45" s="36"/>
      <c r="AK45" s="36"/>
      <c r="AL45" s="40"/>
      <c r="AM45" s="40"/>
      <c r="AN45" s="38"/>
      <c r="AO45" s="35"/>
      <c r="AP45" s="35"/>
      <c r="AQ45" s="35"/>
      <c r="AR45" s="35"/>
      <c r="AS45" s="35"/>
      <c r="AT45" s="35"/>
      <c r="AU45" s="35"/>
      <c r="AV45" s="35"/>
      <c r="AW45" s="35"/>
      <c r="AX45" s="35"/>
    </row>
    <row r="46" spans="2:50">
      <c r="B46" s="1"/>
      <c r="Y46" s="35"/>
      <c r="Z46" s="36"/>
      <c r="AA46" s="36"/>
      <c r="AB46" s="36"/>
      <c r="AC46" s="38"/>
      <c r="AD46" s="41"/>
      <c r="AE46" s="40"/>
      <c r="AF46" s="38"/>
      <c r="AG46" s="40"/>
      <c r="AH46" s="40"/>
      <c r="AI46" s="36"/>
      <c r="AJ46" s="36"/>
      <c r="AK46" s="36"/>
      <c r="AL46" s="40"/>
      <c r="AM46" s="40"/>
      <c r="AN46" s="38"/>
      <c r="AO46" s="35"/>
      <c r="AP46" s="35"/>
      <c r="AQ46" s="35"/>
      <c r="AR46" s="35"/>
      <c r="AS46" s="35"/>
      <c r="AT46" s="35"/>
      <c r="AU46" s="35"/>
      <c r="AV46" s="35"/>
      <c r="AW46" s="35"/>
      <c r="AX46" s="35"/>
    </row>
    <row r="47" spans="2:50">
      <c r="B47" s="1"/>
      <c r="Y47" s="35"/>
      <c r="Z47" s="36"/>
      <c r="AA47" s="36"/>
      <c r="AB47" s="36"/>
      <c r="AC47" s="38"/>
      <c r="AD47" s="41"/>
      <c r="AE47" s="40"/>
      <c r="AF47" s="38"/>
      <c r="AG47" s="40"/>
      <c r="AH47" s="40"/>
      <c r="AI47" s="36"/>
      <c r="AJ47" s="36"/>
      <c r="AK47" s="36"/>
      <c r="AL47" s="40"/>
      <c r="AM47" s="40"/>
      <c r="AN47" s="38"/>
      <c r="AO47" s="35"/>
      <c r="AP47" s="35"/>
      <c r="AQ47" s="35"/>
      <c r="AR47" s="35"/>
      <c r="AS47" s="35"/>
      <c r="AT47" s="35"/>
      <c r="AU47" s="35"/>
      <c r="AV47" s="35"/>
      <c r="AW47" s="35"/>
      <c r="AX47" s="35"/>
    </row>
    <row r="48" spans="2:50">
      <c r="Y48" s="35"/>
      <c r="Z48" s="36"/>
      <c r="AA48" s="36"/>
      <c r="AB48" s="36"/>
      <c r="AC48" s="38"/>
      <c r="AD48" s="41"/>
      <c r="AE48" s="40"/>
      <c r="AF48" s="38"/>
      <c r="AG48" s="40"/>
      <c r="AH48" s="40"/>
      <c r="AI48" s="36"/>
      <c r="AJ48" s="36"/>
      <c r="AK48" s="36"/>
      <c r="AL48" s="40"/>
      <c r="AM48" s="40"/>
      <c r="AN48" s="38"/>
      <c r="AO48" s="35"/>
      <c r="AP48" s="35"/>
      <c r="AQ48" s="35"/>
      <c r="AR48" s="35"/>
      <c r="AS48" s="35"/>
      <c r="AT48" s="35"/>
      <c r="AU48" s="35"/>
      <c r="AV48" s="35"/>
      <c r="AW48" s="35"/>
      <c r="AX48" s="35"/>
    </row>
    <row r="49" spans="25:50">
      <c r="Y49" s="35"/>
      <c r="Z49" s="36"/>
      <c r="AA49" s="36"/>
      <c r="AB49" s="36"/>
      <c r="AC49" s="38"/>
      <c r="AD49" s="41"/>
      <c r="AE49" s="40"/>
      <c r="AF49" s="38"/>
      <c r="AG49" s="40"/>
      <c r="AH49" s="40"/>
      <c r="AI49" s="36"/>
      <c r="AJ49" s="36"/>
      <c r="AK49" s="36"/>
      <c r="AL49" s="40"/>
      <c r="AM49" s="40"/>
      <c r="AN49" s="38"/>
      <c r="AO49" s="35"/>
      <c r="AP49" s="35"/>
      <c r="AQ49" s="35"/>
      <c r="AR49" s="35"/>
      <c r="AS49" s="35"/>
      <c r="AT49" s="35"/>
      <c r="AU49" s="35"/>
      <c r="AV49" s="35"/>
      <c r="AW49" s="35"/>
      <c r="AX49" s="35"/>
    </row>
    <row r="50" spans="25:50">
      <c r="Y50" s="35"/>
      <c r="Z50" s="36"/>
      <c r="AA50" s="36"/>
      <c r="AB50" s="36"/>
      <c r="AC50" s="38"/>
      <c r="AD50" s="41"/>
      <c r="AE50" s="40"/>
      <c r="AF50" s="38"/>
      <c r="AG50" s="40"/>
      <c r="AH50" s="40"/>
      <c r="AI50" s="36"/>
      <c r="AJ50" s="36"/>
      <c r="AK50" s="36"/>
      <c r="AL50" s="40"/>
      <c r="AM50" s="40"/>
      <c r="AN50" s="38"/>
      <c r="AO50" s="35"/>
      <c r="AP50" s="35"/>
      <c r="AQ50" s="35"/>
      <c r="AR50" s="35"/>
      <c r="AS50" s="35"/>
      <c r="AT50" s="35"/>
      <c r="AU50" s="35"/>
      <c r="AV50" s="35"/>
      <c r="AW50" s="35"/>
      <c r="AX50" s="35"/>
    </row>
    <row r="51" spans="25:50">
      <c r="Y51" s="35"/>
      <c r="Z51" s="36"/>
      <c r="AA51" s="36"/>
      <c r="AB51" s="36"/>
      <c r="AC51" s="38"/>
      <c r="AD51" s="41"/>
      <c r="AE51" s="40"/>
      <c r="AF51" s="38"/>
      <c r="AG51" s="40"/>
      <c r="AH51" s="40"/>
      <c r="AI51" s="36"/>
      <c r="AJ51" s="36"/>
      <c r="AK51" s="36"/>
      <c r="AL51" s="40"/>
      <c r="AM51" s="40"/>
      <c r="AN51" s="38"/>
      <c r="AO51" s="35"/>
      <c r="AP51" s="35"/>
      <c r="AQ51" s="35"/>
      <c r="AR51" s="35"/>
      <c r="AS51" s="35"/>
      <c r="AT51" s="35"/>
      <c r="AU51" s="35"/>
      <c r="AV51" s="35"/>
      <c r="AW51" s="35"/>
      <c r="AX51" s="35"/>
    </row>
    <row r="52" spans="25:50">
      <c r="Y52" s="35"/>
      <c r="Z52" s="36"/>
      <c r="AA52" s="36"/>
      <c r="AB52" s="36"/>
      <c r="AC52" s="38"/>
      <c r="AD52" s="41"/>
      <c r="AE52" s="40"/>
      <c r="AF52" s="38"/>
      <c r="AG52" s="40"/>
      <c r="AH52" s="40"/>
      <c r="AI52" s="36"/>
      <c r="AJ52" s="36"/>
      <c r="AK52" s="36"/>
      <c r="AL52" s="40"/>
      <c r="AM52" s="40"/>
      <c r="AN52" s="38"/>
      <c r="AO52" s="35"/>
      <c r="AP52" s="35"/>
      <c r="AQ52" s="35"/>
      <c r="AR52" s="35"/>
      <c r="AS52" s="35"/>
      <c r="AT52" s="35"/>
      <c r="AU52" s="35"/>
      <c r="AV52" s="35"/>
      <c r="AW52" s="35"/>
      <c r="AX52" s="35"/>
    </row>
    <row r="53" spans="25:50">
      <c r="Y53" s="35"/>
      <c r="Z53" s="36"/>
      <c r="AA53" s="36"/>
      <c r="AB53" s="36"/>
      <c r="AC53" s="38"/>
      <c r="AD53" s="41"/>
      <c r="AE53" s="40"/>
      <c r="AF53" s="38"/>
      <c r="AG53" s="40"/>
      <c r="AH53" s="40"/>
      <c r="AI53" s="36"/>
      <c r="AJ53" s="36"/>
      <c r="AK53" s="36"/>
      <c r="AL53" s="40"/>
      <c r="AM53" s="40"/>
      <c r="AN53" s="38"/>
      <c r="AO53" s="35"/>
      <c r="AP53" s="35"/>
      <c r="AQ53" s="35"/>
      <c r="AR53" s="35"/>
      <c r="AS53" s="35"/>
      <c r="AT53" s="35"/>
      <c r="AU53" s="35"/>
      <c r="AV53" s="35"/>
      <c r="AW53" s="35"/>
      <c r="AX53" s="35"/>
    </row>
    <row r="54" spans="25:50">
      <c r="Y54" s="35"/>
      <c r="Z54" s="36"/>
      <c r="AA54" s="36"/>
      <c r="AB54" s="36"/>
      <c r="AC54" s="38"/>
      <c r="AD54" s="41"/>
      <c r="AE54" s="40"/>
      <c r="AF54" s="38"/>
      <c r="AG54" s="40"/>
      <c r="AH54" s="40"/>
      <c r="AI54" s="36"/>
      <c r="AJ54" s="36"/>
      <c r="AK54" s="36"/>
      <c r="AL54" s="40"/>
      <c r="AM54" s="40"/>
      <c r="AN54" s="38"/>
      <c r="AO54" s="35"/>
      <c r="AP54" s="35"/>
      <c r="AQ54" s="35"/>
      <c r="AR54" s="35"/>
      <c r="AS54" s="35"/>
      <c r="AT54" s="35"/>
      <c r="AU54" s="35"/>
      <c r="AV54" s="35"/>
      <c r="AW54" s="35"/>
      <c r="AX54" s="35"/>
    </row>
    <row r="55" spans="25:50">
      <c r="Y55" s="35"/>
      <c r="Z55" s="36"/>
      <c r="AA55" s="36"/>
      <c r="AB55" s="36"/>
      <c r="AC55" s="38"/>
      <c r="AD55" s="41"/>
      <c r="AE55" s="40"/>
      <c r="AF55" s="38"/>
      <c r="AG55" s="40"/>
      <c r="AH55" s="40"/>
      <c r="AI55" s="36"/>
      <c r="AJ55" s="36"/>
      <c r="AK55" s="36"/>
      <c r="AL55" s="40"/>
      <c r="AM55" s="40"/>
      <c r="AN55" s="38"/>
      <c r="AO55" s="35"/>
      <c r="AP55" s="35"/>
      <c r="AQ55" s="35"/>
      <c r="AR55" s="35"/>
      <c r="AS55" s="35"/>
      <c r="AT55" s="35"/>
      <c r="AU55" s="35"/>
      <c r="AV55" s="35"/>
      <c r="AW55" s="35"/>
      <c r="AX55" s="35"/>
    </row>
    <row r="56" spans="25:50"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</row>
    <row r="57" spans="25:50"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</row>
    <row r="58" spans="25:50"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</row>
    <row r="59" spans="25:50"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</row>
    <row r="60" spans="25:50"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</row>
    <row r="61" spans="25:50"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</row>
    <row r="62" spans="25:50"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</row>
    <row r="63" spans="25:50"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</row>
    <row r="64" spans="25:50"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</row>
    <row r="65" spans="25:50"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</row>
    <row r="66" spans="25:50"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</row>
    <row r="67" spans="25:50"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</row>
    <row r="68" spans="25:50"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</row>
    <row r="69" spans="25:50"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</row>
    <row r="70" spans="25:50"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</row>
    <row r="71" spans="25:50"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</row>
    <row r="72" spans="25:50"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</row>
    <row r="73" spans="25:50"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</row>
    <row r="74" spans="25:50"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</row>
    <row r="75" spans="25:50"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</row>
    <row r="76" spans="25:50"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</row>
    <row r="77" spans="25:50"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</row>
    <row r="78" spans="25:50"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</row>
    <row r="79" spans="25:50"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</row>
    <row r="80" spans="25:50"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</row>
    <row r="81" spans="25:50"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</row>
    <row r="82" spans="25:50"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</row>
    <row r="83" spans="25:50"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</row>
    <row r="84" spans="25:50"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</row>
    <row r="85" spans="25:50"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</row>
    <row r="86" spans="25:50"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</row>
    <row r="87" spans="25:50"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</row>
    <row r="88" spans="25:50"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</row>
    <row r="89" spans="25:50"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</row>
    <row r="90" spans="25:50"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90"/>
  <sheetViews>
    <sheetView topLeftCell="O1" zoomScale="110" zoomScaleNormal="110" workbookViewId="0">
      <selection activeCell="X21" sqref="X21"/>
    </sheetView>
  </sheetViews>
  <sheetFormatPr defaultRowHeight="12.75"/>
  <sheetData>
    <row r="1" spans="1:50">
      <c r="A1" s="17" t="s">
        <v>308</v>
      </c>
    </row>
    <row r="2" spans="1:50"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</row>
    <row r="3" spans="1:50">
      <c r="A3" t="s">
        <v>270</v>
      </c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</row>
    <row r="4" spans="1:50">
      <c r="D4" s="17"/>
      <c r="I4" s="17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</row>
    <row r="5" spans="1:50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</row>
    <row r="6" spans="1:50">
      <c r="A6" s="35"/>
      <c r="B6" s="35"/>
      <c r="C6" s="35"/>
      <c r="D6" s="35"/>
      <c r="E6" s="60"/>
      <c r="F6" s="35"/>
      <c r="G6" s="35"/>
      <c r="H6" s="60"/>
      <c r="I6" s="35"/>
      <c r="J6" s="35"/>
      <c r="K6" s="35"/>
      <c r="L6" s="35"/>
      <c r="M6" s="35"/>
      <c r="N6" s="35"/>
      <c r="O6" s="35"/>
      <c r="Y6" s="35"/>
      <c r="Z6" s="37"/>
      <c r="AA6" s="40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</row>
    <row r="7" spans="1:50">
      <c r="A7" s="37"/>
      <c r="B7" s="40"/>
      <c r="C7" s="37"/>
      <c r="D7" s="35"/>
      <c r="E7" s="60"/>
      <c r="F7" s="35"/>
      <c r="G7" s="35"/>
      <c r="H7" s="60"/>
      <c r="I7" s="35"/>
      <c r="J7" s="37"/>
      <c r="K7" s="41"/>
      <c r="L7" s="37"/>
      <c r="M7" s="35"/>
      <c r="N7" s="35"/>
      <c r="O7" s="35"/>
      <c r="Y7" s="35"/>
      <c r="Z7" s="37"/>
      <c r="AA7" s="36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</row>
    <row r="8" spans="1:50">
      <c r="A8" s="37"/>
      <c r="B8" s="36"/>
      <c r="C8" s="37"/>
      <c r="D8" s="35"/>
      <c r="E8" s="60"/>
      <c r="F8" s="35"/>
      <c r="G8" s="35"/>
      <c r="H8" s="60"/>
      <c r="I8" s="35"/>
      <c r="J8" s="37"/>
      <c r="K8" s="38"/>
      <c r="L8" s="37"/>
      <c r="M8" s="35"/>
      <c r="N8" s="35"/>
      <c r="O8" s="35"/>
      <c r="Y8" s="35"/>
      <c r="Z8" s="37"/>
      <c r="AA8" s="40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</row>
    <row r="9" spans="1:50">
      <c r="A9" s="37"/>
      <c r="B9" s="40"/>
      <c r="C9" s="37"/>
      <c r="D9" s="35"/>
      <c r="E9" s="60"/>
      <c r="F9" s="35"/>
      <c r="G9" s="35"/>
      <c r="H9" s="60"/>
      <c r="I9" s="35"/>
      <c r="J9" s="37"/>
      <c r="K9" s="38"/>
      <c r="L9" s="37"/>
      <c r="M9" s="35"/>
      <c r="N9" s="35"/>
      <c r="O9" s="35"/>
      <c r="Y9" s="35"/>
      <c r="Z9" s="37"/>
      <c r="AA9" s="36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</row>
    <row r="10" spans="1:50">
      <c r="A10" s="37"/>
      <c r="B10" s="36"/>
      <c r="C10" s="37"/>
      <c r="D10" s="35"/>
      <c r="E10" s="60"/>
      <c r="F10" s="6" t="s">
        <v>632</v>
      </c>
      <c r="G10" s="35"/>
      <c r="H10" s="60"/>
      <c r="I10" s="35"/>
      <c r="J10" s="37"/>
      <c r="K10" s="38"/>
      <c r="L10" s="37"/>
      <c r="M10" s="35"/>
      <c r="N10" s="35"/>
      <c r="O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</row>
    <row r="11" spans="1:50">
      <c r="A11" s="35"/>
      <c r="B11" s="35"/>
      <c r="C11" s="35"/>
      <c r="D11" s="35"/>
      <c r="E11" s="60"/>
      <c r="F11" s="108">
        <v>0</v>
      </c>
      <c r="G11" s="35"/>
      <c r="H11" s="60"/>
      <c r="I11" s="35"/>
      <c r="J11" s="37"/>
      <c r="K11" s="38"/>
      <c r="L11" s="37"/>
      <c r="M11" s="35"/>
      <c r="N11" s="35"/>
      <c r="O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</row>
    <row r="12" spans="1:50">
      <c r="A12" s="35"/>
      <c r="B12" s="35"/>
      <c r="C12" s="35"/>
      <c r="D12" s="35"/>
      <c r="E12" s="60"/>
      <c r="F12" s="35"/>
      <c r="G12" s="35"/>
      <c r="H12" s="60"/>
      <c r="I12" s="35"/>
      <c r="J12" s="37"/>
      <c r="K12" s="38"/>
      <c r="L12" s="37"/>
      <c r="M12" s="35"/>
      <c r="N12" s="35"/>
      <c r="O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</row>
    <row r="13" spans="1:50">
      <c r="E13" t="s">
        <v>309</v>
      </c>
      <c r="T13" t="s">
        <v>309</v>
      </c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</row>
    <row r="14" spans="1:50"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</row>
    <row r="15" spans="1:50">
      <c r="B15" t="s">
        <v>273</v>
      </c>
      <c r="Y15" s="35"/>
      <c r="Z15" s="35"/>
      <c r="AA15" s="35"/>
      <c r="AB15" s="35"/>
      <c r="AC15" s="35"/>
      <c r="AD15" s="35"/>
      <c r="AE15" s="37"/>
      <c r="AF15" s="35"/>
      <c r="AG15" s="35"/>
      <c r="AH15" s="35"/>
      <c r="AI15" s="35"/>
      <c r="AJ15" s="35"/>
      <c r="AK15" s="37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</row>
    <row r="16" spans="1:50">
      <c r="Y16" s="35"/>
      <c r="Z16" s="35"/>
      <c r="AA16" s="35"/>
      <c r="AB16" s="35"/>
      <c r="AC16" s="35"/>
      <c r="AD16" s="35"/>
      <c r="AE16" s="37"/>
      <c r="AF16" s="35"/>
      <c r="AG16" s="35"/>
      <c r="AH16" s="35"/>
      <c r="AI16" s="35"/>
      <c r="AJ16" s="35"/>
      <c r="AK16" s="37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</row>
    <row r="17" spans="2:50"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</row>
    <row r="18" spans="2:50">
      <c r="B18" s="9" t="s">
        <v>29</v>
      </c>
      <c r="D18" s="9" t="s">
        <v>57</v>
      </c>
      <c r="E18" s="9" t="s">
        <v>40</v>
      </c>
      <c r="F18" s="9" t="s">
        <v>110</v>
      </c>
      <c r="G18" s="9" t="s">
        <v>35</v>
      </c>
      <c r="H18" s="9" t="s">
        <v>116</v>
      </c>
      <c r="I18" s="9" t="s">
        <v>103</v>
      </c>
      <c r="J18" s="9" t="s">
        <v>104</v>
      </c>
      <c r="K18" s="9" t="s">
        <v>106</v>
      </c>
      <c r="L18" s="9" t="s">
        <v>123</v>
      </c>
      <c r="M18" s="9" t="s">
        <v>227</v>
      </c>
      <c r="N18" s="9" t="s">
        <v>220</v>
      </c>
      <c r="O18" s="47" t="s">
        <v>221</v>
      </c>
      <c r="P18" s="9" t="s">
        <v>222</v>
      </c>
      <c r="Q18" s="9" t="s">
        <v>223</v>
      </c>
      <c r="R18" s="9" t="s">
        <v>117</v>
      </c>
      <c r="S18" s="9" t="s">
        <v>141</v>
      </c>
      <c r="T18" s="9" t="s">
        <v>59</v>
      </c>
      <c r="U18" s="9" t="s">
        <v>228</v>
      </c>
      <c r="W18" s="9" t="s">
        <v>224</v>
      </c>
      <c r="Y18" s="35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5"/>
      <c r="AP18" s="35"/>
      <c r="AQ18" s="35"/>
      <c r="AR18" s="35"/>
      <c r="AS18" s="35"/>
      <c r="AT18" s="35"/>
      <c r="AU18" s="35"/>
      <c r="AV18" s="35"/>
      <c r="AW18" s="35"/>
      <c r="AX18" s="35"/>
    </row>
    <row r="19" spans="2:50">
      <c r="B19" s="9" t="s">
        <v>30</v>
      </c>
      <c r="D19" s="9" t="s">
        <v>4</v>
      </c>
      <c r="E19" s="9" t="s">
        <v>1</v>
      </c>
      <c r="G19" s="9" t="s">
        <v>98</v>
      </c>
      <c r="I19" s="9" t="s">
        <v>40</v>
      </c>
      <c r="J19" s="9" t="s">
        <v>100</v>
      </c>
      <c r="K19" s="9" t="s">
        <v>40</v>
      </c>
      <c r="L19" s="9" t="s">
        <v>100</v>
      </c>
      <c r="M19" s="9" t="s">
        <v>34</v>
      </c>
      <c r="N19" s="9" t="s">
        <v>34</v>
      </c>
      <c r="O19" s="48" t="s">
        <v>107</v>
      </c>
      <c r="P19" s="9" t="s">
        <v>225</v>
      </c>
      <c r="Q19" s="9" t="s">
        <v>226</v>
      </c>
      <c r="S19" s="9" t="s">
        <v>34</v>
      </c>
      <c r="T19" s="9" t="s">
        <v>34</v>
      </c>
      <c r="U19" s="9" t="s">
        <v>100</v>
      </c>
      <c r="Y19" s="35"/>
      <c r="Z19" s="35"/>
      <c r="AA19" s="35"/>
      <c r="AB19" s="37"/>
      <c r="AC19" s="37"/>
      <c r="AD19" s="37"/>
      <c r="AE19" s="37"/>
      <c r="AF19" s="37"/>
      <c r="AG19" s="37"/>
      <c r="AH19" s="37"/>
      <c r="AI19" s="35"/>
      <c r="AJ19" s="35"/>
      <c r="AK19" s="35"/>
      <c r="AL19" s="37"/>
      <c r="AM19" s="37"/>
      <c r="AN19" s="37"/>
      <c r="AO19" s="35"/>
      <c r="AP19" s="35"/>
      <c r="AQ19" s="35"/>
      <c r="AR19" s="35"/>
      <c r="AS19" s="35"/>
      <c r="AT19" s="35"/>
      <c r="AU19" s="35"/>
      <c r="AV19" s="35"/>
      <c r="AW19" s="35"/>
      <c r="AX19" s="35"/>
    </row>
    <row r="20" spans="2:50"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</row>
    <row r="21" spans="2:50">
      <c r="B21" s="1">
        <f>Cruise!F21</f>
        <v>0.65969672852566186</v>
      </c>
      <c r="D21" s="1">
        <f>Propeller!$B$8</f>
        <v>0.30479999999999996</v>
      </c>
      <c r="E21" s="19">
        <f ca="1">Cruise!X21</f>
        <v>29.912886947189744</v>
      </c>
      <c r="F21" s="49">
        <f ca="1">IF($F$11=0,IF(ISERROR(W21),1,W21),0.5)</f>
        <v>1</v>
      </c>
      <c r="G21" s="19">
        <f ca="1">MAX(Motor!$B$7,K21*Motor!$B$7)</f>
        <v>13035.692661839403</v>
      </c>
      <c r="H21" s="10">
        <f ca="1">E21/(G21/60*D21)*Propulsão!J21</f>
        <v>0.4357352482700505</v>
      </c>
      <c r="I21" s="13">
        <f ca="1">F21*Energy!$B$6</f>
        <v>11.850000000000001</v>
      </c>
      <c r="J21" s="51">
        <f ca="1">IF(ISERROR(U21),Motor!$B$10,U21)</f>
        <v>25.305712353873528</v>
      </c>
      <c r="K21" s="20">
        <f ca="1">I21-Motor!$B$9*J21</f>
        <v>10.863077218198933</v>
      </c>
      <c r="L21" s="14">
        <f ca="1">MAX(Motor!$B$8,J21-Motor!$B$8)</f>
        <v>23.005712353873527</v>
      </c>
      <c r="M21" s="14">
        <f t="shared" ref="M21:M40" ca="1" si="0">I21*J21</f>
        <v>299.87269139340134</v>
      </c>
      <c r="N21" s="20">
        <f t="shared" ref="N21:N40" ca="1" si="1">K21*L21</f>
        <v>249.91282975980127</v>
      </c>
      <c r="O21" s="1">
        <f t="shared" ref="O21:O40" ca="1" si="2">N21/(G21/60*(2*PI()))</f>
        <v>0.18307364202345314</v>
      </c>
      <c r="P21" s="10">
        <f t="shared" ref="P21:P40" ca="1" si="3">N21/(B21*(G21/60)^3*D21^5)</f>
        <v>1.4041736575786444E-2</v>
      </c>
      <c r="Q21" s="10">
        <f ca="1">Propeller!$B$15+Propeller!$B$16*H21+Propeller!$B$17*H21^2+Propeller!$B$18*H21^3+Propeller!$B$19*H21^4+Propeller!$B$20*H21^5+Propeller!$B$21*H21^6</f>
        <v>1.4041736575947126E-2</v>
      </c>
      <c r="R21" s="10">
        <f ca="1">(Propeller!$B$23+Propeller!$B$24*H21+Propeller!$B$25*H21^2+Propeller!$B$26*H21^3+Propeller!$B$27*H21^4+Propeller!$B$28*H21^5+Propeller!$B$29*H21^6)*Propulsão!M21</f>
        <v>0.65395214444659755</v>
      </c>
      <c r="S21" s="19">
        <f t="shared" ref="S21:S40" ca="1" si="4">N21*R21</f>
        <v>163.43103094613951</v>
      </c>
      <c r="T21" s="19">
        <f ca="1">Cruise!S21</f>
        <v>265.9189839366739</v>
      </c>
      <c r="U21" s="14">
        <f ca="1">MIN(Motor!$B$10,MAX(Motor!$B$8,J21+0.05*(Q21/P21-1)*J21))</f>
        <v>25.305712353888005</v>
      </c>
      <c r="V21" s="50" t="str">
        <f t="shared" ref="V21:V40" ca="1" si="5">IF(ABS((Q21-P21)/P21)&lt;0.01,"OK","iterate")</f>
        <v>OK</v>
      </c>
      <c r="W21" s="1">
        <f ca="1">MIN(1,MAX(0.1,F21+0.05*(T21/S21-1)*F21))</f>
        <v>1</v>
      </c>
      <c r="X21" s="50" t="str">
        <f ca="1">IF(ABS((S21-T21)/T21)&lt;0.01,"OK","iterate")</f>
        <v>iterate</v>
      </c>
      <c r="Y21" s="35"/>
      <c r="Z21" s="36"/>
      <c r="AA21" s="36"/>
      <c r="AB21" s="36"/>
      <c r="AC21" s="38"/>
      <c r="AD21" s="41"/>
      <c r="AE21" s="40"/>
      <c r="AF21" s="38"/>
      <c r="AG21" s="40"/>
      <c r="AH21" s="40"/>
      <c r="AI21" s="36"/>
      <c r="AJ21" s="36"/>
      <c r="AK21" s="36"/>
      <c r="AL21" s="40"/>
      <c r="AM21" s="40"/>
      <c r="AN21" s="38"/>
      <c r="AO21" s="35"/>
      <c r="AP21" s="35"/>
      <c r="AQ21" s="35"/>
      <c r="AR21" s="35"/>
      <c r="AS21" s="35"/>
      <c r="AT21" s="35"/>
      <c r="AU21" s="35"/>
      <c r="AV21" s="35"/>
      <c r="AW21" s="35"/>
      <c r="AX21" s="35"/>
    </row>
    <row r="22" spans="2:50">
      <c r="B22" s="1">
        <f>Cruise!F22</f>
        <v>0.65969672852566186</v>
      </c>
      <c r="D22" s="1">
        <f>Propeller!$B$8</f>
        <v>0.30479999999999996</v>
      </c>
      <c r="E22" s="19">
        <f ca="1">Cruise!X22</f>
        <v>29.421519599178584</v>
      </c>
      <c r="F22" s="49">
        <f t="shared" ref="F22:F40" ca="1" si="6">IF($F$11=0,IF(ISERROR(W22),1,W22),0.5)</f>
        <v>1</v>
      </c>
      <c r="G22" s="19">
        <f ca="1">MAX(Motor!$B$7,K22*Motor!$B$7)</f>
        <v>13009.39029762423</v>
      </c>
      <c r="H22" s="10">
        <f ca="1">E22/(G22/60*D22)*Propulsão!J22</f>
        <v>0.42944409247667764</v>
      </c>
      <c r="I22" s="13">
        <f ca="1">F22*Energy!$B$6</f>
        <v>11.850000000000001</v>
      </c>
      <c r="J22" s="51">
        <f ca="1">IF(ISERROR(U22),Motor!$B$10,U22)</f>
        <v>25.867728683259188</v>
      </c>
      <c r="K22" s="20">
        <f ca="1">I22-Motor!$B$9*J22</f>
        <v>10.841158581352893</v>
      </c>
      <c r="L22" s="14">
        <f ca="1">MAX(Motor!$B$8,J22-Motor!$B$8)</f>
        <v>23.567728683259187</v>
      </c>
      <c r="M22" s="14">
        <f t="shared" ca="1" si="0"/>
        <v>306.53258489662142</v>
      </c>
      <c r="N22" s="20">
        <f t="shared" ca="1" si="1"/>
        <v>255.50148405751204</v>
      </c>
      <c r="O22" s="1">
        <f t="shared" ca="1" si="2"/>
        <v>0.18754602586945635</v>
      </c>
      <c r="P22" s="10">
        <f t="shared" ca="1" si="3"/>
        <v>1.444299313124147E-2</v>
      </c>
      <c r="Q22" s="10">
        <f ca="1">Propeller!$B$15+Propeller!$B$16*H22+Propeller!$B$17*H22^2+Propeller!$B$18*H22^3+Propeller!$B$19*H22^4+Propeller!$B$20*H22^5+Propeller!$B$21*H22^6</f>
        <v>1.4442993131421134E-2</v>
      </c>
      <c r="R22" s="10">
        <f ca="1">(Propeller!$B$23+Propeller!$B$24*H22+Propeller!$B$25*H22^2+Propeller!$B$26*H22^3+Propeller!$B$27*H22^4+Propeller!$B$28*H22^5+Propeller!$B$29*H22^6)*Propulsão!M22</f>
        <v>0.65949489506825798</v>
      </c>
      <c r="S22" s="19">
        <f t="shared" ca="1" si="4"/>
        <v>168.5019244182931</v>
      </c>
      <c r="T22" s="19">
        <f ca="1">Cruise!S22</f>
        <v>256.90406361594643</v>
      </c>
      <c r="U22" s="14">
        <f ca="1">MIN(Motor!$B$10,MAX(Motor!$B$8,J22+0.05*(Q22/P22-1)*J22))</f>
        <v>25.867728683275278</v>
      </c>
      <c r="V22" s="50" t="str">
        <f t="shared" ca="1" si="5"/>
        <v>OK</v>
      </c>
      <c r="W22" s="1">
        <f t="shared" ref="W22:W40" ca="1" si="7">MIN(1,MAX(0.1,F22+0.05*(T22/S22-1)*F22))</f>
        <v>1</v>
      </c>
      <c r="X22" s="50" t="str">
        <f t="shared" ref="X22:X40" ca="1" si="8">IF(ABS((S22-T22)/T22)&lt;0.01,"OK","iterate")</f>
        <v>iterate</v>
      </c>
      <c r="Y22" s="35"/>
      <c r="Z22" s="36"/>
      <c r="AA22" s="36"/>
      <c r="AB22" s="36"/>
      <c r="AC22" s="38"/>
      <c r="AD22" s="41"/>
      <c r="AE22" s="40"/>
      <c r="AF22" s="38"/>
      <c r="AG22" s="40"/>
      <c r="AH22" s="40"/>
      <c r="AI22" s="36"/>
      <c r="AJ22" s="36"/>
      <c r="AK22" s="36"/>
      <c r="AL22" s="40"/>
      <c r="AM22" s="40"/>
      <c r="AN22" s="38"/>
      <c r="AO22" s="35"/>
      <c r="AP22" s="35"/>
      <c r="AQ22" s="35"/>
      <c r="AR22" s="35"/>
      <c r="AS22" s="35"/>
      <c r="AT22" s="35"/>
      <c r="AU22" s="35"/>
      <c r="AV22" s="35"/>
      <c r="AW22" s="35"/>
      <c r="AX22" s="35"/>
    </row>
    <row r="23" spans="2:50">
      <c r="B23" s="1">
        <f>Cruise!F23</f>
        <v>0.65969672852566186</v>
      </c>
      <c r="C23" s="6"/>
      <c r="D23" s="1">
        <f>Propeller!$B$8</f>
        <v>0.30479999999999996</v>
      </c>
      <c r="E23" s="19">
        <f ca="1">Cruise!X23</f>
        <v>28.954278467487942</v>
      </c>
      <c r="F23" s="49">
        <f t="shared" ca="1" si="6"/>
        <v>1</v>
      </c>
      <c r="G23" s="19">
        <f ca="1">MAX(Motor!$B$7,K23*Motor!$B$7)</f>
        <v>12985.018797759865</v>
      </c>
      <c r="H23" s="10">
        <f ca="1">E23/(G23/60*D23)*Propulsão!J23</f>
        <v>0.42341734088933769</v>
      </c>
      <c r="I23" s="13">
        <f ca="1">F23*Energy!$B$6</f>
        <v>11.850000000000001</v>
      </c>
      <c r="J23" s="51">
        <f ca="1">IF(ISERROR(U23),Motor!$B$10,U23)</f>
        <v>26.388487227371069</v>
      </c>
      <c r="K23" s="20">
        <f ca="1">I23-Motor!$B$9*J23</f>
        <v>10.820848998132529</v>
      </c>
      <c r="L23" s="14">
        <f ca="1">MAX(Motor!$B$8,J23-Motor!$B$8)</f>
        <v>24.088487227371068</v>
      </c>
      <c r="M23" s="14">
        <f t="shared" ca="1" si="0"/>
        <v>312.70357364434722</v>
      </c>
      <c r="N23" s="20">
        <f t="shared" ca="1" si="1"/>
        <v>260.65788288082643</v>
      </c>
      <c r="O23" s="1">
        <f t="shared" ca="1" si="2"/>
        <v>0.19169009069209225</v>
      </c>
      <c r="P23" s="10">
        <f t="shared" ca="1" si="3"/>
        <v>1.4817595088559466E-2</v>
      </c>
      <c r="Q23" s="10">
        <f ca="1">Propeller!$B$15+Propeller!$B$16*H23+Propeller!$B$17*H23^2+Propeller!$B$18*H23^3+Propeller!$B$19*H23^4+Propeller!$B$20*H23^5+Propeller!$B$21*H23^6</f>
        <v>1.4817595088757005E-2</v>
      </c>
      <c r="R23" s="10">
        <f ca="1">(Propeller!$B$23+Propeller!$B$24*H23+Propeller!$B$25*H23^2+Propeller!$B$26*H23^3+Propeller!$B$27*H23^4+Propeller!$B$28*H23^5+Propeller!$B$29*H23^6)*Propulsão!M23</f>
        <v>0.66374731480460369</v>
      </c>
      <c r="S23" s="19">
        <f t="shared" ca="1" si="4"/>
        <v>173.01096984480142</v>
      </c>
      <c r="T23" s="19">
        <f ca="1">Cruise!S23</f>
        <v>248.57561285049422</v>
      </c>
      <c r="U23" s="14">
        <f ca="1">MIN(Motor!$B$10,MAX(Motor!$B$8,J23+0.05*(Q23/P23-1)*J23))</f>
        <v>26.388487227388659</v>
      </c>
      <c r="V23" s="50" t="str">
        <f t="shared" ca="1" si="5"/>
        <v>OK</v>
      </c>
      <c r="W23" s="1">
        <f t="shared" ca="1" si="7"/>
        <v>1</v>
      </c>
      <c r="X23" s="50" t="str">
        <f t="shared" ca="1" si="8"/>
        <v>iterate</v>
      </c>
      <c r="Y23" s="35"/>
      <c r="Z23" s="36"/>
      <c r="AA23" s="36"/>
      <c r="AB23" s="36"/>
      <c r="AC23" s="38"/>
      <c r="AD23" s="41"/>
      <c r="AE23" s="40"/>
      <c r="AF23" s="38"/>
      <c r="AG23" s="40"/>
      <c r="AH23" s="40"/>
      <c r="AI23" s="36"/>
      <c r="AJ23" s="36"/>
      <c r="AK23" s="36"/>
      <c r="AL23" s="40"/>
      <c r="AM23" s="40"/>
      <c r="AN23" s="38"/>
      <c r="AO23" s="35"/>
      <c r="AP23" s="35"/>
      <c r="AQ23" s="35"/>
      <c r="AR23" s="35"/>
      <c r="AS23" s="35"/>
      <c r="AT23" s="35"/>
      <c r="AU23" s="35"/>
      <c r="AV23" s="35"/>
      <c r="AW23" s="35"/>
      <c r="AX23" s="35"/>
    </row>
    <row r="24" spans="2:50">
      <c r="B24" s="1">
        <f>Cruise!F24</f>
        <v>0.65969672852566186</v>
      </c>
      <c r="C24" s="20"/>
      <c r="D24" s="1">
        <f>Propeller!$B$8</f>
        <v>0.30479999999999996</v>
      </c>
      <c r="E24" s="19">
        <f ca="1">Cruise!X24</f>
        <v>27.44967418856622</v>
      </c>
      <c r="F24" s="49">
        <f t="shared" ca="1" si="6"/>
        <v>1</v>
      </c>
      <c r="G24" s="19">
        <f ca="1">MAX(Motor!$B$7,K24*Motor!$B$7)</f>
        <v>12910.749402677066</v>
      </c>
      <c r="H24" s="10">
        <f ca="1">E24/(G24/60*D24)*Propulsão!J24</f>
        <v>0.40372367567731021</v>
      </c>
      <c r="I24" s="13">
        <f ca="1">F24*Energy!$B$6</f>
        <v>11.850000000000001</v>
      </c>
      <c r="J24" s="51">
        <f ca="1">IF(ISERROR(U24),Motor!$B$10,U24)</f>
        <v>27.975440113758253</v>
      </c>
      <c r="K24" s="20">
        <f ca="1">I24-Motor!$B$9*J24</f>
        <v>10.758957835563429</v>
      </c>
      <c r="L24" s="14">
        <f ca="1">MAX(Motor!$B$8,J24-Motor!$B$8)</f>
        <v>25.675440113758253</v>
      </c>
      <c r="M24" s="14">
        <f t="shared" ca="1" si="0"/>
        <v>331.50896534803536</v>
      </c>
      <c r="N24" s="20">
        <f t="shared" ca="1" si="1"/>
        <v>276.24097759345892</v>
      </c>
      <c r="O24" s="1">
        <f t="shared" ca="1" si="2"/>
        <v>0.20431866050821304</v>
      </c>
      <c r="P24" s="10">
        <f t="shared" ca="1" si="3"/>
        <v>1.5976011151591935E-2</v>
      </c>
      <c r="Q24" s="10">
        <f ca="1">Propeller!$B$15+Propeller!$B$16*H24+Propeller!$B$17*H24^2+Propeller!$B$18*H24^3+Propeller!$B$19*H24^4+Propeller!$B$20*H24^5+Propeller!$B$21*H24^6</f>
        <v>1.597601115182232E-2</v>
      </c>
      <c r="R24" s="10">
        <f ca="1">(Propeller!$B$23+Propeller!$B$24*H24+Propeller!$B$25*H24^2+Propeller!$B$26*H24^3+Propeller!$B$27*H24^4+Propeller!$B$28*H24^5+Propeller!$B$29*H24^6)*Propulsão!M24</f>
        <v>0.67162169069890421</v>
      </c>
      <c r="S24" s="19">
        <f t="shared" ca="1" si="4"/>
        <v>185.529432411637</v>
      </c>
      <c r="T24" s="19">
        <f ca="1">Cruise!S24</f>
        <v>216.07865109233924</v>
      </c>
      <c r="U24" s="14">
        <f ca="1">MIN(Motor!$B$10,MAX(Motor!$B$8,J24+0.05*(Q24/P24-1)*J24))</f>
        <v>27.975440113778426</v>
      </c>
      <c r="V24" s="50" t="str">
        <f t="shared" ca="1" si="5"/>
        <v>OK</v>
      </c>
      <c r="W24" s="1">
        <f t="shared" ca="1" si="7"/>
        <v>1</v>
      </c>
      <c r="X24" s="50" t="str">
        <f t="shared" ca="1" si="8"/>
        <v>iterate</v>
      </c>
      <c r="Y24" s="35"/>
      <c r="Z24" s="36"/>
      <c r="AA24" s="36"/>
      <c r="AB24" s="36"/>
      <c r="AC24" s="38"/>
      <c r="AD24" s="41"/>
      <c r="AE24" s="40"/>
      <c r="AF24" s="38"/>
      <c r="AG24" s="40"/>
      <c r="AH24" s="40"/>
      <c r="AI24" s="36"/>
      <c r="AJ24" s="36"/>
      <c r="AK24" s="36"/>
      <c r="AL24" s="40"/>
      <c r="AM24" s="40"/>
      <c r="AN24" s="38"/>
      <c r="AO24" s="35"/>
      <c r="AP24" s="35"/>
      <c r="AQ24" s="35"/>
      <c r="AR24" s="35"/>
      <c r="AS24" s="35"/>
      <c r="AT24" s="35"/>
      <c r="AU24" s="35"/>
      <c r="AV24" s="35"/>
      <c r="AW24" s="35"/>
      <c r="AX24" s="35"/>
    </row>
    <row r="25" spans="2:50">
      <c r="B25" s="1">
        <f>Cruise!F25</f>
        <v>0.65969672852566186</v>
      </c>
      <c r="C25" s="6"/>
      <c r="D25" s="1">
        <f>Propeller!$B$8</f>
        <v>0.30479999999999996</v>
      </c>
      <c r="E25" s="19">
        <f ca="1">Cruise!X25</f>
        <v>27.03883277583968</v>
      </c>
      <c r="F25" s="49">
        <f t="shared" ca="1" si="6"/>
        <v>1</v>
      </c>
      <c r="G25" s="19">
        <f ca="1">MAX(Motor!$B$7,K25*Motor!$B$7)</f>
        <v>12891.57948810326</v>
      </c>
      <c r="H25" s="10">
        <f ca="1">E25/(G25/60*D25)*Propulsão!J25</f>
        <v>0.39827246796633847</v>
      </c>
      <c r="I25" s="13">
        <f ca="1">F25*Energy!$B$6</f>
        <v>11.850000000000001</v>
      </c>
      <c r="J25" s="51">
        <f ca="1">IF(ISERROR(U25),Motor!$B$10,U25)</f>
        <v>28.385053673028938</v>
      </c>
      <c r="K25" s="20">
        <f ca="1">I25-Motor!$B$9*J25</f>
        <v>10.742982906751873</v>
      </c>
      <c r="L25" s="14">
        <f ca="1">MAX(Motor!$B$8,J25-Motor!$B$8)</f>
        <v>26.085053673028938</v>
      </c>
      <c r="M25" s="14">
        <f t="shared" ca="1" si="0"/>
        <v>336.36288602539298</v>
      </c>
      <c r="N25" s="20">
        <f t="shared" ca="1" si="1"/>
        <v>280.23128573105504</v>
      </c>
      <c r="O25" s="1">
        <f t="shared" ca="1" si="2"/>
        <v>0.20757826164398152</v>
      </c>
      <c r="P25" s="10">
        <f t="shared" ca="1" si="3"/>
        <v>1.6279191593212394E-2</v>
      </c>
      <c r="Q25" s="10">
        <f ca="1">Propeller!$B$15+Propeller!$B$16*H25+Propeller!$B$17*H25^2+Propeller!$B$18*H25^3+Propeller!$B$19*H25^4+Propeller!$B$20*H25^5+Propeller!$B$21*H25^6</f>
        <v>1.627919159345903E-2</v>
      </c>
      <c r="R25" s="10">
        <f ca="1">(Propeller!$B$23+Propeller!$B$24*H25+Propeller!$B$25*H25^2+Propeller!$B$26*H25^3+Propeller!$B$27*H25^4+Propeller!$B$28*H25^5+Propeller!$B$29*H25^6)*Propulsão!M25</f>
        <v>0.67243879360250425</v>
      </c>
      <c r="S25" s="19">
        <f t="shared" ca="1" si="4"/>
        <v>188.43838770666932</v>
      </c>
      <c r="T25" s="19">
        <f ca="1">Cruise!S25</f>
        <v>209.64762572180047</v>
      </c>
      <c r="U25" s="14">
        <f ca="1">MIN(Motor!$B$10,MAX(Motor!$B$8,J25+0.05*(Q25/P25-1)*J25))</f>
        <v>28.385053673050439</v>
      </c>
      <c r="V25" s="50" t="str">
        <f t="shared" ca="1" si="5"/>
        <v>OK</v>
      </c>
      <c r="W25" s="1">
        <f t="shared" ca="1" si="7"/>
        <v>1</v>
      </c>
      <c r="X25" s="50" t="str">
        <f t="shared" ca="1" si="8"/>
        <v>iterate</v>
      </c>
      <c r="Y25" s="35"/>
      <c r="Z25" s="36"/>
      <c r="AA25" s="36"/>
      <c r="AB25" s="36"/>
      <c r="AC25" s="38"/>
      <c r="AD25" s="41"/>
      <c r="AE25" s="40"/>
      <c r="AF25" s="38"/>
      <c r="AG25" s="40"/>
      <c r="AH25" s="40"/>
      <c r="AI25" s="36"/>
      <c r="AJ25" s="36"/>
      <c r="AK25" s="36"/>
      <c r="AL25" s="40"/>
      <c r="AM25" s="40"/>
      <c r="AN25" s="38"/>
      <c r="AO25" s="35"/>
      <c r="AP25" s="35"/>
      <c r="AQ25" s="35"/>
      <c r="AR25" s="35"/>
      <c r="AS25" s="35"/>
      <c r="AT25" s="35"/>
      <c r="AU25" s="35"/>
      <c r="AV25" s="35"/>
      <c r="AW25" s="35"/>
      <c r="AX25" s="35"/>
    </row>
    <row r="26" spans="2:50">
      <c r="B26" s="1">
        <f>Cruise!F26</f>
        <v>0.65969672852566186</v>
      </c>
      <c r="D26" s="1">
        <f>Propeller!$B$8</f>
        <v>0.30479999999999996</v>
      </c>
      <c r="E26" s="19">
        <f ca="1">Cruise!X26</f>
        <v>26.646781908866753</v>
      </c>
      <c r="F26" s="49">
        <f t="shared" ca="1" si="6"/>
        <v>1</v>
      </c>
      <c r="G26" s="19">
        <f ca="1">MAX(Motor!$B$7,K26*Motor!$B$7)</f>
        <v>12873.727020923543</v>
      </c>
      <c r="H26" s="10">
        <f ca="1">E26/(G26/60*D26)*Propulsão!J26</f>
        <v>0.39304198788791522</v>
      </c>
      <c r="I26" s="13">
        <f ca="1">F26*Energy!$B$6</f>
        <v>11.850000000000001</v>
      </c>
      <c r="J26" s="51">
        <f ca="1">IF(ISERROR(U26),Motor!$B$10,U26)</f>
        <v>28.766516646955697</v>
      </c>
      <c r="K26" s="20">
        <f ca="1">I26-Motor!$B$9*J26</f>
        <v>10.728105850768729</v>
      </c>
      <c r="L26" s="14">
        <f ca="1">MAX(Motor!$B$8,J26-Motor!$B$8)</f>
        <v>26.466516646955697</v>
      </c>
      <c r="M26" s="14">
        <f t="shared" ca="1" si="0"/>
        <v>340.88322226642504</v>
      </c>
      <c r="N26" s="20">
        <f t="shared" ca="1" si="1"/>
        <v>283.93559208967338</v>
      </c>
      <c r="O26" s="1">
        <f t="shared" ca="1" si="2"/>
        <v>0.2106138475393293</v>
      </c>
      <c r="P26" s="10">
        <f t="shared" ca="1" si="3"/>
        <v>1.6563097389109674E-2</v>
      </c>
      <c r="Q26" s="10">
        <f ca="1">Propeller!$B$15+Propeller!$B$16*H26+Propeller!$B$17*H26^2+Propeller!$B$18*H26^3+Propeller!$B$19*H26^4+Propeller!$B$20*H26^5+Propeller!$B$21*H26^6</f>
        <v>1.6563097389370875E-2</v>
      </c>
      <c r="R26" s="10">
        <f ca="1">(Propeller!$B$23+Propeller!$B$24*H26+Propeller!$B$25*H26^2+Propeller!$B$26*H26^3+Propeller!$B$27*H26^4+Propeller!$B$28*H26^5+Propeller!$B$29*H26^6)*Propulsão!M26</f>
        <v>0.67275640820310267</v>
      </c>
      <c r="S26" s="19">
        <f t="shared" ca="1" si="4"/>
        <v>191.01948909526996</v>
      </c>
      <c r="T26" s="19">
        <f ca="1">Cruise!S26</f>
        <v>203.6739259983872</v>
      </c>
      <c r="U26" s="14">
        <f ca="1">MIN(Motor!$B$10,MAX(Motor!$B$8,J26+0.05*(Q26/P26-1)*J26))</f>
        <v>28.766516646978381</v>
      </c>
      <c r="V26" s="50" t="str">
        <f t="shared" ca="1" si="5"/>
        <v>OK</v>
      </c>
      <c r="W26" s="1">
        <f t="shared" ca="1" si="7"/>
        <v>1</v>
      </c>
      <c r="X26" s="50" t="str">
        <f t="shared" ca="1" si="8"/>
        <v>iterate</v>
      </c>
      <c r="Y26" s="35"/>
      <c r="Z26" s="36"/>
      <c r="AA26" s="36"/>
      <c r="AB26" s="36"/>
      <c r="AC26" s="38"/>
      <c r="AD26" s="41"/>
      <c r="AE26" s="40"/>
      <c r="AF26" s="38"/>
      <c r="AG26" s="40"/>
      <c r="AH26" s="40"/>
      <c r="AI26" s="36"/>
      <c r="AJ26" s="36"/>
      <c r="AK26" s="36"/>
      <c r="AL26" s="40"/>
      <c r="AM26" s="40"/>
      <c r="AN26" s="38"/>
      <c r="AO26" s="35"/>
      <c r="AP26" s="35"/>
      <c r="AQ26" s="35"/>
      <c r="AR26" s="35"/>
      <c r="AS26" s="35"/>
      <c r="AT26" s="35"/>
      <c r="AU26" s="35"/>
      <c r="AV26" s="35"/>
      <c r="AW26" s="35"/>
      <c r="AX26" s="35"/>
    </row>
    <row r="27" spans="2:50">
      <c r="B27" s="1">
        <f>Cruise!F27</f>
        <v>0.65969672852566186</v>
      </c>
      <c r="D27" s="1">
        <f>Propeller!$B$8</f>
        <v>0.30479999999999996</v>
      </c>
      <c r="E27" s="19">
        <f ca="1">Cruise!X27</f>
        <v>26.272229755698174</v>
      </c>
      <c r="F27" s="49">
        <f t="shared" ca="1" si="6"/>
        <v>1</v>
      </c>
      <c r="G27" s="19">
        <f ca="1">MAX(Motor!$B$7,K27*Motor!$B$7)</f>
        <v>12857.071656079759</v>
      </c>
      <c r="H27" s="10">
        <f ca="1">E27/(G27/60*D27)*Propulsão!J27</f>
        <v>0.38801931555467445</v>
      </c>
      <c r="I27" s="13">
        <f ca="1">F27*Energy!$B$6</f>
        <v>11.850000000000001</v>
      </c>
      <c r="J27" s="51">
        <f ca="1">IF(ISERROR(U27),Motor!$B$10,U27)</f>
        <v>29.122400511139944</v>
      </c>
      <c r="K27" s="20">
        <f ca="1">I27-Motor!$B$9*J27</f>
        <v>10.714226380065544</v>
      </c>
      <c r="L27" s="14">
        <f ca="1">MAX(Motor!$B$8,J27-Motor!$B$8)</f>
        <v>26.822400511139943</v>
      </c>
      <c r="M27" s="14">
        <f t="shared" ca="1" si="0"/>
        <v>345.10044605700836</v>
      </c>
      <c r="N27" s="20">
        <f t="shared" ca="1" si="1"/>
        <v>287.38127113313908</v>
      </c>
      <c r="O27" s="1">
        <f t="shared" ca="1" si="2"/>
        <v>0.2134458813469067</v>
      </c>
      <c r="P27" s="10">
        <f t="shared" ca="1" si="3"/>
        <v>1.6829331911391243E-2</v>
      </c>
      <c r="Q27" s="10">
        <f ca="1">Propeller!$B$15+Propeller!$B$16*H27+Propeller!$B$17*H27^2+Propeller!$B$18*H27^3+Propeller!$B$19*H27^4+Propeller!$B$20*H27^5+Propeller!$B$21*H27^6</f>
        <v>1.6829331911662537E-2</v>
      </c>
      <c r="R27" s="10">
        <f ca="1">(Propeller!$B$23+Propeller!$B$24*H27+Propeller!$B$25*H27^2+Propeller!$B$26*H27^3+Propeller!$B$27*H27^4+Propeller!$B$28*H27^5+Propeller!$B$29*H27^6)*Propulsão!M27</f>
        <v>0.67266682700901681</v>
      </c>
      <c r="S27" s="19">
        <f t="shared" ca="1" si="4"/>
        <v>193.31184779494663</v>
      </c>
      <c r="T27" s="19">
        <f ca="1">Cruise!S27</f>
        <v>198.11509662125246</v>
      </c>
      <c r="U27" s="14">
        <f ca="1">MIN(Motor!$B$10,MAX(Motor!$B$8,J27+0.05*(Q27/P27-1)*J27))</f>
        <v>29.122400511163416</v>
      </c>
      <c r="V27" s="50" t="str">
        <f t="shared" ca="1" si="5"/>
        <v>OK</v>
      </c>
      <c r="W27" s="1">
        <f t="shared" ca="1" si="7"/>
        <v>1</v>
      </c>
      <c r="X27" s="50" t="str">
        <f t="shared" ca="1" si="8"/>
        <v>iterate</v>
      </c>
      <c r="Y27" s="35"/>
      <c r="Z27" s="36"/>
      <c r="AA27" s="36"/>
      <c r="AB27" s="36"/>
      <c r="AC27" s="38"/>
      <c r="AD27" s="41"/>
      <c r="AE27" s="40"/>
      <c r="AF27" s="38"/>
      <c r="AG27" s="40"/>
      <c r="AH27" s="40"/>
      <c r="AI27" s="36"/>
      <c r="AJ27" s="36"/>
      <c r="AK27" s="36"/>
      <c r="AL27" s="40"/>
      <c r="AM27" s="40"/>
      <c r="AN27" s="38"/>
      <c r="AO27" s="35"/>
      <c r="AP27" s="35"/>
      <c r="AQ27" s="35"/>
      <c r="AR27" s="35"/>
      <c r="AS27" s="35"/>
      <c r="AT27" s="35"/>
      <c r="AU27" s="35"/>
      <c r="AV27" s="35"/>
      <c r="AW27" s="35"/>
      <c r="AX27" s="35"/>
    </row>
    <row r="28" spans="2:50">
      <c r="B28" s="1">
        <f>Cruise!F28</f>
        <v>0.65969672852566186</v>
      </c>
      <c r="D28" s="1">
        <f>Propeller!$B$8</f>
        <v>0.30479999999999996</v>
      </c>
      <c r="E28" s="19">
        <f ca="1">Cruise!X28</f>
        <v>25.850372382859632</v>
      </c>
      <c r="F28" s="49">
        <f t="shared" ca="1" si="6"/>
        <v>0.99387971403308917</v>
      </c>
      <c r="G28" s="19">
        <f ca="1">MAX(Motor!$B$7,K28*Motor!$B$7)</f>
        <v>12772.383191455483</v>
      </c>
      <c r="H28" s="10">
        <f ca="1">E28/(G28/60*D28)*Propulsão!J28</f>
        <v>0.38432031370537417</v>
      </c>
      <c r="I28" s="13">
        <f ca="1">F28*Energy!$B$6</f>
        <v>11.777474611292108</v>
      </c>
      <c r="J28" s="51">
        <f ca="1">IF(ISERROR(U28),Motor!$B$10,U28)</f>
        <v>29.072357738453498</v>
      </c>
      <c r="K28" s="20">
        <f ca="1">I28-Motor!$B$9*J28</f>
        <v>10.643652659492421</v>
      </c>
      <c r="L28" s="14">
        <f ca="1">MAX(Motor!$B$8,J28-Motor!$B$8)</f>
        <v>26.772357738453497</v>
      </c>
      <c r="M28" s="14">
        <f t="shared" ca="1" si="0"/>
        <v>342.3989551550377</v>
      </c>
      <c r="N28" s="20">
        <f t="shared" ca="1" si="1"/>
        <v>284.95567664377307</v>
      </c>
      <c r="O28" s="1">
        <f t="shared" ca="1" si="2"/>
        <v>0.21304765361389436</v>
      </c>
      <c r="P28" s="10">
        <f t="shared" ca="1" si="3"/>
        <v>1.7021432297245946E-2</v>
      </c>
      <c r="Q28" s="10">
        <f ca="1">Propeller!$B$15+Propeller!$B$16*H28+Propeller!$B$17*H28^2+Propeller!$B$18*H28^3+Propeller!$B$19*H28^4+Propeller!$B$20*H28^5+Propeller!$B$21*H28^6</f>
        <v>1.7021432292778794E-2</v>
      </c>
      <c r="R28" s="10">
        <f ca="1">(Propeller!$B$23+Propeller!$B$24*H28+Propeller!$B$25*H28^2+Propeller!$B$26*H28^3+Propeller!$B$27*H28^4+Propeller!$B$28*H28^5+Propeller!$B$29*H28^6)*Propulsão!M28</f>
        <v>0.6723449304100213</v>
      </c>
      <c r="S28" s="19">
        <f t="shared" ca="1" si="4"/>
        <v>191.58850458299813</v>
      </c>
      <c r="T28" s="19">
        <f ca="1">Cruise!S28</f>
        <v>191.58850456079963</v>
      </c>
      <c r="U28" s="14">
        <f ca="1">MIN(Motor!$B$10,MAX(Motor!$B$8,J28+0.05*(Q28/P28-1)*J28))</f>
        <v>29.072357738072007</v>
      </c>
      <c r="V28" s="50" t="str">
        <f t="shared" ca="1" si="5"/>
        <v>OK</v>
      </c>
      <c r="W28" s="1">
        <f t="shared" ca="1" si="7"/>
        <v>0.99387971402733133</v>
      </c>
      <c r="X28" s="50" t="str">
        <f t="shared" ca="1" si="8"/>
        <v>OK</v>
      </c>
      <c r="Y28" s="35"/>
      <c r="Z28" s="36"/>
      <c r="AA28" s="36"/>
      <c r="AB28" s="36"/>
      <c r="AC28" s="38"/>
      <c r="AD28" s="41"/>
      <c r="AE28" s="40"/>
      <c r="AF28" s="38"/>
      <c r="AG28" s="40"/>
      <c r="AH28" s="40"/>
      <c r="AI28" s="36"/>
      <c r="AJ28" s="36"/>
      <c r="AK28" s="36"/>
      <c r="AL28" s="40"/>
      <c r="AM28" s="40"/>
      <c r="AN28" s="38"/>
      <c r="AO28" s="35"/>
      <c r="AP28" s="35"/>
      <c r="AQ28" s="35"/>
      <c r="AR28" s="35"/>
      <c r="AS28" s="35"/>
      <c r="AT28" s="35"/>
      <c r="AU28" s="35"/>
      <c r="AV28" s="35"/>
      <c r="AW28" s="35"/>
      <c r="AX28" s="35"/>
    </row>
    <row r="29" spans="2:50">
      <c r="B29" s="1">
        <f>Cruise!F29</f>
        <v>0.65969672852566186</v>
      </c>
      <c r="D29" s="1">
        <f>Propeller!$B$8</f>
        <v>0.30479999999999996</v>
      </c>
      <c r="E29" s="19">
        <f ca="1">Cruise!X29</f>
        <v>25.337550160719807</v>
      </c>
      <c r="F29" s="49">
        <f t="shared" ca="1" si="6"/>
        <v>0.97703834858480887</v>
      </c>
      <c r="G29" s="19">
        <f ca="1">MAX(Motor!$B$7,K29*Motor!$B$7)</f>
        <v>12567.386513744106</v>
      </c>
      <c r="H29" s="10">
        <f ca="1">E29/(G29/60*D29)*Propulsão!J29</f>
        <v>0.38284072103597011</v>
      </c>
      <c r="I29" s="13">
        <f ca="1">F29*Energy!$B$6</f>
        <v>11.577904430729987</v>
      </c>
      <c r="J29" s="51">
        <f ca="1">IF(ISERROR(U29),Motor!$B$10,U29)</f>
        <v>28.335444512732877</v>
      </c>
      <c r="K29" s="20">
        <f ca="1">I29-Motor!$B$9*J29</f>
        <v>10.472822094733404</v>
      </c>
      <c r="L29" s="14">
        <f ca="1">MAX(Motor!$B$8,J29-Motor!$B$8)</f>
        <v>26.035444512732877</v>
      </c>
      <c r="M29" s="14">
        <f t="shared" ca="1" si="0"/>
        <v>328.0650685706737</v>
      </c>
      <c r="N29" s="20">
        <f t="shared" ca="1" si="1"/>
        <v>272.66457853915443</v>
      </c>
      <c r="O29" s="1">
        <f t="shared" ca="1" si="2"/>
        <v>0.20718348448875454</v>
      </c>
      <c r="P29" s="10">
        <f t="shared" ca="1" si="3"/>
        <v>1.7097334717160514E-2</v>
      </c>
      <c r="Q29" s="10">
        <f ca="1">Propeller!$B$15+Propeller!$B$16*H29+Propeller!$B$17*H29^2+Propeller!$B$18*H29^3+Propeller!$B$19*H29^4+Propeller!$B$20*H29^5+Propeller!$B$21*H29^6</f>
        <v>1.7097334712712145E-2</v>
      </c>
      <c r="R29" s="10">
        <f ca="1">(Propeller!$B$23+Propeller!$B$24*H29+Propeller!$B$25*H29^2+Propeller!$B$26*H29^3+Propeller!$B$27*H29^4+Propeller!$B$28*H29^5+Propeller!$B$29*H29^6)*Propulsão!M29</f>
        <v>0.67210118781839567</v>
      </c>
      <c r="S29" s="19">
        <f t="shared" ca="1" si="4"/>
        <v>183.25818711216795</v>
      </c>
      <c r="T29" s="19">
        <f ca="1">Cruise!S29</f>
        <v>183.25818709087017</v>
      </c>
      <c r="U29" s="14">
        <f ca="1">MIN(Motor!$B$10,MAX(Motor!$B$8,J29+0.05*(Q29/P29-1)*J29))</f>
        <v>28.335444512364262</v>
      </c>
      <c r="V29" s="50" t="str">
        <f t="shared" ca="1" si="5"/>
        <v>OK</v>
      </c>
      <c r="W29" s="1">
        <f t="shared" ca="1" si="7"/>
        <v>0.97703834857913141</v>
      </c>
      <c r="X29" s="50" t="str">
        <f t="shared" ca="1" si="8"/>
        <v>OK</v>
      </c>
      <c r="Y29" s="35"/>
      <c r="Z29" s="36"/>
      <c r="AA29" s="36"/>
      <c r="AB29" s="36"/>
      <c r="AC29" s="38"/>
      <c r="AD29" s="41"/>
      <c r="AE29" s="40"/>
      <c r="AF29" s="38"/>
      <c r="AG29" s="40"/>
      <c r="AH29" s="40"/>
      <c r="AI29" s="36"/>
      <c r="AJ29" s="36"/>
      <c r="AK29" s="36"/>
      <c r="AL29" s="40"/>
      <c r="AM29" s="40"/>
      <c r="AN29" s="38"/>
      <c r="AO29" s="35"/>
      <c r="AP29" s="35"/>
      <c r="AQ29" s="35"/>
      <c r="AR29" s="35"/>
      <c r="AS29" s="35"/>
      <c r="AT29" s="35"/>
      <c r="AU29" s="35"/>
      <c r="AV29" s="35"/>
      <c r="AW29" s="35"/>
      <c r="AX29" s="35"/>
    </row>
    <row r="30" spans="2:50">
      <c r="B30" s="1">
        <f>Cruise!F30</f>
        <v>0.65969672852566186</v>
      </c>
      <c r="D30" s="1">
        <f>Propeller!$B$8</f>
        <v>0.30479999999999996</v>
      </c>
      <c r="E30" s="19">
        <f ca="1">Cruise!X30</f>
        <v>24.858990723279437</v>
      </c>
      <c r="F30" s="49">
        <f t="shared" ca="1" si="6"/>
        <v>0.96148549537194394</v>
      </c>
      <c r="G30" s="19">
        <f ca="1">MAX(Motor!$B$7,K30*Motor!$B$7)</f>
        <v>12377.573844444076</v>
      </c>
      <c r="H30" s="10">
        <f ca="1">E30/(G30/60*D30)*Propulsão!J30</f>
        <v>0.38136992590944913</v>
      </c>
      <c r="I30" s="13">
        <f ca="1">F30*Energy!$B$6</f>
        <v>11.393603120157538</v>
      </c>
      <c r="J30" s="51">
        <f ca="1">IF(ISERROR(U30),Motor!$B$10,U30)</f>
        <v>27.66559614975343</v>
      </c>
      <c r="K30" s="20">
        <f ca="1">I30-Motor!$B$9*J30</f>
        <v>10.314644870317155</v>
      </c>
      <c r="L30" s="14">
        <f ca="1">MAX(Motor!$B$8,J30-Motor!$B$8)</f>
        <v>25.365596149753429</v>
      </c>
      <c r="M30" s="14">
        <f t="shared" ca="1" si="0"/>
        <v>315.21082261284903</v>
      </c>
      <c r="N30" s="20">
        <f t="shared" ca="1" si="1"/>
        <v>261.63711620859078</v>
      </c>
      <c r="O30" s="1">
        <f t="shared" ca="1" si="2"/>
        <v>0.20185300058426495</v>
      </c>
      <c r="P30" s="10">
        <f t="shared" ca="1" si="3"/>
        <v>1.717225713996097E-2</v>
      </c>
      <c r="Q30" s="10">
        <f ca="1">Propeller!$B$15+Propeller!$B$16*H30+Propeller!$B$17*H30^2+Propeller!$B$18*H30^3+Propeller!$B$19*H30^4+Propeller!$B$20*H30^5+Propeller!$B$21*H30^6</f>
        <v>1.7172257135529983E-2</v>
      </c>
      <c r="R30" s="10">
        <f ca="1">(Propeller!$B$23+Propeller!$B$24*H30+Propeller!$B$25*H30^2+Propeller!$B$26*H30^3+Propeller!$B$27*H30^4+Propeller!$B$28*H30^5+Propeller!$B$29*H30^6)*Propulsão!M30</f>
        <v>0.67183427518899475</v>
      </c>
      <c r="S30" s="19">
        <f t="shared" ca="1" si="4"/>
        <v>175.77678233053737</v>
      </c>
      <c r="T30" s="19">
        <f ca="1">Cruise!S30</f>
        <v>175.77678231005163</v>
      </c>
      <c r="U30" s="14">
        <f ca="1">MIN(Motor!$B$10,MAX(Motor!$B$8,J30+0.05*(Q30/P30-1)*J30))</f>
        <v>27.665596149396499</v>
      </c>
      <c r="V30" s="50" t="str">
        <f t="shared" ca="1" si="5"/>
        <v>OK</v>
      </c>
      <c r="W30" s="1">
        <f t="shared" ca="1" si="7"/>
        <v>0.9614854953663412</v>
      </c>
      <c r="X30" s="50" t="str">
        <f t="shared" ca="1" si="8"/>
        <v>OK</v>
      </c>
      <c r="Y30" s="35"/>
      <c r="Z30" s="36"/>
      <c r="AA30" s="36"/>
      <c r="AB30" s="36"/>
      <c r="AC30" s="38"/>
      <c r="AD30" s="41"/>
      <c r="AE30" s="40"/>
      <c r="AF30" s="38"/>
      <c r="AG30" s="40"/>
      <c r="AH30" s="40"/>
      <c r="AI30" s="36"/>
      <c r="AJ30" s="36"/>
      <c r="AK30" s="36"/>
      <c r="AL30" s="40"/>
      <c r="AM30" s="40"/>
      <c r="AN30" s="38"/>
      <c r="AO30" s="35"/>
      <c r="AP30" s="35"/>
      <c r="AQ30" s="35"/>
      <c r="AR30" s="35"/>
      <c r="AS30" s="35"/>
      <c r="AT30" s="35"/>
      <c r="AU30" s="35"/>
      <c r="AV30" s="35"/>
      <c r="AW30" s="35"/>
      <c r="AX30" s="35"/>
    </row>
    <row r="31" spans="2:50">
      <c r="B31" s="1">
        <f>Cruise!F31</f>
        <v>0.65969672852566186</v>
      </c>
      <c r="D31" s="1">
        <f>Propeller!$B$8</f>
        <v>0.30479999999999996</v>
      </c>
      <c r="E31" s="19">
        <f ca="1">Cruise!X31</f>
        <v>24.411011139810388</v>
      </c>
      <c r="F31" s="49">
        <f t="shared" ca="1" si="6"/>
        <v>0.94707755469285915</v>
      </c>
      <c r="G31" s="19">
        <f ca="1">MAX(Motor!$B$7,K31*Motor!$B$7)</f>
        <v>12201.29685543463</v>
      </c>
      <c r="H31" s="10">
        <f ca="1">E31/(G31/60*D31)*Propulsão!J31</f>
        <v>0.37990783607202983</v>
      </c>
      <c r="I31" s="13">
        <f ca="1">F31*Energy!$B$6</f>
        <v>11.222869023110382</v>
      </c>
      <c r="J31" s="51">
        <f ca="1">IF(ISERROR(U31),Motor!$B$10,U31)</f>
        <v>27.054401118821339</v>
      </c>
      <c r="K31" s="20">
        <f ca="1">I31-Motor!$B$9*J31</f>
        <v>10.167747379476349</v>
      </c>
      <c r="L31" s="14">
        <f ca="1">MAX(Motor!$B$8,J31-Motor!$B$8)</f>
        <v>24.754401118821338</v>
      </c>
      <c r="M31" s="14">
        <f t="shared" ca="1" si="0"/>
        <v>303.6280002552229</v>
      </c>
      <c r="N31" s="20">
        <f t="shared" ca="1" si="1"/>
        <v>251.69649710640206</v>
      </c>
      <c r="O31" s="1">
        <f t="shared" ca="1" si="2"/>
        <v>0.19698926506598075</v>
      </c>
      <c r="P31" s="10">
        <f t="shared" ca="1" si="3"/>
        <v>1.7246215089617364E-2</v>
      </c>
      <c r="Q31" s="10">
        <f ca="1">Propeller!$B$15+Propeller!$B$16*H31+Propeller!$B$17*H31^2+Propeller!$B$18*H31^3+Propeller!$B$19*H31^4+Propeller!$B$20*H31^5+Propeller!$B$21*H31^6</f>
        <v>1.7246215085200162E-2</v>
      </c>
      <c r="R31" s="10">
        <f ca="1">(Propeller!$B$23+Propeller!$B$24*H31+Propeller!$B$25*H31^2+Propeller!$B$26*H31^3+Propeller!$B$27*H31^4+Propeller!$B$28*H31^5+Propeller!$B$29*H31^6)*Propulsão!M31</f>
        <v>0.67154494306946477</v>
      </c>
      <c r="S31" s="19">
        <f t="shared" ca="1" si="4"/>
        <v>169.02550982010249</v>
      </c>
      <c r="T31" s="19">
        <f ca="1">Cruise!S31</f>
        <v>169.02550980034454</v>
      </c>
      <c r="U31" s="14">
        <f ca="1">MIN(Motor!$B$10,MAX(Motor!$B$8,J31+0.05*(Q31/P31-1)*J31))</f>
        <v>27.054401118474871</v>
      </c>
      <c r="V31" s="50" t="str">
        <f t="shared" ca="1" si="5"/>
        <v>OK</v>
      </c>
      <c r="W31" s="1">
        <f t="shared" ca="1" si="7"/>
        <v>0.9470775546873238</v>
      </c>
      <c r="X31" s="50" t="str">
        <f t="shared" ca="1" si="8"/>
        <v>OK</v>
      </c>
      <c r="Y31" s="35"/>
      <c r="Z31" s="36"/>
      <c r="AA31" s="36"/>
      <c r="AB31" s="36"/>
      <c r="AC31" s="38"/>
      <c r="AD31" s="41"/>
      <c r="AE31" s="40"/>
      <c r="AF31" s="38"/>
      <c r="AG31" s="40"/>
      <c r="AH31" s="40"/>
      <c r="AI31" s="36"/>
      <c r="AJ31" s="36"/>
      <c r="AK31" s="36"/>
      <c r="AL31" s="40"/>
      <c r="AM31" s="40"/>
      <c r="AN31" s="38"/>
      <c r="AO31" s="35"/>
      <c r="AP31" s="35"/>
      <c r="AQ31" s="35"/>
      <c r="AR31" s="35"/>
      <c r="AS31" s="35"/>
      <c r="AT31" s="35"/>
      <c r="AU31" s="35"/>
      <c r="AV31" s="35"/>
      <c r="AW31" s="35"/>
      <c r="AX31" s="35"/>
    </row>
    <row r="32" spans="2:50">
      <c r="B32" s="1">
        <f>Cruise!F32</f>
        <v>0.65969672852566186</v>
      </c>
      <c r="D32" s="1">
        <f>Propeller!$B$8</f>
        <v>0.30479999999999996</v>
      </c>
      <c r="E32" s="19">
        <f ca="1">Cruise!X32</f>
        <v>23.990482001725344</v>
      </c>
      <c r="F32" s="49">
        <f t="shared" ca="1" si="6"/>
        <v>0.9336930215954915</v>
      </c>
      <c r="G32" s="19">
        <f ca="1">MAX(Motor!$B$7,K32*Motor!$B$7)</f>
        <v>12037.156128164637</v>
      </c>
      <c r="H32" s="10">
        <f ca="1">E32/(G32/60*D32)*Propulsão!J32</f>
        <v>0.37845439773216377</v>
      </c>
      <c r="I32" s="13">
        <f ca="1">F32*Energy!$B$6</f>
        <v>11.064262305906576</v>
      </c>
      <c r="J32" s="51">
        <f ca="1">IF(ISERROR(U32),Motor!$B$10,U32)</f>
        <v>26.494842713370744</v>
      </c>
      <c r="K32" s="20">
        <f ca="1">I32-Motor!$B$9*J32</f>
        <v>10.030963440085117</v>
      </c>
      <c r="L32" s="14">
        <f ca="1">MAX(Motor!$B$8,J32-Motor!$B$8)</f>
        <v>24.194842713370743</v>
      </c>
      <c r="M32" s="14">
        <f t="shared" ca="1" si="0"/>
        <v>293.14588953447145</v>
      </c>
      <c r="N32" s="20">
        <f t="shared" ca="1" si="1"/>
        <v>242.69758269643171</v>
      </c>
      <c r="O32" s="1">
        <f t="shared" ca="1" si="2"/>
        <v>0.19253644075719431</v>
      </c>
      <c r="P32" s="10">
        <f t="shared" ca="1" si="3"/>
        <v>1.7319221931156464E-2</v>
      </c>
      <c r="Q32" s="10">
        <f ca="1">Propeller!$B$15+Propeller!$B$16*H32+Propeller!$B$17*H32^2+Propeller!$B$18*H32^3+Propeller!$B$19*H32^4+Propeller!$B$20*H32^5+Propeller!$B$21*H32^6</f>
        <v>1.7319221926756553E-2</v>
      </c>
      <c r="R32" s="10">
        <f ca="1">(Propeller!$B$23+Propeller!$B$24*H32+Propeller!$B$25*H32^2+Propeller!$B$26*H32^3+Propeller!$B$27*H32^4+Propeller!$B$28*H32^5+Propeller!$B$29*H32^6)*Propulsão!M32</f>
        <v>0.67123394272145664</v>
      </c>
      <c r="S32" s="19">
        <f t="shared" ca="1" si="4"/>
        <v>162.90685532229264</v>
      </c>
      <c r="T32" s="19">
        <f ca="1">Cruise!S32</f>
        <v>162.90685530321406</v>
      </c>
      <c r="U32" s="14">
        <f ca="1">MIN(Motor!$B$10,MAX(Motor!$B$8,J32+0.05*(Q32/P32-1)*J32))</f>
        <v>26.494842713034195</v>
      </c>
      <c r="V32" s="50" t="str">
        <f t="shared" ca="1" si="5"/>
        <v>OK</v>
      </c>
      <c r="W32" s="1">
        <f t="shared" ca="1" si="7"/>
        <v>0.9336930215900241</v>
      </c>
      <c r="X32" s="50" t="str">
        <f t="shared" ca="1" si="8"/>
        <v>OK</v>
      </c>
      <c r="Y32" s="35"/>
      <c r="Z32" s="36"/>
      <c r="AA32" s="36"/>
      <c r="AB32" s="36"/>
      <c r="AC32" s="38"/>
      <c r="AD32" s="41"/>
      <c r="AE32" s="40"/>
      <c r="AF32" s="38"/>
      <c r="AG32" s="40"/>
      <c r="AH32" s="40"/>
      <c r="AI32" s="36"/>
      <c r="AJ32" s="36"/>
      <c r="AK32" s="36"/>
      <c r="AL32" s="40"/>
      <c r="AM32" s="40"/>
      <c r="AN32" s="38"/>
      <c r="AO32" s="35"/>
      <c r="AP32" s="35"/>
      <c r="AQ32" s="35"/>
      <c r="AR32" s="35"/>
      <c r="AS32" s="35"/>
      <c r="AT32" s="35"/>
      <c r="AU32" s="35"/>
      <c r="AV32" s="35"/>
      <c r="AW32" s="35"/>
      <c r="AX32" s="35"/>
    </row>
    <row r="33" spans="2:50">
      <c r="B33" s="1">
        <f>Cruise!F33</f>
        <v>0.65969672852566186</v>
      </c>
      <c r="D33" s="1">
        <f>Propeller!$B$8</f>
        <v>0.30479999999999996</v>
      </c>
      <c r="E33" s="19">
        <f ca="1">Cruise!X33</f>
        <v>23.594721425716866</v>
      </c>
      <c r="F33" s="49">
        <f t="shared" ca="1" si="6"/>
        <v>0.92122818689126162</v>
      </c>
      <c r="G33" s="19">
        <f ca="1">MAX(Motor!$B$7,K33*Motor!$B$7)</f>
        <v>11883.953351447892</v>
      </c>
      <c r="H33" s="10">
        <f ca="1">E33/(G33/60*D33)*Propulsão!J33</f>
        <v>0.37700958517192223</v>
      </c>
      <c r="I33" s="13">
        <f ca="1">F33*Energy!$B$6</f>
        <v>10.916554014661452</v>
      </c>
      <c r="J33" s="51">
        <f ca="1">IF(ISERROR(U33),Motor!$B$10,U33)</f>
        <v>25.981014235239989</v>
      </c>
      <c r="K33" s="20">
        <f ca="1">I33-Motor!$B$9*J33</f>
        <v>9.9032944594870926</v>
      </c>
      <c r="L33" s="14">
        <f ca="1">MAX(Motor!$B$8,J33-Motor!$B$8)</f>
        <v>23.681014235239989</v>
      </c>
      <c r="M33" s="14">
        <f t="shared" ca="1" si="0"/>
        <v>283.62314525468543</v>
      </c>
      <c r="N33" s="20">
        <f t="shared" ca="1" si="1"/>
        <v>234.52005707088716</v>
      </c>
      <c r="O33" s="1">
        <f t="shared" ca="1" si="2"/>
        <v>0.18844752364739417</v>
      </c>
      <c r="P33" s="10">
        <f t="shared" ca="1" si="3"/>
        <v>1.7391289457619908E-2</v>
      </c>
      <c r="Q33" s="10">
        <f ca="1">Propeller!$B$15+Propeller!$B$16*H33+Propeller!$B$17*H33^2+Propeller!$B$18*H33^3+Propeller!$B$19*H33^4+Propeller!$B$20*H33^5+Propeller!$B$21*H33^6</f>
        <v>1.7391289453102934E-2</v>
      </c>
      <c r="R33" s="10">
        <f ca="1">(Propeller!$B$23+Propeller!$B$24*H33+Propeller!$B$25*H33^2+Propeller!$B$26*H33^3+Propeller!$B$27*H33^4+Propeller!$B$28*H33^5+Propeller!$B$29*H33^6)*Propulsão!M33</f>
        <v>0.67090202147105971</v>
      </c>
      <c r="S33" s="19">
        <f t="shared" ca="1" si="4"/>
        <v>157.33998036436648</v>
      </c>
      <c r="T33" s="19">
        <f ca="1">Cruise!S33</f>
        <v>157.33998034546914</v>
      </c>
      <c r="U33" s="14">
        <f ca="1">MIN(Motor!$B$10,MAX(Motor!$B$8,J33+0.05*(Q33/P33-1)*J33))</f>
        <v>25.981014234902592</v>
      </c>
      <c r="V33" s="50" t="str">
        <f t="shared" ca="1" si="5"/>
        <v>OK</v>
      </c>
      <c r="W33" s="1">
        <f t="shared" ca="1" si="7"/>
        <v>0.92122818688572938</v>
      </c>
      <c r="X33" s="50" t="str">
        <f t="shared" ca="1" si="8"/>
        <v>OK</v>
      </c>
      <c r="Y33" s="35"/>
      <c r="Z33" s="36"/>
      <c r="AA33" s="36"/>
      <c r="AB33" s="36"/>
      <c r="AC33" s="38"/>
      <c r="AD33" s="41"/>
      <c r="AE33" s="40"/>
      <c r="AF33" s="38"/>
      <c r="AG33" s="40"/>
      <c r="AH33" s="40"/>
      <c r="AI33" s="36"/>
      <c r="AJ33" s="36"/>
      <c r="AK33" s="36"/>
      <c r="AL33" s="40"/>
      <c r="AM33" s="40"/>
      <c r="AN33" s="38"/>
      <c r="AO33" s="35"/>
      <c r="AP33" s="35"/>
      <c r="AQ33" s="35"/>
      <c r="AR33" s="35"/>
      <c r="AS33" s="35"/>
      <c r="AT33" s="35"/>
      <c r="AU33" s="35"/>
      <c r="AV33" s="35"/>
      <c r="AW33" s="35"/>
      <c r="AX33" s="35"/>
    </row>
    <row r="34" spans="2:50">
      <c r="B34" s="1">
        <f>Cruise!F34</f>
        <v>0.65969672852566186</v>
      </c>
      <c r="D34" s="1">
        <f>Propeller!$B$8</f>
        <v>0.30479999999999996</v>
      </c>
      <c r="E34" s="19">
        <f ca="1">Cruise!X34</f>
        <v>23.221306277971916</v>
      </c>
      <c r="F34" s="49">
        <f t="shared" ca="1" si="6"/>
        <v>0.90958956141959546</v>
      </c>
      <c r="G34" s="19">
        <f ca="1">MAX(Motor!$B$7,K34*Motor!$B$7)</f>
        <v>11740.602996728632</v>
      </c>
      <c r="H34" s="10">
        <f ca="1">E34/(G34/60*D34)*Propulsão!J34</f>
        <v>0.37557330852775439</v>
      </c>
      <c r="I34" s="13">
        <f ca="1">F34*Energy!$B$6</f>
        <v>10.778636302822207</v>
      </c>
      <c r="J34" s="51">
        <f ca="1">IF(ISERROR(U34),Motor!$B$10,U34)</f>
        <v>25.507704417152389</v>
      </c>
      <c r="K34" s="20">
        <f ca="1">I34-Motor!$B$9*J34</f>
        <v>9.7838358305532633</v>
      </c>
      <c r="L34" s="14">
        <f ca="1">MAX(Motor!$B$8,J34-Motor!$B$8)</f>
        <v>23.207704417152389</v>
      </c>
      <c r="M34" s="14">
        <f t="shared" ca="1" si="0"/>
        <v>274.9382688323771</v>
      </c>
      <c r="N34" s="20">
        <f t="shared" ca="1" si="1"/>
        <v>227.06037002142477</v>
      </c>
      <c r="O34" s="1">
        <f t="shared" ca="1" si="2"/>
        <v>0.18468104378925282</v>
      </c>
      <c r="P34" s="10">
        <f t="shared" ca="1" si="3"/>
        <v>1.7462432492339884E-2</v>
      </c>
      <c r="Q34" s="10">
        <f ca="1">Propeller!$B$15+Propeller!$B$16*H34+Propeller!$B$17*H34^2+Propeller!$B$18*H34^3+Propeller!$B$19*H34^4+Propeller!$B$20*H34^5+Propeller!$B$21*H34^6</f>
        <v>1.7462432487666449E-2</v>
      </c>
      <c r="R34" s="10">
        <f ca="1">(Propeller!$B$23+Propeller!$B$24*H34+Propeller!$B$25*H34^2+Propeller!$B$26*H34^3+Propeller!$B$27*H34^4+Propeller!$B$28*H34^5+Propeller!$B$29*H34^6)*Propulsão!M34</f>
        <v>0.67054988010102734</v>
      </c>
      <c r="S34" s="19">
        <f t="shared" ca="1" si="4"/>
        <v>152.25530389356129</v>
      </c>
      <c r="T34" s="19">
        <f ca="1">Cruise!S34</f>
        <v>152.25530387468564</v>
      </c>
      <c r="U34" s="14">
        <f ca="1">MIN(Motor!$B$10,MAX(Motor!$B$8,J34+0.05*(Q34/P34-1)*J34))</f>
        <v>25.507704416811062</v>
      </c>
      <c r="V34" s="50" t="str">
        <f t="shared" ca="1" si="5"/>
        <v>OK</v>
      </c>
      <c r="W34" s="1">
        <f t="shared" ca="1" si="7"/>
        <v>0.90958956141395719</v>
      </c>
      <c r="X34" s="50" t="str">
        <f t="shared" ca="1" si="8"/>
        <v>OK</v>
      </c>
      <c r="Y34" s="35"/>
      <c r="Z34" s="36"/>
      <c r="AA34" s="36"/>
      <c r="AB34" s="36"/>
      <c r="AC34" s="38"/>
      <c r="AD34" s="41"/>
      <c r="AE34" s="40"/>
      <c r="AF34" s="38"/>
      <c r="AG34" s="40"/>
      <c r="AH34" s="40"/>
      <c r="AI34" s="36"/>
      <c r="AJ34" s="36"/>
      <c r="AK34" s="36"/>
      <c r="AL34" s="40"/>
      <c r="AM34" s="40"/>
      <c r="AN34" s="38"/>
      <c r="AO34" s="35"/>
      <c r="AP34" s="35"/>
      <c r="AQ34" s="35"/>
      <c r="AR34" s="35"/>
      <c r="AS34" s="35"/>
      <c r="AT34" s="35"/>
      <c r="AU34" s="35"/>
      <c r="AV34" s="35"/>
      <c r="AW34" s="35"/>
      <c r="AX34" s="35"/>
    </row>
    <row r="35" spans="2:50">
      <c r="B35" s="1">
        <f>Cruise!F35</f>
        <v>0.65969672852566186</v>
      </c>
      <c r="D35" s="1">
        <f>Propeller!$B$8</f>
        <v>0.30479999999999996</v>
      </c>
      <c r="E35" s="19">
        <f ca="1">Cruise!X35</f>
        <v>22.867828371672989</v>
      </c>
      <c r="F35" s="49">
        <f t="shared" ca="1" si="6"/>
        <v>0.89868409380419245</v>
      </c>
      <c r="G35" s="19">
        <f ca="1">MAX(Motor!$B$7,K35*Motor!$B$7)</f>
        <v>11606.016245700363</v>
      </c>
      <c r="H35" s="10">
        <f ca="1">E35/(G35/60*D35)*Propulsão!J35</f>
        <v>0.37414524150761636</v>
      </c>
      <c r="I35" s="13">
        <f ca="1">F35*Energy!$B$6</f>
        <v>10.649406511579683</v>
      </c>
      <c r="J35" s="51">
        <f ca="1">IF(ISERROR(U35),Motor!$B$10,U35)</f>
        <v>25.069905304724482</v>
      </c>
      <c r="K35" s="20">
        <f ca="1">I35-Motor!$B$9*J35</f>
        <v>9.6716802046954271</v>
      </c>
      <c r="L35" s="14">
        <f ca="1">MAX(Motor!$B$8,J35-Motor!$B$8)</f>
        <v>22.769905304724482</v>
      </c>
      <c r="M35" s="14">
        <f t="shared" ca="1" si="0"/>
        <v>266.97961279681891</v>
      </c>
      <c r="N35" s="20">
        <f t="shared" ca="1" si="1"/>
        <v>220.22324239849317</v>
      </c>
      <c r="O35" s="1">
        <f t="shared" ca="1" si="2"/>
        <v>0.18119714914803545</v>
      </c>
      <c r="P35" s="10">
        <f t="shared" ca="1" si="3"/>
        <v>1.7532677225444403E-2</v>
      </c>
      <c r="Q35" s="10">
        <f ca="1">Propeller!$B$15+Propeller!$B$16*H35+Propeller!$B$17*H35^2+Propeller!$B$18*H35^3+Propeller!$B$19*H35^4+Propeller!$B$20*H35^5+Propeller!$B$21*H35^6</f>
        <v>1.7532677220625809E-2</v>
      </c>
      <c r="R35" s="10">
        <f ca="1">(Propeller!$B$23+Propeller!$B$24*H35+Propeller!$B$25*H35^2+Propeller!$B$26*H35^3+Propeller!$B$27*H35^4+Propeller!$B$28*H35^5+Propeller!$B$29*H35^6)*Propulsão!M35</f>
        <v>0.6701780871304106</v>
      </c>
      <c r="S35" s="19">
        <f t="shared" ca="1" si="4"/>
        <v>147.5887913322789</v>
      </c>
      <c r="T35" s="19">
        <f ca="1">Cruise!S35</f>
        <v>147.58879131346461</v>
      </c>
      <c r="U35" s="14">
        <f ca="1">MIN(Motor!$B$10,MAX(Motor!$B$8,J35+0.05*(Q35/P35-1)*J35))</f>
        <v>25.069905304379979</v>
      </c>
      <c r="V35" s="50" t="str">
        <f t="shared" ca="1" si="5"/>
        <v>OK</v>
      </c>
      <c r="W35" s="1">
        <f t="shared" ca="1" si="7"/>
        <v>0.89868409379846437</v>
      </c>
      <c r="X35" s="50" t="str">
        <f t="shared" ca="1" si="8"/>
        <v>OK</v>
      </c>
      <c r="Y35" s="35"/>
      <c r="Z35" s="36"/>
      <c r="AA35" s="36"/>
      <c r="AB35" s="36"/>
      <c r="AC35" s="38"/>
      <c r="AD35" s="41"/>
      <c r="AE35" s="40"/>
      <c r="AF35" s="38"/>
      <c r="AG35" s="40"/>
      <c r="AH35" s="40"/>
      <c r="AI35" s="36"/>
      <c r="AJ35" s="36"/>
      <c r="AK35" s="36"/>
      <c r="AL35" s="40"/>
      <c r="AM35" s="40"/>
      <c r="AN35" s="38"/>
      <c r="AO35" s="35"/>
      <c r="AP35" s="35"/>
      <c r="AQ35" s="35"/>
      <c r="AR35" s="35"/>
      <c r="AS35" s="35"/>
      <c r="AT35" s="35"/>
      <c r="AU35" s="35"/>
      <c r="AV35" s="35"/>
      <c r="AW35" s="35"/>
      <c r="AX35" s="35"/>
    </row>
    <row r="36" spans="2:50">
      <c r="B36" s="1">
        <f>Cruise!F36</f>
        <v>0.65969672852566186</v>
      </c>
      <c r="D36" s="1">
        <f>Propeller!$B$8</f>
        <v>0.30479999999999996</v>
      </c>
      <c r="E36" s="19">
        <f ca="1">Cruise!X36</f>
        <v>22.533115808238001</v>
      </c>
      <c r="F36" s="49">
        <f t="shared" ca="1" si="6"/>
        <v>0.88846794387011385</v>
      </c>
      <c r="G36" s="19">
        <f ca="1">MAX(Motor!$B$7,K36*Motor!$B$7)</f>
        <v>11479.691152729518</v>
      </c>
      <c r="H36" s="10">
        <f ca="1">E36/(G36/60*D36)*Propulsão!J36</f>
        <v>0.37272585604680392</v>
      </c>
      <c r="I36" s="13">
        <f ca="1">F36*Energy!$B$6</f>
        <v>10.528345134860851</v>
      </c>
      <c r="J36" s="51">
        <f ca="1">IF(ISERROR(U36),Motor!$B$10,U36)</f>
        <v>24.665021563469821</v>
      </c>
      <c r="K36" s="20">
        <f ca="1">I36-Motor!$B$9*J36</f>
        <v>9.5664092938855276</v>
      </c>
      <c r="L36" s="14">
        <f ca="1">MAX(Motor!$B$8,J36-Motor!$B$8)</f>
        <v>22.365021563469821</v>
      </c>
      <c r="M36" s="14">
        <f t="shared" ca="1" si="0"/>
        <v>259.68185977899549</v>
      </c>
      <c r="N36" s="20">
        <f t="shared" ca="1" si="1"/>
        <v>213.95295014272793</v>
      </c>
      <c r="O36" s="1">
        <f t="shared" ca="1" si="2"/>
        <v>0.17797518670811563</v>
      </c>
      <c r="P36" s="10">
        <f t="shared" ca="1" si="3"/>
        <v>1.7602010450825416E-2</v>
      </c>
      <c r="Q36" s="10">
        <f ca="1">Propeller!$B$15+Propeller!$B$16*H36+Propeller!$B$17*H36^2+Propeller!$B$18*H36^3+Propeller!$B$19*H36^4+Propeller!$B$20*H36^5+Propeller!$B$21*H36^6</f>
        <v>1.7602010445870248E-2</v>
      </c>
      <c r="R36" s="10">
        <f ca="1">(Propeller!$B$23+Propeller!$B$24*H36+Propeller!$B$25*H36^2+Propeller!$B$26*H36^3+Propeller!$B$27*H36^4+Propeller!$B$28*H36^5+Propeller!$B$29*H36^6)*Propulsão!M36</f>
        <v>0.66978756472328549</v>
      </c>
      <c r="S36" s="19">
        <f t="shared" ca="1" si="4"/>
        <v>143.30302544146025</v>
      </c>
      <c r="T36" s="19">
        <f ca="1">Cruise!S36</f>
        <v>143.30302542272094</v>
      </c>
      <c r="U36" s="14">
        <f ca="1">MIN(Motor!$B$10,MAX(Motor!$B$8,J36+0.05*(Q36/P36-1)*J36))</f>
        <v>24.665021563122647</v>
      </c>
      <c r="V36" s="50" t="str">
        <f t="shared" ca="1" si="5"/>
        <v>OK</v>
      </c>
      <c r="W36" s="1">
        <f t="shared" ca="1" si="7"/>
        <v>0.88846794386430472</v>
      </c>
      <c r="X36" s="50" t="str">
        <f t="shared" ca="1" si="8"/>
        <v>OK</v>
      </c>
      <c r="Y36" s="35"/>
      <c r="Z36" s="36"/>
      <c r="AA36" s="36"/>
      <c r="AB36" s="36"/>
      <c r="AC36" s="38"/>
      <c r="AD36" s="41"/>
      <c r="AE36" s="40"/>
      <c r="AF36" s="38"/>
      <c r="AG36" s="40"/>
      <c r="AH36" s="40"/>
      <c r="AI36" s="36"/>
      <c r="AJ36" s="36"/>
      <c r="AK36" s="36"/>
      <c r="AL36" s="40"/>
      <c r="AM36" s="40"/>
      <c r="AN36" s="38"/>
      <c r="AO36" s="35"/>
      <c r="AP36" s="35"/>
      <c r="AQ36" s="35"/>
      <c r="AR36" s="35"/>
      <c r="AS36" s="35"/>
      <c r="AT36" s="35"/>
      <c r="AU36" s="35"/>
      <c r="AV36" s="35"/>
      <c r="AW36" s="35"/>
      <c r="AX36" s="35"/>
    </row>
    <row r="37" spans="2:50">
      <c r="B37" s="1">
        <f>Cruise!F37</f>
        <v>0.65969672852566186</v>
      </c>
      <c r="D37" s="1">
        <f>Propeller!$B$8</f>
        <v>0.30479999999999996</v>
      </c>
      <c r="E37" s="19">
        <f ca="1">Cruise!X37</f>
        <v>22.215604931199326</v>
      </c>
      <c r="F37" s="49">
        <f t="shared" ca="1" si="6"/>
        <v>0.87888150977249646</v>
      </c>
      <c r="G37" s="19">
        <f ca="1">MAX(Motor!$B$7,K37*Motor!$B$7)</f>
        <v>11360.931009241507</v>
      </c>
      <c r="H37" s="10">
        <f ca="1">E37/(G37/60*D37)*Propulsão!J37</f>
        <v>0.37131517395038677</v>
      </c>
      <c r="I37" s="13">
        <f ca="1">F37*Energy!$B$6</f>
        <v>10.414745890804085</v>
      </c>
      <c r="J37" s="51">
        <f ca="1">IF(ISERROR(U37),Motor!$B$10,U37)</f>
        <v>24.289830337422195</v>
      </c>
      <c r="K37" s="20">
        <f ca="1">I37-Motor!$B$9*J37</f>
        <v>9.4674425076446198</v>
      </c>
      <c r="L37" s="14">
        <f ca="1">MAX(Motor!$B$8,J37-Motor!$B$8)</f>
        <v>21.989830337422195</v>
      </c>
      <c r="M37" s="14">
        <f t="shared" ca="1" si="0"/>
        <v>252.9724106949962</v>
      </c>
      <c r="N37" s="20">
        <f t="shared" ca="1" si="1"/>
        <v>208.18745447240411</v>
      </c>
      <c r="O37" s="1">
        <f t="shared" ca="1" si="2"/>
        <v>0.17498950979659633</v>
      </c>
      <c r="P37" s="10">
        <f t="shared" ca="1" si="3"/>
        <v>1.7670441267195424E-2</v>
      </c>
      <c r="Q37" s="10">
        <f ca="1">Propeller!$B$15+Propeller!$B$16*H37+Propeller!$B$17*H37^2+Propeller!$B$18*H37^3+Propeller!$B$19*H37^4+Propeller!$B$20*H37^5+Propeller!$B$21*H37^6</f>
        <v>1.7670441262097977E-2</v>
      </c>
      <c r="R37" s="10">
        <f ca="1">(Propeller!$B$23+Propeller!$B$24*H37+Propeller!$B$25*H37^2+Propeller!$B$26*H37^3+Propeller!$B$27*H37^4+Propeller!$B$28*H37^5+Propeller!$B$29*H37^6)*Propulsão!M37</f>
        <v>0.66937901445675085</v>
      </c>
      <c r="S37" s="19">
        <f t="shared" ca="1" si="4"/>
        <v>139.35631309699755</v>
      </c>
      <c r="T37" s="19">
        <f ca="1">Cruise!S37</f>
        <v>139.35631307830315</v>
      </c>
      <c r="U37" s="14">
        <f ca="1">MIN(Motor!$B$10,MAX(Motor!$B$8,J37+0.05*(Q37/P37-1)*J37))</f>
        <v>24.289830337071848</v>
      </c>
      <c r="V37" s="50" t="str">
        <f t="shared" ca="1" si="5"/>
        <v>OK</v>
      </c>
      <c r="W37" s="1">
        <f t="shared" ca="1" si="7"/>
        <v>0.8788815097666014</v>
      </c>
      <c r="X37" s="50" t="str">
        <f t="shared" ca="1" si="8"/>
        <v>OK</v>
      </c>
      <c r="Y37" s="35"/>
      <c r="Z37" s="36"/>
      <c r="AA37" s="36"/>
      <c r="AB37" s="36"/>
      <c r="AC37" s="38"/>
      <c r="AD37" s="41"/>
      <c r="AE37" s="40"/>
      <c r="AF37" s="38"/>
      <c r="AG37" s="40"/>
      <c r="AH37" s="40"/>
      <c r="AI37" s="36"/>
      <c r="AJ37" s="36"/>
      <c r="AK37" s="36"/>
      <c r="AL37" s="40"/>
      <c r="AM37" s="40"/>
      <c r="AN37" s="38"/>
      <c r="AO37" s="35"/>
      <c r="AP37" s="35"/>
      <c r="AQ37" s="35"/>
      <c r="AR37" s="35"/>
      <c r="AS37" s="35"/>
      <c r="AT37" s="35"/>
      <c r="AU37" s="35"/>
      <c r="AV37" s="35"/>
      <c r="AW37" s="35"/>
      <c r="AX37" s="35"/>
    </row>
    <row r="38" spans="2:50">
      <c r="B38" s="1">
        <f>Cruise!F38</f>
        <v>0.65969672852566186</v>
      </c>
      <c r="D38" s="1">
        <f>Propeller!$B$8</f>
        <v>0.30479999999999996</v>
      </c>
      <c r="E38" s="19">
        <f ca="1">Cruise!X38</f>
        <v>21.913913889377955</v>
      </c>
      <c r="F38" s="49">
        <f t="shared" ca="1" si="6"/>
        <v>0.86987229911547237</v>
      </c>
      <c r="G38" s="19">
        <f ca="1">MAX(Motor!$B$7,K38*Motor!$B$7)</f>
        <v>11249.120609930997</v>
      </c>
      <c r="H38" s="10">
        <f ca="1">E38/(G38/60*D38)*Propulsão!J38</f>
        <v>0.36991322109423669</v>
      </c>
      <c r="I38" s="13">
        <f ca="1">F38*Energy!$B$6</f>
        <v>10.307986744518349</v>
      </c>
      <c r="J38" s="51">
        <f ca="1">IF(ISERROR(U38),Motor!$B$10,U38)</f>
        <v>23.941527426496698</v>
      </c>
      <c r="K38" s="20">
        <f ca="1">I38-Motor!$B$9*J38</f>
        <v>9.3742671748849773</v>
      </c>
      <c r="L38" s="14">
        <f ca="1">MAX(Motor!$B$8,J38-Motor!$B$8)</f>
        <v>21.641527426496697</v>
      </c>
      <c r="M38" s="14">
        <f t="shared" ca="1" si="0"/>
        <v>246.78894735585047</v>
      </c>
      <c r="N38" s="20">
        <f t="shared" ca="1" si="1"/>
        <v>202.87346016858095</v>
      </c>
      <c r="O38" s="1">
        <f t="shared" ca="1" si="2"/>
        <v>0.172217803298232</v>
      </c>
      <c r="P38" s="10">
        <f t="shared" ca="1" si="3"/>
        <v>1.7737978508364585E-2</v>
      </c>
      <c r="Q38" s="10">
        <f ca="1">Propeller!$B$15+Propeller!$B$16*H38+Propeller!$B$17*H38^2+Propeller!$B$18*H38^3+Propeller!$B$19*H38^4+Propeller!$B$20*H38^5+Propeller!$B$21*H38^6</f>
        <v>1.7737978503125657E-2</v>
      </c>
      <c r="R38" s="10">
        <f ca="1">(Propeller!$B$23+Propeller!$B$24*H38+Propeller!$B$25*H38^2+Propeller!$B$26*H38^3+Propeller!$B$27*H38^4+Propeller!$B$28*H38^5+Propeller!$B$29*H38^6)*Propulsão!M38</f>
        <v>0.66895312210940805</v>
      </c>
      <c r="S38" s="19">
        <f t="shared" ca="1" si="4"/>
        <v>135.71283457291085</v>
      </c>
      <c r="T38" s="19">
        <f ca="1">Cruise!S38</f>
        <v>135.71283455425234</v>
      </c>
      <c r="U38" s="14">
        <f ca="1">MIN(Motor!$B$10,MAX(Motor!$B$8,J38+0.05*(Q38/P38-1)*J38))</f>
        <v>23.941527426143139</v>
      </c>
      <c r="V38" s="50" t="str">
        <f t="shared" ca="1" si="5"/>
        <v>OK</v>
      </c>
      <c r="W38" s="1">
        <f t="shared" ca="1" si="7"/>
        <v>0.8698722991094926</v>
      </c>
      <c r="X38" s="50" t="str">
        <f t="shared" ca="1" si="8"/>
        <v>OK</v>
      </c>
      <c r="Y38" s="35"/>
      <c r="Z38" s="36"/>
      <c r="AA38" s="36"/>
      <c r="AB38" s="36"/>
      <c r="AC38" s="38"/>
      <c r="AD38" s="41"/>
      <c r="AE38" s="40"/>
      <c r="AF38" s="38"/>
      <c r="AG38" s="40"/>
      <c r="AH38" s="40"/>
      <c r="AI38" s="36"/>
      <c r="AJ38" s="36"/>
      <c r="AK38" s="36"/>
      <c r="AL38" s="40"/>
      <c r="AM38" s="40"/>
      <c r="AN38" s="38"/>
      <c r="AO38" s="35"/>
      <c r="AP38" s="35"/>
      <c r="AQ38" s="35"/>
      <c r="AR38" s="35"/>
      <c r="AS38" s="35"/>
      <c r="AT38" s="35"/>
      <c r="AU38" s="35"/>
      <c r="AV38" s="35"/>
      <c r="AW38" s="35"/>
      <c r="AX38" s="35"/>
    </row>
    <row r="39" spans="2:50">
      <c r="B39" s="1">
        <f>Cruise!F39</f>
        <v>0.65969672852566186</v>
      </c>
      <c r="D39" s="1">
        <f>Propeller!$B$8</f>
        <v>0.30479999999999996</v>
      </c>
      <c r="E39" s="19">
        <f ca="1">Cruise!X39</f>
        <v>21.626815672280991</v>
      </c>
      <c r="F39" s="49">
        <f t="shared" ca="1" si="6"/>
        <v>0.86139385605831298</v>
      </c>
      <c r="G39" s="19">
        <f ca="1">MAX(Motor!$B$7,K39*Motor!$B$7)</f>
        <v>11143.714130600856</v>
      </c>
      <c r="H39" s="10">
        <f ca="1">E39/(G39/60*D39)*Propulsão!J39</f>
        <v>0.36852002527438937</v>
      </c>
      <c r="I39" s="13">
        <f ca="1">F39*Energy!$B$6</f>
        <v>10.207517194291009</v>
      </c>
      <c r="J39" s="51">
        <f ca="1">IF(ISERROR(U39),Motor!$B$10,U39)</f>
        <v>23.617660312359508</v>
      </c>
      <c r="K39" s="20">
        <f ca="1">I39-Motor!$B$9*J39</f>
        <v>9.2864284421089884</v>
      </c>
      <c r="L39" s="14">
        <f ca="1">MAX(Motor!$B$8,J39-Motor!$B$8)</f>
        <v>21.317660312359507</v>
      </c>
      <c r="M39" s="14">
        <f t="shared" ca="1" si="0"/>
        <v>241.07767372733406</v>
      </c>
      <c r="N39" s="20">
        <f t="shared" ca="1" si="1"/>
        <v>197.96492704391332</v>
      </c>
      <c r="O39" s="1">
        <f t="shared" ca="1" si="2"/>
        <v>0.16964055069223</v>
      </c>
      <c r="P39" s="10">
        <f t="shared" ca="1" si="3"/>
        <v>1.7804630852432946E-2</v>
      </c>
      <c r="Q39" s="10">
        <f ca="1">Propeller!$B$15+Propeller!$B$16*H39+Propeller!$B$17*H39^2+Propeller!$B$18*H39^3+Propeller!$B$19*H39^4+Propeller!$B$20*H39^5+Propeller!$B$21*H39^6</f>
        <v>1.7804630847053204E-2</v>
      </c>
      <c r="R39" s="10">
        <f ca="1">(Propeller!$B$23+Propeller!$B$24*H39+Propeller!$B$25*H39^2+Propeller!$B$26*H39^3+Propeller!$B$27*H39^4+Propeller!$B$28*H39^5+Propeller!$B$29*H39^6)*Propulsão!M39</f>
        <v>0.66851055656132574</v>
      </c>
      <c r="S39" s="19">
        <f t="shared" ca="1" si="4"/>
        <v>132.34164355774874</v>
      </c>
      <c r="T39" s="19">
        <f ca="1">Cruise!S39</f>
        <v>132.3416435391178</v>
      </c>
      <c r="U39" s="14">
        <f ca="1">MIN(Motor!$B$10,MAX(Motor!$B$8,J39+0.05*(Q39/P39-1)*J39))</f>
        <v>23.617660312002698</v>
      </c>
      <c r="V39" s="50" t="str">
        <f t="shared" ca="1" si="5"/>
        <v>OK</v>
      </c>
      <c r="W39" s="1">
        <f t="shared" ca="1" si="7"/>
        <v>0.86139385605224972</v>
      </c>
      <c r="X39" s="50" t="str">
        <f t="shared" ca="1" si="8"/>
        <v>OK</v>
      </c>
      <c r="Y39" s="35"/>
      <c r="Z39" s="36"/>
      <c r="AA39" s="36"/>
      <c r="AB39" s="36"/>
      <c r="AC39" s="38"/>
      <c r="AD39" s="41"/>
      <c r="AE39" s="40"/>
      <c r="AF39" s="38"/>
      <c r="AG39" s="40"/>
      <c r="AH39" s="40"/>
      <c r="AI39" s="36"/>
      <c r="AJ39" s="36"/>
      <c r="AK39" s="36"/>
      <c r="AL39" s="40"/>
      <c r="AM39" s="40"/>
      <c r="AN39" s="38"/>
      <c r="AO39" s="35"/>
      <c r="AP39" s="35"/>
      <c r="AQ39" s="35"/>
      <c r="AR39" s="35"/>
      <c r="AS39" s="35"/>
      <c r="AT39" s="35"/>
      <c r="AU39" s="35"/>
      <c r="AV39" s="35"/>
      <c r="AW39" s="35"/>
      <c r="AX39" s="35"/>
    </row>
    <row r="40" spans="2:50">
      <c r="B40" s="1">
        <f>Cruise!F40</f>
        <v>0.65969672852566186</v>
      </c>
      <c r="D40" s="1">
        <f>Propeller!$B$8</f>
        <v>0.30479999999999996</v>
      </c>
      <c r="E40" s="19">
        <f ca="1">Cruise!X40</f>
        <v>19.43145462796252</v>
      </c>
      <c r="F40" s="49">
        <f t="shared" ca="1" si="6"/>
        <v>0.77652833054376447</v>
      </c>
      <c r="G40" s="19">
        <f ca="1">MAX(Motor!$B$7,K40*Motor!$B$7)</f>
        <v>10106.370966558668</v>
      </c>
      <c r="H40" s="10">
        <f ca="1">E40/(G40/60*D40)*Propulsão!J40</f>
        <v>0.36509724309143454</v>
      </c>
      <c r="I40" s="13">
        <f ca="1">F40*Energy!$B$6</f>
        <v>9.2018607169436102</v>
      </c>
      <c r="J40" s="51">
        <f ca="1">IF(ISERROR(U40),Motor!$B$10,U40)</f>
        <v>19.999061684172595</v>
      </c>
      <c r="K40" s="20">
        <f ca="1">I40-Motor!$B$9*J40</f>
        <v>8.4218973112608797</v>
      </c>
      <c r="L40" s="14">
        <f ca="1">MAX(Motor!$B$8,J40-Motor!$B$8)</f>
        <v>17.699061684172595</v>
      </c>
      <c r="M40" s="14">
        <f t="shared" ca="1" si="0"/>
        <v>184.02858008731991</v>
      </c>
      <c r="N40" s="20">
        <f t="shared" ca="1" si="1"/>
        <v>149.05968000977364</v>
      </c>
      <c r="O40" s="1">
        <f t="shared" ca="1" si="2"/>
        <v>0.14084334506076296</v>
      </c>
      <c r="P40" s="10">
        <f t="shared" ca="1" si="3"/>
        <v>1.7972524549522688E-2</v>
      </c>
      <c r="Q40" s="10">
        <f ca="1">Propeller!$B$15+Propeller!$B$16*H40+Propeller!$B$17*H40^2+Propeller!$B$18*H40^3+Propeller!$B$19*H40^4+Propeller!$B$20*H40^5+Propeller!$B$21*H40^6</f>
        <v>1.7966429111617433E-2</v>
      </c>
      <c r="R40" s="10">
        <f ca="1">(Propeller!$B$23+Propeller!$B$24*H40+Propeller!$B$25*H40^2+Propeller!$B$26*H40^3+Propeller!$B$27*H40^4+Propeller!$B$28*H40^5+Propeller!$B$29*H40^6)*Propulsão!M40</f>
        <v>0.66696945906999316</v>
      </c>
      <c r="S40" s="19">
        <f t="shared" ca="1" si="4"/>
        <v>99.418254145264996</v>
      </c>
      <c r="T40" s="19">
        <f ca="1">Cruise!S40</f>
        <v>99.398494108220746</v>
      </c>
      <c r="U40" s="14">
        <f ca="1">MIN(Motor!$B$10,MAX(Motor!$B$8,J40+0.05*(Q40/P40-1)*J40))</f>
        <v>19.998722546956998</v>
      </c>
      <c r="V40" s="50" t="str">
        <f t="shared" ca="1" si="5"/>
        <v>OK</v>
      </c>
      <c r="W40" s="1">
        <f t="shared" ca="1" si="7"/>
        <v>0.77652061353610358</v>
      </c>
      <c r="X40" s="50" t="str">
        <f t="shared" ca="1" si="8"/>
        <v>OK</v>
      </c>
      <c r="Y40" s="35"/>
      <c r="Z40" s="36"/>
      <c r="AA40" s="36"/>
      <c r="AB40" s="36"/>
      <c r="AC40" s="38"/>
      <c r="AD40" s="41"/>
      <c r="AE40" s="40"/>
      <c r="AF40" s="38"/>
      <c r="AG40" s="40"/>
      <c r="AH40" s="40"/>
      <c r="AI40" s="36"/>
      <c r="AJ40" s="36"/>
      <c r="AK40" s="36"/>
      <c r="AL40" s="40"/>
      <c r="AM40" s="40"/>
      <c r="AN40" s="38"/>
      <c r="AO40" s="35"/>
      <c r="AP40" s="35"/>
      <c r="AQ40" s="35"/>
      <c r="AR40" s="35"/>
      <c r="AS40" s="35"/>
      <c r="AT40" s="35"/>
      <c r="AU40" s="35"/>
      <c r="AV40" s="35"/>
      <c r="AW40" s="35"/>
      <c r="AX40" s="35"/>
    </row>
    <row r="41" spans="2:50">
      <c r="B41" s="1"/>
      <c r="D41" s="16"/>
      <c r="E41" s="19"/>
      <c r="F41" s="16"/>
      <c r="G41" s="19"/>
      <c r="H41" s="42"/>
      <c r="I41" s="40"/>
      <c r="J41" s="20"/>
      <c r="K41" s="19"/>
      <c r="L41" s="19"/>
      <c r="M41" s="20"/>
      <c r="N41" s="20"/>
      <c r="O41" s="42"/>
      <c r="P41" s="42"/>
      <c r="Q41" s="42"/>
      <c r="R41" s="19"/>
      <c r="S41" s="19"/>
      <c r="T41" s="19"/>
      <c r="U41" s="53"/>
      <c r="V41" s="16"/>
      <c r="W41" s="53"/>
      <c r="Y41" s="35"/>
      <c r="Z41" s="36"/>
      <c r="AA41" s="36"/>
      <c r="AB41" s="36"/>
      <c r="AC41" s="38"/>
      <c r="AD41" s="41"/>
      <c r="AE41" s="40"/>
      <c r="AF41" s="38"/>
      <c r="AG41" s="40"/>
      <c r="AH41" s="40"/>
      <c r="AI41" s="36"/>
      <c r="AJ41" s="36"/>
      <c r="AK41" s="36"/>
      <c r="AL41" s="40"/>
      <c r="AM41" s="40"/>
      <c r="AN41" s="38"/>
      <c r="AO41" s="35"/>
      <c r="AP41" s="35"/>
      <c r="AQ41" s="35"/>
      <c r="AR41" s="35"/>
      <c r="AS41" s="35"/>
      <c r="AT41" s="35"/>
      <c r="AU41" s="35"/>
      <c r="AV41" s="35"/>
      <c r="AW41" s="35"/>
      <c r="AX41" s="35"/>
    </row>
    <row r="42" spans="2:50">
      <c r="B42" s="1"/>
      <c r="D42" s="16"/>
      <c r="E42" s="19"/>
      <c r="F42" s="16"/>
      <c r="G42" s="19"/>
      <c r="H42" s="42"/>
      <c r="I42" s="40"/>
      <c r="J42" s="20"/>
      <c r="K42" s="19"/>
      <c r="L42" s="19"/>
      <c r="M42" s="20"/>
      <c r="N42" s="20"/>
      <c r="O42" s="42"/>
      <c r="P42" s="42"/>
      <c r="Q42" s="42"/>
      <c r="R42" s="19"/>
      <c r="S42" s="19"/>
      <c r="T42" s="19"/>
      <c r="U42" s="53"/>
      <c r="V42" s="16"/>
      <c r="W42" s="53"/>
      <c r="Y42" s="35"/>
      <c r="Z42" s="36"/>
      <c r="AA42" s="36"/>
      <c r="AB42" s="36"/>
      <c r="AC42" s="38"/>
      <c r="AD42" s="41"/>
      <c r="AE42" s="40"/>
      <c r="AF42" s="38"/>
      <c r="AG42" s="40"/>
      <c r="AH42" s="40"/>
      <c r="AI42" s="36"/>
      <c r="AJ42" s="36"/>
      <c r="AK42" s="36"/>
      <c r="AL42" s="40"/>
      <c r="AM42" s="40"/>
      <c r="AN42" s="38"/>
      <c r="AO42" s="35"/>
      <c r="AP42" s="35"/>
      <c r="AQ42" s="35"/>
      <c r="AR42" s="35"/>
      <c r="AS42" s="35"/>
      <c r="AT42" s="35"/>
      <c r="AU42" s="35"/>
      <c r="AV42" s="35"/>
      <c r="AW42" s="35"/>
      <c r="AX42" s="35"/>
    </row>
    <row r="43" spans="2:50">
      <c r="B43" s="1"/>
      <c r="Y43" s="35"/>
      <c r="Z43" s="36"/>
      <c r="AA43" s="36"/>
      <c r="AB43" s="36"/>
      <c r="AC43" s="38"/>
      <c r="AD43" s="41"/>
      <c r="AE43" s="40"/>
      <c r="AF43" s="38"/>
      <c r="AG43" s="40"/>
      <c r="AH43" s="40"/>
      <c r="AI43" s="36"/>
      <c r="AJ43" s="36"/>
      <c r="AK43" s="36"/>
      <c r="AL43" s="40"/>
      <c r="AM43" s="40"/>
      <c r="AN43" s="38"/>
      <c r="AO43" s="35"/>
      <c r="AP43" s="35"/>
      <c r="AQ43" s="35"/>
      <c r="AR43" s="35"/>
      <c r="AS43" s="35"/>
      <c r="AT43" s="35"/>
      <c r="AU43" s="35"/>
      <c r="AV43" s="35"/>
      <c r="AW43" s="35"/>
      <c r="AX43" s="35"/>
    </row>
    <row r="44" spans="2:50">
      <c r="B44" s="1"/>
      <c r="Y44" s="35"/>
      <c r="Z44" s="36"/>
      <c r="AA44" s="36"/>
      <c r="AB44" s="36"/>
      <c r="AC44" s="38"/>
      <c r="AD44" s="41"/>
      <c r="AE44" s="40"/>
      <c r="AF44" s="38"/>
      <c r="AG44" s="40"/>
      <c r="AH44" s="40"/>
      <c r="AI44" s="36"/>
      <c r="AJ44" s="36"/>
      <c r="AK44" s="36"/>
      <c r="AL44" s="40"/>
      <c r="AM44" s="40"/>
      <c r="AN44" s="38"/>
      <c r="AO44" s="35"/>
      <c r="AP44" s="35"/>
      <c r="AQ44" s="35"/>
      <c r="AR44" s="35"/>
      <c r="AS44" s="35"/>
      <c r="AT44" s="35"/>
      <c r="AU44" s="35"/>
      <c r="AV44" s="35"/>
      <c r="AW44" s="35"/>
      <c r="AX44" s="35"/>
    </row>
    <row r="45" spans="2:50">
      <c r="B45" s="1"/>
      <c r="Y45" s="35"/>
      <c r="Z45" s="36"/>
      <c r="AA45" s="36"/>
      <c r="AB45" s="36"/>
      <c r="AC45" s="38"/>
      <c r="AD45" s="41"/>
      <c r="AE45" s="40"/>
      <c r="AF45" s="38"/>
      <c r="AG45" s="40"/>
      <c r="AH45" s="40"/>
      <c r="AI45" s="36"/>
      <c r="AJ45" s="36"/>
      <c r="AK45" s="36"/>
      <c r="AL45" s="40"/>
      <c r="AM45" s="40"/>
      <c r="AN45" s="38"/>
      <c r="AO45" s="35"/>
      <c r="AP45" s="35"/>
      <c r="AQ45" s="35"/>
      <c r="AR45" s="35"/>
      <c r="AS45" s="35"/>
      <c r="AT45" s="35"/>
      <c r="AU45" s="35"/>
      <c r="AV45" s="35"/>
      <c r="AW45" s="35"/>
      <c r="AX45" s="35"/>
    </row>
    <row r="46" spans="2:50">
      <c r="B46" s="1"/>
      <c r="Y46" s="35"/>
      <c r="Z46" s="36"/>
      <c r="AA46" s="36"/>
      <c r="AB46" s="36"/>
      <c r="AC46" s="38"/>
      <c r="AD46" s="41"/>
      <c r="AE46" s="40"/>
      <c r="AF46" s="38"/>
      <c r="AG46" s="40"/>
      <c r="AH46" s="40"/>
      <c r="AI46" s="36"/>
      <c r="AJ46" s="36"/>
      <c r="AK46" s="36"/>
      <c r="AL46" s="40"/>
      <c r="AM46" s="40"/>
      <c r="AN46" s="38"/>
      <c r="AO46" s="35"/>
      <c r="AP46" s="35"/>
      <c r="AQ46" s="35"/>
      <c r="AR46" s="35"/>
      <c r="AS46" s="35"/>
      <c r="AT46" s="35"/>
      <c r="AU46" s="35"/>
      <c r="AV46" s="35"/>
      <c r="AW46" s="35"/>
      <c r="AX46" s="35"/>
    </row>
    <row r="47" spans="2:50">
      <c r="B47" s="1"/>
      <c r="Y47" s="35"/>
      <c r="Z47" s="36"/>
      <c r="AA47" s="36"/>
      <c r="AB47" s="36"/>
      <c r="AC47" s="38"/>
      <c r="AD47" s="41"/>
      <c r="AE47" s="40"/>
      <c r="AF47" s="38"/>
      <c r="AG47" s="40"/>
      <c r="AH47" s="40"/>
      <c r="AI47" s="36"/>
      <c r="AJ47" s="36"/>
      <c r="AK47" s="36"/>
      <c r="AL47" s="40"/>
      <c r="AM47" s="40"/>
      <c r="AN47" s="38"/>
      <c r="AO47" s="35"/>
      <c r="AP47" s="35"/>
      <c r="AQ47" s="35"/>
      <c r="AR47" s="35"/>
      <c r="AS47" s="35"/>
      <c r="AT47" s="35"/>
      <c r="AU47" s="35"/>
      <c r="AV47" s="35"/>
      <c r="AW47" s="35"/>
      <c r="AX47" s="35"/>
    </row>
    <row r="48" spans="2:50">
      <c r="Y48" s="35"/>
      <c r="Z48" s="36"/>
      <c r="AA48" s="36"/>
      <c r="AB48" s="36"/>
      <c r="AC48" s="38"/>
      <c r="AD48" s="41"/>
      <c r="AE48" s="40"/>
      <c r="AF48" s="38"/>
      <c r="AG48" s="40"/>
      <c r="AH48" s="40"/>
      <c r="AI48" s="36"/>
      <c r="AJ48" s="36"/>
      <c r="AK48" s="36"/>
      <c r="AL48" s="40"/>
      <c r="AM48" s="40"/>
      <c r="AN48" s="38"/>
      <c r="AO48" s="35"/>
      <c r="AP48" s="35"/>
      <c r="AQ48" s="35"/>
      <c r="AR48" s="35"/>
      <c r="AS48" s="35"/>
      <c r="AT48" s="35"/>
      <c r="AU48" s="35"/>
      <c r="AV48" s="35"/>
      <c r="AW48" s="35"/>
      <c r="AX48" s="35"/>
    </row>
    <row r="49" spans="25:50">
      <c r="Y49" s="35"/>
      <c r="Z49" s="36"/>
      <c r="AA49" s="36"/>
      <c r="AB49" s="36"/>
      <c r="AC49" s="38"/>
      <c r="AD49" s="41"/>
      <c r="AE49" s="40"/>
      <c r="AF49" s="38"/>
      <c r="AG49" s="40"/>
      <c r="AH49" s="40"/>
      <c r="AI49" s="36"/>
      <c r="AJ49" s="36"/>
      <c r="AK49" s="36"/>
      <c r="AL49" s="40"/>
      <c r="AM49" s="40"/>
      <c r="AN49" s="38"/>
      <c r="AO49" s="35"/>
      <c r="AP49" s="35"/>
      <c r="AQ49" s="35"/>
      <c r="AR49" s="35"/>
      <c r="AS49" s="35"/>
      <c r="AT49" s="35"/>
      <c r="AU49" s="35"/>
      <c r="AV49" s="35"/>
      <c r="AW49" s="35"/>
      <c r="AX49" s="35"/>
    </row>
    <row r="50" spans="25:50">
      <c r="Y50" s="35"/>
      <c r="Z50" s="36"/>
      <c r="AA50" s="36"/>
      <c r="AB50" s="36"/>
      <c r="AC50" s="38"/>
      <c r="AD50" s="41"/>
      <c r="AE50" s="40"/>
      <c r="AF50" s="38"/>
      <c r="AG50" s="40"/>
      <c r="AH50" s="40"/>
      <c r="AI50" s="36"/>
      <c r="AJ50" s="36"/>
      <c r="AK50" s="36"/>
      <c r="AL50" s="40"/>
      <c r="AM50" s="40"/>
      <c r="AN50" s="38"/>
      <c r="AO50" s="35"/>
      <c r="AP50" s="35"/>
      <c r="AQ50" s="35"/>
      <c r="AR50" s="35"/>
      <c r="AS50" s="35"/>
      <c r="AT50" s="35"/>
      <c r="AU50" s="35"/>
      <c r="AV50" s="35"/>
      <c r="AW50" s="35"/>
      <c r="AX50" s="35"/>
    </row>
    <row r="51" spans="25:50">
      <c r="Y51" s="35"/>
      <c r="Z51" s="36"/>
      <c r="AA51" s="36"/>
      <c r="AB51" s="36"/>
      <c r="AC51" s="38"/>
      <c r="AD51" s="41"/>
      <c r="AE51" s="40"/>
      <c r="AF51" s="38"/>
      <c r="AG51" s="40"/>
      <c r="AH51" s="40"/>
      <c r="AI51" s="36"/>
      <c r="AJ51" s="36"/>
      <c r="AK51" s="36"/>
      <c r="AL51" s="40"/>
      <c r="AM51" s="40"/>
      <c r="AN51" s="38"/>
      <c r="AO51" s="35"/>
      <c r="AP51" s="35"/>
      <c r="AQ51" s="35"/>
      <c r="AR51" s="35"/>
      <c r="AS51" s="35"/>
      <c r="AT51" s="35"/>
      <c r="AU51" s="35"/>
      <c r="AV51" s="35"/>
      <c r="AW51" s="35"/>
      <c r="AX51" s="35"/>
    </row>
    <row r="52" spans="25:50">
      <c r="Y52" s="35"/>
      <c r="Z52" s="36"/>
      <c r="AA52" s="36"/>
      <c r="AB52" s="36"/>
      <c r="AC52" s="38"/>
      <c r="AD52" s="41"/>
      <c r="AE52" s="40"/>
      <c r="AF52" s="38"/>
      <c r="AG52" s="40"/>
      <c r="AH52" s="40"/>
      <c r="AI52" s="36"/>
      <c r="AJ52" s="36"/>
      <c r="AK52" s="36"/>
      <c r="AL52" s="40"/>
      <c r="AM52" s="40"/>
      <c r="AN52" s="38"/>
      <c r="AO52" s="35"/>
      <c r="AP52" s="35"/>
      <c r="AQ52" s="35"/>
      <c r="AR52" s="35"/>
      <c r="AS52" s="35"/>
      <c r="AT52" s="35"/>
      <c r="AU52" s="35"/>
      <c r="AV52" s="35"/>
      <c r="AW52" s="35"/>
      <c r="AX52" s="35"/>
    </row>
    <row r="53" spans="25:50">
      <c r="Y53" s="35"/>
      <c r="Z53" s="36"/>
      <c r="AA53" s="36"/>
      <c r="AB53" s="36"/>
      <c r="AC53" s="38"/>
      <c r="AD53" s="41"/>
      <c r="AE53" s="40"/>
      <c r="AF53" s="38"/>
      <c r="AG53" s="40"/>
      <c r="AH53" s="40"/>
      <c r="AI53" s="36"/>
      <c r="AJ53" s="36"/>
      <c r="AK53" s="36"/>
      <c r="AL53" s="40"/>
      <c r="AM53" s="40"/>
      <c r="AN53" s="38"/>
      <c r="AO53" s="35"/>
      <c r="AP53" s="35"/>
      <c r="AQ53" s="35"/>
      <c r="AR53" s="35"/>
      <c r="AS53" s="35"/>
      <c r="AT53" s="35"/>
      <c r="AU53" s="35"/>
      <c r="AV53" s="35"/>
      <c r="AW53" s="35"/>
      <c r="AX53" s="35"/>
    </row>
    <row r="54" spans="25:50">
      <c r="Y54" s="35"/>
      <c r="Z54" s="36"/>
      <c r="AA54" s="36"/>
      <c r="AB54" s="36"/>
      <c r="AC54" s="38"/>
      <c r="AD54" s="41"/>
      <c r="AE54" s="40"/>
      <c r="AF54" s="38"/>
      <c r="AG54" s="40"/>
      <c r="AH54" s="40"/>
      <c r="AI54" s="36"/>
      <c r="AJ54" s="36"/>
      <c r="AK54" s="36"/>
      <c r="AL54" s="40"/>
      <c r="AM54" s="40"/>
      <c r="AN54" s="38"/>
      <c r="AO54" s="35"/>
      <c r="AP54" s="35"/>
      <c r="AQ54" s="35"/>
      <c r="AR54" s="35"/>
      <c r="AS54" s="35"/>
      <c r="AT54" s="35"/>
      <c r="AU54" s="35"/>
      <c r="AV54" s="35"/>
      <c r="AW54" s="35"/>
      <c r="AX54" s="35"/>
    </row>
    <row r="55" spans="25:50">
      <c r="Y55" s="35"/>
      <c r="Z55" s="36"/>
      <c r="AA55" s="36"/>
      <c r="AB55" s="36"/>
      <c r="AC55" s="38"/>
      <c r="AD55" s="41"/>
      <c r="AE55" s="40"/>
      <c r="AF55" s="38"/>
      <c r="AG55" s="40"/>
      <c r="AH55" s="40"/>
      <c r="AI55" s="36"/>
      <c r="AJ55" s="36"/>
      <c r="AK55" s="36"/>
      <c r="AL55" s="40"/>
      <c r="AM55" s="40"/>
      <c r="AN55" s="38"/>
      <c r="AO55" s="35"/>
      <c r="AP55" s="35"/>
      <c r="AQ55" s="35"/>
      <c r="AR55" s="35"/>
      <c r="AS55" s="35"/>
      <c r="AT55" s="35"/>
      <c r="AU55" s="35"/>
      <c r="AV55" s="35"/>
      <c r="AW55" s="35"/>
      <c r="AX55" s="35"/>
    </row>
    <row r="56" spans="25:50"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</row>
    <row r="57" spans="25:50"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</row>
    <row r="58" spans="25:50"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</row>
    <row r="59" spans="25:50"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</row>
    <row r="60" spans="25:50"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</row>
    <row r="61" spans="25:50"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</row>
    <row r="62" spans="25:50"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</row>
    <row r="63" spans="25:50"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</row>
    <row r="64" spans="25:50"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</row>
    <row r="65" spans="25:50"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</row>
    <row r="66" spans="25:50"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</row>
    <row r="67" spans="25:50"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</row>
    <row r="68" spans="25:50"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</row>
    <row r="69" spans="25:50"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</row>
    <row r="70" spans="25:50"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</row>
    <row r="71" spans="25:50"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</row>
    <row r="72" spans="25:50"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</row>
    <row r="73" spans="25:50"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</row>
    <row r="74" spans="25:50"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</row>
    <row r="75" spans="25:50"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</row>
    <row r="76" spans="25:50"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</row>
    <row r="77" spans="25:50"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</row>
    <row r="78" spans="25:50"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</row>
    <row r="79" spans="25:50"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</row>
    <row r="80" spans="25:50"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</row>
    <row r="81" spans="25:50"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</row>
    <row r="82" spans="25:50"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</row>
    <row r="83" spans="25:50"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</row>
    <row r="84" spans="25:50"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</row>
    <row r="85" spans="25:50"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</row>
    <row r="86" spans="25:50"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</row>
    <row r="87" spans="25:50"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</row>
    <row r="88" spans="25:50"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</row>
    <row r="89" spans="25:50"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</row>
    <row r="90" spans="25:50"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90"/>
  <sheetViews>
    <sheetView topLeftCell="K1" zoomScale="110" zoomScaleNormal="110" workbookViewId="0">
      <selection activeCell="T21" sqref="T21"/>
    </sheetView>
  </sheetViews>
  <sheetFormatPr defaultRowHeight="12.75"/>
  <sheetData>
    <row r="1" spans="1:50">
      <c r="A1" s="17" t="s">
        <v>783</v>
      </c>
    </row>
    <row r="2" spans="1:50"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</row>
    <row r="3" spans="1:50">
      <c r="A3" t="s">
        <v>270</v>
      </c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</row>
    <row r="4" spans="1:50">
      <c r="D4" s="17"/>
      <c r="I4" s="17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</row>
    <row r="5" spans="1:50">
      <c r="A5" s="65" t="s">
        <v>110</v>
      </c>
      <c r="B5" s="61">
        <v>1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</row>
    <row r="6" spans="1:50">
      <c r="A6" s="35"/>
      <c r="B6" s="35"/>
      <c r="C6" s="35"/>
      <c r="D6" s="35"/>
      <c r="E6" s="60"/>
      <c r="F6" s="35"/>
      <c r="G6" s="35"/>
      <c r="H6" s="60"/>
      <c r="I6" s="35"/>
      <c r="J6" s="35"/>
      <c r="K6" s="35"/>
      <c r="L6" s="35"/>
      <c r="M6" s="35"/>
      <c r="N6" s="35"/>
      <c r="O6" s="35"/>
      <c r="Y6" s="35"/>
      <c r="Z6" s="37"/>
      <c r="AA6" s="40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</row>
    <row r="7" spans="1:50">
      <c r="A7" s="37"/>
      <c r="B7" s="40"/>
      <c r="C7" s="37"/>
      <c r="D7" s="35"/>
      <c r="E7" s="60"/>
      <c r="F7" s="35"/>
      <c r="G7" s="35"/>
      <c r="H7" s="60"/>
      <c r="I7" s="35"/>
      <c r="J7" s="37"/>
      <c r="K7" s="41"/>
      <c r="L7" s="37"/>
      <c r="M7" s="35"/>
      <c r="N7" s="35"/>
      <c r="O7" s="35"/>
      <c r="Y7" s="35"/>
      <c r="Z7" s="37"/>
      <c r="AA7" s="36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</row>
    <row r="8" spans="1:50">
      <c r="A8" s="37"/>
      <c r="B8" s="36"/>
      <c r="C8" s="37"/>
      <c r="D8" s="35"/>
      <c r="E8" s="60"/>
      <c r="F8" s="35"/>
      <c r="G8" s="35"/>
      <c r="H8" s="60"/>
      <c r="I8" s="35"/>
      <c r="J8" s="37"/>
      <c r="K8" s="38"/>
      <c r="L8" s="37"/>
      <c r="M8" s="35"/>
      <c r="N8" s="35"/>
      <c r="O8" s="35"/>
      <c r="Y8" s="35"/>
      <c r="Z8" s="37"/>
      <c r="AA8" s="40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</row>
    <row r="9" spans="1:50">
      <c r="A9" s="37"/>
      <c r="B9" s="40"/>
      <c r="C9" s="37"/>
      <c r="D9" s="35"/>
      <c r="E9" s="60"/>
      <c r="F9" s="35"/>
      <c r="G9" s="35"/>
      <c r="H9" s="60"/>
      <c r="I9" s="35"/>
      <c r="J9" s="37"/>
      <c r="K9" s="38"/>
      <c r="L9" s="37"/>
      <c r="M9" s="35"/>
      <c r="N9" s="35"/>
      <c r="O9" s="35"/>
      <c r="Y9" s="35"/>
      <c r="Z9" s="37"/>
      <c r="AA9" s="36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</row>
    <row r="10" spans="1:50">
      <c r="A10" s="37"/>
      <c r="B10" s="36"/>
      <c r="C10" s="37"/>
      <c r="D10" s="35"/>
      <c r="E10" s="60"/>
      <c r="F10" s="35"/>
      <c r="G10" s="35"/>
      <c r="H10" s="60"/>
      <c r="I10" s="35"/>
      <c r="J10" s="37"/>
      <c r="K10" s="38"/>
      <c r="L10" s="37"/>
      <c r="M10" s="35"/>
      <c r="N10" s="35"/>
      <c r="O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</row>
    <row r="11" spans="1:50">
      <c r="A11" s="35"/>
      <c r="B11" s="35"/>
      <c r="C11" s="35"/>
      <c r="D11" s="35"/>
      <c r="E11" s="60"/>
      <c r="F11" s="35"/>
      <c r="G11" s="35"/>
      <c r="H11" s="60"/>
      <c r="I11" s="35"/>
      <c r="J11" s="37"/>
      <c r="K11" s="38"/>
      <c r="L11" s="37"/>
      <c r="M11" s="35"/>
      <c r="N11" s="35"/>
      <c r="O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</row>
    <row r="12" spans="1:50">
      <c r="A12" s="35"/>
      <c r="B12" s="35"/>
      <c r="C12" s="35"/>
      <c r="D12" s="35"/>
      <c r="E12" s="60"/>
      <c r="F12" s="35"/>
      <c r="G12" s="35"/>
      <c r="H12" s="60"/>
      <c r="I12" s="35"/>
      <c r="J12" s="37"/>
      <c r="K12" s="38"/>
      <c r="L12" s="37"/>
      <c r="M12" s="35"/>
      <c r="N12" s="35"/>
      <c r="O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</row>
    <row r="13" spans="1:50"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</row>
    <row r="14" spans="1:50"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</row>
    <row r="15" spans="1:50">
      <c r="B15" t="s">
        <v>273</v>
      </c>
      <c r="Y15" s="35"/>
      <c r="Z15" s="35"/>
      <c r="AA15" s="35"/>
      <c r="AB15" s="35"/>
      <c r="AC15" s="35"/>
      <c r="AD15" s="35"/>
      <c r="AE15" s="37"/>
      <c r="AF15" s="35"/>
      <c r="AG15" s="35"/>
      <c r="AH15" s="35"/>
      <c r="AI15" s="35"/>
      <c r="AJ15" s="35"/>
      <c r="AK15" s="37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</row>
    <row r="16" spans="1:50">
      <c r="Y16" s="35"/>
      <c r="Z16" s="35"/>
      <c r="AA16" s="35"/>
      <c r="AB16" s="35"/>
      <c r="AC16" s="35"/>
      <c r="AD16" s="35"/>
      <c r="AE16" s="37"/>
      <c r="AF16" s="35"/>
      <c r="AG16" s="35"/>
      <c r="AH16" s="35"/>
      <c r="AI16" s="35"/>
      <c r="AJ16" s="35"/>
      <c r="AK16" s="37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</row>
    <row r="17" spans="2:50"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</row>
    <row r="18" spans="2:50">
      <c r="B18" s="9" t="s">
        <v>29</v>
      </c>
      <c r="D18" s="9" t="s">
        <v>57</v>
      </c>
      <c r="E18" s="9" t="s">
        <v>40</v>
      </c>
      <c r="F18" s="9" t="s">
        <v>110</v>
      </c>
      <c r="G18" s="9" t="s">
        <v>35</v>
      </c>
      <c r="H18" s="9" t="s">
        <v>116</v>
      </c>
      <c r="I18" s="9" t="s">
        <v>103</v>
      </c>
      <c r="J18" s="9" t="s">
        <v>104</v>
      </c>
      <c r="K18" s="9" t="s">
        <v>106</v>
      </c>
      <c r="L18" s="9" t="s">
        <v>123</v>
      </c>
      <c r="M18" s="9" t="s">
        <v>227</v>
      </c>
      <c r="N18" s="9" t="s">
        <v>220</v>
      </c>
      <c r="O18" s="47" t="s">
        <v>221</v>
      </c>
      <c r="P18" s="9" t="s">
        <v>222</v>
      </c>
      <c r="Q18" s="9" t="s">
        <v>223</v>
      </c>
      <c r="R18" s="9" t="s">
        <v>117</v>
      </c>
      <c r="S18" s="9" t="s">
        <v>141</v>
      </c>
      <c r="T18" s="9" t="s">
        <v>59</v>
      </c>
      <c r="U18" s="9" t="s">
        <v>228</v>
      </c>
      <c r="W18" s="9" t="s">
        <v>224</v>
      </c>
      <c r="Y18" s="9" t="s">
        <v>784</v>
      </c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5"/>
      <c r="AP18" s="35"/>
      <c r="AQ18" s="35"/>
      <c r="AR18" s="35"/>
      <c r="AS18" s="35"/>
      <c r="AT18" s="35"/>
      <c r="AU18" s="35"/>
      <c r="AV18" s="35"/>
      <c r="AW18" s="35"/>
      <c r="AX18" s="35"/>
    </row>
    <row r="19" spans="2:50">
      <c r="B19" s="9" t="s">
        <v>30</v>
      </c>
      <c r="D19" s="9" t="s">
        <v>4</v>
      </c>
      <c r="E19" s="9" t="s">
        <v>1</v>
      </c>
      <c r="G19" s="9" t="s">
        <v>98</v>
      </c>
      <c r="I19" s="9" t="s">
        <v>40</v>
      </c>
      <c r="J19" s="9" t="s">
        <v>100</v>
      </c>
      <c r="K19" s="9" t="s">
        <v>40</v>
      </c>
      <c r="L19" s="9" t="s">
        <v>100</v>
      </c>
      <c r="M19" s="9" t="s">
        <v>34</v>
      </c>
      <c r="N19" s="9" t="s">
        <v>34</v>
      </c>
      <c r="O19" s="48" t="s">
        <v>107</v>
      </c>
      <c r="P19" s="9" t="s">
        <v>225</v>
      </c>
      <c r="Q19" s="9" t="s">
        <v>226</v>
      </c>
      <c r="S19" s="9" t="s">
        <v>34</v>
      </c>
      <c r="T19" s="9" t="s">
        <v>34</v>
      </c>
      <c r="U19" s="9" t="s">
        <v>100</v>
      </c>
      <c r="Y19" s="9" t="s">
        <v>1</v>
      </c>
      <c r="Z19" s="35"/>
      <c r="AA19" s="35"/>
      <c r="AB19" s="37"/>
      <c r="AC19" s="37"/>
      <c r="AD19" s="37"/>
      <c r="AE19" s="37"/>
      <c r="AF19" s="37"/>
      <c r="AG19" s="37"/>
      <c r="AH19" s="37"/>
      <c r="AI19" s="35"/>
      <c r="AJ19" s="35"/>
      <c r="AK19" s="35"/>
      <c r="AL19" s="37"/>
      <c r="AM19" s="37"/>
      <c r="AN19" s="37"/>
      <c r="AO19" s="35"/>
      <c r="AP19" s="35"/>
      <c r="AQ19" s="35"/>
      <c r="AR19" s="35"/>
      <c r="AS19" s="35"/>
      <c r="AT19" s="35"/>
      <c r="AU19" s="35"/>
      <c r="AV19" s="35"/>
      <c r="AW19" s="35"/>
      <c r="AX19" s="35"/>
    </row>
    <row r="20" spans="2:50"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</row>
    <row r="21" spans="2:50">
      <c r="B21" s="1">
        <f>Cruise!F21</f>
        <v>0.65969672852566186</v>
      </c>
      <c r="D21" s="1">
        <f>Propeller!$B$8</f>
        <v>0.30479999999999996</v>
      </c>
      <c r="E21" s="30">
        <f ca="1">IF(ISERROR(Y21),'Propulsion-Cruise'!E21,Y21)</f>
        <v>29.912886947201152</v>
      </c>
      <c r="F21" s="49">
        <f ca="1">IF(ISERROR(W21),1,W21)</f>
        <v>1</v>
      </c>
      <c r="G21" s="19">
        <f ca="1">MAX(Motor!$B$7,K21*Motor!$B$7)</f>
        <v>13035.69266184009</v>
      </c>
      <c r="H21" s="10">
        <f ca="1">E21/(G21/60*D21)*Propulsão!J21</f>
        <v>0.43573524827019366</v>
      </c>
      <c r="I21" s="13">
        <f ca="1">F21*Energy!$B$6</f>
        <v>11.850000000000001</v>
      </c>
      <c r="J21" s="51">
        <f ca="1">IF(ISERROR(U21),Motor!$B$10,MIN(Motor!$B$10,U21))</f>
        <v>25.305712353858947</v>
      </c>
      <c r="K21" s="20">
        <f ca="1">I21-Motor!$B$9*J21</f>
        <v>10.863077218199502</v>
      </c>
      <c r="L21" s="14">
        <f ca="1">MAX(Motor!$B$8,J21-Motor!$B$8)</f>
        <v>23.005712353858947</v>
      </c>
      <c r="M21" s="14">
        <f t="shared" ref="M21:M40" ca="1" si="0">I21*J21</f>
        <v>299.87269139322854</v>
      </c>
      <c r="N21" s="20">
        <f t="shared" ref="N21:N40" ca="1" si="1">K21*L21</f>
        <v>249.91282975965595</v>
      </c>
      <c r="O21" s="1">
        <f t="shared" ref="O21:O40" ca="1" si="2">N21/(G21/60*(2*PI()))</f>
        <v>0.18307364202333704</v>
      </c>
      <c r="P21" s="10">
        <f t="shared" ref="P21:P40" ca="1" si="3">N21/(B21*(G21/60)^3*D21^5)</f>
        <v>1.4041736575776058E-2</v>
      </c>
      <c r="Q21" s="10">
        <f ca="1">Propeller!$B$15+Propeller!$B$16*H21+Propeller!$B$17*H21^2+Propeller!$B$18*H21^3+Propeller!$B$19*H21^4+Propeller!$B$20*H21^5+Propeller!$B$21*H21^6</f>
        <v>1.4041736575937875E-2</v>
      </c>
      <c r="R21" s="10">
        <f ca="1">(Propeller!$B$23+Propeller!$B$24*H21+Propeller!$B$25*H21^2+Propeller!$B$26*H21^3+Propeller!$B$27*H21^4+Propeller!$B$28*H21^5+Propeller!$B$29*H21^6)*Propulsão!M21</f>
        <v>0.65395214444645688</v>
      </c>
      <c r="S21" s="19">
        <f t="shared" ref="S21:S40" ca="1" si="4">N21*R21</f>
        <v>163.43103094600932</v>
      </c>
      <c r="T21" s="19">
        <f ca="1">'Aerodynamics-Speed'!BL21</f>
        <v>303.07124597698765</v>
      </c>
      <c r="U21" s="14">
        <f ca="1">MAX(Motor!$B$8,J21+0.05*(Q21/P21-1)*J21)</f>
        <v>25.305712353873528</v>
      </c>
      <c r="V21" s="50" t="str">
        <f t="shared" ref="V21:V40" ca="1" si="5">IF(ABS((Q21-P21)/P21)&lt;0.01,"OK","iterate")</f>
        <v>OK</v>
      </c>
      <c r="W21" s="1">
        <f ca="1">IF(U21&gt;Motor!$B$10,F21+0.05*(Motor!$B$10/U21-1)*F21,MIN(1,$B$5))</f>
        <v>1</v>
      </c>
      <c r="X21" s="50" t="str">
        <f t="shared" ref="X21:X40" ca="1" si="6">IF(ABS((P21-Q21)/Q21)&lt;0.01,"OK","iterate")</f>
        <v>OK</v>
      </c>
      <c r="Y21" s="20">
        <f ca="1">MAX(E21+0.05*(S21/T21-1)*E21,'Propulsion-Cruise'!E21)</f>
        <v>29.912886947189744</v>
      </c>
      <c r="Z21" s="36"/>
      <c r="AA21" s="36"/>
      <c r="AB21" s="36"/>
      <c r="AC21" s="38"/>
      <c r="AD21" s="41"/>
      <c r="AE21" s="40"/>
      <c r="AF21" s="38"/>
      <c r="AG21" s="40"/>
      <c r="AH21" s="40"/>
      <c r="AI21" s="36"/>
      <c r="AJ21" s="36"/>
      <c r="AK21" s="36"/>
      <c r="AL21" s="40"/>
      <c r="AM21" s="40"/>
      <c r="AN21" s="38"/>
      <c r="AO21" s="35"/>
      <c r="AP21" s="35"/>
      <c r="AQ21" s="35"/>
      <c r="AR21" s="35"/>
      <c r="AS21" s="35"/>
      <c r="AT21" s="35"/>
      <c r="AU21" s="35"/>
      <c r="AV21" s="35"/>
      <c r="AW21" s="35"/>
      <c r="AX21" s="35"/>
    </row>
    <row r="22" spans="2:50">
      <c r="B22" s="1">
        <f>Cruise!F22</f>
        <v>0.65969672852566186</v>
      </c>
      <c r="D22" s="1">
        <f>Propeller!$B$8</f>
        <v>0.30479999999999996</v>
      </c>
      <c r="E22" s="30">
        <f ca="1">IF(ISERROR(Y22),'Propulsion-Cruise'!E22,Y22)</f>
        <v>29.421519599191594</v>
      </c>
      <c r="F22" s="49">
        <f t="shared" ref="F22:F40" ca="1" si="7">IF(ISERROR(W22),1,W22)</f>
        <v>1</v>
      </c>
      <c r="G22" s="19">
        <f ca="1">MAX(Motor!$B$7,K22*Motor!$B$7)</f>
        <v>13009.390297624994</v>
      </c>
      <c r="H22" s="10">
        <f ca="1">E22/(G22/60*D22)*Propulsão!J22</f>
        <v>0.42944409247684234</v>
      </c>
      <c r="I22" s="13">
        <f ca="1">F22*Energy!$B$6</f>
        <v>11.850000000000001</v>
      </c>
      <c r="J22" s="51">
        <f ca="1">IF(ISERROR(U22),Motor!$B$10,MIN(Motor!$B$10,U22))</f>
        <v>25.867728683242984</v>
      </c>
      <c r="K22" s="20">
        <f ca="1">I22-Motor!$B$9*J22</f>
        <v>10.841158581353525</v>
      </c>
      <c r="L22" s="14">
        <f ca="1">MAX(Motor!$B$8,J22-Motor!$B$8)</f>
        <v>23.567728683242983</v>
      </c>
      <c r="M22" s="14">
        <f t="shared" ca="1" si="0"/>
        <v>306.5325848964294</v>
      </c>
      <c r="N22" s="20">
        <f t="shared" ca="1" si="1"/>
        <v>255.50148405735129</v>
      </c>
      <c r="O22" s="1">
        <f t="shared" ca="1" si="2"/>
        <v>0.18754602586932734</v>
      </c>
      <c r="P22" s="10">
        <f t="shared" ca="1" si="3"/>
        <v>1.4442993131229837E-2</v>
      </c>
      <c r="Q22" s="10">
        <f ca="1">Propeller!$B$15+Propeller!$B$16*H22+Propeller!$B$17*H22^2+Propeller!$B$18*H22^3+Propeller!$B$19*H22^4+Propeller!$B$20*H22^5+Propeller!$B$21*H22^6</f>
        <v>1.4442993131410769E-2</v>
      </c>
      <c r="R22" s="10">
        <f ca="1">(Propeller!$B$23+Propeller!$B$24*H22+Propeller!$B$25*H22^2+Propeller!$B$26*H22^3+Propeller!$B$27*H22^4+Propeller!$B$28*H22^5+Propeller!$B$29*H22^6)*Propulsão!M22</f>
        <v>0.65949489506812708</v>
      </c>
      <c r="S22" s="19">
        <f t="shared" ca="1" si="4"/>
        <v>168.50192441815364</v>
      </c>
      <c r="T22" s="19">
        <f ca="1">'Aerodynamics-Speed'!BL22</f>
        <v>293.75835059558869</v>
      </c>
      <c r="U22" s="14">
        <f ca="1">MAX(Motor!$B$8,J22+0.05*(Q22/P22-1)*J22)</f>
        <v>25.867728683259188</v>
      </c>
      <c r="V22" s="50" t="str">
        <f t="shared" ca="1" si="5"/>
        <v>OK</v>
      </c>
      <c r="W22" s="1">
        <f ca="1">IF(U22&gt;Motor!$B$10,F22+0.05*(Motor!$B$10/U22-1)*F22,MIN(1,$B$5))</f>
        <v>1</v>
      </c>
      <c r="X22" s="50" t="str">
        <f t="shared" ca="1" si="6"/>
        <v>OK</v>
      </c>
      <c r="Y22" s="20">
        <f ca="1">MAX(E22+0.05*(S22/T22-1)*E22,'Propulsion-Cruise'!E22)</f>
        <v>29.421519599178584</v>
      </c>
      <c r="Z22" s="36"/>
      <c r="AA22" s="36"/>
      <c r="AB22" s="36"/>
      <c r="AC22" s="38"/>
      <c r="AD22" s="41"/>
      <c r="AE22" s="40"/>
      <c r="AF22" s="38"/>
      <c r="AG22" s="40"/>
      <c r="AH22" s="40"/>
      <c r="AI22" s="36"/>
      <c r="AJ22" s="36"/>
      <c r="AK22" s="36"/>
      <c r="AL22" s="40"/>
      <c r="AM22" s="40"/>
      <c r="AN22" s="38"/>
      <c r="AO22" s="35"/>
      <c r="AP22" s="35"/>
      <c r="AQ22" s="35"/>
      <c r="AR22" s="35"/>
      <c r="AS22" s="35"/>
      <c r="AT22" s="35"/>
      <c r="AU22" s="35"/>
      <c r="AV22" s="35"/>
      <c r="AW22" s="35"/>
      <c r="AX22" s="35"/>
    </row>
    <row r="23" spans="2:50">
      <c r="B23" s="1">
        <f>Cruise!F23</f>
        <v>0.65969672852566186</v>
      </c>
      <c r="C23" s="6"/>
      <c r="D23" s="1">
        <f>Propeller!$B$8</f>
        <v>0.30479999999999996</v>
      </c>
      <c r="E23" s="30">
        <f ca="1">IF(ISERROR(Y23),'Propulsion-Cruise'!E23,Y23)</f>
        <v>28.95427846750254</v>
      </c>
      <c r="F23" s="49">
        <f t="shared" ca="1" si="7"/>
        <v>1</v>
      </c>
      <c r="G23" s="19">
        <f ca="1">MAX(Motor!$B$7,K23*Motor!$B$7)</f>
        <v>12985.0187977607</v>
      </c>
      <c r="H23" s="10">
        <f ca="1">E23/(G23/60*D23)*Propulsão!J23</f>
        <v>0.42341734088952399</v>
      </c>
      <c r="I23" s="13">
        <f ca="1">F23*Energy!$B$6</f>
        <v>11.850000000000001</v>
      </c>
      <c r="J23" s="51">
        <f ca="1">IF(ISERROR(U23),Motor!$B$10,MIN(Motor!$B$10,U23))</f>
        <v>26.388487227353359</v>
      </c>
      <c r="K23" s="20">
        <f ca="1">I23-Motor!$B$9*J23</f>
        <v>10.82084899813322</v>
      </c>
      <c r="L23" s="14">
        <f ca="1">MAX(Motor!$B$8,J23-Motor!$B$8)</f>
        <v>24.088487227353358</v>
      </c>
      <c r="M23" s="14">
        <f t="shared" ca="1" si="0"/>
        <v>312.70357364413735</v>
      </c>
      <c r="N23" s="20">
        <f t="shared" ca="1" si="1"/>
        <v>260.65788288065147</v>
      </c>
      <c r="O23" s="1">
        <f t="shared" ca="1" si="2"/>
        <v>0.19169009069195123</v>
      </c>
      <c r="P23" s="10">
        <f t="shared" ca="1" si="3"/>
        <v>1.4817595088546662E-2</v>
      </c>
      <c r="Q23" s="10">
        <f ca="1">Propeller!$B$15+Propeller!$B$16*H23+Propeller!$B$17*H23^2+Propeller!$B$18*H23^3+Propeller!$B$19*H23^4+Propeller!$B$20*H23^5+Propeller!$B$21*H23^6</f>
        <v>1.4817595088745573E-2</v>
      </c>
      <c r="R23" s="10">
        <f ca="1">(Propeller!$B$23+Propeller!$B$24*H23+Propeller!$B$25*H23^2+Propeller!$B$26*H23^3+Propeller!$B$27*H23^4+Propeller!$B$28*H23^5+Propeller!$B$29*H23^6)*Propulsão!M23</f>
        <v>0.66374731480448645</v>
      </c>
      <c r="S23" s="19">
        <f t="shared" ca="1" si="4"/>
        <v>173.01096984465474</v>
      </c>
      <c r="T23" s="19">
        <f ca="1">'Aerodynamics-Speed'!BL23</f>
        <v>285.10348803441184</v>
      </c>
      <c r="U23" s="14">
        <f ca="1">MAX(Motor!$B$8,J23+0.05*(Q23/P23-1)*J23)</f>
        <v>26.388487227371069</v>
      </c>
      <c r="V23" s="50" t="str">
        <f t="shared" ca="1" si="5"/>
        <v>OK</v>
      </c>
      <c r="W23" s="1">
        <f ca="1">IF(U23&gt;Motor!$B$10,F23+0.05*(Motor!$B$10/U23-1)*F23,MIN(1,$B$5))</f>
        <v>1</v>
      </c>
      <c r="X23" s="50" t="str">
        <f t="shared" ca="1" si="6"/>
        <v>OK</v>
      </c>
      <c r="Y23" s="20">
        <f ca="1">MAX(E23+0.05*(S23/T23-1)*E23,'Propulsion-Cruise'!E23)</f>
        <v>28.954278467487942</v>
      </c>
      <c r="Z23" s="36"/>
      <c r="AA23" s="36"/>
      <c r="AB23" s="36"/>
      <c r="AC23" s="38"/>
      <c r="AD23" s="41"/>
      <c r="AE23" s="40"/>
      <c r="AF23" s="38"/>
      <c r="AG23" s="40"/>
      <c r="AH23" s="40"/>
      <c r="AI23" s="36"/>
      <c r="AJ23" s="36"/>
      <c r="AK23" s="36"/>
      <c r="AL23" s="40"/>
      <c r="AM23" s="40"/>
      <c r="AN23" s="38"/>
      <c r="AO23" s="35"/>
      <c r="AP23" s="35"/>
      <c r="AQ23" s="35"/>
      <c r="AR23" s="35"/>
      <c r="AS23" s="35"/>
      <c r="AT23" s="35"/>
      <c r="AU23" s="35"/>
      <c r="AV23" s="35"/>
      <c r="AW23" s="35"/>
      <c r="AX23" s="35"/>
    </row>
    <row r="24" spans="2:50">
      <c r="B24" s="1">
        <f>Cruise!F24</f>
        <v>0.65969672852566186</v>
      </c>
      <c r="C24" s="20"/>
      <c r="D24" s="1">
        <f>Propeller!$B$8</f>
        <v>0.30479999999999996</v>
      </c>
      <c r="E24" s="30">
        <f ca="1">IF(ISERROR(Y24),'Propulsion-Cruise'!E24,Y24)</f>
        <v>27.449674188584485</v>
      </c>
      <c r="F24" s="49">
        <f t="shared" ca="1" si="7"/>
        <v>1</v>
      </c>
      <c r="G24" s="19">
        <f ca="1">MAX(Motor!$B$7,K24*Motor!$B$7)</f>
        <v>12910.749402678022</v>
      </c>
      <c r="H24" s="10">
        <f ca="1">E24/(G24/60*D24)*Propulsão!J24</f>
        <v>0.40372367567754897</v>
      </c>
      <c r="I24" s="13">
        <f ca="1">F24*Energy!$B$6</f>
        <v>11.850000000000001</v>
      </c>
      <c r="J24" s="51">
        <f ca="1">IF(ISERROR(U24),Motor!$B$10,MIN(Motor!$B$10,U24))</f>
        <v>27.975440113737946</v>
      </c>
      <c r="K24" s="20">
        <f ca="1">I24-Motor!$B$9*J24</f>
        <v>10.758957835564221</v>
      </c>
      <c r="L24" s="14">
        <f ca="1">MAX(Motor!$B$8,J24-Motor!$B$8)</f>
        <v>25.675440113737945</v>
      </c>
      <c r="M24" s="14">
        <f t="shared" ca="1" si="0"/>
        <v>331.50896534779469</v>
      </c>
      <c r="N24" s="20">
        <f t="shared" ca="1" si="1"/>
        <v>276.24097759326077</v>
      </c>
      <c r="O24" s="1">
        <f t="shared" ca="1" si="2"/>
        <v>0.20431866050805131</v>
      </c>
      <c r="P24" s="10">
        <f t="shared" ca="1" si="3"/>
        <v>1.5976011151576926E-2</v>
      </c>
      <c r="Q24" s="10">
        <f ca="1">Propeller!$B$15+Propeller!$B$16*H24+Propeller!$B$17*H24^2+Propeller!$B$18*H24^3+Propeller!$B$19*H24^4+Propeller!$B$20*H24^5+Propeller!$B$21*H24^6</f>
        <v>1.5976011151808876E-2</v>
      </c>
      <c r="R24" s="10">
        <f ca="1">(Propeller!$B$23+Propeller!$B$24*H24+Propeller!$B$25*H24^2+Propeller!$B$26*H24^3+Propeller!$B$27*H24^4+Propeller!$B$28*H24^5+Propeller!$B$29*H24^6)*Propulsão!M24</f>
        <v>0.67162169069885158</v>
      </c>
      <c r="S24" s="19">
        <f t="shared" ca="1" si="4"/>
        <v>185.52943241148938</v>
      </c>
      <c r="T24" s="19">
        <f ca="1">'Aerodynamics-Speed'!BL24</f>
        <v>247.56516816309232</v>
      </c>
      <c r="U24" s="14">
        <f ca="1">MAX(Motor!$B$8,J24+0.05*(Q24/P24-1)*J24)</f>
        <v>27.975440113758253</v>
      </c>
      <c r="V24" s="50" t="str">
        <f t="shared" ca="1" si="5"/>
        <v>OK</v>
      </c>
      <c r="W24" s="1">
        <f ca="1">IF(U24&gt;Motor!$B$10,F24+0.05*(Motor!$B$10/U24-1)*F24,MIN(1,$B$5))</f>
        <v>1</v>
      </c>
      <c r="X24" s="50" t="str">
        <f t="shared" ca="1" si="6"/>
        <v>OK</v>
      </c>
      <c r="Y24" s="20">
        <f ca="1">MAX(E24+0.05*(S24/T24-1)*E24,'Propulsion-Cruise'!E24)</f>
        <v>27.44967418856622</v>
      </c>
      <c r="Z24" s="36"/>
      <c r="AA24" s="36"/>
      <c r="AB24" s="36"/>
      <c r="AC24" s="38"/>
      <c r="AD24" s="41"/>
      <c r="AE24" s="40"/>
      <c r="AF24" s="38"/>
      <c r="AG24" s="40"/>
      <c r="AH24" s="40"/>
      <c r="AI24" s="36"/>
      <c r="AJ24" s="36"/>
      <c r="AK24" s="36"/>
      <c r="AL24" s="40"/>
      <c r="AM24" s="40"/>
      <c r="AN24" s="38"/>
      <c r="AO24" s="35"/>
      <c r="AP24" s="35"/>
      <c r="AQ24" s="35"/>
      <c r="AR24" s="35"/>
      <c r="AS24" s="35"/>
      <c r="AT24" s="35"/>
      <c r="AU24" s="35"/>
      <c r="AV24" s="35"/>
      <c r="AW24" s="35"/>
      <c r="AX24" s="35"/>
    </row>
    <row r="25" spans="2:50">
      <c r="B25" s="1">
        <f>Cruise!F25</f>
        <v>0.65969672852566186</v>
      </c>
      <c r="C25" s="6"/>
      <c r="D25" s="1">
        <f>Propeller!$B$8</f>
        <v>0.30479999999999996</v>
      </c>
      <c r="E25" s="30">
        <f ca="1">IF(ISERROR(Y25),'Propulsion-Cruise'!E25,Y25)</f>
        <v>27.038832775859639</v>
      </c>
      <c r="F25" s="49">
        <f t="shared" ca="1" si="7"/>
        <v>1</v>
      </c>
      <c r="G25" s="19">
        <f ca="1">MAX(Motor!$B$7,K25*Motor!$B$7)</f>
        <v>12891.579488104282</v>
      </c>
      <c r="H25" s="10">
        <f ca="1">E25/(G25/60*D25)*Propulsão!J25</f>
        <v>0.39827246796660093</v>
      </c>
      <c r="I25" s="13">
        <f ca="1">F25*Energy!$B$6</f>
        <v>11.850000000000001</v>
      </c>
      <c r="J25" s="51">
        <f ca="1">IF(ISERROR(U25),Motor!$B$10,MIN(Motor!$B$10,U25))</f>
        <v>28.385053673007288</v>
      </c>
      <c r="K25" s="20">
        <f ca="1">I25-Motor!$B$9*J25</f>
        <v>10.742982906752717</v>
      </c>
      <c r="L25" s="14">
        <f ca="1">MAX(Motor!$B$8,J25-Motor!$B$8)</f>
        <v>26.085053673007288</v>
      </c>
      <c r="M25" s="14">
        <f t="shared" ca="1" si="0"/>
        <v>336.36288602513639</v>
      </c>
      <c r="N25" s="20">
        <f t="shared" ca="1" si="1"/>
        <v>280.23128573084449</v>
      </c>
      <c r="O25" s="1">
        <f t="shared" ca="1" si="2"/>
        <v>0.20757826164380908</v>
      </c>
      <c r="P25" s="10">
        <f t="shared" ca="1" si="3"/>
        <v>1.6279191593196293E-2</v>
      </c>
      <c r="Q25" s="10">
        <f ca="1">Propeller!$B$15+Propeller!$B$16*H25+Propeller!$B$17*H25^2+Propeller!$B$18*H25^3+Propeller!$B$19*H25^4+Propeller!$B$20*H25^5+Propeller!$B$21*H25^6</f>
        <v>1.6279191593444615E-2</v>
      </c>
      <c r="R25" s="10">
        <f ca="1">(Propeller!$B$23+Propeller!$B$24*H25+Propeller!$B$25*H25^2+Propeller!$B$26*H25^3+Propeller!$B$27*H25^4+Propeller!$B$28*H25^5+Propeller!$B$29*H25^6)*Propulsão!M25</f>
        <v>0.67243879360247527</v>
      </c>
      <c r="S25" s="19">
        <f t="shared" ca="1" si="4"/>
        <v>188.43838770651962</v>
      </c>
      <c r="T25" s="19">
        <f ca="1">'Aerodynamics-Speed'!BL25</f>
        <v>240.78749114172064</v>
      </c>
      <c r="U25" s="14">
        <f ca="1">MAX(Motor!$B$8,J25+0.05*(Q25/P25-1)*J25)</f>
        <v>28.385053673028938</v>
      </c>
      <c r="V25" s="50" t="str">
        <f t="shared" ca="1" si="5"/>
        <v>OK</v>
      </c>
      <c r="W25" s="1">
        <f ca="1">IF(U25&gt;Motor!$B$10,F25+0.05*(Motor!$B$10/U25-1)*F25,MIN(1,$B$5))</f>
        <v>1</v>
      </c>
      <c r="X25" s="50" t="str">
        <f t="shared" ca="1" si="6"/>
        <v>OK</v>
      </c>
      <c r="Y25" s="20">
        <f ca="1">MAX(E25+0.05*(S25/T25-1)*E25,'Propulsion-Cruise'!E25)</f>
        <v>27.03883277583968</v>
      </c>
      <c r="Z25" s="36"/>
      <c r="AA25" s="36"/>
      <c r="AB25" s="36"/>
      <c r="AC25" s="38"/>
      <c r="AD25" s="41"/>
      <c r="AE25" s="40"/>
      <c r="AF25" s="38"/>
      <c r="AG25" s="40"/>
      <c r="AH25" s="40"/>
      <c r="AI25" s="36"/>
      <c r="AJ25" s="36"/>
      <c r="AK25" s="36"/>
      <c r="AL25" s="40"/>
      <c r="AM25" s="40"/>
      <c r="AN25" s="38"/>
      <c r="AO25" s="35"/>
      <c r="AP25" s="35"/>
      <c r="AQ25" s="35"/>
      <c r="AR25" s="35"/>
      <c r="AS25" s="35"/>
      <c r="AT25" s="35"/>
      <c r="AU25" s="35"/>
      <c r="AV25" s="35"/>
      <c r="AW25" s="35"/>
      <c r="AX25" s="35"/>
    </row>
    <row r="26" spans="2:50">
      <c r="B26" s="1">
        <f>Cruise!F26</f>
        <v>0.65969672852566186</v>
      </c>
      <c r="D26" s="1">
        <f>Propeller!$B$8</f>
        <v>0.30479999999999996</v>
      </c>
      <c r="E26" s="30">
        <f ca="1">IF(ISERROR(Y26),'Propulsion-Cruise'!E26,Y26)</f>
        <v>26.646781908888325</v>
      </c>
      <c r="F26" s="49">
        <f t="shared" ca="1" si="7"/>
        <v>1</v>
      </c>
      <c r="G26" s="19">
        <f ca="1">MAX(Motor!$B$7,K26*Motor!$B$7)</f>
        <v>12873.72702092462</v>
      </c>
      <c r="H26" s="10">
        <f ca="1">E26/(G26/60*D26)*Propulsão!J26</f>
        <v>0.39304198788820055</v>
      </c>
      <c r="I26" s="13">
        <f ca="1">F26*Energy!$B$6</f>
        <v>11.850000000000001</v>
      </c>
      <c r="J26" s="51">
        <f ca="1">IF(ISERROR(U26),Motor!$B$10,MIN(Motor!$B$10,U26))</f>
        <v>28.76651664693286</v>
      </c>
      <c r="K26" s="20">
        <f ca="1">I26-Motor!$B$9*J26</f>
        <v>10.728105850769619</v>
      </c>
      <c r="L26" s="14">
        <f ca="1">MAX(Motor!$B$8,J26-Motor!$B$8)</f>
        <v>26.46651664693286</v>
      </c>
      <c r="M26" s="14">
        <f t="shared" ca="1" si="0"/>
        <v>340.88322226615446</v>
      </c>
      <c r="N26" s="20">
        <f t="shared" ca="1" si="1"/>
        <v>283.93559208945192</v>
      </c>
      <c r="O26" s="1">
        <f t="shared" ca="1" si="2"/>
        <v>0.21061384753914736</v>
      </c>
      <c r="P26" s="10">
        <f t="shared" ca="1" si="3"/>
        <v>1.6563097389092594E-2</v>
      </c>
      <c r="Q26" s="10">
        <f ca="1">Propeller!$B$15+Propeller!$B$16*H26+Propeller!$B$17*H26^2+Propeller!$B$18*H26^3+Propeller!$B$19*H26^4+Propeller!$B$20*H26^5+Propeller!$B$21*H26^6</f>
        <v>1.6563097389355571E-2</v>
      </c>
      <c r="R26" s="10">
        <f ca="1">(Propeller!$B$23+Propeller!$B$24*H26+Propeller!$B$25*H26^2+Propeller!$B$26*H26^3+Propeller!$B$27*H26^4+Propeller!$B$28*H26^5+Propeller!$B$29*H26^6)*Propulsão!M26</f>
        <v>0.67275640820309246</v>
      </c>
      <c r="S26" s="19">
        <f t="shared" ca="1" si="4"/>
        <v>191.01948909511808</v>
      </c>
      <c r="T26" s="19">
        <f ca="1">'Aerodynamics-Speed'!BL26</f>
        <v>234.45722510286149</v>
      </c>
      <c r="U26" s="14">
        <f ca="1">MAX(Motor!$B$8,J26+0.05*(Q26/P26-1)*J26)</f>
        <v>28.766516646955697</v>
      </c>
      <c r="V26" s="50" t="str">
        <f t="shared" ca="1" si="5"/>
        <v>OK</v>
      </c>
      <c r="W26" s="1">
        <f ca="1">IF(U26&gt;Motor!$B$10,F26+0.05*(Motor!$B$10/U26-1)*F26,MIN(1,$B$5))</f>
        <v>1</v>
      </c>
      <c r="X26" s="50" t="str">
        <f t="shared" ca="1" si="6"/>
        <v>OK</v>
      </c>
      <c r="Y26" s="20">
        <f ca="1">MAX(E26+0.05*(S26/T26-1)*E26,'Propulsion-Cruise'!E26)</f>
        <v>26.646781908866753</v>
      </c>
      <c r="Z26" s="36"/>
      <c r="AA26" s="36"/>
      <c r="AB26" s="36"/>
      <c r="AC26" s="38"/>
      <c r="AD26" s="41"/>
      <c r="AE26" s="40"/>
      <c r="AF26" s="38"/>
      <c r="AG26" s="40"/>
      <c r="AH26" s="40"/>
      <c r="AI26" s="36"/>
      <c r="AJ26" s="36"/>
      <c r="AK26" s="36"/>
      <c r="AL26" s="40"/>
      <c r="AM26" s="40"/>
      <c r="AN26" s="38"/>
      <c r="AO26" s="35"/>
      <c r="AP26" s="35"/>
      <c r="AQ26" s="35"/>
      <c r="AR26" s="35"/>
      <c r="AS26" s="35"/>
      <c r="AT26" s="35"/>
      <c r="AU26" s="35"/>
      <c r="AV26" s="35"/>
      <c r="AW26" s="35"/>
      <c r="AX26" s="35"/>
    </row>
    <row r="27" spans="2:50">
      <c r="B27" s="1">
        <f>Cruise!F27</f>
        <v>0.65969672852566186</v>
      </c>
      <c r="D27" s="1">
        <f>Propeller!$B$8</f>
        <v>0.30479999999999996</v>
      </c>
      <c r="E27" s="30">
        <f ca="1">IF(ISERROR(Y27),'Propulsion-Cruise'!E27,Y27)</f>
        <v>26.272229755721025</v>
      </c>
      <c r="F27" s="49">
        <f t="shared" ca="1" si="7"/>
        <v>1</v>
      </c>
      <c r="G27" s="19">
        <f ca="1">MAX(Motor!$B$7,K27*Motor!$B$7)</f>
        <v>12857.071656080871</v>
      </c>
      <c r="H27" s="10">
        <f ca="1">E27/(G27/60*D27)*Propulsão!J27</f>
        <v>0.38801931555497848</v>
      </c>
      <c r="I27" s="13">
        <f ca="1">F27*Energy!$B$6</f>
        <v>11.850000000000001</v>
      </c>
      <c r="J27" s="51">
        <f ca="1">IF(ISERROR(U27),Motor!$B$10,MIN(Motor!$B$10,U27))</f>
        <v>29.122400511116314</v>
      </c>
      <c r="K27" s="20">
        <f ca="1">I27-Motor!$B$9*J27</f>
        <v>10.714226380066465</v>
      </c>
      <c r="L27" s="14">
        <f ca="1">MAX(Motor!$B$8,J27-Motor!$B$8)</f>
        <v>26.822400511116314</v>
      </c>
      <c r="M27" s="14">
        <f t="shared" ca="1" si="0"/>
        <v>345.10044605672834</v>
      </c>
      <c r="N27" s="20">
        <f t="shared" ca="1" si="1"/>
        <v>287.38127113291063</v>
      </c>
      <c r="O27" s="1">
        <f t="shared" ca="1" si="2"/>
        <v>0.2134458813467186</v>
      </c>
      <c r="P27" s="10">
        <f t="shared" ca="1" si="3"/>
        <v>1.6829331911373504E-2</v>
      </c>
      <c r="Q27" s="10">
        <f ca="1">Propeller!$B$15+Propeller!$B$16*H27+Propeller!$B$17*H27^2+Propeller!$B$18*H27^3+Propeller!$B$19*H27^4+Propeller!$B$20*H27^5+Propeller!$B$21*H27^6</f>
        <v>1.6829331911646608E-2</v>
      </c>
      <c r="R27" s="10">
        <f ca="1">(Propeller!$B$23+Propeller!$B$24*H27+Propeller!$B$25*H27^2+Propeller!$B$26*H27^3+Propeller!$B$27*H27^4+Propeller!$B$28*H27^5+Propeller!$B$29*H27^6)*Propulsão!M27</f>
        <v>0.67266682700902947</v>
      </c>
      <c r="S27" s="19">
        <f t="shared" ca="1" si="4"/>
        <v>193.31184779479659</v>
      </c>
      <c r="T27" s="19">
        <f ca="1">'Aerodynamics-Speed'!BL27</f>
        <v>228.53495956606136</v>
      </c>
      <c r="U27" s="14">
        <f ca="1">MAX(Motor!$B$8,J27+0.05*(Q27/P27-1)*J27)</f>
        <v>29.122400511139944</v>
      </c>
      <c r="V27" s="50" t="str">
        <f t="shared" ca="1" si="5"/>
        <v>OK</v>
      </c>
      <c r="W27" s="1">
        <f ca="1">IF(U27&gt;Motor!$B$10,F27+0.05*(Motor!$B$10/U27-1)*F27,MIN(1,$B$5))</f>
        <v>1</v>
      </c>
      <c r="X27" s="50" t="str">
        <f t="shared" ca="1" si="6"/>
        <v>OK</v>
      </c>
      <c r="Y27" s="20">
        <f ca="1">MAX(E27+0.05*(S27/T27-1)*E27,'Propulsion-Cruise'!E27)</f>
        <v>26.272229755698174</v>
      </c>
      <c r="Z27" s="36"/>
      <c r="AA27" s="36"/>
      <c r="AB27" s="36"/>
      <c r="AC27" s="38"/>
      <c r="AD27" s="41"/>
      <c r="AE27" s="40"/>
      <c r="AF27" s="38"/>
      <c r="AG27" s="40"/>
      <c r="AH27" s="40"/>
      <c r="AI27" s="36"/>
      <c r="AJ27" s="36"/>
      <c r="AK27" s="36"/>
      <c r="AL27" s="40"/>
      <c r="AM27" s="40"/>
      <c r="AN27" s="38"/>
      <c r="AO27" s="35"/>
      <c r="AP27" s="35"/>
      <c r="AQ27" s="35"/>
      <c r="AR27" s="35"/>
      <c r="AS27" s="35"/>
      <c r="AT27" s="35"/>
      <c r="AU27" s="35"/>
      <c r="AV27" s="35"/>
      <c r="AW27" s="35"/>
      <c r="AX27" s="35"/>
    </row>
    <row r="28" spans="2:50">
      <c r="B28" s="1">
        <f>Cruise!F28</f>
        <v>0.65969672852566186</v>
      </c>
      <c r="D28" s="1">
        <f>Propeller!$B$8</f>
        <v>0.30479999999999996</v>
      </c>
      <c r="E28" s="30">
        <f ca="1">IF(ISERROR(Y28),'Propulsion-Cruise'!E28,Y28)</f>
        <v>25.850372382951573</v>
      </c>
      <c r="F28" s="49">
        <f t="shared" ca="1" si="7"/>
        <v>1</v>
      </c>
      <c r="G28" s="19">
        <f ca="1">MAX(Motor!$B$7,K28*Motor!$B$7)</f>
        <v>12838.778965255278</v>
      </c>
      <c r="H28" s="10">
        <f ca="1">E28/(G28/60*D28)*Propulsão!J28</f>
        <v>0.38233280035484102</v>
      </c>
      <c r="I28" s="13">
        <f ca="1">F28*Energy!$B$6</f>
        <v>11.850000000000001</v>
      </c>
      <c r="J28" s="51">
        <f ca="1">IF(ISERROR(U28),Motor!$B$10,MIN(Motor!$B$10,U28))</f>
        <v>29.513269973273321</v>
      </c>
      <c r="K28" s="20">
        <f ca="1">I28-Motor!$B$9*J28</f>
        <v>10.698982471042342</v>
      </c>
      <c r="L28" s="14">
        <f ca="1">MAX(Motor!$B$8,J28-Motor!$B$8)</f>
        <v>27.21326997327332</v>
      </c>
      <c r="M28" s="14">
        <f t="shared" ca="1" si="0"/>
        <v>349.7322491832889</v>
      </c>
      <c r="N28" s="20">
        <f t="shared" ca="1" si="1"/>
        <v>291.15429842379416</v>
      </c>
      <c r="O28" s="1">
        <f t="shared" ca="1" si="2"/>
        <v>0.21655632169695962</v>
      </c>
      <c r="P28" s="10">
        <f t="shared" ca="1" si="3"/>
        <v>1.7123267744073897E-2</v>
      </c>
      <c r="Q28" s="10">
        <f ca="1">Propeller!$B$15+Propeller!$B$16*H28+Propeller!$B$17*H28^2+Propeller!$B$18*H28^3+Propeller!$B$19*H28^4+Propeller!$B$20*H28^5+Propeller!$B$21*H28^6</f>
        <v>1.7123267745172706E-2</v>
      </c>
      <c r="R28" s="10">
        <f ca="1">(Propeller!$B$23+Propeller!$B$24*H28+Propeller!$B$25*H28^2+Propeller!$B$26*H28^3+Propeller!$B$27*H28^4+Propeller!$B$28*H28^5+Propeller!$B$29*H28^6)*Propulsão!M28</f>
        <v>0.67213652886174391</v>
      </c>
      <c r="S28" s="19">
        <f t="shared" ca="1" si="4"/>
        <v>195.69543950574533</v>
      </c>
      <c r="T28" s="19">
        <f ca="1">'Aerodynamics-Speed'!BL28</f>
        <v>221.36454441712479</v>
      </c>
      <c r="U28" s="14">
        <f ca="1">MAX(Motor!$B$8,J28+0.05*(Q28/P28-1)*J28)</f>
        <v>29.513269973368015</v>
      </c>
      <c r="V28" s="50" t="str">
        <f t="shared" ca="1" si="5"/>
        <v>OK</v>
      </c>
      <c r="W28" s="1">
        <f ca="1">IF(U28&gt;Motor!$B$10,F28+0.05*(Motor!$B$10/U28-1)*F28,MIN(1,$B$5))</f>
        <v>1</v>
      </c>
      <c r="X28" s="50" t="str">
        <f t="shared" ca="1" si="6"/>
        <v>OK</v>
      </c>
      <c r="Y28" s="20">
        <f ca="1">MAX(E28+0.05*(S28/T28-1)*E28,'Propulsion-Cruise'!E28)</f>
        <v>25.850372382859632</v>
      </c>
      <c r="Z28" s="36"/>
      <c r="AA28" s="36"/>
      <c r="AB28" s="36"/>
      <c r="AC28" s="38"/>
      <c r="AD28" s="41"/>
      <c r="AE28" s="40"/>
      <c r="AF28" s="38"/>
      <c r="AG28" s="40"/>
      <c r="AH28" s="40"/>
      <c r="AI28" s="36"/>
      <c r="AJ28" s="36"/>
      <c r="AK28" s="36"/>
      <c r="AL28" s="40"/>
      <c r="AM28" s="40"/>
      <c r="AN28" s="38"/>
      <c r="AO28" s="35"/>
      <c r="AP28" s="35"/>
      <c r="AQ28" s="35"/>
      <c r="AR28" s="35"/>
      <c r="AS28" s="35"/>
      <c r="AT28" s="35"/>
      <c r="AU28" s="35"/>
      <c r="AV28" s="35"/>
      <c r="AW28" s="35"/>
      <c r="AX28" s="35"/>
    </row>
    <row r="29" spans="2:50">
      <c r="B29" s="1">
        <f>Cruise!F29</f>
        <v>0.65969672852566186</v>
      </c>
      <c r="D29" s="1">
        <f>Propeller!$B$8</f>
        <v>0.30479999999999996</v>
      </c>
      <c r="E29" s="30">
        <f ca="1">IF(ISERROR(Y29),'Propulsion-Cruise'!E29,Y29)</f>
        <v>25.337550160812658</v>
      </c>
      <c r="F29" s="49">
        <f t="shared" ca="1" si="7"/>
        <v>1</v>
      </c>
      <c r="G29" s="19">
        <f ca="1">MAX(Motor!$B$7,K29*Motor!$B$7)</f>
        <v>12817.203362122154</v>
      </c>
      <c r="H29" s="10">
        <f ca="1">E29/(G29/60*D29)*Propulsão!J29</f>
        <v>0.37537886998779268</v>
      </c>
      <c r="I29" s="13">
        <f ca="1">F29*Energy!$B$6</f>
        <v>11.850000000000001</v>
      </c>
      <c r="J29" s="51">
        <f ca="1">IF(ISERROR(U29),Motor!$B$10,MIN(Motor!$B$10,U29))</f>
        <v>29.974287134234967</v>
      </c>
      <c r="K29" s="20">
        <f ca="1">I29-Motor!$B$9*J29</f>
        <v>10.681002801764837</v>
      </c>
      <c r="L29" s="14">
        <f ca="1">MAX(Motor!$B$8,J29-Motor!$B$8)</f>
        <v>27.674287134234966</v>
      </c>
      <c r="M29" s="14">
        <f t="shared" ca="1" si="0"/>
        <v>355.19530254068439</v>
      </c>
      <c r="N29" s="20">
        <f t="shared" ca="1" si="1"/>
        <v>295.58913841760824</v>
      </c>
      <c r="O29" s="1">
        <f t="shared" ca="1" si="2"/>
        <v>0.22022497969782215</v>
      </c>
      <c r="P29" s="10">
        <f t="shared" ca="1" si="3"/>
        <v>1.7472025462871951E-2</v>
      </c>
      <c r="Q29" s="10">
        <f ca="1">Propeller!$B$15+Propeller!$B$16*H29+Propeller!$B$17*H29^2+Propeller!$B$18*H29^3+Propeller!$B$19*H29^4+Propeller!$B$20*H29^5+Propeller!$B$21*H29^6</f>
        <v>1.7472025463947046E-2</v>
      </c>
      <c r="R29" s="10">
        <f ca="1">(Propeller!$B$23+Propeller!$B$24*H29+Propeller!$B$25*H29^2+Propeller!$B$26*H29^3+Propeller!$B$27*H29^4+Propeller!$B$28*H29^5+Propeller!$B$29*H29^6)*Propulsão!M29</f>
        <v>0.6709219431502973</v>
      </c>
      <c r="S29" s="19">
        <f t="shared" ca="1" si="4"/>
        <v>198.31723912126392</v>
      </c>
      <c r="T29" s="19">
        <f ca="1">'Aerodynamics-Speed'!BL29</f>
        <v>211.93024736892914</v>
      </c>
      <c r="U29" s="14">
        <f ca="1">MAX(Motor!$B$8,J29+0.05*(Q29/P29-1)*J29)</f>
        <v>29.974287134327184</v>
      </c>
      <c r="V29" s="50" t="str">
        <f t="shared" ca="1" si="5"/>
        <v>OK</v>
      </c>
      <c r="W29" s="1">
        <f ca="1">IF(U29&gt;Motor!$B$10,F29+0.05*(Motor!$B$10/U29-1)*F29,MIN(1,$B$5))</f>
        <v>1</v>
      </c>
      <c r="X29" s="50" t="str">
        <f t="shared" ca="1" si="6"/>
        <v>OK</v>
      </c>
      <c r="Y29" s="20">
        <f ca="1">MAX(E29+0.05*(S29/T29-1)*E29,'Propulsion-Cruise'!E29)</f>
        <v>25.337550160719807</v>
      </c>
      <c r="Z29" s="36"/>
      <c r="AA29" s="36"/>
      <c r="AB29" s="36"/>
      <c r="AC29" s="38"/>
      <c r="AD29" s="41"/>
      <c r="AE29" s="40"/>
      <c r="AF29" s="38"/>
      <c r="AG29" s="40"/>
      <c r="AH29" s="40"/>
      <c r="AI29" s="36"/>
      <c r="AJ29" s="36"/>
      <c r="AK29" s="36"/>
      <c r="AL29" s="40"/>
      <c r="AM29" s="40"/>
      <c r="AN29" s="38"/>
      <c r="AO29" s="35"/>
      <c r="AP29" s="35"/>
      <c r="AQ29" s="35"/>
      <c r="AR29" s="35"/>
      <c r="AS29" s="35"/>
      <c r="AT29" s="35"/>
      <c r="AU29" s="35"/>
      <c r="AV29" s="35"/>
      <c r="AW29" s="35"/>
      <c r="AX29" s="35"/>
    </row>
    <row r="30" spans="2:50">
      <c r="B30" s="1">
        <f>Cruise!F30</f>
        <v>0.65969672852566186</v>
      </c>
      <c r="D30" s="1">
        <f>Propeller!$B$8</f>
        <v>0.30479999999999996</v>
      </c>
      <c r="E30" s="30">
        <f ca="1">IF(ISERROR(Y30),'Propulsion-Cruise'!E30,Y30)</f>
        <v>24.858990723373086</v>
      </c>
      <c r="F30" s="49">
        <f t="shared" ca="1" si="7"/>
        <v>1</v>
      </c>
      <c r="G30" s="19">
        <f ca="1">MAX(Motor!$B$7,K30*Motor!$B$7)</f>
        <v>12797.719929700643</v>
      </c>
      <c r="H30" s="10">
        <f ca="1">E30/(G30/60*D30)*Propulsão!J30</f>
        <v>0.3688496424317807</v>
      </c>
      <c r="I30" s="13">
        <f ca="1">F30*Energy!$B$6</f>
        <v>11.850000000000001</v>
      </c>
      <c r="J30" s="51">
        <f ca="1">IF(ISERROR(U30),Motor!$B$10,MIN(Motor!$B$10,U30))</f>
        <v>30.390599792811891</v>
      </c>
      <c r="K30" s="20">
        <f ca="1">I30-Motor!$B$9*J30</f>
        <v>10.664766608080338</v>
      </c>
      <c r="L30" s="14">
        <f ca="1">MAX(Motor!$B$8,J30-Motor!$B$8)</f>
        <v>28.09059979281189</v>
      </c>
      <c r="M30" s="14">
        <f t="shared" ca="1" si="0"/>
        <v>360.12860754482097</v>
      </c>
      <c r="N30" s="20">
        <f t="shared" ca="1" si="1"/>
        <v>299.57969067132871</v>
      </c>
      <c r="O30" s="1">
        <f t="shared" ca="1" si="2"/>
        <v>0.22353789057203513</v>
      </c>
      <c r="P30" s="10">
        <f t="shared" ca="1" si="3"/>
        <v>1.778890314104627E-2</v>
      </c>
      <c r="Q30" s="10">
        <f ca="1">Propeller!$B$15+Propeller!$B$16*H30+Propeller!$B$17*H30^2+Propeller!$B$18*H30^3+Propeller!$B$19*H30^4+Propeller!$B$20*H30^5+Propeller!$B$21*H30^6</f>
        <v>1.7788903142098106E-2</v>
      </c>
      <c r="R30" s="10">
        <f ca="1">(Propeller!$B$23+Propeller!$B$24*H30+Propeller!$B$25*H30^2+Propeller!$B$26*H30^3+Propeller!$B$27*H30^4+Propeller!$B$28*H30^5+Propeller!$B$29*H30^6)*Propulsão!M30</f>
        <v>0.66926428126657933</v>
      </c>
      <c r="S30" s="19">
        <f t="shared" ca="1" si="4"/>
        <v>200.49798635921096</v>
      </c>
      <c r="T30" s="19">
        <f ca="1">'Aerodynamics-Speed'!BL30</f>
        <v>203.43447434177551</v>
      </c>
      <c r="U30" s="14">
        <f ca="1">MAX(Motor!$B$8,J30+0.05*(Q30/P30-1)*J30)</f>
        <v>30.390599792901739</v>
      </c>
      <c r="V30" s="50" t="str">
        <f t="shared" ca="1" si="5"/>
        <v>OK</v>
      </c>
      <c r="W30" s="1">
        <f ca="1">IF(U30&gt;Motor!$B$10,F30+0.05*(Motor!$B$10/U30-1)*F30,MIN(1,$B$5))</f>
        <v>1</v>
      </c>
      <c r="X30" s="50" t="str">
        <f t="shared" ca="1" si="6"/>
        <v>OK</v>
      </c>
      <c r="Y30" s="20">
        <f ca="1">MAX(E30+0.05*(S30/T30-1)*E30,'Propulsion-Cruise'!E30)</f>
        <v>24.858990723279437</v>
      </c>
      <c r="Z30" s="36"/>
      <c r="AA30" s="36"/>
      <c r="AB30" s="36"/>
      <c r="AC30" s="38"/>
      <c r="AD30" s="41"/>
      <c r="AE30" s="40"/>
      <c r="AF30" s="38"/>
      <c r="AG30" s="40"/>
      <c r="AH30" s="40"/>
      <c r="AI30" s="36"/>
      <c r="AJ30" s="36"/>
      <c r="AK30" s="36"/>
      <c r="AL30" s="40"/>
      <c r="AM30" s="40"/>
      <c r="AN30" s="38"/>
      <c r="AO30" s="35"/>
      <c r="AP30" s="35"/>
      <c r="AQ30" s="35"/>
      <c r="AR30" s="35"/>
      <c r="AS30" s="35"/>
      <c r="AT30" s="35"/>
      <c r="AU30" s="35"/>
      <c r="AV30" s="35"/>
      <c r="AW30" s="35"/>
      <c r="AX30" s="35"/>
    </row>
    <row r="31" spans="2:50">
      <c r="B31" s="1">
        <f>Cruise!F31</f>
        <v>0.65969672852566186</v>
      </c>
      <c r="D31" s="1">
        <f>Propeller!$B$8</f>
        <v>0.30479999999999996</v>
      </c>
      <c r="E31" s="30">
        <f ca="1">IF(ISERROR(Y31),'Propulsion-Cruise'!E31,Y31)</f>
        <v>25.272738495648831</v>
      </c>
      <c r="F31" s="49">
        <f t="shared" ca="1" si="7"/>
        <v>1</v>
      </c>
      <c r="G31" s="19">
        <f ca="1">MAX(Motor!$B$7,K31*Motor!$B$7)</f>
        <v>12814.528028403005</v>
      </c>
      <c r="H31" s="10">
        <f ca="1">E31/(G31/60*D31)*Propulsão!J31</f>
        <v>0.37449684602338768</v>
      </c>
      <c r="I31" s="13">
        <f ca="1">F31*Energy!$B$6</f>
        <v>11.850000000000001</v>
      </c>
      <c r="J31" s="51">
        <f ca="1">IF(ISERROR(U31),Motor!$B$10,MIN(Motor!$B$10,U31))</f>
        <v>30.031452383834672</v>
      </c>
      <c r="K31" s="20">
        <f ca="1">I31-Motor!$B$9*J31</f>
        <v>10.678773357030449</v>
      </c>
      <c r="L31" s="14">
        <f ca="1">MAX(Motor!$B$8,J31-Motor!$B$8)</f>
        <v>27.731452383834672</v>
      </c>
      <c r="M31" s="14">
        <f t="shared" ca="1" si="0"/>
        <v>355.87271074844091</v>
      </c>
      <c r="N31" s="20">
        <f t="shared" ca="1" si="1"/>
        <v>296.1378948682522</v>
      </c>
      <c r="O31" s="1">
        <f t="shared" ca="1" si="2"/>
        <v>0.22067988630081811</v>
      </c>
      <c r="P31" s="10">
        <f t="shared" ca="1" si="3"/>
        <v>1.7515427687125593E-2</v>
      </c>
      <c r="Q31" s="10">
        <f ca="1">Propeller!$B$15+Propeller!$B$16*H31+Propeller!$B$17*H31^2+Propeller!$B$18*H31^3+Propeller!$B$19*H31^4+Propeller!$B$20*H31^5+Propeller!$B$21*H31^6</f>
        <v>1.7515427678841459E-2</v>
      </c>
      <c r="R31" s="10">
        <f ca="1">(Propeller!$B$23+Propeller!$B$24*H31+Propeller!$B$25*H31^2+Propeller!$B$26*H31^3+Propeller!$B$27*H31^4+Propeller!$B$28*H31^5+Propeller!$B$29*H31^6)*Propulsão!M31</f>
        <v>0.67056354538018814</v>
      </c>
      <c r="S31" s="19">
        <f t="shared" ca="1" si="4"/>
        <v>198.57927670428063</v>
      </c>
      <c r="T31" s="19">
        <f ca="1">'Aerodynamics-Speed'!BL31</f>
        <v>198.57927659297388</v>
      </c>
      <c r="U31" s="14">
        <f ca="1">MAX(Motor!$B$8,J31+0.05*(Q31/P31-1)*J31)</f>
        <v>30.031452383124485</v>
      </c>
      <c r="V31" s="50" t="str">
        <f t="shared" ca="1" si="5"/>
        <v>OK</v>
      </c>
      <c r="W31" s="1">
        <f ca="1">IF(U31&gt;Motor!$B$10,F31+0.05*(Motor!$B$10/U31-1)*F31,MIN(1,$B$5))</f>
        <v>1</v>
      </c>
      <c r="X31" s="50" t="str">
        <f t="shared" ca="1" si="6"/>
        <v>OK</v>
      </c>
      <c r="Y31" s="20">
        <f ca="1">MAX(E31+0.05*(S31/T31-1)*E31,'Propulsion-Cruise'!E31)</f>
        <v>25.272738496357118</v>
      </c>
      <c r="Z31" s="36"/>
      <c r="AA31" s="36"/>
      <c r="AB31" s="36"/>
      <c r="AC31" s="38"/>
      <c r="AD31" s="41"/>
      <c r="AE31" s="40"/>
      <c r="AF31" s="38"/>
      <c r="AG31" s="40"/>
      <c r="AH31" s="40"/>
      <c r="AI31" s="36"/>
      <c r="AJ31" s="36"/>
      <c r="AK31" s="36"/>
      <c r="AL31" s="40"/>
      <c r="AM31" s="40"/>
      <c r="AN31" s="38"/>
      <c r="AO31" s="35"/>
      <c r="AP31" s="35"/>
      <c r="AQ31" s="35"/>
      <c r="AR31" s="35"/>
      <c r="AS31" s="35"/>
      <c r="AT31" s="35"/>
      <c r="AU31" s="35"/>
      <c r="AV31" s="35"/>
      <c r="AW31" s="35"/>
      <c r="AX31" s="35"/>
    </row>
    <row r="32" spans="2:50">
      <c r="B32" s="1">
        <f>Cruise!F32</f>
        <v>0.65969672852566186</v>
      </c>
      <c r="D32" s="1">
        <f>Propeller!$B$8</f>
        <v>0.30479999999999996</v>
      </c>
      <c r="E32" s="30">
        <f ca="1">IF(ISERROR(Y32),'Propulsion-Cruise'!E32,Y32)</f>
        <v>25.817531847825613</v>
      </c>
      <c r="F32" s="49">
        <f t="shared" ca="1" si="7"/>
        <v>1</v>
      </c>
      <c r="G32" s="19">
        <f ca="1">MAX(Motor!$B$7,K32*Motor!$B$7)</f>
        <v>12837.375576338967</v>
      </c>
      <c r="H32" s="10">
        <f ca="1">E32/(G32/60*D32)*Propulsão!J32</f>
        <v>0.38188882521279782</v>
      </c>
      <c r="I32" s="13">
        <f ca="1">F32*Energy!$B$6</f>
        <v>11.850000000000001</v>
      </c>
      <c r="J32" s="51">
        <f ca="1">IF(ISERROR(U32),Motor!$B$10,MIN(Motor!$B$10,U32))</f>
        <v>29.543256915464831</v>
      </c>
      <c r="K32" s="20">
        <f ca="1">I32-Motor!$B$9*J32</f>
        <v>10.697812980296874</v>
      </c>
      <c r="L32" s="14">
        <f ca="1">MAX(Motor!$B$8,J32-Motor!$B$8)</f>
        <v>27.24325691546483</v>
      </c>
      <c r="M32" s="14">
        <f t="shared" ca="1" si="0"/>
        <v>350.0875944482583</v>
      </c>
      <c r="N32" s="20">
        <f t="shared" ca="1" si="1"/>
        <v>291.44326745582225</v>
      </c>
      <c r="O32" s="1">
        <f t="shared" ca="1" si="2"/>
        <v>0.21679495020122633</v>
      </c>
      <c r="P32" s="10">
        <f t="shared" ca="1" si="3"/>
        <v>1.7145884455823254E-2</v>
      </c>
      <c r="Q32" s="10">
        <f ca="1">Propeller!$B$15+Propeller!$B$16*H32+Propeller!$B$17*H32^2+Propeller!$B$18*H32^3+Propeller!$B$19*H32^4+Propeller!$B$20*H32^5+Propeller!$B$21*H32^6</f>
        <v>1.7145884451571801E-2</v>
      </c>
      <c r="R32" s="10">
        <f ca="1">(Propeller!$B$23+Propeller!$B$24*H32+Propeller!$B$25*H32^2+Propeller!$B$26*H32^3+Propeller!$B$27*H32^4+Propeller!$B$28*H32^5+Propeller!$B$29*H32^6)*Propulsão!M32</f>
        <v>0.67173236110003431</v>
      </c>
      <c r="S32" s="19">
        <f t="shared" ca="1" si="4"/>
        <v>195.77187417480826</v>
      </c>
      <c r="T32" s="19">
        <f ca="1">'Aerodynamics-Speed'!BL32</f>
        <v>195.77187412064973</v>
      </c>
      <c r="U32" s="14">
        <f ca="1">MAX(Motor!$B$8,J32+0.05*(Q32/P32-1)*J32)</f>
        <v>29.543256915098556</v>
      </c>
      <c r="V32" s="50" t="str">
        <f t="shared" ca="1" si="5"/>
        <v>OK</v>
      </c>
      <c r="W32" s="1">
        <f ca="1">IF(U32&gt;Motor!$B$10,F32+0.05*(Motor!$B$10/U32-1)*F32,MIN(1,$B$5))</f>
        <v>1</v>
      </c>
      <c r="X32" s="50" t="str">
        <f t="shared" ca="1" si="6"/>
        <v>OK</v>
      </c>
      <c r="Y32" s="20">
        <f ca="1">MAX(E32+0.05*(S32/T32-1)*E32,'Propulsion-Cruise'!E32)</f>
        <v>25.817531848182721</v>
      </c>
      <c r="Z32" s="36"/>
      <c r="AA32" s="36"/>
      <c r="AB32" s="36"/>
      <c r="AC32" s="38"/>
      <c r="AD32" s="41"/>
      <c r="AE32" s="40"/>
      <c r="AF32" s="38"/>
      <c r="AG32" s="40"/>
      <c r="AH32" s="40"/>
      <c r="AI32" s="36"/>
      <c r="AJ32" s="36"/>
      <c r="AK32" s="36"/>
      <c r="AL32" s="40"/>
      <c r="AM32" s="40"/>
      <c r="AN32" s="38"/>
      <c r="AO32" s="35"/>
      <c r="AP32" s="35"/>
      <c r="AQ32" s="35"/>
      <c r="AR32" s="35"/>
      <c r="AS32" s="35"/>
      <c r="AT32" s="35"/>
      <c r="AU32" s="35"/>
      <c r="AV32" s="35"/>
      <c r="AW32" s="35"/>
      <c r="AX32" s="35"/>
    </row>
    <row r="33" spans="2:50">
      <c r="B33" s="1">
        <f>Cruise!F33</f>
        <v>0.65969672852566186</v>
      </c>
      <c r="D33" s="1">
        <f>Propeller!$B$8</f>
        <v>0.30479999999999996</v>
      </c>
      <c r="E33" s="30">
        <f ca="1">IF(ISERROR(Y33),'Propulsion-Cruise'!E33,Y33)</f>
        <v>26.185424695335119</v>
      </c>
      <c r="F33" s="49">
        <f t="shared" ca="1" si="7"/>
        <v>1</v>
      </c>
      <c r="G33" s="19">
        <f ca="1">MAX(Motor!$B$7,K33*Motor!$B$7)</f>
        <v>12853.267307492401</v>
      </c>
      <c r="H33" s="10">
        <f ca="1">E33/(G33/60*D33)*Propulsão!J33</f>
        <v>0.38685174356792673</v>
      </c>
      <c r="I33" s="13">
        <f ca="1">F33*Energy!$B$6</f>
        <v>11.850000000000001</v>
      </c>
      <c r="J33" s="51">
        <f ca="1">IF(ISERROR(U33),Motor!$B$10,MIN(Motor!$B$10,U33))</f>
        <v>29.203690010555206</v>
      </c>
      <c r="K33" s="20">
        <f ca="1">I33-Motor!$B$9*J33</f>
        <v>10.711056089588348</v>
      </c>
      <c r="L33" s="14">
        <f ca="1">MAX(Motor!$B$8,J33-Motor!$B$8)</f>
        <v>26.903690010555206</v>
      </c>
      <c r="M33" s="14">
        <f t="shared" ca="1" si="0"/>
        <v>346.06372662507925</v>
      </c>
      <c r="N33" s="20">
        <f t="shared" ca="1" si="1"/>
        <v>288.16693271995456</v>
      </c>
      <c r="O33" s="1">
        <f t="shared" ca="1" si="2"/>
        <v>0.21409276262982216</v>
      </c>
      <c r="P33" s="10">
        <f t="shared" ca="1" si="3"/>
        <v>1.6890329909828205E-2</v>
      </c>
      <c r="Q33" s="10">
        <f ca="1">Propeller!$B$15+Propeller!$B$16*H33+Propeller!$B$17*H33^2+Propeller!$B$18*H33^3+Propeller!$B$19*H33^4+Propeller!$B$20*H33^5+Propeller!$B$21*H33^6</f>
        <v>1.6890329906488963E-2</v>
      </c>
      <c r="R33" s="10">
        <f ca="1">(Propeller!$B$23+Propeller!$B$24*H33+Propeller!$B$25*H33^2+Propeller!$B$26*H33^3+Propeller!$B$27*H33^4+Propeller!$B$28*H33^5+Propeller!$B$29*H33^6)*Propulsão!M33</f>
        <v>0.67210422993199403</v>
      </c>
      <c r="S33" s="19">
        <f t="shared" ca="1" si="4"/>
        <v>193.6782144076098</v>
      </c>
      <c r="T33" s="19">
        <f ca="1">'Aerodynamics-Speed'!BL33</f>
        <v>193.6782143668124</v>
      </c>
      <c r="U33" s="14">
        <f ca="1">MAX(Motor!$B$8,J33+0.05*(Q33/P33-1)*J33)</f>
        <v>29.203690010266527</v>
      </c>
      <c r="V33" s="50" t="str">
        <f t="shared" ca="1" si="5"/>
        <v>OK</v>
      </c>
      <c r="W33" s="1">
        <f ca="1">IF(U33&gt;Motor!$B$10,F33+0.05*(Motor!$B$10/U33-1)*F33,MIN(1,$B$5))</f>
        <v>1</v>
      </c>
      <c r="X33" s="50" t="str">
        <f t="shared" ca="1" si="6"/>
        <v>OK</v>
      </c>
      <c r="Y33" s="20">
        <f ca="1">MAX(E33+0.05*(S33/T33-1)*E33,'Propulsion-Cruise'!E33)</f>
        <v>26.185424695610909</v>
      </c>
      <c r="Z33" s="36"/>
      <c r="AA33" s="36"/>
      <c r="AB33" s="36"/>
      <c r="AC33" s="38"/>
      <c r="AD33" s="41"/>
      <c r="AE33" s="40"/>
      <c r="AF33" s="38"/>
      <c r="AG33" s="40"/>
      <c r="AH33" s="40"/>
      <c r="AI33" s="36"/>
      <c r="AJ33" s="36"/>
      <c r="AK33" s="36"/>
      <c r="AL33" s="40"/>
      <c r="AM33" s="40"/>
      <c r="AN33" s="38"/>
      <c r="AO33" s="35"/>
      <c r="AP33" s="35"/>
      <c r="AQ33" s="35"/>
      <c r="AR33" s="35"/>
      <c r="AS33" s="35"/>
      <c r="AT33" s="35"/>
      <c r="AU33" s="35"/>
      <c r="AV33" s="35"/>
      <c r="AW33" s="35"/>
      <c r="AX33" s="35"/>
    </row>
    <row r="34" spans="2:50">
      <c r="B34" s="1">
        <f>Cruise!F34</f>
        <v>0.65969672852566186</v>
      </c>
      <c r="D34" s="1">
        <f>Propeller!$B$8</f>
        <v>0.30479999999999996</v>
      </c>
      <c r="E34" s="30">
        <f ca="1">IF(ISERROR(Y34),'Propulsion-Cruise'!E34,Y34)</f>
        <v>26.461597932500226</v>
      </c>
      <c r="F34" s="49">
        <f t="shared" ca="1" si="7"/>
        <v>1</v>
      </c>
      <c r="G34" s="19">
        <f ca="1">MAX(Motor!$B$7,K34*Motor!$B$7)</f>
        <v>12865.443588102202</v>
      </c>
      <c r="H34" s="10">
        <f ca="1">E34/(G34/60*D34)*Propulsão!J34</f>
        <v>0.39056181258896983</v>
      </c>
      <c r="I34" s="13">
        <f ca="1">F34*Energy!$B$6</f>
        <v>11.850000000000001</v>
      </c>
      <c r="J34" s="51">
        <f ca="1">IF(ISERROR(U34),Motor!$B$10,MIN(Motor!$B$10,U34))</f>
        <v>28.943513074491957</v>
      </c>
      <c r="K34" s="20">
        <f ca="1">I34-Motor!$B$9*J34</f>
        <v>10.721202990094815</v>
      </c>
      <c r="L34" s="14">
        <f ca="1">MAX(Motor!$B$8,J34-Motor!$B$8)</f>
        <v>26.643513074491956</v>
      </c>
      <c r="M34" s="14">
        <f t="shared" ca="1" si="0"/>
        <v>342.98062993272976</v>
      </c>
      <c r="N34" s="20">
        <f t="shared" ca="1" si="1"/>
        <v>285.65051204087348</v>
      </c>
      <c r="O34" s="1">
        <f t="shared" ca="1" si="2"/>
        <v>0.21202234035713766</v>
      </c>
      <c r="P34" s="10">
        <f t="shared" ca="1" si="3"/>
        <v>1.669534199347069E-2</v>
      </c>
      <c r="Q34" s="10">
        <f ca="1">Propeller!$B$15+Propeller!$B$16*H34+Propeller!$B$17*H34^2+Propeller!$B$18*H34^3+Propeller!$B$19*H34^4+Propeller!$B$20*H34^5+Propeller!$B$21*H34^6</f>
        <v>1.6695341990638934E-2</v>
      </c>
      <c r="R34" s="10">
        <f ca="1">(Propeller!$B$23+Propeller!$B$24*H34+Propeller!$B$25*H34^2+Propeller!$B$26*H34^3+Propeller!$B$27*H34^4+Propeller!$B$28*H34^5+Propeller!$B$29*H34^6)*Propulsão!M34</f>
        <v>0.67214405865368387</v>
      </c>
      <c r="S34" s="19">
        <f t="shared" ca="1" si="4"/>
        <v>191.9982945196557</v>
      </c>
      <c r="T34" s="19">
        <f ca="1">'Aerodynamics-Speed'!BL34</f>
        <v>191.99829448614864</v>
      </c>
      <c r="U34" s="14">
        <f ca="1">MAX(Motor!$B$8,J34+0.05*(Q34/P34-1)*J34)</f>
        <v>28.943513074246496</v>
      </c>
      <c r="V34" s="50" t="str">
        <f t="shared" ca="1" si="5"/>
        <v>OK</v>
      </c>
      <c r="W34" s="1">
        <f ca="1">IF(U34&gt;Motor!$B$10,F34+0.05*(Motor!$B$10/U34-1)*F34,MIN(1,$B$5))</f>
        <v>1</v>
      </c>
      <c r="X34" s="50" t="str">
        <f t="shared" ca="1" si="6"/>
        <v>OK</v>
      </c>
      <c r="Y34" s="20">
        <f ca="1">MAX(E34+0.05*(S34/T34-1)*E34,'Propulsion-Cruise'!E34)</f>
        <v>26.461597932731127</v>
      </c>
      <c r="Z34" s="36"/>
      <c r="AA34" s="36"/>
      <c r="AB34" s="36"/>
      <c r="AC34" s="38"/>
      <c r="AD34" s="41"/>
      <c r="AE34" s="40"/>
      <c r="AF34" s="38"/>
      <c r="AG34" s="40"/>
      <c r="AH34" s="40"/>
      <c r="AI34" s="36"/>
      <c r="AJ34" s="36"/>
      <c r="AK34" s="36"/>
      <c r="AL34" s="40"/>
      <c r="AM34" s="40"/>
      <c r="AN34" s="38"/>
      <c r="AO34" s="35"/>
      <c r="AP34" s="35"/>
      <c r="AQ34" s="35"/>
      <c r="AR34" s="35"/>
      <c r="AS34" s="35"/>
      <c r="AT34" s="35"/>
      <c r="AU34" s="35"/>
      <c r="AV34" s="35"/>
      <c r="AW34" s="35"/>
      <c r="AX34" s="35"/>
    </row>
    <row r="35" spans="2:50">
      <c r="B35" s="1">
        <f>Cruise!F35</f>
        <v>0.65969672852566186</v>
      </c>
      <c r="D35" s="1">
        <f>Propeller!$B$8</f>
        <v>0.30479999999999996</v>
      </c>
      <c r="E35" s="30">
        <f ca="1">IF(ISERROR(Y35),'Propulsion-Cruise'!E35,Y35)</f>
        <v>26.650132375709415</v>
      </c>
      <c r="F35" s="49">
        <f t="shared" ca="1" si="7"/>
        <v>1</v>
      </c>
      <c r="G35" s="19">
        <f ca="1">MAX(Motor!$B$7,K35*Motor!$B$7)</f>
        <v>12873.877769951869</v>
      </c>
      <c r="H35" s="10">
        <f ca="1">E35/(G35/60*D35)*Propulsão!J35</f>
        <v>0.39308680454383305</v>
      </c>
      <c r="I35" s="13">
        <f ca="1">F35*Energy!$B$6</f>
        <v>11.850000000000001</v>
      </c>
      <c r="J35" s="51">
        <f ca="1">IF(ISERROR(U35),Motor!$B$10,MIN(Motor!$B$10,U35))</f>
        <v>28.76329551374992</v>
      </c>
      <c r="K35" s="20">
        <f ca="1">I35-Motor!$B$9*J35</f>
        <v>10.728231474963755</v>
      </c>
      <c r="L35" s="14">
        <f ca="1">MAX(Motor!$B$8,J35-Motor!$B$8)</f>
        <v>26.46329551374992</v>
      </c>
      <c r="M35" s="14">
        <f t="shared" ca="1" si="0"/>
        <v>340.84505183793658</v>
      </c>
      <c r="N35" s="20">
        <f t="shared" ca="1" si="1"/>
        <v>283.90435986187902</v>
      </c>
      <c r="O35" s="1">
        <f t="shared" ca="1" si="2"/>
        <v>0.21058821457581972</v>
      </c>
      <c r="P35" s="10">
        <f t="shared" ca="1" si="3"/>
        <v>1.656069371344367E-2</v>
      </c>
      <c r="Q35" s="10">
        <f ca="1">Propeller!$B$15+Propeller!$B$16*H35+Propeller!$B$17*H35^2+Propeller!$B$18*H35^3+Propeller!$B$19*H35^4+Propeller!$B$20*H35^5+Propeller!$B$21*H35^6</f>
        <v>1.6560693712311465E-2</v>
      </c>
      <c r="R35" s="10">
        <f ca="1">(Propeller!$B$23+Propeller!$B$24*H35+Propeller!$B$25*H35^2+Propeller!$B$26*H35^3+Propeller!$B$27*H35^4+Propeller!$B$28*H35^5+Propeller!$B$29*H35^6)*Propulsão!M35</f>
        <v>0.67203487672946105</v>
      </c>
      <c r="S35" s="19">
        <f t="shared" ca="1" si="4"/>
        <v>190.79363148273441</v>
      </c>
      <c r="T35" s="19">
        <f ca="1">'Aerodynamics-Speed'!BL35</f>
        <v>190.79363146962098</v>
      </c>
      <c r="U35" s="14">
        <f ca="1">MAX(Motor!$B$8,J35+0.05*(Q35/P35-1)*J35)</f>
        <v>28.763295513651599</v>
      </c>
      <c r="V35" s="50" t="str">
        <f t="shared" ca="1" si="5"/>
        <v>OK</v>
      </c>
      <c r="W35" s="1">
        <f ca="1">IF(U35&gt;Motor!$B$10,F35+0.05*(Motor!$B$10/U35-1)*F35,MIN(1,$B$5))</f>
        <v>1</v>
      </c>
      <c r="X35" s="50" t="str">
        <f t="shared" ca="1" si="6"/>
        <v>OK</v>
      </c>
      <c r="Y35" s="20">
        <f ca="1">MAX(E35+0.05*(S35/T35-1)*E35,'Propulsion-Cruise'!E35)</f>
        <v>26.650132375801</v>
      </c>
      <c r="Z35" s="36"/>
      <c r="AA35" s="36"/>
      <c r="AB35" s="36"/>
      <c r="AC35" s="38"/>
      <c r="AD35" s="41"/>
      <c r="AE35" s="40"/>
      <c r="AF35" s="38"/>
      <c r="AG35" s="40"/>
      <c r="AH35" s="40"/>
      <c r="AI35" s="36"/>
      <c r="AJ35" s="36"/>
      <c r="AK35" s="36"/>
      <c r="AL35" s="40"/>
      <c r="AM35" s="40"/>
      <c r="AN35" s="38"/>
      <c r="AO35" s="35"/>
      <c r="AP35" s="35"/>
      <c r="AQ35" s="35"/>
      <c r="AR35" s="35"/>
      <c r="AS35" s="35"/>
      <c r="AT35" s="35"/>
      <c r="AU35" s="35"/>
      <c r="AV35" s="35"/>
      <c r="AW35" s="35"/>
      <c r="AX35" s="35"/>
    </row>
    <row r="36" spans="2:50">
      <c r="B36" s="1">
        <f>Cruise!F36</f>
        <v>0.65969672852566186</v>
      </c>
      <c r="D36" s="1">
        <f>Propeller!$B$8</f>
        <v>0.30479999999999996</v>
      </c>
      <c r="E36" s="30">
        <f ca="1">IF(ISERROR(Y36),'Propulsion-Cruise'!E36,Y36)</f>
        <v>26.669668141909241</v>
      </c>
      <c r="F36" s="49">
        <f t="shared" ca="1" si="7"/>
        <v>1</v>
      </c>
      <c r="G36" s="19">
        <f ca="1">MAX(Motor!$B$7,K36*Motor!$B$7)</f>
        <v>12874.757375080948</v>
      </c>
      <c r="H36" s="10">
        <f ca="1">E36/(G36/60*D36)*Propulsão!J36</f>
        <v>0.39334807972513974</v>
      </c>
      <c r="I36" s="13">
        <f ca="1">F36*Energy!$B$6</f>
        <v>11.850000000000001</v>
      </c>
      <c r="J36" s="51">
        <f ca="1">IF(ISERROR(U36),Motor!$B$10,MIN(Motor!$B$10,U36))</f>
        <v>28.744500532367724</v>
      </c>
      <c r="K36" s="20">
        <f ca="1">I36-Motor!$B$9*J36</f>
        <v>10.728964479237661</v>
      </c>
      <c r="L36" s="14">
        <f ca="1">MAX(Motor!$B$8,J36-Motor!$B$8)</f>
        <v>26.444500532367723</v>
      </c>
      <c r="M36" s="14">
        <f t="shared" ca="1" si="0"/>
        <v>340.62233130855759</v>
      </c>
      <c r="N36" s="20">
        <f t="shared" ca="1" si="1"/>
        <v>283.72210688295473</v>
      </c>
      <c r="O36" s="1">
        <f t="shared" ca="1" si="2"/>
        <v>0.21043864886619845</v>
      </c>
      <c r="P36" s="10">
        <f t="shared" ca="1" si="3"/>
        <v>1.6546670666916227E-2</v>
      </c>
      <c r="Q36" s="10">
        <f ca="1">Propeller!$B$15+Propeller!$B$16*H36+Propeller!$B$17*H36^2+Propeller!$B$18*H36^3+Propeller!$B$19*H36^4+Propeller!$B$20*H36^5+Propeller!$B$21*H36^6</f>
        <v>1.6546670665880281E-2</v>
      </c>
      <c r="R36" s="10">
        <f ca="1">(Propeller!$B$23+Propeller!$B$24*H36+Propeller!$B$25*H36^2+Propeller!$B$26*H36^3+Propeller!$B$27*H36^4+Propeller!$B$28*H36^5+Propeller!$B$29*H36^6)*Propulsão!M36</f>
        <v>0.671954913085685</v>
      </c>
      <c r="S36" s="19">
        <f t="shared" ca="1" si="4"/>
        <v>190.64846367102328</v>
      </c>
      <c r="T36" s="19">
        <f ca="1">'Aerodynamics-Speed'!BL36</f>
        <v>190.64846365904307</v>
      </c>
      <c r="U36" s="14">
        <f ca="1">MAX(Motor!$B$8,J36+0.05*(Q36/P36-1)*J36)</f>
        <v>28.744500532277744</v>
      </c>
      <c r="V36" s="50" t="str">
        <f t="shared" ca="1" si="5"/>
        <v>OK</v>
      </c>
      <c r="W36" s="1">
        <f ca="1">IF(U36&gt;Motor!$B$10,F36+0.05*(Motor!$B$10/U36-1)*F36,MIN(1,$B$5))</f>
        <v>1</v>
      </c>
      <c r="X36" s="50" t="str">
        <f t="shared" ca="1" si="6"/>
        <v>OK</v>
      </c>
      <c r="Y36" s="20">
        <f ca="1">MAX(E36+0.05*(S36/T36-1)*E36,'Propulsion-Cruise'!E36)</f>
        <v>26.669668141993036</v>
      </c>
      <c r="Z36" s="36"/>
      <c r="AA36" s="36"/>
      <c r="AB36" s="36"/>
      <c r="AC36" s="38"/>
      <c r="AD36" s="41"/>
      <c r="AE36" s="40"/>
      <c r="AF36" s="38"/>
      <c r="AG36" s="40"/>
      <c r="AH36" s="40"/>
      <c r="AI36" s="36"/>
      <c r="AJ36" s="36"/>
      <c r="AK36" s="36"/>
      <c r="AL36" s="40"/>
      <c r="AM36" s="40"/>
      <c r="AN36" s="38"/>
      <c r="AO36" s="35"/>
      <c r="AP36" s="35"/>
      <c r="AQ36" s="35"/>
      <c r="AR36" s="35"/>
      <c r="AS36" s="35"/>
      <c r="AT36" s="35"/>
      <c r="AU36" s="35"/>
      <c r="AV36" s="35"/>
      <c r="AW36" s="35"/>
      <c r="AX36" s="35"/>
    </row>
    <row r="37" spans="2:50">
      <c r="B37" s="1">
        <f>Cruise!F37</f>
        <v>0.65969672852566186</v>
      </c>
      <c r="D37" s="1">
        <f>Propeller!$B$8</f>
        <v>0.30479999999999996</v>
      </c>
      <c r="E37" s="30">
        <f ca="1">IF(ISERROR(Y37),'Propulsion-Cruise'!E37,Y37)</f>
        <v>26.668804211439838</v>
      </c>
      <c r="F37" s="49">
        <f t="shared" ca="1" si="7"/>
        <v>1</v>
      </c>
      <c r="G37" s="19">
        <f ca="1">MAX(Motor!$B$7,K37*Motor!$B$7)</f>
        <v>12874.718453804724</v>
      </c>
      <c r="H37" s="10">
        <f ca="1">E37/(G37/60*D37)*Propulsão!J37</f>
        <v>0.39333652679050152</v>
      </c>
      <c r="I37" s="13">
        <f ca="1">F37*Energy!$B$6</f>
        <v>11.850000000000001</v>
      </c>
      <c r="J37" s="51">
        <f ca="1">IF(ISERROR(U37),Motor!$B$10,MIN(Motor!$B$10,U37))</f>
        <v>28.745332183575904</v>
      </c>
      <c r="K37" s="20">
        <f ca="1">I37-Motor!$B$9*J37</f>
        <v>10.728932044840541</v>
      </c>
      <c r="L37" s="14">
        <f ca="1">MAX(Motor!$B$8,J37-Motor!$B$8)</f>
        <v>26.445332183575903</v>
      </c>
      <c r="M37" s="14">
        <f t="shared" ca="1" si="0"/>
        <v>340.63218637537449</v>
      </c>
      <c r="N37" s="20">
        <f t="shared" ca="1" si="1"/>
        <v>283.73017190082038</v>
      </c>
      <c r="O37" s="1">
        <f t="shared" ca="1" si="2"/>
        <v>0.2104452669362287</v>
      </c>
      <c r="P37" s="10">
        <f t="shared" ca="1" si="3"/>
        <v>1.654729108902437E-2</v>
      </c>
      <c r="Q37" s="10">
        <f ca="1">Propeller!$B$15+Propeller!$B$16*H37+Propeller!$B$17*H37^2+Propeller!$B$18*H37^3+Propeller!$B$19*H37^4+Propeller!$B$20*H37^5+Propeller!$B$21*H37^6</f>
        <v>1.6547291088065994E-2</v>
      </c>
      <c r="R37" s="10">
        <f ca="1">(Propeller!$B$23+Propeller!$B$24*H37+Propeller!$B$25*H37^2+Propeller!$B$26*H37^3+Propeller!$B$27*H37^4+Propeller!$B$28*H37^5+Propeller!$B$29*H37^6)*Propulsão!M37</f>
        <v>0.67188700067079166</v>
      </c>
      <c r="S37" s="19">
        <f t="shared" ca="1" si="4"/>
        <v>190.63461419825035</v>
      </c>
      <c r="T37" s="19">
        <f ca="1">'Aerodynamics-Speed'!BL37</f>
        <v>190.63461418715804</v>
      </c>
      <c r="U37" s="14">
        <f ca="1">MAX(Motor!$B$8,J37+0.05*(Q37/P37-1)*J37)</f>
        <v>28.745332183492661</v>
      </c>
      <c r="V37" s="50" t="str">
        <f t="shared" ca="1" si="5"/>
        <v>OK</v>
      </c>
      <c r="W37" s="1">
        <f ca="1">IF(U37&gt;Motor!$B$10,F37+0.05*(Motor!$B$10/U37-1)*F37,MIN(1,$B$5))</f>
        <v>1</v>
      </c>
      <c r="X37" s="50" t="str">
        <f t="shared" ca="1" si="6"/>
        <v>OK</v>
      </c>
      <c r="Y37" s="20">
        <f ca="1">MAX(E37+0.05*(S37/T37-1)*E37,'Propulsion-Cruise'!E37)</f>
        <v>26.668804211517426</v>
      </c>
      <c r="Z37" s="36"/>
      <c r="AA37" s="36"/>
      <c r="AB37" s="36"/>
      <c r="AC37" s="38"/>
      <c r="AD37" s="41"/>
      <c r="AE37" s="40"/>
      <c r="AF37" s="38"/>
      <c r="AG37" s="40"/>
      <c r="AH37" s="40"/>
      <c r="AI37" s="36"/>
      <c r="AJ37" s="36"/>
      <c r="AK37" s="36"/>
      <c r="AL37" s="40"/>
      <c r="AM37" s="40"/>
      <c r="AN37" s="38"/>
      <c r="AO37" s="35"/>
      <c r="AP37" s="35"/>
      <c r="AQ37" s="35"/>
      <c r="AR37" s="35"/>
      <c r="AS37" s="35"/>
      <c r="AT37" s="35"/>
      <c r="AU37" s="35"/>
      <c r="AV37" s="35"/>
      <c r="AW37" s="35"/>
      <c r="AX37" s="35"/>
    </row>
    <row r="38" spans="2:50">
      <c r="B38" s="1">
        <f>Cruise!F38</f>
        <v>0.65969672852566186</v>
      </c>
      <c r="D38" s="1">
        <f>Propeller!$B$8</f>
        <v>0.30479999999999996</v>
      </c>
      <c r="E38" s="30">
        <f ca="1">IF(ISERROR(Y38),'Propulsion-Cruise'!E38,Y38)</f>
        <v>26.651513055334437</v>
      </c>
      <c r="F38" s="49">
        <f t="shared" ca="1" si="7"/>
        <v>1</v>
      </c>
      <c r="G38" s="19">
        <f ca="1">MAX(Motor!$B$7,K38*Motor!$B$7)</f>
        <v>12873.93990063212</v>
      </c>
      <c r="H38" s="10">
        <f ca="1">E38/(G38/60*D38)*Propulsão!J38</f>
        <v>0.39310527226396741</v>
      </c>
      <c r="I38" s="13">
        <f ca="1">F38*Energy!$B$6</f>
        <v>11.850000000000001</v>
      </c>
      <c r="J38" s="51">
        <f ca="1">IF(ISERROR(U38),Motor!$B$10,MIN(Motor!$B$10,U38))</f>
        <v>28.761967935132883</v>
      </c>
      <c r="K38" s="20">
        <f ca="1">I38-Motor!$B$9*J38</f>
        <v>10.728283250529818</v>
      </c>
      <c r="L38" s="14">
        <f ca="1">MAX(Motor!$B$8,J38-Motor!$B$8)</f>
        <v>26.461967935132883</v>
      </c>
      <c r="M38" s="14">
        <f t="shared" ca="1" si="0"/>
        <v>340.8293200313247</v>
      </c>
      <c r="N38" s="20">
        <f t="shared" ca="1" si="1"/>
        <v>283.8914873745432</v>
      </c>
      <c r="O38" s="1">
        <f t="shared" ca="1" si="2"/>
        <v>0.21057765004084153</v>
      </c>
      <c r="P38" s="10">
        <f t="shared" ca="1" si="3"/>
        <v>1.6559703078478052E-2</v>
      </c>
      <c r="Q38" s="10">
        <f ca="1">Propeller!$B$15+Propeller!$B$16*H38+Propeller!$B$17*H38^2+Propeller!$B$18*H38^3+Propeller!$B$19*H38^4+Propeller!$B$20*H38^5+Propeller!$B$21*H38^6</f>
        <v>1.6559703077583615E-2</v>
      </c>
      <c r="R38" s="10">
        <f ca="1">(Propeller!$B$23+Propeller!$B$24*H38+Propeller!$B$25*H38^2+Propeller!$B$26*H38^3+Propeller!$B$27*H38^4+Propeller!$B$28*H38^5+Propeller!$B$29*H38^6)*Propulsão!M38</f>
        <v>0.67182908684212006</v>
      </c>
      <c r="S38" s="19">
        <f t="shared" ca="1" si="4"/>
        <v>190.72655872509063</v>
      </c>
      <c r="T38" s="19">
        <f ca="1">'Aerodynamics-Speed'!BL38</f>
        <v>190.72655871470982</v>
      </c>
      <c r="U38" s="14">
        <f ca="1">MAX(Motor!$B$8,J38+0.05*(Q38/P38-1)*J38)</f>
        <v>28.761967935055207</v>
      </c>
      <c r="V38" s="50" t="str">
        <f t="shared" ca="1" si="5"/>
        <v>OK</v>
      </c>
      <c r="W38" s="1">
        <f ca="1">IF(U38&gt;Motor!$B$10,F38+0.05*(Motor!$B$10/U38-1)*F38,MIN(1,$B$5))</f>
        <v>1</v>
      </c>
      <c r="X38" s="50" t="str">
        <f t="shared" ca="1" si="6"/>
        <v>OK</v>
      </c>
      <c r="Y38" s="20">
        <f ca="1">MAX(E38+0.05*(S38/T38-1)*E38,'Propulsion-Cruise'!E38)</f>
        <v>26.651513055406966</v>
      </c>
      <c r="Z38" s="36"/>
      <c r="AA38" s="36"/>
      <c r="AB38" s="36"/>
      <c r="AC38" s="38"/>
      <c r="AD38" s="41"/>
      <c r="AE38" s="40"/>
      <c r="AF38" s="38"/>
      <c r="AG38" s="40"/>
      <c r="AH38" s="40"/>
      <c r="AI38" s="36"/>
      <c r="AJ38" s="36"/>
      <c r="AK38" s="36"/>
      <c r="AL38" s="40"/>
      <c r="AM38" s="40"/>
      <c r="AN38" s="38"/>
      <c r="AO38" s="35"/>
      <c r="AP38" s="35"/>
      <c r="AQ38" s="35"/>
      <c r="AR38" s="35"/>
      <c r="AS38" s="35"/>
      <c r="AT38" s="35"/>
      <c r="AU38" s="35"/>
      <c r="AV38" s="35"/>
      <c r="AW38" s="35"/>
      <c r="AX38" s="35"/>
    </row>
    <row r="39" spans="2:50">
      <c r="B39" s="1">
        <f>Cruise!F39</f>
        <v>0.65969672852566186</v>
      </c>
      <c r="D39" s="1">
        <f>Propeller!$B$8</f>
        <v>0.30479999999999996</v>
      </c>
      <c r="E39" s="30">
        <f ca="1">IF(ISERROR(Y39),'Propulsion-Cruise'!E39,Y39)</f>
        <v>26.620857504779433</v>
      </c>
      <c r="F39" s="49">
        <f t="shared" ca="1" si="7"/>
        <v>1</v>
      </c>
      <c r="G39" s="19">
        <f ca="1">MAX(Motor!$B$7,K39*Motor!$B$7)</f>
        <v>12872.561649960084</v>
      </c>
      <c r="H39" s="10">
        <f ca="1">E39/(G39/60*D39)*Propulsão!J39</f>
        <v>0.39269514904732972</v>
      </c>
      <c r="I39" s="13">
        <f ca="1">F39*Energy!$B$6</f>
        <v>11.850000000000001</v>
      </c>
      <c r="J39" s="51">
        <f ca="1">IF(ISERROR(U39),Motor!$B$10,MIN(Motor!$B$10,U39))</f>
        <v>28.791417735822094</v>
      </c>
      <c r="K39" s="20">
        <f ca="1">I39-Motor!$B$9*J39</f>
        <v>10.727134708302939</v>
      </c>
      <c r="L39" s="14">
        <f ca="1">MAX(Motor!$B$8,J39-Motor!$B$8)</f>
        <v>26.491417735822093</v>
      </c>
      <c r="M39" s="14">
        <f t="shared" ca="1" si="0"/>
        <v>341.17830016949188</v>
      </c>
      <c r="N39" s="20">
        <f t="shared" ca="1" si="1"/>
        <v>284.17700666608926</v>
      </c>
      <c r="O39" s="1">
        <f t="shared" ca="1" si="2"/>
        <v>0.21081200410847603</v>
      </c>
      <c r="P39" s="10">
        <f t="shared" ca="1" si="3"/>
        <v>1.6581682739104604E-2</v>
      </c>
      <c r="Q39" s="10">
        <f ca="1">Propeller!$B$15+Propeller!$B$16*H39+Propeller!$B$17*H39^2+Propeller!$B$18*H39^3+Propeller!$B$19*H39^4+Propeller!$B$20*H39^5+Propeller!$B$21*H39^6</f>
        <v>1.6581682738263437E-2</v>
      </c>
      <c r="R39" s="10">
        <f ca="1">(Propeller!$B$23+Propeller!$B$24*H39+Propeller!$B$25*H39^2+Propeller!$B$26*H39^3+Propeller!$B$27*H39^4+Propeller!$B$28*H39^5+Propeller!$B$29*H39^6)*Propulsão!M39</f>
        <v>0.6717776135980309</v>
      </c>
      <c r="S39" s="19">
        <f t="shared" ca="1" si="4"/>
        <v>190.90375137757715</v>
      </c>
      <c r="T39" s="19">
        <f ca="1">'Aerodynamics-Speed'!BL39</f>
        <v>190.90375136777206</v>
      </c>
      <c r="U39" s="14">
        <f ca="1">MAX(Motor!$B$8,J39+0.05*(Q39/P39-1)*J39)</f>
        <v>28.791417735749068</v>
      </c>
      <c r="V39" s="50" t="str">
        <f t="shared" ca="1" si="5"/>
        <v>OK</v>
      </c>
      <c r="W39" s="1">
        <f ca="1">IF(U39&gt;Motor!$B$10,F39+0.05*(Motor!$B$10/U39-1)*F39,MIN(1,$B$5))</f>
        <v>1</v>
      </c>
      <c r="X39" s="50" t="str">
        <f t="shared" ca="1" si="6"/>
        <v>OK</v>
      </c>
      <c r="Y39" s="20">
        <f ca="1">MAX(E39+0.05*(S39/T39-1)*E39,'Propulsion-Cruise'!E39)</f>
        <v>26.620857504847798</v>
      </c>
      <c r="Z39" s="36"/>
      <c r="AA39" s="36"/>
      <c r="AB39" s="36"/>
      <c r="AC39" s="38"/>
      <c r="AD39" s="41"/>
      <c r="AE39" s="40"/>
      <c r="AF39" s="38"/>
      <c r="AG39" s="40"/>
      <c r="AH39" s="40"/>
      <c r="AI39" s="36"/>
      <c r="AJ39" s="36"/>
      <c r="AK39" s="36"/>
      <c r="AL39" s="40"/>
      <c r="AM39" s="40"/>
      <c r="AN39" s="38"/>
      <c r="AO39" s="35"/>
      <c r="AP39" s="35"/>
      <c r="AQ39" s="35"/>
      <c r="AR39" s="35"/>
      <c r="AS39" s="35"/>
      <c r="AT39" s="35"/>
      <c r="AU39" s="35"/>
      <c r="AV39" s="35"/>
      <c r="AW39" s="35"/>
      <c r="AX39" s="35"/>
    </row>
    <row r="40" spans="2:50">
      <c r="B40" s="1">
        <f>Cruise!F40</f>
        <v>0.65969672852566186</v>
      </c>
      <c r="D40" s="1">
        <f>Propeller!$B$8</f>
        <v>0.30479999999999996</v>
      </c>
      <c r="E40" s="30">
        <f ca="1">IF(ISERROR(Y40),'Propulsion-Cruise'!E40,Y40)</f>
        <v>27.017866493879659</v>
      </c>
      <c r="F40" s="49">
        <f t="shared" ca="1" si="7"/>
        <v>1</v>
      </c>
      <c r="G40" s="19">
        <f ca="1">MAX(Motor!$B$7,K40*Motor!$B$7)</f>
        <v>12890.607905903238</v>
      </c>
      <c r="H40" s="10">
        <f ca="1">E40/(G40/60*D40)*Propulsão!J40</f>
        <v>0.39799363707666702</v>
      </c>
      <c r="I40" s="13">
        <f ca="1">F40*Energy!$B$6</f>
        <v>11.850000000000001</v>
      </c>
      <c r="J40" s="51">
        <f ca="1">IF(ISERROR(U40),Motor!$B$10,MIN(Motor!$B$10,U40))</f>
        <v>28.405805217524563</v>
      </c>
      <c r="K40" s="20">
        <f ca="1">I40-Motor!$B$9*J40</f>
        <v>10.742173596516544</v>
      </c>
      <c r="L40" s="14">
        <f ca="1">MAX(Motor!$B$8,J40-Motor!$B$8)</f>
        <v>26.105805217524562</v>
      </c>
      <c r="M40" s="14">
        <f t="shared" ca="1" si="0"/>
        <v>336.6087918276661</v>
      </c>
      <c r="N40" s="20">
        <f t="shared" ca="1" si="1"/>
        <v>280.43309152349616</v>
      </c>
      <c r="O40" s="1">
        <f t="shared" ca="1" si="2"/>
        <v>0.20774340379432529</v>
      </c>
      <c r="P40" s="10">
        <f t="shared" ca="1" si="3"/>
        <v>1.6294598773416585E-2</v>
      </c>
      <c r="Q40" s="10">
        <f ca="1">Propeller!$B$15+Propeller!$B$16*H40+Propeller!$B$17*H40^2+Propeller!$B$18*H40^3+Propeller!$B$19*H40^4+Propeller!$B$20*H40^5+Propeller!$B$21*H40^6</f>
        <v>1.6294498655294417E-2</v>
      </c>
      <c r="R40" s="10">
        <f ca="1">(Propeller!$B$23+Propeller!$B$24*H40+Propeller!$B$25*H40^2+Propeller!$B$26*H40^3+Propeller!$B$27*H40^4+Propeller!$B$28*H40^5+Propeller!$B$29*H40^6)*Propulsão!M40</f>
        <v>0.67088836930732265</v>
      </c>
      <c r="S40" s="19">
        <f t="shared" ca="1" si="4"/>
        <v>188.1392994720095</v>
      </c>
      <c r="T40" s="19">
        <f ca="1">'Aerodynamics-Speed'!BL40</f>
        <v>188.13812582569818</v>
      </c>
      <c r="U40" s="14">
        <f ca="1">MAX(Motor!$B$8,J40+0.05*(Q40/P40-1)*J40)</f>
        <v>28.405796490903192</v>
      </c>
      <c r="V40" s="50" t="str">
        <f t="shared" ca="1" si="5"/>
        <v>OK</v>
      </c>
      <c r="W40" s="1">
        <f ca="1">IF(U40&gt;Motor!$B$10,F40+0.05*(Motor!$B$10/U40-1)*F40,MIN(1,$B$5))</f>
        <v>1</v>
      </c>
      <c r="X40" s="50" t="str">
        <f t="shared" ca="1" si="6"/>
        <v>OK</v>
      </c>
      <c r="Y40" s="20">
        <f ca="1">MAX(E40+0.05*(S40/T40-1)*E40,'Propulsion-Cruise'!E40)</f>
        <v>27.017874921044331</v>
      </c>
      <c r="Z40" s="36"/>
      <c r="AA40" s="36"/>
      <c r="AB40" s="36"/>
      <c r="AC40" s="38"/>
      <c r="AD40" s="41"/>
      <c r="AE40" s="40"/>
      <c r="AF40" s="38"/>
      <c r="AG40" s="40"/>
      <c r="AH40" s="40"/>
      <c r="AI40" s="36"/>
      <c r="AJ40" s="36"/>
      <c r="AK40" s="36"/>
      <c r="AL40" s="40"/>
      <c r="AM40" s="40"/>
      <c r="AN40" s="38"/>
      <c r="AO40" s="35"/>
      <c r="AP40" s="35"/>
      <c r="AQ40" s="35"/>
      <c r="AR40" s="35"/>
      <c r="AS40" s="35"/>
      <c r="AT40" s="35"/>
      <c r="AU40" s="35"/>
      <c r="AV40" s="35"/>
      <c r="AW40" s="35"/>
      <c r="AX40" s="35"/>
    </row>
    <row r="41" spans="2:50">
      <c r="B41" s="1"/>
      <c r="D41" s="16"/>
      <c r="E41" s="19"/>
      <c r="F41" s="16"/>
      <c r="G41" s="19"/>
      <c r="H41" s="42"/>
      <c r="I41" s="40"/>
      <c r="J41" s="20"/>
      <c r="K41" s="19"/>
      <c r="L41" s="19"/>
      <c r="M41" s="20"/>
      <c r="N41" s="20"/>
      <c r="O41" s="42"/>
      <c r="P41" s="42"/>
      <c r="Q41" s="42"/>
      <c r="R41" s="19"/>
      <c r="S41" s="19"/>
      <c r="T41" s="19"/>
      <c r="U41" s="53"/>
      <c r="V41" s="16"/>
      <c r="W41" s="53"/>
      <c r="Y41" s="35"/>
      <c r="Z41" s="36"/>
      <c r="AA41" s="36"/>
      <c r="AB41" s="36"/>
      <c r="AC41" s="38"/>
      <c r="AD41" s="41"/>
      <c r="AE41" s="40"/>
      <c r="AF41" s="38"/>
      <c r="AG41" s="40"/>
      <c r="AH41" s="40"/>
      <c r="AI41" s="36"/>
      <c r="AJ41" s="36"/>
      <c r="AK41" s="36"/>
      <c r="AL41" s="40"/>
      <c r="AM41" s="40"/>
      <c r="AN41" s="38"/>
      <c r="AO41" s="35"/>
      <c r="AP41" s="35"/>
      <c r="AQ41" s="35"/>
      <c r="AR41" s="35"/>
      <c r="AS41" s="35"/>
      <c r="AT41" s="35"/>
      <c r="AU41" s="35"/>
      <c r="AV41" s="35"/>
      <c r="AW41" s="35"/>
      <c r="AX41" s="35"/>
    </row>
    <row r="42" spans="2:50">
      <c r="B42" s="1"/>
      <c r="D42" s="16"/>
      <c r="E42" s="19"/>
      <c r="F42" s="16"/>
      <c r="G42" s="19"/>
      <c r="H42" s="42"/>
      <c r="I42" s="40"/>
      <c r="J42" s="20"/>
      <c r="K42" s="19"/>
      <c r="L42" s="19"/>
      <c r="M42" s="20"/>
      <c r="N42" s="20"/>
      <c r="O42" s="42"/>
      <c r="P42" s="42"/>
      <c r="Q42" s="42"/>
      <c r="R42" s="19"/>
      <c r="S42" s="19"/>
      <c r="T42" s="19"/>
      <c r="U42" s="53"/>
      <c r="V42" s="16"/>
      <c r="W42" s="53"/>
      <c r="Y42" s="35"/>
      <c r="Z42" s="36"/>
      <c r="AA42" s="36"/>
      <c r="AB42" s="36"/>
      <c r="AC42" s="38"/>
      <c r="AD42" s="41"/>
      <c r="AE42" s="40"/>
      <c r="AF42" s="38"/>
      <c r="AG42" s="40"/>
      <c r="AH42" s="40"/>
      <c r="AI42" s="36"/>
      <c r="AJ42" s="36"/>
      <c r="AK42" s="36"/>
      <c r="AL42" s="40"/>
      <c r="AM42" s="40"/>
      <c r="AN42" s="38"/>
      <c r="AO42" s="35"/>
      <c r="AP42" s="35"/>
      <c r="AQ42" s="35"/>
      <c r="AR42" s="35"/>
      <c r="AS42" s="35"/>
      <c r="AT42" s="35"/>
      <c r="AU42" s="35"/>
      <c r="AV42" s="35"/>
      <c r="AW42" s="35"/>
      <c r="AX42" s="35"/>
    </row>
    <row r="43" spans="2:50">
      <c r="B43" s="1"/>
      <c r="Y43" s="35"/>
      <c r="Z43" s="36"/>
      <c r="AA43" s="36"/>
      <c r="AB43" s="36"/>
      <c r="AC43" s="38"/>
      <c r="AD43" s="41"/>
      <c r="AE43" s="40"/>
      <c r="AF43" s="38"/>
      <c r="AG43" s="40"/>
      <c r="AH43" s="40"/>
      <c r="AI43" s="36"/>
      <c r="AJ43" s="36"/>
      <c r="AK43" s="36"/>
      <c r="AL43" s="40"/>
      <c r="AM43" s="40"/>
      <c r="AN43" s="38"/>
      <c r="AO43" s="35"/>
      <c r="AP43" s="35"/>
      <c r="AQ43" s="35"/>
      <c r="AR43" s="35"/>
      <c r="AS43" s="35"/>
      <c r="AT43" s="35"/>
      <c r="AU43" s="35"/>
      <c r="AV43" s="35"/>
      <c r="AW43" s="35"/>
      <c r="AX43" s="35"/>
    </row>
    <row r="44" spans="2:50">
      <c r="B44" s="1"/>
      <c r="Y44" s="35"/>
      <c r="Z44" s="36"/>
      <c r="AA44" s="36"/>
      <c r="AB44" s="36"/>
      <c r="AC44" s="38"/>
      <c r="AD44" s="41"/>
      <c r="AE44" s="40"/>
      <c r="AF44" s="38"/>
      <c r="AG44" s="40"/>
      <c r="AH44" s="40"/>
      <c r="AI44" s="36"/>
      <c r="AJ44" s="36"/>
      <c r="AK44" s="36"/>
      <c r="AL44" s="40"/>
      <c r="AM44" s="40"/>
      <c r="AN44" s="38"/>
      <c r="AO44" s="35"/>
      <c r="AP44" s="35"/>
      <c r="AQ44" s="35"/>
      <c r="AR44" s="35"/>
      <c r="AS44" s="35"/>
      <c r="AT44" s="35"/>
      <c r="AU44" s="35"/>
      <c r="AV44" s="35"/>
      <c r="AW44" s="35"/>
      <c r="AX44" s="35"/>
    </row>
    <row r="45" spans="2:50">
      <c r="B45" s="1"/>
      <c r="Y45" s="35"/>
      <c r="Z45" s="36"/>
      <c r="AA45" s="36"/>
      <c r="AB45" s="36"/>
      <c r="AC45" s="38"/>
      <c r="AD45" s="41"/>
      <c r="AE45" s="40"/>
      <c r="AF45" s="38"/>
      <c r="AG45" s="40"/>
      <c r="AH45" s="40"/>
      <c r="AI45" s="36"/>
      <c r="AJ45" s="36"/>
      <c r="AK45" s="36"/>
      <c r="AL45" s="40"/>
      <c r="AM45" s="40"/>
      <c r="AN45" s="38"/>
      <c r="AO45" s="35"/>
      <c r="AP45" s="35"/>
      <c r="AQ45" s="35"/>
      <c r="AR45" s="35"/>
      <c r="AS45" s="35"/>
      <c r="AT45" s="35"/>
      <c r="AU45" s="35"/>
      <c r="AV45" s="35"/>
      <c r="AW45" s="35"/>
      <c r="AX45" s="35"/>
    </row>
    <row r="46" spans="2:50">
      <c r="B46" s="1"/>
      <c r="Y46" s="35"/>
      <c r="Z46" s="36"/>
      <c r="AA46" s="36"/>
      <c r="AB46" s="36"/>
      <c r="AC46" s="38"/>
      <c r="AD46" s="41"/>
      <c r="AE46" s="40"/>
      <c r="AF46" s="38"/>
      <c r="AG46" s="40"/>
      <c r="AH46" s="40"/>
      <c r="AI46" s="36"/>
      <c r="AJ46" s="36"/>
      <c r="AK46" s="36"/>
      <c r="AL46" s="40"/>
      <c r="AM46" s="40"/>
      <c r="AN46" s="38"/>
      <c r="AO46" s="35"/>
      <c r="AP46" s="35"/>
      <c r="AQ46" s="35"/>
      <c r="AR46" s="35"/>
      <c r="AS46" s="35"/>
      <c r="AT46" s="35"/>
      <c r="AU46" s="35"/>
      <c r="AV46" s="35"/>
      <c r="AW46" s="35"/>
      <c r="AX46" s="35"/>
    </row>
    <row r="47" spans="2:50">
      <c r="B47" s="1"/>
      <c r="Y47" s="35"/>
      <c r="Z47" s="36"/>
      <c r="AA47" s="36"/>
      <c r="AB47" s="36"/>
      <c r="AC47" s="38"/>
      <c r="AD47" s="41"/>
      <c r="AE47" s="40"/>
      <c r="AF47" s="38"/>
      <c r="AG47" s="40"/>
      <c r="AH47" s="40"/>
      <c r="AI47" s="36"/>
      <c r="AJ47" s="36"/>
      <c r="AK47" s="36"/>
      <c r="AL47" s="40"/>
      <c r="AM47" s="40"/>
      <c r="AN47" s="38"/>
      <c r="AO47" s="35"/>
      <c r="AP47" s="35"/>
      <c r="AQ47" s="35"/>
      <c r="AR47" s="35"/>
      <c r="AS47" s="35"/>
      <c r="AT47" s="35"/>
      <c r="AU47" s="35"/>
      <c r="AV47" s="35"/>
      <c r="AW47" s="35"/>
      <c r="AX47" s="35"/>
    </row>
    <row r="48" spans="2:50">
      <c r="Y48" s="35"/>
      <c r="Z48" s="36"/>
      <c r="AA48" s="36"/>
      <c r="AB48" s="36"/>
      <c r="AC48" s="38"/>
      <c r="AD48" s="41"/>
      <c r="AE48" s="40"/>
      <c r="AF48" s="38"/>
      <c r="AG48" s="40"/>
      <c r="AH48" s="40"/>
      <c r="AI48" s="36"/>
      <c r="AJ48" s="36"/>
      <c r="AK48" s="36"/>
      <c r="AL48" s="40"/>
      <c r="AM48" s="40"/>
      <c r="AN48" s="38"/>
      <c r="AO48" s="35"/>
      <c r="AP48" s="35"/>
      <c r="AQ48" s="35"/>
      <c r="AR48" s="35"/>
      <c r="AS48" s="35"/>
      <c r="AT48" s="35"/>
      <c r="AU48" s="35"/>
      <c r="AV48" s="35"/>
      <c r="AW48" s="35"/>
      <c r="AX48" s="35"/>
    </row>
    <row r="49" spans="25:50">
      <c r="Y49" s="35"/>
      <c r="Z49" s="36"/>
      <c r="AA49" s="36"/>
      <c r="AB49" s="36"/>
      <c r="AC49" s="38"/>
      <c r="AD49" s="41"/>
      <c r="AE49" s="40"/>
      <c r="AF49" s="38"/>
      <c r="AG49" s="40"/>
      <c r="AH49" s="40"/>
      <c r="AI49" s="36"/>
      <c r="AJ49" s="36"/>
      <c r="AK49" s="36"/>
      <c r="AL49" s="40"/>
      <c r="AM49" s="40"/>
      <c r="AN49" s="38"/>
      <c r="AO49" s="35"/>
      <c r="AP49" s="35"/>
      <c r="AQ49" s="35"/>
      <c r="AR49" s="35"/>
      <c r="AS49" s="35"/>
      <c r="AT49" s="35"/>
      <c r="AU49" s="35"/>
      <c r="AV49" s="35"/>
      <c r="AW49" s="35"/>
      <c r="AX49" s="35"/>
    </row>
    <row r="50" spans="25:50">
      <c r="Y50" s="35"/>
      <c r="Z50" s="36"/>
      <c r="AA50" s="36"/>
      <c r="AB50" s="36"/>
      <c r="AC50" s="38"/>
      <c r="AD50" s="41"/>
      <c r="AE50" s="40"/>
      <c r="AF50" s="38"/>
      <c r="AG50" s="40"/>
      <c r="AH50" s="40"/>
      <c r="AI50" s="36"/>
      <c r="AJ50" s="36"/>
      <c r="AK50" s="36"/>
      <c r="AL50" s="40"/>
      <c r="AM50" s="40"/>
      <c r="AN50" s="38"/>
      <c r="AO50" s="35"/>
      <c r="AP50" s="35"/>
      <c r="AQ50" s="35"/>
      <c r="AR50" s="35"/>
      <c r="AS50" s="35"/>
      <c r="AT50" s="35"/>
      <c r="AU50" s="35"/>
      <c r="AV50" s="35"/>
      <c r="AW50" s="35"/>
      <c r="AX50" s="35"/>
    </row>
    <row r="51" spans="25:50">
      <c r="Y51" s="35"/>
      <c r="Z51" s="36"/>
      <c r="AA51" s="36"/>
      <c r="AB51" s="36"/>
      <c r="AC51" s="38"/>
      <c r="AD51" s="41"/>
      <c r="AE51" s="40"/>
      <c r="AF51" s="38"/>
      <c r="AG51" s="40"/>
      <c r="AH51" s="40"/>
      <c r="AI51" s="36"/>
      <c r="AJ51" s="36"/>
      <c r="AK51" s="36"/>
      <c r="AL51" s="40"/>
      <c r="AM51" s="40"/>
      <c r="AN51" s="38"/>
      <c r="AO51" s="35"/>
      <c r="AP51" s="35"/>
      <c r="AQ51" s="35"/>
      <c r="AR51" s="35"/>
      <c r="AS51" s="35"/>
      <c r="AT51" s="35"/>
      <c r="AU51" s="35"/>
      <c r="AV51" s="35"/>
      <c r="AW51" s="35"/>
      <c r="AX51" s="35"/>
    </row>
    <row r="52" spans="25:50">
      <c r="Y52" s="35"/>
      <c r="Z52" s="36"/>
      <c r="AA52" s="36"/>
      <c r="AB52" s="36"/>
      <c r="AC52" s="38"/>
      <c r="AD52" s="41"/>
      <c r="AE52" s="40"/>
      <c r="AF52" s="38"/>
      <c r="AG52" s="40"/>
      <c r="AH52" s="40"/>
      <c r="AI52" s="36"/>
      <c r="AJ52" s="36"/>
      <c r="AK52" s="36"/>
      <c r="AL52" s="40"/>
      <c r="AM52" s="40"/>
      <c r="AN52" s="38"/>
      <c r="AO52" s="35"/>
      <c r="AP52" s="35"/>
      <c r="AQ52" s="35"/>
      <c r="AR52" s="35"/>
      <c r="AS52" s="35"/>
      <c r="AT52" s="35"/>
      <c r="AU52" s="35"/>
      <c r="AV52" s="35"/>
      <c r="AW52" s="35"/>
      <c r="AX52" s="35"/>
    </row>
    <row r="53" spans="25:50">
      <c r="Y53" s="35"/>
      <c r="Z53" s="36"/>
      <c r="AA53" s="36"/>
      <c r="AB53" s="36"/>
      <c r="AC53" s="38"/>
      <c r="AD53" s="41"/>
      <c r="AE53" s="40"/>
      <c r="AF53" s="38"/>
      <c r="AG53" s="40"/>
      <c r="AH53" s="40"/>
      <c r="AI53" s="36"/>
      <c r="AJ53" s="36"/>
      <c r="AK53" s="36"/>
      <c r="AL53" s="40"/>
      <c r="AM53" s="40"/>
      <c r="AN53" s="38"/>
      <c r="AO53" s="35"/>
      <c r="AP53" s="35"/>
      <c r="AQ53" s="35"/>
      <c r="AR53" s="35"/>
      <c r="AS53" s="35"/>
      <c r="AT53" s="35"/>
      <c r="AU53" s="35"/>
      <c r="AV53" s="35"/>
      <c r="AW53" s="35"/>
      <c r="AX53" s="35"/>
    </row>
    <row r="54" spans="25:50">
      <c r="Y54" s="35"/>
      <c r="Z54" s="36"/>
      <c r="AA54" s="36"/>
      <c r="AB54" s="36"/>
      <c r="AC54" s="38"/>
      <c r="AD54" s="41"/>
      <c r="AE54" s="40"/>
      <c r="AF54" s="38"/>
      <c r="AG54" s="40"/>
      <c r="AH54" s="40"/>
      <c r="AI54" s="36"/>
      <c r="AJ54" s="36"/>
      <c r="AK54" s="36"/>
      <c r="AL54" s="40"/>
      <c r="AM54" s="40"/>
      <c r="AN54" s="38"/>
      <c r="AO54" s="35"/>
      <c r="AP54" s="35"/>
      <c r="AQ54" s="35"/>
      <c r="AR54" s="35"/>
      <c r="AS54" s="35"/>
      <c r="AT54" s="35"/>
      <c r="AU54" s="35"/>
      <c r="AV54" s="35"/>
      <c r="AW54" s="35"/>
      <c r="AX54" s="35"/>
    </row>
    <row r="55" spans="25:50">
      <c r="Y55" s="35"/>
      <c r="Z55" s="36"/>
      <c r="AA55" s="36"/>
      <c r="AB55" s="36"/>
      <c r="AC55" s="38"/>
      <c r="AD55" s="41"/>
      <c r="AE55" s="40"/>
      <c r="AF55" s="38"/>
      <c r="AG55" s="40"/>
      <c r="AH55" s="40"/>
      <c r="AI55" s="36"/>
      <c r="AJ55" s="36"/>
      <c r="AK55" s="36"/>
      <c r="AL55" s="40"/>
      <c r="AM55" s="40"/>
      <c r="AN55" s="38"/>
      <c r="AO55" s="35"/>
      <c r="AP55" s="35"/>
      <c r="AQ55" s="35"/>
      <c r="AR55" s="35"/>
      <c r="AS55" s="35"/>
      <c r="AT55" s="35"/>
      <c r="AU55" s="35"/>
      <c r="AV55" s="35"/>
      <c r="AW55" s="35"/>
      <c r="AX55" s="35"/>
    </row>
    <row r="56" spans="25:50"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</row>
    <row r="57" spans="25:50"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</row>
    <row r="58" spans="25:50"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</row>
    <row r="59" spans="25:50"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</row>
    <row r="60" spans="25:50"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</row>
    <row r="61" spans="25:50"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</row>
    <row r="62" spans="25:50"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</row>
    <row r="63" spans="25:50"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</row>
    <row r="64" spans="25:50"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</row>
    <row r="65" spans="25:50"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</row>
    <row r="66" spans="25:50"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</row>
    <row r="67" spans="25:50"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</row>
    <row r="68" spans="25:50"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</row>
    <row r="69" spans="25:50"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</row>
    <row r="70" spans="25:50"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</row>
    <row r="71" spans="25:50"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</row>
    <row r="72" spans="25:50"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</row>
    <row r="73" spans="25:50"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</row>
    <row r="74" spans="25:50"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</row>
    <row r="75" spans="25:50"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</row>
    <row r="76" spans="25:50"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</row>
    <row r="77" spans="25:50"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</row>
    <row r="78" spans="25:50"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</row>
    <row r="79" spans="25:50"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</row>
    <row r="80" spans="25:50"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</row>
    <row r="81" spans="25:50"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</row>
    <row r="82" spans="25:50"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</row>
    <row r="83" spans="25:50"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</row>
    <row r="84" spans="25:50"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</row>
    <row r="85" spans="25:50"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</row>
    <row r="86" spans="25:50"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</row>
    <row r="87" spans="25:50"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</row>
    <row r="88" spans="25:50"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</row>
    <row r="89" spans="25:50"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</row>
    <row r="90" spans="25:50"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90"/>
  <sheetViews>
    <sheetView zoomScale="90" workbookViewId="0">
      <selection activeCell="H17" sqref="H17"/>
    </sheetView>
  </sheetViews>
  <sheetFormatPr defaultRowHeight="12.75"/>
  <cols>
    <col min="8" max="8" width="9.28515625" bestFit="1" customWidth="1"/>
  </cols>
  <sheetData>
    <row r="1" spans="1:50">
      <c r="A1" s="17" t="s">
        <v>471</v>
      </c>
    </row>
    <row r="2" spans="1:50"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</row>
    <row r="3" spans="1:50">
      <c r="A3" t="s">
        <v>270</v>
      </c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</row>
    <row r="4" spans="1:50">
      <c r="D4" s="17"/>
      <c r="I4" s="17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</row>
    <row r="5" spans="1:50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</row>
    <row r="6" spans="1:50">
      <c r="A6" s="35"/>
      <c r="B6" s="35"/>
      <c r="C6" s="35"/>
      <c r="D6" s="35"/>
      <c r="E6" s="60"/>
      <c r="F6" s="35"/>
      <c r="G6" s="35"/>
      <c r="H6" s="60"/>
      <c r="I6" s="35"/>
      <c r="J6" s="35"/>
      <c r="K6" s="35"/>
      <c r="L6" s="35"/>
      <c r="M6" s="35"/>
      <c r="N6" s="35"/>
      <c r="O6" s="35"/>
      <c r="Y6" s="35"/>
      <c r="Z6" s="37"/>
      <c r="AA6" s="40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</row>
    <row r="7" spans="1:50">
      <c r="A7" s="37"/>
      <c r="B7" s="40"/>
      <c r="C7" s="37"/>
      <c r="D7" s="35"/>
      <c r="E7" s="60"/>
      <c r="F7" s="35"/>
      <c r="G7" s="35"/>
      <c r="H7" s="60"/>
      <c r="I7" s="35"/>
      <c r="J7" s="37"/>
      <c r="K7" s="41"/>
      <c r="L7" s="37"/>
      <c r="M7" s="35"/>
      <c r="N7" s="35"/>
      <c r="O7" s="35"/>
      <c r="Y7" s="35"/>
      <c r="Z7" s="37"/>
      <c r="AA7" s="36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</row>
    <row r="8" spans="1:50">
      <c r="A8" s="37"/>
      <c r="B8" s="36"/>
      <c r="C8" s="37"/>
      <c r="D8" s="35"/>
      <c r="E8" s="60"/>
      <c r="F8" s="35"/>
      <c r="G8" s="35"/>
      <c r="H8" s="60"/>
      <c r="I8" s="35"/>
      <c r="J8" s="37"/>
      <c r="K8" s="38"/>
      <c r="L8" s="37"/>
      <c r="M8" s="35"/>
      <c r="N8" s="35"/>
      <c r="O8" s="35"/>
      <c r="Y8" s="35"/>
      <c r="Z8" s="37"/>
      <c r="AA8" s="40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</row>
    <row r="9" spans="1:50">
      <c r="A9" s="37"/>
      <c r="B9" s="40"/>
      <c r="C9" s="37"/>
      <c r="D9" s="35"/>
      <c r="E9" s="60"/>
      <c r="F9" s="35"/>
      <c r="G9" s="35"/>
      <c r="H9" s="60"/>
      <c r="I9" s="35"/>
      <c r="J9" s="37"/>
      <c r="K9" s="38"/>
      <c r="L9" s="37"/>
      <c r="M9" s="35"/>
      <c r="N9" s="35"/>
      <c r="O9" s="35"/>
      <c r="Y9" s="35"/>
      <c r="Z9" s="37"/>
      <c r="AA9" s="36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</row>
    <row r="10" spans="1:50">
      <c r="A10" s="37"/>
      <c r="B10" s="36"/>
      <c r="C10" s="37"/>
      <c r="D10" s="35"/>
      <c r="E10" s="60"/>
      <c r="F10" s="35"/>
      <c r="G10" s="35"/>
      <c r="H10" s="60"/>
      <c r="I10" s="35"/>
      <c r="J10" s="37"/>
      <c r="K10" s="38"/>
      <c r="L10" s="37"/>
      <c r="M10" s="35"/>
      <c r="N10" s="35"/>
      <c r="O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</row>
    <row r="11" spans="1:50">
      <c r="A11" s="35"/>
      <c r="B11" s="35"/>
      <c r="C11" s="35"/>
      <c r="D11" s="35"/>
      <c r="E11" s="60"/>
      <c r="F11" s="35"/>
      <c r="G11" s="35"/>
      <c r="H11" s="60"/>
      <c r="I11" s="35"/>
      <c r="J11" s="37"/>
      <c r="K11" s="38"/>
      <c r="L11" s="37"/>
      <c r="M11" s="35"/>
      <c r="N11" s="35"/>
      <c r="O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</row>
    <row r="12" spans="1:50">
      <c r="A12" s="35"/>
      <c r="B12" s="35"/>
      <c r="C12" s="35"/>
      <c r="D12" s="35"/>
      <c r="E12" s="60"/>
      <c r="F12" s="35"/>
      <c r="G12" s="35"/>
      <c r="H12" s="60"/>
      <c r="I12" s="35"/>
      <c r="J12" s="37"/>
      <c r="K12" s="38"/>
      <c r="L12" s="37"/>
      <c r="M12" s="35"/>
      <c r="N12" s="35"/>
      <c r="O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</row>
    <row r="13" spans="1:50">
      <c r="E13" s="46" t="s">
        <v>472</v>
      </c>
      <c r="T13" s="46" t="s">
        <v>472</v>
      </c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</row>
    <row r="14" spans="1:50"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</row>
    <row r="15" spans="1:50">
      <c r="B15" t="s">
        <v>273</v>
      </c>
      <c r="Y15" s="35"/>
      <c r="Z15" s="35"/>
      <c r="AA15" s="35"/>
      <c r="AB15" s="35"/>
      <c r="AC15" s="35"/>
      <c r="AD15" s="35"/>
      <c r="AE15" s="37"/>
      <c r="AF15" s="35"/>
      <c r="AG15" s="35"/>
      <c r="AH15" s="35"/>
      <c r="AI15" s="35"/>
      <c r="AJ15" s="35"/>
      <c r="AK15" s="37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</row>
    <row r="16" spans="1:50">
      <c r="Y16" s="35"/>
      <c r="Z16" s="35"/>
      <c r="AA16" s="35"/>
      <c r="AB16" s="35"/>
      <c r="AC16" s="35"/>
      <c r="AD16" s="35"/>
      <c r="AE16" s="37"/>
      <c r="AF16" s="35"/>
      <c r="AG16" s="35"/>
      <c r="AH16" s="35"/>
      <c r="AI16" s="35"/>
      <c r="AJ16" s="35"/>
      <c r="AK16" s="37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</row>
    <row r="17" spans="2:50"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</row>
    <row r="18" spans="2:50">
      <c r="B18" s="9" t="s">
        <v>29</v>
      </c>
      <c r="D18" s="9" t="s">
        <v>57</v>
      </c>
      <c r="E18" s="9" t="s">
        <v>40</v>
      </c>
      <c r="F18" s="9" t="s">
        <v>110</v>
      </c>
      <c r="G18" s="9" t="s">
        <v>35</v>
      </c>
      <c r="H18" s="9" t="s">
        <v>116</v>
      </c>
      <c r="I18" s="9" t="s">
        <v>103</v>
      </c>
      <c r="J18" s="9" t="s">
        <v>104</v>
      </c>
      <c r="K18" s="9" t="s">
        <v>106</v>
      </c>
      <c r="L18" s="9" t="s">
        <v>123</v>
      </c>
      <c r="M18" s="9" t="s">
        <v>227</v>
      </c>
      <c r="N18" s="9" t="s">
        <v>220</v>
      </c>
      <c r="O18" s="47" t="s">
        <v>221</v>
      </c>
      <c r="P18" s="9" t="s">
        <v>222</v>
      </c>
      <c r="Q18" s="9" t="s">
        <v>223</v>
      </c>
      <c r="R18" s="9" t="s">
        <v>117</v>
      </c>
      <c r="S18" s="9" t="s">
        <v>141</v>
      </c>
      <c r="T18" s="9" t="s">
        <v>59</v>
      </c>
      <c r="U18" s="9" t="s">
        <v>228</v>
      </c>
      <c r="W18" s="9" t="s">
        <v>224</v>
      </c>
      <c r="Y18" s="35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5"/>
      <c r="AP18" s="35"/>
      <c r="AQ18" s="35"/>
      <c r="AR18" s="35"/>
      <c r="AS18" s="35"/>
      <c r="AT18" s="35"/>
      <c r="AU18" s="35"/>
      <c r="AV18" s="35"/>
      <c r="AW18" s="35"/>
      <c r="AX18" s="35"/>
    </row>
    <row r="19" spans="2:50">
      <c r="B19" s="9" t="s">
        <v>30</v>
      </c>
      <c r="D19" s="9" t="s">
        <v>4</v>
      </c>
      <c r="E19" s="9" t="s">
        <v>1</v>
      </c>
      <c r="G19" s="9" t="s">
        <v>98</v>
      </c>
      <c r="I19" s="9" t="s">
        <v>40</v>
      </c>
      <c r="J19" s="9" t="s">
        <v>100</v>
      </c>
      <c r="K19" s="9" t="s">
        <v>40</v>
      </c>
      <c r="L19" s="9" t="s">
        <v>100</v>
      </c>
      <c r="M19" s="9" t="s">
        <v>34</v>
      </c>
      <c r="N19" s="9" t="s">
        <v>34</v>
      </c>
      <c r="O19" s="48" t="s">
        <v>107</v>
      </c>
      <c r="P19" s="9" t="s">
        <v>225</v>
      </c>
      <c r="Q19" s="9" t="s">
        <v>226</v>
      </c>
      <c r="S19" s="9" t="s">
        <v>34</v>
      </c>
      <c r="T19" s="9" t="s">
        <v>34</v>
      </c>
      <c r="U19" s="9" t="s">
        <v>100</v>
      </c>
      <c r="Y19" s="35"/>
      <c r="Z19" s="35"/>
      <c r="AA19" s="35"/>
      <c r="AB19" s="37"/>
      <c r="AC19" s="37"/>
      <c r="AD19" s="37"/>
      <c r="AE19" s="37"/>
      <c r="AF19" s="37"/>
      <c r="AG19" s="37"/>
      <c r="AH19" s="37"/>
      <c r="AI19" s="35"/>
      <c r="AJ19" s="35"/>
      <c r="AK19" s="35"/>
      <c r="AL19" s="37"/>
      <c r="AM19" s="37"/>
      <c r="AN19" s="37"/>
      <c r="AO19" s="35"/>
      <c r="AP19" s="35"/>
      <c r="AQ19" s="35"/>
      <c r="AR19" s="35"/>
      <c r="AS19" s="35"/>
      <c r="AT19" s="35"/>
      <c r="AU19" s="35"/>
      <c r="AV19" s="35"/>
      <c r="AW19" s="35"/>
      <c r="AX19" s="35"/>
    </row>
    <row r="20" spans="2:50"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</row>
    <row r="21" spans="2:50">
      <c r="B21" s="1">
        <f>Descent!F21</f>
        <v>0.65969672852566186</v>
      </c>
      <c r="D21" s="1">
        <f>Propeller!$B$8</f>
        <v>0.30479999999999996</v>
      </c>
      <c r="E21" s="19">
        <f ca="1">Descent!X21</f>
        <v>42.995983090834507</v>
      </c>
      <c r="F21" s="49">
        <f ca="1">IF(ISERROR(W21),1,W21)</f>
        <v>0</v>
      </c>
      <c r="G21" s="19">
        <f ca="1">MAX(0.01,K21*Motor!$B$7)</f>
        <v>0.01</v>
      </c>
      <c r="H21" s="10">
        <f ca="1">IF(E21/(G21/60*D21)*Propulsão!J21&gt;Propeller!$B$12,Propeller!$B$12,E21/(G21/60*D21)*Propulsão!J21)</f>
        <v>0.56000000000000005</v>
      </c>
      <c r="I21" s="13">
        <f ca="1">F21*Energy!$B$6</f>
        <v>0</v>
      </c>
      <c r="J21" s="51">
        <f ca="1">IF(ISERROR(U21),Motor!$B$10,U21)</f>
        <v>0</v>
      </c>
      <c r="K21" s="20">
        <f ca="1">MAX(I21-Motor!$B$9*J21,0)</f>
        <v>0</v>
      </c>
      <c r="L21" s="14">
        <f ca="1">MAX(0,J21-Motor!$B$8)</f>
        <v>0</v>
      </c>
      <c r="M21" s="14">
        <f t="shared" ref="M21:M40" ca="1" si="0">I21*J21</f>
        <v>0</v>
      </c>
      <c r="N21" s="20">
        <f t="shared" ref="N21:N40" ca="1" si="1">K21*L21</f>
        <v>0</v>
      </c>
      <c r="O21" s="1">
        <f ca="1">IF(G21=0,0,N21/(G21/60*(2*PI())))</f>
        <v>0</v>
      </c>
      <c r="P21" s="10">
        <f ca="1">IF(G21=0,0,N21/(B21*(G21/60)^3*D21^5))</f>
        <v>0</v>
      </c>
      <c r="Q21" s="10">
        <f ca="1">Propeller!$B$15+Propeller!$B$16*H21+Propeller!$B$17*H21^2+Propeller!$B$18*H21^3+Propeller!$B$19*H21^4+Propeller!$B$20*H21^5+Propeller!$B$21*H21^6</f>
        <v>3.8330340285823955E-3</v>
      </c>
      <c r="R21" s="10">
        <f ca="1">(Propeller!$B$23+Propeller!$B$24*H21+Propeller!$B$25*H21^2+Propeller!$B$26*H21^3+Propeller!$B$27*H21^4+Propeller!$B$28*H21^5+Propeller!$B$29*H21^6)*Propulsão!M21</f>
        <v>6.6150958675260038E-3</v>
      </c>
      <c r="S21" s="19">
        <f t="shared" ref="S21:S40" ca="1" si="2">N21*R21</f>
        <v>0</v>
      </c>
      <c r="T21" s="19">
        <f ca="1">Descent!S21</f>
        <v>0</v>
      </c>
      <c r="U21" s="14">
        <f ca="1">IF(OR(G21=0,T21=0),0,MIN(Motor!$B$10,MAX(Motor!$B$8*0,J21+0.05*(Q21/MAX(P21,0.001)-1)*MAX(1,J21))))</f>
        <v>0</v>
      </c>
      <c r="V21" s="50" t="str">
        <f ca="1">IF(T21=0,"Stopped Prop",IF(ABS((Q21-P21)/Q21)&lt;0.01,"OK","iterate"))</f>
        <v>Stopped Prop</v>
      </c>
      <c r="W21" s="1">
        <f ca="1">IF(T21=0,0,MIN(1,MAX(0.001,F21+0.005*(T21/MAX(S21,0.001)-1))))</f>
        <v>0</v>
      </c>
      <c r="X21" s="50" t="str">
        <f ca="1">IF(T21=0,"Stopped Prop",IF(ABS((S21-T21)/T21)&lt;0.01,"OK","iterate"))</f>
        <v>Stopped Prop</v>
      </c>
      <c r="Y21" s="35"/>
      <c r="Z21" s="36"/>
      <c r="AA21" s="36"/>
      <c r="AB21" s="36"/>
      <c r="AC21" s="38"/>
      <c r="AD21" s="41"/>
      <c r="AE21" s="40"/>
      <c r="AF21" s="38"/>
      <c r="AG21" s="40"/>
      <c r="AH21" s="40"/>
      <c r="AI21" s="36"/>
      <c r="AJ21" s="36"/>
      <c r="AK21" s="36"/>
      <c r="AL21" s="40"/>
      <c r="AM21" s="40"/>
      <c r="AN21" s="38"/>
      <c r="AO21" s="35"/>
      <c r="AP21" s="35"/>
      <c r="AQ21" s="35"/>
      <c r="AR21" s="35"/>
      <c r="AS21" s="35"/>
      <c r="AT21" s="35"/>
      <c r="AU21" s="35"/>
      <c r="AV21" s="35"/>
      <c r="AW21" s="35"/>
      <c r="AX21" s="35"/>
    </row>
    <row r="22" spans="2:50">
      <c r="B22" s="1">
        <f>Descent!F22</f>
        <v>0.65969672852566186</v>
      </c>
      <c r="D22" s="1">
        <f>Propeller!$B$8</f>
        <v>0.30479999999999996</v>
      </c>
      <c r="E22" s="19">
        <f ca="1">Descent!X22</f>
        <v>42.291535781602576</v>
      </c>
      <c r="F22" s="49">
        <f t="shared" ref="F22:F40" ca="1" si="3">IF(ISERROR(W22),1,W22)</f>
        <v>0</v>
      </c>
      <c r="G22" s="19">
        <f ca="1">MAX(0.01,K22*Motor!$B$7)</f>
        <v>0.01</v>
      </c>
      <c r="H22" s="10">
        <f ca="1">IF(E22/(G22/60*D22)*Propulsão!J22&gt;Propeller!$B$12,Propeller!$B$12,E22/(G22/60*D22)*Propulsão!J22)</f>
        <v>0.56000000000000005</v>
      </c>
      <c r="I22" s="13">
        <f ca="1">F22*Energy!$B$6</f>
        <v>0</v>
      </c>
      <c r="J22" s="51">
        <f ca="1">IF(ISERROR(U22),Motor!$B$10,U22)</f>
        <v>0</v>
      </c>
      <c r="K22" s="20">
        <f ca="1">MAX(I22-Motor!$B$9*J22,0)</f>
        <v>0</v>
      </c>
      <c r="L22" s="14">
        <f ca="1">MAX(0,J22-Motor!$B$8)</f>
        <v>0</v>
      </c>
      <c r="M22" s="14">
        <f t="shared" ca="1" si="0"/>
        <v>0</v>
      </c>
      <c r="N22" s="20">
        <f t="shared" ca="1" si="1"/>
        <v>0</v>
      </c>
      <c r="O22" s="1">
        <f t="shared" ref="O22:O40" ca="1" si="4">IF(G22=0,0,N22/(G22/60*(2*PI())))</f>
        <v>0</v>
      </c>
      <c r="P22" s="10">
        <f ca="1">IF(G22=0,0,N22/(B22*(G22/60)^3*D22^5))</f>
        <v>0</v>
      </c>
      <c r="Q22" s="10">
        <f ca="1">Propeller!$B$15+Propeller!$B$16*H22+Propeller!$B$17*H22^2+Propeller!$B$18*H22^3+Propeller!$B$19*H22^4+Propeller!$B$20*H22^5+Propeller!$B$21*H22^6</f>
        <v>3.8330340285823955E-3</v>
      </c>
      <c r="R22" s="10">
        <f ca="1">(Propeller!$B$23+Propeller!$B$24*H22+Propeller!$B$25*H22^2+Propeller!$B$26*H22^3+Propeller!$B$27*H22^4+Propeller!$B$28*H22^5+Propeller!$B$29*H22^6)*Propulsão!M22</f>
        <v>6.6143620494558582E-3</v>
      </c>
      <c r="S22" s="19">
        <f t="shared" ca="1" si="2"/>
        <v>0</v>
      </c>
      <c r="T22" s="19">
        <f ca="1">Descent!S22</f>
        <v>0</v>
      </c>
      <c r="U22" s="14">
        <f ca="1">IF(OR(G22=0,T22=0),0,MIN(Motor!$B$10,MAX(Motor!$B$8*0,J22+0.05*(Q22/MAX(P22,0.001)-1)*MAX(1,J22))))</f>
        <v>0</v>
      </c>
      <c r="V22" s="50" t="str">
        <f t="shared" ref="V22:V40" ca="1" si="5">IF(T22=0,"Stopped Prop",IF(ABS((Q22-P22)/Q22)&lt;0.01,"OK","iterate"))</f>
        <v>Stopped Prop</v>
      </c>
      <c r="W22" s="1">
        <f t="shared" ref="W22:W40" ca="1" si="6">IF(T22=0,0,MIN(1,MAX(0.001,F22+0.005*(T22/MAX(S22,0.001)-1))))</f>
        <v>0</v>
      </c>
      <c r="X22" s="50" t="str">
        <f t="shared" ref="X22:X40" ca="1" si="7">IF(T22=0,"Stopped Prop",IF(ABS((S22-T22)/T22)&lt;0.01,"OK","iterate"))</f>
        <v>Stopped Prop</v>
      </c>
      <c r="Y22" s="35"/>
      <c r="Z22" s="36"/>
      <c r="AA22" s="36"/>
      <c r="AB22" s="36"/>
      <c r="AC22" s="38"/>
      <c r="AD22" s="41"/>
      <c r="AE22" s="40"/>
      <c r="AF22" s="38"/>
      <c r="AG22" s="40"/>
      <c r="AH22" s="40"/>
      <c r="AI22" s="36"/>
      <c r="AJ22" s="36"/>
      <c r="AK22" s="36"/>
      <c r="AL22" s="40"/>
      <c r="AM22" s="40"/>
      <c r="AN22" s="38"/>
      <c r="AO22" s="35"/>
      <c r="AP22" s="35"/>
      <c r="AQ22" s="35"/>
      <c r="AR22" s="35"/>
      <c r="AS22" s="35"/>
      <c r="AT22" s="35"/>
      <c r="AU22" s="35"/>
      <c r="AV22" s="35"/>
      <c r="AW22" s="35"/>
      <c r="AX22" s="35"/>
    </row>
    <row r="23" spans="2:50">
      <c r="B23" s="1">
        <f>Descent!F23</f>
        <v>0.65969672852566186</v>
      </c>
      <c r="C23" s="6"/>
      <c r="D23" s="1">
        <f>Propeller!$B$8</f>
        <v>0.30479999999999996</v>
      </c>
      <c r="E23" s="19">
        <f ca="1">Descent!X23</f>
        <v>41.621468887665337</v>
      </c>
      <c r="F23" s="49">
        <f t="shared" ca="1" si="3"/>
        <v>0</v>
      </c>
      <c r="G23" s="19">
        <f ca="1">MAX(0.01,K23*Motor!$B$7)</f>
        <v>0.01</v>
      </c>
      <c r="H23" s="10">
        <f ca="1">IF(E23/(G23/60*D23)*Propulsão!J23&gt;Propeller!$B$12,Propeller!$B$12,E23/(G23/60*D23)*Propulsão!J23)</f>
        <v>0.56000000000000005</v>
      </c>
      <c r="I23" s="13">
        <f ca="1">F23*Energy!$B$6</f>
        <v>0</v>
      </c>
      <c r="J23" s="51">
        <f ca="1">IF(ISERROR(U23),Motor!$B$10,U23)</f>
        <v>0</v>
      </c>
      <c r="K23" s="20">
        <f ca="1">MAX(I23-Motor!$B$9*J23,0)</f>
        <v>0</v>
      </c>
      <c r="L23" s="14">
        <f ca="1">MAX(0,J23-Motor!$B$8)</f>
        <v>0</v>
      </c>
      <c r="M23" s="14">
        <f t="shared" ca="1" si="0"/>
        <v>0</v>
      </c>
      <c r="N23" s="20">
        <f t="shared" ca="1" si="1"/>
        <v>0</v>
      </c>
      <c r="O23" s="1">
        <f t="shared" ca="1" si="4"/>
        <v>0</v>
      </c>
      <c r="P23" s="10">
        <f t="shared" ref="P23:P40" ca="1" si="8">IF(G23=0,0,N23/(B23*(G23/60)^3*D23^5))</f>
        <v>0</v>
      </c>
      <c r="Q23" s="10">
        <f ca="1">Propeller!$B$15+Propeller!$B$16*H23+Propeller!$B$17*H23^2+Propeller!$B$18*H23^3+Propeller!$B$19*H23^4+Propeller!$B$20*H23^5+Propeller!$B$21*H23^6</f>
        <v>3.8330340285823955E-3</v>
      </c>
      <c r="R23" s="10">
        <f ca="1">(Propeller!$B$23+Propeller!$B$24*H23+Propeller!$B$25*H23^2+Propeller!$B$26*H23^3+Propeller!$B$27*H23^4+Propeller!$B$28*H23^5+Propeller!$B$29*H23^6)*Propulsão!M23</f>
        <v>6.6136500163510884E-3</v>
      </c>
      <c r="S23" s="19">
        <f t="shared" ca="1" si="2"/>
        <v>0</v>
      </c>
      <c r="T23" s="19">
        <f ca="1">Descent!S23</f>
        <v>0</v>
      </c>
      <c r="U23" s="14">
        <f ca="1">IF(OR(G23=0,T23=0),0,MIN(Motor!$B$10,MAX(Motor!$B$8*0,J23+0.05*(Q23/MAX(P23,0.001)-1)*MAX(1,J23))))</f>
        <v>0</v>
      </c>
      <c r="V23" s="50" t="str">
        <f t="shared" ca="1" si="5"/>
        <v>Stopped Prop</v>
      </c>
      <c r="W23" s="1">
        <f t="shared" ca="1" si="6"/>
        <v>0</v>
      </c>
      <c r="X23" s="50" t="str">
        <f t="shared" ca="1" si="7"/>
        <v>Stopped Prop</v>
      </c>
      <c r="Y23" s="35"/>
      <c r="Z23" s="36"/>
      <c r="AA23" s="36"/>
      <c r="AB23" s="36"/>
      <c r="AC23" s="38"/>
      <c r="AD23" s="41"/>
      <c r="AE23" s="40"/>
      <c r="AF23" s="38"/>
      <c r="AG23" s="40"/>
      <c r="AH23" s="40"/>
      <c r="AI23" s="36"/>
      <c r="AJ23" s="36"/>
      <c r="AK23" s="36"/>
      <c r="AL23" s="40"/>
      <c r="AM23" s="40"/>
      <c r="AN23" s="38"/>
      <c r="AO23" s="35"/>
      <c r="AP23" s="35"/>
      <c r="AQ23" s="35"/>
      <c r="AR23" s="35"/>
      <c r="AS23" s="35"/>
      <c r="AT23" s="35"/>
      <c r="AU23" s="35"/>
      <c r="AV23" s="35"/>
      <c r="AW23" s="35"/>
      <c r="AX23" s="35"/>
    </row>
    <row r="24" spans="2:50">
      <c r="B24" s="1">
        <f>Descent!F24</f>
        <v>0.65969672852566186</v>
      </c>
      <c r="C24" s="20"/>
      <c r="D24" s="1">
        <f>Propeller!$B$8</f>
        <v>0.30479999999999996</v>
      </c>
      <c r="E24" s="19">
        <f ca="1">Descent!X24</f>
        <v>39.459908951120013</v>
      </c>
      <c r="F24" s="49">
        <f t="shared" ca="1" si="3"/>
        <v>0</v>
      </c>
      <c r="G24" s="19">
        <f ca="1">MAX(0.01,K24*Motor!$B$7)</f>
        <v>0.01</v>
      </c>
      <c r="H24" s="10">
        <f ca="1">IF(E24/(G24/60*D24)*Propulsão!J24&gt;Propeller!$B$12,Propeller!$B$12,E24/(G24/60*D24)*Propulsão!J24)</f>
        <v>0.56000000000000005</v>
      </c>
      <c r="I24" s="13">
        <f ca="1">F24*Energy!$B$6</f>
        <v>0</v>
      </c>
      <c r="J24" s="51">
        <f ca="1">IF(ISERROR(U24),Motor!$B$10,U24)</f>
        <v>0</v>
      </c>
      <c r="K24" s="20">
        <f ca="1">MAX(I24-Motor!$B$9*J24,0)</f>
        <v>0</v>
      </c>
      <c r="L24" s="14">
        <f ca="1">MAX(0,J24-Motor!$B$8)</f>
        <v>0</v>
      </c>
      <c r="M24" s="14">
        <f t="shared" ca="1" si="0"/>
        <v>0</v>
      </c>
      <c r="N24" s="20">
        <f t="shared" ca="1" si="1"/>
        <v>0</v>
      </c>
      <c r="O24" s="1">
        <f t="shared" ca="1" si="4"/>
        <v>0</v>
      </c>
      <c r="P24" s="10">
        <f t="shared" ca="1" si="8"/>
        <v>0</v>
      </c>
      <c r="Q24" s="10">
        <f ca="1">Propeller!$B$15+Propeller!$B$16*H24+Propeller!$B$17*H24^2+Propeller!$B$18*H24^3+Propeller!$B$19*H24^4+Propeller!$B$20*H24^5+Propeller!$B$21*H24^6</f>
        <v>3.8330340285823955E-3</v>
      </c>
      <c r="R24" s="10">
        <f ca="1">(Propeller!$B$23+Propeller!$B$24*H24+Propeller!$B$25*H24^2+Propeller!$B$26*H24^3+Propeller!$B$27*H24^4+Propeller!$B$28*H24^5+Propeller!$B$29*H24^6)*Propulsão!M24</f>
        <v>6.6112526718751976E-3</v>
      </c>
      <c r="S24" s="19">
        <f t="shared" ca="1" si="2"/>
        <v>0</v>
      </c>
      <c r="T24" s="19">
        <f ca="1">Descent!S24</f>
        <v>0</v>
      </c>
      <c r="U24" s="14">
        <f ca="1">IF(OR(G24=0,T24=0),0,MIN(Motor!$B$10,MAX(Motor!$B$8*0,J24+0.05*(Q24/MAX(P24,0.001)-1)*MAX(1,J24))))</f>
        <v>0</v>
      </c>
      <c r="V24" s="50" t="str">
        <f t="shared" ca="1" si="5"/>
        <v>Stopped Prop</v>
      </c>
      <c r="W24" s="1">
        <f t="shared" ca="1" si="6"/>
        <v>0</v>
      </c>
      <c r="X24" s="50" t="str">
        <f t="shared" ca="1" si="7"/>
        <v>Stopped Prop</v>
      </c>
      <c r="Y24" s="35"/>
      <c r="Z24" s="36"/>
      <c r="AA24" s="36"/>
      <c r="AB24" s="36"/>
      <c r="AC24" s="38"/>
      <c r="AD24" s="41"/>
      <c r="AE24" s="40"/>
      <c r="AF24" s="38"/>
      <c r="AG24" s="40"/>
      <c r="AH24" s="40"/>
      <c r="AI24" s="36"/>
      <c r="AJ24" s="36"/>
      <c r="AK24" s="36"/>
      <c r="AL24" s="40"/>
      <c r="AM24" s="40"/>
      <c r="AN24" s="38"/>
      <c r="AO24" s="35"/>
      <c r="AP24" s="35"/>
      <c r="AQ24" s="35"/>
      <c r="AR24" s="35"/>
      <c r="AS24" s="35"/>
      <c r="AT24" s="35"/>
      <c r="AU24" s="35"/>
      <c r="AV24" s="35"/>
      <c r="AW24" s="35"/>
      <c r="AX24" s="35"/>
    </row>
    <row r="25" spans="2:50">
      <c r="B25" s="1">
        <f>Descent!F25</f>
        <v>0.65969672852566186</v>
      </c>
      <c r="C25" s="6"/>
      <c r="D25" s="1">
        <f>Propeller!$B$8</f>
        <v>0.30479999999999996</v>
      </c>
      <c r="E25" s="19">
        <f ca="1">Descent!X25</f>
        <v>38.870428157415581</v>
      </c>
      <c r="F25" s="49">
        <f t="shared" ca="1" si="3"/>
        <v>0</v>
      </c>
      <c r="G25" s="19">
        <f ca="1">MAX(0.01,K25*Motor!$B$7)</f>
        <v>0.01</v>
      </c>
      <c r="H25" s="10">
        <f ca="1">IF(E25/(G25/60*D25)*Propulsão!J25&gt;Propeller!$B$12,Propeller!$B$12,E25/(G25/60*D25)*Propulsão!J25)</f>
        <v>0.56000000000000005</v>
      </c>
      <c r="I25" s="13">
        <f ca="1">F25*Energy!$B$6</f>
        <v>0</v>
      </c>
      <c r="J25" s="51">
        <f ca="1">IF(ISERROR(U25),Motor!$B$10,U25)</f>
        <v>0</v>
      </c>
      <c r="K25" s="20">
        <f ca="1">MAX(I25-Motor!$B$9*J25,0)</f>
        <v>0</v>
      </c>
      <c r="L25" s="14">
        <f ca="1">MAX(0,J25-Motor!$B$8)</f>
        <v>0</v>
      </c>
      <c r="M25" s="14">
        <f t="shared" ca="1" si="0"/>
        <v>0</v>
      </c>
      <c r="N25" s="20">
        <f t="shared" ca="1" si="1"/>
        <v>0</v>
      </c>
      <c r="O25" s="1">
        <f t="shared" ca="1" si="4"/>
        <v>0</v>
      </c>
      <c r="P25" s="10">
        <f t="shared" ca="1" si="8"/>
        <v>0</v>
      </c>
      <c r="Q25" s="10">
        <f ca="1">Propeller!$B$15+Propeller!$B$16*H25+Propeller!$B$17*H25^2+Propeller!$B$18*H25^3+Propeller!$B$19*H25^4+Propeller!$B$20*H25^5+Propeller!$B$21*H25^6</f>
        <v>3.8330340285823955E-3</v>
      </c>
      <c r="R25" s="10">
        <f ca="1">(Propeller!$B$23+Propeller!$B$24*H25+Propeller!$B$25*H25^2+Propeller!$B$26*H25^3+Propeller!$B$27*H25^4+Propeller!$B$28*H25^5+Propeller!$B$29*H25^6)*Propulsão!M25</f>
        <v>6.6105712539130937E-3</v>
      </c>
      <c r="S25" s="19">
        <f t="shared" ca="1" si="2"/>
        <v>0</v>
      </c>
      <c r="T25" s="19">
        <f ca="1">Descent!S25</f>
        <v>0</v>
      </c>
      <c r="U25" s="14">
        <f ca="1">IF(OR(G25=0,T25=0),0,MIN(Motor!$B$10,MAX(Motor!$B$8*0,J25+0.05*(Q25/MAX(P25,0.001)-1)*MAX(1,J25))))</f>
        <v>0</v>
      </c>
      <c r="V25" s="50" t="str">
        <f t="shared" ca="1" si="5"/>
        <v>Stopped Prop</v>
      </c>
      <c r="W25" s="1">
        <f t="shared" ca="1" si="6"/>
        <v>0</v>
      </c>
      <c r="X25" s="50" t="str">
        <f t="shared" ca="1" si="7"/>
        <v>Stopped Prop</v>
      </c>
      <c r="Y25" s="35"/>
      <c r="Z25" s="36"/>
      <c r="AA25" s="36"/>
      <c r="AB25" s="36"/>
      <c r="AC25" s="38"/>
      <c r="AD25" s="41"/>
      <c r="AE25" s="40"/>
      <c r="AF25" s="38"/>
      <c r="AG25" s="40"/>
      <c r="AH25" s="40"/>
      <c r="AI25" s="36"/>
      <c r="AJ25" s="36"/>
      <c r="AK25" s="36"/>
      <c r="AL25" s="40"/>
      <c r="AM25" s="40"/>
      <c r="AN25" s="38"/>
      <c r="AO25" s="35"/>
      <c r="AP25" s="35"/>
      <c r="AQ25" s="35"/>
      <c r="AR25" s="35"/>
      <c r="AS25" s="35"/>
      <c r="AT25" s="35"/>
      <c r="AU25" s="35"/>
      <c r="AV25" s="35"/>
      <c r="AW25" s="35"/>
      <c r="AX25" s="35"/>
    </row>
    <row r="26" spans="2:50">
      <c r="B26" s="1">
        <f>Descent!F26</f>
        <v>0.65969672852566186</v>
      </c>
      <c r="D26" s="1">
        <f>Propeller!$B$8</f>
        <v>0.30479999999999996</v>
      </c>
      <c r="E26" s="19">
        <f ca="1">Descent!X26</f>
        <v>38.307798687258554</v>
      </c>
      <c r="F26" s="49">
        <f t="shared" ca="1" si="3"/>
        <v>0</v>
      </c>
      <c r="G26" s="19">
        <f ca="1">MAX(0.01,K26*Motor!$B$7)</f>
        <v>0.01</v>
      </c>
      <c r="H26" s="10">
        <f ca="1">IF(E26/(G26/60*D26)*Propulsão!J26&gt;Propeller!$B$12,Propeller!$B$12,E26/(G26/60*D26)*Propulsão!J26)</f>
        <v>0.56000000000000005</v>
      </c>
      <c r="I26" s="13">
        <f ca="1">F26*Energy!$B$6</f>
        <v>0</v>
      </c>
      <c r="J26" s="51">
        <f ca="1">IF(ISERROR(U26),Motor!$B$10,U26)</f>
        <v>0</v>
      </c>
      <c r="K26" s="20">
        <f ca="1">MAX(I26-Motor!$B$9*J26,0)</f>
        <v>0</v>
      </c>
      <c r="L26" s="14">
        <f ca="1">MAX(0,J26-Motor!$B$8)</f>
        <v>0</v>
      </c>
      <c r="M26" s="14">
        <f t="shared" ca="1" si="0"/>
        <v>0</v>
      </c>
      <c r="N26" s="20">
        <f t="shared" ca="1" si="1"/>
        <v>0</v>
      </c>
      <c r="O26" s="1">
        <f t="shared" ca="1" si="4"/>
        <v>0</v>
      </c>
      <c r="P26" s="10">
        <f t="shared" ca="1" si="8"/>
        <v>0</v>
      </c>
      <c r="Q26" s="10">
        <f ca="1">Propeller!$B$15+Propeller!$B$16*H26+Propeller!$B$17*H26^2+Propeller!$B$18*H26^3+Propeller!$B$19*H26^4+Propeller!$B$20*H26^5+Propeller!$B$21*H26^6</f>
        <v>3.8330340285823955E-3</v>
      </c>
      <c r="R26" s="10">
        <f ca="1">(Propeller!$B$23+Propeller!$B$24*H26+Propeller!$B$25*H26^2+Propeller!$B$26*H26^3+Propeller!$B$27*H26^4+Propeller!$B$28*H26^5+Propeller!$B$29*H26^6)*Propulsão!M26</f>
        <v>6.6099089529401299E-3</v>
      </c>
      <c r="S26" s="19">
        <f t="shared" ca="1" si="2"/>
        <v>0</v>
      </c>
      <c r="T26" s="19">
        <f ca="1">Descent!S26</f>
        <v>0</v>
      </c>
      <c r="U26" s="14">
        <f ca="1">IF(OR(G26=0,T26=0),0,MIN(Motor!$B$10,MAX(Motor!$B$8*0,J26+0.05*(Q26/MAX(P26,0.001)-1)*MAX(1,J26))))</f>
        <v>0</v>
      </c>
      <c r="V26" s="50" t="str">
        <f t="shared" ca="1" si="5"/>
        <v>Stopped Prop</v>
      </c>
      <c r="W26" s="1">
        <f t="shared" ca="1" si="6"/>
        <v>0</v>
      </c>
      <c r="X26" s="50" t="str">
        <f t="shared" ca="1" si="7"/>
        <v>Stopped Prop</v>
      </c>
      <c r="Y26" s="35"/>
      <c r="Z26" s="36"/>
      <c r="AA26" s="36"/>
      <c r="AB26" s="36"/>
      <c r="AC26" s="38"/>
      <c r="AD26" s="41"/>
      <c r="AE26" s="40"/>
      <c r="AF26" s="38"/>
      <c r="AG26" s="40"/>
      <c r="AH26" s="40"/>
      <c r="AI26" s="36"/>
      <c r="AJ26" s="36"/>
      <c r="AK26" s="36"/>
      <c r="AL26" s="40"/>
      <c r="AM26" s="40"/>
      <c r="AN26" s="38"/>
      <c r="AO26" s="35"/>
      <c r="AP26" s="35"/>
      <c r="AQ26" s="35"/>
      <c r="AR26" s="35"/>
      <c r="AS26" s="35"/>
      <c r="AT26" s="35"/>
      <c r="AU26" s="35"/>
      <c r="AV26" s="35"/>
      <c r="AW26" s="35"/>
      <c r="AX26" s="35"/>
    </row>
    <row r="27" spans="2:50">
      <c r="B27" s="1">
        <f>Descent!F27</f>
        <v>0.65969672852566186</v>
      </c>
      <c r="D27" s="1">
        <f>Propeller!$B$8</f>
        <v>0.30479999999999996</v>
      </c>
      <c r="E27" s="19">
        <f ca="1">Descent!X27</f>
        <v>37.770190296835928</v>
      </c>
      <c r="F27" s="49">
        <f t="shared" ca="1" si="3"/>
        <v>0</v>
      </c>
      <c r="G27" s="19">
        <f ca="1">MAX(0.01,K27*Motor!$B$7)</f>
        <v>0.01</v>
      </c>
      <c r="H27" s="10">
        <f ca="1">IF(E27/(G27/60*D27)*Propulsão!J27&gt;Propeller!$B$12,Propeller!$B$12,E27/(G27/60*D27)*Propulsão!J27)</f>
        <v>0.56000000000000005</v>
      </c>
      <c r="I27" s="13">
        <f ca="1">F27*Energy!$B$6</f>
        <v>0</v>
      </c>
      <c r="J27" s="51">
        <f ca="1">IF(ISERROR(U27),Motor!$B$10,U27)</f>
        <v>0</v>
      </c>
      <c r="K27" s="20">
        <f ca="1">MAX(I27-Motor!$B$9*J27,0)</f>
        <v>0</v>
      </c>
      <c r="L27" s="14">
        <f ca="1">MAX(0,J27-Motor!$B$8)</f>
        <v>0</v>
      </c>
      <c r="M27" s="14">
        <f t="shared" ca="1" si="0"/>
        <v>0</v>
      </c>
      <c r="N27" s="20">
        <f t="shared" ca="1" si="1"/>
        <v>0</v>
      </c>
      <c r="O27" s="1">
        <f t="shared" ca="1" si="4"/>
        <v>0</v>
      </c>
      <c r="P27" s="10">
        <f t="shared" ca="1" si="8"/>
        <v>0</v>
      </c>
      <c r="Q27" s="10">
        <f ca="1">Propeller!$B$15+Propeller!$B$16*H27+Propeller!$B$17*H27^2+Propeller!$B$18*H27^3+Propeller!$B$19*H27^4+Propeller!$B$20*H27^5+Propeller!$B$21*H27^6</f>
        <v>3.8330340285823955E-3</v>
      </c>
      <c r="R27" s="10">
        <f ca="1">(Propeller!$B$23+Propeller!$B$24*H27+Propeller!$B$25*H27^2+Propeller!$B$26*H27^3+Propeller!$B$27*H27^4+Propeller!$B$28*H27^5+Propeller!$B$29*H27^6)*Propulsão!M27</f>
        <v>6.6092648665519935E-3</v>
      </c>
      <c r="S27" s="19">
        <f t="shared" ca="1" si="2"/>
        <v>0</v>
      </c>
      <c r="T27" s="19">
        <f ca="1">Descent!S27</f>
        <v>0</v>
      </c>
      <c r="U27" s="14">
        <f ca="1">IF(OR(G27=0,T27=0),0,MIN(Motor!$B$10,MAX(Motor!$B$8*0,J27+0.05*(Q27/MAX(P27,0.001)-1)*MAX(1,J27))))</f>
        <v>0</v>
      </c>
      <c r="V27" s="50" t="str">
        <f t="shared" ca="1" si="5"/>
        <v>Stopped Prop</v>
      </c>
      <c r="W27" s="1">
        <f t="shared" ca="1" si="6"/>
        <v>0</v>
      </c>
      <c r="X27" s="50" t="str">
        <f t="shared" ca="1" si="7"/>
        <v>Stopped Prop</v>
      </c>
      <c r="Y27" s="35"/>
      <c r="Z27" s="36"/>
      <c r="AA27" s="36"/>
      <c r="AB27" s="36"/>
      <c r="AC27" s="38"/>
      <c r="AD27" s="41"/>
      <c r="AE27" s="40"/>
      <c r="AF27" s="38"/>
      <c r="AG27" s="40"/>
      <c r="AH27" s="40"/>
      <c r="AI27" s="36"/>
      <c r="AJ27" s="36"/>
      <c r="AK27" s="36"/>
      <c r="AL27" s="40"/>
      <c r="AM27" s="40"/>
      <c r="AN27" s="38"/>
      <c r="AO27" s="35"/>
      <c r="AP27" s="35"/>
      <c r="AQ27" s="35"/>
      <c r="AR27" s="35"/>
      <c r="AS27" s="35"/>
      <c r="AT27" s="35"/>
      <c r="AU27" s="35"/>
      <c r="AV27" s="35"/>
      <c r="AW27" s="35"/>
      <c r="AX27" s="35"/>
    </row>
    <row r="28" spans="2:50">
      <c r="B28" s="1">
        <f>Descent!F28</f>
        <v>0.65969672852566186</v>
      </c>
      <c r="D28" s="1">
        <f>Propeller!$B$8</f>
        <v>0.30479999999999996</v>
      </c>
      <c r="E28" s="19">
        <f ca="1">Descent!X28</f>
        <v>37.164457693025206</v>
      </c>
      <c r="F28" s="49">
        <f t="shared" ca="1" si="3"/>
        <v>0</v>
      </c>
      <c r="G28" s="19">
        <f ca="1">MAX(0.01,K28*Motor!$B$7)</f>
        <v>0.01</v>
      </c>
      <c r="H28" s="10">
        <f ca="1">IF(E28/(G28/60*D28)*Propulsão!J28&gt;Propeller!$B$12,Propeller!$B$12,E28/(G28/60*D28)*Propulsão!J28)</f>
        <v>0.56000000000000005</v>
      </c>
      <c r="I28" s="13">
        <f ca="1">F28*Energy!$B$6</f>
        <v>0</v>
      </c>
      <c r="J28" s="51">
        <f ca="1">IF(ISERROR(U28),Motor!$B$10,U28)</f>
        <v>0</v>
      </c>
      <c r="K28" s="20">
        <f ca="1">MAX(I28-Motor!$B$9*J28,0)</f>
        <v>0</v>
      </c>
      <c r="L28" s="14">
        <f ca="1">MAX(0,J28-Motor!$B$8)</f>
        <v>0</v>
      </c>
      <c r="M28" s="14">
        <f t="shared" ca="1" si="0"/>
        <v>0</v>
      </c>
      <c r="N28" s="20">
        <f t="shared" ca="1" si="1"/>
        <v>0</v>
      </c>
      <c r="O28" s="1">
        <f t="shared" ca="1" si="4"/>
        <v>0</v>
      </c>
      <c r="P28" s="10">
        <f t="shared" ca="1" si="8"/>
        <v>0</v>
      </c>
      <c r="Q28" s="10">
        <f ca="1">Propeller!$B$15+Propeller!$B$16*H28+Propeller!$B$17*H28^2+Propeller!$B$18*H28^3+Propeller!$B$19*H28^4+Propeller!$B$20*H28^5+Propeller!$B$21*H28^6</f>
        <v>3.8330340285823955E-3</v>
      </c>
      <c r="R28" s="10">
        <f ca="1">(Propeller!$B$23+Propeller!$B$24*H28+Propeller!$B$25*H28^2+Propeller!$B$26*H28^3+Propeller!$B$27*H28^4+Propeller!$B$28*H28^5+Propeller!$B$29*H28^6)*Propulsão!M28</f>
        <v>6.6085255015397347E-3</v>
      </c>
      <c r="S28" s="19">
        <f t="shared" ca="1" si="2"/>
        <v>0</v>
      </c>
      <c r="T28" s="19">
        <f ca="1">Descent!S28</f>
        <v>0</v>
      </c>
      <c r="U28" s="14">
        <f ca="1">IF(OR(G28=0,T28=0),0,MIN(Motor!$B$10,MAX(Motor!$B$8*0,J28+0.05*(Q28/MAX(P28,0.001)-1)*MAX(1,J28))))</f>
        <v>0</v>
      </c>
      <c r="V28" s="50" t="str">
        <f t="shared" ca="1" si="5"/>
        <v>Stopped Prop</v>
      </c>
      <c r="W28" s="1">
        <f t="shared" ca="1" si="6"/>
        <v>0</v>
      </c>
      <c r="X28" s="50" t="str">
        <f t="shared" ca="1" si="7"/>
        <v>Stopped Prop</v>
      </c>
      <c r="Y28" s="35"/>
      <c r="Z28" s="36"/>
      <c r="AA28" s="36"/>
      <c r="AB28" s="36"/>
      <c r="AC28" s="38"/>
      <c r="AD28" s="41"/>
      <c r="AE28" s="40"/>
      <c r="AF28" s="38"/>
      <c r="AG28" s="40"/>
      <c r="AH28" s="40"/>
      <c r="AI28" s="36"/>
      <c r="AJ28" s="36"/>
      <c r="AK28" s="36"/>
      <c r="AL28" s="40"/>
      <c r="AM28" s="40"/>
      <c r="AN28" s="38"/>
      <c r="AO28" s="35"/>
      <c r="AP28" s="35"/>
      <c r="AQ28" s="35"/>
      <c r="AR28" s="35"/>
      <c r="AS28" s="35"/>
      <c r="AT28" s="35"/>
      <c r="AU28" s="35"/>
      <c r="AV28" s="35"/>
      <c r="AW28" s="35"/>
      <c r="AX28" s="35"/>
    </row>
    <row r="29" spans="2:50">
      <c r="B29" s="1">
        <f>Descent!F29</f>
        <v>0.65969672852566186</v>
      </c>
      <c r="D29" s="1">
        <f>Propeller!$B$8</f>
        <v>0.30479999999999996</v>
      </c>
      <c r="E29" s="19">
        <f ca="1">Descent!X29</f>
        <v>36.427844098405416</v>
      </c>
      <c r="F29" s="49">
        <f t="shared" ca="1" si="3"/>
        <v>0</v>
      </c>
      <c r="G29" s="19">
        <f ca="1">MAX(0.01,K29*Motor!$B$7)</f>
        <v>0.01</v>
      </c>
      <c r="H29" s="10">
        <f ca="1">IF(E29/(G29/60*D29)*Propulsão!J29&gt;Propeller!$B$12,Propeller!$B$12,E29/(G29/60*D29)*Propulsão!J29)</f>
        <v>0.56000000000000005</v>
      </c>
      <c r="I29" s="13">
        <f ca="1">F29*Energy!$B$6</f>
        <v>0</v>
      </c>
      <c r="J29" s="51">
        <f ca="1">IF(ISERROR(U29),Motor!$B$10,U29)</f>
        <v>0</v>
      </c>
      <c r="K29" s="20">
        <f ca="1">MAX(I29-Motor!$B$9*J29,0)</f>
        <v>0</v>
      </c>
      <c r="L29" s="14">
        <f ca="1">MAX(0,J29-Motor!$B$8)</f>
        <v>0</v>
      </c>
      <c r="M29" s="14">
        <f t="shared" ca="1" si="0"/>
        <v>0</v>
      </c>
      <c r="N29" s="20">
        <f t="shared" ca="1" si="1"/>
        <v>0</v>
      </c>
      <c r="O29" s="1">
        <f t="shared" ca="1" si="4"/>
        <v>0</v>
      </c>
      <c r="P29" s="10">
        <f t="shared" ca="1" si="8"/>
        <v>0</v>
      </c>
      <c r="Q29" s="10">
        <f ca="1">Propeller!$B$15+Propeller!$B$16*H29+Propeller!$B$17*H29^2+Propeller!$B$18*H29^3+Propeller!$B$19*H29^4+Propeller!$B$20*H29^5+Propeller!$B$21*H29^6</f>
        <v>3.8330340285823955E-3</v>
      </c>
      <c r="R29" s="10">
        <f ca="1">(Propeller!$B$23+Propeller!$B$24*H29+Propeller!$B$25*H29^2+Propeller!$B$26*H29^3+Propeller!$B$27*H29^4+Propeller!$B$28*H29^5+Propeller!$B$29*H29^6)*Propulsão!M29</f>
        <v>6.6076061468823919E-3</v>
      </c>
      <c r="S29" s="19">
        <f t="shared" ca="1" si="2"/>
        <v>0</v>
      </c>
      <c r="T29" s="19">
        <f ca="1">Descent!S29</f>
        <v>0</v>
      </c>
      <c r="U29" s="14">
        <f ca="1">IF(OR(G29=0,T29=0),0,MIN(Motor!$B$10,MAX(Motor!$B$8*0,J29+0.05*(Q29/MAX(P29,0.001)-1)*MAX(1,J29))))</f>
        <v>0</v>
      </c>
      <c r="V29" s="50" t="str">
        <f t="shared" ca="1" si="5"/>
        <v>Stopped Prop</v>
      </c>
      <c r="W29" s="1">
        <f t="shared" ca="1" si="6"/>
        <v>0</v>
      </c>
      <c r="X29" s="50" t="str">
        <f t="shared" ca="1" si="7"/>
        <v>Stopped Prop</v>
      </c>
      <c r="Y29" s="35"/>
      <c r="Z29" s="36"/>
      <c r="AA29" s="36"/>
      <c r="AB29" s="36"/>
      <c r="AC29" s="38"/>
      <c r="AD29" s="41"/>
      <c r="AE29" s="40"/>
      <c r="AF29" s="38"/>
      <c r="AG29" s="40"/>
      <c r="AH29" s="40"/>
      <c r="AI29" s="36"/>
      <c r="AJ29" s="36"/>
      <c r="AK29" s="36"/>
      <c r="AL29" s="40"/>
      <c r="AM29" s="40"/>
      <c r="AN29" s="38"/>
      <c r="AO29" s="35"/>
      <c r="AP29" s="35"/>
      <c r="AQ29" s="35"/>
      <c r="AR29" s="35"/>
      <c r="AS29" s="35"/>
      <c r="AT29" s="35"/>
      <c r="AU29" s="35"/>
      <c r="AV29" s="35"/>
      <c r="AW29" s="35"/>
      <c r="AX29" s="35"/>
    </row>
    <row r="30" spans="2:50">
      <c r="B30" s="1">
        <f>Descent!F30</f>
        <v>0.65969672852566186</v>
      </c>
      <c r="D30" s="1">
        <f>Propeller!$B$8</f>
        <v>0.30479999999999996</v>
      </c>
      <c r="E30" s="19">
        <f ca="1">Descent!X30</f>
        <v>35.74040002514208</v>
      </c>
      <c r="F30" s="49">
        <f t="shared" ca="1" si="3"/>
        <v>0</v>
      </c>
      <c r="G30" s="19">
        <f ca="1">MAX(0.01,K30*Motor!$B$7)</f>
        <v>0.01</v>
      </c>
      <c r="H30" s="10">
        <f ca="1">IF(E30/(G30/60*D30)*Propulsão!J30&gt;Propeller!$B$12,Propeller!$B$12,E30/(G30/60*D30)*Propulsão!J30)</f>
        <v>0.56000000000000005</v>
      </c>
      <c r="I30" s="13">
        <f ca="1">F30*Energy!$B$6</f>
        <v>0</v>
      </c>
      <c r="J30" s="51">
        <f ca="1">IF(ISERROR(U30),Motor!$B$10,U30)</f>
        <v>0</v>
      </c>
      <c r="K30" s="20">
        <f ca="1">MAX(I30-Motor!$B$9*J30,0)</f>
        <v>0</v>
      </c>
      <c r="L30" s="14">
        <f ca="1">MAX(0,J30-Motor!$B$8)</f>
        <v>0</v>
      </c>
      <c r="M30" s="14">
        <f t="shared" ca="1" si="0"/>
        <v>0</v>
      </c>
      <c r="N30" s="20">
        <f t="shared" ca="1" si="1"/>
        <v>0</v>
      </c>
      <c r="O30" s="1">
        <f t="shared" ca="1" si="4"/>
        <v>0</v>
      </c>
      <c r="P30" s="10">
        <f t="shared" ca="1" si="8"/>
        <v>0</v>
      </c>
      <c r="Q30" s="10">
        <f ca="1">Propeller!$B$15+Propeller!$B$16*H30+Propeller!$B$17*H30^2+Propeller!$B$18*H30^3+Propeller!$B$19*H30^4+Propeller!$B$20*H30^5+Propeller!$B$21*H30^6</f>
        <v>3.8330340285823955E-3</v>
      </c>
      <c r="R30" s="10">
        <f ca="1">(Propeller!$B$23+Propeller!$B$24*H30+Propeller!$B$25*H30^2+Propeller!$B$26*H30^3+Propeller!$B$27*H30^4+Propeller!$B$28*H30^5+Propeller!$B$29*H30^6)*Propulsão!M30</f>
        <v>6.6067273750617401E-3</v>
      </c>
      <c r="S30" s="19">
        <f t="shared" ca="1" si="2"/>
        <v>0</v>
      </c>
      <c r="T30" s="19">
        <f ca="1">Descent!S30</f>
        <v>0</v>
      </c>
      <c r="U30" s="14">
        <f ca="1">IF(OR(G30=0,T30=0),0,MIN(Motor!$B$10,MAX(Motor!$B$8*0,J30+0.05*(Q30/MAX(P30,0.001)-1)*MAX(1,J30))))</f>
        <v>0</v>
      </c>
      <c r="V30" s="50" t="str">
        <f t="shared" ca="1" si="5"/>
        <v>Stopped Prop</v>
      </c>
      <c r="W30" s="1">
        <f t="shared" ca="1" si="6"/>
        <v>0</v>
      </c>
      <c r="X30" s="50" t="str">
        <f t="shared" ca="1" si="7"/>
        <v>Stopped Prop</v>
      </c>
      <c r="Y30" s="35"/>
      <c r="Z30" s="36"/>
      <c r="AA30" s="36"/>
      <c r="AB30" s="36"/>
      <c r="AC30" s="38"/>
      <c r="AD30" s="41"/>
      <c r="AE30" s="40"/>
      <c r="AF30" s="38"/>
      <c r="AG30" s="40"/>
      <c r="AH30" s="40"/>
      <c r="AI30" s="36"/>
      <c r="AJ30" s="36"/>
      <c r="AK30" s="36"/>
      <c r="AL30" s="40"/>
      <c r="AM30" s="40"/>
      <c r="AN30" s="38"/>
      <c r="AO30" s="35"/>
      <c r="AP30" s="35"/>
      <c r="AQ30" s="35"/>
      <c r="AR30" s="35"/>
      <c r="AS30" s="35"/>
      <c r="AT30" s="35"/>
      <c r="AU30" s="35"/>
      <c r="AV30" s="35"/>
      <c r="AW30" s="35"/>
      <c r="AX30" s="35"/>
    </row>
    <row r="31" spans="2:50">
      <c r="B31" s="1">
        <f>Descent!F31</f>
        <v>0.65969672852566186</v>
      </c>
      <c r="D31" s="1">
        <f>Propeller!$B$8</f>
        <v>0.30479999999999996</v>
      </c>
      <c r="E31" s="19">
        <f ca="1">Descent!X31</f>
        <v>35.096844759527272</v>
      </c>
      <c r="F31" s="49">
        <f t="shared" ca="1" si="3"/>
        <v>0</v>
      </c>
      <c r="G31" s="19">
        <f ca="1">MAX(0.01,K31*Motor!$B$7)</f>
        <v>0.01</v>
      </c>
      <c r="H31" s="10">
        <f ca="1">IF(E31/(G31/60*D31)*Propulsão!J31&gt;Propeller!$B$12,Propeller!$B$12,E31/(G31/60*D31)*Propulsão!J31)</f>
        <v>0.56000000000000005</v>
      </c>
      <c r="I31" s="13">
        <f ca="1">F31*Energy!$B$6</f>
        <v>0</v>
      </c>
      <c r="J31" s="51">
        <f ca="1">IF(ISERROR(U31),Motor!$B$10,U31)</f>
        <v>0</v>
      </c>
      <c r="K31" s="20">
        <f ca="1">MAX(I31-Motor!$B$9*J31,0)</f>
        <v>0</v>
      </c>
      <c r="L31" s="14">
        <f ca="1">MAX(0,J31-Motor!$B$8)</f>
        <v>0</v>
      </c>
      <c r="M31" s="14">
        <f t="shared" ca="1" si="0"/>
        <v>0</v>
      </c>
      <c r="N31" s="20">
        <f t="shared" ca="1" si="1"/>
        <v>0</v>
      </c>
      <c r="O31" s="1">
        <f t="shared" ca="1" si="4"/>
        <v>0</v>
      </c>
      <c r="P31" s="10">
        <f t="shared" ca="1" si="8"/>
        <v>0</v>
      </c>
      <c r="Q31" s="10">
        <f ca="1">Propeller!$B$15+Propeller!$B$16*H31+Propeller!$B$17*H31^2+Propeller!$B$18*H31^3+Propeller!$B$19*H31^4+Propeller!$B$20*H31^5+Propeller!$B$21*H31^6</f>
        <v>3.8330340285823955E-3</v>
      </c>
      <c r="R31" s="10">
        <f ca="1">(Propeller!$B$23+Propeller!$B$24*H31+Propeller!$B$25*H31^2+Propeller!$B$26*H31^3+Propeller!$B$27*H31^4+Propeller!$B$28*H31^5+Propeller!$B$29*H31^6)*Propulsão!M31</f>
        <v>6.6058857223662967E-3</v>
      </c>
      <c r="S31" s="19">
        <f t="shared" ca="1" si="2"/>
        <v>0</v>
      </c>
      <c r="T31" s="19">
        <f ca="1">Descent!S31</f>
        <v>0</v>
      </c>
      <c r="U31" s="14">
        <f ca="1">IF(OR(G31=0,T31=0),0,MIN(Motor!$B$10,MAX(Motor!$B$8*0,J31+0.05*(Q31/MAX(P31,0.001)-1)*MAX(1,J31))))</f>
        <v>0</v>
      </c>
      <c r="V31" s="50" t="str">
        <f t="shared" ca="1" si="5"/>
        <v>Stopped Prop</v>
      </c>
      <c r="W31" s="1">
        <f t="shared" ca="1" si="6"/>
        <v>0</v>
      </c>
      <c r="X31" s="50" t="str">
        <f t="shared" ca="1" si="7"/>
        <v>Stopped Prop</v>
      </c>
      <c r="Y31" s="35"/>
      <c r="Z31" s="36"/>
      <c r="AA31" s="36"/>
      <c r="AB31" s="36"/>
      <c r="AC31" s="38"/>
      <c r="AD31" s="41"/>
      <c r="AE31" s="40"/>
      <c r="AF31" s="38"/>
      <c r="AG31" s="40"/>
      <c r="AH31" s="40"/>
      <c r="AI31" s="36"/>
      <c r="AJ31" s="36"/>
      <c r="AK31" s="36"/>
      <c r="AL31" s="40"/>
      <c r="AM31" s="40"/>
      <c r="AN31" s="38"/>
      <c r="AO31" s="35"/>
      <c r="AP31" s="35"/>
      <c r="AQ31" s="35"/>
      <c r="AR31" s="35"/>
      <c r="AS31" s="35"/>
      <c r="AT31" s="35"/>
      <c r="AU31" s="35"/>
      <c r="AV31" s="35"/>
      <c r="AW31" s="35"/>
      <c r="AX31" s="35"/>
    </row>
    <row r="32" spans="2:50">
      <c r="B32" s="1">
        <f>Descent!F32</f>
        <v>0.65969672852566186</v>
      </c>
      <c r="D32" s="1">
        <f>Propeller!$B$8</f>
        <v>0.30479999999999996</v>
      </c>
      <c r="E32" s="19">
        <f ca="1">Descent!X32</f>
        <v>34.492690747565867</v>
      </c>
      <c r="F32" s="49">
        <f t="shared" ca="1" si="3"/>
        <v>0</v>
      </c>
      <c r="G32" s="19">
        <f ca="1">MAX(0.01,K32*Motor!$B$7)</f>
        <v>0.01</v>
      </c>
      <c r="H32" s="10">
        <f ca="1">IF(E32/(G32/60*D32)*Propulsão!J32&gt;Propeller!$B$12,Propeller!$B$12,E32/(G32/60*D32)*Propulsão!J32)</f>
        <v>0.56000000000000005</v>
      </c>
      <c r="I32" s="13">
        <f ca="1">F32*Energy!$B$6</f>
        <v>0</v>
      </c>
      <c r="J32" s="51">
        <f ca="1">IF(ISERROR(U32),Motor!$B$10,U32)</f>
        <v>0</v>
      </c>
      <c r="K32" s="20">
        <f ca="1">MAX(I32-Motor!$B$9*J32,0)</f>
        <v>0</v>
      </c>
      <c r="L32" s="14">
        <f ca="1">MAX(0,J32-Motor!$B$8)</f>
        <v>0</v>
      </c>
      <c r="M32" s="14">
        <f t="shared" ca="1" si="0"/>
        <v>0</v>
      </c>
      <c r="N32" s="20">
        <f t="shared" ca="1" si="1"/>
        <v>0</v>
      </c>
      <c r="O32" s="1">
        <f t="shared" ca="1" si="4"/>
        <v>0</v>
      </c>
      <c r="P32" s="10">
        <f t="shared" ca="1" si="8"/>
        <v>0</v>
      </c>
      <c r="Q32" s="10">
        <f ca="1">Propeller!$B$15+Propeller!$B$16*H32+Propeller!$B$17*H32^2+Propeller!$B$18*H32^3+Propeller!$B$19*H32^4+Propeller!$B$20*H32^5+Propeller!$B$21*H32^6</f>
        <v>3.8330340285823955E-3</v>
      </c>
      <c r="R32" s="10">
        <f ca="1">(Propeller!$B$23+Propeller!$B$24*H32+Propeller!$B$25*H32^2+Propeller!$B$26*H32^3+Propeller!$B$27*H32^4+Propeller!$B$28*H32^5+Propeller!$B$29*H32^6)*Propulsão!M32</f>
        <v>6.6050781933735814E-3</v>
      </c>
      <c r="S32" s="19">
        <f t="shared" ca="1" si="2"/>
        <v>0</v>
      </c>
      <c r="T32" s="19">
        <f ca="1">Descent!S32</f>
        <v>0</v>
      </c>
      <c r="U32" s="14">
        <f ca="1">IF(OR(G32=0,T32=0),0,MIN(Motor!$B$10,MAX(Motor!$B$8*0,J32+0.05*(Q32/MAX(P32,0.001)-1)*MAX(1,J32))))</f>
        <v>0</v>
      </c>
      <c r="V32" s="50" t="str">
        <f t="shared" ca="1" si="5"/>
        <v>Stopped Prop</v>
      </c>
      <c r="W32" s="1">
        <f t="shared" ca="1" si="6"/>
        <v>0</v>
      </c>
      <c r="X32" s="50" t="str">
        <f t="shared" ca="1" si="7"/>
        <v>Stopped Prop</v>
      </c>
      <c r="Y32" s="35"/>
      <c r="Z32" s="36"/>
      <c r="AA32" s="36"/>
      <c r="AB32" s="36"/>
      <c r="AC32" s="38"/>
      <c r="AD32" s="41"/>
      <c r="AE32" s="40"/>
      <c r="AF32" s="38"/>
      <c r="AG32" s="40"/>
      <c r="AH32" s="40"/>
      <c r="AI32" s="36"/>
      <c r="AJ32" s="36"/>
      <c r="AK32" s="36"/>
      <c r="AL32" s="40"/>
      <c r="AM32" s="40"/>
      <c r="AN32" s="38"/>
      <c r="AO32" s="35"/>
      <c r="AP32" s="35"/>
      <c r="AQ32" s="35"/>
      <c r="AR32" s="35"/>
      <c r="AS32" s="35"/>
      <c r="AT32" s="35"/>
      <c r="AU32" s="35"/>
      <c r="AV32" s="35"/>
      <c r="AW32" s="35"/>
      <c r="AX32" s="35"/>
    </row>
    <row r="33" spans="2:50">
      <c r="B33" s="1">
        <f>Descent!F33</f>
        <v>0.65969672852566186</v>
      </c>
      <c r="D33" s="1">
        <f>Propeller!$B$8</f>
        <v>0.30479999999999996</v>
      </c>
      <c r="E33" s="19">
        <f ca="1">Descent!X33</f>
        <v>33.924091764732189</v>
      </c>
      <c r="F33" s="49">
        <f t="shared" ca="1" si="3"/>
        <v>0</v>
      </c>
      <c r="G33" s="19">
        <f ca="1">MAX(0.01,K33*Motor!$B$7)</f>
        <v>0.01</v>
      </c>
      <c r="H33" s="10">
        <f ca="1">IF(E33/(G33/60*D33)*Propulsão!J33&gt;Propeller!$B$12,Propeller!$B$12,E33/(G33/60*D33)*Propulsão!J33)</f>
        <v>0.56000000000000005</v>
      </c>
      <c r="I33" s="13">
        <f ca="1">F33*Energy!$B$6</f>
        <v>0</v>
      </c>
      <c r="J33" s="51">
        <f ca="1">IF(ISERROR(U33),Motor!$B$10,U33)</f>
        <v>0</v>
      </c>
      <c r="K33" s="20">
        <f ca="1">MAX(I33-Motor!$B$9*J33,0)</f>
        <v>0</v>
      </c>
      <c r="L33" s="14">
        <f ca="1">MAX(0,J33-Motor!$B$8)</f>
        <v>0</v>
      </c>
      <c r="M33" s="14">
        <f t="shared" ca="1" si="0"/>
        <v>0</v>
      </c>
      <c r="N33" s="20">
        <f t="shared" ca="1" si="1"/>
        <v>0</v>
      </c>
      <c r="O33" s="1">
        <f t="shared" ca="1" si="4"/>
        <v>0</v>
      </c>
      <c r="P33" s="10">
        <f t="shared" ca="1" si="8"/>
        <v>0</v>
      </c>
      <c r="Q33" s="10">
        <f ca="1">Propeller!$B$15+Propeller!$B$16*H33+Propeller!$B$17*H33^2+Propeller!$B$18*H33^3+Propeller!$B$19*H33^4+Propeller!$B$20*H33^5+Propeller!$B$21*H33^6</f>
        <v>3.8330340285823955E-3</v>
      </c>
      <c r="R33" s="10">
        <f ca="1">(Propeller!$B$23+Propeller!$B$24*H33+Propeller!$B$25*H33^2+Propeller!$B$26*H33^3+Propeller!$B$27*H33^4+Propeller!$B$28*H33^5+Propeller!$B$29*H33^6)*Propulsão!M33</f>
        <v>6.6043021758643026E-3</v>
      </c>
      <c r="S33" s="19">
        <f t="shared" ca="1" si="2"/>
        <v>0</v>
      </c>
      <c r="T33" s="19">
        <f ca="1">Descent!S33</f>
        <v>0</v>
      </c>
      <c r="U33" s="14">
        <f ca="1">IF(OR(G33=0,T33=0),0,MIN(Motor!$B$10,MAX(Motor!$B$8*0,J33+0.05*(Q33/MAX(P33,0.001)-1)*MAX(1,J33))))</f>
        <v>0</v>
      </c>
      <c r="V33" s="50" t="str">
        <f t="shared" ca="1" si="5"/>
        <v>Stopped Prop</v>
      </c>
      <c r="W33" s="1">
        <f t="shared" ca="1" si="6"/>
        <v>0</v>
      </c>
      <c r="X33" s="50" t="str">
        <f t="shared" ca="1" si="7"/>
        <v>Stopped Prop</v>
      </c>
      <c r="Y33" s="35"/>
      <c r="Z33" s="36"/>
      <c r="AA33" s="36"/>
      <c r="AB33" s="36"/>
      <c r="AC33" s="38"/>
      <c r="AD33" s="41"/>
      <c r="AE33" s="40"/>
      <c r="AF33" s="38"/>
      <c r="AG33" s="40"/>
      <c r="AH33" s="40"/>
      <c r="AI33" s="36"/>
      <c r="AJ33" s="36"/>
      <c r="AK33" s="36"/>
      <c r="AL33" s="40"/>
      <c r="AM33" s="40"/>
      <c r="AN33" s="38"/>
      <c r="AO33" s="35"/>
      <c r="AP33" s="35"/>
      <c r="AQ33" s="35"/>
      <c r="AR33" s="35"/>
      <c r="AS33" s="35"/>
      <c r="AT33" s="35"/>
      <c r="AU33" s="35"/>
      <c r="AV33" s="35"/>
      <c r="AW33" s="35"/>
      <c r="AX33" s="35"/>
    </row>
    <row r="34" spans="2:50">
      <c r="B34" s="1">
        <f>Descent!F34</f>
        <v>0.65969672852566186</v>
      </c>
      <c r="D34" s="1">
        <f>Propeller!$B$8</f>
        <v>0.30479999999999996</v>
      </c>
      <c r="E34" s="19">
        <f ca="1">Descent!X34</f>
        <v>33.387571929471704</v>
      </c>
      <c r="F34" s="49">
        <f t="shared" ca="1" si="3"/>
        <v>0</v>
      </c>
      <c r="G34" s="19">
        <f ca="1">MAX(0.01,K34*Motor!$B$7)</f>
        <v>0.01</v>
      </c>
      <c r="H34" s="10">
        <f ca="1">IF(E34/(G34/60*D34)*Propulsão!J34&gt;Propeller!$B$12,Propeller!$B$12,E34/(G34/60*D34)*Propulsão!J34)</f>
        <v>0.56000000000000005</v>
      </c>
      <c r="I34" s="13">
        <f ca="1">F34*Energy!$B$6</f>
        <v>0</v>
      </c>
      <c r="J34" s="51">
        <f ca="1">IF(ISERROR(U34),Motor!$B$10,U34)</f>
        <v>0</v>
      </c>
      <c r="K34" s="20">
        <f ca="1">MAX(I34-Motor!$B$9*J34,0)</f>
        <v>0</v>
      </c>
      <c r="L34" s="14">
        <f ca="1">MAX(0,J34-Motor!$B$8)</f>
        <v>0</v>
      </c>
      <c r="M34" s="14">
        <f t="shared" ca="1" si="0"/>
        <v>0</v>
      </c>
      <c r="N34" s="20">
        <f t="shared" ca="1" si="1"/>
        <v>0</v>
      </c>
      <c r="O34" s="1">
        <f t="shared" ca="1" si="4"/>
        <v>0</v>
      </c>
      <c r="P34" s="10">
        <f t="shared" ca="1" si="8"/>
        <v>0</v>
      </c>
      <c r="Q34" s="10">
        <f ca="1">Propeller!$B$15+Propeller!$B$16*H34+Propeller!$B$17*H34^2+Propeller!$B$18*H34^3+Propeller!$B$19*H34^4+Propeller!$B$20*H34^5+Propeller!$B$21*H34^6</f>
        <v>3.8330340285823955E-3</v>
      </c>
      <c r="R34" s="10">
        <f ca="1">(Propeller!$B$23+Propeller!$B$24*H34+Propeller!$B$25*H34^2+Propeller!$B$26*H34^3+Propeller!$B$27*H34^4+Propeller!$B$28*H34^5+Propeller!$B$29*H34^6)*Propulsão!M34</f>
        <v>6.6035551580513729E-3</v>
      </c>
      <c r="S34" s="19">
        <f t="shared" ca="1" si="2"/>
        <v>0</v>
      </c>
      <c r="T34" s="19">
        <f ca="1">Descent!S34</f>
        <v>0</v>
      </c>
      <c r="U34" s="14">
        <f ca="1">IF(OR(G34=0,T34=0),0,MIN(Motor!$B$10,MAX(Motor!$B$8*0,J34+0.05*(Q34/MAX(P34,0.001)-1)*MAX(1,J34))))</f>
        <v>0</v>
      </c>
      <c r="V34" s="50" t="str">
        <f t="shared" ca="1" si="5"/>
        <v>Stopped Prop</v>
      </c>
      <c r="W34" s="1">
        <f t="shared" ca="1" si="6"/>
        <v>0</v>
      </c>
      <c r="X34" s="50" t="str">
        <f t="shared" ca="1" si="7"/>
        <v>Stopped Prop</v>
      </c>
      <c r="Y34" s="35"/>
      <c r="Z34" s="36"/>
      <c r="AA34" s="36"/>
      <c r="AB34" s="36"/>
      <c r="AC34" s="38"/>
      <c r="AD34" s="41"/>
      <c r="AE34" s="40"/>
      <c r="AF34" s="38"/>
      <c r="AG34" s="40"/>
      <c r="AH34" s="40"/>
      <c r="AI34" s="36"/>
      <c r="AJ34" s="36"/>
      <c r="AK34" s="36"/>
      <c r="AL34" s="40"/>
      <c r="AM34" s="40"/>
      <c r="AN34" s="38"/>
      <c r="AO34" s="35"/>
      <c r="AP34" s="35"/>
      <c r="AQ34" s="35"/>
      <c r="AR34" s="35"/>
      <c r="AS34" s="35"/>
      <c r="AT34" s="35"/>
      <c r="AU34" s="35"/>
      <c r="AV34" s="35"/>
      <c r="AW34" s="35"/>
      <c r="AX34" s="35"/>
    </row>
    <row r="35" spans="2:50">
      <c r="B35" s="1">
        <f>Descent!F35</f>
        <v>0.65969672852566186</v>
      </c>
      <c r="D35" s="1">
        <f>Propeller!$B$8</f>
        <v>0.30479999999999996</v>
      </c>
      <c r="E35" s="19">
        <f ca="1">Descent!X35</f>
        <v>32.879675488360149</v>
      </c>
      <c r="F35" s="49">
        <f t="shared" ca="1" si="3"/>
        <v>0</v>
      </c>
      <c r="G35" s="19">
        <f ca="1">MAX(0.01,K35*Motor!$B$7)</f>
        <v>0.01</v>
      </c>
      <c r="H35" s="10">
        <f ca="1">IF(E35/(G35/60*D35)*Propulsão!J35&gt;Propeller!$B$12,Propeller!$B$12,E35/(G35/60*D35)*Propulsão!J35)</f>
        <v>0.56000000000000005</v>
      </c>
      <c r="I35" s="13">
        <f ca="1">F35*Energy!$B$6</f>
        <v>0</v>
      </c>
      <c r="J35" s="51">
        <f ca="1">IF(ISERROR(U35),Motor!$B$10,U35)</f>
        <v>0</v>
      </c>
      <c r="K35" s="20">
        <f ca="1">MAX(I35-Motor!$B$9*J35,0)</f>
        <v>0</v>
      </c>
      <c r="L35" s="14">
        <f ca="1">MAX(0,J35-Motor!$B$8)</f>
        <v>0</v>
      </c>
      <c r="M35" s="14">
        <f t="shared" ca="1" si="0"/>
        <v>0</v>
      </c>
      <c r="N35" s="20">
        <f t="shared" ca="1" si="1"/>
        <v>0</v>
      </c>
      <c r="O35" s="1">
        <f t="shared" ca="1" si="4"/>
        <v>0</v>
      </c>
      <c r="P35" s="10">
        <f t="shared" ca="1" si="8"/>
        <v>0</v>
      </c>
      <c r="Q35" s="10">
        <f ca="1">Propeller!$B$15+Propeller!$B$16*H35+Propeller!$B$17*H35^2+Propeller!$B$18*H35^3+Propeller!$B$19*H35^4+Propeller!$B$20*H35^5+Propeller!$B$21*H35^6</f>
        <v>3.8330340285823955E-3</v>
      </c>
      <c r="R35" s="10">
        <f ca="1">(Propeller!$B$23+Propeller!$B$24*H35+Propeller!$B$25*H35^2+Propeller!$B$26*H35^3+Propeller!$B$27*H35^4+Propeller!$B$28*H35^5+Propeller!$B$29*H35^6)*Propulsão!M35</f>
        <v>6.6028342848945187E-3</v>
      </c>
      <c r="S35" s="19">
        <f t="shared" ca="1" si="2"/>
        <v>0</v>
      </c>
      <c r="T35" s="19">
        <f ca="1">Descent!S35</f>
        <v>0</v>
      </c>
      <c r="U35" s="14">
        <f ca="1">IF(OR(G35=0,T35=0),0,MIN(Motor!$B$10,MAX(Motor!$B$8*0,J35+0.05*(Q35/MAX(P35,0.001)-1)*MAX(1,J35))))</f>
        <v>0</v>
      </c>
      <c r="V35" s="50" t="str">
        <f t="shared" ca="1" si="5"/>
        <v>Stopped Prop</v>
      </c>
      <c r="W35" s="1">
        <f t="shared" ca="1" si="6"/>
        <v>0</v>
      </c>
      <c r="X35" s="50" t="str">
        <f t="shared" ca="1" si="7"/>
        <v>Stopped Prop</v>
      </c>
      <c r="Y35" s="35"/>
      <c r="Z35" s="36"/>
      <c r="AA35" s="36"/>
      <c r="AB35" s="36"/>
      <c r="AC35" s="38"/>
      <c r="AD35" s="41"/>
      <c r="AE35" s="40"/>
      <c r="AF35" s="38"/>
      <c r="AG35" s="40"/>
      <c r="AH35" s="40"/>
      <c r="AI35" s="36"/>
      <c r="AJ35" s="36"/>
      <c r="AK35" s="36"/>
      <c r="AL35" s="40"/>
      <c r="AM35" s="40"/>
      <c r="AN35" s="38"/>
      <c r="AO35" s="35"/>
      <c r="AP35" s="35"/>
      <c r="AQ35" s="35"/>
      <c r="AR35" s="35"/>
      <c r="AS35" s="35"/>
      <c r="AT35" s="35"/>
      <c r="AU35" s="35"/>
      <c r="AV35" s="35"/>
      <c r="AW35" s="35"/>
      <c r="AX35" s="35"/>
    </row>
    <row r="36" spans="2:50">
      <c r="B36" s="1">
        <f>Descent!F36</f>
        <v>0.65969672852566186</v>
      </c>
      <c r="D36" s="1">
        <f>Propeller!$B$8</f>
        <v>0.30479999999999996</v>
      </c>
      <c r="E36" s="19">
        <f ca="1">Descent!X36</f>
        <v>32.398723136817416</v>
      </c>
      <c r="F36" s="49">
        <f t="shared" ca="1" si="3"/>
        <v>0</v>
      </c>
      <c r="G36" s="19">
        <f ca="1">MAX(0.01,K36*Motor!$B$7)</f>
        <v>0.01</v>
      </c>
      <c r="H36" s="10">
        <f ca="1">IF(E36/(G36/60*D36)*Propulsão!J36&gt;Propeller!$B$12,Propeller!$B$12,E36/(G36/60*D36)*Propulsão!J36)</f>
        <v>0.56000000000000005</v>
      </c>
      <c r="I36" s="13">
        <f ca="1">F36*Energy!$B$6</f>
        <v>0</v>
      </c>
      <c r="J36" s="51">
        <f ca="1">IF(ISERROR(U36),Motor!$B$10,U36)</f>
        <v>0</v>
      </c>
      <c r="K36" s="20">
        <f ca="1">MAX(I36-Motor!$B$9*J36,0)</f>
        <v>0</v>
      </c>
      <c r="L36" s="14">
        <f ca="1">MAX(0,J36-Motor!$B$8)</f>
        <v>0</v>
      </c>
      <c r="M36" s="14">
        <f t="shared" ca="1" si="0"/>
        <v>0</v>
      </c>
      <c r="N36" s="20">
        <f t="shared" ca="1" si="1"/>
        <v>0</v>
      </c>
      <c r="O36" s="1">
        <f t="shared" ca="1" si="4"/>
        <v>0</v>
      </c>
      <c r="P36" s="10">
        <f t="shared" ca="1" si="8"/>
        <v>0</v>
      </c>
      <c r="Q36" s="10">
        <f ca="1">Propeller!$B$15+Propeller!$B$16*H36+Propeller!$B$17*H36^2+Propeller!$B$18*H36^3+Propeller!$B$19*H36^4+Propeller!$B$20*H36^5+Propeller!$B$21*H36^6</f>
        <v>3.8330340285823955E-3</v>
      </c>
      <c r="R36" s="10">
        <f ca="1">(Propeller!$B$23+Propeller!$B$24*H36+Propeller!$B$25*H36^2+Propeller!$B$26*H36^3+Propeller!$B$27*H36^4+Propeller!$B$28*H36^5+Propeller!$B$29*H36^6)*Propulsão!M36</f>
        <v>6.6021389315554504E-3</v>
      </c>
      <c r="S36" s="19">
        <f t="shared" ca="1" si="2"/>
        <v>0</v>
      </c>
      <c r="T36" s="19">
        <f ca="1">Descent!S36</f>
        <v>0</v>
      </c>
      <c r="U36" s="14">
        <f ca="1">IF(OR(G36=0,T36=0),0,MIN(Motor!$B$10,MAX(Motor!$B$8*0,J36+0.05*(Q36/MAX(P36,0.001)-1)*MAX(1,J36))))</f>
        <v>0</v>
      </c>
      <c r="V36" s="50" t="str">
        <f t="shared" ca="1" si="5"/>
        <v>Stopped Prop</v>
      </c>
      <c r="W36" s="1">
        <f t="shared" ca="1" si="6"/>
        <v>0</v>
      </c>
      <c r="X36" s="50" t="str">
        <f t="shared" ca="1" si="7"/>
        <v>Stopped Prop</v>
      </c>
      <c r="Y36" s="35"/>
      <c r="Z36" s="36"/>
      <c r="AA36" s="36"/>
      <c r="AB36" s="36"/>
      <c r="AC36" s="38"/>
      <c r="AD36" s="41"/>
      <c r="AE36" s="40"/>
      <c r="AF36" s="38"/>
      <c r="AG36" s="40"/>
      <c r="AH36" s="40"/>
      <c r="AI36" s="36"/>
      <c r="AJ36" s="36"/>
      <c r="AK36" s="36"/>
      <c r="AL36" s="40"/>
      <c r="AM36" s="40"/>
      <c r="AN36" s="38"/>
      <c r="AO36" s="35"/>
      <c r="AP36" s="35"/>
      <c r="AQ36" s="35"/>
      <c r="AR36" s="35"/>
      <c r="AS36" s="35"/>
      <c r="AT36" s="35"/>
      <c r="AU36" s="35"/>
      <c r="AV36" s="35"/>
      <c r="AW36" s="35"/>
      <c r="AX36" s="35"/>
    </row>
    <row r="37" spans="2:50">
      <c r="B37" s="1">
        <f>Descent!F37</f>
        <v>0.65969672852566186</v>
      </c>
      <c r="D37" s="1">
        <f>Propeller!$B$8</f>
        <v>0.30479999999999996</v>
      </c>
      <c r="E37" s="19">
        <f ca="1">Descent!X37</f>
        <v>31.942471420245251</v>
      </c>
      <c r="F37" s="49">
        <f t="shared" ca="1" si="3"/>
        <v>0</v>
      </c>
      <c r="G37" s="19">
        <f ca="1">MAX(0.01,K37*Motor!$B$7)</f>
        <v>0.01</v>
      </c>
      <c r="H37" s="10">
        <f ca="1">IF(E37/(G37/60*D37)*Propulsão!J37&gt;Propeller!$B$12,Propeller!$B$12,E37/(G37/60*D37)*Propulsão!J37)</f>
        <v>0.56000000000000005</v>
      </c>
      <c r="I37" s="13">
        <f ca="1">F37*Energy!$B$6</f>
        <v>0</v>
      </c>
      <c r="J37" s="51">
        <f ca="1">IF(ISERROR(U37),Motor!$B$10,U37)</f>
        <v>0</v>
      </c>
      <c r="K37" s="20">
        <f ca="1">MAX(I37-Motor!$B$9*J37,0)</f>
        <v>0</v>
      </c>
      <c r="L37" s="14">
        <f ca="1">MAX(0,J37-Motor!$B$8)</f>
        <v>0</v>
      </c>
      <c r="M37" s="14">
        <f t="shared" ca="1" si="0"/>
        <v>0</v>
      </c>
      <c r="N37" s="20">
        <f t="shared" ca="1" si="1"/>
        <v>0</v>
      </c>
      <c r="O37" s="1">
        <f t="shared" ca="1" si="4"/>
        <v>0</v>
      </c>
      <c r="P37" s="10">
        <f t="shared" ca="1" si="8"/>
        <v>0</v>
      </c>
      <c r="Q37" s="10">
        <f ca="1">Propeller!$B$15+Propeller!$B$16*H37+Propeller!$B$17*H37^2+Propeller!$B$18*H37^3+Propeller!$B$19*H37^4+Propeller!$B$20*H37^5+Propeller!$B$21*H37^6</f>
        <v>3.8330340285823955E-3</v>
      </c>
      <c r="R37" s="10">
        <f ca="1">(Propeller!$B$23+Propeller!$B$24*H37+Propeller!$B$25*H37^2+Propeller!$B$26*H37^3+Propeller!$B$27*H37^4+Propeller!$B$28*H37^5+Propeller!$B$29*H37^6)*Propulsão!M37</f>
        <v>6.6014674644084047E-3</v>
      </c>
      <c r="S37" s="19">
        <f t="shared" ca="1" si="2"/>
        <v>0</v>
      </c>
      <c r="T37" s="19">
        <f ca="1">Descent!S37</f>
        <v>0</v>
      </c>
      <c r="U37" s="14">
        <f ca="1">IF(OR(G37=0,T37=0),0,MIN(Motor!$B$10,MAX(Motor!$B$8*0,J37+0.05*(Q37/MAX(P37,0.001)-1)*MAX(1,J37))))</f>
        <v>0</v>
      </c>
      <c r="V37" s="50" t="str">
        <f t="shared" ca="1" si="5"/>
        <v>Stopped Prop</v>
      </c>
      <c r="W37" s="1">
        <f t="shared" ca="1" si="6"/>
        <v>0</v>
      </c>
      <c r="X37" s="50" t="str">
        <f t="shared" ca="1" si="7"/>
        <v>Stopped Prop</v>
      </c>
      <c r="Y37" s="35"/>
      <c r="Z37" s="36"/>
      <c r="AA37" s="36"/>
      <c r="AB37" s="36"/>
      <c r="AC37" s="38"/>
      <c r="AD37" s="41"/>
      <c r="AE37" s="40"/>
      <c r="AF37" s="38"/>
      <c r="AG37" s="40"/>
      <c r="AH37" s="40"/>
      <c r="AI37" s="36"/>
      <c r="AJ37" s="36"/>
      <c r="AK37" s="36"/>
      <c r="AL37" s="40"/>
      <c r="AM37" s="40"/>
      <c r="AN37" s="38"/>
      <c r="AO37" s="35"/>
      <c r="AP37" s="35"/>
      <c r="AQ37" s="35"/>
      <c r="AR37" s="35"/>
      <c r="AS37" s="35"/>
      <c r="AT37" s="35"/>
      <c r="AU37" s="35"/>
      <c r="AV37" s="35"/>
      <c r="AW37" s="35"/>
      <c r="AX37" s="35"/>
    </row>
    <row r="38" spans="2:50">
      <c r="B38" s="1">
        <f>Descent!F38</f>
        <v>0.65969672852566186</v>
      </c>
      <c r="D38" s="1">
        <f>Propeller!$B$8</f>
        <v>0.30479999999999996</v>
      </c>
      <c r="E38" s="19">
        <f ca="1">Descent!X38</f>
        <v>31.508937554230929</v>
      </c>
      <c r="F38" s="49">
        <f t="shared" ca="1" si="3"/>
        <v>0</v>
      </c>
      <c r="G38" s="19">
        <f ca="1">MAX(0.01,K38*Motor!$B$7)</f>
        <v>0.01</v>
      </c>
      <c r="H38" s="10">
        <f ca="1">IF(E38/(G38/60*D38)*Propulsão!J38&gt;Propeller!$B$12,Propeller!$B$12,E38/(G38/60*D38)*Propulsão!J38)</f>
        <v>0.56000000000000005</v>
      </c>
      <c r="I38" s="13">
        <f ca="1">F38*Energy!$B$6</f>
        <v>0</v>
      </c>
      <c r="J38" s="51">
        <f ca="1">IF(ISERROR(U38),Motor!$B$10,U38)</f>
        <v>0</v>
      </c>
      <c r="K38" s="20">
        <f ca="1">MAX(I38-Motor!$B$9*J38,0)</f>
        <v>0</v>
      </c>
      <c r="L38" s="14">
        <f ca="1">MAX(0,J38-Motor!$B$8)</f>
        <v>0</v>
      </c>
      <c r="M38" s="14">
        <f t="shared" ca="1" si="0"/>
        <v>0</v>
      </c>
      <c r="N38" s="20">
        <f t="shared" ca="1" si="1"/>
        <v>0</v>
      </c>
      <c r="O38" s="1">
        <f t="shared" ca="1" si="4"/>
        <v>0</v>
      </c>
      <c r="P38" s="10">
        <f t="shared" ca="1" si="8"/>
        <v>0</v>
      </c>
      <c r="Q38" s="10">
        <f ca="1">Propeller!$B$15+Propeller!$B$16*H38+Propeller!$B$17*H38^2+Propeller!$B$18*H38^3+Propeller!$B$19*H38^4+Propeller!$B$20*H38^5+Propeller!$B$21*H38^6</f>
        <v>3.8330340285823955E-3</v>
      </c>
      <c r="R38" s="10">
        <f ca="1">(Propeller!$B$23+Propeller!$B$24*H38+Propeller!$B$25*H38^2+Propeller!$B$26*H38^3+Propeller!$B$27*H38^4+Propeller!$B$28*H38^5+Propeller!$B$29*H38^6)*Propulsão!M38</f>
        <v>6.6008184161427648E-3</v>
      </c>
      <c r="S38" s="19">
        <f t="shared" ca="1" si="2"/>
        <v>0</v>
      </c>
      <c r="T38" s="19">
        <f ca="1">Descent!S38</f>
        <v>0</v>
      </c>
      <c r="U38" s="14">
        <f ca="1">IF(OR(G38=0,T38=0),0,MIN(Motor!$B$10,MAX(Motor!$B$8*0,J38+0.05*(Q38/MAX(P38,0.001)-1)*MAX(1,J38))))</f>
        <v>0</v>
      </c>
      <c r="V38" s="50" t="str">
        <f t="shared" ca="1" si="5"/>
        <v>Stopped Prop</v>
      </c>
      <c r="W38" s="1">
        <f t="shared" ca="1" si="6"/>
        <v>0</v>
      </c>
      <c r="X38" s="50" t="str">
        <f t="shared" ca="1" si="7"/>
        <v>Stopped Prop</v>
      </c>
      <c r="Y38" s="35"/>
      <c r="Z38" s="36"/>
      <c r="AA38" s="36"/>
      <c r="AB38" s="36"/>
      <c r="AC38" s="38"/>
      <c r="AD38" s="41"/>
      <c r="AE38" s="40"/>
      <c r="AF38" s="38"/>
      <c r="AG38" s="40"/>
      <c r="AH38" s="40"/>
      <c r="AI38" s="36"/>
      <c r="AJ38" s="36"/>
      <c r="AK38" s="36"/>
      <c r="AL38" s="40"/>
      <c r="AM38" s="40"/>
      <c r="AN38" s="38"/>
      <c r="AO38" s="35"/>
      <c r="AP38" s="35"/>
      <c r="AQ38" s="35"/>
      <c r="AR38" s="35"/>
      <c r="AS38" s="35"/>
      <c r="AT38" s="35"/>
      <c r="AU38" s="35"/>
      <c r="AV38" s="35"/>
      <c r="AW38" s="35"/>
      <c r="AX38" s="35"/>
    </row>
    <row r="39" spans="2:50">
      <c r="B39" s="1">
        <f>Descent!F39</f>
        <v>0.65969672852566186</v>
      </c>
      <c r="D39" s="1">
        <f>Propeller!$B$8</f>
        <v>0.30479999999999996</v>
      </c>
      <c r="E39" s="19">
        <f ca="1">Descent!X39</f>
        <v>31.096360783221016</v>
      </c>
      <c r="F39" s="49">
        <f t="shared" ca="1" si="3"/>
        <v>0</v>
      </c>
      <c r="G39" s="19">
        <f ca="1">MAX(0.01,K39*Motor!$B$7)</f>
        <v>0.01</v>
      </c>
      <c r="H39" s="10">
        <f ca="1">IF(E39/(G39/60*D39)*Propulsão!J39&gt;Propeller!$B$12,Propeller!$B$12,E39/(G39/60*D39)*Propulsão!J39)</f>
        <v>0.56000000000000005</v>
      </c>
      <c r="I39" s="13">
        <f ca="1">F39*Energy!$B$6</f>
        <v>0</v>
      </c>
      <c r="J39" s="51">
        <f ca="1">IF(ISERROR(U39),Motor!$B$10,U39)</f>
        <v>0</v>
      </c>
      <c r="K39" s="20">
        <f ca="1">MAX(I39-Motor!$B$9*J39,0)</f>
        <v>0</v>
      </c>
      <c r="L39" s="14">
        <f ca="1">MAX(0,J39-Motor!$B$8)</f>
        <v>0</v>
      </c>
      <c r="M39" s="14">
        <f t="shared" ca="1" si="0"/>
        <v>0</v>
      </c>
      <c r="N39" s="20">
        <f t="shared" ca="1" si="1"/>
        <v>0</v>
      </c>
      <c r="O39" s="1">
        <f t="shared" ca="1" si="4"/>
        <v>0</v>
      </c>
      <c r="P39" s="10">
        <f t="shared" ca="1" si="8"/>
        <v>0</v>
      </c>
      <c r="Q39" s="10">
        <f ca="1">Propeller!$B$15+Propeller!$B$16*H39+Propeller!$B$17*H39^2+Propeller!$B$18*H39^3+Propeller!$B$19*H39^4+Propeller!$B$20*H39^5+Propeller!$B$21*H39^6</f>
        <v>3.8330340285823955E-3</v>
      </c>
      <c r="R39" s="10">
        <f ca="1">(Propeller!$B$23+Propeller!$B$24*H39+Propeller!$B$25*H39^2+Propeller!$B$26*H39^3+Propeller!$B$27*H39^4+Propeller!$B$28*H39^5+Propeller!$B$29*H39^6)*Propulsão!M39</f>
        <v>6.6001904628528322E-3</v>
      </c>
      <c r="S39" s="19">
        <f t="shared" ca="1" si="2"/>
        <v>0</v>
      </c>
      <c r="T39" s="19">
        <f ca="1">Descent!S39</f>
        <v>0</v>
      </c>
      <c r="U39" s="14">
        <f ca="1">IF(OR(G39=0,T39=0),0,MIN(Motor!$B$10,MAX(Motor!$B$8*0,J39+0.05*(Q39/MAX(P39,0.001)-1)*MAX(1,J39))))</f>
        <v>0</v>
      </c>
      <c r="V39" s="50" t="str">
        <f t="shared" ca="1" si="5"/>
        <v>Stopped Prop</v>
      </c>
      <c r="W39" s="1">
        <f t="shared" ca="1" si="6"/>
        <v>0</v>
      </c>
      <c r="X39" s="50" t="str">
        <f t="shared" ca="1" si="7"/>
        <v>Stopped Prop</v>
      </c>
      <c r="Y39" s="35"/>
      <c r="Z39" s="36"/>
      <c r="AA39" s="36"/>
      <c r="AB39" s="36"/>
      <c r="AC39" s="38"/>
      <c r="AD39" s="41"/>
      <c r="AE39" s="40"/>
      <c r="AF39" s="38"/>
      <c r="AG39" s="40"/>
      <c r="AH39" s="40"/>
      <c r="AI39" s="36"/>
      <c r="AJ39" s="36"/>
      <c r="AK39" s="36"/>
      <c r="AL39" s="40"/>
      <c r="AM39" s="40"/>
      <c r="AN39" s="38"/>
      <c r="AO39" s="35"/>
      <c r="AP39" s="35"/>
      <c r="AQ39" s="35"/>
      <c r="AR39" s="35"/>
      <c r="AS39" s="35"/>
      <c r="AT39" s="35"/>
      <c r="AU39" s="35"/>
      <c r="AV39" s="35"/>
      <c r="AW39" s="35"/>
      <c r="AX39" s="35"/>
    </row>
    <row r="40" spans="2:50">
      <c r="B40" s="1">
        <f>Descent!F40</f>
        <v>0.65969672852566186</v>
      </c>
      <c r="D40" s="1">
        <f>Propeller!$B$8</f>
        <v>0.30479999999999996</v>
      </c>
      <c r="E40" s="19">
        <f ca="1">Descent!X40</f>
        <v>27.939925689210312</v>
      </c>
      <c r="F40" s="49">
        <f t="shared" ca="1" si="3"/>
        <v>0</v>
      </c>
      <c r="G40" s="19">
        <f ca="1">MAX(0.01,K40*Motor!$B$7)</f>
        <v>0.01</v>
      </c>
      <c r="H40" s="10">
        <f ca="1">IF(E40/(G40/60*D40)*Propulsão!J40&gt;Propeller!$B$12,Propeller!$B$12,E40/(G40/60*D40)*Propulsão!J40)</f>
        <v>0.56000000000000005</v>
      </c>
      <c r="I40" s="13">
        <f ca="1">F40*Energy!$B$6</f>
        <v>0</v>
      </c>
      <c r="J40" s="51">
        <f ca="1">IF(ISERROR(U40),Motor!$B$10,U40)</f>
        <v>0</v>
      </c>
      <c r="K40" s="20">
        <f ca="1">MAX(I40-Motor!$B$9*J40,0)</f>
        <v>0</v>
      </c>
      <c r="L40" s="14">
        <f ca="1">MAX(0,J40-Motor!$B$8)</f>
        <v>0</v>
      </c>
      <c r="M40" s="14">
        <f t="shared" ca="1" si="0"/>
        <v>0</v>
      </c>
      <c r="N40" s="20">
        <f t="shared" ca="1" si="1"/>
        <v>0</v>
      </c>
      <c r="O40" s="1">
        <f t="shared" ca="1" si="4"/>
        <v>0</v>
      </c>
      <c r="P40" s="10">
        <f t="shared" ca="1" si="8"/>
        <v>0</v>
      </c>
      <c r="Q40" s="10">
        <f ca="1">Propeller!$B$15+Propeller!$B$16*H40+Propeller!$B$17*H40^2+Propeller!$B$18*H40^3+Propeller!$B$19*H40^4+Propeller!$B$20*H40^5+Propeller!$B$21*H40^6</f>
        <v>3.8330340285823955E-3</v>
      </c>
      <c r="R40" s="10">
        <f ca="1">(Propeller!$B$23+Propeller!$B$24*H40+Propeller!$B$25*H40^2+Propeller!$B$26*H40^3+Propeller!$B$27*H40^4+Propeller!$B$28*H40^5+Propeller!$B$29*H40^6)*Propulsão!M40</f>
        <v>6.595018891841207E-3</v>
      </c>
      <c r="S40" s="19">
        <f t="shared" ca="1" si="2"/>
        <v>0</v>
      </c>
      <c r="T40" s="19">
        <f ca="1">Descent!S40</f>
        <v>0</v>
      </c>
      <c r="U40" s="14">
        <f ca="1">IF(OR(G40=0,T40=0),0,MIN(Motor!$B$10,MAX(Motor!$B$8*0,J40+0.05*(Q40/MAX(P40,0.001)-1)*MAX(1,J40))))</f>
        <v>0</v>
      </c>
      <c r="V40" s="50" t="str">
        <f t="shared" ca="1" si="5"/>
        <v>Stopped Prop</v>
      </c>
      <c r="W40" s="1">
        <f t="shared" ca="1" si="6"/>
        <v>0</v>
      </c>
      <c r="X40" s="50" t="str">
        <f t="shared" ca="1" si="7"/>
        <v>Stopped Prop</v>
      </c>
      <c r="Y40" s="35"/>
      <c r="Z40" s="36"/>
      <c r="AA40" s="36"/>
      <c r="AB40" s="36"/>
      <c r="AC40" s="38"/>
      <c r="AD40" s="41"/>
      <c r="AE40" s="40"/>
      <c r="AF40" s="38"/>
      <c r="AG40" s="40"/>
      <c r="AH40" s="40"/>
      <c r="AI40" s="36"/>
      <c r="AJ40" s="36"/>
      <c r="AK40" s="36"/>
      <c r="AL40" s="40"/>
      <c r="AM40" s="40"/>
      <c r="AN40" s="38"/>
      <c r="AO40" s="35"/>
      <c r="AP40" s="35"/>
      <c r="AQ40" s="35"/>
      <c r="AR40" s="35"/>
      <c r="AS40" s="35"/>
      <c r="AT40" s="35"/>
      <c r="AU40" s="35"/>
      <c r="AV40" s="35"/>
      <c r="AW40" s="35"/>
      <c r="AX40" s="35"/>
    </row>
    <row r="41" spans="2:50">
      <c r="B41" s="1"/>
      <c r="D41" s="16"/>
      <c r="E41" s="19"/>
      <c r="F41" s="16"/>
      <c r="G41" s="19"/>
      <c r="H41" s="42"/>
      <c r="I41" s="40"/>
      <c r="J41" s="20"/>
      <c r="K41" s="19"/>
      <c r="L41" s="19"/>
      <c r="M41" s="20"/>
      <c r="N41" s="20"/>
      <c r="O41" s="42"/>
      <c r="P41" s="42"/>
      <c r="Q41" s="42"/>
      <c r="R41" s="19"/>
      <c r="S41" s="19"/>
      <c r="T41" s="19"/>
      <c r="U41" s="53"/>
      <c r="V41" s="16"/>
      <c r="W41" s="53"/>
      <c r="Y41" s="35"/>
      <c r="Z41" s="36"/>
      <c r="AA41" s="36"/>
      <c r="AB41" s="36"/>
      <c r="AC41" s="38"/>
      <c r="AD41" s="41"/>
      <c r="AE41" s="40"/>
      <c r="AF41" s="38"/>
      <c r="AG41" s="40"/>
      <c r="AH41" s="40"/>
      <c r="AI41" s="36"/>
      <c r="AJ41" s="36"/>
      <c r="AK41" s="36"/>
      <c r="AL41" s="40"/>
      <c r="AM41" s="40"/>
      <c r="AN41" s="38"/>
      <c r="AO41" s="35"/>
      <c r="AP41" s="35"/>
      <c r="AQ41" s="35"/>
      <c r="AR41" s="35"/>
      <c r="AS41" s="35"/>
      <c r="AT41" s="35"/>
      <c r="AU41" s="35"/>
      <c r="AV41" s="35"/>
      <c r="AW41" s="35"/>
      <c r="AX41" s="35"/>
    </row>
    <row r="42" spans="2:50">
      <c r="B42" s="1"/>
      <c r="D42" s="16"/>
      <c r="E42" s="19"/>
      <c r="F42" s="16"/>
      <c r="G42" s="19"/>
      <c r="H42" s="42"/>
      <c r="I42" s="40"/>
      <c r="J42" s="20"/>
      <c r="K42" s="19"/>
      <c r="L42" s="19"/>
      <c r="M42" s="20"/>
      <c r="N42" s="20"/>
      <c r="O42" s="42"/>
      <c r="P42" s="42"/>
      <c r="Q42" s="42"/>
      <c r="R42" s="19"/>
      <c r="S42" s="19"/>
      <c r="T42" s="19"/>
      <c r="U42" s="53"/>
      <c r="V42" s="16"/>
      <c r="W42" s="53"/>
      <c r="Y42" s="35"/>
      <c r="Z42" s="36"/>
      <c r="AA42" s="36"/>
      <c r="AB42" s="36"/>
      <c r="AC42" s="38"/>
      <c r="AD42" s="41"/>
      <c r="AE42" s="40"/>
      <c r="AF42" s="38"/>
      <c r="AG42" s="40"/>
      <c r="AH42" s="40"/>
      <c r="AI42" s="36"/>
      <c r="AJ42" s="36"/>
      <c r="AK42" s="36"/>
      <c r="AL42" s="40"/>
      <c r="AM42" s="40"/>
      <c r="AN42" s="38"/>
      <c r="AO42" s="35"/>
      <c r="AP42" s="35"/>
      <c r="AQ42" s="35"/>
      <c r="AR42" s="35"/>
      <c r="AS42" s="35"/>
      <c r="AT42" s="35"/>
      <c r="AU42" s="35"/>
      <c r="AV42" s="35"/>
      <c r="AW42" s="35"/>
      <c r="AX42" s="35"/>
    </row>
    <row r="43" spans="2:50">
      <c r="B43" s="1"/>
      <c r="Y43" s="35"/>
      <c r="Z43" s="36"/>
      <c r="AA43" s="36"/>
      <c r="AB43" s="36"/>
      <c r="AC43" s="38"/>
      <c r="AD43" s="41"/>
      <c r="AE43" s="40"/>
      <c r="AF43" s="38"/>
      <c r="AG43" s="40"/>
      <c r="AH43" s="40"/>
      <c r="AI43" s="36"/>
      <c r="AJ43" s="36"/>
      <c r="AK43" s="36"/>
      <c r="AL43" s="40"/>
      <c r="AM43" s="40"/>
      <c r="AN43" s="38"/>
      <c r="AO43" s="35"/>
      <c r="AP43" s="35"/>
      <c r="AQ43" s="35"/>
      <c r="AR43" s="35"/>
      <c r="AS43" s="35"/>
      <c r="AT43" s="35"/>
      <c r="AU43" s="35"/>
      <c r="AV43" s="35"/>
      <c r="AW43" s="35"/>
      <c r="AX43" s="35"/>
    </row>
    <row r="44" spans="2:50">
      <c r="B44" s="1"/>
      <c r="Y44" s="35"/>
      <c r="Z44" s="36"/>
      <c r="AA44" s="36"/>
      <c r="AB44" s="36"/>
      <c r="AC44" s="38"/>
      <c r="AD44" s="41"/>
      <c r="AE44" s="40"/>
      <c r="AF44" s="38"/>
      <c r="AG44" s="40"/>
      <c r="AH44" s="40"/>
      <c r="AI44" s="36"/>
      <c r="AJ44" s="36"/>
      <c r="AK44" s="36"/>
      <c r="AL44" s="40"/>
      <c r="AM44" s="40"/>
      <c r="AN44" s="38"/>
      <c r="AO44" s="35"/>
      <c r="AP44" s="35"/>
      <c r="AQ44" s="35"/>
      <c r="AR44" s="35"/>
      <c r="AS44" s="35"/>
      <c r="AT44" s="35"/>
      <c r="AU44" s="35"/>
      <c r="AV44" s="35"/>
      <c r="AW44" s="35"/>
      <c r="AX44" s="35"/>
    </row>
    <row r="45" spans="2:50">
      <c r="B45" s="1"/>
      <c r="Y45" s="35"/>
      <c r="Z45" s="36"/>
      <c r="AA45" s="36"/>
      <c r="AB45" s="36"/>
      <c r="AC45" s="38"/>
      <c r="AD45" s="41"/>
      <c r="AE45" s="40"/>
      <c r="AF45" s="38"/>
      <c r="AG45" s="40"/>
      <c r="AH45" s="40"/>
      <c r="AI45" s="36"/>
      <c r="AJ45" s="36"/>
      <c r="AK45" s="36"/>
      <c r="AL45" s="40"/>
      <c r="AM45" s="40"/>
      <c r="AN45" s="38"/>
      <c r="AO45" s="35"/>
      <c r="AP45" s="35"/>
      <c r="AQ45" s="35"/>
      <c r="AR45" s="35"/>
      <c r="AS45" s="35"/>
      <c r="AT45" s="35"/>
      <c r="AU45" s="35"/>
      <c r="AV45" s="35"/>
      <c r="AW45" s="35"/>
      <c r="AX45" s="35"/>
    </row>
    <row r="46" spans="2:50">
      <c r="B46" s="1"/>
      <c r="Y46" s="35"/>
      <c r="Z46" s="36"/>
      <c r="AA46" s="36"/>
      <c r="AB46" s="36"/>
      <c r="AC46" s="38"/>
      <c r="AD46" s="41"/>
      <c r="AE46" s="40"/>
      <c r="AF46" s="38"/>
      <c r="AG46" s="40"/>
      <c r="AH46" s="40"/>
      <c r="AI46" s="36"/>
      <c r="AJ46" s="36"/>
      <c r="AK46" s="36"/>
      <c r="AL46" s="40"/>
      <c r="AM46" s="40"/>
      <c r="AN46" s="38"/>
      <c r="AO46" s="35"/>
      <c r="AP46" s="35"/>
      <c r="AQ46" s="35"/>
      <c r="AR46" s="35"/>
      <c r="AS46" s="35"/>
      <c r="AT46" s="35"/>
      <c r="AU46" s="35"/>
      <c r="AV46" s="35"/>
      <c r="AW46" s="35"/>
      <c r="AX46" s="35"/>
    </row>
    <row r="47" spans="2:50">
      <c r="B47" s="1"/>
      <c r="Y47" s="35"/>
      <c r="Z47" s="36"/>
      <c r="AA47" s="36"/>
      <c r="AB47" s="36"/>
      <c r="AC47" s="38"/>
      <c r="AD47" s="41"/>
      <c r="AE47" s="40"/>
      <c r="AF47" s="38"/>
      <c r="AG47" s="40"/>
      <c r="AH47" s="40"/>
      <c r="AI47" s="36"/>
      <c r="AJ47" s="36"/>
      <c r="AK47" s="36"/>
      <c r="AL47" s="40"/>
      <c r="AM47" s="40"/>
      <c r="AN47" s="38"/>
      <c r="AO47" s="35"/>
      <c r="AP47" s="35"/>
      <c r="AQ47" s="35"/>
      <c r="AR47" s="35"/>
      <c r="AS47" s="35"/>
      <c r="AT47" s="35"/>
      <c r="AU47" s="35"/>
      <c r="AV47" s="35"/>
      <c r="AW47" s="35"/>
      <c r="AX47" s="35"/>
    </row>
    <row r="48" spans="2:50">
      <c r="Y48" s="35"/>
      <c r="Z48" s="36"/>
      <c r="AA48" s="36"/>
      <c r="AB48" s="36"/>
      <c r="AC48" s="38"/>
      <c r="AD48" s="41"/>
      <c r="AE48" s="40"/>
      <c r="AF48" s="38"/>
      <c r="AG48" s="40"/>
      <c r="AH48" s="40"/>
      <c r="AI48" s="36"/>
      <c r="AJ48" s="36"/>
      <c r="AK48" s="36"/>
      <c r="AL48" s="40"/>
      <c r="AM48" s="40"/>
      <c r="AN48" s="38"/>
      <c r="AO48" s="35"/>
      <c r="AP48" s="35"/>
      <c r="AQ48" s="35"/>
      <c r="AR48" s="35"/>
      <c r="AS48" s="35"/>
      <c r="AT48" s="35"/>
      <c r="AU48" s="35"/>
      <c r="AV48" s="35"/>
      <c r="AW48" s="35"/>
      <c r="AX48" s="35"/>
    </row>
    <row r="49" spans="25:50">
      <c r="Y49" s="35"/>
      <c r="Z49" s="36"/>
      <c r="AA49" s="36"/>
      <c r="AB49" s="36"/>
      <c r="AC49" s="38"/>
      <c r="AD49" s="41"/>
      <c r="AE49" s="40"/>
      <c r="AF49" s="38"/>
      <c r="AG49" s="40"/>
      <c r="AH49" s="40"/>
      <c r="AI49" s="36"/>
      <c r="AJ49" s="36"/>
      <c r="AK49" s="36"/>
      <c r="AL49" s="40"/>
      <c r="AM49" s="40"/>
      <c r="AN49" s="38"/>
      <c r="AO49" s="35"/>
      <c r="AP49" s="35"/>
      <c r="AQ49" s="35"/>
      <c r="AR49" s="35"/>
      <c r="AS49" s="35"/>
      <c r="AT49" s="35"/>
      <c r="AU49" s="35"/>
      <c r="AV49" s="35"/>
      <c r="AW49" s="35"/>
      <c r="AX49" s="35"/>
    </row>
    <row r="50" spans="25:50">
      <c r="Y50" s="35"/>
      <c r="Z50" s="36"/>
      <c r="AA50" s="36"/>
      <c r="AB50" s="36"/>
      <c r="AC50" s="38"/>
      <c r="AD50" s="41"/>
      <c r="AE50" s="40"/>
      <c r="AF50" s="38"/>
      <c r="AG50" s="40"/>
      <c r="AH50" s="40"/>
      <c r="AI50" s="36"/>
      <c r="AJ50" s="36"/>
      <c r="AK50" s="36"/>
      <c r="AL50" s="40"/>
      <c r="AM50" s="40"/>
      <c r="AN50" s="38"/>
      <c r="AO50" s="35"/>
      <c r="AP50" s="35"/>
      <c r="AQ50" s="35"/>
      <c r="AR50" s="35"/>
      <c r="AS50" s="35"/>
      <c r="AT50" s="35"/>
      <c r="AU50" s="35"/>
      <c r="AV50" s="35"/>
      <c r="AW50" s="35"/>
      <c r="AX50" s="35"/>
    </row>
    <row r="51" spans="25:50">
      <c r="Y51" s="35"/>
      <c r="Z51" s="36"/>
      <c r="AA51" s="36"/>
      <c r="AB51" s="36"/>
      <c r="AC51" s="38"/>
      <c r="AD51" s="41"/>
      <c r="AE51" s="40"/>
      <c r="AF51" s="38"/>
      <c r="AG51" s="40"/>
      <c r="AH51" s="40"/>
      <c r="AI51" s="36"/>
      <c r="AJ51" s="36"/>
      <c r="AK51" s="36"/>
      <c r="AL51" s="40"/>
      <c r="AM51" s="40"/>
      <c r="AN51" s="38"/>
      <c r="AO51" s="35"/>
      <c r="AP51" s="35"/>
      <c r="AQ51" s="35"/>
      <c r="AR51" s="35"/>
      <c r="AS51" s="35"/>
      <c r="AT51" s="35"/>
      <c r="AU51" s="35"/>
      <c r="AV51" s="35"/>
      <c r="AW51" s="35"/>
      <c r="AX51" s="35"/>
    </row>
    <row r="52" spans="25:50">
      <c r="Y52" s="35"/>
      <c r="Z52" s="36"/>
      <c r="AA52" s="36"/>
      <c r="AB52" s="36"/>
      <c r="AC52" s="38"/>
      <c r="AD52" s="41"/>
      <c r="AE52" s="40"/>
      <c r="AF52" s="38"/>
      <c r="AG52" s="40"/>
      <c r="AH52" s="40"/>
      <c r="AI52" s="36"/>
      <c r="AJ52" s="36"/>
      <c r="AK52" s="36"/>
      <c r="AL52" s="40"/>
      <c r="AM52" s="40"/>
      <c r="AN52" s="38"/>
      <c r="AO52" s="35"/>
      <c r="AP52" s="35"/>
      <c r="AQ52" s="35"/>
      <c r="AR52" s="35"/>
      <c r="AS52" s="35"/>
      <c r="AT52" s="35"/>
      <c r="AU52" s="35"/>
      <c r="AV52" s="35"/>
      <c r="AW52" s="35"/>
      <c r="AX52" s="35"/>
    </row>
    <row r="53" spans="25:50">
      <c r="Y53" s="35"/>
      <c r="Z53" s="36"/>
      <c r="AA53" s="36"/>
      <c r="AB53" s="36"/>
      <c r="AC53" s="38"/>
      <c r="AD53" s="41"/>
      <c r="AE53" s="40"/>
      <c r="AF53" s="38"/>
      <c r="AG53" s="40"/>
      <c r="AH53" s="40"/>
      <c r="AI53" s="36"/>
      <c r="AJ53" s="36"/>
      <c r="AK53" s="36"/>
      <c r="AL53" s="40"/>
      <c r="AM53" s="40"/>
      <c r="AN53" s="38"/>
      <c r="AO53" s="35"/>
      <c r="AP53" s="35"/>
      <c r="AQ53" s="35"/>
      <c r="AR53" s="35"/>
      <c r="AS53" s="35"/>
      <c r="AT53" s="35"/>
      <c r="AU53" s="35"/>
      <c r="AV53" s="35"/>
      <c r="AW53" s="35"/>
      <c r="AX53" s="35"/>
    </row>
    <row r="54" spans="25:50">
      <c r="Y54" s="35"/>
      <c r="Z54" s="36"/>
      <c r="AA54" s="36"/>
      <c r="AB54" s="36"/>
      <c r="AC54" s="38"/>
      <c r="AD54" s="41"/>
      <c r="AE54" s="40"/>
      <c r="AF54" s="38"/>
      <c r="AG54" s="40"/>
      <c r="AH54" s="40"/>
      <c r="AI54" s="36"/>
      <c r="AJ54" s="36"/>
      <c r="AK54" s="36"/>
      <c r="AL54" s="40"/>
      <c r="AM54" s="40"/>
      <c r="AN54" s="38"/>
      <c r="AO54" s="35"/>
      <c r="AP54" s="35"/>
      <c r="AQ54" s="35"/>
      <c r="AR54" s="35"/>
      <c r="AS54" s="35"/>
      <c r="AT54" s="35"/>
      <c r="AU54" s="35"/>
      <c r="AV54" s="35"/>
      <c r="AW54" s="35"/>
      <c r="AX54" s="35"/>
    </row>
    <row r="55" spans="25:50">
      <c r="Y55" s="35"/>
      <c r="Z55" s="36"/>
      <c r="AA55" s="36"/>
      <c r="AB55" s="36"/>
      <c r="AC55" s="38"/>
      <c r="AD55" s="41"/>
      <c r="AE55" s="40"/>
      <c r="AF55" s="38"/>
      <c r="AG55" s="40"/>
      <c r="AH55" s="40"/>
      <c r="AI55" s="36"/>
      <c r="AJ55" s="36"/>
      <c r="AK55" s="36"/>
      <c r="AL55" s="40"/>
      <c r="AM55" s="40"/>
      <c r="AN55" s="38"/>
      <c r="AO55" s="35"/>
      <c r="AP55" s="35"/>
      <c r="AQ55" s="35"/>
      <c r="AR55" s="35"/>
      <c r="AS55" s="35"/>
      <c r="AT55" s="35"/>
      <c r="AU55" s="35"/>
      <c r="AV55" s="35"/>
      <c r="AW55" s="35"/>
      <c r="AX55" s="35"/>
    </row>
    <row r="56" spans="25:50"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</row>
    <row r="57" spans="25:50"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</row>
    <row r="58" spans="25:50"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</row>
    <row r="59" spans="25:50"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</row>
    <row r="60" spans="25:50"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</row>
    <row r="61" spans="25:50"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</row>
    <row r="62" spans="25:50"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</row>
    <row r="63" spans="25:50"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</row>
    <row r="64" spans="25:50"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</row>
    <row r="65" spans="25:50"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</row>
    <row r="66" spans="25:50"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</row>
    <row r="67" spans="25:50"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</row>
    <row r="68" spans="25:50"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</row>
    <row r="69" spans="25:50"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</row>
    <row r="70" spans="25:50"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</row>
    <row r="71" spans="25:50"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</row>
    <row r="72" spans="25:50"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</row>
    <row r="73" spans="25:50"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</row>
    <row r="74" spans="25:50"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</row>
    <row r="75" spans="25:50"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</row>
    <row r="76" spans="25:50"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</row>
    <row r="77" spans="25:50"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</row>
    <row r="78" spans="25:50"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</row>
    <row r="79" spans="25:50"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</row>
    <row r="80" spans="25:50"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</row>
    <row r="81" spans="25:50"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</row>
    <row r="82" spans="25:50"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</row>
    <row r="83" spans="25:50"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</row>
    <row r="84" spans="25:50"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</row>
    <row r="85" spans="25:50"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</row>
    <row r="86" spans="25:50"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</row>
    <row r="87" spans="25:50"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</row>
    <row r="88" spans="25:50"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</row>
    <row r="89" spans="25:50"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</row>
    <row r="90" spans="25:50"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S54"/>
  <sheetViews>
    <sheetView topLeftCell="C1" zoomScale="90" zoomScaleNormal="100" workbookViewId="0">
      <selection activeCell="D5" sqref="D5"/>
    </sheetView>
  </sheetViews>
  <sheetFormatPr defaultRowHeight="12.75"/>
  <sheetData>
    <row r="1" spans="1:19">
      <c r="A1" s="17" t="s">
        <v>27</v>
      </c>
    </row>
    <row r="5" spans="1:19" ht="15.75">
      <c r="A5" t="s">
        <v>9</v>
      </c>
      <c r="B5" s="1">
        <v>9.8066499999999994</v>
      </c>
      <c r="C5" t="s">
        <v>10</v>
      </c>
      <c r="K5" t="s">
        <v>3</v>
      </c>
      <c r="L5" s="5">
        <f>Cruise!B6</f>
        <v>1000</v>
      </c>
      <c r="M5" t="s">
        <v>4</v>
      </c>
      <c r="N5" t="s">
        <v>3</v>
      </c>
      <c r="O5" s="5">
        <f>Takeoff!B5</f>
        <v>0</v>
      </c>
      <c r="P5" t="s">
        <v>4</v>
      </c>
      <c r="Q5" t="s">
        <v>3</v>
      </c>
      <c r="R5" s="6">
        <f>'RC'!B6</f>
        <v>6000</v>
      </c>
      <c r="S5" t="s">
        <v>4</v>
      </c>
    </row>
    <row r="6" spans="1:19" ht="15.75">
      <c r="A6" t="s">
        <v>11</v>
      </c>
      <c r="B6" s="1">
        <v>288.14999999999998</v>
      </c>
      <c r="C6" t="s">
        <v>0</v>
      </c>
      <c r="D6" t="s">
        <v>12</v>
      </c>
      <c r="E6" s="1">
        <f>B6-0.0065*11000</f>
        <v>216.64999999999998</v>
      </c>
      <c r="F6" t="s">
        <v>0</v>
      </c>
      <c r="G6" t="s">
        <v>13</v>
      </c>
      <c r="H6" s="1">
        <f>E6-0*11000</f>
        <v>216.64999999999998</v>
      </c>
      <c r="I6" t="s">
        <v>0</v>
      </c>
      <c r="K6" t="s">
        <v>5</v>
      </c>
      <c r="L6" s="1">
        <f>IF(L5&lt;11000,(B6-0.0065*L5),IF(L5&gt;20000,(H6+(L5-20000)/1000),E6))</f>
        <v>281.64999999999998</v>
      </c>
      <c r="M6" t="s">
        <v>0</v>
      </c>
      <c r="N6" t="s">
        <v>5</v>
      </c>
      <c r="O6" s="1">
        <f>IF(O5&lt;11000,(B6-0.0065*O5),IF(O5&gt;20000,(H6+(O5-20000)/1000),E6))</f>
        <v>288.14999999999998</v>
      </c>
      <c r="P6" t="s">
        <v>0</v>
      </c>
      <c r="Q6" t="s">
        <v>5</v>
      </c>
      <c r="R6" s="1">
        <f>IF(R5&lt;11000,(B6-0.0065*R5),IF(R5&gt;20000,(H6+(R5-20000)/1000),E6))</f>
        <v>249.14999999999998</v>
      </c>
      <c r="S6" t="s">
        <v>0</v>
      </c>
    </row>
    <row r="7" spans="1:19" ht="15.75">
      <c r="A7" t="s">
        <v>14</v>
      </c>
      <c r="B7">
        <v>101.325</v>
      </c>
      <c r="C7" t="s">
        <v>260</v>
      </c>
      <c r="D7" t="s">
        <v>15</v>
      </c>
      <c r="E7" s="1">
        <f>B7*(E6/B6)^(B5/(0.0065*287.053))</f>
        <v>22.632055458751719</v>
      </c>
      <c r="F7" t="s">
        <v>260</v>
      </c>
      <c r="G7" t="s">
        <v>16</v>
      </c>
      <c r="H7" s="1">
        <f>E7*EXP(-0.000157696*(20000-11000))</f>
        <v>5.4745127945910594</v>
      </c>
      <c r="I7" t="s">
        <v>260</v>
      </c>
      <c r="K7" t="s">
        <v>6</v>
      </c>
      <c r="L7" s="1">
        <f>IF(L5&lt;11000,(B7*(L6/B6)^(B5/(0.0065*287.053))),IF(L5&gt;20000,(H7/(1+0.0000046157*(L5-20000))^34.1656),(E7*EXP(-0.000157696*(L5-11000)))))</f>
        <v>89.874567797156956</v>
      </c>
      <c r="M7" t="s">
        <v>260</v>
      </c>
      <c r="N7" t="s">
        <v>6</v>
      </c>
      <c r="O7" s="1">
        <f>IF(O5&lt;11000,(B7*(O6/B6)^(B5/(0.0065*287.053))),IF(O5&gt;20000,(H7/(1+0.0000046157*(O5-20000))^34.1656),(E7*EXP(-0.000157696*(O5-11000)))))</f>
        <v>101.325</v>
      </c>
      <c r="P7" t="s">
        <v>260</v>
      </c>
      <c r="Q7" t="s">
        <v>6</v>
      </c>
      <c r="R7" s="1">
        <f>IF(R5&lt;11000,(B7*(R6/B6)^(B5/(0.0065*287.053))),IF(R5&gt;20000,(H7/(1+0.0000046157*(R5-20000))^34.1656),(E7*EXP(-0.000157696*(R5-11000)))))</f>
        <v>47.181018517107738</v>
      </c>
      <c r="S7" t="s">
        <v>260</v>
      </c>
    </row>
    <row r="8" spans="1:19" ht="15.75">
      <c r="A8" s="2" t="s">
        <v>17</v>
      </c>
      <c r="B8" s="1">
        <v>1.2250000000000001</v>
      </c>
      <c r="C8" t="s">
        <v>18</v>
      </c>
      <c r="D8" s="2" t="s">
        <v>19</v>
      </c>
      <c r="E8" s="1">
        <f>E7*1000/(287.053*E6)</f>
        <v>0.36391773033641056</v>
      </c>
      <c r="F8" t="s">
        <v>18</v>
      </c>
      <c r="G8" s="2" t="s">
        <v>20</v>
      </c>
      <c r="H8" s="1">
        <f>H7*1000/(287.053*H6)</f>
        <v>8.8028781766475175E-2</v>
      </c>
      <c r="I8" t="s">
        <v>18</v>
      </c>
      <c r="K8" s="2" t="s">
        <v>7</v>
      </c>
      <c r="L8" s="1">
        <f>L7*1000/(287.053*L6)</f>
        <v>1.111642057238976</v>
      </c>
      <c r="M8" t="s">
        <v>18</v>
      </c>
      <c r="N8" s="2" t="s">
        <v>7</v>
      </c>
      <c r="O8" s="1">
        <f>O7*1000/(287.053*O6)</f>
        <v>1.2249994633486807</v>
      </c>
      <c r="P8" t="s">
        <v>18</v>
      </c>
      <c r="Q8" s="2" t="s">
        <v>7</v>
      </c>
      <c r="R8" s="1">
        <f>R7*1000/(287.053*R6)</f>
        <v>0.65969672852566186</v>
      </c>
      <c r="S8" t="s">
        <v>18</v>
      </c>
    </row>
    <row r="9" spans="1:19" ht="15.75">
      <c r="A9" s="3" t="s">
        <v>21</v>
      </c>
      <c r="B9" s="1">
        <v>340.29399999999998</v>
      </c>
      <c r="C9" t="s">
        <v>1</v>
      </c>
      <c r="D9" s="3" t="s">
        <v>22</v>
      </c>
      <c r="E9" s="1">
        <f>SQRT(1.4*287.053*E6)</f>
        <v>295.06956032434113</v>
      </c>
      <c r="F9" t="s">
        <v>1</v>
      </c>
      <c r="G9" s="3" t="s">
        <v>23</v>
      </c>
      <c r="H9" s="1">
        <f>SQRT(1.4*287.053*H6)</f>
        <v>295.06956032434113</v>
      </c>
      <c r="I9" t="s">
        <v>1</v>
      </c>
      <c r="K9" t="s">
        <v>8</v>
      </c>
      <c r="L9" s="1">
        <f>SQRT(1.4*287.053*L6)</f>
        <v>336.43404766759261</v>
      </c>
      <c r="M9" t="s">
        <v>1</v>
      </c>
      <c r="N9" t="s">
        <v>8</v>
      </c>
      <c r="O9" s="1">
        <f>SQRT(1.4*287.053*O6)</f>
        <v>340.29406508195228</v>
      </c>
      <c r="P9" t="s">
        <v>1</v>
      </c>
      <c r="Q9" t="s">
        <v>8</v>
      </c>
      <c r="R9" s="1">
        <f>SQRT(1.4*287.053*R6)</f>
        <v>316.42843887678612</v>
      </c>
      <c r="S9" t="s">
        <v>1</v>
      </c>
    </row>
    <row r="10" spans="1:19" ht="14.25">
      <c r="A10" s="2" t="s">
        <v>24</v>
      </c>
      <c r="B10" s="4">
        <v>1.783E-5</v>
      </c>
      <c r="C10" t="s">
        <v>2</v>
      </c>
      <c r="D10" s="2" t="s">
        <v>25</v>
      </c>
      <c r="E10" s="4">
        <f>B10*(E6/B6)^(3/4)</f>
        <v>1.4396482553163893E-5</v>
      </c>
      <c r="F10" t="s">
        <v>2</v>
      </c>
      <c r="G10" s="2" t="s">
        <v>26</v>
      </c>
      <c r="H10" s="4">
        <f>B10*(H6/B6)^(3/4)</f>
        <v>1.4396482553163893E-5</v>
      </c>
      <c r="I10" t="s">
        <v>2</v>
      </c>
      <c r="K10" s="2" t="s">
        <v>4</v>
      </c>
      <c r="L10" s="4">
        <f>B10*(L6/B6)^(3/4)</f>
        <v>1.7527488543496893E-5</v>
      </c>
      <c r="M10" t="s">
        <v>2</v>
      </c>
      <c r="N10" s="2" t="s">
        <v>4</v>
      </c>
      <c r="O10" s="4">
        <f>B10*(O6/B6)^(3/4)</f>
        <v>1.783E-5</v>
      </c>
      <c r="P10" t="s">
        <v>2</v>
      </c>
      <c r="Q10" s="2" t="s">
        <v>4</v>
      </c>
      <c r="R10" s="4">
        <f>B10*(R6/B6)^(3/4)</f>
        <v>1.5987591530356481E-5</v>
      </c>
      <c r="S10" t="s">
        <v>2</v>
      </c>
    </row>
    <row r="13" spans="1:19">
      <c r="K13" t="s">
        <v>3</v>
      </c>
      <c r="L13" s="6">
        <v>0</v>
      </c>
      <c r="M13" t="s">
        <v>4</v>
      </c>
      <c r="N13" t="s">
        <v>3</v>
      </c>
      <c r="O13" s="6">
        <v>0</v>
      </c>
      <c r="P13" t="s">
        <v>4</v>
      </c>
      <c r="Q13" t="s">
        <v>3</v>
      </c>
      <c r="R13" s="6">
        <v>0</v>
      </c>
      <c r="S13" t="s">
        <v>4</v>
      </c>
    </row>
    <row r="14" spans="1:19">
      <c r="K14" t="s">
        <v>5</v>
      </c>
      <c r="L14" s="1">
        <f>IF(L13&lt;11000,(B6-0.0065*L13),IF(L13&gt;20000,(#REF!+(L13-20000)/1000),#REF!))</f>
        <v>288.14999999999998</v>
      </c>
      <c r="M14" t="s">
        <v>0</v>
      </c>
      <c r="N14" t="s">
        <v>5</v>
      </c>
      <c r="O14" s="1">
        <f>IF(O13&lt;11000,(B6-0.0065*O13),IF(O13&gt;20000,(H6+(O13-20000)/1000),E6))</f>
        <v>288.14999999999998</v>
      </c>
      <c r="P14" t="s">
        <v>0</v>
      </c>
      <c r="Q14" t="s">
        <v>5</v>
      </c>
      <c r="R14" s="1">
        <f>IF(R13&lt;11000,(B6-0.0065*R13),IF(R13&gt;20000,(H6+(R13-20000)/1000),E6))</f>
        <v>288.14999999999998</v>
      </c>
      <c r="S14" t="s">
        <v>0</v>
      </c>
    </row>
    <row r="15" spans="1:19">
      <c r="K15" t="s">
        <v>6</v>
      </c>
      <c r="L15" s="1">
        <f>IF(L13&lt;11000,(B7*(L14/B6)^(B5/(0.0065*287.053))),IF(L13&gt;20000,(R6/(1+0.0000046157*(L13-20000))^34.1656),(O6*EXP(-0.000157696*(L13-11000)))))</f>
        <v>101.325</v>
      </c>
      <c r="M15" t="s">
        <v>260</v>
      </c>
      <c r="N15" t="s">
        <v>6</v>
      </c>
      <c r="O15" s="1">
        <f>IF(O13&lt;11000,(B7*(O14/B6)^(B5/(0.0065*287.053))),IF(O13&gt;20000,(H7/(1+0.0000046157*(O13-20000))^34.1656),(E7*EXP(-0.000157696*(O13-11000)))))</f>
        <v>101.325</v>
      </c>
      <c r="P15" t="s">
        <v>260</v>
      </c>
      <c r="Q15" t="s">
        <v>6</v>
      </c>
      <c r="R15" s="1">
        <f>IF(R13&lt;11000,(B7*(R14/B6)^(B5/(0.0065*287.053))),IF(R13&gt;20000,(H7/(1+0.0000046157*(R13-20000))^34.1656),(E7*EXP(-0.000157696*(R13-11000)))))</f>
        <v>101.325</v>
      </c>
      <c r="S15" t="s">
        <v>260</v>
      </c>
    </row>
    <row r="16" spans="1:19" ht="14.25">
      <c r="K16" s="2" t="s">
        <v>7</v>
      </c>
      <c r="L16" s="1">
        <f>L15*1000/(287.053*L14)</f>
        <v>1.2249994633486807</v>
      </c>
      <c r="M16" t="s">
        <v>18</v>
      </c>
      <c r="N16" s="2" t="s">
        <v>7</v>
      </c>
      <c r="O16" s="1">
        <f>O15*1000/(287.053*O14)</f>
        <v>1.2249994633486807</v>
      </c>
      <c r="P16" t="s">
        <v>18</v>
      </c>
      <c r="Q16" s="2" t="s">
        <v>7</v>
      </c>
      <c r="R16" s="1">
        <f>R15*1000/(287.053*R14)</f>
        <v>1.2249994633486807</v>
      </c>
      <c r="S16" t="s">
        <v>18</v>
      </c>
    </row>
    <row r="17" spans="2:19">
      <c r="K17" t="s">
        <v>8</v>
      </c>
      <c r="L17" s="1">
        <f>SQRT(1.4*287.053*L14)</f>
        <v>340.29406508195228</v>
      </c>
      <c r="M17" t="s">
        <v>1</v>
      </c>
      <c r="N17" t="s">
        <v>8</v>
      </c>
      <c r="O17" s="1">
        <f>SQRT(1.4*287.053*O14)</f>
        <v>340.29406508195228</v>
      </c>
      <c r="P17" t="s">
        <v>1</v>
      </c>
      <c r="Q17" t="s">
        <v>8</v>
      </c>
      <c r="R17" s="1">
        <f>SQRT(1.4*287.053*R14)</f>
        <v>340.29406508195228</v>
      </c>
      <c r="S17" t="s">
        <v>1</v>
      </c>
    </row>
    <row r="18" spans="2:19">
      <c r="B18" s="9" t="s">
        <v>28</v>
      </c>
      <c r="C18" s="9" t="s">
        <v>5</v>
      </c>
      <c r="D18" s="9" t="s">
        <v>6</v>
      </c>
      <c r="E18" s="9" t="s">
        <v>29</v>
      </c>
      <c r="F18" s="9" t="s">
        <v>8</v>
      </c>
      <c r="G18" s="9" t="s">
        <v>31</v>
      </c>
      <c r="K18" s="2" t="s">
        <v>4</v>
      </c>
      <c r="L18" s="4">
        <f>B10*(L14/B6)^(3/4)</f>
        <v>1.783E-5</v>
      </c>
      <c r="M18" t="s">
        <v>2</v>
      </c>
      <c r="N18" s="2" t="s">
        <v>4</v>
      </c>
      <c r="O18" s="4">
        <f>B10*(O14/B6)^(3/4)</f>
        <v>1.783E-5</v>
      </c>
      <c r="P18" t="s">
        <v>2</v>
      </c>
      <c r="Q18" s="2" t="s">
        <v>4</v>
      </c>
      <c r="R18" s="4">
        <f>B10*(R14/B6)^(3/4)</f>
        <v>1.783E-5</v>
      </c>
      <c r="S18" t="s">
        <v>2</v>
      </c>
    </row>
    <row r="19" spans="2:19">
      <c r="B19" s="9" t="s">
        <v>4</v>
      </c>
      <c r="C19" s="9" t="s">
        <v>0</v>
      </c>
      <c r="D19" s="9" t="s">
        <v>96</v>
      </c>
      <c r="E19" s="9" t="s">
        <v>30</v>
      </c>
      <c r="F19" s="9" t="s">
        <v>1</v>
      </c>
      <c r="G19" s="9" t="s">
        <v>32</v>
      </c>
    </row>
    <row r="21" spans="2:19">
      <c r="B21" s="6">
        <v>0</v>
      </c>
      <c r="C21" s="1">
        <f>IF(B21&lt;11000,($B$6-0.0065*B21),IF(B21&gt;20000,($H$6+(B21-20000)/1000),$E$6))</f>
        <v>288.14999999999998</v>
      </c>
      <c r="D21" s="1">
        <f>IF(B21&lt;11000,($B$7*(C21/$B$6)^($B$5/(0.0065*287.053))),IF(B21&gt;20000,($H$7/(1+0.0000046157*(B21-20000))^34.1656),(E7*EXP(-0.000157696*(B21-11000)))))</f>
        <v>101.325</v>
      </c>
      <c r="E21" s="1">
        <f>D21*1000/(287.053*C21)</f>
        <v>1.2249994633486807</v>
      </c>
      <c r="F21" s="1">
        <f>SQRT(1.4*287.053*C21)</f>
        <v>340.29406508195228</v>
      </c>
      <c r="G21" s="4">
        <f>$B$10*(C21/$B$6)^(3/4)</f>
        <v>1.783E-5</v>
      </c>
      <c r="K21" t="s">
        <v>3</v>
      </c>
      <c r="L21" s="7">
        <v>0</v>
      </c>
      <c r="M21" t="s">
        <v>4</v>
      </c>
      <c r="N21" t="s">
        <v>3</v>
      </c>
      <c r="O21" s="7">
        <v>0</v>
      </c>
      <c r="P21" t="s">
        <v>4</v>
      </c>
      <c r="Q21" t="s">
        <v>3</v>
      </c>
      <c r="R21" s="7">
        <v>0</v>
      </c>
      <c r="S21" t="s">
        <v>4</v>
      </c>
    </row>
    <row r="22" spans="2:19">
      <c r="B22" s="6">
        <v>0</v>
      </c>
      <c r="C22" s="1">
        <f>IF(B22&lt;11000,($B$6-0.0065*B22),IF(B22&gt;20000,($H$6+(B22-20000)/1000),$E$6))</f>
        <v>288.14999999999998</v>
      </c>
      <c r="D22" s="1">
        <f t="shared" ref="D22:D40" si="0">IF(B22&lt;11000,($B$7*(C22/$B$6)^($B$5/(0.0065*287.053))),IF(B22&gt;20000,($H$7/(1+0.0000046157*(B22-20000))^34.1656),(E8*EXP(-0.000157696*(B22-11000)))))</f>
        <v>101.325</v>
      </c>
      <c r="E22" s="1">
        <f>D22*1000/(287.053*C22)</f>
        <v>1.2249994633486807</v>
      </c>
      <c r="F22" s="1">
        <f>SQRT(1.4*287.053*C22)</f>
        <v>340.29406508195228</v>
      </c>
      <c r="G22" s="4">
        <f>$B$10*(C22/$B$6)^(3/4)</f>
        <v>1.783E-5</v>
      </c>
      <c r="K22" t="s">
        <v>5</v>
      </c>
      <c r="L22" s="1">
        <f>IF(L21&lt;11000,(B6-0.0065*L21),IF(L21&gt;20000,(H6+(L21-20000)/1000),E6))</f>
        <v>288.14999999999998</v>
      </c>
      <c r="M22" t="s">
        <v>0</v>
      </c>
      <c r="N22" t="s">
        <v>5</v>
      </c>
      <c r="O22" s="1">
        <f>IF(O21&lt;11000,(B6-0.0065*O21),IF(O21&gt;20000,(H6+(O21-20000)/1000),E6))</f>
        <v>288.14999999999998</v>
      </c>
      <c r="P22" t="s">
        <v>0</v>
      </c>
      <c r="Q22" t="s">
        <v>5</v>
      </c>
      <c r="R22" s="1">
        <f>IF(R21&lt;11000,(B6-0.0065*R21),IF(R21&gt;20000,(H6+(R21-20000)/1000),E6))</f>
        <v>288.14999999999998</v>
      </c>
      <c r="S22" t="s">
        <v>0</v>
      </c>
    </row>
    <row r="23" spans="2:19">
      <c r="B23" s="6">
        <v>0</v>
      </c>
      <c r="C23" s="1">
        <f t="shared" ref="C23:C40" si="1">IF(B23&lt;11000,($B$6-0.0065*B23),IF(B23&gt;20000,($H$6+(B23-20000)/1000),$E$6))</f>
        <v>288.14999999999998</v>
      </c>
      <c r="D23" s="1">
        <f t="shared" si="0"/>
        <v>101.325</v>
      </c>
      <c r="E23" s="1">
        <f t="shared" ref="E23:E30" si="2">D23*1000/(287.053*C23)</f>
        <v>1.2249994633486807</v>
      </c>
      <c r="F23" s="1">
        <f t="shared" ref="F23:F30" si="3">SQRT(1.4*287.053*C23)</f>
        <v>340.29406508195228</v>
      </c>
      <c r="G23" s="4">
        <f t="shared" ref="G23:G30" si="4">$B$10*(C23/$B$6)^(3/4)</f>
        <v>1.783E-5</v>
      </c>
      <c r="K23" t="s">
        <v>6</v>
      </c>
      <c r="L23" s="1">
        <f>IF(L21&lt;11000,(B7*(L22/B6)^(B5/(0.0065*287.053))),IF(L21&gt;20000,(H7/(1+0.0000046157*(L21-20000))^34.1656),(E7*EXP(-0.000157696*(L21-11000)))))</f>
        <v>101.325</v>
      </c>
      <c r="M23" t="s">
        <v>260</v>
      </c>
      <c r="N23" t="s">
        <v>6</v>
      </c>
      <c r="O23" s="1">
        <f>IF(O21&lt;11000,(B7*(O22/B6)^(B5/(0.0065*287.053))),IF(O21&gt;20000,(H7/(1+0.0000046157*(O21-20000))^34.1656),(E7*EXP(-0.000157696*(O21-11000)))))</f>
        <v>101.325</v>
      </c>
      <c r="P23" t="s">
        <v>260</v>
      </c>
      <c r="Q23" t="s">
        <v>6</v>
      </c>
      <c r="R23" s="1">
        <f>IF(R21&lt;11000,(B7*(R22/B6)^(B5/(0.0065*287.053))),IF(R21&gt;20000,(H7/(1+0.0000046157*(R21-20000))^34.1656),(E7*EXP(-0.000157696*(R21-11000)))))</f>
        <v>101.325</v>
      </c>
      <c r="S23" t="s">
        <v>260</v>
      </c>
    </row>
    <row r="24" spans="2:19" ht="14.25">
      <c r="B24" s="6">
        <v>0</v>
      </c>
      <c r="C24" s="1">
        <f t="shared" si="1"/>
        <v>288.14999999999998</v>
      </c>
      <c r="D24" s="1">
        <f t="shared" si="0"/>
        <v>101.325</v>
      </c>
      <c r="E24" s="1">
        <f t="shared" si="2"/>
        <v>1.2249994633486807</v>
      </c>
      <c r="F24" s="1">
        <f t="shared" si="3"/>
        <v>340.29406508195228</v>
      </c>
      <c r="G24" s="4">
        <f t="shared" si="4"/>
        <v>1.783E-5</v>
      </c>
      <c r="K24" s="2" t="s">
        <v>7</v>
      </c>
      <c r="L24" s="1">
        <f>L23*1000/(287.053*L22)</f>
        <v>1.2249994633486807</v>
      </c>
      <c r="M24" t="s">
        <v>18</v>
      </c>
      <c r="N24" s="2" t="s">
        <v>7</v>
      </c>
      <c r="O24" s="1">
        <f>O23*1000/(287.053*O22)</f>
        <v>1.2249994633486807</v>
      </c>
      <c r="P24" t="s">
        <v>18</v>
      </c>
      <c r="Q24" s="2" t="s">
        <v>7</v>
      </c>
      <c r="R24" s="1">
        <f>R23*1000/(287.053*R22)</f>
        <v>1.2249994633486807</v>
      </c>
      <c r="S24" t="s">
        <v>18</v>
      </c>
    </row>
    <row r="25" spans="2:19">
      <c r="B25" s="6">
        <v>0</v>
      </c>
      <c r="C25" s="1">
        <f t="shared" si="1"/>
        <v>288.14999999999998</v>
      </c>
      <c r="D25" s="1">
        <f t="shared" si="0"/>
        <v>101.325</v>
      </c>
      <c r="E25" s="1">
        <f t="shared" si="2"/>
        <v>1.2249994633486807</v>
      </c>
      <c r="F25" s="1">
        <f t="shared" si="3"/>
        <v>340.29406508195228</v>
      </c>
      <c r="G25" s="4">
        <f t="shared" si="4"/>
        <v>1.783E-5</v>
      </c>
      <c r="K25" t="s">
        <v>8</v>
      </c>
      <c r="L25" s="1">
        <f>SQRT(1.4*287.053*L22)</f>
        <v>340.29406508195228</v>
      </c>
      <c r="M25" t="s">
        <v>1</v>
      </c>
      <c r="N25" t="s">
        <v>8</v>
      </c>
      <c r="O25" s="1">
        <f>SQRT(1.4*287.053*O22)</f>
        <v>340.29406508195228</v>
      </c>
      <c r="P25" t="s">
        <v>1</v>
      </c>
      <c r="Q25" t="s">
        <v>8</v>
      </c>
      <c r="R25" s="1">
        <f>SQRT(1.4*287.053*R22)</f>
        <v>340.29406508195228</v>
      </c>
      <c r="S25" t="s">
        <v>1</v>
      </c>
    </row>
    <row r="26" spans="2:19">
      <c r="B26" s="6">
        <v>0</v>
      </c>
      <c r="C26" s="1">
        <f t="shared" si="1"/>
        <v>288.14999999999998</v>
      </c>
      <c r="D26" s="1">
        <f t="shared" si="0"/>
        <v>101.325</v>
      </c>
      <c r="E26" s="1">
        <f t="shared" si="2"/>
        <v>1.2249994633486807</v>
      </c>
      <c r="F26" s="1">
        <f t="shared" si="3"/>
        <v>340.29406508195228</v>
      </c>
      <c r="G26" s="4">
        <f t="shared" si="4"/>
        <v>1.783E-5</v>
      </c>
      <c r="K26" s="2" t="s">
        <v>4</v>
      </c>
      <c r="L26" s="4">
        <f>B10*(L22/B6)^(3/4)</f>
        <v>1.783E-5</v>
      </c>
      <c r="M26" t="s">
        <v>2</v>
      </c>
      <c r="N26" s="2" t="s">
        <v>4</v>
      </c>
      <c r="O26" s="4">
        <f>B10*(O22/B6)^(3/4)</f>
        <v>1.783E-5</v>
      </c>
      <c r="P26" t="s">
        <v>2</v>
      </c>
      <c r="Q26" s="2" t="s">
        <v>4</v>
      </c>
      <c r="R26" s="4">
        <f>B10*(R22/B6)^(3/4)</f>
        <v>1.783E-5</v>
      </c>
      <c r="S26" t="s">
        <v>2</v>
      </c>
    </row>
    <row r="27" spans="2:19">
      <c r="B27" s="6">
        <v>0</v>
      </c>
      <c r="C27" s="1">
        <f t="shared" si="1"/>
        <v>288.14999999999998</v>
      </c>
      <c r="D27" s="1">
        <f t="shared" si="0"/>
        <v>101.325</v>
      </c>
      <c r="E27" s="1">
        <f t="shared" si="2"/>
        <v>1.2249994633486807</v>
      </c>
      <c r="F27" s="1">
        <f t="shared" si="3"/>
        <v>340.29406508195228</v>
      </c>
      <c r="G27" s="4">
        <f t="shared" si="4"/>
        <v>1.783E-5</v>
      </c>
    </row>
    <row r="28" spans="2:19">
      <c r="B28" s="6">
        <v>0</v>
      </c>
      <c r="C28" s="1">
        <f t="shared" si="1"/>
        <v>288.14999999999998</v>
      </c>
      <c r="D28" s="1">
        <f t="shared" si="0"/>
        <v>101.325</v>
      </c>
      <c r="E28" s="1">
        <f t="shared" si="2"/>
        <v>1.2249994633486807</v>
      </c>
      <c r="F28" s="1">
        <f t="shared" si="3"/>
        <v>340.29406508195228</v>
      </c>
      <c r="G28" s="4">
        <f t="shared" si="4"/>
        <v>1.783E-5</v>
      </c>
    </row>
    <row r="29" spans="2:19">
      <c r="B29" s="6">
        <v>0</v>
      </c>
      <c r="C29" s="1">
        <f t="shared" si="1"/>
        <v>288.14999999999998</v>
      </c>
      <c r="D29" s="1">
        <f t="shared" si="0"/>
        <v>101.325</v>
      </c>
      <c r="E29" s="1">
        <f t="shared" si="2"/>
        <v>1.2249994633486807</v>
      </c>
      <c r="F29" s="1">
        <f t="shared" si="3"/>
        <v>340.29406508195228</v>
      </c>
      <c r="G29" s="4">
        <f t="shared" si="4"/>
        <v>1.783E-5</v>
      </c>
    </row>
    <row r="30" spans="2:19">
      <c r="B30" s="6">
        <v>0</v>
      </c>
      <c r="C30" s="1">
        <f t="shared" si="1"/>
        <v>288.14999999999998</v>
      </c>
      <c r="D30" s="1">
        <f t="shared" si="0"/>
        <v>101.325</v>
      </c>
      <c r="E30" s="1">
        <f t="shared" si="2"/>
        <v>1.2249994633486807</v>
      </c>
      <c r="F30" s="1">
        <f t="shared" si="3"/>
        <v>340.29406508195228</v>
      </c>
      <c r="G30" s="4">
        <f t="shared" si="4"/>
        <v>1.783E-5</v>
      </c>
    </row>
    <row r="31" spans="2:19">
      <c r="B31" s="6">
        <v>0</v>
      </c>
      <c r="C31" s="1">
        <f t="shared" si="1"/>
        <v>288.14999999999998</v>
      </c>
      <c r="D31" s="1">
        <f t="shared" si="0"/>
        <v>101.325</v>
      </c>
      <c r="E31" s="1">
        <f t="shared" ref="E31:E40" si="5">D31*1000/(287.053*C31)</f>
        <v>1.2249994633486807</v>
      </c>
      <c r="F31" s="1">
        <f t="shared" ref="F31:F40" si="6">SQRT(1.4*287.053*C31)</f>
        <v>340.29406508195228</v>
      </c>
      <c r="G31" s="4">
        <f t="shared" ref="G31:G40" si="7">$B$10*(C31/$B$6)^(3/4)</f>
        <v>1.783E-5</v>
      </c>
    </row>
    <row r="32" spans="2:19">
      <c r="B32" s="6">
        <v>0</v>
      </c>
      <c r="C32" s="1">
        <f t="shared" si="1"/>
        <v>288.14999999999998</v>
      </c>
      <c r="D32" s="1">
        <f t="shared" si="0"/>
        <v>101.325</v>
      </c>
      <c r="E32" s="1">
        <f t="shared" si="5"/>
        <v>1.2249994633486807</v>
      </c>
      <c r="F32" s="1">
        <f t="shared" si="6"/>
        <v>340.29406508195228</v>
      </c>
      <c r="G32" s="4">
        <f t="shared" si="7"/>
        <v>1.783E-5</v>
      </c>
    </row>
    <row r="33" spans="1:7">
      <c r="B33" s="6">
        <v>0</v>
      </c>
      <c r="C33" s="1">
        <f t="shared" si="1"/>
        <v>288.14999999999998</v>
      </c>
      <c r="D33" s="1">
        <f t="shared" si="0"/>
        <v>101.325</v>
      </c>
      <c r="E33" s="1">
        <f t="shared" si="5"/>
        <v>1.2249994633486807</v>
      </c>
      <c r="F33" s="1">
        <f t="shared" si="6"/>
        <v>340.29406508195228</v>
      </c>
      <c r="G33" s="4">
        <f t="shared" si="7"/>
        <v>1.783E-5</v>
      </c>
    </row>
    <row r="34" spans="1:7">
      <c r="B34" s="6">
        <v>0</v>
      </c>
      <c r="C34" s="1">
        <f t="shared" si="1"/>
        <v>288.14999999999998</v>
      </c>
      <c r="D34" s="1">
        <f t="shared" si="0"/>
        <v>101.325</v>
      </c>
      <c r="E34" s="1">
        <f t="shared" si="5"/>
        <v>1.2249994633486807</v>
      </c>
      <c r="F34" s="1">
        <f t="shared" si="6"/>
        <v>340.29406508195228</v>
      </c>
      <c r="G34" s="4">
        <f t="shared" si="7"/>
        <v>1.783E-5</v>
      </c>
    </row>
    <row r="35" spans="1:7">
      <c r="B35" s="6">
        <v>0</v>
      </c>
      <c r="C35" s="1">
        <f t="shared" si="1"/>
        <v>288.14999999999998</v>
      </c>
      <c r="D35" s="1">
        <f t="shared" si="0"/>
        <v>101.325</v>
      </c>
      <c r="E35" s="1">
        <f t="shared" si="5"/>
        <v>1.2249994633486807</v>
      </c>
      <c r="F35" s="1">
        <f t="shared" si="6"/>
        <v>340.29406508195228</v>
      </c>
      <c r="G35" s="4">
        <f t="shared" si="7"/>
        <v>1.783E-5</v>
      </c>
    </row>
    <row r="36" spans="1:7">
      <c r="B36" s="6">
        <v>0</v>
      </c>
      <c r="C36" s="1">
        <f t="shared" si="1"/>
        <v>288.14999999999998</v>
      </c>
      <c r="D36" s="1">
        <f t="shared" si="0"/>
        <v>101.325</v>
      </c>
      <c r="E36" s="1">
        <f t="shared" si="5"/>
        <v>1.2249994633486807</v>
      </c>
      <c r="F36" s="1">
        <f t="shared" si="6"/>
        <v>340.29406508195228</v>
      </c>
      <c r="G36" s="4">
        <f t="shared" si="7"/>
        <v>1.783E-5</v>
      </c>
    </row>
    <row r="37" spans="1:7">
      <c r="B37" s="6">
        <v>0</v>
      </c>
      <c r="C37" s="1">
        <f t="shared" si="1"/>
        <v>288.14999999999998</v>
      </c>
      <c r="D37" s="1">
        <f t="shared" si="0"/>
        <v>101.325</v>
      </c>
      <c r="E37" s="1">
        <f t="shared" si="5"/>
        <v>1.2249994633486807</v>
      </c>
      <c r="F37" s="1">
        <f t="shared" si="6"/>
        <v>340.29406508195228</v>
      </c>
      <c r="G37" s="4">
        <f t="shared" si="7"/>
        <v>1.783E-5</v>
      </c>
    </row>
    <row r="38" spans="1:7">
      <c r="B38" s="6">
        <v>0</v>
      </c>
      <c r="C38" s="1">
        <f t="shared" si="1"/>
        <v>288.14999999999998</v>
      </c>
      <c r="D38" s="1">
        <f t="shared" si="0"/>
        <v>101.325</v>
      </c>
      <c r="E38" s="1">
        <f t="shared" si="5"/>
        <v>1.2249994633486807</v>
      </c>
      <c r="F38" s="1">
        <f t="shared" si="6"/>
        <v>340.29406508195228</v>
      </c>
      <c r="G38" s="4">
        <f t="shared" si="7"/>
        <v>1.783E-5</v>
      </c>
    </row>
    <row r="39" spans="1:7">
      <c r="B39" s="6">
        <v>0</v>
      </c>
      <c r="C39" s="1">
        <f t="shared" si="1"/>
        <v>288.14999999999998</v>
      </c>
      <c r="D39" s="1">
        <f t="shared" si="0"/>
        <v>101.325</v>
      </c>
      <c r="E39" s="1">
        <f t="shared" si="5"/>
        <v>1.2249994633486807</v>
      </c>
      <c r="F39" s="1">
        <f t="shared" si="6"/>
        <v>340.29406508195228</v>
      </c>
      <c r="G39" s="4">
        <f t="shared" si="7"/>
        <v>1.783E-5</v>
      </c>
    </row>
    <row r="40" spans="1:7">
      <c r="B40" s="6">
        <v>0</v>
      </c>
      <c r="C40" s="1">
        <f t="shared" si="1"/>
        <v>288.14999999999998</v>
      </c>
      <c r="D40" s="1">
        <f t="shared" si="0"/>
        <v>101.325</v>
      </c>
      <c r="E40" s="1">
        <f t="shared" si="5"/>
        <v>1.2249994633486807</v>
      </c>
      <c r="F40" s="1">
        <f t="shared" si="6"/>
        <v>340.29406508195228</v>
      </c>
      <c r="G40" s="4">
        <f t="shared" si="7"/>
        <v>1.783E-5</v>
      </c>
    </row>
    <row r="48" spans="1:7">
      <c r="A48" s="3"/>
      <c r="B48" s="1"/>
    </row>
    <row r="49" spans="1:2">
      <c r="A49" s="3"/>
      <c r="B49" s="1"/>
    </row>
    <row r="50" spans="1:2">
      <c r="B50" s="1"/>
    </row>
    <row r="51" spans="1:2">
      <c r="B51" s="1"/>
    </row>
    <row r="52" spans="1:2">
      <c r="B52" s="1"/>
    </row>
    <row r="53" spans="1:2">
      <c r="A53" s="2"/>
      <c r="B53" s="1"/>
    </row>
    <row r="54" spans="1:2">
      <c r="B54" s="1"/>
    </row>
  </sheetData>
  <phoneticPr fontId="19" type="noConversion"/>
  <pageMargins left="0.98425196850393704" right="0.39370078740157483" top="0.98425196850393704" bottom="0.78740157480314965" header="0.51181102362204722" footer="0.51181102362204722"/>
  <pageSetup paperSize="8" orientation="portrait" horizontalDpi="360" verticalDpi="36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BC242"/>
  <sheetViews>
    <sheetView zoomScale="90" workbookViewId="0">
      <selection activeCell="W4" sqref="W4:W209"/>
    </sheetView>
  </sheetViews>
  <sheetFormatPr defaultRowHeight="12.75"/>
  <cols>
    <col min="10" max="11" width="9.28515625" bestFit="1" customWidth="1"/>
    <col min="12" max="12" width="9.28515625" customWidth="1"/>
  </cols>
  <sheetData>
    <row r="1" spans="1:55">
      <c r="B1" s="100" t="s">
        <v>598</v>
      </c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1"/>
      <c r="R1" s="101"/>
      <c r="S1" s="102"/>
    </row>
    <row r="2" spans="1:55">
      <c r="B2" s="100" t="s">
        <v>599</v>
      </c>
      <c r="C2" s="100"/>
      <c r="D2" s="6" t="s">
        <v>613</v>
      </c>
      <c r="E2" s="6" t="s">
        <v>614</v>
      </c>
      <c r="F2" s="100" t="s">
        <v>600</v>
      </c>
      <c r="G2" s="6" t="s">
        <v>644</v>
      </c>
      <c r="H2" s="6" t="s">
        <v>645</v>
      </c>
      <c r="I2" s="6" t="s">
        <v>646</v>
      </c>
      <c r="J2" s="6" t="s">
        <v>647</v>
      </c>
      <c r="K2" s="6" t="s">
        <v>601</v>
      </c>
      <c r="L2" s="6" t="s">
        <v>648</v>
      </c>
      <c r="M2" s="6" t="s">
        <v>649</v>
      </c>
      <c r="N2" s="6" t="s">
        <v>602</v>
      </c>
      <c r="O2" s="6" t="s">
        <v>642</v>
      </c>
      <c r="P2" s="6" t="s">
        <v>650</v>
      </c>
      <c r="Q2" s="19" t="s">
        <v>651</v>
      </c>
      <c r="R2" s="6" t="s">
        <v>786</v>
      </c>
      <c r="S2" s="5" t="s">
        <v>652</v>
      </c>
      <c r="T2" s="6" t="s">
        <v>653</v>
      </c>
      <c r="U2" s="6" t="s">
        <v>654</v>
      </c>
      <c r="V2" s="6" t="s">
        <v>631</v>
      </c>
      <c r="W2" s="6" t="s">
        <v>802</v>
      </c>
      <c r="X2" s="6" t="s">
        <v>656</v>
      </c>
      <c r="Y2" s="6" t="s">
        <v>655</v>
      </c>
      <c r="Z2" s="6" t="s">
        <v>657</v>
      </c>
      <c r="AA2" s="6" t="s">
        <v>787</v>
      </c>
      <c r="AB2" s="109" t="s">
        <v>668</v>
      </c>
      <c r="AC2" s="3" t="s">
        <v>658</v>
      </c>
      <c r="AD2" s="110" t="s">
        <v>659</v>
      </c>
      <c r="AE2" s="110" t="s">
        <v>660</v>
      </c>
      <c r="AF2" s="110" t="s">
        <v>661</v>
      </c>
      <c r="AG2" s="110" t="s">
        <v>662</v>
      </c>
      <c r="AH2" s="110" t="s">
        <v>663</v>
      </c>
      <c r="AI2" s="110" t="s">
        <v>664</v>
      </c>
      <c r="AJ2" s="110" t="s">
        <v>665</v>
      </c>
      <c r="AK2" s="110" t="s">
        <v>666</v>
      </c>
      <c r="AL2" s="110" t="s">
        <v>667</v>
      </c>
      <c r="AM2" s="110" t="s">
        <v>670</v>
      </c>
      <c r="AN2" s="6"/>
      <c r="AO2" s="19"/>
      <c r="AP2" s="5"/>
      <c r="AQ2" s="6"/>
      <c r="AR2" s="6"/>
      <c r="AS2" s="6"/>
    </row>
    <row r="3" spans="1:55">
      <c r="A3" s="7">
        <v>3</v>
      </c>
      <c r="B3" s="100" t="s">
        <v>603</v>
      </c>
      <c r="C3" s="100" t="s">
        <v>604</v>
      </c>
      <c r="D3" s="58" t="s">
        <v>622</v>
      </c>
      <c r="E3" s="103"/>
      <c r="F3" s="100" t="str">
        <f>IF([1]Variáveis!$J$7=1," ",IF([1]Variáveis!$J$7=2," m"," m"))</f>
        <v xml:space="preserve"> </v>
      </c>
      <c r="G3" s="100" t="s">
        <v>604</v>
      </c>
      <c r="H3" s="100" t="s">
        <v>605</v>
      </c>
      <c r="I3" s="100">
        <f>COUNT(Main!C21:C40)</f>
        <v>20</v>
      </c>
      <c r="J3" s="100" t="s">
        <v>606</v>
      </c>
      <c r="K3" s="100">
        <f>COUNT(Main!B45:B54)</f>
        <v>10</v>
      </c>
      <c r="M3" s="100"/>
      <c r="N3" s="100"/>
      <c r="O3" s="100"/>
      <c r="P3" s="100"/>
      <c r="Q3" s="17"/>
      <c r="R3" s="17"/>
      <c r="AF3" s="28"/>
      <c r="AG3" s="6"/>
      <c r="AH3" s="6"/>
      <c r="AI3" s="6"/>
      <c r="AJ3" s="6"/>
      <c r="AK3" s="6"/>
      <c r="AL3" s="6"/>
      <c r="AM3" s="6"/>
      <c r="AN3" s="6"/>
      <c r="AO3" s="6"/>
    </row>
    <row r="4" spans="1:55">
      <c r="A4" s="7">
        <v>1</v>
      </c>
      <c r="C4" s="100"/>
      <c r="D4" s="1">
        <f ca="1">IF(AND(Energy!$F$11=$A$3,Main!$B$43=A4),Main!C21,D4)</f>
        <v>4.5</v>
      </c>
      <c r="E4" s="103">
        <f ca="1">IF(AND(Energy!$F$11=$A$3,Main!$B$43=A4),Main!B21,E4)</f>
        <v>0.2</v>
      </c>
      <c r="F4" s="103">
        <f ca="1">IF(Main!$D$6=1,U4,IF(Main!$D$6=2,N4,IF(Main!$D$6=3,K4,IF(Main!$D$6=4,V4,J4))))</f>
        <v>644.20198381156365</v>
      </c>
      <c r="G4" s="103">
        <f ca="1">IF(AND(Energy!$F$11=$A$3,Main!$B$43=A4),Weight!H21,G4)</f>
        <v>15</v>
      </c>
      <c r="H4" s="103">
        <f ca="1">IF(AND(Energy!$F$11=$A$3,Main!$B$43=A4),Weight!U21,H4)</f>
        <v>12.562154389132857</v>
      </c>
      <c r="I4" s="103">
        <f ca="1">IF(AND(Energy!$F$11=$A$3,Main!$B$43=A4),Weight!V21,I4)</f>
        <v>50.21076269857862</v>
      </c>
      <c r="J4" s="103">
        <f ca="1">IF(AND(Energy!$F$11=$A$3,Main!$B$43=A4),Weight!I21,J4)</f>
        <v>32.710960034445762</v>
      </c>
      <c r="K4" s="103">
        <f ca="1">IF(AND(Energy!$F$11=$A$3,Main!$B$43=A4),Weight!W21,K4)</f>
        <v>65.210760332480717</v>
      </c>
      <c r="L4" s="103">
        <f ca="1">IF(AND(Energy!$F$11=$A$3,Main!$B$43=A4),'Aerodynamics-Cruise'!BI21,L4)</f>
        <v>65.210765088291097</v>
      </c>
      <c r="M4" s="103">
        <f ca="1">IF(AND(Energy!$F$11=$A$3,Main!$B$43=A4),'Aerodynamics-Cruise'!BJ21,M4)</f>
        <v>3.0038996193559711</v>
      </c>
      <c r="N4" s="103">
        <f ca="1">IF(AND(Energy!$F$11=$A$3,Main!$B$43=A4),'Aerodynamics-Cruise'!BK21,N4)</f>
        <v>21.708703136449056</v>
      </c>
      <c r="O4" s="103">
        <f ca="1">L4^(3/2)/M4</f>
        <v>175.30468695697289</v>
      </c>
      <c r="P4" s="103">
        <f ca="1">IF(AND(Energy!$F$11=$A$3,Main!$B$43=A4),'Aerodynamics-Cruise'!H21,P4)</f>
        <v>11.498204077905381</v>
      </c>
      <c r="Q4" s="103">
        <f ca="1">IF(AND(Energy!$F$11=$A$3,Main!$B$43=A4),'Aerodynamics-Cruise'!I21,Q4)</f>
        <v>9.798649197152157</v>
      </c>
      <c r="R4" s="103">
        <f ca="1">IF(AND(Energy!$F$11=$A$3,Main!$B$43=$A4),Summary!R21,R4)</f>
        <v>8.9946957129647007</v>
      </c>
      <c r="S4" s="103">
        <f ca="1">IF(AND(Energy!$F$11=$A$3,Main!$B$43=A4),'Aerodynamics-Cruise'!W21,S4)</f>
        <v>1</v>
      </c>
      <c r="T4" s="103">
        <f ca="1">IF(AND(Energy!$F$11=$A$3,Main!$B$43=A4),'Aerodynamics-Cruise'!BL21,T4)</f>
        <v>34.539450852897247</v>
      </c>
      <c r="U4" s="103">
        <f ca="1">IF(AND(Energy!$F$11=$A$3,Main!$B$43=A4),'Propulsion-Cruise'!M21,U4)</f>
        <v>69.597250127985077</v>
      </c>
      <c r="V4" s="103">
        <f ca="1">IF(AND(Energy!$F$11=$A$3,Main!$B$43=A4),Endurance!AP21,V4)</f>
        <v>644.20198381156365</v>
      </c>
      <c r="W4" s="103">
        <f ca="1">IF(AND(Energy!$F$11=$A$3,Main!$B$43=$A4),Summary!W21,W4)</f>
        <v>0.9</v>
      </c>
      <c r="X4" s="13">
        <f ca="1">IF(AND(Energy!$F$11=$A$3,Main!$B$43=A4),Energy!D21,X4)</f>
        <v>407.30675078792814</v>
      </c>
      <c r="Y4" s="102">
        <f ca="1">IF(AND(Energy!$F$11=$A$3,Main!$B$43=A4),'Aerodynamics-Cruise'!V21,Y4)</f>
        <v>145849.61449549711</v>
      </c>
      <c r="Z4" s="102">
        <f ca="1">IF(AND(Energy!$F$11=$A$3,Main!$B$43=$A4),Summary!Z21,Z4)</f>
        <v>110083.45047983402</v>
      </c>
      <c r="AA4" s="102">
        <f ca="1">IF(AND(Energy!$F$11=$A$3,Main!$B$43=$A4),Summary!AA21,AA4)</f>
        <v>110083.45047983402</v>
      </c>
      <c r="AB4" s="103">
        <f ca="1">IF(AND(Energy!$F$11=$A$3,Main!$B$43=$A4),Summary!AB21,AB4)</f>
        <v>8.9946957129647007</v>
      </c>
      <c r="AC4" s="103">
        <f ca="1">IF(AND(Energy!$F$11=$A$3,Main!$B$43=$A4),Summary!AC21,AC4)</f>
        <v>2.5995733632644527</v>
      </c>
      <c r="AD4" s="103">
        <f ca="1">IF(AND(Energy!$F$11=$A$3,Main!$B$43=$A4),Summary!AD21,AD4)</f>
        <v>0.4714386452050458</v>
      </c>
      <c r="AE4" s="103">
        <f ca="1">IF(AND(Energy!$F$11=$A$3,Main!$B$43=$A4),Summary!AE21,AE4)</f>
        <v>0.9</v>
      </c>
      <c r="AF4" s="103">
        <f ca="1">IF(AND(Energy!$F$11=$A$3,Main!$B$43=$A4),Summary!AF21,AF4)</f>
        <v>22.5</v>
      </c>
      <c r="AG4" s="103">
        <f ca="1">IF(AND(Energy!$F$11=$A$3,Main!$B$43=$A4),Summary!AG21,AG4)</f>
        <v>12.712026075196949</v>
      </c>
      <c r="AH4" s="103">
        <f ca="1">IF(AND(Energy!$F$11=$A$3,Main!$B$43=$A4),Summary!AH21,AH4)</f>
        <v>47</v>
      </c>
      <c r="AI4" s="103">
        <f ca="1">IF(AND(Energy!$F$11=$A$3,Main!$B$43=$A4),Summary!AI21,AI4)</f>
        <v>2.6988809376732594</v>
      </c>
      <c r="AJ4" s="103">
        <f ca="1">IF(AND(Energy!$F$11=$A$3,Main!$B$43=$A4),Summary!AJ21,AJ4)</f>
        <v>0.2710084986703713</v>
      </c>
      <c r="AK4" s="103">
        <f ca="1">IF(AND(Energy!$F$11=$A$3,Main!$B$43=$A4),Summary!AK21,AK4)</f>
        <v>0.01</v>
      </c>
      <c r="AL4" s="103">
        <f ca="1">IF(AND(Energy!$F$11=$A$3,Main!$B$43=$A4),Summary!AL21,AL4)</f>
        <v>-0.46126337223408503</v>
      </c>
      <c r="AM4" s="103">
        <f ca="1">IF(AND(Energy!$F$11=$A$3,Main!$B$43=$A4),Summary!AM21,AM4)</f>
        <v>0</v>
      </c>
      <c r="AN4" s="6"/>
      <c r="AO4" s="6"/>
    </row>
    <row r="5" spans="1:55">
      <c r="A5">
        <f>A4</f>
        <v>1</v>
      </c>
      <c r="D5" s="1">
        <f ca="1">IF(AND(Energy!$F$11=$A$3,Main!$B$43=A5),Main!C22,D5)</f>
        <v>4.6578947368421053</v>
      </c>
      <c r="E5" s="103">
        <f ca="1">IF(AND(Energy!$F$11=$A$3,Main!$B$43=A5),Main!B22,E5)</f>
        <v>0.2</v>
      </c>
      <c r="F5" s="103">
        <f ca="1">IF(Main!$D$6=1,U5,IF(Main!$D$6=2,N5,IF(Main!$D$6=3,K5,IF(Main!$D$6=4,V5,J5))))</f>
        <v>635.40783613332997</v>
      </c>
      <c r="G5" s="103">
        <f ca="1">IF(AND(Energy!$F$11=$A$3,Main!$B$43=A5),Weight!H22,G5)</f>
        <v>15</v>
      </c>
      <c r="H5" s="103">
        <f ca="1">IF(AND(Energy!$F$11=$A$3,Main!$B$43=A5),Weight!U22,H5)</f>
        <v>12.89571509915335</v>
      </c>
      <c r="I5" s="103">
        <f ca="1">IF(AND(Energy!$F$11=$A$3,Main!$B$43=A5),Weight!V22,I5)</f>
        <v>50.138403913732674</v>
      </c>
      <c r="J5" s="103">
        <f ca="1">IF(AND(Energy!$F$11=$A$3,Main!$B$43=A5),Weight!I22,J5)</f>
        <v>32.305040539579323</v>
      </c>
      <c r="K5" s="103">
        <f ca="1">IF(AND(Energy!$F$11=$A$3,Main!$B$43=A5),Weight!W22,K5)</f>
        <v>65.138401889368893</v>
      </c>
      <c r="L5" s="103">
        <f ca="1">IF(AND(Energy!$F$11=$A$3,Main!$B$43=A5),'Aerodynamics-Cruise'!BI22,L5)</f>
        <v>65.138405958163631</v>
      </c>
      <c r="M5" s="103">
        <f ca="1">IF(AND(Energy!$F$11=$A$3,Main!$B$43=A5),'Aerodynamics-Cruise'!BJ22,M5)</f>
        <v>2.9995915225658707</v>
      </c>
      <c r="N5" s="103">
        <f ca="1">IF(AND(Energy!$F$11=$A$3,Main!$B$43=A5),'Aerodynamics-Cruise'!BK22,N5)</f>
        <v>21.715758785197458</v>
      </c>
      <c r="O5" s="103">
        <f t="shared" ref="O5:O68" ca="1" si="0">L5^(3/2)/M5</f>
        <v>175.26434420974613</v>
      </c>
      <c r="P5" s="103">
        <f ca="1">IF(AND(Energy!$F$11=$A$3,Main!$B$43=A5),'Aerodynamics-Cruise'!H22,P5)</f>
        <v>11.295328912209063</v>
      </c>
      <c r="Q5" s="103">
        <f ca="1">IF(AND(Energy!$F$11=$A$3,Main!$B$43=A5),'Aerodynamics-Cruise'!I22,Q5)</f>
        <v>9.6327529397307732</v>
      </c>
      <c r="R5" s="103">
        <f ca="1">IF(AND(Energy!$F$11=$A$3,Main!$B$43=$A5),Summary!R22,R5)</f>
        <v>8.672954526246615</v>
      </c>
      <c r="S5" s="103">
        <f ca="1">IF(AND(Energy!$F$11=$A$3,Main!$B$43=A5),'Aerodynamics-Cruise'!W22,S5)</f>
        <v>1</v>
      </c>
      <c r="T5" s="103">
        <f ca="1">IF(AND(Energy!$F$11=$A$3,Main!$B$43=A5),'Aerodynamics-Cruise'!BL22,T5)</f>
        <v>33.881372849655484</v>
      </c>
      <c r="U5" s="103">
        <f ca="1">IF(AND(Energy!$F$11=$A$3,Main!$B$43=A5),'Propulsion-Cruise'!M22,U5)</f>
        <v>68.510516750553251</v>
      </c>
      <c r="V5" s="103">
        <f ca="1">IF(AND(Energy!$F$11=$A$3,Main!$B$43=A5),Endurance!AP22,V5)</f>
        <v>635.40783613332997</v>
      </c>
      <c r="W5" s="103">
        <f ca="1">IF(AND(Energy!$F$11=$A$3,Main!$B$43=$A5),Summary!W22,W5)</f>
        <v>0.93157894736842106</v>
      </c>
      <c r="X5" s="13">
        <f ca="1">IF(AND(Energy!$F$11=$A$3,Main!$B$43=A5),Energy!D22,X5)</f>
        <v>407.08156383360244</v>
      </c>
      <c r="Y5" s="102">
        <f ca="1">IF(AND(Energy!$F$11=$A$3,Main!$B$43=A5),'Aerodynamics-Cruise'!V22,Y5)</f>
        <v>143276.23307810031</v>
      </c>
      <c r="Z5" s="102">
        <f ca="1">IF(AND(Energy!$F$11=$A$3,Main!$B$43=$A5),Summary!Z22,Z5)</f>
        <v>108216.61437871079</v>
      </c>
      <c r="AA5" s="102">
        <f ca="1">IF(AND(Energy!$F$11=$A$3,Main!$B$43=$A5),Summary!AA22,AA5)</f>
        <v>108216.61437871079</v>
      </c>
      <c r="AB5" s="103">
        <f ca="1">IF(AND(Energy!$F$11=$A$3,Main!$B$43=$A5),Summary!AB22,AB5)</f>
        <v>8.672954526246615</v>
      </c>
      <c r="AC5" s="103">
        <f ca="1">IF(AND(Energy!$F$11=$A$3,Main!$B$43=$A5),Summary!AC22,AC5)</f>
        <v>2.5728784141973162</v>
      </c>
      <c r="AD5" s="103">
        <f ca="1">IF(AND(Energy!$F$11=$A$3,Main!$B$43=$A5),Summary!AD22,AD5)</f>
        <v>0.46646402377545587</v>
      </c>
      <c r="AE5" s="103">
        <f ca="1">IF(AND(Energy!$F$11=$A$3,Main!$B$43=$A5),Summary!AE22,AE5)</f>
        <v>0.93157894736842106</v>
      </c>
      <c r="AF5" s="103">
        <f ca="1">IF(AND(Energy!$F$11=$A$3,Main!$B$43=$A5),Summary!AF22,AF5)</f>
        <v>23.289473684210527</v>
      </c>
      <c r="AG5" s="103">
        <f ca="1">IF(AND(Energy!$F$11=$A$3,Main!$B$43=$A5),Summary!AG22,AG5)</f>
        <v>12.620911486925475</v>
      </c>
      <c r="AH5" s="103">
        <f ca="1">IF(AND(Energy!$F$11=$A$3,Main!$B$43=$A5),Summary!AH22,AH5)</f>
        <v>47</v>
      </c>
      <c r="AI5" s="103">
        <f ca="1">IF(AND(Energy!$F$11=$A$3,Main!$B$43=$A5),Summary!AI22,AI5)</f>
        <v>2.6949644053544874</v>
      </c>
      <c r="AJ5" s="103">
        <f ca="1">IF(AND(Energy!$F$11=$A$3,Main!$B$43=$A5),Summary!AJ22,AJ5)</f>
        <v>0.27218788806305094</v>
      </c>
      <c r="AK5" s="103">
        <f ca="1">IF(AND(Energy!$F$11=$A$3,Main!$B$43=$A5),Summary!AK22,AK5)</f>
        <v>0.01</v>
      </c>
      <c r="AL5" s="103">
        <f ca="1">IF(AND(Energy!$F$11=$A$3,Main!$B$43=$A5),Summary!AL22,AL5)</f>
        <v>-0.45926576768449839</v>
      </c>
      <c r="AM5" s="103">
        <f ca="1">IF(AND(Energy!$F$11=$A$3,Main!$B$43=$A5),Summary!AM22,AM5)</f>
        <v>0</v>
      </c>
      <c r="AN5" s="6"/>
      <c r="AO5" s="6"/>
    </row>
    <row r="6" spans="1:55">
      <c r="A6">
        <f t="shared" ref="A6:A23" si="1">A5</f>
        <v>1</v>
      </c>
      <c r="C6" s="100"/>
      <c r="D6" s="1">
        <f ca="1">IF(AND(Energy!$F$11=$A$3,Main!$B$43=A6),Main!C23,D6)</f>
        <v>4.8157894736842106</v>
      </c>
      <c r="E6" s="103">
        <f ca="1">IF(AND(Energy!$F$11=$A$3,Main!$B$43=A6),Main!B23,E6)</f>
        <v>0.2</v>
      </c>
      <c r="F6" s="103">
        <f ca="1">IF(Main!$D$6=1,U6,IF(Main!$D$6=2,N6,IF(Main!$D$6=3,K6,IF(Main!$D$6=4,V6,J6))))</f>
        <v>628.41707116843043</v>
      </c>
      <c r="G6" s="103">
        <f ca="1">IF(AND(Energy!$F$11=$A$3,Main!$B$43=A6),Weight!H23,G6)</f>
        <v>15</v>
      </c>
      <c r="H6" s="103">
        <f ca="1">IF(AND(Energy!$F$11=$A$3,Main!$B$43=A6),Weight!U23,H6)</f>
        <v>13.243075133697246</v>
      </c>
      <c r="I6" s="103">
        <f ca="1">IF(AND(Energy!$F$11=$A$3,Main!$B$43=A6),Weight!V23,I6)</f>
        <v>50.16195710293988</v>
      </c>
      <c r="J6" s="103">
        <f ca="1">IF(AND(Energy!$F$11=$A$3,Main!$B$43=A6),Weight!I23,J6)</f>
        <v>31.981233694242636</v>
      </c>
      <c r="K6" s="103">
        <f ca="1">IF(AND(Energy!$F$11=$A$3,Main!$B$43=A6),Weight!W23,K6)</f>
        <v>65.161955393578509</v>
      </c>
      <c r="L6" s="103">
        <f ca="1">IF(AND(Energy!$F$11=$A$3,Main!$B$43=A6),'Aerodynamics-Cruise'!BI23,L6)</f>
        <v>65.161958829077548</v>
      </c>
      <c r="M6" s="103">
        <f ca="1">IF(AND(Energy!$F$11=$A$3,Main!$B$43=A6),'Aerodynamics-Cruise'!BJ23,M6)</f>
        <v>3.0001519340997942</v>
      </c>
      <c r="N6" s="103">
        <f ca="1">IF(AND(Energy!$F$11=$A$3,Main!$B$43=A6),'Aerodynamics-Cruise'!BK23,N6)</f>
        <v>21.719552962783403</v>
      </c>
      <c r="O6" s="103">
        <f t="shared" ca="1" si="0"/>
        <v>175.32665528002926</v>
      </c>
      <c r="P6" s="103">
        <f ca="1">IF(AND(Energy!$F$11=$A$3,Main!$B$43=A6),'Aerodynamics-Cruise'!H23,P6)</f>
        <v>11.110590629204236</v>
      </c>
      <c r="Q6" s="103">
        <f ca="1">IF(AND(Energy!$F$11=$A$3,Main!$B$43=A6),'Aerodynamics-Cruise'!I23,Q6)</f>
        <v>9.4815812304716385</v>
      </c>
      <c r="R6" s="103">
        <f ca="1">IF(AND(Energy!$F$11=$A$3,Main!$B$43=$A6),Summary!R23,R6)</f>
        <v>8.3975473567941421</v>
      </c>
      <c r="S6" s="103">
        <f ca="1">IF(AND(Energy!$F$11=$A$3,Main!$B$43=A6),'Aerodynamics-Cruise'!W23,S6)</f>
        <v>1</v>
      </c>
      <c r="T6" s="103">
        <f ca="1">IF(AND(Energy!$F$11=$A$3,Main!$B$43=A6),'Aerodynamics-Cruise'!BL23,T6)</f>
        <v>33.333459965198138</v>
      </c>
      <c r="U6" s="103">
        <f ca="1">IF(AND(Energy!$F$11=$A$3,Main!$B$43=A6),'Propulsion-Cruise'!M23,U6)</f>
        <v>67.626010689144621</v>
      </c>
      <c r="V6" s="103">
        <f ca="1">IF(AND(Energy!$F$11=$A$3,Main!$B$43=A6),Endurance!AP23,V6)</f>
        <v>628.41707116843043</v>
      </c>
      <c r="W6" s="103">
        <f ca="1">IF(AND(Energy!$F$11=$A$3,Main!$B$43=$A6),Summary!W23,W6)</f>
        <v>0.96315789473684221</v>
      </c>
      <c r="X6" s="13">
        <f ca="1">IF(AND(Energy!$F$11=$A$3,Main!$B$43=A6),Energy!D23,X6)</f>
        <v>406.90192952189562</v>
      </c>
      <c r="Y6" s="102">
        <f ca="1">IF(AND(Energy!$F$11=$A$3,Main!$B$43=A6),'Aerodynamics-Cruise'!V23,Y6)</f>
        <v>140932.90996639899</v>
      </c>
      <c r="Z6" s="102">
        <f ca="1">IF(AND(Energy!$F$11=$A$3,Main!$B$43=$A6),Summary!Z23,Z6)</f>
        <v>106515.52087139555</v>
      </c>
      <c r="AA6" s="102">
        <f ca="1">IF(AND(Energy!$F$11=$A$3,Main!$B$43=$A6),Summary!AA23,AA6)</f>
        <v>106515.52087139555</v>
      </c>
      <c r="AB6" s="103">
        <f ca="1">IF(AND(Energy!$F$11=$A$3,Main!$B$43=$A6),Summary!AB23,AB6)</f>
        <v>8.3975473567941421</v>
      </c>
      <c r="AC6" s="103">
        <f ca="1">IF(AND(Energy!$F$11=$A$3,Main!$B$43=$A6),Summary!AC23,AC6)</f>
        <v>2.5437405687901218</v>
      </c>
      <c r="AD6" s="103">
        <f ca="1">IF(AND(Energy!$F$11=$A$3,Main!$B$43=$A6),Summary!AD23,AD6)</f>
        <v>0.46211794775255832</v>
      </c>
      <c r="AE6" s="103">
        <f ca="1">IF(AND(Energy!$F$11=$A$3,Main!$B$43=$A6),Summary!AE23,AE6)</f>
        <v>0.96315789473684221</v>
      </c>
      <c r="AF6" s="103">
        <f ca="1">IF(AND(Energy!$F$11=$A$3,Main!$B$43=$A6),Summary!AF23,AF6)</f>
        <v>24.078947368421051</v>
      </c>
      <c r="AG6" s="103">
        <f ca="1">IF(AND(Energy!$F$11=$A$3,Main!$B$43=$A6),Summary!AG23,AG6)</f>
        <v>12.549899448715914</v>
      </c>
      <c r="AH6" s="103">
        <f ca="1">IF(AND(Energy!$F$11=$A$3,Main!$B$43=$A6),Summary!AH23,AH6)</f>
        <v>47</v>
      </c>
      <c r="AI6" s="103">
        <f ca="1">IF(AND(Energy!$F$11=$A$3,Main!$B$43=$A6),Summary!AI23,AI6)</f>
        <v>2.6913418151944204</v>
      </c>
      <c r="AJ6" s="103">
        <f ca="1">IF(AND(Energy!$F$11=$A$3,Main!$B$43=$A6),Summary!AJ23,AJ6)</f>
        <v>0.27328457544527651</v>
      </c>
      <c r="AK6" s="103">
        <f ca="1">IF(AND(Energy!$F$11=$A$3,Main!$B$43=$A6),Summary!AK23,AK6)</f>
        <v>0.01</v>
      </c>
      <c r="AL6" s="103">
        <f ca="1">IF(AND(Energy!$F$11=$A$3,Main!$B$43=$A6),Summary!AL23,AL6)</f>
        <v>-0.45742376240227911</v>
      </c>
      <c r="AM6" s="103">
        <f ca="1">IF(AND(Energy!$F$11=$A$3,Main!$B$43=$A6),Summary!AM23,AM6)</f>
        <v>0</v>
      </c>
      <c r="AN6" s="6"/>
      <c r="AO6" s="6"/>
    </row>
    <row r="7" spans="1:55">
      <c r="A7">
        <f t="shared" si="1"/>
        <v>1</v>
      </c>
      <c r="C7" s="100"/>
      <c r="D7" s="1">
        <f ca="1">IF(AND(Energy!$F$11=$A$3,Main!$B$43=A7),Main!C24,D7)</f>
        <v>4.9736842105263159</v>
      </c>
      <c r="E7" s="103">
        <f ca="1">IF(AND(Energy!$F$11=$A$3,Main!$B$43=A7),Main!B24,E7)</f>
        <v>0.2</v>
      </c>
      <c r="F7" s="103">
        <f ca="1">IF(Main!$D$6=1,U7,IF(Main!$D$6=2,N7,IF(Main!$D$6=3,K7,IF(Main!$D$6=4,V7,J7))))</f>
        <v>622.95828706086559</v>
      </c>
      <c r="G7" s="103">
        <f ca="1">IF(AND(Energy!$F$11=$A$3,Main!$B$43=A7),Weight!H24,G7)</f>
        <v>15</v>
      </c>
      <c r="H7" s="103">
        <f ca="1">IF(AND(Energy!$F$11=$A$3,Main!$B$43=A7),Weight!U24,H7)</f>
        <v>13.603515327575749</v>
      </c>
      <c r="I7" s="103">
        <f ca="1">IF(AND(Energy!$F$11=$A$3,Main!$B$43=A7),Weight!V24,I7)</f>
        <v>50.268324276497196</v>
      </c>
      <c r="J7" s="103">
        <f ca="1">IF(AND(Energy!$F$11=$A$3,Main!$B$43=A7),Weight!I24,J7)</f>
        <v>31.727160673921443</v>
      </c>
      <c r="K7" s="103">
        <f ca="1">IF(AND(Energy!$F$11=$A$3,Main!$B$43=A7),Weight!W24,K7)</f>
        <v>65.268322861944924</v>
      </c>
      <c r="L7" s="103">
        <f ca="1">IF(AND(Energy!$F$11=$A$3,Main!$B$43=A7),'Aerodynamics-Cruise'!BI24,L7)</f>
        <v>65.268325704741557</v>
      </c>
      <c r="M7" s="103">
        <f ca="1">IF(AND(Energy!$F$11=$A$3,Main!$B$43=A7),'Aerodynamics-Cruise'!BJ24,M7)</f>
        <v>3.0048970464979465</v>
      </c>
      <c r="N7" s="103">
        <f ca="1">IF(AND(Energy!$F$11=$A$3,Main!$B$43=A7),'Aerodynamics-Cruise'!BK24,N7)</f>
        <v>21.720652885864574</v>
      </c>
      <c r="O7" s="103">
        <f t="shared" ca="1" si="0"/>
        <v>175.47857997937709</v>
      </c>
      <c r="P7" s="103">
        <f ca="1">IF(AND(Energy!$F$11=$A$3,Main!$B$43=A7),'Aerodynamics-Cruise'!H24,P7)</f>
        <v>10.941698854194557</v>
      </c>
      <c r="Q7" s="103">
        <f ca="1">IF(AND(Energy!$F$11=$A$3,Main!$B$43=A7),'Aerodynamics-Cruise'!I24,Q7)</f>
        <v>9.3432864163203728</v>
      </c>
      <c r="R7" s="103">
        <f ca="1">IF(AND(Energy!$F$11=$A$3,Main!$B$43=$A7),Summary!R24,R7)</f>
        <v>8.1607515721607413</v>
      </c>
      <c r="S7" s="103">
        <f ca="1">IF(AND(Energy!$F$11=$A$3,Main!$B$43=A7),'Aerodynamics-Cruise'!W24,S7)</f>
        <v>1</v>
      </c>
      <c r="T7" s="103">
        <f ca="1">IF(AND(Energy!$F$11=$A$3,Main!$B$43=A7),'Aerodynamics-Cruise'!BL24,T7)</f>
        <v>32.878678570639188</v>
      </c>
      <c r="U7" s="103">
        <f ca="1">IF(AND(Energy!$F$11=$A$3,Main!$B$43=A7),'Propulsion-Cruise'!M24,U7)</f>
        <v>66.913004237255976</v>
      </c>
      <c r="V7" s="103">
        <f ca="1">IF(AND(Energy!$F$11=$A$3,Main!$B$43=A7),Endurance!AP24,V7)</f>
        <v>622.95828706086559</v>
      </c>
      <c r="W7" s="103">
        <f ca="1">IF(AND(Energy!$F$11=$A$3,Main!$B$43=$A7),Summary!W24,W7)</f>
        <v>0.99473684210526325</v>
      </c>
      <c r="X7" s="13">
        <f ca="1">IF(AND(Energy!$F$11=$A$3,Main!$B$43=A7),Energy!D24,X7)</f>
        <v>406.76098060307868</v>
      </c>
      <c r="Y7" s="102">
        <f ca="1">IF(AND(Energy!$F$11=$A$3,Main!$B$43=A7),'Aerodynamics-Cruise'!V24,Y7)</f>
        <v>138790.59277410322</v>
      </c>
      <c r="Z7" s="102">
        <f ca="1">IF(AND(Energy!$F$11=$A$3,Main!$B$43=$A7),Summary!Z24,Z7)</f>
        <v>104959.36719231124</v>
      </c>
      <c r="AA7" s="102">
        <f ca="1">IF(AND(Energy!$F$11=$A$3,Main!$B$43=$A7),Summary!AA24,AA7)</f>
        <v>104959.36719231124</v>
      </c>
      <c r="AB7" s="103">
        <f ca="1">IF(AND(Energy!$F$11=$A$3,Main!$B$43=$A7),Summary!AB24,AB7)</f>
        <v>8.1607515721607413</v>
      </c>
      <c r="AC7" s="103">
        <f ca="1">IF(AND(Energy!$F$11=$A$3,Main!$B$43=$A7),Summary!AC24,AC7)</f>
        <v>2.5127303658144289</v>
      </c>
      <c r="AD7" s="103">
        <f ca="1">IF(AND(Energy!$F$11=$A$3,Main!$B$43=$A7),Summary!AD24,AD7)</f>
        <v>0.45831815447125529</v>
      </c>
      <c r="AE7" s="103">
        <f ca="1">IF(AND(Energy!$F$11=$A$3,Main!$B$43=$A7),Summary!AE24,AE7)</f>
        <v>0.99473684210526325</v>
      </c>
      <c r="AF7" s="103">
        <f ca="1">IF(AND(Energy!$F$11=$A$3,Main!$B$43=$A7),Summary!AF24,AF7)</f>
        <v>24.868421052631579</v>
      </c>
      <c r="AG7" s="103">
        <f ca="1">IF(AND(Energy!$F$11=$A$3,Main!$B$43=$A7),Summary!AG24,AG7)</f>
        <v>12.4960863499924</v>
      </c>
      <c r="AH7" s="103">
        <f ca="1">IF(AND(Energy!$F$11=$A$3,Main!$B$43=$A7),Summary!AH24,AH7)</f>
        <v>47</v>
      </c>
      <c r="AI7" s="103">
        <f ca="1">IF(AND(Energy!$F$11=$A$3,Main!$B$43=$A7),Summary!AI24,AI7)</f>
        <v>2.687981598450067</v>
      </c>
      <c r="AJ7" s="103">
        <f ca="1">IF(AND(Energy!$F$11=$A$3,Main!$B$43=$A7),Summary!AJ24,AJ7)</f>
        <v>0.27430721983471951</v>
      </c>
      <c r="AK7" s="103">
        <f ca="1">IF(AND(Energy!$F$11=$A$3,Main!$B$43=$A7),Summary!AK24,AK7)</f>
        <v>0.01</v>
      </c>
      <c r="AL7" s="103">
        <f ca="1">IF(AND(Energy!$F$11=$A$3,Main!$B$43=$A7),Summary!AL24,AL7)</f>
        <v>-0.45571942778369423</v>
      </c>
      <c r="AM7" s="103">
        <f ca="1">IF(AND(Energy!$F$11=$A$3,Main!$B$43=$A7),Summary!AM24,AM7)</f>
        <v>0</v>
      </c>
      <c r="AN7" s="6"/>
      <c r="AO7" s="6"/>
    </row>
    <row r="8" spans="1:55">
      <c r="A8">
        <f t="shared" si="1"/>
        <v>1</v>
      </c>
      <c r="C8" s="100"/>
      <c r="D8" s="1">
        <f ca="1">IF(AND(Energy!$F$11=$A$3,Main!$B$43=A8),Main!C25,D8)</f>
        <v>5.1315789473684212</v>
      </c>
      <c r="E8" s="103">
        <f ca="1">IF(AND(Energy!$F$11=$A$3,Main!$B$43=A8),Main!B25,E8)</f>
        <v>0.2</v>
      </c>
      <c r="F8" s="103">
        <f ca="1">IF(Main!$D$6=1,U8,IF(Main!$D$6=2,N8,IF(Main!$D$6=3,K8,IF(Main!$D$6=4,V8,J8))))</f>
        <v>618.81624496730751</v>
      </c>
      <c r="G8" s="103">
        <f ca="1">IF(AND(Energy!$F$11=$A$3,Main!$B$43=A8),Weight!H25,G8)</f>
        <v>15</v>
      </c>
      <c r="H8" s="103">
        <f ca="1">IF(AND(Energy!$F$11=$A$3,Main!$B$43=A8),Weight!U25,H8)</f>
        <v>13.976478571791503</v>
      </c>
      <c r="I8" s="103">
        <f ca="1">IF(AND(Energy!$F$11=$A$3,Main!$B$43=A8),Weight!V25,I8)</f>
        <v>50.44713172041061</v>
      </c>
      <c r="J8" s="103">
        <f ca="1">IF(AND(Energy!$F$11=$A$3,Main!$B$43=A8),Weight!I25,J8)</f>
        <v>31.53300487361911</v>
      </c>
      <c r="K8" s="103">
        <f ca="1">IF(AND(Energy!$F$11=$A$3,Main!$B$43=A8),Weight!W25,K8)</f>
        <v>65.447130585880046</v>
      </c>
      <c r="L8" s="103">
        <f ca="1">IF(AND(Energy!$F$11=$A$3,Main!$B$43=A8),'Aerodynamics-Cruise'!BI25,L8)</f>
        <v>65.44713286570942</v>
      </c>
      <c r="M8" s="103">
        <f ca="1">IF(AND(Energy!$F$11=$A$3,Main!$B$43=A8),'Aerodynamics-Cruise'!BJ25,M8)</f>
        <v>3.0132775078662619</v>
      </c>
      <c r="N8" s="103">
        <f ca="1">IF(AND(Energy!$F$11=$A$3,Main!$B$43=A8),'Aerodynamics-Cruise'!BK25,N8)</f>
        <v>21.719583641021277</v>
      </c>
      <c r="O8" s="103">
        <f t="shared" ca="1" si="0"/>
        <v>175.71013339679442</v>
      </c>
      <c r="P8" s="103">
        <f ca="1">IF(AND(Energy!$F$11=$A$3,Main!$B$43=A8),'Aerodynamics-Cruise'!H25,P8)</f>
        <v>10.786767998826072</v>
      </c>
      <c r="Q8" s="103">
        <f ca="1">IF(AND(Energy!$F$11=$A$3,Main!$B$43=A8),'Aerodynamics-Cruise'!I25,Q8)</f>
        <v>9.2163462129660605</v>
      </c>
      <c r="R8" s="103">
        <f ca="1">IF(AND(Energy!$F$11=$A$3,Main!$B$43=$A8),Summary!R25,R8)</f>
        <v>7.9565402393772189</v>
      </c>
      <c r="S8" s="103">
        <f ca="1">IF(AND(Energy!$F$11=$A$3,Main!$B$43=A8),'Aerodynamics-Cruise'!W25,S8)</f>
        <v>1</v>
      </c>
      <c r="T8" s="103">
        <f ca="1">IF(AND(Energy!$F$11=$A$3,Main!$B$43=A8),'Aerodynamics-Cruise'!BL25,T8)</f>
        <v>32.503525393434174</v>
      </c>
      <c r="U8" s="103">
        <f ca="1">IF(AND(Energy!$F$11=$A$3,Main!$B$43=A8),'Propulsion-Cruise'!M25,U8)</f>
        <v>66.347123485198807</v>
      </c>
      <c r="V8" s="103">
        <f ca="1">IF(AND(Energy!$F$11=$A$3,Main!$B$43=A8),Endurance!AP25,V8)</f>
        <v>618.81624496730751</v>
      </c>
      <c r="W8" s="103">
        <f ca="1">IF(AND(Energy!$F$11=$A$3,Main!$B$43=$A8),Summary!W25,W8)</f>
        <v>1.0263157894736843</v>
      </c>
      <c r="X8" s="13">
        <f ca="1">IF(AND(Energy!$F$11=$A$3,Main!$B$43=A8),Energy!D25,X8)</f>
        <v>406.65327123883026</v>
      </c>
      <c r="Y8" s="102">
        <f ca="1">IF(AND(Energy!$F$11=$A$3,Main!$B$43=A8),'Aerodynamics-Cruise'!V25,Y8)</f>
        <v>136825.36364998532</v>
      </c>
      <c r="Z8" s="102">
        <f ca="1">IF(AND(Energy!$F$11=$A$3,Main!$B$43=$A8),Summary!Z25,Z8)</f>
        <v>103531.01442535709</v>
      </c>
      <c r="AA8" s="102">
        <f ca="1">IF(AND(Energy!$F$11=$A$3,Main!$B$43=$A8),Summary!AA25,AA8)</f>
        <v>103531.01442535709</v>
      </c>
      <c r="AB8" s="103">
        <f ca="1">IF(AND(Energy!$F$11=$A$3,Main!$B$43=$A8),Summary!AB25,AB8)</f>
        <v>7.9565402393772189</v>
      </c>
      <c r="AC8" s="103">
        <f ca="1">IF(AND(Energy!$F$11=$A$3,Main!$B$43=$A8),Summary!AC25,AC8)</f>
        <v>2.4803004096520169</v>
      </c>
      <c r="AD8" s="103">
        <f ca="1">IF(AND(Energy!$F$11=$A$3,Main!$B$43=$A8),Summary!AD25,AD8)</f>
        <v>0.45499728141865858</v>
      </c>
      <c r="AE8" s="103">
        <f ca="1">IF(AND(Energy!$F$11=$A$3,Main!$B$43=$A8),Summary!AE25,AE8)</f>
        <v>1.0263157894736843</v>
      </c>
      <c r="AF8" s="103">
        <f ca="1">IF(AND(Energy!$F$11=$A$3,Main!$B$43=$A8),Summary!AF25,AF8)</f>
        <v>25.657894736842106</v>
      </c>
      <c r="AG8" s="103">
        <f ca="1">IF(AND(Energy!$F$11=$A$3,Main!$B$43=$A8),Summary!AG25,AG8)</f>
        <v>12.457139126150064</v>
      </c>
      <c r="AH8" s="103">
        <f ca="1">IF(AND(Energy!$F$11=$A$3,Main!$B$43=$A8),Summary!AH25,AH8)</f>
        <v>47</v>
      </c>
      <c r="AI8" s="103">
        <f ca="1">IF(AND(Energy!$F$11=$A$3,Main!$B$43=$A8),Summary!AI25,AI8)</f>
        <v>2.6848573090226764</v>
      </c>
      <c r="AJ8" s="103">
        <f ca="1">IF(AND(Energy!$F$11=$A$3,Main!$B$43=$A8),Summary!AJ25,AJ8)</f>
        <v>0.27526443935834316</v>
      </c>
      <c r="AK8" s="103">
        <f ca="1">IF(AND(Energy!$F$11=$A$3,Main!$B$43=$A8),Summary!AK25,AK8)</f>
        <v>0.01</v>
      </c>
      <c r="AL8" s="103">
        <f ca="1">IF(AND(Energy!$F$11=$A$3,Main!$B$43=$A8),Summary!AL25,AL8)</f>
        <v>-0.45413560918474849</v>
      </c>
      <c r="AM8" s="103">
        <f ca="1">IF(AND(Energy!$F$11=$A$3,Main!$B$43=$A8),Summary!AM25,AM8)</f>
        <v>0</v>
      </c>
      <c r="AN8" s="6"/>
      <c r="AO8" s="6"/>
    </row>
    <row r="9" spans="1:55">
      <c r="A9">
        <f t="shared" si="1"/>
        <v>1</v>
      </c>
      <c r="C9" s="104"/>
      <c r="D9" s="1">
        <f ca="1">IF(AND(Energy!$F$11=$A$3,Main!$B$43=A9),Main!C26,D9)</f>
        <v>5.2894736842105265</v>
      </c>
      <c r="E9" s="103">
        <f ca="1">IF(AND(Energy!$F$11=$A$3,Main!$B$43=A9),Main!B26,E9)</f>
        <v>0.2</v>
      </c>
      <c r="F9" s="103">
        <f ca="1">IF(Main!$D$6=1,U9,IF(Main!$D$6=2,N9,IF(Main!$D$6=3,K9,IF(Main!$D$6=4,V9,J9))))</f>
        <v>615.81800104103354</v>
      </c>
      <c r="G9" s="103">
        <f ca="1">IF(AND(Energy!$F$11=$A$3,Main!$B$43=A9),Weight!H26,G9)</f>
        <v>15</v>
      </c>
      <c r="H9" s="103">
        <f ca="1">IF(AND(Energy!$F$11=$A$3,Main!$B$43=A9),Weight!U26,H9)</f>
        <v>14.361531512236986</v>
      </c>
      <c r="I9" s="103">
        <f ca="1">IF(AND(Energy!$F$11=$A$3,Main!$B$43=A9),Weight!V26,I9)</f>
        <v>50.690058896094897</v>
      </c>
      <c r="J9" s="103">
        <f ca="1">IF(AND(Energy!$F$11=$A$3,Main!$B$43=A9),Weight!I26,J9)</f>
        <v>31.390879108857909</v>
      </c>
      <c r="K9" s="103">
        <f ca="1">IF(AND(Energy!$F$11=$A$3,Main!$B$43=A9),Weight!W26,K9)</f>
        <v>65.690058028316287</v>
      </c>
      <c r="L9" s="103">
        <f ca="1">IF(AND(Energy!$F$11=$A$3,Main!$B$43=A9),'Aerodynamics-Cruise'!BI26,L9)</f>
        <v>65.690059771882133</v>
      </c>
      <c r="M9" s="103">
        <f ca="1">IF(AND(Energy!$F$11=$A$3,Main!$B$43=A9),'Aerodynamics-Cruise'!BJ26,M9)</f>
        <v>3.0248465162754816</v>
      </c>
      <c r="N9" s="103">
        <f ca="1">IF(AND(Energy!$F$11=$A$3,Main!$B$43=A9),'Aerodynamics-Cruise'!BK26,N9)</f>
        <v>21.716824116010635</v>
      </c>
      <c r="O9" s="103">
        <f t="shared" ca="1" si="0"/>
        <v>176.01356632231011</v>
      </c>
      <c r="P9" s="103">
        <f ca="1">IF(AND(Energy!$F$11=$A$3,Main!$B$43=A9),'Aerodynamics-Cruise'!H26,P9)</f>
        <v>10.64422716277663</v>
      </c>
      <c r="Q9" s="103">
        <f ca="1">IF(AND(Energy!$F$11=$A$3,Main!$B$43=A9),'Aerodynamics-Cruise'!I26,Q9)</f>
        <v>9.0994914417751147</v>
      </c>
      <c r="R9" s="103">
        <f ca="1">IF(AND(Energy!$F$11=$A$3,Main!$B$43=$A9),Summary!R26,R9)</f>
        <v>7.7801406066132133</v>
      </c>
      <c r="S9" s="103">
        <f ca="1">IF(AND(Energy!$F$11=$A$3,Main!$B$43=A9),'Aerodynamics-Cruise'!W26,S9)</f>
        <v>1</v>
      </c>
      <c r="T9" s="103">
        <f ca="1">IF(AND(Energy!$F$11=$A$3,Main!$B$43=A9),'Aerodynamics-Cruise'!BL26,T9)</f>
        <v>32.197153451769744</v>
      </c>
      <c r="U9" s="103">
        <f ca="1">IF(AND(Energy!$F$11=$A$3,Main!$B$43=A9),'Propulsion-Cruise'!M26,U9)</f>
        <v>65.90877917944924</v>
      </c>
      <c r="V9" s="103">
        <f ca="1">IF(AND(Energy!$F$11=$A$3,Main!$B$43=A9),Endurance!AP26,V9)</f>
        <v>615.81800104103354</v>
      </c>
      <c r="W9" s="103">
        <f ca="1">IF(AND(Energy!$F$11=$A$3,Main!$B$43=$A9),Summary!W26,W9)</f>
        <v>1.0578947368421054</v>
      </c>
      <c r="X9" s="13">
        <f ca="1">IF(AND(Energy!$F$11=$A$3,Main!$B$43=A9),Energy!D26,X9)</f>
        <v>406.57442595058285</v>
      </c>
      <c r="Y9" s="102">
        <f ca="1">IF(AND(Energy!$F$11=$A$3,Main!$B$43=A9),'Aerodynamics-Cruise'!V26,Y9)</f>
        <v>135017.29642080597</v>
      </c>
      <c r="Z9" s="102">
        <f ca="1">IF(AND(Energy!$F$11=$A$3,Main!$B$43=$A9),Summary!Z26,Z9)</f>
        <v>102216.17370861683</v>
      </c>
      <c r="AA9" s="102">
        <f ca="1">IF(AND(Energy!$F$11=$A$3,Main!$B$43=$A9),Summary!AA26,AA9)</f>
        <v>102216.17370861683</v>
      </c>
      <c r="AB9" s="103">
        <f ca="1">IF(AND(Energy!$F$11=$A$3,Main!$B$43=$A9),Summary!AB26,AB9)</f>
        <v>7.7801406066132133</v>
      </c>
      <c r="AC9" s="103">
        <f ca="1">IF(AND(Energy!$F$11=$A$3,Main!$B$43=$A9),Summary!AC26,AC9)</f>
        <v>2.4468123113202838</v>
      </c>
      <c r="AD9" s="103">
        <f ca="1">IF(AND(Energy!$F$11=$A$3,Main!$B$43=$A9),Summary!AD26,AD9)</f>
        <v>0.45209950716570846</v>
      </c>
      <c r="AE9" s="103">
        <f ca="1">IF(AND(Energy!$F$11=$A$3,Main!$B$43=$A9),Summary!AE26,AE9)</f>
        <v>1.0578947368421054</v>
      </c>
      <c r="AF9" s="103">
        <f ca="1">IF(AND(Energy!$F$11=$A$3,Main!$B$43=$A9),Summary!AF26,AF9)</f>
        <v>26.447368421052627</v>
      </c>
      <c r="AG9" s="103">
        <f ca="1">IF(AND(Energy!$F$11=$A$3,Main!$B$43=$A9),Summary!AG26,AG9)</f>
        <v>12.431160010924222</v>
      </c>
      <c r="AH9" s="103">
        <f ca="1">IF(AND(Energy!$F$11=$A$3,Main!$B$43=$A9),Summary!AH26,AH9)</f>
        <v>47</v>
      </c>
      <c r="AI9" s="103">
        <f ca="1">IF(AND(Energy!$F$11=$A$3,Main!$B$43=$A9),Summary!AI26,AI9)</f>
        <v>2.6819465372655595</v>
      </c>
      <c r="AJ9" s="103">
        <f ca="1">IF(AND(Energy!$F$11=$A$3,Main!$B$43=$A9),Summary!AJ26,AJ9)</f>
        <v>0.27616129703251796</v>
      </c>
      <c r="AK9" s="103">
        <f ca="1">IF(AND(Energy!$F$11=$A$3,Main!$B$43=$A9),Summary!AK26,AK9)</f>
        <v>0.01</v>
      </c>
      <c r="AL9" s="103">
        <f ca="1">IF(AND(Energy!$F$11=$A$3,Main!$B$43=$A9),Summary!AL26,AL9)</f>
        <v>-0.45266164166189449</v>
      </c>
      <c r="AM9" s="103">
        <f ca="1">IF(AND(Energy!$F$11=$A$3,Main!$B$43=$A9),Summary!AM26,AM9)</f>
        <v>0</v>
      </c>
      <c r="AN9" s="6"/>
      <c r="AO9" s="6"/>
    </row>
    <row r="10" spans="1:55">
      <c r="A10">
        <f t="shared" si="1"/>
        <v>1</v>
      </c>
      <c r="C10" s="104"/>
      <c r="D10" s="1">
        <f ca="1">IF(AND(Energy!$F$11=$A$3,Main!$B$43=A10),Main!C27,D10)</f>
        <v>5.4473684210526319</v>
      </c>
      <c r="E10" s="103">
        <f ca="1">IF(AND(Energy!$F$11=$A$3,Main!$B$43=A10),Main!B27,E10)</f>
        <v>0.2</v>
      </c>
      <c r="F10" s="103">
        <f ca="1">IF(Main!$D$6=1,U10,IF(Main!$D$6=2,N10,IF(Main!$D$6=3,K10,IF(Main!$D$6=4,V10,J10))))</f>
        <v>613.82297385275149</v>
      </c>
      <c r="G10" s="103">
        <f ca="1">IF(AND(Energy!$F$11=$A$3,Main!$B$43=A10),Weight!H27,G10)</f>
        <v>15</v>
      </c>
      <c r="H10" s="103">
        <f ca="1">IF(AND(Energy!$F$11=$A$3,Main!$B$43=A10),Weight!U27,H10)</f>
        <v>14.758336656003038</v>
      </c>
      <c r="I10" s="103">
        <f ca="1">IF(AND(Energy!$F$11=$A$3,Main!$B$43=A10),Weight!V27,I10)</f>
        <v>50.990357160893836</v>
      </c>
      <c r="J10" s="103">
        <f ca="1">IF(AND(Energy!$F$11=$A$3,Main!$B$43=A10),Weight!I27,J10)</f>
        <v>31.294372229890794</v>
      </c>
      <c r="K10" s="103">
        <f ca="1">IF(AND(Energy!$F$11=$A$3,Main!$B$43=A10),Weight!W27,K10)</f>
        <v>65.990356582260532</v>
      </c>
      <c r="L10" s="103">
        <f ca="1">IF(AND(Energy!$F$11=$A$3,Main!$B$43=A10),'Aerodynamics-Cruise'!BI27,L10)</f>
        <v>65.990357744259342</v>
      </c>
      <c r="M10" s="103">
        <f ca="1">IF(AND(Energy!$F$11=$A$3,Main!$B$43=A10),'Aerodynamics-Cruise'!BJ27,M10)</f>
        <v>3.0392366673973434</v>
      </c>
      <c r="N10" s="103">
        <f ca="1">IF(AND(Energy!$F$11=$A$3,Main!$B$43=A10),'Aerodynamics-Cruise'!BK27,N10)</f>
        <v>21.712806525452432</v>
      </c>
      <c r="O10" s="103">
        <f t="shared" ca="1" si="0"/>
        <v>176.38278837060716</v>
      </c>
      <c r="P10" s="103">
        <f ca="1">IF(AND(Energy!$F$11=$A$3,Main!$B$43=A10),'Aerodynamics-Cruise'!H27,P10)</f>
        <v>10.512753765820669</v>
      </c>
      <c r="Q10" s="103">
        <f ca="1">IF(AND(Energy!$F$11=$A$3,Main!$B$43=A10),'Aerodynamics-Cruise'!I27,Q10)</f>
        <v>8.9916527703427711</v>
      </c>
      <c r="R10" s="103">
        <f ca="1">IF(AND(Energy!$F$11=$A$3,Main!$B$43=$A10),Summary!R27,R10)</f>
        <v>7.6277239259810159</v>
      </c>
      <c r="S10" s="103">
        <f ca="1">IF(AND(Energy!$F$11=$A$3,Main!$B$43=A10),'Aerodynamics-Cruise'!W27,S10)</f>
        <v>1</v>
      </c>
      <c r="T10" s="103">
        <f ca="1">IF(AND(Energy!$F$11=$A$3,Main!$B$43=A10),'Aerodynamics-Cruise'!BL27,T10)</f>
        <v>31.950746720401682</v>
      </c>
      <c r="U10" s="103">
        <f ca="1">IF(AND(Energy!$F$11=$A$3,Main!$B$43=A10),'Propulsion-Cruise'!M27,U10)</f>
        <v>65.582042968337518</v>
      </c>
      <c r="V10" s="103">
        <f ca="1">IF(AND(Energy!$F$11=$A$3,Main!$B$43=A10),Endurance!AP27,V10)</f>
        <v>613.82297385275149</v>
      </c>
      <c r="W10" s="103">
        <f ca="1">IF(AND(Energy!$F$11=$A$3,Main!$B$43=$A10),Summary!W27,W10)</f>
        <v>1.0894736842105264</v>
      </c>
      <c r="X10" s="13">
        <f ca="1">IF(AND(Energy!$F$11=$A$3,Main!$B$43=A10),Energy!D27,X10)</f>
        <v>406.52088811788178</v>
      </c>
      <c r="Y10" s="102">
        <f ca="1">IF(AND(Energy!$F$11=$A$3,Main!$B$43=A10),'Aerodynamics-Cruise'!V27,Y10)</f>
        <v>133349.614743518</v>
      </c>
      <c r="Z10" s="102">
        <f ca="1">IF(AND(Energy!$F$11=$A$3,Main!$B$43=$A10),Summary!Z27,Z10)</f>
        <v>101002.80646219653</v>
      </c>
      <c r="AA10" s="102">
        <f ca="1">IF(AND(Energy!$F$11=$A$3,Main!$B$43=$A10),Summary!AA27,AA10)</f>
        <v>101002.80646219653</v>
      </c>
      <c r="AB10" s="103">
        <f ca="1">IF(AND(Energy!$F$11=$A$3,Main!$B$43=$A10),Summary!AB27,AB10)</f>
        <v>7.6277239259810159</v>
      </c>
      <c r="AC10" s="103">
        <f ca="1">IF(AND(Energy!$F$11=$A$3,Main!$B$43=$A10),Summary!AC27,AC10)</f>
        <v>2.4125572579010046</v>
      </c>
      <c r="AD10" s="103">
        <f ca="1">IF(AND(Energy!$F$11=$A$3,Main!$B$43=$A10),Summary!AD27,AD10)</f>
        <v>0.44957808310726877</v>
      </c>
      <c r="AE10" s="103">
        <f ca="1">IF(AND(Energy!$F$11=$A$3,Main!$B$43=$A10),Summary!AE27,AE10)</f>
        <v>1.0894736842105264</v>
      </c>
      <c r="AF10" s="103">
        <f ca="1">IF(AND(Energy!$F$11=$A$3,Main!$B$43=$A10),Summary!AF27,AF10)</f>
        <v>27.236842105263158</v>
      </c>
      <c r="AG10" s="103">
        <f ca="1">IF(AND(Energy!$F$11=$A$3,Main!$B$43=$A10),Summary!AG27,AG10)</f>
        <v>12.416588282702484</v>
      </c>
      <c r="AH10" s="103">
        <f ca="1">IF(AND(Energy!$F$11=$A$3,Main!$B$43=$A10),Summary!AH27,AH10)</f>
        <v>47</v>
      </c>
      <c r="AI10" s="103">
        <f ca="1">IF(AND(Energy!$F$11=$A$3,Main!$B$43=$A10),Summary!AI27,AI10)</f>
        <v>2.6792300948103716</v>
      </c>
      <c r="AJ10" s="103">
        <f ca="1">IF(AND(Energy!$F$11=$A$3,Main!$B$43=$A10),Summary!AJ27,AJ10)</f>
        <v>0.27706314905812907</v>
      </c>
      <c r="AK10" s="103">
        <f ca="1">IF(AND(Energy!$F$11=$A$3,Main!$B$43=$A10),Summary!AK27,AK10)</f>
        <v>0.01</v>
      </c>
      <c r="AL10" s="103">
        <f ca="1">IF(AND(Energy!$F$11=$A$3,Main!$B$43=$A10),Summary!AL27,AL10)</f>
        <v>-0.45118816279868179</v>
      </c>
      <c r="AM10" s="103">
        <f ca="1">IF(AND(Energy!$F$11=$A$3,Main!$B$43=$A10),Summary!AM27,AM10)</f>
        <v>0</v>
      </c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</row>
    <row r="11" spans="1:55">
      <c r="A11">
        <f t="shared" si="1"/>
        <v>1</v>
      </c>
      <c r="C11" s="100"/>
      <c r="D11" s="1">
        <f ca="1">IF(AND(Energy!$F$11=$A$3,Main!$B$43=A11),Main!C28,D11)</f>
        <v>5.6052631578947372</v>
      </c>
      <c r="E11" s="103">
        <f ca="1">IF(AND(Energy!$F$11=$A$3,Main!$B$43=A11),Main!B28,E11)</f>
        <v>0.2</v>
      </c>
      <c r="F11" s="103">
        <f ca="1">IF(Main!$D$6=1,U11,IF(Main!$D$6=2,N11,IF(Main!$D$6=3,K11,IF(Main!$D$6=4,V11,J11))))</f>
        <v>612.71580566258865</v>
      </c>
      <c r="G11" s="103">
        <f ca="1">IF(AND(Energy!$F$11=$A$3,Main!$B$43=A11),Weight!H28,G11)</f>
        <v>15</v>
      </c>
      <c r="H11" s="103">
        <f ca="1">IF(AND(Energy!$F$11=$A$3,Main!$B$43=A11),Weight!U28,H11)</f>
        <v>15.166632894508652</v>
      </c>
      <c r="I11" s="103">
        <f ca="1">IF(AND(Energy!$F$11=$A$3,Main!$B$43=A11),Weight!V28,I11)</f>
        <v>51.342505099383004</v>
      </c>
      <c r="J11" s="103">
        <f ca="1">IF(AND(Energy!$F$11=$A$3,Main!$B$43=A11),Weight!I28,J11)</f>
        <v>31.238223929874355</v>
      </c>
      <c r="K11" s="103">
        <f ca="1">IF(AND(Energy!$F$11=$A$3,Main!$B$43=A11),Weight!W28,K11)</f>
        <v>66.342504784179766</v>
      </c>
      <c r="L11" s="103">
        <f ca="1">IF(AND(Energy!$F$11=$A$3,Main!$B$43=A11),'Aerodynamics-Cruise'!BI28,L11)</f>
        <v>66.342505416412791</v>
      </c>
      <c r="M11" s="103">
        <f ca="1">IF(AND(Energy!$F$11=$A$3,Main!$B$43=A11),'Aerodynamics-Cruise'!BJ28,M11)</f>
        <v>3.0561432067273882</v>
      </c>
      <c r="N11" s="103">
        <f ca="1">IF(AND(Energy!$F$11=$A$3,Main!$B$43=A11),'Aerodynamics-Cruise'!BK28,N11)</f>
        <v>21.707917767195987</v>
      </c>
      <c r="O11" s="103">
        <f t="shared" ca="1" si="0"/>
        <v>176.81296299333653</v>
      </c>
      <c r="P11" s="103">
        <f ca="1">IF(AND(Energy!$F$11=$A$3,Main!$B$43=A11),'Aerodynamics-Cruise'!H28,P11)</f>
        <v>10.39122434166716</v>
      </c>
      <c r="Q11" s="103">
        <f ca="1">IF(AND(Energy!$F$11=$A$3,Main!$B$43=A11),'Aerodynamics-Cruise'!I28,Q11)</f>
        <v>8.8919212128009999</v>
      </c>
      <c r="R11" s="103">
        <f ca="1">IF(AND(Energy!$F$11=$A$3,Main!$B$43=$A11),Summary!R28,R11)</f>
        <v>7.4961851939394144</v>
      </c>
      <c r="S11" s="103">
        <f ca="1">IF(AND(Energy!$F$11=$A$3,Main!$B$43=A11),'Aerodynamics-Cruise'!W28,S11)</f>
        <v>1</v>
      </c>
      <c r="T11" s="103">
        <f ca="1">IF(AND(Energy!$F$11=$A$3,Main!$B$43=A11),'Aerodynamics-Cruise'!BL28,T11)</f>
        <v>31.757069681366367</v>
      </c>
      <c r="U11" s="103">
        <f ca="1">IF(AND(Energy!$F$11=$A$3,Main!$B$43=A11),'Propulsion-Cruise'!M28,U11)</f>
        <v>65.353839242919264</v>
      </c>
      <c r="V11" s="103">
        <f ca="1">IF(AND(Energy!$F$11=$A$3,Main!$B$43=A11),Endurance!AP28,V11)</f>
        <v>612.71580566258865</v>
      </c>
      <c r="W11" s="103">
        <f ca="1">IF(AND(Energy!$F$11=$A$3,Main!$B$43=$A11),Summary!W28,W11)</f>
        <v>1.1210526315789475</v>
      </c>
      <c r="X11" s="13">
        <f ca="1">IF(AND(Energy!$F$11=$A$3,Main!$B$43=A11),Energy!D28,X11)</f>
        <v>406.48973952040313</v>
      </c>
      <c r="Y11" s="102">
        <f ca="1">IF(AND(Energy!$F$11=$A$3,Main!$B$43=A11),'Aerodynamics-Cruise'!V28,Y11)</f>
        <v>131808.06794694401</v>
      </c>
      <c r="Z11" s="102">
        <f ca="1">IF(AND(Energy!$F$11=$A$3,Main!$B$43=$A11),Summary!Z28,Z11)</f>
        <v>99880.679575138274</v>
      </c>
      <c r="AA11" s="102">
        <f ca="1">IF(AND(Energy!$F$11=$A$3,Main!$B$43=$A11),Summary!AA28,AA11)</f>
        <v>99880.679575138274</v>
      </c>
      <c r="AB11" s="103">
        <f ca="1">IF(AND(Energy!$F$11=$A$3,Main!$B$43=$A11),Summary!AB28,AB11)</f>
        <v>7.4961851939394144</v>
      </c>
      <c r="AC11" s="103">
        <f ca="1">IF(AND(Energy!$F$11=$A$3,Main!$B$43=$A11),Summary!AC28,AC11)</f>
        <v>2.3777695854527718</v>
      </c>
      <c r="AD11" s="103">
        <f ca="1">IF(AND(Energy!$F$11=$A$3,Main!$B$43=$A11),Summary!AD28,AD11)</f>
        <v>0.44739351486924783</v>
      </c>
      <c r="AE11" s="103">
        <f ca="1">IF(AND(Energy!$F$11=$A$3,Main!$B$43=$A11),Summary!AE28,AE11)</f>
        <v>1.1210526315789475</v>
      </c>
      <c r="AF11" s="103">
        <f ca="1">IF(AND(Energy!$F$11=$A$3,Main!$B$43=$A11),Summary!AF28,AF11)</f>
        <v>28.026315789473685</v>
      </c>
      <c r="AG11" s="103">
        <f ca="1">IF(AND(Energy!$F$11=$A$3,Main!$B$43=$A11),Summary!AG28,AG11)</f>
        <v>12.412129191780485</v>
      </c>
      <c r="AH11" s="103">
        <f ca="1">IF(AND(Energy!$F$11=$A$3,Main!$B$43=$A11),Summary!AH28,AH11)</f>
        <v>47</v>
      </c>
      <c r="AI11" s="103">
        <f ca="1">IF(AND(Energy!$F$11=$A$3,Main!$B$43=$A11),Summary!AI28,AI11)</f>
        <v>2.6766914275725449</v>
      </c>
      <c r="AJ11" s="103">
        <f ca="1">IF(AND(Energy!$F$11=$A$3,Main!$B$43=$A11),Summary!AJ28,AJ11)</f>
        <v>0.2779144652077325</v>
      </c>
      <c r="AK11" s="103">
        <f ca="1">IF(AND(Energy!$F$11=$A$3,Main!$B$43=$A11),Summary!AK28,AK11)</f>
        <v>0.01</v>
      </c>
      <c r="AL11" s="103">
        <f ca="1">IF(AND(Energy!$F$11=$A$3,Main!$B$43=$A11),Summary!AL28,AL11)</f>
        <v>-0.44980598245268943</v>
      </c>
      <c r="AM11" s="103">
        <f ca="1">IF(AND(Energy!$F$11=$A$3,Main!$B$43=$A11),Summary!AM28,AM11)</f>
        <v>0</v>
      </c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0"/>
      <c r="BA11" s="100"/>
      <c r="BB11" s="100"/>
    </row>
    <row r="12" spans="1:55">
      <c r="A12">
        <f t="shared" si="1"/>
        <v>1</v>
      </c>
      <c r="C12" s="103"/>
      <c r="D12" s="1">
        <f ca="1">IF(AND(Energy!$F$11=$A$3,Main!$B$43=A12),Main!C29,D12)</f>
        <v>5.7631578947368425</v>
      </c>
      <c r="E12" s="103">
        <f ca="1">IF(AND(Energy!$F$11=$A$3,Main!$B$43=A12),Main!B29,E12)</f>
        <v>0.2</v>
      </c>
      <c r="F12" s="103">
        <f ca="1">IF(Main!$D$6=1,U12,IF(Main!$D$6=2,N12,IF(Main!$D$6=3,K12,IF(Main!$D$6=4,V12,J12))))</f>
        <v>612.40088933193897</v>
      </c>
      <c r="G12" s="103">
        <f ca="1">IF(AND(Energy!$F$11=$A$3,Main!$B$43=A12),Weight!H29,G12)</f>
        <v>15</v>
      </c>
      <c r="H12" s="103">
        <f ca="1">IF(AND(Energy!$F$11=$A$3,Main!$B$43=A12),Weight!U29,H12)</f>
        <v>15.586219185401745</v>
      </c>
      <c r="I12" s="103">
        <f ca="1">IF(AND(Energy!$F$11=$A$3,Main!$B$43=A12),Weight!V29,I12)</f>
        <v>51.741941946367064</v>
      </c>
      <c r="J12" s="103">
        <f ca="1">IF(AND(Energy!$F$11=$A$3,Main!$B$43=A12),Weight!I29,J12)</f>
        <v>31.218074485965314</v>
      </c>
      <c r="K12" s="103">
        <f ca="1">IF(AND(Energy!$F$11=$A$3,Main!$B$43=A12),Weight!W29,K12)</f>
        <v>66.741941870587354</v>
      </c>
      <c r="L12" s="103">
        <f ca="1">IF(AND(Energy!$F$11=$A$3,Main!$B$43=A12),'Aerodynamics-Cruise'!BI29,L12)</f>
        <v>66.741942021464851</v>
      </c>
      <c r="M12" s="103">
        <f ca="1">IF(AND(Energy!$F$11=$A$3,Main!$B$43=A12),'Aerodynamics-Cruise'!BJ29,M12)</f>
        <v>3.0753108504323454</v>
      </c>
      <c r="N12" s="103">
        <f ca="1">IF(AND(Energy!$F$11=$A$3,Main!$B$43=A12),'Aerodynamics-Cruise'!BK29,N12)</f>
        <v>21.702502695648434</v>
      </c>
      <c r="O12" s="103">
        <f t="shared" ca="1" si="0"/>
        <v>177.30020531699935</v>
      </c>
      <c r="P12" s="103">
        <f ca="1">IF(AND(Energy!$F$11=$A$3,Main!$B$43=A12),'Aerodynamics-Cruise'!H29,P12)</f>
        <v>10.278676161049379</v>
      </c>
      <c r="Q12" s="103">
        <f ca="1">IF(AND(Energy!$F$11=$A$3,Main!$B$43=A12),'Aerodynamics-Cruise'!I29,Q12)</f>
        <v>8.7995172940047208</v>
      </c>
      <c r="R12" s="103">
        <f ca="1">IF(AND(Energy!$F$11=$A$3,Main!$B$43=$A12),Summary!R29,R12)</f>
        <v>7.3829794062793521</v>
      </c>
      <c r="S12" s="103">
        <f ca="1">IF(AND(Energy!$F$11=$A$3,Main!$B$43=A12),'Aerodynamics-Cruise'!W29,S12)</f>
        <v>1</v>
      </c>
      <c r="T12" s="103">
        <f ca="1">IF(AND(Energy!$F$11=$A$3,Main!$B$43=A12),'Aerodynamics-Cruise'!BL29,T12)</f>
        <v>31.610124326155443</v>
      </c>
      <c r="U12" s="103">
        <f ca="1">IF(AND(Energy!$F$11=$A$3,Main!$B$43=A12),'Propulsion-Cruise'!M29,U12)</f>
        <v>65.213326341655559</v>
      </c>
      <c r="V12" s="103">
        <f ca="1">IF(AND(Energy!$F$11=$A$3,Main!$B$43=A12),Endurance!AP29,V12)</f>
        <v>612.40088933193897</v>
      </c>
      <c r="W12" s="103">
        <f ca="1">IF(AND(Energy!$F$11=$A$3,Main!$B$43=$A12),Summary!W29,W12)</f>
        <v>1.1526315789473685</v>
      </c>
      <c r="X12" s="13">
        <f ca="1">IF(AND(Energy!$F$11=$A$3,Main!$B$43=A12),Energy!D29,X12)</f>
        <v>406.47856156762094</v>
      </c>
      <c r="Y12" s="102">
        <f ca="1">IF(AND(Energy!$F$11=$A$3,Main!$B$43=A12),'Aerodynamics-Cruise'!V29,Y12)</f>
        <v>130380.44423770619</v>
      </c>
      <c r="Z12" s="102">
        <f ca="1">IF(AND(Energy!$F$11=$A$3,Main!$B$43=$A12),Summary!Z29,Z12)</f>
        <v>98841.018169763498</v>
      </c>
      <c r="AA12" s="102">
        <f ca="1">IF(AND(Energy!$F$11=$A$3,Main!$B$43=$A12),Summary!AA29,AA12)</f>
        <v>98841.018169763498</v>
      </c>
      <c r="AB12" s="103">
        <f ca="1">IF(AND(Energy!$F$11=$A$3,Main!$B$43=$A12),Summary!AB29,AB12)</f>
        <v>7.3829794062793521</v>
      </c>
      <c r="AC12" s="103">
        <f ca="1">IF(AND(Energy!$F$11=$A$3,Main!$B$43=$A12),Summary!AC29,AC12)</f>
        <v>2.3426396169589467</v>
      </c>
      <c r="AD12" s="103">
        <f ca="1">IF(AND(Energy!$F$11=$A$3,Main!$B$43=$A12),Summary!AD29,AD12)</f>
        <v>0.44551213407559448</v>
      </c>
      <c r="AE12" s="103">
        <f ca="1">IF(AND(Energy!$F$11=$A$3,Main!$B$43=$A12),Summary!AE29,AE12)</f>
        <v>1.1526315789473685</v>
      </c>
      <c r="AF12" s="103">
        <f ca="1">IF(AND(Energy!$F$11=$A$3,Main!$B$43=$A12),Summary!AF29,AF12)</f>
        <v>28.815789473684212</v>
      </c>
      <c r="AG12" s="103">
        <f ca="1">IF(AND(Energy!$F$11=$A$3,Main!$B$43=$A12),Summary!AG29,AG12)</f>
        <v>12.416698071227319</v>
      </c>
      <c r="AH12" s="103">
        <f ca="1">IF(AND(Energy!$F$11=$A$3,Main!$B$43=$A12),Summary!AH29,AH12)</f>
        <v>47</v>
      </c>
      <c r="AI12" s="103">
        <f ca="1">IF(AND(Energy!$F$11=$A$3,Main!$B$43=$A12),Summary!AI29,AI12)</f>
        <v>2.6743161152458068</v>
      </c>
      <c r="AJ12" s="103">
        <f ca="1">IF(AND(Energy!$F$11=$A$3,Main!$B$43=$A12),Summary!AJ29,AJ12)</f>
        <v>0.27871490565109341</v>
      </c>
      <c r="AK12" s="103">
        <f ca="1">IF(AND(Energy!$F$11=$A$3,Main!$B$43=$A12),Summary!AK29,AK12)</f>
        <v>0.01</v>
      </c>
      <c r="AL12" s="103">
        <f ca="1">IF(AND(Energy!$F$11=$A$3,Main!$B$43=$A12),Summary!AL29,AL12)</f>
        <v>-0.44851412140506663</v>
      </c>
      <c r="AM12" s="103">
        <f ca="1">IF(AND(Energy!$F$11=$A$3,Main!$B$43=$A12),Summary!AM29,AM12)</f>
        <v>0</v>
      </c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</row>
    <row r="13" spans="1:55">
      <c r="A13">
        <f t="shared" si="1"/>
        <v>1</v>
      </c>
      <c r="C13" s="103"/>
      <c r="D13" s="1">
        <f ca="1">IF(AND(Energy!$F$11=$A$3,Main!$B$43=A13),Main!C30,D13)</f>
        <v>5.9210526315789478</v>
      </c>
      <c r="E13" s="103">
        <f ca="1">IF(AND(Energy!$F$11=$A$3,Main!$B$43=A13),Main!B30,E13)</f>
        <v>0.2</v>
      </c>
      <c r="F13" s="103">
        <f ca="1">IF(Main!$D$6=1,U13,IF(Main!$D$6=2,N13,IF(Main!$D$6=3,K13,IF(Main!$D$6=4,V13,J13))))</f>
        <v>612.79839125549086</v>
      </c>
      <c r="G13" s="103">
        <f ca="1">IF(AND(Energy!$F$11=$A$3,Main!$B$43=A13),Weight!H30,G13)</f>
        <v>15</v>
      </c>
      <c r="H13" s="103">
        <f ca="1">IF(AND(Energy!$F$11=$A$3,Main!$B$43=A13),Weight!U30,H13)</f>
        <v>16.016943434525146</v>
      </c>
      <c r="I13" s="103">
        <f ca="1">IF(AND(Energy!$F$11=$A$3,Main!$B$43=A13),Weight!V30,I13)</f>
        <v>52.184875214554935</v>
      </c>
      <c r="J13" s="103">
        <f ca="1">IF(AND(Energy!$F$11=$A$3,Main!$B$43=A13),Weight!I30,J13)</f>
        <v>31.230283505029785</v>
      </c>
      <c r="K13" s="103">
        <f ca="1">IF(AND(Energy!$F$11=$A$3,Main!$B$43=A13),Weight!W30,K13)</f>
        <v>67.184875358126732</v>
      </c>
      <c r="L13" s="103">
        <f ca="1">IF(AND(Energy!$F$11=$A$3,Main!$B$43=A13),'Aerodynamics-Cruise'!BI30,L13)</f>
        <v>67.184875068030664</v>
      </c>
      <c r="M13" s="103">
        <f ca="1">IF(AND(Energy!$F$11=$A$3,Main!$B$43=A13),'Aerodynamics-Cruise'!BJ30,M13)</f>
        <v>3.0965242698875741</v>
      </c>
      <c r="N13" s="103">
        <f ca="1">IF(AND(Energy!$F$11=$A$3,Main!$B$43=A13),'Aerodynamics-Cruise'!BK30,N13)</f>
        <v>21.696866942518735</v>
      </c>
      <c r="O13" s="103">
        <f t="shared" ca="1" si="0"/>
        <v>177.84136480976539</v>
      </c>
      <c r="P13" s="103">
        <f ca="1">IF(AND(Energy!$F$11=$A$3,Main!$B$43=A13),'Aerodynamics-Cruise'!H30,P13)</f>
        <v>10.174278285772699</v>
      </c>
      <c r="Q13" s="103">
        <f ca="1">IF(AND(Energy!$F$11=$A$3,Main!$B$43=A13),'Aerodynamics-Cruise'!I30,Q13)</f>
        <v>8.713767790303514</v>
      </c>
      <c r="R13" s="103">
        <f ca="1">IF(AND(Energy!$F$11=$A$3,Main!$B$43=$A13),Summary!R30,R13)</f>
        <v>7.2860026161263196</v>
      </c>
      <c r="S13" s="103">
        <f ca="1">IF(AND(Energy!$F$11=$A$3,Main!$B$43=A13),'Aerodynamics-Cruise'!W30,S13)</f>
        <v>1</v>
      </c>
      <c r="T13" s="103">
        <f ca="1">IF(AND(Energy!$F$11=$A$3,Main!$B$43=A13),'Aerodynamics-Cruise'!BL30,T13)</f>
        <v>31.504899640485306</v>
      </c>
      <c r="U13" s="103">
        <f ca="1">IF(AND(Energy!$F$11=$A$3,Main!$B$43=A13),'Propulsion-Cruise'!M30,U13)</f>
        <v>65.151446342346517</v>
      </c>
      <c r="V13" s="103">
        <f ca="1">IF(AND(Energy!$F$11=$A$3,Main!$B$43=A13),Endurance!AP30,V13)</f>
        <v>612.79839125549086</v>
      </c>
      <c r="W13" s="103">
        <f ca="1">IF(AND(Energy!$F$11=$A$3,Main!$B$43=$A13),Summary!W30,W13)</f>
        <v>1.1842105263157896</v>
      </c>
      <c r="X13" s="13">
        <f ca="1">IF(AND(Energy!$F$11=$A$3,Main!$B$43=A13),Energy!D30,X13)</f>
        <v>406.48533472383099</v>
      </c>
      <c r="Y13" s="102">
        <f ca="1">IF(AND(Energy!$F$11=$A$3,Main!$B$43=A13),'Aerodynamics-Cruise'!V30,Y13)</f>
        <v>129056.20353367213</v>
      </c>
      <c r="Z13" s="102">
        <f ca="1">IF(AND(Energy!$F$11=$A$3,Main!$B$43=$A13),Summary!Z30,Z13)</f>
        <v>97876.243685408321</v>
      </c>
      <c r="AA13" s="102">
        <f ca="1">IF(AND(Energy!$F$11=$A$3,Main!$B$43=$A13),Summary!AA30,AA13)</f>
        <v>97876.243685408321</v>
      </c>
      <c r="AB13" s="103">
        <f ca="1">IF(AND(Energy!$F$11=$A$3,Main!$B$43=$A13),Summary!AB30,AB13)</f>
        <v>7.2860026161263196</v>
      </c>
      <c r="AC13" s="103">
        <f ca="1">IF(AND(Energy!$F$11=$A$3,Main!$B$43=$A13),Summary!AC30,AC13)</f>
        <v>2.3073214552171826</v>
      </c>
      <c r="AD13" s="103">
        <f ca="1">IF(AND(Energy!$F$11=$A$3,Main!$B$43=$A13),Summary!AD30,AD13)</f>
        <v>0.44390503634722295</v>
      </c>
      <c r="AE13" s="103">
        <f ca="1">IF(AND(Energy!$F$11=$A$3,Main!$B$43=$A13),Summary!AE30,AE13)</f>
        <v>1.1842105263157896</v>
      </c>
      <c r="AF13" s="103">
        <f ca="1">IF(AND(Energy!$F$11=$A$3,Main!$B$43=$A13),Summary!AF30,AF13)</f>
        <v>29.605263157894736</v>
      </c>
      <c r="AG13" s="103">
        <f ca="1">IF(AND(Energy!$F$11=$A$3,Main!$B$43=$A13),Summary!AG30,AG13)</f>
        <v>12.429379807497682</v>
      </c>
      <c r="AH13" s="103">
        <f ca="1">IF(AND(Energy!$F$11=$A$3,Main!$B$43=$A13),Summary!AH30,AH13)</f>
        <v>47</v>
      </c>
      <c r="AI13" s="103">
        <f ca="1">IF(AND(Energy!$F$11=$A$3,Main!$B$43=$A13),Summary!AI30,AI13)</f>
        <v>2.6720915154507443</v>
      </c>
      <c r="AJ13" s="103">
        <f ca="1">IF(AND(Energy!$F$11=$A$3,Main!$B$43=$A13),Summary!AJ30,AJ13)</f>
        <v>0.27946879836353905</v>
      </c>
      <c r="AK13" s="103">
        <f ca="1">IF(AND(Energy!$F$11=$A$3,Main!$B$43=$A13),Summary!AK30,AK13)</f>
        <v>0.01</v>
      </c>
      <c r="AL13" s="103">
        <f ca="1">IF(AND(Energy!$F$11=$A$3,Main!$B$43=$A13),Summary!AL30,AL13)</f>
        <v>-0.44730415917511629</v>
      </c>
      <c r="AM13" s="103">
        <f ca="1">IF(AND(Energy!$F$11=$A$3,Main!$B$43=$A13),Summary!AM30,AM13)</f>
        <v>0</v>
      </c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6"/>
    </row>
    <row r="14" spans="1:55">
      <c r="A14">
        <f t="shared" si="1"/>
        <v>1</v>
      </c>
      <c r="C14" s="103"/>
      <c r="D14" s="1">
        <f ca="1">IF(AND(Energy!$F$11=$A$3,Main!$B$43=A14),Main!C31,D14)</f>
        <v>6.0789473684210531</v>
      </c>
      <c r="E14" s="103">
        <f ca="1">IF(AND(Energy!$F$11=$A$3,Main!$B$43=A14),Main!B31,E14)</f>
        <v>0.2</v>
      </c>
      <c r="F14" s="103">
        <f ca="1">IF(Main!$D$6=1,U14,IF(Main!$D$6=2,N14,IF(Main!$D$6=3,K14,IF(Main!$D$6=4,V14,J14))))</f>
        <v>613.84117604384687</v>
      </c>
      <c r="G14" s="103">
        <f ca="1">IF(AND(Energy!$F$11=$A$3,Main!$B$43=A14),Weight!H31,G14)</f>
        <v>15</v>
      </c>
      <c r="H14" s="103">
        <f ca="1">IF(AND(Energy!$F$11=$A$3,Main!$B$43=A14),Weight!U31,H14)</f>
        <v>16.458693606922466</v>
      </c>
      <c r="I14" s="103">
        <f ca="1">IF(AND(Energy!$F$11=$A$3,Main!$B$43=A14),Weight!V31,I14)</f>
        <v>52.668131526882036</v>
      </c>
      <c r="J14" s="103">
        <f ca="1">IF(AND(Energy!$F$11=$A$3,Main!$B$43=A14),Weight!I31,J14)</f>
        <v>31.271789644959572</v>
      </c>
      <c r="K14" s="103">
        <f ca="1">IF(AND(Energy!$F$11=$A$3,Main!$B$43=A14),Weight!W31,K14)</f>
        <v>67.668131873526832</v>
      </c>
      <c r="L14" s="103">
        <f ca="1">IF(AND(Energy!$F$11=$A$3,Main!$B$43=A14),'Aerodynamics-Cruise'!BI31,L14)</f>
        <v>67.668131175116116</v>
      </c>
      <c r="M14" s="103">
        <f ca="1">IF(AND(Energy!$F$11=$A$3,Main!$B$43=A14),'Aerodynamics-Cruise'!BJ31,M14)</f>
        <v>3.1196006092795812</v>
      </c>
      <c r="N14" s="103">
        <f ca="1">IF(AND(Energy!$F$11=$A$3,Main!$B$43=A14),'Aerodynamics-Cruise'!BK31,N14)</f>
        <v>21.691280279222322</v>
      </c>
      <c r="O14" s="103">
        <f t="shared" ca="1" si="0"/>
        <v>178.43386277612686</v>
      </c>
      <c r="P14" s="103">
        <f ca="1">IF(AND(Energy!$F$11=$A$3,Main!$B$43=A14),'Aerodynamics-Cruise'!H31,P14)</f>
        <v>10.077308713250194</v>
      </c>
      <c r="Q14" s="103">
        <f ca="1">IF(AND(Energy!$F$11=$A$3,Main!$B$43=A14),'Aerodynamics-Cruise'!I31,Q14)</f>
        <v>8.6340873524953849</v>
      </c>
      <c r="R14" s="103">
        <f ca="1">IF(AND(Energy!$F$11=$A$3,Main!$B$43=$A14),Summary!R31,R14)</f>
        <v>7.2035014069756649</v>
      </c>
      <c r="S14" s="103">
        <f ca="1">IF(AND(Energy!$F$11=$A$3,Main!$B$43=A14),'Aerodynamics-Cruise'!W31,S14)</f>
        <v>1</v>
      </c>
      <c r="T14" s="103">
        <f ca="1">IF(AND(Energy!$F$11=$A$3,Main!$B$43=A14),'Aerodynamics-Cruise'!BL31,T14)</f>
        <v>31.437178401753737</v>
      </c>
      <c r="U14" s="103">
        <f ca="1">IF(AND(Energy!$F$11=$A$3,Main!$B$43=A14),'Propulsion-Cruise'!M31,U14)</f>
        <v>65.160577043170321</v>
      </c>
      <c r="V14" s="103">
        <f ca="1">IF(AND(Energy!$F$11=$A$3,Main!$B$43=A14),Endurance!AP31,V14)</f>
        <v>613.84117604384687</v>
      </c>
      <c r="W14" s="103">
        <f ca="1">IF(AND(Energy!$F$11=$A$3,Main!$B$43=$A14),Summary!W31,W14)</f>
        <v>1.2157894736842108</v>
      </c>
      <c r="X14" s="13">
        <f ca="1">IF(AND(Energy!$F$11=$A$3,Main!$B$43=A14),Energy!D31,X14)</f>
        <v>406.50836068649426</v>
      </c>
      <c r="Y14" s="102">
        <f ca="1">IF(AND(Energy!$F$11=$A$3,Main!$B$43=A14),'Aerodynamics-Cruise'!V31,Y14)</f>
        <v>127826.1875525349</v>
      </c>
      <c r="Z14" s="102">
        <f ca="1">IF(AND(Energy!$F$11=$A$3,Main!$B$43=$A14),Summary!Z31,Z14)</f>
        <v>96979.766944204486</v>
      </c>
      <c r="AA14" s="102">
        <f ca="1">IF(AND(Energy!$F$11=$A$3,Main!$B$43=$A14),Summary!AA31,AA14)</f>
        <v>96979.766944204486</v>
      </c>
      <c r="AB14" s="103">
        <f ca="1">IF(AND(Energy!$F$11=$A$3,Main!$B$43=$A14),Summary!AB31,AB14)</f>
        <v>7.2035014069756649</v>
      </c>
      <c r="AC14" s="103">
        <f ca="1">IF(AND(Energy!$F$11=$A$3,Main!$B$43=$A14),Summary!AC31,AC14)</f>
        <v>2.2719408541722359</v>
      </c>
      <c r="AD14" s="103">
        <f ca="1">IF(AND(Energy!$F$11=$A$3,Main!$B$43=$A14),Summary!AD31,AD14)</f>
        <v>0.44254724102657866</v>
      </c>
      <c r="AE14" s="103">
        <f ca="1">IF(AND(Energy!$F$11=$A$3,Main!$B$43=$A14),Summary!AE31,AE14)</f>
        <v>1.2157894736842108</v>
      </c>
      <c r="AF14" s="103">
        <f ca="1">IF(AND(Energy!$F$11=$A$3,Main!$B$43=$A14),Summary!AF31,AF14)</f>
        <v>30.394736842105264</v>
      </c>
      <c r="AG14" s="103">
        <f ca="1">IF(AND(Energy!$F$11=$A$3,Main!$B$43=$A14),Summary!AG31,AG14)</f>
        <v>12.449397017954395</v>
      </c>
      <c r="AH14" s="103">
        <f ca="1">IF(AND(Energy!$F$11=$A$3,Main!$B$43=$A14),Summary!AH31,AH14)</f>
        <v>47</v>
      </c>
      <c r="AI14" s="103">
        <f ca="1">IF(AND(Energy!$F$11=$A$3,Main!$B$43=$A14),Summary!AI31,AI14)</f>
        <v>2.6700064736536424</v>
      </c>
      <c r="AJ14" s="103">
        <f ca="1">IF(AND(Energy!$F$11=$A$3,Main!$B$43=$A14),Summary!AJ31,AJ14)</f>
        <v>0.2801800826572855</v>
      </c>
      <c r="AK14" s="103">
        <f ca="1">IF(AND(Energy!$F$11=$A$3,Main!$B$43=$A14),Summary!AK31,AK14)</f>
        <v>0.01</v>
      </c>
      <c r="AL14" s="103">
        <f ca="1">IF(AND(Energy!$F$11=$A$3,Main!$B$43=$A14),Summary!AL31,AL14)</f>
        <v>-0.44616854715095394</v>
      </c>
      <c r="AM14" s="103">
        <f ca="1">IF(AND(Energy!$F$11=$A$3,Main!$B$43=$A14),Summary!AM31,AM14)</f>
        <v>0</v>
      </c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6"/>
    </row>
    <row r="15" spans="1:55">
      <c r="A15">
        <f t="shared" si="1"/>
        <v>1</v>
      </c>
      <c r="C15" s="103"/>
      <c r="D15" s="1">
        <f ca="1">IF(AND(Energy!$F$11=$A$3,Main!$B$43=A15),Main!C32,D15)</f>
        <v>6.2368421052631584</v>
      </c>
      <c r="E15" s="103">
        <f ca="1">IF(AND(Energy!$F$11=$A$3,Main!$B$43=A15),Main!B32,E15)</f>
        <v>0.2</v>
      </c>
      <c r="F15" s="103">
        <f ca="1">IF(Main!$D$6=1,U15,IF(Main!$D$6=2,N15,IF(Main!$D$6=3,K15,IF(Main!$D$6=4,V15,J15))))</f>
        <v>615.47242598035064</v>
      </c>
      <c r="G15" s="103">
        <f ca="1">IF(AND(Energy!$F$11=$A$3,Main!$B$43=A15),Weight!H32,G15)</f>
        <v>15</v>
      </c>
      <c r="H15" s="103">
        <f ca="1">IF(AND(Energy!$F$11=$A$3,Main!$B$43=A15),Weight!U32,H15)</f>
        <v>16.911390769494382</v>
      </c>
      <c r="I15" s="103">
        <f ca="1">IF(AND(Energy!$F$11=$A$3,Main!$B$43=A15),Weight!V32,I15)</f>
        <v>53.189041072364589</v>
      </c>
      <c r="J15" s="103">
        <f ca="1">IF(AND(Energy!$F$11=$A$3,Main!$B$43=A15),Weight!I32,J15)</f>
        <v>31.340002027870206</v>
      </c>
      <c r="K15" s="103">
        <f ca="1">IF(AND(Energy!$F$11=$A$3,Main!$B$43=A15),Weight!W32,K15)</f>
        <v>68.189041607902936</v>
      </c>
      <c r="L15" s="103">
        <f ca="1">IF(AND(Energy!$F$11=$A$3,Main!$B$43=A15),'Aerodynamics-Cruise'!BI32,L15)</f>
        <v>68.189040529739913</v>
      </c>
      <c r="M15" s="103">
        <f ca="1">IF(AND(Energy!$F$11=$A$3,Main!$B$43=A15),'Aerodynamics-Cruise'!BJ32,M15)</f>
        <v>3.1443836318230112</v>
      </c>
      <c r="N15" s="103">
        <f ca="1">IF(AND(Energy!$F$11=$A$3,Main!$B$43=A15),'Aerodynamics-Cruise'!BK32,N15)</f>
        <v>21.685979992907587</v>
      </c>
      <c r="O15" s="103">
        <f t="shared" ca="1" si="0"/>
        <v>179.07557016026914</v>
      </c>
      <c r="P15" s="103">
        <f ca="1">IF(AND(Energy!$F$11=$A$3,Main!$B$43=A15),'Aerodynamics-Cruise'!H32,P15)</f>
        <v>9.9871362567145141</v>
      </c>
      <c r="Q15" s="103">
        <f ca="1">IF(AND(Energy!$F$11=$A$3,Main!$B$43=A15),'Aerodynamics-Cruise'!I32,Q15)</f>
        <v>8.559963929272504</v>
      </c>
      <c r="R15" s="103">
        <f ca="1">IF(AND(Energy!$F$11=$A$3,Main!$B$43=$A15),Summary!R32,R15)</f>
        <v>7.1340036951337256</v>
      </c>
      <c r="S15" s="103">
        <f ca="1">IF(AND(Energy!$F$11=$A$3,Main!$B$43=A15),'Aerodynamics-Cruise'!W32,S15)</f>
        <v>1</v>
      </c>
      <c r="T15" s="103">
        <f ca="1">IF(AND(Energy!$F$11=$A$3,Main!$B$43=A15),'Aerodynamics-Cruise'!BL32,T15)</f>
        <v>31.403387774399256</v>
      </c>
      <c r="U15" s="103">
        <f ca="1">IF(AND(Energy!$F$11=$A$3,Main!$B$43=A15),'Propulsion-Cruise'!M32,U15)</f>
        <v>65.23426265193433</v>
      </c>
      <c r="V15" s="103">
        <f ca="1">IF(AND(Energy!$F$11=$A$3,Main!$B$43=A15),Endurance!AP32,V15)</f>
        <v>615.47242598035064</v>
      </c>
      <c r="W15" s="103">
        <f ca="1">IF(AND(Energy!$F$11=$A$3,Main!$B$43=$A15),Summary!W32,W15)</f>
        <v>1.2473684210526317</v>
      </c>
      <c r="X15" s="13">
        <f ca="1">IF(AND(Energy!$F$11=$A$3,Main!$B$43=A15),Energy!D32,X15)</f>
        <v>406.54620214635764</v>
      </c>
      <c r="Y15" s="102">
        <f ca="1">IF(AND(Energy!$F$11=$A$3,Main!$B$43=A15),'Aerodynamics-Cruise'!V32,Y15)</f>
        <v>126682.38997034445</v>
      </c>
      <c r="Z15" s="102">
        <f ca="1">IF(AND(Energy!$F$11=$A$3,Main!$B$43=$A15),Summary!Z32,Z15)</f>
        <v>96145.824015369231</v>
      </c>
      <c r="AA15" s="102">
        <f ca="1">IF(AND(Energy!$F$11=$A$3,Main!$B$43=$A15),Summary!AA32,AA15)</f>
        <v>96145.824015369231</v>
      </c>
      <c r="AB15" s="103">
        <f ca="1">IF(AND(Energy!$F$11=$A$3,Main!$B$43=$A15),Summary!AB32,AB15)</f>
        <v>7.1340036951337256</v>
      </c>
      <c r="AC15" s="103">
        <f ca="1">IF(AND(Energy!$F$11=$A$3,Main!$B$43=$A15),Summary!AC32,AC15)</f>
        <v>2.2366018758565125</v>
      </c>
      <c r="AD15" s="103">
        <f ca="1">IF(AND(Energy!$F$11=$A$3,Main!$B$43=$A15),Summary!AD32,AD15)</f>
        <v>0.44141702646406966</v>
      </c>
      <c r="AE15" s="103">
        <f ca="1">IF(AND(Energy!$F$11=$A$3,Main!$B$43=$A15),Summary!AE32,AE15)</f>
        <v>1.2473684210526317</v>
      </c>
      <c r="AF15" s="103">
        <f ca="1">IF(AND(Energy!$F$11=$A$3,Main!$B$43=$A15),Summary!AF32,AF15)</f>
        <v>31.184210526315795</v>
      </c>
      <c r="AG15" s="103">
        <f ca="1">IF(AND(Energy!$F$11=$A$3,Main!$B$43=$A15),Summary!AG32,AG15)</f>
        <v>12.476085166730259</v>
      </c>
      <c r="AH15" s="103">
        <f ca="1">IF(AND(Energy!$F$11=$A$3,Main!$B$43=$A15),Summary!AH32,AH15)</f>
        <v>47</v>
      </c>
      <c r="AI15" s="103">
        <f ca="1">IF(AND(Energy!$F$11=$A$3,Main!$B$43=$A15),Summary!AI32,AI15)</f>
        <v>2.6680510906847896</v>
      </c>
      <c r="AJ15" s="103">
        <f ca="1">IF(AND(Energy!$F$11=$A$3,Main!$B$43=$A15),Summary!AJ32,AJ15)</f>
        <v>0.28085096941874638</v>
      </c>
      <c r="AK15" s="103">
        <f ca="1">IF(AND(Energy!$F$11=$A$3,Main!$B$43=$A15),Summary!AK32,AK15)</f>
        <v>0.01</v>
      </c>
      <c r="AL15" s="103">
        <f ca="1">IF(AND(Energy!$F$11=$A$3,Main!$B$43=$A15),Summary!AL32,AL15)</f>
        <v>-0.44510270846847122</v>
      </c>
      <c r="AM15" s="103">
        <f ca="1">IF(AND(Energy!$F$11=$A$3,Main!$B$43=$A15),Summary!AM32,AM15)</f>
        <v>0</v>
      </c>
      <c r="AN15" s="103"/>
      <c r="AO15" s="103"/>
      <c r="AP15" s="103"/>
      <c r="AQ15" s="103"/>
      <c r="AR15" s="100"/>
      <c r="AS15" s="103"/>
      <c r="AT15" s="100"/>
      <c r="AU15" s="103"/>
      <c r="AV15" s="103"/>
      <c r="AW15" s="103"/>
      <c r="AX15" s="103"/>
      <c r="AY15" s="103"/>
      <c r="AZ15" s="100"/>
      <c r="BA15" s="100"/>
      <c r="BB15" s="100"/>
      <c r="BC15" s="6"/>
    </row>
    <row r="16" spans="1:55">
      <c r="A16">
        <f t="shared" si="1"/>
        <v>1</v>
      </c>
      <c r="C16" s="103"/>
      <c r="D16" s="1">
        <f ca="1">IF(AND(Energy!$F$11=$A$3,Main!$B$43=A16),Main!C33,D16)</f>
        <v>6.3947368421052637</v>
      </c>
      <c r="E16" s="103">
        <f ca="1">IF(AND(Energy!$F$11=$A$3,Main!$B$43=A16),Main!B33,E16)</f>
        <v>0.2</v>
      </c>
      <c r="F16" s="103">
        <f ca="1">IF(Main!$D$6=1,U16,IF(Main!$D$6=2,N16,IF(Main!$D$6=3,K16,IF(Main!$D$6=4,V16,J16))))</f>
        <v>617.64378251413257</v>
      </c>
      <c r="G16" s="103">
        <f ca="1">IF(AND(Energy!$F$11=$A$3,Main!$B$43=A16),Weight!H33,G16)</f>
        <v>15</v>
      </c>
      <c r="H16" s="103">
        <f ca="1">IF(AND(Energy!$F$11=$A$3,Main!$B$43=A16),Weight!U33,H16)</f>
        <v>17.374983607830742</v>
      </c>
      <c r="I16" s="103">
        <f ca="1">IF(AND(Energy!$F$11=$A$3,Main!$B$43=A16),Weight!V33,I16)</f>
        <v>53.745347346844426</v>
      </c>
      <c r="J16" s="103">
        <f ca="1">IF(AND(Energy!$F$11=$A$3,Main!$B$43=A16),Weight!I33,J16)</f>
        <v>31.432715464013679</v>
      </c>
      <c r="K16" s="103">
        <f ca="1">IF(AND(Energy!$F$11=$A$3,Main!$B$43=A16),Weight!W33,K16)</f>
        <v>68.745348059056724</v>
      </c>
      <c r="L16" s="103">
        <f ca="1">IF(AND(Energy!$F$11=$A$3,Main!$B$43=A16),'Aerodynamics-Cruise'!BI33,L16)</f>
        <v>68.745346625763844</v>
      </c>
      <c r="M16" s="103">
        <f ca="1">IF(AND(Energy!$F$11=$A$3,Main!$B$43=A16),'Aerodynamics-Cruise'!BJ33,M16)</f>
        <v>3.1707391097616697</v>
      </c>
      <c r="N16" s="103">
        <f ca="1">IF(AND(Energy!$F$11=$A$3,Main!$B$43=A16),'Aerodynamics-Cruise'!BK33,N16)</f>
        <v>21.681174087807914</v>
      </c>
      <c r="O16" s="103">
        <f t="shared" ca="1" si="0"/>
        <v>179.76471462302331</v>
      </c>
      <c r="P16" s="103">
        <f ca="1">IF(AND(Energy!$F$11=$A$3,Main!$B$43=A16),'Aerodynamics-Cruise'!H33,P16)</f>
        <v>9.9032060468180472</v>
      </c>
      <c r="Q16" s="103">
        <f ca="1">IF(AND(Energy!$F$11=$A$3,Main!$B$43=A16),'Aerodynamics-Cruise'!I33,Q16)</f>
        <v>8.4909470985645363</v>
      </c>
      <c r="R16" s="103">
        <f ca="1">IF(AND(Energy!$F$11=$A$3,Main!$B$43=$A16),Summary!R33,R16)</f>
        <v>7.0762662506033482</v>
      </c>
      <c r="S16" s="103">
        <f ca="1">IF(AND(Energy!$F$11=$A$3,Main!$B$43=A16),'Aerodynamics-Cruise'!W33,S16)</f>
        <v>1</v>
      </c>
      <c r="T16" s="103">
        <f ca="1">IF(AND(Energy!$F$11=$A$3,Main!$B$43=A16),'Aerodynamics-Cruise'!BL33,T16)</f>
        <v>31.400482724674241</v>
      </c>
      <c r="U16" s="103">
        <f ca="1">IF(AND(Energy!$F$11=$A$3,Main!$B$43=A16),'Propulsion-Cruise'!M33,U16)</f>
        <v>65.367003504954738</v>
      </c>
      <c r="V16" s="103">
        <f ca="1">IF(AND(Energy!$F$11=$A$3,Main!$B$43=A16),Endurance!AP33,V16)</f>
        <v>617.64378251413257</v>
      </c>
      <c r="W16" s="103">
        <f ca="1">IF(AND(Energy!$F$11=$A$3,Main!$B$43=$A16),Summary!W33,W16)</f>
        <v>1.2789473684210528</v>
      </c>
      <c r="X16" s="13">
        <f ca="1">IF(AND(Energy!$F$11=$A$3,Main!$B$43=A16),Energy!D33,X16)</f>
        <v>406.59763575755568</v>
      </c>
      <c r="Y16" s="102">
        <f ca="1">IF(AND(Energy!$F$11=$A$3,Main!$B$43=A16),'Aerodynamics-Cruise'!V33,Y16)</f>
        <v>125617.7725157414</v>
      </c>
      <c r="Z16" s="102">
        <f ca="1">IF(AND(Energy!$F$11=$A$3,Main!$B$43=$A16),Summary!Z33,Z16)</f>
        <v>95369.34482548169</v>
      </c>
      <c r="AA16" s="102">
        <f ca="1">IF(AND(Energy!$F$11=$A$3,Main!$B$43=$A16),Summary!AA33,AA16)</f>
        <v>95369.34482548169</v>
      </c>
      <c r="AB16" s="103">
        <f ca="1">IF(AND(Energy!$F$11=$A$3,Main!$B$43=$A16),Summary!AB33,AB16)</f>
        <v>7.0762662506033482</v>
      </c>
      <c r="AC16" s="103">
        <f ca="1">IF(AND(Energy!$F$11=$A$3,Main!$B$43=$A16),Summary!AC33,AC16)</f>
        <v>2.2013888597652271</v>
      </c>
      <c r="AD16" s="103">
        <f ca="1">IF(AND(Energy!$F$11=$A$3,Main!$B$43=$A16),Summary!AD33,AD16)</f>
        <v>0.44049540035750168</v>
      </c>
      <c r="AE16" s="103">
        <f ca="1">IF(AND(Energy!$F$11=$A$3,Main!$B$43=$A16),Summary!AE33,AE16)</f>
        <v>1.2789473684210528</v>
      </c>
      <c r="AF16" s="103">
        <f ca="1">IF(AND(Energy!$F$11=$A$3,Main!$B$43=$A16),Summary!AF33,AF16)</f>
        <v>31.973684210526315</v>
      </c>
      <c r="AG16" s="103">
        <f ca="1">IF(AND(Energy!$F$11=$A$3,Main!$B$43=$A16),Summary!AG33,AG16)</f>
        <v>12.508872942196716</v>
      </c>
      <c r="AH16" s="103">
        <f ca="1">IF(AND(Energy!$F$11=$A$3,Main!$B$43=$A16),Summary!AH33,AH16)</f>
        <v>47</v>
      </c>
      <c r="AI16" s="103">
        <f ca="1">IF(AND(Energy!$F$11=$A$3,Main!$B$43=$A16),Summary!AI33,AI16)</f>
        <v>2.6662165344312934</v>
      </c>
      <c r="AJ16" s="103">
        <f ca="1">IF(AND(Energy!$F$11=$A$3,Main!$B$43=$A16),Summary!AJ33,AJ16)</f>
        <v>0.28148399984036798</v>
      </c>
      <c r="AK16" s="103">
        <f ca="1">IF(AND(Energy!$F$11=$A$3,Main!$B$43=$A16),Summary!AK33,AK16)</f>
        <v>0.01</v>
      </c>
      <c r="AL16" s="103">
        <f ca="1">IF(AND(Energy!$F$11=$A$3,Main!$B$43=$A16),Summary!AL33,AL16)</f>
        <v>-0.4441016761522435</v>
      </c>
      <c r="AM16" s="103">
        <f ca="1">IF(AND(Energy!$F$11=$A$3,Main!$B$43=$A16),Summary!AM33,AM16)</f>
        <v>0</v>
      </c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6"/>
    </row>
    <row r="17" spans="1:55">
      <c r="A17">
        <f t="shared" si="1"/>
        <v>1</v>
      </c>
      <c r="C17" s="103"/>
      <c r="D17" s="1">
        <f ca="1">IF(AND(Energy!$F$11=$A$3,Main!$B$43=A17),Main!C34,D17)</f>
        <v>6.552631578947369</v>
      </c>
      <c r="E17" s="103">
        <f ca="1">IF(AND(Energy!$F$11=$A$3,Main!$B$43=A17),Main!B34,E17)</f>
        <v>0.2</v>
      </c>
      <c r="F17" s="103">
        <f ca="1">IF(Main!$D$6=1,U17,IF(Main!$D$6=2,N17,IF(Main!$D$6=3,K17,IF(Main!$D$6=4,V17,J17))))</f>
        <v>620.31387710941829</v>
      </c>
      <c r="G17" s="103">
        <f ca="1">IF(AND(Energy!$F$11=$A$3,Main!$B$43=A17),Weight!H34,G17)</f>
        <v>15</v>
      </c>
      <c r="H17" s="103">
        <f ca="1">IF(AND(Energy!$F$11=$A$3,Main!$B$43=A17),Weight!U34,H17)</f>
        <v>17.849444050690664</v>
      </c>
      <c r="I17" s="103">
        <f ca="1">IF(AND(Energy!$F$11=$A$3,Main!$B$43=A17),Weight!V34,I17)</f>
        <v>54.335135770207259</v>
      </c>
      <c r="J17" s="103">
        <f ca="1">IF(AND(Energy!$F$11=$A$3,Main!$B$43=A17),Weight!I34,J17)</f>
        <v>31.548043444516594</v>
      </c>
      <c r="K17" s="103">
        <f ca="1">IF(AND(Energy!$F$11=$A$3,Main!$B$43=A17),Weight!W34,K17)</f>
        <v>69.335136648468691</v>
      </c>
      <c r="L17" s="103">
        <f ca="1">IF(AND(Energy!$F$11=$A$3,Main!$B$43=A17),'Aerodynamics-Cruise'!BI34,L17)</f>
        <v>69.335134881461101</v>
      </c>
      <c r="M17" s="103">
        <f ca="1">IF(AND(Energy!$F$11=$A$3,Main!$B$43=A17),'Aerodynamics-Cruise'!BJ34,M17)</f>
        <v>3.1985511456726958</v>
      </c>
      <c r="N17" s="103">
        <f ca="1">IF(AND(Energy!$F$11=$A$3,Main!$B$43=A17),'Aerodynamics-Cruise'!BK34,N17)</f>
        <v>21.677044300280851</v>
      </c>
      <c r="O17" s="103">
        <f t="shared" ca="1" si="0"/>
        <v>180.49980935110469</v>
      </c>
      <c r="P17" s="103">
        <f ca="1">IF(AND(Energy!$F$11=$A$3,Main!$B$43=A17),'Aerodynamics-Cruise'!H34,P17)</f>
        <v>9.825027807336614</v>
      </c>
      <c r="Q17" s="103">
        <f ca="1">IF(AND(Energy!$F$11=$A$3,Main!$B$43=A17),'Aerodynamics-Cruise'!I34,Q17)</f>
        <v>8.4266386270558069</v>
      </c>
      <c r="R17" s="103">
        <f ca="1">IF(AND(Energy!$F$11=$A$3,Main!$B$43=$A17),Summary!R34,R17)</f>
        <v>7.0292330082406647</v>
      </c>
      <c r="S17" s="103">
        <f ca="1">IF(AND(Energy!$F$11=$A$3,Main!$B$43=A17),'Aerodynamics-Cruise'!W34,S17)</f>
        <v>1</v>
      </c>
      <c r="T17" s="103">
        <f ca="1">IF(AND(Energy!$F$11=$A$3,Main!$B$43=A17),'Aerodynamics-Cruise'!BL34,T17)</f>
        <v>31.425853949422621</v>
      </c>
      <c r="U17" s="103">
        <f ca="1">IF(AND(Energy!$F$11=$A$3,Main!$B$43=A17),'Propulsion-Cruise'!M34,U17)</f>
        <v>65.554089846741704</v>
      </c>
      <c r="V17" s="103">
        <f ca="1">IF(AND(Energy!$F$11=$A$3,Main!$B$43=A17),Endurance!AP34,V17)</f>
        <v>620.31387710941829</v>
      </c>
      <c r="W17" s="103">
        <f ca="1">IF(AND(Energy!$F$11=$A$3,Main!$B$43=$A17),Summary!W34,W17)</f>
        <v>1.310526315789474</v>
      </c>
      <c r="X17" s="13">
        <f ca="1">IF(AND(Energy!$F$11=$A$3,Main!$B$43=A17),Energy!D34,X17)</f>
        <v>406.66161496483124</v>
      </c>
      <c r="Y17" s="102">
        <f ca="1">IF(AND(Energy!$F$11=$A$3,Main!$B$43=A17),'Aerodynamics-Cruise'!V34,Y17)</f>
        <v>124626.1162524634</v>
      </c>
      <c r="Z17" s="102">
        <f ca="1">IF(AND(Energy!$F$11=$A$3,Main!$B$43=$A17),Summary!Z34,Z17)</f>
        <v>94645.84686010312</v>
      </c>
      <c r="AA17" s="102">
        <f ca="1">IF(AND(Energy!$F$11=$A$3,Main!$B$43=$A17),Summary!AA34,AA17)</f>
        <v>94645.84686010312</v>
      </c>
      <c r="AB17" s="103">
        <f ca="1">IF(AND(Energy!$F$11=$A$3,Main!$B$43=$A17),Summary!AB34,AB17)</f>
        <v>7.0292330082406647</v>
      </c>
      <c r="AC17" s="103">
        <f ca="1">IF(AND(Energy!$F$11=$A$3,Main!$B$43=$A17),Summary!AC34,AC17)</f>
        <v>2.1663706173842181</v>
      </c>
      <c r="AD17" s="103">
        <f ca="1">IF(AND(Energy!$F$11=$A$3,Main!$B$43=$A17),Summary!AD34,AD17)</f>
        <v>0.43976567197893579</v>
      </c>
      <c r="AE17" s="103">
        <f ca="1">IF(AND(Energy!$F$11=$A$3,Main!$B$43=$A17),Summary!AE34,AE17)</f>
        <v>1.310526315789474</v>
      </c>
      <c r="AF17" s="103">
        <f ca="1">IF(AND(Energy!$F$11=$A$3,Main!$B$43=$A17),Summary!AF34,AF17)</f>
        <v>32.763157894736842</v>
      </c>
      <c r="AG17" s="103">
        <f ca="1">IF(AND(Energy!$F$11=$A$3,Main!$B$43=$A17),Summary!AG34,AG17)</f>
        <v>12.547266607726955</v>
      </c>
      <c r="AH17" s="103">
        <f ca="1">IF(AND(Energy!$F$11=$A$3,Main!$B$43=$A17),Summary!AH34,AH17)</f>
        <v>47</v>
      </c>
      <c r="AI17" s="103">
        <f ca="1">IF(AND(Energy!$F$11=$A$3,Main!$B$43=$A17),Summary!AI34,AI17)</f>
        <v>2.6644948863268501</v>
      </c>
      <c r="AJ17" s="103">
        <f ca="1">IF(AND(Energy!$F$11=$A$3,Main!$B$43=$A17),Summary!AJ34,AJ17)</f>
        <v>0.282081525315801</v>
      </c>
      <c r="AK17" s="103">
        <f ca="1">IF(AND(Energy!$F$11=$A$3,Main!$B$43=$A17),Summary!AK34,AK17)</f>
        <v>0.01</v>
      </c>
      <c r="AL17" s="103">
        <f ca="1">IF(AND(Energy!$F$11=$A$3,Main!$B$43=$A17),Summary!AL34,AL17)</f>
        <v>-0.44316091611232672</v>
      </c>
      <c r="AM17" s="103">
        <f ca="1">IF(AND(Energy!$F$11=$A$3,Main!$B$43=$A17),Summary!AM34,AM17)</f>
        <v>0</v>
      </c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6"/>
    </row>
    <row r="18" spans="1:55">
      <c r="A18">
        <f t="shared" si="1"/>
        <v>1</v>
      </c>
      <c r="D18" s="1">
        <f ca="1">IF(AND(Energy!$F$11=$A$3,Main!$B$43=A18),Main!C35,D18)</f>
        <v>6.7105263157894743</v>
      </c>
      <c r="E18" s="103">
        <f ca="1">IF(AND(Energy!$F$11=$A$3,Main!$B$43=A18),Main!B35,E18)</f>
        <v>0.2</v>
      </c>
      <c r="F18" s="103">
        <f ca="1">IF(Main!$D$6=1,U18,IF(Main!$D$6=2,N18,IF(Main!$D$6=3,K18,IF(Main!$D$6=4,V18,J18))))</f>
        <v>623.44715963743431</v>
      </c>
      <c r="G18" s="103">
        <f ca="1">IF(AND(Energy!$F$11=$A$3,Main!$B$43=A18),Weight!H35,G18)</f>
        <v>15</v>
      </c>
      <c r="H18" s="103">
        <f ca="1">IF(AND(Energy!$F$11=$A$3,Main!$B$43=A18),Weight!U35,H18)</f>
        <v>18.334763744307324</v>
      </c>
      <c r="I18" s="103">
        <f ca="1">IF(AND(Energy!$F$11=$A$3,Main!$B$43=A18),Weight!V35,I18)</f>
        <v>54.956776727013562</v>
      </c>
      <c r="J18" s="103">
        <f ca="1">IF(AND(Energy!$F$11=$A$3,Main!$B$43=A18),Weight!I35,J18)</f>
        <v>31.684364707706241</v>
      </c>
      <c r="K18" s="103">
        <f ca="1">IF(AND(Energy!$F$11=$A$3,Main!$B$43=A18),Weight!W35,K18)</f>
        <v>69.956777762142664</v>
      </c>
      <c r="L18" s="103">
        <f ca="1">IF(AND(Energy!$F$11=$A$3,Main!$B$43=A18),'Aerodynamics-Cruise'!BI35,L18)</f>
        <v>69.956775679932761</v>
      </c>
      <c r="M18" s="103">
        <f ca="1">IF(AND(Energy!$F$11=$A$3,Main!$B$43=A18),'Aerodynamics-Cruise'!BJ35,M18)</f>
        <v>3.2277192122740921</v>
      </c>
      <c r="N18" s="103">
        <f ca="1">IF(AND(Energy!$F$11=$A$3,Main!$B$43=A18),'Aerodynamics-Cruise'!BK35,N18)</f>
        <v>21.673748885562031</v>
      </c>
      <c r="O18" s="103">
        <f t="shared" ca="1" si="0"/>
        <v>181.27959804771766</v>
      </c>
      <c r="P18" s="103">
        <f ca="1">IF(AND(Energy!$F$11=$A$3,Main!$B$43=A18),'Aerodynamics-Cruise'!H35,P18)</f>
        <v>9.7521662927790214</v>
      </c>
      <c r="Q18" s="103">
        <f ca="1">IF(AND(Energy!$F$11=$A$3,Main!$B$43=A18),'Aerodynamics-Cruise'!I35,Q18)</f>
        <v>8.3666847669402138</v>
      </c>
      <c r="R18" s="103">
        <f ca="1">IF(AND(Energy!$F$11=$A$3,Main!$B$43=$A18),Summary!R35,R18)</f>
        <v>6.9920023239316142</v>
      </c>
      <c r="S18" s="103">
        <f ca="1">IF(AND(Energy!$F$11=$A$3,Main!$B$43=A18),'Aerodynamics-Cruise'!W35,S18)</f>
        <v>1</v>
      </c>
      <c r="T18" s="103">
        <f ca="1">IF(AND(Energy!$F$11=$A$3,Main!$B$43=A18),'Aerodynamics-Cruise'!BL35,T18)</f>
        <v>31.477254504494656</v>
      </c>
      <c r="U18" s="103">
        <f ca="1">IF(AND(Energy!$F$11=$A$3,Main!$B$43=A18),'Propulsion-Cruise'!M35,U18)</f>
        <v>65.79146928356937</v>
      </c>
      <c r="V18" s="103">
        <f ca="1">IF(AND(Energy!$F$11=$A$3,Main!$B$43=A18),Endurance!AP35,V18)</f>
        <v>623.44715963743431</v>
      </c>
      <c r="W18" s="103">
        <f ca="1">IF(AND(Energy!$F$11=$A$3,Main!$B$43=$A18),Summary!W35,W18)</f>
        <v>1.3421052631578949</v>
      </c>
      <c r="X18" s="13">
        <f ca="1">IF(AND(Energy!$F$11=$A$3,Main!$B$43=A18),Energy!D35,X18)</f>
        <v>406.73724036087827</v>
      </c>
      <c r="Y18" s="102">
        <f ca="1">IF(AND(Energy!$F$11=$A$3,Main!$B$43=A18),'Aerodynamics-Cruise'!V35,Y18)</f>
        <v>123701.90028466689</v>
      </c>
      <c r="Z18" s="102">
        <f ca="1">IF(AND(Energy!$F$11=$A$3,Main!$B$43=$A18),Summary!Z35,Z18)</f>
        <v>93971.348427975798</v>
      </c>
      <c r="AA18" s="102">
        <f ca="1">IF(AND(Energy!$F$11=$A$3,Main!$B$43=$A18),Summary!AA35,AA18)</f>
        <v>93971.348427975798</v>
      </c>
      <c r="AB18" s="103">
        <f ca="1">IF(AND(Energy!$F$11=$A$3,Main!$B$43=$A18),Summary!AB35,AB18)</f>
        <v>6.9920023239316142</v>
      </c>
      <c r="AC18" s="103">
        <f ca="1">IF(AND(Energy!$F$11=$A$3,Main!$B$43=$A18),Summary!AC35,AC18)</f>
        <v>2.1316033868340618</v>
      </c>
      <c r="AD18" s="103">
        <f ca="1">IF(AND(Energy!$F$11=$A$3,Main!$B$43=$A18),Summary!AD35,AD18)</f>
        <v>0.43921310425073279</v>
      </c>
      <c r="AE18" s="103">
        <f ca="1">IF(AND(Energy!$F$11=$A$3,Main!$B$43=$A18),Summary!AE35,AE18)</f>
        <v>1.3421052631578949</v>
      </c>
      <c r="AF18" s="103">
        <f ca="1">IF(AND(Energy!$F$11=$A$3,Main!$B$43=$A18),Summary!AF35,AF18)</f>
        <v>33.55263157894737</v>
      </c>
      <c r="AG18" s="103">
        <f ca="1">IF(AND(Energy!$F$11=$A$3,Main!$B$43=$A18),Summary!AG35,AG18)</f>
        <v>12.59083741161702</v>
      </c>
      <c r="AH18" s="103">
        <f ca="1">IF(AND(Energy!$F$11=$A$3,Main!$B$43=$A18),Summary!AH35,AH18)</f>
        <v>47</v>
      </c>
      <c r="AI18" s="103">
        <f ca="1">IF(AND(Energy!$F$11=$A$3,Main!$B$43=$A18),Summary!AI35,AI18)</f>
        <v>2.6628790148463728</v>
      </c>
      <c r="AJ18" s="103">
        <f ca="1">IF(AND(Energy!$F$11=$A$3,Main!$B$43=$A18),Summary!AJ35,AJ18)</f>
        <v>0.28264535853162281</v>
      </c>
      <c r="AK18" s="103">
        <f ca="1">IF(AND(Energy!$F$11=$A$3,Main!$B$43=$A18),Summary!AK35,AK18)</f>
        <v>0.01</v>
      </c>
      <c r="AL18" s="103">
        <f ca="1">IF(AND(Energy!$F$11=$A$3,Main!$B$43=$A18),Summary!AL35,AL18)</f>
        <v>-0.44227685909361636</v>
      </c>
      <c r="AM18" s="103">
        <f ca="1">IF(AND(Energy!$F$11=$A$3,Main!$B$43=$A18),Summary!AM35,AM18)</f>
        <v>0</v>
      </c>
      <c r="AN18" s="104"/>
      <c r="AO18" s="104"/>
      <c r="AP18" s="104"/>
      <c r="AQ18" s="104"/>
      <c r="AR18" s="104"/>
      <c r="AS18" s="104"/>
      <c r="AT18" s="104"/>
      <c r="AU18" s="104"/>
      <c r="AV18" s="104"/>
      <c r="AW18" s="104"/>
      <c r="AX18" s="104"/>
      <c r="AY18" s="104"/>
      <c r="AZ18" s="104"/>
      <c r="BA18" s="100"/>
      <c r="BB18" s="100"/>
      <c r="BC18" s="6"/>
    </row>
    <row r="19" spans="1:55">
      <c r="A19">
        <f t="shared" si="1"/>
        <v>1</v>
      </c>
      <c r="C19" s="103"/>
      <c r="D19" s="1">
        <f ca="1">IF(AND(Energy!$F$11=$A$3,Main!$B$43=A19),Main!C36,D19)</f>
        <v>6.8684210526315796</v>
      </c>
      <c r="E19" s="103">
        <f ca="1">IF(AND(Energy!$F$11=$A$3,Main!$B$43=A19),Main!B36,E19)</f>
        <v>0.2</v>
      </c>
      <c r="F19" s="103">
        <f ca="1">IF(Main!$D$6=1,U19,IF(Main!$D$6=2,N19,IF(Main!$D$6=3,K19,IF(Main!$D$6=4,V19,J19))))</f>
        <v>627.01295834621885</v>
      </c>
      <c r="G19" s="103">
        <f ca="1">IF(AND(Energy!$F$11=$A$3,Main!$B$43=A19),Weight!H36,G19)</f>
        <v>15</v>
      </c>
      <c r="H19" s="103">
        <f ca="1">IF(AND(Energy!$F$11=$A$3,Main!$B$43=A19),Weight!U36,H19)</f>
        <v>18.830951205318186</v>
      </c>
      <c r="I19" s="103">
        <f ca="1">IF(AND(Energy!$F$11=$A$3,Main!$B$43=A19),Weight!V36,I19)</f>
        <v>55.608879849202751</v>
      </c>
      <c r="J19" s="103">
        <f ca="1">IF(AND(Energy!$F$11=$A$3,Main!$B$43=A19),Weight!I36,J19)</f>
        <v>31.840280368884567</v>
      </c>
      <c r="K19" s="103">
        <f ca="1">IF(AND(Energy!$F$11=$A$3,Main!$B$43=A19),Weight!W36,K19)</f>
        <v>70.608881032947195</v>
      </c>
      <c r="L19" s="103">
        <f ca="1">IF(AND(Energy!$F$11=$A$3,Main!$B$43=A19),'Aerodynamics-Cruise'!BI36,L19)</f>
        <v>70.608878652171541</v>
      </c>
      <c r="M19" s="103">
        <f ca="1">IF(AND(Energy!$F$11=$A$3,Main!$B$43=A19),'Aerodynamics-Cruise'!BJ36,M19)</f>
        <v>3.2581557616446757</v>
      </c>
      <c r="N19" s="103">
        <f ca="1">IF(AND(Energy!$F$11=$A$3,Main!$B$43=A19),'Aerodynamics-Cruise'!BK36,N19)</f>
        <v>21.671425130555782</v>
      </c>
      <c r="O19" s="103">
        <f t="shared" ca="1" si="0"/>
        <v>182.10301196981797</v>
      </c>
      <c r="P19" s="103">
        <f ca="1">IF(AND(Energy!$F$11=$A$3,Main!$B$43=A19),'Aerodynamics-Cruise'!H36,P19)</f>
        <v>9.6842334350852255</v>
      </c>
      <c r="Q19" s="103">
        <f ca="1">IF(AND(Energy!$F$11=$A$3,Main!$B$43=A19),'Aerodynamics-Cruise'!I36,Q19)</f>
        <v>8.310769926763955</v>
      </c>
      <c r="R19" s="103">
        <f ca="1">IF(AND(Energy!$F$11=$A$3,Main!$B$43=$A19),Summary!R36,R19)</f>
        <v>6.9638011191288687</v>
      </c>
      <c r="S19" s="103">
        <f ca="1">IF(AND(Energy!$F$11=$A$3,Main!$B$43=A19),'Aerodynamics-Cruise'!W36,S19)</f>
        <v>1</v>
      </c>
      <c r="T19" s="103">
        <f ca="1">IF(AND(Energy!$F$11=$A$3,Main!$B$43=A19),'Aerodynamics-Cruise'!BL36,T19)</f>
        <v>31.552740963634935</v>
      </c>
      <c r="U19" s="103">
        <f ca="1">IF(AND(Energy!$F$11=$A$3,Main!$B$43=A19),'Propulsion-Cruise'!M36,U19)</f>
        <v>66.075640444005288</v>
      </c>
      <c r="V19" s="103">
        <f ca="1">IF(AND(Energy!$F$11=$A$3,Main!$B$43=A19),Endurance!AP36,V19)</f>
        <v>627.01295834621885</v>
      </c>
      <c r="W19" s="103">
        <f ca="1">IF(AND(Energy!$F$11=$A$3,Main!$B$43=$A19),Summary!W36,W19)</f>
        <v>1.3736842105263161</v>
      </c>
      <c r="X19" s="13">
        <f ca="1">IF(AND(Energy!$F$11=$A$3,Main!$B$43=A19),Energy!D36,X19)</f>
        <v>406.82373590355871</v>
      </c>
      <c r="Y19" s="102">
        <f ca="1">IF(AND(Energy!$F$11=$A$3,Main!$B$43=A19),'Aerodynamics-Cruise'!V36,Y19)</f>
        <v>122840.20214127975</v>
      </c>
      <c r="Z19" s="102">
        <f ca="1">IF(AND(Energy!$F$11=$A$3,Main!$B$43=$A19),Summary!Z36,Z19)</f>
        <v>93342.297398152601</v>
      </c>
      <c r="AA19" s="102">
        <f ca="1">IF(AND(Energy!$F$11=$A$3,Main!$B$43=$A19),Summary!AA36,AA19)</f>
        <v>93342.297398152601</v>
      </c>
      <c r="AB19" s="103">
        <f ca="1">IF(AND(Energy!$F$11=$A$3,Main!$B$43=$A19),Summary!AB36,AB19)</f>
        <v>6.9638011191288687</v>
      </c>
      <c r="AC19" s="103">
        <f ca="1">IF(AND(Energy!$F$11=$A$3,Main!$B$43=$A19),Summary!AC36,AC19)</f>
        <v>2.0971324868385381</v>
      </c>
      <c r="AD19" s="103">
        <f ca="1">IF(AND(Energy!$F$11=$A$3,Main!$B$43=$A19),Summary!AD36,AD19)</f>
        <v>0.4388246290993999</v>
      </c>
      <c r="AE19" s="103">
        <f ca="1">IF(AND(Energy!$F$11=$A$3,Main!$B$43=$A19),Summary!AE36,AE19)</f>
        <v>1.3736842105263161</v>
      </c>
      <c r="AF19" s="103">
        <f ca="1">IF(AND(Energy!$F$11=$A$3,Main!$B$43=$A19),Summary!AF36,AF19)</f>
        <v>34.34210526315789</v>
      </c>
      <c r="AG19" s="103">
        <f ca="1">IF(AND(Energy!$F$11=$A$3,Main!$B$43=$A19),Summary!AG36,AG19)</f>
        <v>12.639211410155829</v>
      </c>
      <c r="AH19" s="103">
        <f ca="1">IF(AND(Energy!$F$11=$A$3,Main!$B$43=$A19),Summary!AH36,AH19)</f>
        <v>47</v>
      </c>
      <c r="AI19" s="103">
        <f ca="1">IF(AND(Energy!$F$11=$A$3,Main!$B$43=$A19),Summary!AI36,AI19)</f>
        <v>2.6613624707568073</v>
      </c>
      <c r="AJ19" s="103">
        <f ca="1">IF(AND(Energy!$F$11=$A$3,Main!$B$43=$A19),Summary!AJ36,AJ19)</f>
        <v>0.28317813440903589</v>
      </c>
      <c r="AK19" s="103">
        <f ca="1">IF(AND(Energy!$F$11=$A$3,Main!$B$43=$A19),Summary!AK36,AK19)</f>
        <v>0.01</v>
      </c>
      <c r="AL19" s="103">
        <f ca="1">IF(AND(Energy!$F$11=$A$3,Main!$B$43=$A19),Summary!AL36,AL19)</f>
        <v>-0.44144473315027793</v>
      </c>
      <c r="AM19" s="103">
        <f ca="1">IF(AND(Energy!$F$11=$A$3,Main!$B$43=$A19),Summary!AM36,AM19)</f>
        <v>0</v>
      </c>
      <c r="AN19" s="104"/>
      <c r="AO19" s="104"/>
      <c r="AP19" s="104"/>
      <c r="AQ19" s="104"/>
      <c r="AR19" s="100"/>
      <c r="AS19" s="104"/>
      <c r="AT19" s="104"/>
      <c r="AU19" s="104"/>
      <c r="AV19" s="104"/>
      <c r="AW19" s="104"/>
      <c r="AX19" s="104"/>
      <c r="AY19" s="104"/>
      <c r="AZ19" s="104"/>
      <c r="BA19" s="100"/>
      <c r="BB19" s="100"/>
      <c r="BC19" s="6"/>
    </row>
    <row r="20" spans="1:55">
      <c r="A20">
        <f t="shared" si="1"/>
        <v>1</v>
      </c>
      <c r="C20" s="103"/>
      <c r="D20" s="1">
        <f ca="1">IF(AND(Energy!$F$11=$A$3,Main!$B$43=A20),Main!C37,D20)</f>
        <v>7.026315789473685</v>
      </c>
      <c r="E20" s="103">
        <f ca="1">IF(AND(Energy!$F$11=$A$3,Main!$B$43=A20),Main!B37,E20)</f>
        <v>0.2</v>
      </c>
      <c r="F20" s="103">
        <f ca="1">IF(Main!$D$6=1,U20,IF(Main!$D$6=2,N20,IF(Main!$D$6=3,K20,IF(Main!$D$6=4,V20,J20))))</f>
        <v>630.98471395749357</v>
      </c>
      <c r="G20" s="103">
        <f ca="1">IF(AND(Energy!$F$11=$A$3,Main!$B$43=A20),Weight!H37,G20)</f>
        <v>15</v>
      </c>
      <c r="H20" s="103">
        <f ca="1">IF(AND(Energy!$F$11=$A$3,Main!$B$43=A20),Weight!U37,H20)</f>
        <v>19.33802946058276</v>
      </c>
      <c r="I20" s="103">
        <f ca="1">IF(AND(Energy!$F$11=$A$3,Main!$B$43=A20),Weight!V37,I20)</f>
        <v>56.290256730781437</v>
      </c>
      <c r="J20" s="103">
        <f ca="1">IF(AND(Energy!$F$11=$A$3,Main!$B$43=A20),Weight!I37,J20)</f>
        <v>32.014578995198676</v>
      </c>
      <c r="K20" s="103">
        <f ca="1">IF(AND(Energy!$F$11=$A$3,Main!$B$43=A20),Weight!W37,K20)</f>
        <v>71.290258055823642</v>
      </c>
      <c r="L20" s="103">
        <f ca="1">IF(AND(Energy!$F$11=$A$3,Main!$B$43=A20),'Aerodynamics-Cruise'!BI37,L20)</f>
        <v>71.2902553912364</v>
      </c>
      <c r="M20" s="103">
        <f ca="1">IF(AND(Energy!$F$11=$A$3,Main!$B$43=A20),'Aerodynamics-Cruise'!BJ37,M20)</f>
        <v>3.2897842538261832</v>
      </c>
      <c r="N20" s="103">
        <f ca="1">IF(AND(Energy!$F$11=$A$3,Main!$B$43=A20),'Aerodynamics-Cruise'!BK37,N20)</f>
        <v>21.670191687592364</v>
      </c>
      <c r="O20" s="103">
        <f t="shared" ca="1" si="0"/>
        <v>182.96913639582394</v>
      </c>
      <c r="P20" s="103">
        <f ca="1">IF(AND(Energy!$F$11=$A$3,Main!$B$43=A20),'Aerodynamics-Cruise'!H37,P20)</f>
        <v>9.6208818246226482</v>
      </c>
      <c r="Q20" s="103">
        <f ca="1">IF(AND(Energy!$F$11=$A$3,Main!$B$43=A20),'Aerodynamics-Cruise'!I37,Q20)</f>
        <v>8.2586114150444363</v>
      </c>
      <c r="R20" s="103">
        <f ca="1">IF(AND(Energy!$F$11=$A$3,Main!$B$43=$A20),Summary!R37,R20)</f>
        <v>6.9439637904526386</v>
      </c>
      <c r="S20" s="103">
        <f ca="1">IF(AND(Energy!$F$11=$A$3,Main!$B$43=A20),'Aerodynamics-Cruise'!W37,S20)</f>
        <v>1</v>
      </c>
      <c r="T20" s="103">
        <f ca="1">IF(AND(Energy!$F$11=$A$3,Main!$B$43=A20),'Aerodynamics-Cruise'!BL37,T20)</f>
        <v>31.650625534566107</v>
      </c>
      <c r="U20" s="103">
        <f ca="1">IF(AND(Energy!$F$11=$A$3,Main!$B$43=A20),'Propulsion-Cruise'!M37,U20)</f>
        <v>66.403566345108985</v>
      </c>
      <c r="V20" s="103">
        <f ca="1">IF(AND(Energy!$F$11=$A$3,Main!$B$43=A20),Endurance!AP37,V20)</f>
        <v>630.98471395749357</v>
      </c>
      <c r="W20" s="103">
        <f ca="1">IF(AND(Energy!$F$11=$A$3,Main!$B$43=$A20),Summary!W37,W20)</f>
        <v>1.405263157894737</v>
      </c>
      <c r="X20" s="13">
        <f ca="1">IF(AND(Energy!$F$11=$A$3,Main!$B$43=A20),Energy!D37,X20)</f>
        <v>406.9204295411659</v>
      </c>
      <c r="Y20" s="102">
        <f ca="1">IF(AND(Energy!$F$11=$A$3,Main!$B$43=A20),'Aerodynamics-Cruise'!V37,Y20)</f>
        <v>122036.61508533327</v>
      </c>
      <c r="Z20" s="102">
        <f ca="1">IF(AND(Energy!$F$11=$A$3,Main!$B$43=$A20),Summary!Z37,Z20)</f>
        <v>92755.512017127578</v>
      </c>
      <c r="AA20" s="102">
        <f ca="1">IF(AND(Energy!$F$11=$A$3,Main!$B$43=$A20),Summary!AA37,AA20)</f>
        <v>92755.512017127578</v>
      </c>
      <c r="AB20" s="103">
        <f ca="1">IF(AND(Energy!$F$11=$A$3,Main!$B$43=$A20),Summary!AB37,AB20)</f>
        <v>6.9439637904526386</v>
      </c>
      <c r="AC20" s="103">
        <f ca="1">IF(AND(Energy!$F$11=$A$3,Main!$B$43=$A20),Summary!AC37,AC20)</f>
        <v>2.062994955837675</v>
      </c>
      <c r="AD20" s="103">
        <f ca="1">IF(AND(Energy!$F$11=$A$3,Main!$B$43=$A20),Summary!AD37,AD20)</f>
        <v>0.43858861117325004</v>
      </c>
      <c r="AE20" s="103">
        <f ca="1">IF(AND(Energy!$F$11=$A$3,Main!$B$43=$A20),Summary!AE37,AE20)</f>
        <v>1.405263157894737</v>
      </c>
      <c r="AF20" s="103">
        <f ca="1">IF(AND(Energy!$F$11=$A$3,Main!$B$43=$A20),Summary!AF37,AF20)</f>
        <v>35.131578947368425</v>
      </c>
      <c r="AG20" s="103">
        <f ca="1">IF(AND(Energy!$F$11=$A$3,Main!$B$43=$A20),Summary!AG37,AG20)</f>
        <v>12.692061100332202</v>
      </c>
      <c r="AH20" s="103">
        <f ca="1">IF(AND(Energy!$F$11=$A$3,Main!$B$43=$A20),Summary!AH37,AH20)</f>
        <v>47</v>
      </c>
      <c r="AI20" s="103">
        <f ca="1">IF(AND(Energy!$F$11=$A$3,Main!$B$43=$A20),Summary!AI37,AI20)</f>
        <v>2.6599393991272615</v>
      </c>
      <c r="AJ20" s="103">
        <f ca="1">IF(AND(Energy!$F$11=$A$3,Main!$B$43=$A20),Summary!AJ37,AJ20)</f>
        <v>0.2836814464919592</v>
      </c>
      <c r="AK20" s="103">
        <f ca="1">IF(AND(Energy!$F$11=$A$3,Main!$B$43=$A20),Summary!AK37,AK20)</f>
        <v>0.01</v>
      </c>
      <c r="AL20" s="103">
        <f ca="1">IF(AND(Energy!$F$11=$A$3,Main!$B$43=$A20),Summary!AL37,AL20)</f>
        <v>-0.44066149921370834</v>
      </c>
      <c r="AM20" s="103">
        <f ca="1">IF(AND(Energy!$F$11=$A$3,Main!$B$43=$A20),Summary!AM37,AM20)</f>
        <v>0</v>
      </c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6"/>
    </row>
    <row r="21" spans="1:55">
      <c r="A21">
        <f t="shared" si="1"/>
        <v>1</v>
      </c>
      <c r="C21" s="103"/>
      <c r="D21" s="1">
        <f ca="1">IF(AND(Energy!$F$11=$A$3,Main!$B$43=A21),Main!C38,D21)</f>
        <v>7.1842105263157903</v>
      </c>
      <c r="E21" s="103">
        <f ca="1">IF(AND(Energy!$F$11=$A$3,Main!$B$43=A21),Main!B38,E21)</f>
        <v>0.2</v>
      </c>
      <c r="F21" s="103">
        <f ca="1">IF(Main!$D$6=1,U21,IF(Main!$D$6=2,N21,IF(Main!$D$6=3,K21,IF(Main!$D$6=4,V21,J21))))</f>
        <v>635.33935717652048</v>
      </c>
      <c r="G21" s="103">
        <f ca="1">IF(AND(Energy!$F$11=$A$3,Main!$B$43=A21),Weight!H38,G21)</f>
        <v>15</v>
      </c>
      <c r="H21" s="103">
        <f ca="1">IF(AND(Energy!$F$11=$A$3,Main!$B$43=A21),Weight!U38,H21)</f>
        <v>19.856034121124488</v>
      </c>
      <c r="I21" s="103">
        <f ca="1">IF(AND(Energy!$F$11=$A$3,Main!$B$43=A21),Weight!V38,I21)</f>
        <v>56.999890616259506</v>
      </c>
      <c r="J21" s="103">
        <f ca="1">IF(AND(Energy!$F$11=$A$3,Main!$B$43=A21),Weight!I38,J21)</f>
        <v>32.206208220135018</v>
      </c>
      <c r="K21" s="103">
        <f ca="1">IF(AND(Energy!$F$11=$A$3,Main!$B$43=A21),Weight!W38,K21)</f>
        <v>71.999892076109106</v>
      </c>
      <c r="L21" s="103">
        <f ca="1">IF(AND(Energy!$F$11=$A$3,Main!$B$43=A21),'Aerodynamics-Cruise'!BI38,L21)</f>
        <v>71.999889140797436</v>
      </c>
      <c r="M21" s="103">
        <f ca="1">IF(AND(Energy!$F$11=$A$3,Main!$B$43=A21),'Aerodynamics-Cruise'!BJ38,M21)</f>
        <v>3.3225375478403505</v>
      </c>
      <c r="N21" s="103">
        <f ca="1">IF(AND(Energy!$F$11=$A$3,Main!$B$43=A21),'Aerodynamics-Cruise'!BK38,N21)</f>
        <v>21.670150631584995</v>
      </c>
      <c r="O21" s="103">
        <f t="shared" ca="1" si="0"/>
        <v>183.87718397209406</v>
      </c>
      <c r="P21" s="103">
        <f ca="1">IF(AND(Energy!$F$11=$A$3,Main!$B$43=A21),'Aerodynamics-Cruise'!H38,P21)</f>
        <v>9.5617992848977487</v>
      </c>
      <c r="Q21" s="103">
        <f ca="1">IF(AND(Energy!$F$11=$A$3,Main!$B$43=A21),'Aerodynamics-Cruise'!I38,Q21)</f>
        <v>8.2099550640456034</v>
      </c>
      <c r="R21" s="103">
        <f ca="1">IF(AND(Energy!$F$11=$A$3,Main!$B$43=$A21),Summary!R38,R21)</f>
        <v>6.9319154386215693</v>
      </c>
      <c r="S21" s="103">
        <f ca="1">IF(AND(Energy!$F$11=$A$3,Main!$B$43=A21),'Aerodynamics-Cruise'!W38,S21)</f>
        <v>1</v>
      </c>
      <c r="T21" s="103">
        <f ca="1">IF(AND(Energy!$F$11=$A$3,Main!$B$43=A21),'Aerodynamics-Cruise'!BL38,T21)</f>
        <v>31.769437148985784</v>
      </c>
      <c r="U21" s="103">
        <f ca="1">IF(AND(Energy!$F$11=$A$3,Main!$B$43=A21),'Propulsion-Cruise'!M38,U21)</f>
        <v>66.772603986028017</v>
      </c>
      <c r="V21" s="103">
        <f ca="1">IF(AND(Energy!$F$11=$A$3,Main!$B$43=A21),Endurance!AP38,V21)</f>
        <v>635.33935717652048</v>
      </c>
      <c r="W21" s="103">
        <f ca="1">IF(AND(Energy!$F$11=$A$3,Main!$B$43=$A21),Summary!W38,W21)</f>
        <v>1.4368421052631581</v>
      </c>
      <c r="X21" s="13">
        <f ca="1">IF(AND(Energy!$F$11=$A$3,Main!$B$43=A21),Energy!D38,X21)</f>
        <v>407.02673746527512</v>
      </c>
      <c r="Y21" s="102">
        <f ca="1">IF(AND(Energy!$F$11=$A$3,Main!$B$43=A21),'Aerodynamics-Cruise'!V38,Y21)</f>
        <v>121287.17929658691</v>
      </c>
      <c r="Z21" s="102">
        <f ca="1">IF(AND(Energy!$F$11=$A$3,Main!$B$43=$A21),Summary!Z38,Z21)</f>
        <v>92208.131636617938</v>
      </c>
      <c r="AA21" s="102">
        <f ca="1">IF(AND(Energy!$F$11=$A$3,Main!$B$43=$A21),Summary!AA38,AA21)</f>
        <v>92208.131636617938</v>
      </c>
      <c r="AB21" s="103">
        <f ca="1">IF(AND(Energy!$F$11=$A$3,Main!$B$43=$A21),Summary!AB38,AB21)</f>
        <v>6.9319154386215693</v>
      </c>
      <c r="AC21" s="103">
        <f ca="1">IF(AND(Energy!$F$11=$A$3,Main!$B$43=$A21),Summary!AC38,AC21)</f>
        <v>2.0292206013020202</v>
      </c>
      <c r="AD21" s="103">
        <f ca="1">IF(AND(Energy!$F$11=$A$3,Main!$B$43=$A21),Summary!AD38,AD21)</f>
        <v>0.43849465219471429</v>
      </c>
      <c r="AE21" s="103">
        <f ca="1">IF(AND(Energy!$F$11=$A$3,Main!$B$43=$A21),Summary!AE38,AE21)</f>
        <v>1.4368421052631581</v>
      </c>
      <c r="AF21" s="103">
        <f ca="1">IF(AND(Energy!$F$11=$A$3,Main!$B$43=$A21),Summary!AF38,AF21)</f>
        <v>35.921052631578945</v>
      </c>
      <c r="AG21" s="103">
        <f ca="1">IF(AND(Energy!$F$11=$A$3,Main!$B$43=$A21),Summary!AG38,AG21)</f>
        <v>12.749098578617435</v>
      </c>
      <c r="AH21" s="103">
        <f ca="1">IF(AND(Energy!$F$11=$A$3,Main!$B$43=$A21),Summary!AH38,AH21)</f>
        <v>47</v>
      </c>
      <c r="AI21" s="103">
        <f ca="1">IF(AND(Energy!$F$11=$A$3,Main!$B$43=$A21),Summary!AI38,AI21)</f>
        <v>2.6586044655877288</v>
      </c>
      <c r="AJ21" s="103">
        <f ca="1">IF(AND(Energy!$F$11=$A$3,Main!$B$43=$A21),Summary!AJ38,AJ21)</f>
        <v>0.28415677033879477</v>
      </c>
      <c r="AK21" s="103">
        <f ca="1">IF(AND(Energy!$F$11=$A$3,Main!$B$43=$A21),Summary!AK38,AK21)</f>
        <v>0.01</v>
      </c>
      <c r="AL21" s="103">
        <f ca="1">IF(AND(Energy!$F$11=$A$3,Main!$B$43=$A21),Summary!AL38,AL21)</f>
        <v>-0.43992437121963701</v>
      </c>
      <c r="AM21" s="103">
        <f ca="1">IF(AND(Energy!$F$11=$A$3,Main!$B$43=$A21),Summary!AM38,AM21)</f>
        <v>0</v>
      </c>
      <c r="AN21" s="101"/>
      <c r="AO21" s="101"/>
      <c r="AP21" s="101"/>
      <c r="AQ21" s="101"/>
      <c r="AR21" s="103"/>
      <c r="AS21" s="103"/>
      <c r="AT21" s="103"/>
      <c r="AU21" s="101"/>
      <c r="AV21" s="101"/>
      <c r="AW21" s="101"/>
      <c r="AX21" s="101"/>
      <c r="AY21" s="101"/>
      <c r="AZ21" s="105"/>
      <c r="BA21" s="100"/>
      <c r="BB21" s="100"/>
      <c r="BC21" s="6"/>
    </row>
    <row r="22" spans="1:55">
      <c r="A22">
        <f t="shared" si="1"/>
        <v>1</v>
      </c>
      <c r="C22" s="103"/>
      <c r="D22" s="1">
        <f ca="1">IF(AND(Energy!$F$11=$A$3,Main!$B$43=A22),Main!C39,D22)</f>
        <v>7.3421052631578956</v>
      </c>
      <c r="E22" s="103">
        <f ca="1">IF(AND(Energy!$F$11=$A$3,Main!$B$43=A22),Main!B39,E22)</f>
        <v>0.2</v>
      </c>
      <c r="F22" s="103">
        <f ca="1">IF(Main!$D$6=1,U22,IF(Main!$D$6=2,N22,IF(Main!$D$6=3,K22,IF(Main!$D$6=4,V22,J22))))</f>
        <v>640.05679635184651</v>
      </c>
      <c r="G22" s="103">
        <f ca="1">IF(AND(Energy!$F$11=$A$3,Main!$B$43=A22),Weight!H39,G22)</f>
        <v>15</v>
      </c>
      <c r="H22" s="103">
        <f ca="1">IF(AND(Energy!$F$11=$A$3,Main!$B$43=A22),Weight!U39,H22)</f>
        <v>20.385011778222477</v>
      </c>
      <c r="I22" s="103">
        <f ca="1">IF(AND(Energy!$F$11=$A$3,Main!$B$43=A22),Weight!V39,I22)</f>
        <v>57.736911436155168</v>
      </c>
      <c r="J22" s="103">
        <f ca="1">IF(AND(Energy!$F$11=$A$3,Main!$B$43=A22),Weight!I39,J22)</f>
        <v>32.41425138293269</v>
      </c>
      <c r="K22" s="103">
        <f ca="1">IF(AND(Energy!$F$11=$A$3,Main!$B$43=A22),Weight!W39,K22)</f>
        <v>72.736913024986777</v>
      </c>
      <c r="L22" s="103">
        <f ca="1">IF(AND(Energy!$F$11=$A$3,Main!$B$43=A22),'Aerodynamics-Cruise'!BI39,L22)</f>
        <v>72.736909830695737</v>
      </c>
      <c r="M22" s="103">
        <f ca="1">IF(AND(Energy!$F$11=$A$3,Main!$B$43=A22),'Aerodynamics-Cruise'!BJ39,M22)</f>
        <v>3.3563565663362982</v>
      </c>
      <c r="N22" s="103">
        <f ca="1">IF(AND(Energy!$F$11=$A$3,Main!$B$43=A22),'Aerodynamics-Cruise'!BK39,N22)</f>
        <v>21.671389315496132</v>
      </c>
      <c r="O22" s="103">
        <f t="shared" ca="1" si="0"/>
        <v>184.82647353643435</v>
      </c>
      <c r="P22" s="103">
        <f ca="1">IF(AND(Energy!$F$11=$A$3,Main!$B$43=A22),'Aerodynamics-Cruise'!H39,P22)</f>
        <v>9.5067043172667844</v>
      </c>
      <c r="Q22" s="103">
        <f ca="1">IF(AND(Energy!$F$11=$A$3,Main!$B$43=A22),'Aerodynamics-Cruise'!I39,Q22)</f>
        <v>8.1645715537220287</v>
      </c>
      <c r="R22" s="103">
        <f ca="1">IF(AND(Energy!$F$11=$A$3,Main!$B$43=$A22),Summary!R39,R22)</f>
        <v>6.9271581307615619</v>
      </c>
      <c r="S22" s="103">
        <f ca="1">IF(AND(Energy!$F$11=$A$3,Main!$B$43=A22),'Aerodynamics-Cruise'!W39,S22)</f>
        <v>1</v>
      </c>
      <c r="T22" s="103">
        <f ca="1">IF(AND(Energy!$F$11=$A$3,Main!$B$43=A22),'Aerodynamics-Cruise'!BL39,T22)</f>
        <v>31.907889459476007</v>
      </c>
      <c r="U22" s="103">
        <f ca="1">IF(AND(Energy!$F$11=$A$3,Main!$B$43=A22),'Propulsion-Cruise'!M39,U22)</f>
        <v>67.180446404045284</v>
      </c>
      <c r="V22" s="103">
        <f ca="1">IF(AND(Energy!$F$11=$A$3,Main!$B$43=A22),Endurance!AP39,V22)</f>
        <v>640.05679635184651</v>
      </c>
      <c r="W22" s="103">
        <f ca="1">IF(AND(Energy!$F$11=$A$3,Main!$B$43=$A22),Summary!W39,W22)</f>
        <v>1.4684210526315793</v>
      </c>
      <c r="X22" s="13">
        <f ca="1">IF(AND(Energy!$F$11=$A$3,Main!$B$43=A22),Energy!D39,X22)</f>
        <v>407.14215115124438</v>
      </c>
      <c r="Y22" s="102">
        <f ca="1">IF(AND(Energy!$F$11=$A$3,Main!$B$43=A22),'Aerodynamics-Cruise'!V39,Y22)</f>
        <v>120588.3240897065</v>
      </c>
      <c r="Z22" s="102">
        <f ca="1">IF(AND(Energy!$F$11=$A$3,Main!$B$43=$A22),Summary!Z39,Z22)</f>
        <v>91697.575325297206</v>
      </c>
      <c r="AA22" s="102">
        <f ca="1">IF(AND(Energy!$F$11=$A$3,Main!$B$43=$A22),Summary!AA39,AA22)</f>
        <v>91697.575325297206</v>
      </c>
      <c r="AB22" s="103">
        <f ca="1">IF(AND(Energy!$F$11=$A$3,Main!$B$43=$A22),Summary!AB39,AB22)</f>
        <v>6.9271581307615619</v>
      </c>
      <c r="AC22" s="103">
        <f ca="1">IF(AND(Energy!$F$11=$A$3,Main!$B$43=$A22),Summary!AC39,AC22)</f>
        <v>1.9958331621081891</v>
      </c>
      <c r="AD22" s="103">
        <f ca="1">IF(AND(Energy!$F$11=$A$3,Main!$B$43=$A22),Summary!AD39,AD22)</f>
        <v>0.43853342703174431</v>
      </c>
      <c r="AE22" s="103">
        <f ca="1">IF(AND(Energy!$F$11=$A$3,Main!$B$43=$A22),Summary!AE39,AE22)</f>
        <v>1.4684210526315793</v>
      </c>
      <c r="AF22" s="103">
        <f ca="1">IF(AND(Energy!$F$11=$A$3,Main!$B$43=$A22),Summary!AF39,AF22)</f>
        <v>36.710526315789473</v>
      </c>
      <c r="AG22" s="103">
        <f ca="1">IF(AND(Energy!$F$11=$A$3,Main!$B$43=$A22),Summary!AG39,AG22)</f>
        <v>12.810069870114326</v>
      </c>
      <c r="AH22" s="103">
        <f ca="1">IF(AND(Energy!$F$11=$A$3,Main!$B$43=$A22),Summary!AH39,AH22)</f>
        <v>47</v>
      </c>
      <c r="AI22" s="103">
        <f ca="1">IF(AND(Energy!$F$11=$A$3,Main!$B$43=$A22),Summary!AI39,AI22)</f>
        <v>2.6573527938326702</v>
      </c>
      <c r="AJ22" s="103">
        <f ca="1">IF(AND(Energy!$F$11=$A$3,Main!$B$43=$A22),Summary!AJ39,AJ22)</f>
        <v>0.28460562296307029</v>
      </c>
      <c r="AK22" s="103">
        <f ca="1">IF(AND(Energy!$F$11=$A$3,Main!$B$43=$A22),Summary!AK39,AK22)</f>
        <v>0.01</v>
      </c>
      <c r="AL22" s="103">
        <f ca="1">IF(AND(Energy!$F$11=$A$3,Main!$B$43=$A22),Summary!AL39,AL22)</f>
        <v>-0.43923055892323171</v>
      </c>
      <c r="AM22" s="103">
        <f ca="1">IF(AND(Energy!$F$11=$A$3,Main!$B$43=$A22),Summary!AM39,AM22)</f>
        <v>0</v>
      </c>
      <c r="AN22" s="101"/>
      <c r="AO22" s="101"/>
      <c r="AP22" s="101"/>
      <c r="AQ22" s="101"/>
      <c r="AR22" s="103"/>
      <c r="AS22" s="103"/>
      <c r="AT22" s="103"/>
      <c r="AU22" s="101"/>
      <c r="AV22" s="101"/>
      <c r="AW22" s="101"/>
      <c r="AX22" s="101"/>
      <c r="AY22" s="101"/>
      <c r="AZ22" s="105"/>
      <c r="BA22" s="100"/>
      <c r="BB22" s="100"/>
      <c r="BC22" s="6"/>
    </row>
    <row r="23" spans="1:55">
      <c r="A23">
        <f t="shared" si="1"/>
        <v>1</v>
      </c>
      <c r="C23" s="103"/>
      <c r="D23" s="1">
        <f ca="1">IF(AND(Energy!$F$11=$A$3,Main!$B$43=A23),Main!C40,D23)</f>
        <v>7.5</v>
      </c>
      <c r="E23" s="103">
        <f ca="1">IF(AND(Energy!$F$11=$A$3,Main!$B$43=A23),Main!B40,E23)</f>
        <v>0.2</v>
      </c>
      <c r="F23" s="103">
        <f ca="1">IF(Main!$D$6=1,U23,IF(Main!$D$6=2,N23,IF(Main!$D$6=3,K23,IF(Main!$D$6=4,V23,J23))))</f>
        <v>645.11949305019675</v>
      </c>
      <c r="G23" s="103">
        <f ca="1">IF(AND(Energy!$F$11=$A$3,Main!$B$43=A23),Weight!H40,G23)</f>
        <v>15</v>
      </c>
      <c r="H23" s="103">
        <f ca="1">IF(AND(Energy!$F$11=$A$3,Main!$B$43=A23),Weight!U40,H23)</f>
        <v>20.925018657729709</v>
      </c>
      <c r="I23" s="103">
        <f ca="1">IF(AND(Energy!$F$11=$A$3,Main!$B$43=A23),Weight!V40,I23)</f>
        <v>58.500575110529397</v>
      </c>
      <c r="J23" s="103">
        <f ca="1">IF(AND(Energy!$F$11=$A$3,Main!$B$43=A23),Weight!I40,J23)</f>
        <v>32.637908177799687</v>
      </c>
      <c r="K23" s="103">
        <f ca="1">IF(AND(Energy!$F$11=$A$3,Main!$B$43=A23),Weight!W40,K23)</f>
        <v>73.500576823104751</v>
      </c>
      <c r="L23" s="103">
        <f ca="1">IF(AND(Energy!$F$11=$A$3,Main!$B$43=A23),'Aerodynamics-Cruise'!BI40,L23)</f>
        <v>73.500573380389909</v>
      </c>
      <c r="M23" s="103">
        <f ca="1">IF(AND(Energy!$F$11=$A$3,Main!$B$43=A23),'Aerodynamics-Cruise'!BJ40,M23)</f>
        <v>3.3911891803680456</v>
      </c>
      <c r="N23" s="103">
        <f ca="1">IF(AND(Energy!$F$11=$A$3,Main!$B$43=A23),'Aerodynamics-Cruise'!BK40,N23)</f>
        <v>21.673982037302</v>
      </c>
      <c r="O23" s="103">
        <f t="shared" ca="1" si="0"/>
        <v>185.81641318112185</v>
      </c>
      <c r="P23" s="103">
        <f ca="1">IF(AND(Energy!$F$11=$A$3,Main!$B$43=A23),'Aerodynamics-Cruise'!H40,P23)</f>
        <v>9.4553422534338321</v>
      </c>
      <c r="Q23" s="103">
        <f ca="1">IF(AND(Energy!$F$11=$A$3,Main!$B$43=A23),'Aerodynamics-Cruise'!I40,Q23)</f>
        <v>8.1222533055050743</v>
      </c>
      <c r="R23" s="103">
        <f ca="1">IF(AND(Energy!$F$11=$A$3,Main!$B$43=$A23),Summary!R40,R23)</f>
        <v>6.9292596008368168</v>
      </c>
      <c r="S23" s="103">
        <f ca="1">IF(AND(Energy!$F$11=$A$3,Main!$B$43=A23),'Aerodynamics-Cruise'!W40,S23)</f>
        <v>1</v>
      </c>
      <c r="T23" s="103">
        <f ca="1">IF(AND(Energy!$F$11=$A$3,Main!$B$43=A23),'Aerodynamics-Cruise'!BL40,T23)</f>
        <v>32.064854346521628</v>
      </c>
      <c r="U23" s="103">
        <f ca="1">IF(AND(Energy!$F$11=$A$3,Main!$B$43=A23),'Propulsion-Cruise'!M40,U23)</f>
        <v>67.625074679228334</v>
      </c>
      <c r="V23" s="103">
        <f ca="1">IF(AND(Energy!$F$11=$A$3,Main!$B$43=A23),Endurance!AP40,V23)</f>
        <v>645.11949305019675</v>
      </c>
      <c r="W23" s="103">
        <f ca="1">IF(AND(Energy!$F$11=$A$3,Main!$B$43=$A23),Summary!W40,W23)</f>
        <v>1.5</v>
      </c>
      <c r="X23" s="13">
        <f ca="1">IF(AND(Energy!$F$11=$A$3,Main!$B$43=A23),Energy!D40,X23)</f>
        <v>407.26622662324723</v>
      </c>
      <c r="Y23" s="102">
        <f ca="1">IF(AND(Energy!$F$11=$A$3,Main!$B$43=A23),'Aerodynamics-Cruise'!V40,Y23)</f>
        <v>119936.8191104094</v>
      </c>
      <c r="Z23" s="102">
        <f ca="1">IF(AND(Energy!$F$11=$A$3,Main!$B$43=$A23),Summary!Z40,Z23)</f>
        <v>91221.506896895895</v>
      </c>
      <c r="AA23" s="102">
        <f ca="1">IF(AND(Energy!$F$11=$A$3,Main!$B$43=$A23),Summary!AA40,AA23)</f>
        <v>91221.506896895895</v>
      </c>
      <c r="AB23" s="103">
        <f ca="1">IF(AND(Energy!$F$11=$A$3,Main!$B$43=$A23),Summary!AB40,AB23)</f>
        <v>6.9292596008368168</v>
      </c>
      <c r="AC23" s="103">
        <f ca="1">IF(AND(Energy!$F$11=$A$3,Main!$B$43=$A23),Summary!AC40,AC23)</f>
        <v>1.9628513708496922</v>
      </c>
      <c r="AD23" s="103">
        <f ca="1">IF(AND(Energy!$F$11=$A$3,Main!$B$43=$A23),Summary!AD40,AD23)</f>
        <v>0.43869654553757587</v>
      </c>
      <c r="AE23" s="103">
        <f ca="1">IF(AND(Energy!$F$11=$A$3,Main!$B$43=$A23),Summary!AE40,AE23)</f>
        <v>1.5</v>
      </c>
      <c r="AF23" s="103">
        <f ca="1">IF(AND(Energy!$F$11=$A$3,Main!$B$43=$A23),Summary!AF40,AF23)</f>
        <v>37.5</v>
      </c>
      <c r="AG23" s="103">
        <f ca="1">IF(AND(Energy!$F$11=$A$3,Main!$B$43=$A23),Summary!AG40,AG23)</f>
        <v>12.874750199162621</v>
      </c>
      <c r="AH23" s="103">
        <f ca="1">IF(AND(Energy!$F$11=$A$3,Main!$B$43=$A23),Summary!AH40,AH23)</f>
        <v>47</v>
      </c>
      <c r="AI23" s="103">
        <f ca="1">IF(AND(Energy!$F$11=$A$3,Main!$B$43=$A23),Summary!AI40,AI23)</f>
        <v>2.6561799123346099</v>
      </c>
      <c r="AJ23" s="103">
        <f ca="1">IF(AND(Energy!$F$11=$A$3,Main!$B$43=$A23),Summary!AJ40,AJ23)</f>
        <v>0.28502940921464537</v>
      </c>
      <c r="AK23" s="103">
        <f ca="1">IF(AND(Energy!$F$11=$A$3,Main!$B$43=$A23),Summary!AK40,AK23)</f>
        <v>0.01</v>
      </c>
      <c r="AL23" s="103">
        <f ca="1">IF(AND(Energy!$F$11=$A$3,Main!$B$43=$A23),Summary!AL40,AL23)</f>
        <v>-0.43857750212491386</v>
      </c>
      <c r="AM23" s="103">
        <f ca="1">IF(AND(Energy!$F$11=$A$3,Main!$B$43=$A23),Summary!AM40,AM23)</f>
        <v>0</v>
      </c>
      <c r="AN23" s="101"/>
      <c r="AO23" s="101"/>
      <c r="AP23" s="101"/>
      <c r="AQ23" s="101"/>
      <c r="AR23" s="103"/>
      <c r="AS23" s="103"/>
      <c r="AT23" s="103"/>
      <c r="AU23" s="101"/>
      <c r="AV23" s="101"/>
      <c r="AW23" s="101"/>
      <c r="AX23" s="101"/>
      <c r="AY23" s="101"/>
      <c r="AZ23" s="105"/>
      <c r="BA23" s="100"/>
      <c r="BB23" s="100"/>
      <c r="BC23" s="6"/>
    </row>
    <row r="24" spans="1:55">
      <c r="A24" s="7">
        <f>A4+1</f>
        <v>2</v>
      </c>
      <c r="D24" s="1">
        <f ca="1">IF(AND(Energy!$F$11=$A$3,Main!$B$43=A24),Main!C21,D24)</f>
        <v>4.5</v>
      </c>
      <c r="E24" s="103">
        <f ca="1">IF(AND(Energy!$F$11=$A$3,Main!$B$43=A24),Main!B21,E24)</f>
        <v>0.22222222222222224</v>
      </c>
      <c r="F24" s="103">
        <f ca="1">IF(Main!$D$6=1,U24,IF(Main!$D$6=2,N24,IF(Main!$D$6=3,K24,IF(Main!$D$6=4,V24,J24))))</f>
        <v>618.28562691344837</v>
      </c>
      <c r="G24" s="103">
        <f ca="1">IF(AND(Energy!$F$11=$A$3,Main!$B$43=A24),Weight!H21,G24)</f>
        <v>15</v>
      </c>
      <c r="H24" s="103">
        <f ca="1">IF(AND(Energy!$F$11=$A$3,Main!$B$43=A24),Weight!U21,H24)</f>
        <v>13.356598720222124</v>
      </c>
      <c r="I24" s="103">
        <f ca="1">IF(AND(Energy!$F$11=$A$3,Main!$B$43=A24),Weight!V21,I24)</f>
        <v>49.773756182370732</v>
      </c>
      <c r="J24" s="103">
        <f ca="1">IF(AND(Energy!$F$11=$A$3,Main!$B$43=A24),Weight!I21,J24)</f>
        <v>31.479509187148611</v>
      </c>
      <c r="K24" s="103">
        <f ca="1">IF(AND(Energy!$F$11=$A$3,Main!$B$43=A24),Weight!W21,K24)</f>
        <v>64.773761971083701</v>
      </c>
      <c r="L24" s="103">
        <f ca="1">IF(AND(Energy!$F$11=$A$3,Main!$B$43=A24),'Aerodynamics-Cruise'!BI21,L24)</f>
        <v>64.773750349517783</v>
      </c>
      <c r="M24" s="103">
        <f ca="1">IF(AND(Energy!$F$11=$A$3,Main!$B$43=A24),'Aerodynamics-Cruise'!BJ21,M24)</f>
        <v>2.9942552953820378</v>
      </c>
      <c r="N24" s="103">
        <f ca="1">IF(AND(Energy!$F$11=$A$3,Main!$B$43=A24),'Aerodynamics-Cruise'!BK21,N24)</f>
        <v>21.632674558317273</v>
      </c>
      <c r="O24" s="103">
        <f t="shared" ca="1" si="0"/>
        <v>174.10439660265783</v>
      </c>
      <c r="P24" s="103">
        <f ca="1">IF(AND(Energy!$F$11=$A$3,Main!$B$43=A24),'Aerodynamics-Cruise'!H21,P24)</f>
        <v>10.880189020216346</v>
      </c>
      <c r="Q24" s="103">
        <f ca="1">IF(AND(Energy!$F$11=$A$3,Main!$B$43=A24),'Aerodynamics-Cruise'!I21,Q24)</f>
        <v>9.2457842145273172</v>
      </c>
      <c r="R24" s="103">
        <f ca="1">IF(AND(Energy!$F$11=$A$3,Main!$B$43=$A24),Summary!R21,R24)</f>
        <v>7.9119674662278632</v>
      </c>
      <c r="S24" s="103">
        <f ca="1">IF(AND(Energy!$F$11=$A$3,Main!$B$43=A24),'Aerodynamics-Cruise'!W21,S24)</f>
        <v>1</v>
      </c>
      <c r="T24" s="103">
        <f ca="1">IF(AND(Energy!$F$11=$A$3,Main!$B$43=A24),'Aerodynamics-Cruise'!BL21,T24)</f>
        <v>32.578063588540296</v>
      </c>
      <c r="U24" s="103">
        <f ca="1">IF(AND(Energy!$F$11=$A$3,Main!$B$43=A24),'Propulsion-Cruise'!M21,U24)</f>
        <v>66.396386285360776</v>
      </c>
      <c r="V24" s="103">
        <f ca="1">IF(AND(Energy!$F$11=$A$3,Main!$B$43=A24),Endurance!AP21,V24)</f>
        <v>618.28562691344837</v>
      </c>
      <c r="W24" s="103">
        <f ca="1">IF(AND(Energy!$F$11=$A$3,Main!$B$43=$A24),Summary!W21,W24)</f>
        <v>1</v>
      </c>
      <c r="X24" s="13">
        <f ca="1">IF(AND(Energy!$F$11=$A$3,Main!$B$43=A24),Energy!D21,X24)</f>
        <v>406.62359743976009</v>
      </c>
      <c r="Y24" s="102">
        <f ca="1">IF(AND(Energy!$F$11=$A$3,Main!$B$43=A24),'Aerodynamics-Cruise'!V21,Y24)</f>
        <v>153344.85315029725</v>
      </c>
      <c r="Z24" s="102">
        <f ca="1">IF(AND(Energy!$F$11=$A$3,Main!$B$43=$A24),Summary!Z21,Z24)</f>
        <v>115426.36323266786</v>
      </c>
      <c r="AA24" s="102">
        <f ca="1">IF(AND(Energy!$F$11=$A$3,Main!$B$43=$A24),Summary!AA21,AA24)</f>
        <v>115426.36323266786</v>
      </c>
      <c r="AB24" s="103">
        <f ca="1">IF(AND(Energy!$F$11=$A$3,Main!$B$43=$A24),Summary!AB21,AB24)</f>
        <v>7.9119674662278632</v>
      </c>
      <c r="AC24" s="103">
        <f ca="1">IF(AND(Energy!$F$11=$A$3,Main!$B$43=$A24),Summary!AC21,AC24)</f>
        <v>2.521137971234046</v>
      </c>
      <c r="AD24" s="103">
        <f ca="1">IF(AND(Energy!$F$11=$A$3,Main!$B$43=$A24),Summary!AD21,AD24)</f>
        <v>0.46284502855783854</v>
      </c>
      <c r="AE24" s="103">
        <f ca="1">IF(AND(Energy!$F$11=$A$3,Main!$B$43=$A24),Summary!AE21,AE24)</f>
        <v>1</v>
      </c>
      <c r="AF24" s="103">
        <f ca="1">IF(AND(Energy!$F$11=$A$3,Main!$B$43=$A24),Summary!AF21,AF24)</f>
        <v>20.25</v>
      </c>
      <c r="AG24" s="103">
        <f ca="1">IF(AND(Energy!$F$11=$A$3,Main!$B$43=$A24),Summary!AG21,AG24)</f>
        <v>12.443784890297575</v>
      </c>
      <c r="AH24" s="103">
        <f ca="1">IF(AND(Energy!$F$11=$A$3,Main!$B$43=$A24),Summary!AH21,AH24)</f>
        <v>47</v>
      </c>
      <c r="AI24" s="103">
        <f ca="1">IF(AND(Energy!$F$11=$A$3,Main!$B$43=$A24),Summary!AI21,AI24)</f>
        <v>2.714196746837279</v>
      </c>
      <c r="AJ24" s="103">
        <f ca="1">IF(AND(Energy!$F$11=$A$3,Main!$B$43=$A24),Summary!AJ21,AJ24)</f>
        <v>0.24468948024699566</v>
      </c>
      <c r="AK24" s="103">
        <f ca="1">IF(AND(Energy!$F$11=$A$3,Main!$B$43=$A24),Summary!AK21,AK24)</f>
        <v>0.01</v>
      </c>
      <c r="AL24" s="103">
        <f ca="1">IF(AND(Energy!$F$11=$A$3,Main!$B$43=$A24),Summary!AL21,AL24)</f>
        <v>-0.5108329329429685</v>
      </c>
      <c r="AM24" s="103">
        <f ca="1">IF(AND(Energy!$F$11=$A$3,Main!$B$43=$A24),Summary!AJ41,AM24)</f>
        <v>0</v>
      </c>
      <c r="AN24" s="101"/>
      <c r="AO24" s="101"/>
      <c r="AP24" s="101"/>
      <c r="AQ24" s="101"/>
      <c r="AR24" s="103"/>
      <c r="AS24" s="103"/>
      <c r="AT24" s="103"/>
      <c r="AU24" s="101"/>
      <c r="AV24" s="101"/>
      <c r="AW24" s="101"/>
      <c r="AX24" s="101"/>
      <c r="AY24" s="101"/>
      <c r="AZ24" s="105"/>
      <c r="BA24" s="100"/>
      <c r="BB24" s="100"/>
      <c r="BC24" s="6"/>
    </row>
    <row r="25" spans="1:55">
      <c r="A25">
        <f>A24</f>
        <v>2</v>
      </c>
      <c r="D25" s="1">
        <f ca="1">IF(AND(Energy!$F$11=$A$3,Main!$B$43=A25),Main!C22,D25)</f>
        <v>4.6578947368421053</v>
      </c>
      <c r="E25" s="103">
        <f ca="1">IF(AND(Energy!$F$11=$A$3,Main!$B$43=A25),Main!B22,E25)</f>
        <v>0.22222222222222224</v>
      </c>
      <c r="F25" s="103">
        <f ca="1">IF(Main!$D$6=1,U25,IF(Main!$D$6=2,N25,IF(Main!$D$6=3,K25,IF(Main!$D$6=4,V25,J25))))</f>
        <v>609.78900594477761</v>
      </c>
      <c r="G25" s="103">
        <f ca="1">IF(AND(Energy!$F$11=$A$3,Main!$B$43=A25),Weight!H22,G25)</f>
        <v>15</v>
      </c>
      <c r="H25" s="103">
        <f ca="1">IF(AND(Energy!$F$11=$A$3,Main!$B$43=A25),Weight!U22,H25)</f>
        <v>13.727208155475708</v>
      </c>
      <c r="I25" s="103">
        <f ca="1">IF(AND(Energy!$F$11=$A$3,Main!$B$43=A25),Weight!V22,I25)</f>
        <v>49.751834341490508</v>
      </c>
      <c r="J25" s="103">
        <f ca="1">IF(AND(Energy!$F$11=$A$3,Main!$B$43=A25),Weight!I22,J25)</f>
        <v>31.086977911014799</v>
      </c>
      <c r="K25" s="103">
        <f ca="1">IF(AND(Energy!$F$11=$A$3,Main!$B$43=A25),Weight!W22,K25)</f>
        <v>64.75183968579897</v>
      </c>
      <c r="L25" s="103">
        <f ca="1">IF(AND(Energy!$F$11=$A$3,Main!$B$43=A25),'Aerodynamics-Cruise'!BI22,L25)</f>
        <v>64.751828956524406</v>
      </c>
      <c r="M25" s="103">
        <f ca="1">IF(AND(Energy!$F$11=$A$3,Main!$B$43=A25),'Aerodynamics-Cruise'!BJ22,M25)</f>
        <v>2.9861960875210194</v>
      </c>
      <c r="N25" s="103">
        <f ca="1">IF(AND(Energy!$F$11=$A$3,Main!$B$43=A25),'Aerodynamics-Cruise'!BK22,N25)</f>
        <v>21.683716359791337</v>
      </c>
      <c r="O25" s="103">
        <f t="shared" ca="1" si="0"/>
        <v>174.48565884524805</v>
      </c>
      <c r="P25" s="103">
        <f ca="1">IF(AND(Energy!$F$11=$A$3,Main!$B$43=A25),'Aerodynamics-Cruise'!H22,P25)</f>
        <v>10.692334714012025</v>
      </c>
      <c r="Q25" s="103">
        <f ca="1">IF(AND(Energy!$F$11=$A$3,Main!$B$43=A25),'Aerodynamics-Cruise'!I22,Q25)</f>
        <v>9.0926140740039116</v>
      </c>
      <c r="R25" s="103">
        <f ca="1">IF(AND(Energy!$F$11=$A$3,Main!$B$43=$A25),Summary!R22,R25)</f>
        <v>7.6408771147627892</v>
      </c>
      <c r="S25" s="103">
        <f ca="1">IF(AND(Energy!$F$11=$A$3,Main!$B$43=A25),'Aerodynamics-Cruise'!W22,S25)</f>
        <v>1</v>
      </c>
      <c r="T25" s="103">
        <f ca="1">IF(AND(Energy!$F$11=$A$3,Main!$B$43=A25),'Aerodynamics-Cruise'!BL22,T25)</f>
        <v>31.929408089447886</v>
      </c>
      <c r="U25" s="103">
        <f ca="1">IF(AND(Energy!$F$11=$A$3,Main!$B$43=A25),'Propulsion-Cruise'!M22,U25)</f>
        <v>65.334707664742837</v>
      </c>
      <c r="V25" s="103">
        <f ca="1">IF(AND(Energy!$F$11=$A$3,Main!$B$43=A25),Endurance!AP22,V25)</f>
        <v>609.78900594477761</v>
      </c>
      <c r="W25" s="103">
        <f ca="1">IF(AND(Energy!$F$11=$A$3,Main!$B$43=$A25),Summary!W22,W25)</f>
        <v>1.0350877192982457</v>
      </c>
      <c r="X25" s="13">
        <f ca="1">IF(AND(Energy!$F$11=$A$3,Main!$B$43=A25),Energy!D22,X25)</f>
        <v>406.40583731338518</v>
      </c>
      <c r="Y25" s="102">
        <f ca="1">IF(AND(Energy!$F$11=$A$3,Main!$B$43=A25),'Aerodynamics-Cruise'!V22,Y25)</f>
        <v>150697.24372503566</v>
      </c>
      <c r="Z25" s="102">
        <f ca="1">IF(AND(Energy!$F$11=$A$3,Main!$B$43=$A25),Summary!Z22,Z25)</f>
        <v>113511.00420753198</v>
      </c>
      <c r="AA25" s="102">
        <f ca="1">IF(AND(Energy!$F$11=$A$3,Main!$B$43=$A25),Summary!AA22,AA25)</f>
        <v>113511.00420753198</v>
      </c>
      <c r="AB25" s="103">
        <f ca="1">IF(AND(Energy!$F$11=$A$3,Main!$B$43=$A25),Summary!AB22,AB25)</f>
        <v>7.6408771147627892</v>
      </c>
      <c r="AC25" s="103">
        <f ca="1">IF(AND(Energy!$F$11=$A$3,Main!$B$43=$A25),Summary!AC22,AC25)</f>
        <v>2.4935146187101145</v>
      </c>
      <c r="AD25" s="103">
        <f ca="1">IF(AND(Energy!$F$11=$A$3,Main!$B$43=$A25),Summary!AD22,AD25)</f>
        <v>0.45805966668120585</v>
      </c>
      <c r="AE25" s="103">
        <f ca="1">IF(AND(Energy!$F$11=$A$3,Main!$B$43=$A25),Summary!AE22,AE25)</f>
        <v>1.0350877192982457</v>
      </c>
      <c r="AF25" s="103">
        <f ca="1">IF(AND(Energy!$F$11=$A$3,Main!$B$43=$A25),Summary!AF22,AF25)</f>
        <v>20.960526315789473</v>
      </c>
      <c r="AG25" s="103">
        <f ca="1">IF(AND(Energy!$F$11=$A$3,Main!$B$43=$A25),Summary!AG22,AG25)</f>
        <v>12.348328475945722</v>
      </c>
      <c r="AH25" s="103">
        <f ca="1">IF(AND(Energy!$F$11=$A$3,Main!$B$43=$A25),Summary!AH22,AH25)</f>
        <v>47</v>
      </c>
      <c r="AI25" s="103">
        <f ca="1">IF(AND(Energy!$F$11=$A$3,Main!$B$43=$A25),Summary!AI22,AI25)</f>
        <v>2.7103385048544597</v>
      </c>
      <c r="AJ25" s="103">
        <f ca="1">IF(AND(Energy!$F$11=$A$3,Main!$B$43=$A25),Summary!AJ22,AJ25)</f>
        <v>0.2458009514675156</v>
      </c>
      <c r="AK25" s="103">
        <f ca="1">IF(AND(Energy!$F$11=$A$3,Main!$B$43=$A25),Summary!AK22,AK25)</f>
        <v>0.01</v>
      </c>
      <c r="AL25" s="103">
        <f ca="1">IF(AND(Energy!$F$11=$A$3,Main!$B$43=$A25),Summary!AL22,AL25)</f>
        <v>-0.5085230586471311</v>
      </c>
      <c r="AM25" s="103">
        <f ca="1">IF(AND(Energy!$F$11=$A$3,Main!$B$43=$A25),Summary!AJ42,AM25)</f>
        <v>0</v>
      </c>
      <c r="AN25" s="101"/>
      <c r="AO25" s="101"/>
      <c r="AP25" s="101"/>
      <c r="AQ25" s="101"/>
      <c r="AR25" s="103"/>
      <c r="AS25" s="103"/>
      <c r="AT25" s="103"/>
      <c r="AU25" s="101"/>
      <c r="AV25" s="101"/>
      <c r="AW25" s="101"/>
      <c r="AX25" s="101"/>
      <c r="AY25" s="101"/>
      <c r="AZ25" s="105"/>
      <c r="BA25" s="100"/>
      <c r="BB25" s="100"/>
      <c r="BC25" s="6"/>
    </row>
    <row r="26" spans="1:55">
      <c r="A26">
        <f t="shared" ref="A26:A43" si="2">A25</f>
        <v>2</v>
      </c>
      <c r="D26" s="1">
        <f ca="1">IF(AND(Energy!$F$11=$A$3,Main!$B$43=A26),Main!C23,D26)</f>
        <v>4.8157894736842106</v>
      </c>
      <c r="E26" s="103">
        <f ca="1">IF(AND(Energy!$F$11=$A$3,Main!$B$43=A26),Main!B23,E26)</f>
        <v>0.22222222222222224</v>
      </c>
      <c r="F26" s="103">
        <f ca="1">IF(Main!$D$6=1,U26,IF(Main!$D$6=2,N26,IF(Main!$D$6=3,K26,IF(Main!$D$6=4,V26,J26))))</f>
        <v>603.03888108705758</v>
      </c>
      <c r="G26" s="103">
        <f ca="1">IF(AND(Energy!$F$11=$A$3,Main!$B$43=A26),Weight!H23,G26)</f>
        <v>15</v>
      </c>
      <c r="H26" s="103">
        <f ca="1">IF(AND(Energy!$F$11=$A$3,Main!$B$43=A26),Weight!U23,H26)</f>
        <v>14.112773079781185</v>
      </c>
      <c r="I26" s="103">
        <f ca="1">IF(AND(Energy!$F$11=$A$3,Main!$B$43=A26),Weight!V23,I26)</f>
        <v>49.824312957575472</v>
      </c>
      <c r="J26" s="103">
        <f ca="1">IF(AND(Energy!$F$11=$A$3,Main!$B$43=A26),Weight!I23,J26)</f>
        <v>30.773891602794286</v>
      </c>
      <c r="K26" s="103">
        <f ca="1">IF(AND(Energy!$F$11=$A$3,Main!$B$43=A26),Weight!W23,K26)</f>
        <v>64.824317927976097</v>
      </c>
      <c r="L26" s="103">
        <f ca="1">IF(AND(Energy!$F$11=$A$3,Main!$B$43=A26),'Aerodynamics-Cruise'!BI23,L26)</f>
        <v>64.824307949446165</v>
      </c>
      <c r="M26" s="103">
        <f ca="1">IF(AND(Energy!$F$11=$A$3,Main!$B$43=A26),'Aerodynamics-Cruise'!BJ23,M26)</f>
        <v>2.9832448101947246</v>
      </c>
      <c r="N26" s="103">
        <f ca="1">IF(AND(Energy!$F$11=$A$3,Main!$B$43=A26),'Aerodynamics-Cruise'!BK23,N26)</f>
        <v>21.729463075883103</v>
      </c>
      <c r="O26" s="103">
        <f t="shared" ca="1" si="0"/>
        <v>174.95160851680501</v>
      </c>
      <c r="P26" s="103">
        <f ca="1">IF(AND(Energy!$F$11=$A$3,Main!$B$43=A26),'Aerodynamics-Cruise'!H23,P26)</f>
        <v>10.521433599322314</v>
      </c>
      <c r="Q26" s="103">
        <f ca="1">IF(AND(Energy!$F$11=$A$3,Main!$B$43=A26),'Aerodynamics-Cruise'!I23,Q26)</f>
        <v>8.9531707272652596</v>
      </c>
      <c r="R26" s="103">
        <f ca="1">IF(AND(Energy!$F$11=$A$3,Main!$B$43=$A26),Summary!R23,R26)</f>
        <v>7.4095411916653013</v>
      </c>
      <c r="S26" s="103">
        <f ca="1">IF(AND(Energy!$F$11=$A$3,Main!$B$43=A26),'Aerodynamics-Cruise'!W23,S26)</f>
        <v>1</v>
      </c>
      <c r="T26" s="103">
        <f ca="1">IF(AND(Energy!$F$11=$A$3,Main!$B$43=A26),'Aerodynamics-Cruise'!BL23,T26)</f>
        <v>31.388012180986696</v>
      </c>
      <c r="U26" s="103">
        <f ca="1">IF(AND(Energy!$F$11=$A$3,Main!$B$43=A26),'Propulsion-Cruise'!M23,U26)</f>
        <v>64.468458152766857</v>
      </c>
      <c r="V26" s="103">
        <f ca="1">IF(AND(Energy!$F$11=$A$3,Main!$B$43=A26),Endurance!AP23,V26)</f>
        <v>603.03888108705758</v>
      </c>
      <c r="W26" s="103">
        <f ca="1">IF(AND(Energy!$F$11=$A$3,Main!$B$43=$A26),Summary!W23,W26)</f>
        <v>1.0701754385964912</v>
      </c>
      <c r="X26" s="13">
        <f ca="1">IF(AND(Energy!$F$11=$A$3,Main!$B$43=A26),Energy!D23,X26)</f>
        <v>406.23214996139029</v>
      </c>
      <c r="Y26" s="102">
        <f ca="1">IF(AND(Energy!$F$11=$A$3,Main!$B$43=A26),'Aerodynamics-Cruise'!V23,Y26)</f>
        <v>148288.57175374718</v>
      </c>
      <c r="Z26" s="102">
        <f ca="1">IF(AND(Energy!$F$11=$A$3,Main!$B$43=$A26),Summary!Z23,Z26)</f>
        <v>111767.34272991691</v>
      </c>
      <c r="AA26" s="102">
        <f ca="1">IF(AND(Energy!$F$11=$A$3,Main!$B$43=$A26),Summary!AA23,AA26)</f>
        <v>111767.34272991691</v>
      </c>
      <c r="AB26" s="103">
        <f ca="1">IF(AND(Energy!$F$11=$A$3,Main!$B$43=$A26),Summary!AB23,AB26)</f>
        <v>7.4095411916653013</v>
      </c>
      <c r="AC26" s="103">
        <f ca="1">IF(AND(Energy!$F$11=$A$3,Main!$B$43=$A26),Summary!AC23,AC26)</f>
        <v>2.4636679610145671</v>
      </c>
      <c r="AD26" s="103">
        <f ca="1">IF(AND(Energy!$F$11=$A$3,Main!$B$43=$A26),Summary!AD23,AD26)</f>
        <v>0.45388801168382176</v>
      </c>
      <c r="AE26" s="103">
        <f ca="1">IF(AND(Energy!$F$11=$A$3,Main!$B$43=$A26),Summary!AE23,AE26)</f>
        <v>1.0701754385964912</v>
      </c>
      <c r="AF26" s="103">
        <f ca="1">IF(AND(Energy!$F$11=$A$3,Main!$B$43=$A26),Summary!AF23,AF26)</f>
        <v>21.671052631578949</v>
      </c>
      <c r="AG26" s="103">
        <f ca="1">IF(AND(Energy!$F$11=$A$3,Main!$B$43=$A26),Summary!AG23,AG26)</f>
        <v>12.27301736768389</v>
      </c>
      <c r="AH26" s="103">
        <f ca="1">IF(AND(Energy!$F$11=$A$3,Main!$B$43=$A26),Summary!AH23,AH26)</f>
        <v>47</v>
      </c>
      <c r="AI26" s="103">
        <f ca="1">IF(AND(Energy!$F$11=$A$3,Main!$B$43=$A26),Summary!AI23,AI26)</f>
        <v>2.7067744832480236</v>
      </c>
      <c r="AJ26" s="103">
        <f ca="1">IF(AND(Energy!$F$11=$A$3,Main!$B$43=$A26),Summary!AJ23,AJ26)</f>
        <v>0.24683650893745221</v>
      </c>
      <c r="AK26" s="103">
        <f ca="1">IF(AND(Energy!$F$11=$A$3,Main!$B$43=$A26),Summary!AK23,AK26)</f>
        <v>0.01</v>
      </c>
      <c r="AL26" s="103">
        <f ca="1">IF(AND(Energy!$F$11=$A$3,Main!$B$43=$A26),Summary!AL23,AL26)</f>
        <v>-0.50638967009141633</v>
      </c>
      <c r="AM26" s="103">
        <f ca="1">IF(AND(Energy!$F$11=$A$3,Main!$B$43=$A26),Summary!AJ43,AM26)</f>
        <v>0</v>
      </c>
      <c r="AN26" s="101"/>
      <c r="AO26" s="101"/>
      <c r="AP26" s="101"/>
      <c r="AQ26" s="101"/>
      <c r="AR26" s="103"/>
      <c r="AS26" s="103"/>
      <c r="AT26" s="103"/>
      <c r="AU26" s="101"/>
      <c r="AV26" s="101"/>
      <c r="AW26" s="101"/>
      <c r="AX26" s="101"/>
      <c r="AY26" s="101"/>
      <c r="AZ26" s="105"/>
      <c r="BA26" s="100"/>
      <c r="BB26" s="100"/>
      <c r="BC26" s="6"/>
    </row>
    <row r="27" spans="1:55">
      <c r="A27">
        <f t="shared" si="2"/>
        <v>2</v>
      </c>
      <c r="D27" s="1">
        <f ca="1">IF(AND(Energy!$F$11=$A$3,Main!$B$43=A27),Main!C24,D27)</f>
        <v>4.9736842105263159</v>
      </c>
      <c r="E27" s="103">
        <f ca="1">IF(AND(Energy!$F$11=$A$3,Main!$B$43=A27),Main!B24,E27)</f>
        <v>0.22222222222222224</v>
      </c>
      <c r="F27" s="103">
        <f ca="1">IF(Main!$D$6=1,U27,IF(Main!$D$6=2,N27,IF(Main!$D$6=3,K27,IF(Main!$D$6=4,V27,J27))))</f>
        <v>597.77499875724902</v>
      </c>
      <c r="G27" s="103">
        <f ca="1">IF(AND(Energy!$F$11=$A$3,Main!$B$43=A27),Weight!H24,G27)</f>
        <v>15</v>
      </c>
      <c r="H27" s="103">
        <f ca="1">IF(AND(Energy!$F$11=$A$3,Main!$B$43=A27),Weight!U24,H27)</f>
        <v>14.512585549428451</v>
      </c>
      <c r="I27" s="103">
        <f ca="1">IF(AND(Energy!$F$11=$A$3,Main!$B$43=A27),Weight!V24,I27)</f>
        <v>49.978621515906681</v>
      </c>
      <c r="J27" s="103">
        <f ca="1">IF(AND(Energy!$F$11=$A$3,Main!$B$43=A27),Weight!I24,J27)</f>
        <v>30.528387691478226</v>
      </c>
      <c r="K27" s="103">
        <f ca="1">IF(AND(Energy!$F$11=$A$3,Main!$B$43=A27),Weight!W24,K27)</f>
        <v>64.978626168592911</v>
      </c>
      <c r="L27" s="103">
        <f ca="1">IF(AND(Energy!$F$11=$A$3,Main!$B$43=A27),'Aerodynamics-Cruise'!BI24,L27)</f>
        <v>64.978616827978939</v>
      </c>
      <c r="M27" s="103">
        <f ca="1">IF(AND(Energy!$F$11=$A$3,Main!$B$43=A27),'Aerodynamics-Cruise'!BJ24,M27)</f>
        <v>2.9846908307868727</v>
      </c>
      <c r="N27" s="103">
        <f ca="1">IF(AND(Energy!$F$11=$A$3,Main!$B$43=A27),'Aerodynamics-Cruise'!BK24,N27)</f>
        <v>21.77063572472202</v>
      </c>
      <c r="O27" s="103">
        <f t="shared" ca="1" si="0"/>
        <v>175.49160353189257</v>
      </c>
      <c r="P27" s="103">
        <f ca="1">IF(AND(Energy!$F$11=$A$3,Main!$B$43=A27),'Aerodynamics-Cruise'!H24,P27)</f>
        <v>10.365359329981999</v>
      </c>
      <c r="Q27" s="103">
        <f ca="1">IF(AND(Energy!$F$11=$A$3,Main!$B$43=A27),'Aerodynamics-Cruise'!I24,Q27)</f>
        <v>8.8257435514500084</v>
      </c>
      <c r="R27" s="103">
        <f ca="1">IF(AND(Energy!$F$11=$A$3,Main!$B$43=$A27),Summary!R24,R27)</f>
        <v>7.2114093795198899</v>
      </c>
      <c r="S27" s="103">
        <f ca="1">IF(AND(Energy!$F$11=$A$3,Main!$B$43=A27),'Aerodynamics-Cruise'!W24,S27)</f>
        <v>1</v>
      </c>
      <c r="T27" s="103">
        <f ca="1">IF(AND(Energy!$F$11=$A$3,Main!$B$43=A27),'Aerodynamics-Cruise'!BL24,T27)</f>
        <v>30.937392950008434</v>
      </c>
      <c r="U27" s="103">
        <f ca="1">IF(AND(Energy!$F$11=$A$3,Main!$B$43=A27),'Propulsion-Cruise'!M24,U27)</f>
        <v>63.768192525167954</v>
      </c>
      <c r="V27" s="103">
        <f ca="1">IF(AND(Energy!$F$11=$A$3,Main!$B$43=A27),Endurance!AP24,V27)</f>
        <v>597.77499875724902</v>
      </c>
      <c r="W27" s="103">
        <f ca="1">IF(AND(Energy!$F$11=$A$3,Main!$B$43=$A27),Summary!W24,W27)</f>
        <v>1.1052631578947369</v>
      </c>
      <c r="X27" s="13">
        <f ca="1">IF(AND(Energy!$F$11=$A$3,Main!$B$43=A27),Energy!D24,X27)</f>
        <v>406.09595451925833</v>
      </c>
      <c r="Y27" s="102">
        <f ca="1">IF(AND(Energy!$F$11=$A$3,Main!$B$43=A27),'Aerodynamics-Cruise'!V24,Y27)</f>
        <v>146088.86861733467</v>
      </c>
      <c r="Z27" s="102">
        <f ca="1">IF(AND(Energy!$F$11=$A$3,Main!$B$43=$A27),Summary!Z24,Z27)</f>
        <v>110173.97657018351</v>
      </c>
      <c r="AA27" s="102">
        <f ca="1">IF(AND(Energy!$F$11=$A$3,Main!$B$43=$A27),Summary!AA24,AA27)</f>
        <v>110173.97657018351</v>
      </c>
      <c r="AB27" s="103">
        <f ca="1">IF(AND(Energy!$F$11=$A$3,Main!$B$43=$A27),Summary!AB24,AB27)</f>
        <v>7.2114093795198899</v>
      </c>
      <c r="AC27" s="103">
        <f ca="1">IF(AND(Energy!$F$11=$A$3,Main!$B$43=$A27),Summary!AC24,AC27)</f>
        <v>2.4321344728864673</v>
      </c>
      <c r="AD27" s="103">
        <f ca="1">IF(AND(Energy!$F$11=$A$3,Main!$B$43=$A27),Summary!AD24,AD27)</f>
        <v>0.45025044850349899</v>
      </c>
      <c r="AE27" s="103">
        <f ca="1">IF(AND(Energy!$F$11=$A$3,Main!$B$43=$A27),Summary!AE24,AE27)</f>
        <v>1.1052631578947369</v>
      </c>
      <c r="AF27" s="103">
        <f ca="1">IF(AND(Energy!$F$11=$A$3,Main!$B$43=$A27),Summary!AF24,AF27)</f>
        <v>22.381578947368421</v>
      </c>
      <c r="AG27" s="103">
        <f ca="1">IF(AND(Energy!$F$11=$A$3,Main!$B$43=$A27),Summary!AG24,AG27)</f>
        <v>12.214978102987995</v>
      </c>
      <c r="AH27" s="103">
        <f ca="1">IF(AND(Energy!$F$11=$A$3,Main!$B$43=$A27),Summary!AH24,AH27)</f>
        <v>47</v>
      </c>
      <c r="AI27" s="103">
        <f ca="1">IF(AND(Energy!$F$11=$A$3,Main!$B$43=$A27),Summary!AI24,AI27)</f>
        <v>2.7034733418707146</v>
      </c>
      <c r="AJ27" s="103">
        <f ca="1">IF(AND(Energy!$F$11=$A$3,Main!$B$43=$A27),Summary!AJ24,AJ27)</f>
        <v>0.24780332875371275</v>
      </c>
      <c r="AK27" s="103">
        <f ca="1">IF(AND(Energy!$F$11=$A$3,Main!$B$43=$A27),Summary!AK24,AK27)</f>
        <v>0.01</v>
      </c>
      <c r="AL27" s="103">
        <f ca="1">IF(AND(Energy!$F$11=$A$3,Main!$B$43=$A27),Summary!AL24,AL27)</f>
        <v>-0.50441398571436358</v>
      </c>
      <c r="AM27" s="103">
        <f ca="1">IF(AND(Energy!$F$11=$A$3,Main!$B$43=$A27),Summary!AJ44,AM27)</f>
        <v>0</v>
      </c>
      <c r="AN27" s="101"/>
      <c r="AO27" s="101"/>
      <c r="AP27" s="101"/>
      <c r="AQ27" s="101"/>
      <c r="AR27" s="103"/>
      <c r="AS27" s="103"/>
      <c r="AT27" s="103"/>
      <c r="AU27" s="101"/>
      <c r="AV27" s="101"/>
      <c r="AW27" s="101"/>
      <c r="AX27" s="101"/>
      <c r="AY27" s="101"/>
      <c r="AZ27" s="105"/>
      <c r="BA27" s="100"/>
      <c r="BB27" s="100"/>
      <c r="BC27" s="6"/>
    </row>
    <row r="28" spans="1:55">
      <c r="A28">
        <f t="shared" si="2"/>
        <v>2</v>
      </c>
      <c r="D28" s="1">
        <f ca="1">IF(AND(Energy!$F$11=$A$3,Main!$B$43=A28),Main!C25,D28)</f>
        <v>5.1315789473684212</v>
      </c>
      <c r="E28" s="103">
        <f ca="1">IF(AND(Energy!$F$11=$A$3,Main!$B$43=A28),Main!B25,E28)</f>
        <v>0.22222222222222224</v>
      </c>
      <c r="F28" s="103">
        <f ca="1">IF(Main!$D$6=1,U28,IF(Main!$D$6=2,N28,IF(Main!$D$6=3,K28,IF(Main!$D$6=4,V28,J28))))</f>
        <v>593.79074467233681</v>
      </c>
      <c r="G28" s="103">
        <f ca="1">IF(AND(Energy!$F$11=$A$3,Main!$B$43=A28),Weight!H25,G28)</f>
        <v>15</v>
      </c>
      <c r="H28" s="103">
        <f ca="1">IF(AND(Energy!$F$11=$A$3,Main!$B$43=A28),Weight!U25,H28)</f>
        <v>14.926101080655229</v>
      </c>
      <c r="I28" s="103">
        <f ca="1">IF(AND(Energy!$F$11=$A$3,Main!$B$43=A28),Weight!V25,I28)</f>
        <v>50.20479846809485</v>
      </c>
      <c r="J28" s="103">
        <f ca="1">IF(AND(Energy!$F$11=$A$3,Main!$B$43=A28),Weight!I25,J28)</f>
        <v>30.341049112439624</v>
      </c>
      <c r="K28" s="103">
        <f ca="1">IF(AND(Energy!$F$11=$A$3,Main!$B$43=A28),Weight!W25,K28)</f>
        <v>65.204802848781043</v>
      </c>
      <c r="L28" s="103">
        <f ca="1">IF(AND(Energy!$F$11=$A$3,Main!$B$43=A28),'Aerodynamics-Cruise'!BI25,L28)</f>
        <v>65.20479405429451</v>
      </c>
      <c r="M28" s="103">
        <f ca="1">IF(AND(Energy!$F$11=$A$3,Main!$B$43=A28),'Aerodynamics-Cruise'!BJ25,M28)</f>
        <v>2.9899623523452497</v>
      </c>
      <c r="N28" s="103">
        <f ca="1">IF(AND(Energy!$F$11=$A$3,Main!$B$43=A28),'Aerodynamics-Cruise'!BK25,N28)</f>
        <v>21.807898016892938</v>
      </c>
      <c r="O28" s="103">
        <f t="shared" ca="1" si="0"/>
        <v>176.097654428396</v>
      </c>
      <c r="P28" s="103">
        <f ca="1">IF(AND(Energy!$F$11=$A$3,Main!$B$43=A28),'Aerodynamics-Cruise'!H25,P28)</f>
        <v>10.222359261694404</v>
      </c>
      <c r="Q28" s="103">
        <f ca="1">IF(AND(Energy!$F$11=$A$3,Main!$B$43=A28),'Aerodynamics-Cruise'!I25,Q28)</f>
        <v>8.7089214661814136</v>
      </c>
      <c r="R28" s="103">
        <f ca="1">IF(AND(Energy!$F$11=$A$3,Main!$B$43=$A28),Summary!R25,R28)</f>
        <v>7.041363330071297</v>
      </c>
      <c r="S28" s="103">
        <f ca="1">IF(AND(Energy!$F$11=$A$3,Main!$B$43=A28),'Aerodynamics-Cruise'!W25,S28)</f>
        <v>1</v>
      </c>
      <c r="T28" s="103">
        <f ca="1">IF(AND(Energy!$F$11=$A$3,Main!$B$43=A28),'Aerodynamics-Cruise'!BL25,T28)</f>
        <v>30.56446934461405</v>
      </c>
      <c r="U28" s="103">
        <f ca="1">IF(AND(Energy!$F$11=$A$3,Main!$B$43=A28),'Propulsion-Cruise'!M25,U28)</f>
        <v>63.210527743728754</v>
      </c>
      <c r="V28" s="103">
        <f ca="1">IF(AND(Energy!$F$11=$A$3,Main!$B$43=A28),Endurance!AP25,V28)</f>
        <v>593.79074467233681</v>
      </c>
      <c r="W28" s="103">
        <f ca="1">IF(AND(Energy!$F$11=$A$3,Main!$B$43=$A28),Summary!W25,W28)</f>
        <v>1.1403508771929827</v>
      </c>
      <c r="X28" s="13">
        <f ca="1">IF(AND(Energy!$F$11=$A$3,Main!$B$43=A28),Energy!D25,X28)</f>
        <v>405.9920267888653</v>
      </c>
      <c r="Y28" s="102">
        <f ca="1">IF(AND(Energy!$F$11=$A$3,Main!$B$43=A28),'Aerodynamics-Cruise'!V25,Y28)</f>
        <v>144073.43263260141</v>
      </c>
      <c r="Z28" s="102">
        <f ca="1">IF(AND(Energy!$F$11=$A$3,Main!$B$43=$A28),Summary!Z25,Z28)</f>
        <v>108713.25172011998</v>
      </c>
      <c r="AA28" s="102">
        <f ca="1">IF(AND(Energy!$F$11=$A$3,Main!$B$43=$A28),Summary!AA25,AA28)</f>
        <v>108713.25172011998</v>
      </c>
      <c r="AB28" s="103">
        <f ca="1">IF(AND(Energy!$F$11=$A$3,Main!$B$43=$A28),Summary!AB25,AB28)</f>
        <v>7.041363330071297</v>
      </c>
      <c r="AC28" s="103">
        <f ca="1">IF(AND(Energy!$F$11=$A$3,Main!$B$43=$A28),Summary!AC25,AC28)</f>
        <v>2.3993384991534548</v>
      </c>
      <c r="AD28" s="103">
        <f ca="1">IF(AND(Energy!$F$11=$A$3,Main!$B$43=$A28),Summary!AD25,AD28)</f>
        <v>0.447081707500178</v>
      </c>
      <c r="AE28" s="103">
        <f ca="1">IF(AND(Energy!$F$11=$A$3,Main!$B$43=$A28),Summary!AE25,AE28)</f>
        <v>1.1403508771929827</v>
      </c>
      <c r="AF28" s="103">
        <f ca="1">IF(AND(Energy!$F$11=$A$3,Main!$B$43=$A28),Summary!AF25,AF28)</f>
        <v>23.09210526315789</v>
      </c>
      <c r="AG28" s="103">
        <f ca="1">IF(AND(Energy!$F$11=$A$3,Main!$B$43=$A28),Summary!AG25,AG28)</f>
        <v>12.171898110843228</v>
      </c>
      <c r="AH28" s="103">
        <f ca="1">IF(AND(Energy!$F$11=$A$3,Main!$B$43=$A28),Summary!AH25,AH28)</f>
        <v>47</v>
      </c>
      <c r="AI28" s="103">
        <f ca="1">IF(AND(Energy!$F$11=$A$3,Main!$B$43=$A28),Summary!AI25,AI28)</f>
        <v>2.7004087889590727</v>
      </c>
      <c r="AJ28" s="103">
        <f ca="1">IF(AND(Energy!$F$11=$A$3,Main!$B$43=$A28),Summary!AJ25,AJ28)</f>
        <v>0.24870761676492739</v>
      </c>
      <c r="AK28" s="103">
        <f ca="1">IF(AND(Energy!$F$11=$A$3,Main!$B$43=$A28),Summary!AK25,AK28)</f>
        <v>0.01</v>
      </c>
      <c r="AL28" s="103">
        <f ca="1">IF(AND(Energy!$F$11=$A$3,Main!$B$43=$A28),Summary!AL25,AL28)</f>
        <v>-0.50257998612707599</v>
      </c>
      <c r="AM28" s="103">
        <f ca="1">IF(AND(Energy!$F$11=$A$3,Main!$B$43=$A28),Summary!AJ45,AM28)</f>
        <v>0</v>
      </c>
      <c r="AN28" s="101"/>
      <c r="AO28" s="101"/>
      <c r="AP28" s="101"/>
      <c r="AQ28" s="101"/>
      <c r="AR28" s="103"/>
      <c r="AS28" s="103"/>
      <c r="AT28" s="103"/>
      <c r="AU28" s="101"/>
      <c r="AV28" s="101"/>
      <c r="AW28" s="101"/>
      <c r="AX28" s="101"/>
      <c r="AY28" s="101"/>
      <c r="AZ28" s="105"/>
      <c r="BA28" s="100"/>
      <c r="BB28" s="100"/>
      <c r="BC28" s="6"/>
    </row>
    <row r="29" spans="1:55">
      <c r="A29">
        <f t="shared" si="2"/>
        <v>2</v>
      </c>
      <c r="D29" s="1">
        <f ca="1">IF(AND(Energy!$F$11=$A$3,Main!$B$43=A29),Main!C26,D29)</f>
        <v>5.2894736842105265</v>
      </c>
      <c r="E29" s="103">
        <f ca="1">IF(AND(Energy!$F$11=$A$3,Main!$B$43=A29),Main!B26,E29)</f>
        <v>0.22222222222222224</v>
      </c>
      <c r="F29" s="103">
        <f ca="1">IF(Main!$D$6=1,U29,IF(Main!$D$6=2,N29,IF(Main!$D$6=3,K29,IF(Main!$D$6=4,V29,J29))))</f>
        <v>590.91995347389889</v>
      </c>
      <c r="G29" s="103">
        <f ca="1">IF(AND(Energy!$F$11=$A$3,Main!$B$43=A29),Weight!H26,G29)</f>
        <v>15</v>
      </c>
      <c r="H29" s="103">
        <f ca="1">IF(AND(Energy!$F$11=$A$3,Main!$B$43=A29),Weight!U26,H29)</f>
        <v>15.352900195531561</v>
      </c>
      <c r="I29" s="103">
        <f ca="1">IF(AND(Energy!$F$11=$A$3,Main!$B$43=A29),Weight!V26,I29)</f>
        <v>50.494851269899968</v>
      </c>
      <c r="J29" s="103">
        <f ca="1">IF(AND(Energy!$F$11=$A$3,Main!$B$43=A29),Weight!I26,J29)</f>
        <v>30.204302799368403</v>
      </c>
      <c r="K29" s="103">
        <f ca="1">IF(AND(Energy!$F$11=$A$3,Main!$B$43=A29),Weight!W26,K29)</f>
        <v>65.494855416031029</v>
      </c>
      <c r="L29" s="103">
        <f ca="1">IF(AND(Energy!$F$11=$A$3,Main!$B$43=A29),'Aerodynamics-Cruise'!BI26,L29)</f>
        <v>65.494847092486921</v>
      </c>
      <c r="M29" s="103">
        <f ca="1">IF(AND(Energy!$F$11=$A$3,Main!$B$43=A29),'Aerodynamics-Cruise'!BJ26,M29)</f>
        <v>2.9985936382837566</v>
      </c>
      <c r="N29" s="103">
        <f ca="1">IF(AND(Energy!$F$11=$A$3,Main!$B$43=A29),'Aerodynamics-Cruise'!BK26,N29)</f>
        <v>21.841854880334122</v>
      </c>
      <c r="O29" s="103">
        <f t="shared" ca="1" si="0"/>
        <v>176.76369998389089</v>
      </c>
      <c r="P29" s="103">
        <f ca="1">IF(AND(Energy!$F$11=$A$3,Main!$B$43=A29),'Aerodynamics-Cruise'!H26,P29)</f>
        <v>10.090971686248988</v>
      </c>
      <c r="Q29" s="103">
        <f ca="1">IF(AND(Energy!$F$11=$A$3,Main!$B$43=A29),'Aerodynamics-Cruise'!I26,Q29)</f>
        <v>8.6015267380177214</v>
      </c>
      <c r="R29" s="103">
        <f ca="1">IF(AND(Energy!$F$11=$A$3,Main!$B$43=$A29),Summary!R26,R29)</f>
        <v>6.8953456945588378</v>
      </c>
      <c r="S29" s="103">
        <f ca="1">IF(AND(Energy!$F$11=$A$3,Main!$B$43=A29),'Aerodynamics-Cruise'!W26,S29)</f>
        <v>1</v>
      </c>
      <c r="T29" s="103">
        <f ca="1">IF(AND(Energy!$F$11=$A$3,Main!$B$43=A29),'Aerodynamics-Cruise'!BL26,T29)</f>
        <v>30.258723502487726</v>
      </c>
      <c r="U29" s="103">
        <f ca="1">IF(AND(Energy!$F$11=$A$3,Main!$B$43=A29),'Propulsion-Cruise'!M26,U29)</f>
        <v>62.776651940737644</v>
      </c>
      <c r="V29" s="103">
        <f ca="1">IF(AND(Energy!$F$11=$A$3,Main!$B$43=A29),Endurance!AP26,V29)</f>
        <v>590.91995347389889</v>
      </c>
      <c r="W29" s="103">
        <f ca="1">IF(AND(Energy!$F$11=$A$3,Main!$B$43=$A29),Summary!W26,W29)</f>
        <v>1.1754385964912282</v>
      </c>
      <c r="X29" s="13">
        <f ca="1">IF(AND(Energy!$F$11=$A$3,Main!$B$43=A29),Energy!D26,X29)</f>
        <v>405.9161655462064</v>
      </c>
      <c r="Y29" s="102">
        <f ca="1">IF(AND(Energy!$F$11=$A$3,Main!$B$43=A29),'Aerodynamics-Cruise'!V26,Y29)</f>
        <v>142221.66255535229</v>
      </c>
      <c r="Z29" s="102">
        <f ca="1">IF(AND(Energy!$F$11=$A$3,Main!$B$43=$A29),Summary!Z26,Z29)</f>
        <v>107370.43400686356</v>
      </c>
      <c r="AA29" s="102">
        <f ca="1">IF(AND(Energy!$F$11=$A$3,Main!$B$43=$A29),Summary!AA26,AA29)</f>
        <v>107370.43400686356</v>
      </c>
      <c r="AB29" s="103">
        <f ca="1">IF(AND(Energy!$F$11=$A$3,Main!$B$43=$A29),Summary!AB26,AB29)</f>
        <v>6.8953456945588378</v>
      </c>
      <c r="AC29" s="103">
        <f ca="1">IF(AND(Energy!$F$11=$A$3,Main!$B$43=$A29),Summary!AC26,AC29)</f>
        <v>2.3656181447118239</v>
      </c>
      <c r="AD29" s="103">
        <f ca="1">IF(AND(Energy!$F$11=$A$3,Main!$B$43=$A29),Summary!AD26,AD29)</f>
        <v>0.44432764472886122</v>
      </c>
      <c r="AE29" s="103">
        <f ca="1">IF(AND(Energy!$F$11=$A$3,Main!$B$43=$A29),Summary!AE26,AE29)</f>
        <v>1.1754385964912282</v>
      </c>
      <c r="AF29" s="103">
        <f ca="1">IF(AND(Energy!$F$11=$A$3,Main!$B$43=$A29),Summary!AF26,AF29)</f>
        <v>23.802631578947366</v>
      </c>
      <c r="AG29" s="103">
        <f ca="1">IF(AND(Energy!$F$11=$A$3,Main!$B$43=$A29),Summary!AG26,AG29)</f>
        <v>12.14189337892812</v>
      </c>
      <c r="AH29" s="103">
        <f ca="1">IF(AND(Energy!$F$11=$A$3,Main!$B$43=$A29),Summary!AH26,AH29)</f>
        <v>47</v>
      </c>
      <c r="AI29" s="103">
        <f ca="1">IF(AND(Energy!$F$11=$A$3,Main!$B$43=$A29),Summary!AI26,AI29)</f>
        <v>2.6975585162682783</v>
      </c>
      <c r="AJ29" s="103">
        <f ca="1">IF(AND(Energy!$F$11=$A$3,Main!$B$43=$A29),Summary!AJ26,AJ29)</f>
        <v>0.24955466318325403</v>
      </c>
      <c r="AK29" s="103">
        <f ca="1">IF(AND(Energy!$F$11=$A$3,Main!$B$43=$A29),Summary!AK26,AK29)</f>
        <v>0.01</v>
      </c>
      <c r="AL29" s="103">
        <f ca="1">IF(AND(Energy!$F$11=$A$3,Main!$B$43=$A29),Summary!AL26,AL29)</f>
        <v>-0.50087413478614506</v>
      </c>
      <c r="AM29" s="103">
        <f ca="1">IF(AND(Energy!$F$11=$A$3,Main!$B$43=$A29),Summary!AJ46,AM29)</f>
        <v>0</v>
      </c>
      <c r="AN29" s="101"/>
      <c r="AO29" s="101"/>
      <c r="AP29" s="101"/>
      <c r="AQ29" s="101"/>
      <c r="AR29" s="103"/>
      <c r="AS29" s="103"/>
      <c r="AT29" s="103"/>
      <c r="AU29" s="101"/>
      <c r="AV29" s="101"/>
      <c r="AW29" s="101"/>
      <c r="AX29" s="101"/>
      <c r="AY29" s="101"/>
      <c r="AZ29" s="105"/>
      <c r="BA29" s="100"/>
      <c r="BB29" s="100"/>
      <c r="BC29" s="6"/>
    </row>
    <row r="30" spans="1:55">
      <c r="A30">
        <f t="shared" si="2"/>
        <v>2</v>
      </c>
      <c r="D30" s="1">
        <f ca="1">IF(AND(Energy!$F$11=$A$3,Main!$B$43=A30),Main!C27,D30)</f>
        <v>5.4473684210526319</v>
      </c>
      <c r="E30" s="103">
        <f ca="1">IF(AND(Energy!$F$11=$A$3,Main!$B$43=A30),Main!B27,E30)</f>
        <v>0.22222222222222224</v>
      </c>
      <c r="F30" s="103">
        <f ca="1">IF(Main!$D$6=1,U30,IF(Main!$D$6=2,N30,IF(Main!$D$6=3,K30,IF(Main!$D$6=4,V30,J30))))</f>
        <v>589.02744924094031</v>
      </c>
      <c r="G30" s="103">
        <f ca="1">IF(AND(Energy!$F$11=$A$3,Main!$B$43=A30),Weight!H27,G30)</f>
        <v>15</v>
      </c>
      <c r="H30" s="103">
        <f ca="1">IF(AND(Energy!$F$11=$A$3,Main!$B$43=A30),Weight!U27,H30)</f>
        <v>15.792660492500787</v>
      </c>
      <c r="I30" s="103">
        <f ca="1">IF(AND(Energy!$F$11=$A$3,Main!$B$43=A30),Weight!V27,I30)</f>
        <v>50.842297072834654</v>
      </c>
      <c r="J30" s="103">
        <f ca="1">IF(AND(Energy!$F$11=$A$3,Main!$B$43=A30),Weight!I27,J30)</f>
        <v>30.111988305333867</v>
      </c>
      <c r="K30" s="103">
        <f ca="1">IF(AND(Energy!$F$11=$A$3,Main!$B$43=A30),Weight!W27,K30)</f>
        <v>65.842301022838285</v>
      </c>
      <c r="L30" s="103">
        <f ca="1">IF(AND(Energy!$F$11=$A$3,Main!$B$43=A30),'Aerodynamics-Cruise'!BI27,L30)</f>
        <v>65.842293093085132</v>
      </c>
      <c r="M30" s="103">
        <f ca="1">IF(AND(Energy!$F$11=$A$3,Main!$B$43=A30),'Aerodynamics-Cruise'!BJ27,M30)</f>
        <v>3.0102011763250038</v>
      </c>
      <c r="N30" s="103">
        <f ca="1">IF(AND(Energy!$F$11=$A$3,Main!$B$43=A30),'Aerodynamics-Cruise'!BK27,N30)</f>
        <v>21.873054070581595</v>
      </c>
      <c r="O30" s="103">
        <f t="shared" ca="1" si="0"/>
        <v>177.48510031910033</v>
      </c>
      <c r="P30" s="103">
        <f ca="1">IF(AND(Energy!$F$11=$A$3,Main!$B$43=A30),'Aerodynamics-Cruise'!H27,P30)</f>
        <v>9.9699647954837403</v>
      </c>
      <c r="Q30" s="103">
        <f ca="1">IF(AND(Energy!$F$11=$A$3,Main!$B$43=A30),'Aerodynamics-Cruise'!I27,Q30)</f>
        <v>8.5025661378844379</v>
      </c>
      <c r="R30" s="103">
        <f ca="1">IF(AND(Energy!$F$11=$A$3,Main!$B$43=$A30),Summary!R27,R30)</f>
        <v>6.7700991765127068</v>
      </c>
      <c r="S30" s="103">
        <f ca="1">IF(AND(Energy!$F$11=$A$3,Main!$B$43=A30),'Aerodynamics-Cruise'!W27,S30)</f>
        <v>1</v>
      </c>
      <c r="T30" s="103">
        <f ca="1">IF(AND(Energy!$F$11=$A$3,Main!$B$43=A30),'Aerodynamics-Cruise'!BL27,T30)</f>
        <v>30.011599755284031</v>
      </c>
      <c r="U30" s="103">
        <f ca="1">IF(AND(Energy!$F$11=$A$3,Main!$B$43=A30),'Propulsion-Cruise'!M27,U30)</f>
        <v>62.451255178162491</v>
      </c>
      <c r="V30" s="103">
        <f ca="1">IF(AND(Energy!$F$11=$A$3,Main!$B$43=A30),Endurance!AP27,V30)</f>
        <v>589.02744924094031</v>
      </c>
      <c r="W30" s="103">
        <f ca="1">IF(AND(Energy!$F$11=$A$3,Main!$B$43=$A30),Summary!W27,W30)</f>
        <v>1.2105263157894739</v>
      </c>
      <c r="X30" s="13">
        <f ca="1">IF(AND(Energy!$F$11=$A$3,Main!$B$43=A30),Energy!D27,X30)</f>
        <v>405.86495323378989</v>
      </c>
      <c r="Y30" s="102">
        <f ca="1">IF(AND(Energy!$F$11=$A$3,Main!$B$43=A30),'Aerodynamics-Cruise'!V27,Y30)</f>
        <v>140516.19734145826</v>
      </c>
      <c r="Z30" s="102">
        <f ca="1">IF(AND(Energy!$F$11=$A$3,Main!$B$43=$A30),Summary!Z27,Z30)</f>
        <v>106133.09787872164</v>
      </c>
      <c r="AA30" s="102">
        <f ca="1">IF(AND(Energy!$F$11=$A$3,Main!$B$43=$A30),Summary!AA27,AA30)</f>
        <v>106133.09787872164</v>
      </c>
      <c r="AB30" s="103">
        <f ca="1">IF(AND(Energy!$F$11=$A$3,Main!$B$43=$A30),Summary!AB27,AB30)</f>
        <v>6.7700991765127068</v>
      </c>
      <c r="AC30" s="103">
        <f ca="1">IF(AND(Energy!$F$11=$A$3,Main!$B$43=$A30),Summary!AC27,AC30)</f>
        <v>2.3312445052318158</v>
      </c>
      <c r="AD30" s="103">
        <f ca="1">IF(AND(Energy!$F$11=$A$3,Main!$B$43=$A30),Summary!AD27,AD30)</f>
        <v>0.4419428723052945</v>
      </c>
      <c r="AE30" s="103">
        <f ca="1">IF(AND(Energy!$F$11=$A$3,Main!$B$43=$A30),Summary!AE27,AE30)</f>
        <v>1.2105263157894739</v>
      </c>
      <c r="AF30" s="103">
        <f ca="1">IF(AND(Energy!$F$11=$A$3,Main!$B$43=$A30),Summary!AF27,AF30)</f>
        <v>24.513157894736839</v>
      </c>
      <c r="AG30" s="103">
        <f ca="1">IF(AND(Energy!$F$11=$A$3,Main!$B$43=$A30),Summary!AG27,AG30)</f>
        <v>12.123412222657519</v>
      </c>
      <c r="AH30" s="103">
        <f ca="1">IF(AND(Energy!$F$11=$A$3,Main!$B$43=$A30),Summary!AH27,AH30)</f>
        <v>47</v>
      </c>
      <c r="AI30" s="103">
        <f ca="1">IF(AND(Energy!$F$11=$A$3,Main!$B$43=$A30),Summary!AI27,AI30)</f>
        <v>2.6949034034455739</v>
      </c>
      <c r="AJ30" s="103">
        <f ca="1">IF(AND(Energy!$F$11=$A$3,Main!$B$43=$A30),Summary!AJ27,AJ30)</f>
        <v>0.25035131185797493</v>
      </c>
      <c r="AK30" s="103">
        <f ca="1">IF(AND(Energy!$F$11=$A$3,Main!$B$43=$A30),Summary!AK27,AK30)</f>
        <v>0.01</v>
      </c>
      <c r="AL30" s="103">
        <f ca="1">IF(AND(Energy!$F$11=$A$3,Main!$B$43=$A30),Summary!AL27,AL30)</f>
        <v>-0.49928027612625164</v>
      </c>
      <c r="AM30" s="103">
        <f ca="1">IF(AND(Energy!$F$11=$A$3,Main!$B$43=$A30),Summary!AJ47,AM30)</f>
        <v>0</v>
      </c>
      <c r="AN30" s="101"/>
      <c r="AO30" s="101"/>
      <c r="AP30" s="101"/>
      <c r="AQ30" s="101"/>
      <c r="AR30" s="103"/>
      <c r="AS30" s="103"/>
      <c r="AT30" s="103"/>
      <c r="AU30" s="101"/>
      <c r="AV30" s="101"/>
      <c r="AW30" s="101"/>
      <c r="AX30" s="101"/>
      <c r="AY30" s="101"/>
      <c r="AZ30" s="105"/>
      <c r="BA30" s="100"/>
      <c r="BB30" s="100"/>
      <c r="BC30" s="6"/>
    </row>
    <row r="31" spans="1:55">
      <c r="A31">
        <f t="shared" si="2"/>
        <v>2</v>
      </c>
      <c r="D31" s="1">
        <f ca="1">IF(AND(Energy!$F$11=$A$3,Main!$B$43=A31),Main!C28,D31)</f>
        <v>5.6052631578947372</v>
      </c>
      <c r="E31" s="103">
        <f ca="1">IF(AND(Energy!$F$11=$A$3,Main!$B$43=A31),Main!B28,E31)</f>
        <v>0.22222222222222224</v>
      </c>
      <c r="F31" s="103">
        <f ca="1">IF(Main!$D$6=1,U31,IF(Main!$D$6=2,N31,IF(Main!$D$6=3,K31,IF(Main!$D$6=4,V31,J31))))</f>
        <v>588.00221248795265</v>
      </c>
      <c r="G31" s="103">
        <f ca="1">IF(AND(Energy!$F$11=$A$3,Main!$B$43=A31),Weight!H28,G31)</f>
        <v>15</v>
      </c>
      <c r="H31" s="103">
        <f ca="1">IF(AND(Energy!$F$11=$A$3,Main!$B$43=A31),Weight!U28,H31)</f>
        <v>16.24513659806469</v>
      </c>
      <c r="I31" s="103">
        <f ca="1">IF(AND(Energy!$F$11=$A$3,Main!$B$43=A31),Weight!V28,I31)</f>
        <v>51.241831188696395</v>
      </c>
      <c r="J31" s="103">
        <f ca="1">IF(AND(Energy!$F$11=$A$3,Main!$B$43=A31),Weight!I28,J31)</f>
        <v>30.059046315631708</v>
      </c>
      <c r="K31" s="103">
        <f ca="1">IF(AND(Energy!$F$11=$A$3,Main!$B$43=A31),Weight!W28,K31)</f>
        <v>66.24183496815516</v>
      </c>
      <c r="L31" s="103">
        <f ca="1">IF(AND(Energy!$F$11=$A$3,Main!$B$43=A31),'Aerodynamics-Cruise'!BI28,L31)</f>
        <v>66.241827380825626</v>
      </c>
      <c r="M31" s="103">
        <f ca="1">IF(AND(Energy!$F$11=$A$3,Main!$B$43=A31),'Aerodynamics-Cruise'!BJ28,M31)</f>
        <v>3.0244663716377937</v>
      </c>
      <c r="N31" s="103">
        <f ca="1">IF(AND(Energy!$F$11=$A$3,Main!$B$43=A31),'Aerodynamics-Cruise'!BK28,N31)</f>
        <v>21.901988397693668</v>
      </c>
      <c r="O31" s="103">
        <f t="shared" ca="1" si="0"/>
        <v>178.25827389846214</v>
      </c>
      <c r="P31" s="103">
        <f ca="1">IF(AND(Energy!$F$11=$A$3,Main!$B$43=A31),'Aerodynamics-Cruise'!H28,P31)</f>
        <v>9.8582911839234999</v>
      </c>
      <c r="Q31" s="103">
        <f ca="1">IF(AND(Energy!$F$11=$A$3,Main!$B$43=A31),'Aerodynamics-Cruise'!I28,Q31)</f>
        <v>8.4111945194282232</v>
      </c>
      <c r="R31" s="103">
        <f ca="1">IF(AND(Energy!$F$11=$A$3,Main!$B$43=$A31),Summary!R28,R31)</f>
        <v>6.662980168458045</v>
      </c>
      <c r="S31" s="103">
        <f ca="1">IF(AND(Energy!$F$11=$A$3,Main!$B$43=A31),'Aerodynamics-Cruise'!W28,S31)</f>
        <v>1</v>
      </c>
      <c r="T31" s="103">
        <f ca="1">IF(AND(Energy!$F$11=$A$3,Main!$B$43=A31),'Aerodynamics-Cruise'!BL28,T31)</f>
        <v>29.81607016758996</v>
      </c>
      <c r="U31" s="103">
        <f ca="1">IF(AND(Energy!$F$11=$A$3,Main!$B$43=A31),'Propulsion-Cruise'!M28,U31)</f>
        <v>62.221756885034942</v>
      </c>
      <c r="V31" s="103">
        <f ca="1">IF(AND(Energy!$F$11=$A$3,Main!$B$43=A31),Endurance!AP28,V31)</f>
        <v>588.00221248795265</v>
      </c>
      <c r="W31" s="103">
        <f ca="1">IF(AND(Energy!$F$11=$A$3,Main!$B$43=$A31),Summary!W28,W31)</f>
        <v>1.2456140350877194</v>
      </c>
      <c r="X31" s="13">
        <f ca="1">IF(AND(Energy!$F$11=$A$3,Main!$B$43=A31),Energy!D28,X31)</f>
        <v>405.83558314953973</v>
      </c>
      <c r="Y31" s="102">
        <f ca="1">IF(AND(Energy!$F$11=$A$3,Main!$B$43=A31),'Aerodynamics-Cruise'!V28,Y31)</f>
        <v>138942.27490926068</v>
      </c>
      <c r="Z31" s="102">
        <f ca="1">IF(AND(Energy!$F$11=$A$3,Main!$B$43=$A31),Summary!Z28,Z31)</f>
        <v>104990.67063260102</v>
      </c>
      <c r="AA31" s="102">
        <f ca="1">IF(AND(Energy!$F$11=$A$3,Main!$B$43=$A31),Summary!AA28,AA31)</f>
        <v>104990.67063260102</v>
      </c>
      <c r="AB31" s="103">
        <f ca="1">IF(AND(Energy!$F$11=$A$3,Main!$B$43=$A31),Summary!AB28,AB31)</f>
        <v>6.662980168458045</v>
      </c>
      <c r="AC31" s="103">
        <f ca="1">IF(AND(Energy!$F$11=$A$3,Main!$B$43=$A31),Summary!AC28,AC31)</f>
        <v>2.2964358466122223</v>
      </c>
      <c r="AD31" s="103">
        <f ca="1">IF(AND(Energy!$F$11=$A$3,Main!$B$43=$A31),Summary!AD28,AD31)</f>
        <v>0.43988900612920062</v>
      </c>
      <c r="AE31" s="103">
        <f ca="1">IF(AND(Energy!$F$11=$A$3,Main!$B$43=$A31),Summary!AE28,AE31)</f>
        <v>1.2456140350877194</v>
      </c>
      <c r="AF31" s="103">
        <f ca="1">IF(AND(Energy!$F$11=$A$3,Main!$B$43=$A31),Summary!AF28,AF31)</f>
        <v>25.223684210526315</v>
      </c>
      <c r="AG31" s="103">
        <f ca="1">IF(AND(Energy!$F$11=$A$3,Main!$B$43=$A31),Summary!AG28,AG31)</f>
        <v>12.1151651502616</v>
      </c>
      <c r="AH31" s="103">
        <f ca="1">IF(AND(Energy!$F$11=$A$3,Main!$B$43=$A31),Summary!AH28,AH31)</f>
        <v>47</v>
      </c>
      <c r="AI31" s="103">
        <f ca="1">IF(AND(Energy!$F$11=$A$3,Main!$B$43=$A31),Summary!AI28,AI31)</f>
        <v>2.692426924881457</v>
      </c>
      <c r="AJ31" s="103">
        <f ca="1">IF(AND(Energy!$F$11=$A$3,Main!$B$43=$A31),Summary!AJ28,AJ31)</f>
        <v>0.25109945885881657</v>
      </c>
      <c r="AK31" s="103">
        <f ca="1">IF(AND(Energy!$F$11=$A$3,Main!$B$43=$A31),Summary!AK28,AK31)</f>
        <v>0.01</v>
      </c>
      <c r="AL31" s="103">
        <f ca="1">IF(AND(Energy!$F$11=$A$3,Main!$B$43=$A31),Summary!AL28,AL31)</f>
        <v>-0.49779266103824443</v>
      </c>
      <c r="AM31" s="103">
        <f ca="1">IF(AND(Energy!$F$11=$A$3,Main!$B$43=$A31),Summary!AJ48,AM31)</f>
        <v>0</v>
      </c>
      <c r="AN31" s="101"/>
      <c r="AO31" s="101"/>
      <c r="AP31" s="101"/>
      <c r="AQ31" s="101"/>
      <c r="AR31" s="103"/>
      <c r="AS31" s="103"/>
      <c r="AT31" s="103"/>
      <c r="AU31" s="101"/>
      <c r="AV31" s="101"/>
      <c r="AW31" s="101"/>
      <c r="AX31" s="101"/>
      <c r="AY31" s="101"/>
      <c r="AZ31" s="105"/>
      <c r="BA31" s="100"/>
      <c r="BB31" s="100"/>
      <c r="BC31" s="6"/>
    </row>
    <row r="32" spans="1:55">
      <c r="A32">
        <f t="shared" si="2"/>
        <v>2</v>
      </c>
      <c r="D32" s="1">
        <f ca="1">IF(AND(Energy!$F$11=$A$3,Main!$B$43=A32),Main!C29,D32)</f>
        <v>5.7631578947368425</v>
      </c>
      <c r="E32" s="103">
        <f ca="1">IF(AND(Energy!$F$11=$A$3,Main!$B$43=A32),Main!B29,E32)</f>
        <v>0.22222222222222224</v>
      </c>
      <c r="F32" s="103">
        <f ca="1">IF(Main!$D$6=1,U32,IF(Main!$D$6=2,N32,IF(Main!$D$6=3,K32,IF(Main!$D$6=4,V32,J32))))</f>
        <v>587.75221086886029</v>
      </c>
      <c r="G32" s="103">
        <f ca="1">IF(AND(Energy!$F$11=$A$3,Main!$B$43=A32),Weight!H29,G32)</f>
        <v>15</v>
      </c>
      <c r="H32" s="103">
        <f ca="1">IF(AND(Energy!$F$11=$A$3,Main!$B$43=A32),Weight!U29,H32)</f>
        <v>16.710144423846316</v>
      </c>
      <c r="I32" s="103">
        <f ca="1">IF(AND(Energy!$F$11=$A$3,Main!$B$43=A32),Weight!V29,I32)</f>
        <v>51.689075573216272</v>
      </c>
      <c r="J32" s="103">
        <f ca="1">IF(AND(Energy!$F$11=$A$3,Main!$B$43=A32),Weight!I29,J32)</f>
        <v>30.041282874369958</v>
      </c>
      <c r="K32" s="103">
        <f ca="1">IF(AND(Energy!$F$11=$A$3,Main!$B$43=A32),Weight!W29,K32)</f>
        <v>66.689079203491147</v>
      </c>
      <c r="L32" s="103">
        <f ca="1">IF(AND(Energy!$F$11=$A$3,Main!$B$43=A32),'Aerodynamics-Cruise'!BI29,L32)</f>
        <v>66.689071915693845</v>
      </c>
      <c r="M32" s="103">
        <f ca="1">IF(AND(Energy!$F$11=$A$3,Main!$B$43=A32),'Aerodynamics-Cruise'!BJ29,M32)</f>
        <v>3.0411221389882943</v>
      </c>
      <c r="N32" s="103">
        <f ca="1">IF(AND(Energy!$F$11=$A$3,Main!$B$43=A32),'Aerodynamics-Cruise'!BK29,N32)</f>
        <v>21.929100137319587</v>
      </c>
      <c r="O32" s="103">
        <f t="shared" ca="1" si="0"/>
        <v>179.08043782999357</v>
      </c>
      <c r="P32" s="103">
        <f ca="1">IF(AND(Energy!$F$11=$A$3,Main!$B$43=A32),'Aerodynamics-Cruise'!H29,P32)</f>
        <v>9.7550527389483062</v>
      </c>
      <c r="Q32" s="103">
        <f ca="1">IF(AND(Energy!$F$11=$A$3,Main!$B$43=A32),'Aerodynamics-Cruise'!I29,Q32)</f>
        <v>8.3266866920160947</v>
      </c>
      <c r="R32" s="103">
        <f ca="1">IF(AND(Energy!$F$11=$A$3,Main!$B$43=$A32),Summary!R29,R32)</f>
        <v>6.57182142917992</v>
      </c>
      <c r="S32" s="103">
        <f ca="1">IF(AND(Energy!$F$11=$A$3,Main!$B$43=A32),'Aerodynamics-Cruise'!W29,S32)</f>
        <v>1</v>
      </c>
      <c r="T32" s="103">
        <f ca="1">IF(AND(Energy!$F$11=$A$3,Main!$B$43=A32),'Aerodynamics-Cruise'!BL29,T32)</f>
        <v>29.666306851414092</v>
      </c>
      <c r="U32" s="103">
        <f ca="1">IF(AND(Energy!$F$11=$A$3,Main!$B$43=A32),'Propulsion-Cruise'!M29,U32)</f>
        <v>62.077721681672791</v>
      </c>
      <c r="V32" s="103">
        <f ca="1">IF(AND(Energy!$F$11=$A$3,Main!$B$43=A32),Endurance!AP29,V32)</f>
        <v>587.75221086886029</v>
      </c>
      <c r="W32" s="103">
        <f ca="1">IF(AND(Energy!$F$11=$A$3,Main!$B$43=$A32),Summary!W29,W32)</f>
        <v>1.2807017543859651</v>
      </c>
      <c r="X32" s="13">
        <f ca="1">IF(AND(Energy!$F$11=$A$3,Main!$B$43=A32),Energy!D29,X32)</f>
        <v>405.82572866036264</v>
      </c>
      <c r="Y32" s="102">
        <f ca="1">IF(AND(Energy!$F$11=$A$3,Main!$B$43=A32),'Aerodynamics-Cruise'!V29,Y32)</f>
        <v>137487.23730331741</v>
      </c>
      <c r="Z32" s="102">
        <f ca="1">IF(AND(Energy!$F$11=$A$3,Main!$B$43=$A32),Summary!Z29,Z32)</f>
        <v>103934.08044883431</v>
      </c>
      <c r="AA32" s="102">
        <f ca="1">IF(AND(Energy!$F$11=$A$3,Main!$B$43=$A32),Summary!AA29,AA32)</f>
        <v>103934.08044883431</v>
      </c>
      <c r="AB32" s="103">
        <f ca="1">IF(AND(Energy!$F$11=$A$3,Main!$B$43=$A32),Summary!AB29,AB32)</f>
        <v>6.57182142917992</v>
      </c>
      <c r="AC32" s="103">
        <f ca="1">IF(AND(Energy!$F$11=$A$3,Main!$B$43=$A32),Summary!AC29,AC32)</f>
        <v>2.2613687316852213</v>
      </c>
      <c r="AD32" s="103">
        <f ca="1">IF(AND(Energy!$F$11=$A$3,Main!$B$43=$A32),Summary!AD29,AD32)</f>
        <v>0.4381333052732086</v>
      </c>
      <c r="AE32" s="103">
        <f ca="1">IF(AND(Energy!$F$11=$A$3,Main!$B$43=$A32),Summary!AE29,AE32)</f>
        <v>1.2807017543859651</v>
      </c>
      <c r="AF32" s="103">
        <f ca="1">IF(AND(Energy!$F$11=$A$3,Main!$B$43=$A32),Summary!AF29,AF32)</f>
        <v>25.934210526315788</v>
      </c>
      <c r="AG32" s="103">
        <f ca="1">IF(AND(Energy!$F$11=$A$3,Main!$B$43=$A32),Summary!AG29,AG32)</f>
        <v>12.116070824085604</v>
      </c>
      <c r="AH32" s="103">
        <f ca="1">IF(AND(Energy!$F$11=$A$3,Main!$B$43=$A32),Summary!AH29,AH32)</f>
        <v>47</v>
      </c>
      <c r="AI32" s="103">
        <f ca="1">IF(AND(Energy!$F$11=$A$3,Main!$B$43=$A32),Summary!AI29,AI32)</f>
        <v>2.6901146782184706</v>
      </c>
      <c r="AJ32" s="103">
        <f ca="1">IF(AND(Energy!$F$11=$A$3,Main!$B$43=$A32),Summary!AJ29,AJ32)</f>
        <v>0.25180256264190698</v>
      </c>
      <c r="AK32" s="103">
        <f ca="1">IF(AND(Energy!$F$11=$A$3,Main!$B$43=$A32),Summary!AK29,AK32)</f>
        <v>0.01</v>
      </c>
      <c r="AL32" s="103">
        <f ca="1">IF(AND(Energy!$F$11=$A$3,Main!$B$43=$A32),Summary!AL29,AL32)</f>
        <v>-0.49640266729132543</v>
      </c>
      <c r="AM32" s="103">
        <f ca="1">IF(AND(Energy!$F$11=$A$3,Main!$B$43=$A32),Summary!AJ49,AM32)</f>
        <v>0</v>
      </c>
      <c r="AN32" s="101"/>
      <c r="AO32" s="101"/>
      <c r="AP32" s="101"/>
      <c r="AQ32" s="101"/>
      <c r="AR32" s="103"/>
      <c r="AS32" s="103"/>
      <c r="AT32" s="103"/>
      <c r="AU32" s="101"/>
      <c r="AV32" s="101"/>
      <c r="AW32" s="101"/>
      <c r="AX32" s="101"/>
      <c r="AY32" s="101"/>
      <c r="AZ32" s="105"/>
      <c r="BA32" s="100"/>
      <c r="BB32" s="100"/>
      <c r="BC32" s="6"/>
    </row>
    <row r="33" spans="1:55">
      <c r="A33">
        <f t="shared" si="2"/>
        <v>2</v>
      </c>
      <c r="B33" s="10"/>
      <c r="C33" s="103"/>
      <c r="D33" s="1">
        <f ca="1">IF(AND(Energy!$F$11=$A$3,Main!$B$43=A33),Main!C30,D33)</f>
        <v>5.9210526315789478</v>
      </c>
      <c r="E33" s="103">
        <f ca="1">IF(AND(Energy!$F$11=$A$3,Main!$B$43=A33),Main!B30,E33)</f>
        <v>0.22222222222222224</v>
      </c>
      <c r="F33" s="103">
        <f ca="1">IF(Main!$D$6=1,U33,IF(Main!$D$6=2,N33,IF(Main!$D$6=3,K33,IF(Main!$D$6=4,V33,J33))))</f>
        <v>588.20056227547991</v>
      </c>
      <c r="G33" s="103">
        <f ca="1">IF(AND(Energy!$F$11=$A$3,Main!$B$43=A33),Weight!H30,G33)</f>
        <v>15</v>
      </c>
      <c r="H33" s="103">
        <f ca="1">IF(AND(Energy!$F$11=$A$3,Main!$B$43=A33),Weight!U30,H33)</f>
        <v>17.187549628037772</v>
      </c>
      <c r="I33" s="103">
        <f ca="1">IF(AND(Energy!$F$11=$A$3,Main!$B$43=A33),Weight!V30,I33)</f>
        <v>52.180392379610339</v>
      </c>
      <c r="J33" s="103">
        <f ca="1">IF(AND(Energy!$F$11=$A$3,Main!$B$43=A33),Weight!I30,J33)</f>
        <v>30.055194476572566</v>
      </c>
      <c r="K33" s="103">
        <f ca="1">IF(AND(Energy!$F$11=$A$3,Main!$B$43=A33),Weight!W30,K33)</f>
        <v>67.180395879206245</v>
      </c>
      <c r="L33" s="103">
        <f ca="1">IF(AND(Energy!$F$11=$A$3,Main!$B$43=A33),'Aerodynamics-Cruise'!BI30,L33)</f>
        <v>67.180388853784592</v>
      </c>
      <c r="M33" s="103">
        <f ca="1">IF(AND(Energy!$F$11=$A$3,Main!$B$43=A33),'Aerodynamics-Cruise'!BJ30,M33)</f>
        <v>3.0599429370764426</v>
      </c>
      <c r="N33" s="103">
        <f ca="1">IF(AND(Energy!$F$11=$A$3,Main!$B$43=A33),'Aerodynamics-Cruise'!BK30,N33)</f>
        <v>21.954784855553765</v>
      </c>
      <c r="O33" s="103">
        <f t="shared" ca="1" si="0"/>
        <v>179.94941629819084</v>
      </c>
      <c r="P33" s="103">
        <f ca="1">IF(AND(Energy!$F$11=$A$3,Main!$B$43=A33),'Aerodynamics-Cruise'!H30,P33)</f>
        <v>9.6594737349133428</v>
      </c>
      <c r="Q33" s="103">
        <f ca="1">IF(AND(Energy!$F$11=$A$3,Main!$B$43=A33),'Aerodynamics-Cruise'!I30,Q33)</f>
        <v>8.2484158594052008</v>
      </c>
      <c r="R33" s="103">
        <f ca="1">IF(AND(Energy!$F$11=$A$3,Main!$B$43=$A33),Summary!R30,R33)</f>
        <v>6.4948308482264681</v>
      </c>
      <c r="S33" s="103">
        <f ca="1">IF(AND(Energy!$F$11=$A$3,Main!$B$43=A33),'Aerodynamics-Cruise'!W30,S33)</f>
        <v>1</v>
      </c>
      <c r="T33" s="103">
        <f ca="1">IF(AND(Energy!$F$11=$A$3,Main!$B$43=A33),'Aerodynamics-Cruise'!BL30,T33)</f>
        <v>29.557438431023488</v>
      </c>
      <c r="U33" s="103">
        <f ca="1">IF(AND(Energy!$F$11=$A$3,Main!$B$43=A33),'Propulsion-Cruise'!M30,U33)</f>
        <v>62.010425619016615</v>
      </c>
      <c r="V33" s="103">
        <f ca="1">IF(AND(Energy!$F$11=$A$3,Main!$B$43=A33),Endurance!AP30,V33)</f>
        <v>588.20056227547991</v>
      </c>
      <c r="W33" s="103">
        <f ca="1">IF(AND(Energy!$F$11=$A$3,Main!$B$43=$A33),Summary!W30,W33)</f>
        <v>1.3157894736842106</v>
      </c>
      <c r="X33" s="13">
        <f ca="1">IF(AND(Energy!$F$11=$A$3,Main!$B$43=A33),Energy!D30,X33)</f>
        <v>405.833446167072</v>
      </c>
      <c r="Y33" s="102">
        <f ca="1">IF(AND(Energy!$F$11=$A$3,Main!$B$43=A33),'Aerodynamics-Cruise'!V30,Y33)</f>
        <v>136140.15148424197</v>
      </c>
      <c r="Z33" s="102">
        <f ca="1">IF(AND(Energy!$F$11=$A$3,Main!$B$43=$A33),Summary!Z30,Z33)</f>
        <v>102955.48658833624</v>
      </c>
      <c r="AA33" s="102">
        <f ca="1">IF(AND(Energy!$F$11=$A$3,Main!$B$43=$A33),Summary!AA30,AA33)</f>
        <v>102955.48658833624</v>
      </c>
      <c r="AB33" s="103">
        <f ca="1">IF(AND(Energy!$F$11=$A$3,Main!$B$43=$A33),Summary!AB30,AB33)</f>
        <v>6.4948308482264681</v>
      </c>
      <c r="AC33" s="103">
        <f ca="1">IF(AND(Energy!$F$11=$A$3,Main!$B$43=$A33),Summary!AC30,AC33)</f>
        <v>2.2261863280675889</v>
      </c>
      <c r="AD33" s="103">
        <f ca="1">IF(AND(Energy!$F$11=$A$3,Main!$B$43=$A33),Summary!AD30,AD33)</f>
        <v>0.43664763973534881</v>
      </c>
      <c r="AE33" s="103">
        <f ca="1">IF(AND(Energy!$F$11=$A$3,Main!$B$43=$A33),Summary!AE30,AE33)</f>
        <v>1.3157894736842106</v>
      </c>
      <c r="AF33" s="103">
        <f ca="1">IF(AND(Energy!$F$11=$A$3,Main!$B$43=$A33),Summary!AF30,AF33)</f>
        <v>26.644736842105264</v>
      </c>
      <c r="AG33" s="103">
        <f ca="1">IF(AND(Energy!$F$11=$A$3,Main!$B$43=$A33),Summary!AG30,AG33)</f>
        <v>12.125215695203844</v>
      </c>
      <c r="AH33" s="103">
        <f ca="1">IF(AND(Energy!$F$11=$A$3,Main!$B$43=$A33),Summary!AH30,AH33)</f>
        <v>47</v>
      </c>
      <c r="AI33" s="103">
        <f ca="1">IF(AND(Energy!$F$11=$A$3,Main!$B$43=$A33),Summary!AI30,AI33)</f>
        <v>2.6879540246386551</v>
      </c>
      <c r="AJ33" s="103">
        <f ca="1">IF(AND(Energy!$F$11=$A$3,Main!$B$43=$A33),Summary!AJ30,AJ33)</f>
        <v>0.25246386976665058</v>
      </c>
      <c r="AK33" s="103">
        <f ca="1">IF(AND(Energy!$F$11=$A$3,Main!$B$43=$A33),Summary!AK30,AK33)</f>
        <v>0.01</v>
      </c>
      <c r="AL33" s="103">
        <f ca="1">IF(AND(Energy!$F$11=$A$3,Main!$B$43=$A33),Summary!AL30,AL33)</f>
        <v>-0.49510236792878032</v>
      </c>
      <c r="AM33" s="103">
        <f ca="1">IF(AND(Energy!$F$11=$A$3,Main!$B$43=$A33),Summary!AJ50,AM33)</f>
        <v>0</v>
      </c>
      <c r="AN33" s="101"/>
      <c r="AO33" s="101"/>
      <c r="AP33" s="101"/>
      <c r="AQ33" s="101"/>
      <c r="AR33" s="103"/>
      <c r="AS33" s="103"/>
      <c r="AT33" s="103"/>
      <c r="AU33" s="101"/>
      <c r="AV33" s="101"/>
      <c r="AW33" s="101"/>
      <c r="AX33" s="101"/>
      <c r="AY33" s="101"/>
      <c r="AZ33" s="105"/>
      <c r="BA33" s="100"/>
      <c r="BB33" s="100"/>
      <c r="BC33" s="6"/>
    </row>
    <row r="34" spans="1:55">
      <c r="A34">
        <f t="shared" si="2"/>
        <v>2</v>
      </c>
      <c r="B34" s="10"/>
      <c r="C34" s="103"/>
      <c r="D34" s="1">
        <f ca="1">IF(AND(Energy!$F$11=$A$3,Main!$B$43=A34),Main!C31,D34)</f>
        <v>6.0789473684210531</v>
      </c>
      <c r="E34" s="103">
        <f ca="1">IF(AND(Energy!$F$11=$A$3,Main!$B$43=A34),Main!B31,E34)</f>
        <v>0.22222222222222224</v>
      </c>
      <c r="F34" s="103">
        <f ca="1">IF(Main!$D$6=1,U34,IF(Main!$D$6=2,N34,IF(Main!$D$6=3,K34,IF(Main!$D$6=4,V34,J34))))</f>
        <v>589.28259128313368</v>
      </c>
      <c r="G34" s="103">
        <f ca="1">IF(AND(Energy!$F$11=$A$3,Main!$B$43=A34),Weight!H31,G34)</f>
        <v>15</v>
      </c>
      <c r="H34" s="103">
        <f ca="1">IF(AND(Energy!$F$11=$A$3,Main!$B$43=A34),Weight!U31,H34)</f>
        <v>17.677258632869098</v>
      </c>
      <c r="I34" s="103">
        <f ca="1">IF(AND(Energy!$F$11=$A$3,Main!$B$43=A34),Weight!V31,I34)</f>
        <v>52.712740783791205</v>
      </c>
      <c r="J34" s="103">
        <f ca="1">IF(AND(Energy!$F$11=$A$3,Main!$B$43=A34),Weight!I31,J34)</f>
        <v>30.09783387592211</v>
      </c>
      <c r="K34" s="103">
        <f ca="1">IF(AND(Energy!$F$11=$A$3,Main!$B$43=A34),Weight!W31,K34)</f>
        <v>67.712744168904521</v>
      </c>
      <c r="L34" s="103">
        <f ca="1">IF(AND(Energy!$F$11=$A$3,Main!$B$43=A34),'Aerodynamics-Cruise'!BI31,L34)</f>
        <v>67.712737373337561</v>
      </c>
      <c r="M34" s="103">
        <f ca="1">IF(AND(Energy!$F$11=$A$3,Main!$B$43=A34),'Aerodynamics-Cruise'!BJ31,M34)</f>
        <v>3.0807370239621163</v>
      </c>
      <c r="N34" s="103">
        <f ca="1">IF(AND(Energy!$F$11=$A$3,Main!$B$43=A34),'Aerodynamics-Cruise'!BK31,N34)</f>
        <v>21.97939546500228</v>
      </c>
      <c r="O34" s="103">
        <f t="shared" ca="1" si="0"/>
        <v>180.86349907976893</v>
      </c>
      <c r="P34" s="103">
        <f ca="1">IF(AND(Energy!$F$11=$A$3,Main!$B$43=A34),'Aerodynamics-Cruise'!H31,P34)</f>
        <v>9.5708796934860558</v>
      </c>
      <c r="Q34" s="103">
        <f ca="1">IF(AND(Energy!$F$11=$A$3,Main!$B$43=A34),'Aerodynamics-Cruise'!I31,Q34)</f>
        <v>8.175836670202381</v>
      </c>
      <c r="R34" s="103">
        <f ca="1">IF(AND(Energy!$F$11=$A$3,Main!$B$43=$A34),Summary!R31,R34)</f>
        <v>6.4305149941954758</v>
      </c>
      <c r="S34" s="103">
        <f ca="1">IF(AND(Energy!$F$11=$A$3,Main!$B$43=A34),'Aerodynamics-Cruise'!W31,S34)</f>
        <v>1</v>
      </c>
      <c r="T34" s="103">
        <f ca="1">IF(AND(Energy!$F$11=$A$3,Main!$B$43=A34),'Aerodynamics-Cruise'!BL31,T34)</f>
        <v>29.485363423609684</v>
      </c>
      <c r="U34" s="103">
        <f ca="1">IF(AND(Energy!$F$11=$A$3,Main!$B$43=A34),'Propulsion-Cruise'!M31,U34)</f>
        <v>62.012523450220662</v>
      </c>
      <c r="V34" s="103">
        <f ca="1">IF(AND(Energy!$F$11=$A$3,Main!$B$43=A34),Endurance!AP31,V34)</f>
        <v>589.28259128313368</v>
      </c>
      <c r="W34" s="103">
        <f ca="1">IF(AND(Energy!$F$11=$A$3,Main!$B$43=$A34),Summary!W31,W34)</f>
        <v>1.3508771929824563</v>
      </c>
      <c r="X34" s="13">
        <f ca="1">IF(AND(Energy!$F$11=$A$3,Main!$B$43=A34),Energy!D31,X34)</f>
        <v>405.85710065975019</v>
      </c>
      <c r="Y34" s="102">
        <f ca="1">IF(AND(Energy!$F$11=$A$3,Main!$B$43=A34),'Aerodynamics-Cruise'!V31,Y34)</f>
        <v>134891.51138732678</v>
      </c>
      <c r="Z34" s="102">
        <f ca="1">IF(AND(Energy!$F$11=$A$3,Main!$B$43=$A34),Summary!Z31,Z34)</f>
        <v>102048.06730272972</v>
      </c>
      <c r="AA34" s="102">
        <f ca="1">IF(AND(Energy!$F$11=$A$3,Main!$B$43=$A34),Summary!AA31,AA34)</f>
        <v>102048.06730272972</v>
      </c>
      <c r="AB34" s="103">
        <f ca="1">IF(AND(Energy!$F$11=$A$3,Main!$B$43=$A34),Summary!AB31,AB34)</f>
        <v>6.4305149941954758</v>
      </c>
      <c r="AC34" s="103">
        <f ca="1">IF(AND(Energy!$F$11=$A$3,Main!$B$43=$A34),Summary!AC31,AC34)</f>
        <v>2.1910050143974207</v>
      </c>
      <c r="AD34" s="103">
        <f ca="1">IF(AND(Energy!$F$11=$A$3,Main!$B$43=$A34),Summary!AD31,AD34)</f>
        <v>0.43540768026860199</v>
      </c>
      <c r="AE34" s="103">
        <f ca="1">IF(AND(Energy!$F$11=$A$3,Main!$B$43=$A34),Summary!AE31,AE34)</f>
        <v>1.3508771929824563</v>
      </c>
      <c r="AF34" s="103">
        <f ca="1">IF(AND(Energy!$F$11=$A$3,Main!$B$43=$A34),Summary!AF31,AF34)</f>
        <v>27.355263157894736</v>
      </c>
      <c r="AG34" s="103">
        <f ca="1">IF(AND(Energy!$F$11=$A$3,Main!$B$43=$A34),Summary!AG31,AG34)</f>
        <v>12.141822662421768</v>
      </c>
      <c r="AH34" s="103">
        <f ca="1">IF(AND(Energy!$F$11=$A$3,Main!$B$43=$A34),Summary!AH31,AH34)</f>
        <v>47</v>
      </c>
      <c r="AI34" s="103">
        <f ca="1">IF(AND(Energy!$F$11=$A$3,Main!$B$43=$A34),Summary!AI31,AI34)</f>
        <v>2.6859338022467578</v>
      </c>
      <c r="AJ34" s="103">
        <f ca="1">IF(AND(Energy!$F$11=$A$3,Main!$B$43=$A34),Summary!AJ31,AJ34)</f>
        <v>0.253086286332459</v>
      </c>
      <c r="AK34" s="103">
        <f ca="1">IF(AND(Energy!$F$11=$A$3,Main!$B$43=$A34),Summary!AK31,AK34)</f>
        <v>0.01</v>
      </c>
      <c r="AL34" s="103">
        <f ca="1">IF(AND(Energy!$F$11=$A$3,Main!$B$43=$A34),Summary!AL31,AL34)</f>
        <v>-0.49388474397262461</v>
      </c>
      <c r="AM34" s="103">
        <f ca="1">IF(AND(Energy!$F$11=$A$3,Main!$B$43=$A34),Summary!AJ51,AM34)</f>
        <v>0</v>
      </c>
      <c r="AN34" s="101"/>
      <c r="AO34" s="101"/>
      <c r="AP34" s="101"/>
      <c r="AQ34" s="101"/>
      <c r="AR34" s="103"/>
      <c r="AS34" s="103"/>
      <c r="AT34" s="103"/>
      <c r="AU34" s="101"/>
      <c r="AV34" s="101"/>
      <c r="AW34" s="101"/>
      <c r="AX34" s="101"/>
      <c r="AY34" s="101"/>
      <c r="AZ34" s="105"/>
      <c r="BA34" s="100"/>
      <c r="BB34" s="100"/>
      <c r="BC34" s="6"/>
    </row>
    <row r="35" spans="1:55">
      <c r="A35">
        <f t="shared" si="2"/>
        <v>2</v>
      </c>
      <c r="B35" s="10"/>
      <c r="C35" s="103"/>
      <c r="D35" s="1">
        <f ca="1">IF(AND(Energy!$F$11=$A$3,Main!$B$43=A35),Main!C32,D35)</f>
        <v>6.2368421052631584</v>
      </c>
      <c r="E35" s="103">
        <f ca="1">IF(AND(Energy!$F$11=$A$3,Main!$B$43=A35),Main!B32,E35)</f>
        <v>0.22222222222222224</v>
      </c>
      <c r="F35" s="103">
        <f ca="1">IF(Main!$D$6=1,U35,IF(Main!$D$6=2,N35,IF(Main!$D$6=3,K35,IF(Main!$D$6=4,V35,J35))))</f>
        <v>590.9435509521345</v>
      </c>
      <c r="G35" s="103">
        <f ca="1">IF(AND(Energy!$F$11=$A$3,Main!$B$43=A35),Weight!H32,G35)</f>
        <v>15</v>
      </c>
      <c r="H35" s="103">
        <f ca="1">IF(AND(Energy!$F$11=$A$3,Main!$B$43=A35),Weight!U32,H35)</f>
        <v>18.179211603770327</v>
      </c>
      <c r="I35" s="103">
        <f ca="1">IF(AND(Energy!$F$11=$A$3,Main!$B$43=A35),Weight!V32,I35)</f>
        <v>53.283566109161399</v>
      </c>
      <c r="J35" s="103">
        <f ca="1">IF(AND(Energy!$F$11=$A$3,Main!$B$43=A35),Weight!I32,J35)</f>
        <v>30.166706230391075</v>
      </c>
      <c r="K35" s="103">
        <f ca="1">IF(AND(Energy!$F$11=$A$3,Main!$B$43=A35),Weight!W32,K35)</f>
        <v>68.283569393967994</v>
      </c>
      <c r="L35" s="103">
        <f ca="1">IF(AND(Energy!$F$11=$A$3,Main!$B$43=A35),'Aerodynamics-Cruise'!BI32,L35)</f>
        <v>68.28356279979181</v>
      </c>
      <c r="M35" s="103">
        <f ca="1">IF(AND(Energy!$F$11=$A$3,Main!$B$43=A35),'Aerodynamics-Cruise'!BJ32,M35)</f>
        <v>3.1033404008630212</v>
      </c>
      <c r="N35" s="103">
        <f ca="1">IF(AND(Energy!$F$11=$A$3,Main!$B$43=A35),'Aerodynamics-Cruise'!BK32,N35)</f>
        <v>22.003246173317802</v>
      </c>
      <c r="O35" s="103">
        <f t="shared" ca="1" si="0"/>
        <v>181.82133584084545</v>
      </c>
      <c r="P35" s="103">
        <f ca="1">IF(AND(Energy!$F$11=$A$3,Main!$B$43=A35),'Aerodynamics-Cruise'!H32,P35)</f>
        <v>9.4886806168388258</v>
      </c>
      <c r="Q35" s="103">
        <f ca="1">IF(AND(Energy!$F$11=$A$3,Main!$B$43=A35),'Aerodynamics-Cruise'!I32,Q35)</f>
        <v>8.1084717679042644</v>
      </c>
      <c r="R35" s="103">
        <f ca="1">IF(AND(Energy!$F$11=$A$3,Main!$B$43=$A35),Summary!R32,R35)</f>
        <v>6.3776207258692557</v>
      </c>
      <c r="S35" s="103">
        <f ca="1">IF(AND(Energy!$F$11=$A$3,Main!$B$43=A35),'Aerodynamics-Cruise'!W32,S35)</f>
        <v>1</v>
      </c>
      <c r="T35" s="103">
        <f ca="1">IF(AND(Energy!$F$11=$A$3,Main!$B$43=A35),'Aerodynamics-Cruise'!BL32,T35)</f>
        <v>29.446605909121782</v>
      </c>
      <c r="U35" s="103">
        <f ca="1">IF(AND(Energy!$F$11=$A$3,Main!$B$43=A35),'Propulsion-Cruise'!M32,U35)</f>
        <v>62.077791122944106</v>
      </c>
      <c r="V35" s="103">
        <f ca="1">IF(AND(Energy!$F$11=$A$3,Main!$B$43=A35),Endurance!AP32,V35)</f>
        <v>590.9435509521345</v>
      </c>
      <c r="W35" s="103">
        <f ca="1">IF(AND(Energy!$F$11=$A$3,Main!$B$43=$A35),Summary!W32,W35)</f>
        <v>1.3859649122807021</v>
      </c>
      <c r="X35" s="13">
        <f ca="1">IF(AND(Energy!$F$11=$A$3,Main!$B$43=A35),Energy!D32,X35)</f>
        <v>405.89530810357047</v>
      </c>
      <c r="Y35" s="102">
        <f ca="1">IF(AND(Energy!$F$11=$A$3,Main!$B$43=A35),'Aerodynamics-Cruise'!V32,Y35)</f>
        <v>133733.00161197834</v>
      </c>
      <c r="Z35" s="102">
        <f ca="1">IF(AND(Energy!$F$11=$A$3,Main!$B$43=$A35),Summary!Z32,Z35)</f>
        <v>101205.85153795448</v>
      </c>
      <c r="AA35" s="102">
        <f ca="1">IF(AND(Energy!$F$11=$A$3,Main!$B$43=$A35),Summary!AA32,AA35)</f>
        <v>101205.85153795448</v>
      </c>
      <c r="AB35" s="103">
        <f ca="1">IF(AND(Energy!$F$11=$A$3,Main!$B$43=$A35),Summary!AB32,AB35)</f>
        <v>6.3776207258692557</v>
      </c>
      <c r="AC35" s="103">
        <f ca="1">IF(AND(Energy!$F$11=$A$3,Main!$B$43=$A35),Summary!AC32,AC35)</f>
        <v>2.155919597633865</v>
      </c>
      <c r="AD35" s="103">
        <f ca="1">IF(AND(Energy!$F$11=$A$3,Main!$B$43=$A35),Summary!AD32,AD35)</f>
        <v>0.43439225748075316</v>
      </c>
      <c r="AE35" s="103">
        <f ca="1">IF(AND(Energy!$F$11=$A$3,Main!$B$43=$A35),Summary!AE32,AE35)</f>
        <v>1.3859649122807021</v>
      </c>
      <c r="AF35" s="103">
        <f ca="1">IF(AND(Energy!$F$11=$A$3,Main!$B$43=$A35),Summary!AF32,AF35)</f>
        <v>28.065789473684209</v>
      </c>
      <c r="AG35" s="103">
        <f ca="1">IF(AND(Energy!$F$11=$A$3,Main!$B$43=$A35),Summary!AG32,AG35)</f>
        <v>12.165226563038598</v>
      </c>
      <c r="AH35" s="103">
        <f ca="1">IF(AND(Energy!$F$11=$A$3,Main!$B$43=$A35),Summary!AH32,AH35)</f>
        <v>47</v>
      </c>
      <c r="AI35" s="103">
        <f ca="1">IF(AND(Energy!$F$11=$A$3,Main!$B$43=$A35),Summary!AI32,AI35)</f>
        <v>2.6840440963395271</v>
      </c>
      <c r="AJ35" s="103">
        <f ca="1">IF(AND(Energy!$F$11=$A$3,Main!$B$43=$A35),Summary!AJ32,AJ35)</f>
        <v>0.25367237494298278</v>
      </c>
      <c r="AK35" s="103">
        <f ca="1">IF(AND(Energy!$F$11=$A$3,Main!$B$43=$A35),Summary!AK32,AK35)</f>
        <v>0.01</v>
      </c>
      <c r="AL35" s="103">
        <f ca="1">IF(AND(Energy!$F$11=$A$3,Main!$B$43=$A35),Summary!AL32,AL35)</f>
        <v>-0.49274364941960425</v>
      </c>
      <c r="AM35" s="103">
        <f ca="1">IF(AND(Energy!$F$11=$A$3,Main!$B$43=$A35),Summary!AJ52,AM35)</f>
        <v>0</v>
      </c>
      <c r="AN35" s="101"/>
      <c r="AO35" s="101"/>
      <c r="AP35" s="101"/>
      <c r="AQ35" s="101"/>
      <c r="AR35" s="103"/>
      <c r="AS35" s="103"/>
      <c r="AT35" s="103"/>
      <c r="AU35" s="101"/>
      <c r="AV35" s="101"/>
      <c r="AW35" s="101"/>
      <c r="AX35" s="101"/>
      <c r="AY35" s="101"/>
      <c r="AZ35" s="105"/>
      <c r="BA35" s="100"/>
      <c r="BB35" s="100"/>
      <c r="BC35" s="6"/>
    </row>
    <row r="36" spans="1:55">
      <c r="A36">
        <f t="shared" si="2"/>
        <v>2</v>
      </c>
      <c r="B36" s="10"/>
      <c r="C36" s="103"/>
      <c r="D36" s="1">
        <f ca="1">IF(AND(Energy!$F$11=$A$3,Main!$B$43=A36),Main!C33,D36)</f>
        <v>6.3947368421052637</v>
      </c>
      <c r="E36" s="103">
        <f ca="1">IF(AND(Energy!$F$11=$A$3,Main!$B$43=A36),Main!B33,E36)</f>
        <v>0.22222222222222224</v>
      </c>
      <c r="F36" s="103">
        <f ca="1">IF(Main!$D$6=1,U36,IF(Main!$D$6=2,N36,IF(Main!$D$6=3,K36,IF(Main!$D$6=4,V36,J36))))</f>
        <v>593.13683960382866</v>
      </c>
      <c r="G36" s="103">
        <f ca="1">IF(AND(Energy!$F$11=$A$3,Main!$B$43=A36),Weight!H33,G36)</f>
        <v>15</v>
      </c>
      <c r="H36" s="103">
        <f ca="1">IF(AND(Energy!$F$11=$A$3,Main!$B$43=A36),Weight!U33,H36)</f>
        <v>18.693376897710039</v>
      </c>
      <c r="I36" s="103">
        <f ca="1">IF(AND(Energy!$F$11=$A$3,Main!$B$43=A36),Weight!V33,I36)</f>
        <v>53.890712988681216</v>
      </c>
      <c r="J36" s="103">
        <f ca="1">IF(AND(Energy!$F$11=$A$3,Main!$B$43=A36),Weight!I33,J36)</f>
        <v>30.259687815971173</v>
      </c>
      <c r="K36" s="103">
        <f ca="1">IF(AND(Energy!$F$11=$A$3,Main!$B$43=A36),Weight!W33,K36)</f>
        <v>68.89071618575268</v>
      </c>
      <c r="L36" s="103">
        <f ca="1">IF(AND(Energy!$F$11=$A$3,Main!$B$43=A36),'Aerodynamics-Cruise'!BI33,L36)</f>
        <v>68.890709767724786</v>
      </c>
      <c r="M36" s="103">
        <f ca="1">IF(AND(Energy!$F$11=$A$3,Main!$B$43=A36),'Aerodynamics-Cruise'!BJ33,M36)</f>
        <v>3.1276120243157695</v>
      </c>
      <c r="N36" s="103">
        <f ca="1">IF(AND(Energy!$F$11=$A$3,Main!$B$43=A36),'Aerodynamics-Cruise'!BK33,N36)</f>
        <v>22.026616227374323</v>
      </c>
      <c r="O36" s="103">
        <f t="shared" ca="1" si="0"/>
        <v>182.82185647883441</v>
      </c>
      <c r="P36" s="103">
        <f ca="1">IF(AND(Energy!$F$11=$A$3,Main!$B$43=A36),'Aerodynamics-Cruise'!H33,P36)</f>
        <v>9.4123575483556312</v>
      </c>
      <c r="Q36" s="103">
        <f ca="1">IF(AND(Energy!$F$11=$A$3,Main!$B$43=A36),'Aerodynamics-Cruise'!I33,Q36)</f>
        <v>8.0459010050318547</v>
      </c>
      <c r="R36" s="103">
        <f ca="1">IF(AND(Energy!$F$11=$A$3,Main!$B$43=$A36),Summary!R33,R36)</f>
        <v>6.3350901356074338</v>
      </c>
      <c r="S36" s="103">
        <f ca="1">IF(AND(Energy!$F$11=$A$3,Main!$B$43=A36),'Aerodynamics-Cruise'!W33,S36)</f>
        <v>1</v>
      </c>
      <c r="T36" s="103">
        <f ca="1">IF(AND(Energy!$F$11=$A$3,Main!$B$43=A36),'Aerodynamics-Cruise'!BL33,T36)</f>
        <v>29.43820264539637</v>
      </c>
      <c r="U36" s="103">
        <f ca="1">IF(AND(Energy!$F$11=$A$3,Main!$B$43=A36),'Propulsion-Cruise'!M33,U36)</f>
        <v>62.200924232689282</v>
      </c>
      <c r="V36" s="103">
        <f ca="1">IF(AND(Energy!$F$11=$A$3,Main!$B$43=A36),Endurance!AP33,V36)</f>
        <v>593.13683960382866</v>
      </c>
      <c r="W36" s="103">
        <f ca="1">IF(AND(Energy!$F$11=$A$3,Main!$B$43=$A36),Summary!W33,W36)</f>
        <v>1.4210526315789476</v>
      </c>
      <c r="X36" s="13">
        <f ca="1">IF(AND(Energy!$F$11=$A$3,Main!$B$43=A36),Energy!D33,X36)</f>
        <v>405.94689034463858</v>
      </c>
      <c r="Y36" s="102">
        <f ca="1">IF(AND(Energy!$F$11=$A$3,Main!$B$43=A36),'Aerodynamics-Cruise'!V33,Y36)</f>
        <v>132657.30800897302</v>
      </c>
      <c r="Z36" s="102">
        <f ca="1">IF(AND(Energy!$F$11=$A$3,Main!$B$43=$A36),Summary!Z33,Z36)</f>
        <v>100423.58397561482</v>
      </c>
      <c r="AA36" s="102">
        <f ca="1">IF(AND(Energy!$F$11=$A$3,Main!$B$43=$A36),Summary!AA33,AA36)</f>
        <v>100423.58397561482</v>
      </c>
      <c r="AB36" s="103">
        <f ca="1">IF(AND(Energy!$F$11=$A$3,Main!$B$43=$A36),Summary!AB33,AB36)</f>
        <v>6.3350901356074338</v>
      </c>
      <c r="AC36" s="103">
        <f ca="1">IF(AND(Energy!$F$11=$A$3,Main!$B$43=$A36),Summary!AC33,AC36)</f>
        <v>2.1210071886247053</v>
      </c>
      <c r="AD36" s="103">
        <f ca="1">IF(AND(Energy!$F$11=$A$3,Main!$B$43=$A36),Summary!AD33,AD36)</f>
        <v>0.43358284943739378</v>
      </c>
      <c r="AE36" s="103">
        <f ca="1">IF(AND(Energy!$F$11=$A$3,Main!$B$43=$A36),Summary!AE33,AE36)</f>
        <v>1.4210526315789476</v>
      </c>
      <c r="AF36" s="103">
        <f ca="1">IF(AND(Energy!$F$11=$A$3,Main!$B$43=$A36),Summary!AF33,AF36)</f>
        <v>28.776315789473685</v>
      </c>
      <c r="AG36" s="103">
        <f ca="1">IF(AND(Energy!$F$11=$A$3,Main!$B$43=$A36),Summary!AG33,AG36)</f>
        <v>12.194854798865437</v>
      </c>
      <c r="AH36" s="103">
        <f ca="1">IF(AND(Energy!$F$11=$A$3,Main!$B$43=$A36),Summary!AH33,AH36)</f>
        <v>47</v>
      </c>
      <c r="AI36" s="103">
        <f ca="1">IF(AND(Energy!$F$11=$A$3,Main!$B$43=$A36),Summary!AI33,AI36)</f>
        <v>2.6822760533466892</v>
      </c>
      <c r="AJ36" s="103">
        <f ca="1">IF(AND(Energy!$F$11=$A$3,Main!$B$43=$A36),Summary!AJ33,AJ36)</f>
        <v>0.25422446763507095</v>
      </c>
      <c r="AK36" s="103">
        <f ca="1">IF(AND(Energy!$F$11=$A$3,Main!$B$43=$A36),Summary!AK33,AK36)</f>
        <v>0.01</v>
      </c>
      <c r="AL36" s="103">
        <f ca="1">IF(AND(Energy!$F$11=$A$3,Main!$B$43=$A36),Summary!AL33,AL36)</f>
        <v>-0.49167355556081555</v>
      </c>
      <c r="AM36" s="103">
        <f ca="1">IF(AND(Energy!$F$11=$A$3,Main!$B$43=$A36),Summary!AJ53,AM36)</f>
        <v>0</v>
      </c>
      <c r="AN36" s="101"/>
      <c r="AO36" s="101"/>
      <c r="AP36" s="101"/>
      <c r="AQ36" s="101"/>
      <c r="AR36" s="103"/>
      <c r="AS36" s="103"/>
      <c r="AT36" s="103"/>
      <c r="AU36" s="101"/>
      <c r="AV36" s="101"/>
      <c r="AW36" s="101"/>
      <c r="AX36" s="101"/>
      <c r="AY36" s="101"/>
      <c r="AZ36" s="105"/>
      <c r="BA36" s="100"/>
      <c r="BB36" s="100"/>
      <c r="BC36" s="6"/>
    </row>
    <row r="37" spans="1:55">
      <c r="A37">
        <f t="shared" si="2"/>
        <v>2</v>
      </c>
      <c r="B37" s="100"/>
      <c r="C37" s="103"/>
      <c r="D37" s="1">
        <f ca="1">IF(AND(Energy!$F$11=$A$3,Main!$B$43=A37),Main!C34,D37)</f>
        <v>6.552631578947369</v>
      </c>
      <c r="E37" s="103">
        <f ca="1">IF(AND(Energy!$F$11=$A$3,Main!$B$43=A37),Main!B34,E37)</f>
        <v>0.22222222222222224</v>
      </c>
      <c r="F37" s="103">
        <f ca="1">IF(Main!$D$6=1,U37,IF(Main!$D$6=2,N37,IF(Main!$D$6=3,K37,IF(Main!$D$6=4,V37,J37))))</f>
        <v>595.82259191807282</v>
      </c>
      <c r="G37" s="103">
        <f ca="1">IF(AND(Energy!$F$11=$A$3,Main!$B$43=A37),Weight!H34,G37)</f>
        <v>15</v>
      </c>
      <c r="H37" s="103">
        <f ca="1">IF(AND(Energy!$F$11=$A$3,Main!$B$43=A37),Weight!U34,H37)</f>
        <v>19.219746637475637</v>
      </c>
      <c r="I37" s="103">
        <f ca="1">IF(AND(Energy!$F$11=$A$3,Main!$B$43=A37),Weight!V34,I37)</f>
        <v>54.532356720986186</v>
      </c>
      <c r="J37" s="103">
        <f ca="1">IF(AND(Energy!$F$11=$A$3,Main!$B$43=A37),Weight!I34,J37)</f>
        <v>30.374961808510552</v>
      </c>
      <c r="K37" s="103">
        <f ca="1">IF(AND(Energy!$F$11=$A$3,Main!$B$43=A37),Weight!W34,K37)</f>
        <v>69.532359841571704</v>
      </c>
      <c r="L37" s="103">
        <f ca="1">IF(AND(Energy!$F$11=$A$3,Main!$B$43=A37),'Aerodynamics-Cruise'!BI34,L37)</f>
        <v>69.532353577105155</v>
      </c>
      <c r="M37" s="103">
        <f ca="1">IF(AND(Energy!$F$11=$A$3,Main!$B$43=A37),'Aerodynamics-Cruise'!BJ34,M37)</f>
        <v>3.1534299888787891</v>
      </c>
      <c r="N37" s="103">
        <f ca="1">IF(AND(Energy!$F$11=$A$3,Main!$B$43=A37),'Aerodynamics-Cruise'!BK34,N37)</f>
        <v>22.049753386732895</v>
      </c>
      <c r="O37" s="103">
        <f t="shared" ca="1" si="0"/>
        <v>183.86421058787442</v>
      </c>
      <c r="P37" s="103">
        <f ca="1">IF(AND(Energy!$F$11=$A$3,Main!$B$43=A37),'Aerodynamics-Cruise'!H34,P37)</f>
        <v>9.3414517018484595</v>
      </c>
      <c r="Q37" s="103">
        <f ca="1">IF(AND(Energy!$F$11=$A$3,Main!$B$43=A37),'Aerodynamics-Cruise'!I34,Q37)</f>
        <v>7.9877527146163052</v>
      </c>
      <c r="R37" s="103">
        <f ca="1">IF(AND(Energy!$F$11=$A$3,Main!$B$43=$A37),Summary!R34,R37)</f>
        <v>6.3020253064060805</v>
      </c>
      <c r="S37" s="103">
        <f ca="1">IF(AND(Energy!$F$11=$A$3,Main!$B$43=A37),'Aerodynamics-Cruise'!W34,S37)</f>
        <v>1</v>
      </c>
      <c r="T37" s="103">
        <f ca="1">IF(AND(Energy!$F$11=$A$3,Main!$B$43=A37),'Aerodynamics-Cruise'!BL34,T37)</f>
        <v>29.457613936271734</v>
      </c>
      <c r="U37" s="103">
        <f ca="1">IF(AND(Energy!$F$11=$A$3,Main!$B$43=A37),'Propulsion-Cruise'!M34,U37)</f>
        <v>62.377378788701918</v>
      </c>
      <c r="V37" s="103">
        <f ca="1">IF(AND(Energy!$F$11=$A$3,Main!$B$43=A37),Endurance!AP34,V37)</f>
        <v>595.82259191807282</v>
      </c>
      <c r="W37" s="103">
        <f ca="1">IF(AND(Energy!$F$11=$A$3,Main!$B$43=$A37),Summary!W34,W37)</f>
        <v>1.4561403508771933</v>
      </c>
      <c r="X37" s="13">
        <f ca="1">IF(AND(Energy!$F$11=$A$3,Main!$B$43=A37),Energy!D34,X37)</f>
        <v>406.01083948438077</v>
      </c>
      <c r="Y37" s="102">
        <f ca="1">IF(AND(Energy!$F$11=$A$3,Main!$B$43=A37),'Aerodynamics-Cruise'!V34,Y37)</f>
        <v>131657.9644681635</v>
      </c>
      <c r="Z37" s="102">
        <f ca="1">IF(AND(Energy!$F$11=$A$3,Main!$B$43=$A37),Summary!Z34,Z37)</f>
        <v>99696.615818998471</v>
      </c>
      <c r="AA37" s="102">
        <f ca="1">IF(AND(Energy!$F$11=$A$3,Main!$B$43=$A37),Summary!AA34,AA37)</f>
        <v>99696.615818998471</v>
      </c>
      <c r="AB37" s="103">
        <f ca="1">IF(AND(Energy!$F$11=$A$3,Main!$B$43=$A37),Summary!AB34,AB37)</f>
        <v>6.3020253064060805</v>
      </c>
      <c r="AC37" s="103">
        <f ca="1">IF(AND(Energy!$F$11=$A$3,Main!$B$43=$A37),Summary!AC34,AC37)</f>
        <v>2.0863304834353951</v>
      </c>
      <c r="AD37" s="103">
        <f ca="1">IF(AND(Energy!$F$11=$A$3,Main!$B$43=$A37),Summary!AD34,AD37)</f>
        <v>0.43296316840817889</v>
      </c>
      <c r="AE37" s="103">
        <f ca="1">IF(AND(Energy!$F$11=$A$3,Main!$B$43=$A37),Summary!AE34,AE37)</f>
        <v>1.4561403508771933</v>
      </c>
      <c r="AF37" s="103">
        <f ca="1">IF(AND(Energy!$F$11=$A$3,Main!$B$43=$A37),Summary!AF34,AF37)</f>
        <v>29.486842105263158</v>
      </c>
      <c r="AG37" s="103">
        <f ca="1">IF(AND(Energy!$F$11=$A$3,Main!$B$43=$A37),Summary!AG34,AG37)</f>
        <v>12.23021188867172</v>
      </c>
      <c r="AH37" s="103">
        <f ca="1">IF(AND(Energy!$F$11=$A$3,Main!$B$43=$A37),Summary!AH34,AH37)</f>
        <v>47</v>
      </c>
      <c r="AI37" s="103">
        <f ca="1">IF(AND(Energy!$F$11=$A$3,Main!$B$43=$A37),Summary!AI34,AI37)</f>
        <v>2.680621728896472</v>
      </c>
      <c r="AJ37" s="103">
        <f ca="1">IF(AND(Energy!$F$11=$A$3,Main!$B$43=$A37),Summary!AJ34,AJ37)</f>
        <v>0.2547446784602701</v>
      </c>
      <c r="AK37" s="103">
        <f ca="1">IF(AND(Energy!$F$11=$A$3,Main!$B$43=$A37),Summary!AK34,AK37)</f>
        <v>0.01</v>
      </c>
      <c r="AL37" s="103">
        <f ca="1">IF(AND(Energy!$F$11=$A$3,Main!$B$43=$A37),Summary!AL34,AL37)</f>
        <v>-0.49066950036562829</v>
      </c>
      <c r="AM37" s="103">
        <f ca="1">IF(AND(Energy!$F$11=$A$3,Main!$B$43=$A37),Summary!AJ54,AM37)</f>
        <v>0</v>
      </c>
      <c r="AN37" s="101"/>
      <c r="AO37" s="101"/>
      <c r="AP37" s="101"/>
      <c r="AQ37" s="101"/>
      <c r="AR37" s="100"/>
      <c r="AS37" s="103"/>
      <c r="AT37" s="103"/>
      <c r="AU37" s="101"/>
      <c r="AV37" s="101"/>
      <c r="AW37" s="101"/>
      <c r="AX37" s="101"/>
      <c r="AY37" s="101"/>
      <c r="AZ37" s="100"/>
      <c r="BA37" s="100"/>
      <c r="BB37" s="100"/>
      <c r="BC37" s="6"/>
    </row>
    <row r="38" spans="1:55">
      <c r="A38">
        <f t="shared" si="2"/>
        <v>2</v>
      </c>
      <c r="B38" s="100"/>
      <c r="C38" s="103"/>
      <c r="D38" s="1">
        <f ca="1">IF(AND(Energy!$F$11=$A$3,Main!$B$43=A38),Main!C35,D38)</f>
        <v>6.7105263157894743</v>
      </c>
      <c r="E38" s="103">
        <f ca="1">IF(AND(Energy!$F$11=$A$3,Main!$B$43=A38),Main!B35,E38)</f>
        <v>0.22222222222222224</v>
      </c>
      <c r="F38" s="103">
        <f ca="1">IF(Main!$D$6=1,U38,IF(Main!$D$6=2,N38,IF(Main!$D$6=3,K38,IF(Main!$D$6=4,V38,J38))))</f>
        <v>598.96655480329343</v>
      </c>
      <c r="G38" s="103">
        <f ca="1">IF(AND(Energy!$F$11=$A$3,Main!$B$43=A38),Weight!H35,G38)</f>
        <v>15</v>
      </c>
      <c r="H38" s="103">
        <f ca="1">IF(AND(Energy!$F$11=$A$3,Main!$B$43=A38),Weight!U35,H38)</f>
        <v>19.758333145582128</v>
      </c>
      <c r="I38" s="103">
        <f ca="1">IF(AND(Energy!$F$11=$A$3,Main!$B$43=A38),Weight!V35,I38)</f>
        <v>55.206948469511261</v>
      </c>
      <c r="J38" s="103">
        <f ca="1">IF(AND(Energy!$F$11=$A$3,Main!$B$43=A38),Weight!I35,J38)</f>
        <v>30.510967048929128</v>
      </c>
      <c r="K38" s="103">
        <f ca="1">IF(AND(Energy!$F$11=$A$3,Main!$B$43=A38),Weight!W35,K38)</f>
        <v>70.206951523730297</v>
      </c>
      <c r="L38" s="103">
        <f ca="1">IF(AND(Energy!$F$11=$A$3,Main!$B$43=A38),'Aerodynamics-Cruise'!BI35,L38)</f>
        <v>70.206945392506483</v>
      </c>
      <c r="M38" s="103">
        <f ca="1">IF(AND(Energy!$F$11=$A$3,Main!$B$43=A38),'Aerodynamics-Cruise'!BJ35,M38)</f>
        <v>3.1806884539281688</v>
      </c>
      <c r="N38" s="103">
        <f ca="1">IF(AND(Energy!$F$11=$A$3,Main!$B$43=A38),'Aerodynamics-Cruise'!BK35,N38)</f>
        <v>22.072877117468231</v>
      </c>
      <c r="O38" s="103">
        <f t="shared" ca="1" si="0"/>
        <v>184.94772114237327</v>
      </c>
      <c r="P38" s="103">
        <f ca="1">IF(AND(Energy!$F$11=$A$3,Main!$B$43=A38),'Aerodynamics-Cruise'!H35,P38)</f>
        <v>9.2755555889814012</v>
      </c>
      <c r="Q38" s="103">
        <f ca="1">IF(AND(Energy!$F$11=$A$3,Main!$B$43=A38),'Aerodynamics-Cruise'!I35,Q38)</f>
        <v>7.933696582833214</v>
      </c>
      <c r="R38" s="103">
        <f ca="1">IF(AND(Energy!$F$11=$A$3,Main!$B$43=$A38),Summary!R35,R38)</f>
        <v>6.277660513664383</v>
      </c>
      <c r="S38" s="103">
        <f ca="1">IF(AND(Energy!$F$11=$A$3,Main!$B$43=A38),'Aerodynamics-Cruise'!W35,S38)</f>
        <v>1</v>
      </c>
      <c r="T38" s="103">
        <f ca="1">IF(AND(Energy!$F$11=$A$3,Main!$B$43=A38),'Aerodynamics-Cruise'!BL35,T38)</f>
        <v>29.502652565642038</v>
      </c>
      <c r="U38" s="103">
        <f ca="1">IF(AND(Energy!$F$11=$A$3,Main!$B$43=A38),'Propulsion-Cruise'!M35,U38)</f>
        <v>62.603244173013159</v>
      </c>
      <c r="V38" s="103">
        <f ca="1">IF(AND(Energy!$F$11=$A$3,Main!$B$43=A38),Endurance!AP35,V38)</f>
        <v>598.96655480329343</v>
      </c>
      <c r="W38" s="103">
        <f ca="1">IF(AND(Energy!$F$11=$A$3,Main!$B$43=$A38),Summary!W35,W38)</f>
        <v>1.4912280701754388</v>
      </c>
      <c r="X38" s="13">
        <f ca="1">IF(AND(Energy!$F$11=$A$3,Main!$B$43=A38),Energy!D35,X38)</f>
        <v>406.08628945658893</v>
      </c>
      <c r="Y38" s="102">
        <f ca="1">IF(AND(Energy!$F$11=$A$3,Main!$B$43=A38),'Aerodynamics-Cruise'!V35,Y38)</f>
        <v>130729.22786882697</v>
      </c>
      <c r="Z38" s="102">
        <f ca="1">IF(AND(Energy!$F$11=$A$3,Main!$B$43=$A38),Summary!Z35,Z38)</f>
        <v>99020.815614777806</v>
      </c>
      <c r="AA38" s="102">
        <f ca="1">IF(AND(Energy!$F$11=$A$3,Main!$B$43=$A38),Summary!AA35,AA38)</f>
        <v>99020.815614777806</v>
      </c>
      <c r="AB38" s="103">
        <f ca="1">IF(AND(Energy!$F$11=$A$3,Main!$B$43=$A38),Summary!AB35,AB38)</f>
        <v>6.277660513664383</v>
      </c>
      <c r="AC38" s="103">
        <f ca="1">IF(AND(Energy!$F$11=$A$3,Main!$B$43=$A38),Summary!AC35,AC38)</f>
        <v>2.0519403624200296</v>
      </c>
      <c r="AD38" s="103">
        <f ca="1">IF(AND(Energy!$F$11=$A$3,Main!$B$43=$A38),Summary!AD35,AD38)</f>
        <v>0.43251882448913553</v>
      </c>
      <c r="AE38" s="103">
        <f ca="1">IF(AND(Energy!$F$11=$A$3,Main!$B$43=$A38),Summary!AE35,AE38)</f>
        <v>1.4912280701754388</v>
      </c>
      <c r="AF38" s="103">
        <f ca="1">IF(AND(Energy!$F$11=$A$3,Main!$B$43=$A38),Summary!AF35,AF38)</f>
        <v>30.197368421052634</v>
      </c>
      <c r="AG38" s="103">
        <f ca="1">IF(AND(Energy!$F$11=$A$3,Main!$B$43=$A38),Summary!AG35,AG38)</f>
        <v>12.270867034257931</v>
      </c>
      <c r="AH38" s="103">
        <f ca="1">IF(AND(Energy!$F$11=$A$3,Main!$B$43=$A38),Summary!AH35,AH38)</f>
        <v>47</v>
      </c>
      <c r="AI38" s="103">
        <f ca="1">IF(AND(Energy!$F$11=$A$3,Main!$B$43=$A38),Summary!AI35,AI38)</f>
        <v>2.679073962599146</v>
      </c>
      <c r="AJ38" s="103">
        <f ca="1">IF(AND(Energy!$F$11=$A$3,Main!$B$43=$A38),Summary!AJ35,AJ38)</f>
        <v>0.25523491726179637</v>
      </c>
      <c r="AK38" s="103">
        <f ca="1">IF(AND(Energy!$F$11=$A$3,Main!$B$43=$A38),Summary!AK35,AK38)</f>
        <v>0.01</v>
      </c>
      <c r="AL38" s="103">
        <f ca="1">IF(AND(Energy!$F$11=$A$3,Main!$B$43=$A38),Summary!AL35,AL38)</f>
        <v>-0.48972703943970169</v>
      </c>
      <c r="AM38" s="103">
        <f ca="1">IF(AND(Energy!$F$11=$A$3,Main!$B$43=$A38),Summary!AJ55,AM38)</f>
        <v>0</v>
      </c>
      <c r="AN38" s="101"/>
      <c r="AO38" s="101"/>
      <c r="AP38" s="101"/>
      <c r="AQ38" s="101"/>
      <c r="AR38" s="100"/>
      <c r="AS38" s="103"/>
      <c r="AT38" s="103"/>
      <c r="AU38" s="101"/>
      <c r="AV38" s="101"/>
      <c r="AW38" s="101"/>
      <c r="AX38" s="101"/>
      <c r="AY38" s="101"/>
      <c r="AZ38" s="100"/>
      <c r="BA38" s="100"/>
      <c r="BB38" s="100"/>
      <c r="BC38" s="6"/>
    </row>
    <row r="39" spans="1:55">
      <c r="A39">
        <f t="shared" si="2"/>
        <v>2</v>
      </c>
      <c r="B39" s="100"/>
      <c r="C39" s="103"/>
      <c r="D39" s="1">
        <f ca="1">IF(AND(Energy!$F$11=$A$3,Main!$B$43=A39),Main!C36,D39)</f>
        <v>6.8684210526315796</v>
      </c>
      <c r="E39" s="103">
        <f ca="1">IF(AND(Energy!$F$11=$A$3,Main!$B$43=A39),Main!B36,E39)</f>
        <v>0.22222222222222224</v>
      </c>
      <c r="F39" s="103">
        <f ca="1">IF(Main!$D$6=1,U39,IF(Main!$D$6=2,N39,IF(Main!$D$6=3,K39,IF(Main!$D$6=4,V39,J39))))</f>
        <v>602.53918240295377</v>
      </c>
      <c r="G39" s="103">
        <f ca="1">IF(AND(Energy!$F$11=$A$3,Main!$B$43=A39),Weight!H36,G39)</f>
        <v>15</v>
      </c>
      <c r="H39" s="103">
        <f ca="1">IF(AND(Energy!$F$11=$A$3,Main!$B$43=A39),Weight!U36,H39)</f>
        <v>20.309166042256905</v>
      </c>
      <c r="I39" s="103">
        <f ca="1">IF(AND(Energy!$F$11=$A$3,Main!$B$43=A39),Weight!V36,I39)</f>
        <v>55.913171115537637</v>
      </c>
      <c r="J39" s="103">
        <f ca="1">IF(AND(Energy!$F$11=$A$3,Main!$B$43=A39),Weight!I36,J39)</f>
        <v>30.666356798280727</v>
      </c>
      <c r="K39" s="103">
        <f ca="1">IF(AND(Energy!$F$11=$A$3,Main!$B$43=A39),Weight!W36,K39)</f>
        <v>70.913174112652285</v>
      </c>
      <c r="L39" s="103">
        <f ca="1">IF(AND(Energy!$F$11=$A$3,Main!$B$43=A39),'Aerodynamics-Cruise'!BI36,L39)</f>
        <v>70.913168096074727</v>
      </c>
      <c r="M39" s="103">
        <f ca="1">IF(AND(Energy!$F$11=$A$3,Main!$B$43=A39),'Aerodynamics-Cruise'!BJ36,M39)</f>
        <v>3.2092951474853573</v>
      </c>
      <c r="N39" s="103">
        <f ca="1">IF(AND(Energy!$F$11=$A$3,Main!$B$43=A39),'Aerodynamics-Cruise'!BK36,N39)</f>
        <v>22.096181509400509</v>
      </c>
      <c r="O39" s="103">
        <f t="shared" ca="1" si="0"/>
        <v>186.07184884294901</v>
      </c>
      <c r="P39" s="103">
        <f ca="1">IF(AND(Energy!$F$11=$A$3,Main!$B$43=A39),'Aerodynamics-Cruise'!H36,P39)</f>
        <v>9.2143057180899586</v>
      </c>
      <c r="Q39" s="103">
        <f ca="1">IF(AND(Energy!$F$11=$A$3,Main!$B$43=A39),'Aerodynamics-Cruise'!I36,Q39)</f>
        <v>7.8834377812660579</v>
      </c>
      <c r="R39" s="103">
        <f ca="1">IF(AND(Energy!$F$11=$A$3,Main!$B$43=$A39),Summary!R36,R39)</f>
        <v>6.261340099057997</v>
      </c>
      <c r="S39" s="103">
        <f ca="1">IF(AND(Energy!$F$11=$A$3,Main!$B$43=A39),'Aerodynamics-Cruise'!W36,S39)</f>
        <v>1</v>
      </c>
      <c r="T39" s="103">
        <f ca="1">IF(AND(Energy!$F$11=$A$3,Main!$B$43=A39),'Aerodynamics-Cruise'!BL36,T39)</f>
        <v>29.571426628512686</v>
      </c>
      <c r="U39" s="103">
        <f ca="1">IF(AND(Energy!$F$11=$A$3,Main!$B$43=A39),'Propulsion-Cruise'!M36,U39)</f>
        <v>62.875140873403943</v>
      </c>
      <c r="V39" s="103">
        <f ca="1">IF(AND(Energy!$F$11=$A$3,Main!$B$43=A39),Endurance!AP36,V39)</f>
        <v>602.53918240295377</v>
      </c>
      <c r="W39" s="103">
        <f ca="1">IF(AND(Energy!$F$11=$A$3,Main!$B$43=$A39),Summary!W36,W39)</f>
        <v>1.5263157894736845</v>
      </c>
      <c r="X39" s="13">
        <f ca="1">IF(AND(Energy!$F$11=$A$3,Main!$B$43=A39),Energy!D36,X39)</f>
        <v>406.17249314649314</v>
      </c>
      <c r="Y39" s="102">
        <f ca="1">IF(AND(Energy!$F$11=$A$3,Main!$B$43=A39),'Aerodynamics-Cruise'!V36,Y39)</f>
        <v>129865.97517718062</v>
      </c>
      <c r="Z39" s="102">
        <f ca="1">IF(AND(Energy!$F$11=$A$3,Main!$B$43=$A39),Summary!Z36,Z39)</f>
        <v>98392.495836618007</v>
      </c>
      <c r="AA39" s="102">
        <f ca="1">IF(AND(Energy!$F$11=$A$3,Main!$B$43=$A39),Summary!AA36,AA39)</f>
        <v>98392.495836618007</v>
      </c>
      <c r="AB39" s="103">
        <f ca="1">IF(AND(Energy!$F$11=$A$3,Main!$B$43=$A39),Summary!AB36,AB39)</f>
        <v>6.261340099057997</v>
      </c>
      <c r="AC39" s="103">
        <f ca="1">IF(AND(Energy!$F$11=$A$3,Main!$B$43=$A39),Summary!AC36,AC39)</f>
        <v>2.017877930903436</v>
      </c>
      <c r="AD39" s="103">
        <f ca="1">IF(AND(Energy!$F$11=$A$3,Main!$B$43=$A39),Summary!AD36,AD39)</f>
        <v>0.43223704949809727</v>
      </c>
      <c r="AE39" s="103">
        <f ca="1">IF(AND(Energy!$F$11=$A$3,Main!$B$43=$A39),Summary!AE36,AE39)</f>
        <v>1.5263157894736845</v>
      </c>
      <c r="AF39" s="103">
        <f ca="1">IF(AND(Energy!$F$11=$A$3,Main!$B$43=$A39),Summary!AF36,AF39)</f>
        <v>30.907894736842103</v>
      </c>
      <c r="AG39" s="103">
        <f ca="1">IF(AND(Energy!$F$11=$A$3,Main!$B$43=$A39),Summary!AG36,AG39)</f>
        <v>12.316444025711931</v>
      </c>
      <c r="AH39" s="103">
        <f ca="1">IF(AND(Energy!$F$11=$A$3,Main!$B$43=$A39),Summary!AH36,AH39)</f>
        <v>47</v>
      </c>
      <c r="AI39" s="103">
        <f ca="1">IF(AND(Energy!$F$11=$A$3,Main!$B$43=$A39),Summary!AI36,AI39)</f>
        <v>2.677626273990966</v>
      </c>
      <c r="AJ39" s="103">
        <f ca="1">IF(AND(Energy!$F$11=$A$3,Main!$B$43=$A39),Summary!AJ36,AJ39)</f>
        <v>0.25569696165805494</v>
      </c>
      <c r="AK39" s="103">
        <f ca="1">IF(AND(Energy!$F$11=$A$3,Main!$B$43=$A39),Summary!AK36,AK39)</f>
        <v>0.01</v>
      </c>
      <c r="AL39" s="103">
        <f ca="1">IF(AND(Energy!$F$11=$A$3,Main!$B$43=$A39),Summary!AL36,AL39)</f>
        <v>-0.48884208819795094</v>
      </c>
      <c r="AM39" s="103">
        <f ca="1">IF(AND(Energy!$F$11=$A$3,Main!$B$43=$A39),Summary!AJ56,AM39)</f>
        <v>0</v>
      </c>
      <c r="AN39" s="101"/>
      <c r="AO39" s="101"/>
      <c r="AP39" s="101"/>
      <c r="AQ39" s="101"/>
      <c r="AR39" s="100"/>
      <c r="AS39" s="103"/>
      <c r="AT39" s="103"/>
      <c r="AU39" s="101"/>
      <c r="AV39" s="101"/>
      <c r="AW39" s="101"/>
      <c r="AX39" s="101"/>
      <c r="AY39" s="101"/>
      <c r="AZ39" s="100"/>
      <c r="BA39" s="100"/>
      <c r="BB39" s="100"/>
      <c r="BC39" s="6"/>
    </row>
    <row r="40" spans="1:55">
      <c r="A40">
        <f t="shared" si="2"/>
        <v>2</v>
      </c>
      <c r="B40" s="100"/>
      <c r="C40" s="103"/>
      <c r="D40" s="1">
        <f ca="1">IF(AND(Energy!$F$11=$A$3,Main!$B$43=A40),Main!C37,D40)</f>
        <v>7.026315789473685</v>
      </c>
      <c r="E40" s="103">
        <f ca="1">IF(AND(Energy!$F$11=$A$3,Main!$B$43=A40),Main!B37,E40)</f>
        <v>0.22222222222222224</v>
      </c>
      <c r="F40" s="103">
        <f ca="1">IF(Main!$D$6=1,U40,IF(Main!$D$6=2,N40,IF(Main!$D$6=3,K40,IF(Main!$D$6=4,V40,J40))))</f>
        <v>606.51490267779923</v>
      </c>
      <c r="G40" s="103">
        <f ca="1">IF(AND(Energy!$F$11=$A$3,Main!$B$43=A40),Weight!H37,G40)</f>
        <v>15</v>
      </c>
      <c r="H40" s="103">
        <f ca="1">IF(AND(Energy!$F$11=$A$3,Main!$B$43=A40),Weight!U37,H40)</f>
        <v>20.872289872914948</v>
      </c>
      <c r="I40" s="103">
        <f ca="1">IF(AND(Energy!$F$11=$A$3,Main!$B$43=A40),Weight!V37,I40)</f>
        <v>56.649903463539331</v>
      </c>
      <c r="J40" s="103">
        <f ca="1">IF(AND(Energy!$F$11=$A$3,Main!$B$43=A40),Weight!I37,J40)</f>
        <v>30.839965315624386</v>
      </c>
      <c r="K40" s="103">
        <f ca="1">IF(AND(Energy!$F$11=$A$3,Main!$B$43=A40),Weight!W37,K40)</f>
        <v>71.649906412021181</v>
      </c>
      <c r="L40" s="103">
        <f ca="1">IF(AND(Energy!$F$11=$A$3,Main!$B$43=A40),'Aerodynamics-Cruise'!BI37,L40)</f>
        <v>71.649900493080636</v>
      </c>
      <c r="M40" s="103">
        <f ca="1">IF(AND(Energy!$F$11=$A$3,Main!$B$43=A40),'Aerodynamics-Cruise'!BJ37,M40)</f>
        <v>3.2391693274640949</v>
      </c>
      <c r="N40" s="103">
        <f ca="1">IF(AND(Energy!$F$11=$A$3,Main!$B$43=A40),'Aerodynamics-Cruise'!BK37,N40)</f>
        <v>22.119837912016301</v>
      </c>
      <c r="O40" s="103">
        <f t="shared" ca="1" si="0"/>
        <v>187.23616447838063</v>
      </c>
      <c r="P40" s="103">
        <f ca="1">IF(AND(Energy!$F$11=$A$3,Main!$B$43=A40),'Aerodynamics-Cruise'!H37,P40)</f>
        <v>9.1573765452215738</v>
      </c>
      <c r="Q40" s="103">
        <f ca="1">IF(AND(Energy!$F$11=$A$3,Main!$B$43=A40),'Aerodynamics-Cruise'!I37,Q40)</f>
        <v>7.8367121034159846</v>
      </c>
      <c r="R40" s="103">
        <f ca="1">IF(AND(Energy!$F$11=$A$3,Main!$B$43=$A40),Summary!R37,R40)</f>
        <v>6.2525006861735415</v>
      </c>
      <c r="S40" s="103">
        <f ca="1">IF(AND(Energy!$F$11=$A$3,Main!$B$43=A40),'Aerodynamics-Cruise'!W37,S40)</f>
        <v>1</v>
      </c>
      <c r="T40" s="103">
        <f ca="1">IF(AND(Energy!$F$11=$A$3,Main!$B$43=A40),'Aerodynamics-Cruise'!BL37,T40)</f>
        <v>29.662293225320841</v>
      </c>
      <c r="U40" s="103">
        <f ca="1">IF(AND(Energy!$F$11=$A$3,Main!$B$43=A40),'Propulsion-Cruise'!M37,U40)</f>
        <v>63.190137608324463</v>
      </c>
      <c r="V40" s="103">
        <f ca="1">IF(AND(Energy!$F$11=$A$3,Main!$B$43=A40),Endurance!AP37,V40)</f>
        <v>606.51490267779923</v>
      </c>
      <c r="W40" s="103">
        <f ca="1">IF(AND(Energy!$F$11=$A$3,Main!$B$43=$A40),Summary!W37,W40)</f>
        <v>1.56140350877193</v>
      </c>
      <c r="X40" s="13">
        <f ca="1">IF(AND(Energy!$F$11=$A$3,Main!$B$43=A40),Energy!D37,X40)</f>
        <v>406.26880384946764</v>
      </c>
      <c r="Y40" s="102">
        <f ca="1">IF(AND(Energy!$F$11=$A$3,Main!$B$43=A40),'Aerodynamics-Cruise'!V37,Y40)</f>
        <v>129063.61819264204</v>
      </c>
      <c r="Z40" s="102">
        <f ca="1">IF(AND(Energy!$F$11=$A$3,Main!$B$43=$A40),Summary!Z37,Z40)</f>
        <v>97808.352034827374</v>
      </c>
      <c r="AA40" s="102">
        <f ca="1">IF(AND(Energy!$F$11=$A$3,Main!$B$43=$A40),Summary!AA37,AA40)</f>
        <v>97808.352034827374</v>
      </c>
      <c r="AB40" s="103">
        <f ca="1">IF(AND(Energy!$F$11=$A$3,Main!$B$43=$A40),Summary!AB37,AB40)</f>
        <v>6.2525006861735415</v>
      </c>
      <c r="AC40" s="103">
        <f ca="1">IF(AND(Energy!$F$11=$A$3,Main!$B$43=$A40),Summary!AC37,AC40)</f>
        <v>1.9841762709014177</v>
      </c>
      <c r="AD40" s="103">
        <f ca="1">IF(AND(Energy!$F$11=$A$3,Main!$B$43=$A40),Summary!AD37,AD40)</f>
        <v>0.43210646893963212</v>
      </c>
      <c r="AE40" s="103">
        <f ca="1">IF(AND(Energy!$F$11=$A$3,Main!$B$43=$A40),Summary!AE37,AE40)</f>
        <v>1.56140350877193</v>
      </c>
      <c r="AF40" s="103">
        <f ca="1">IF(AND(Energy!$F$11=$A$3,Main!$B$43=$A40),Summary!AF37,AF40)</f>
        <v>31.618421052631582</v>
      </c>
      <c r="AG40" s="103">
        <f ca="1">IF(AND(Energy!$F$11=$A$3,Main!$B$43=$A40),Summary!AG37,AG40)</f>
        <v>12.366612997306051</v>
      </c>
      <c r="AH40" s="103">
        <f ca="1">IF(AND(Energy!$F$11=$A$3,Main!$B$43=$A40),Summary!AH37,AH40)</f>
        <v>47</v>
      </c>
      <c r="AI40" s="103">
        <f ca="1">IF(AND(Energy!$F$11=$A$3,Main!$B$43=$A40),Summary!AI37,AI40)</f>
        <v>2.676272775570566</v>
      </c>
      <c r="AJ40" s="103">
        <f ca="1">IF(AND(Energy!$F$11=$A$3,Main!$B$43=$A40),Summary!AJ37,AJ40)</f>
        <v>0.25613240817883409</v>
      </c>
      <c r="AK40" s="103">
        <f ca="1">IF(AND(Energy!$F$11=$A$3,Main!$B$43=$A40),Summary!AK37,AK40)</f>
        <v>0.01</v>
      </c>
      <c r="AL40" s="103">
        <f ca="1">IF(AND(Energy!$F$11=$A$3,Main!$B$43=$A40),Summary!AL37,AL40)</f>
        <v>-0.48801100135883463</v>
      </c>
      <c r="AM40" s="103">
        <f ca="1">IF(AND(Energy!$F$11=$A$3,Main!$B$43=$A40),Summary!AJ57,AM40)</f>
        <v>0</v>
      </c>
      <c r="AN40" s="101"/>
      <c r="AO40" s="101"/>
      <c r="AP40" s="101"/>
      <c r="AQ40" s="101"/>
      <c r="AR40" s="100"/>
      <c r="AS40" s="103"/>
      <c r="AT40" s="103"/>
      <c r="AU40" s="101"/>
      <c r="AV40" s="101"/>
      <c r="AW40" s="101"/>
      <c r="AX40" s="101"/>
      <c r="AY40" s="101"/>
      <c r="AZ40" s="100"/>
      <c r="BA40" s="100"/>
      <c r="BB40" s="100"/>
      <c r="BC40" s="6"/>
    </row>
    <row r="41" spans="1:55">
      <c r="A41">
        <f t="shared" si="2"/>
        <v>2</v>
      </c>
      <c r="B41" s="100"/>
      <c r="C41" s="100"/>
      <c r="D41" s="1">
        <f ca="1">IF(AND(Energy!$F$11=$A$3,Main!$B$43=A41),Main!C38,D41)</f>
        <v>7.1842105263157903</v>
      </c>
      <c r="E41" s="103">
        <f ca="1">IF(AND(Energy!$F$11=$A$3,Main!$B$43=A41),Main!B38,E41)</f>
        <v>0.22222222222222224</v>
      </c>
      <c r="F41" s="103">
        <f ca="1">IF(Main!$D$6=1,U41,IF(Main!$D$6=2,N41,IF(Main!$D$6=3,K41,IF(Main!$D$6=4,V41,J41))))</f>
        <v>610.87151756199387</v>
      </c>
      <c r="G41" s="103">
        <f ca="1">IF(AND(Energy!$F$11=$A$3,Main!$B$43=A41),Weight!H38,G41)</f>
        <v>15</v>
      </c>
      <c r="H41" s="103">
        <f ca="1">IF(AND(Energy!$F$11=$A$3,Main!$B$43=A41),Weight!U38,H41)</f>
        <v>21.447762143831639</v>
      </c>
      <c r="I41" s="103">
        <f ca="1">IF(AND(Energy!$F$11=$A$3,Main!$B$43=A41),Weight!V38,I41)</f>
        <v>57.416190942725834</v>
      </c>
      <c r="J41" s="103">
        <f ca="1">IF(AND(Energy!$F$11=$A$3,Main!$B$43=A41),Weight!I38,J41)</f>
        <v>31.030780523894194</v>
      </c>
      <c r="K41" s="103">
        <f ca="1">IF(AND(Energy!$F$11=$A$3,Main!$B$43=A41),Weight!W38,K41)</f>
        <v>72.416193850382967</v>
      </c>
      <c r="L41" s="103">
        <f ca="1">IF(AND(Energy!$F$11=$A$3,Main!$B$43=A41),'Aerodynamics-Cruise'!BI38,L41)</f>
        <v>72.416188013402731</v>
      </c>
      <c r="M41" s="103">
        <f ca="1">IF(AND(Energy!$F$11=$A$3,Main!$B$43=A41),'Aerodynamics-Cruise'!BJ38,M41)</f>
        <v>3.2702400998931984</v>
      </c>
      <c r="N41" s="103">
        <f ca="1">IF(AND(Energy!$F$11=$A$3,Main!$B$43=A41),'Aerodynamics-Cruise'!BK38,N41)</f>
        <v>22.14399732171584</v>
      </c>
      <c r="O41" s="103">
        <f t="shared" ca="1" si="0"/>
        <v>188.44032741986885</v>
      </c>
      <c r="P41" s="103">
        <f ca="1">IF(AND(Energy!$F$11=$A$3,Main!$B$43=A41),'Aerodynamics-Cruise'!H38,P41)</f>
        <v>9.1044754241242671</v>
      </c>
      <c r="Q41" s="103">
        <f ca="1">IF(AND(Energy!$F$11=$A$3,Main!$B$43=A41),'Aerodynamics-Cruise'!I38,Q41)</f>
        <v>7.7932819025747646</v>
      </c>
      <c r="R41" s="103">
        <f ca="1">IF(AND(Energy!$F$11=$A$3,Main!$B$43=$A41),Summary!R38,R41)</f>
        <v>6.250656799585931</v>
      </c>
      <c r="S41" s="103">
        <f ca="1">IF(AND(Energy!$F$11=$A$3,Main!$B$43=A41),'Aerodynamics-Cruise'!W38,S41)</f>
        <v>1</v>
      </c>
      <c r="T41" s="103">
        <f ca="1">IF(AND(Energy!$F$11=$A$3,Main!$B$43=A41),'Aerodynamics-Cruise'!BL38,T41)</f>
        <v>29.773820620463315</v>
      </c>
      <c r="U41" s="103">
        <f ca="1">IF(AND(Energy!$F$11=$A$3,Main!$B$43=A41),'Propulsion-Cruise'!M38,U41)</f>
        <v>63.545683553467747</v>
      </c>
      <c r="V41" s="103">
        <f ca="1">IF(AND(Energy!$F$11=$A$3,Main!$B$43=A41),Endurance!AP38,V41)</f>
        <v>610.87151756199387</v>
      </c>
      <c r="W41" s="103">
        <f ca="1">IF(AND(Energy!$F$11=$A$3,Main!$B$43=$A41),Summary!W38,W41)</f>
        <v>1.5964912280701757</v>
      </c>
      <c r="X41" s="13">
        <f ca="1">IF(AND(Energy!$F$11=$A$3,Main!$B$43=A41),Energy!D38,X41)</f>
        <v>406.37466010722852</v>
      </c>
      <c r="Y41" s="102">
        <f ca="1">IF(AND(Energy!$F$11=$A$3,Main!$B$43=A41),'Aerodynamics-Cruise'!V38,Y41)</f>
        <v>128318.03237321561</v>
      </c>
      <c r="Z41" s="102">
        <f ca="1">IF(AND(Energy!$F$11=$A$3,Main!$B$43=$A41),Summary!Z38,Z41)</f>
        <v>97265.412013275956</v>
      </c>
      <c r="AA41" s="102">
        <f ca="1">IF(AND(Energy!$F$11=$A$3,Main!$B$43=$A41),Summary!AA38,AA41)</f>
        <v>97265.412013275956</v>
      </c>
      <c r="AB41" s="103">
        <f ca="1">IF(AND(Energy!$F$11=$A$3,Main!$B$43=$A41),Summary!AB38,AB41)</f>
        <v>6.250656799585931</v>
      </c>
      <c r="AC41" s="103">
        <f ca="1">IF(AND(Energy!$F$11=$A$3,Main!$B$43=$A41),Summary!AC38,AC41)</f>
        <v>1.9508617858672694</v>
      </c>
      <c r="AD41" s="103">
        <f ca="1">IF(AND(Energy!$F$11=$A$3,Main!$B$43=$A41),Summary!AD38,AD41)</f>
        <v>0.43211691206339448</v>
      </c>
      <c r="AE41" s="103">
        <f ca="1">IF(AND(Energy!$F$11=$A$3,Main!$B$43=$A41),Summary!AE38,AE41)</f>
        <v>1.5964912280701757</v>
      </c>
      <c r="AF41" s="103">
        <f ca="1">IF(AND(Energy!$F$11=$A$3,Main!$B$43=$A41),Summary!AF38,AF41)</f>
        <v>32.328947368421055</v>
      </c>
      <c r="AG41" s="103">
        <f ca="1">IF(AND(Energy!$F$11=$A$3,Main!$B$43=$A41),Summary!AG38,AG41)</f>
        <v>12.42108363267668</v>
      </c>
      <c r="AH41" s="103">
        <f ca="1">IF(AND(Energy!$F$11=$A$3,Main!$B$43=$A41),Summary!AH38,AH41)</f>
        <v>47</v>
      </c>
      <c r="AI41" s="103">
        <f ca="1">IF(AND(Energy!$F$11=$A$3,Main!$B$43=$A41),Summary!AI38,AI41)</f>
        <v>2.6750080994782839</v>
      </c>
      <c r="AJ41" s="103">
        <f ca="1">IF(AND(Energy!$F$11=$A$3,Main!$B$43=$A41),Summary!AJ38,AJ41)</f>
        <v>0.25654272221042118</v>
      </c>
      <c r="AK41" s="103">
        <f ca="1">IF(AND(Energy!$F$11=$A$3,Main!$B$43=$A41),Summary!AK38,AK41)</f>
        <v>0.01</v>
      </c>
      <c r="AL41" s="103">
        <f ca="1">IF(AND(Energy!$F$11=$A$3,Main!$B$43=$A41),Summary!AL38,AL41)</f>
        <v>-0.48723046311226131</v>
      </c>
      <c r="AM41" s="103">
        <f ca="1">IF(AND(Energy!$F$11=$A$3,Main!$B$43=$A41),Summary!AJ58,AM41)</f>
        <v>0</v>
      </c>
      <c r="AN41" s="100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</row>
    <row r="42" spans="1:55">
      <c r="A42">
        <f t="shared" si="2"/>
        <v>2</v>
      </c>
      <c r="B42" s="100"/>
      <c r="C42" s="100"/>
      <c r="D42" s="1">
        <f ca="1">IF(AND(Energy!$F$11=$A$3,Main!$B$43=A42),Main!C39,D42)</f>
        <v>7.3421052631578956</v>
      </c>
      <c r="E42" s="103">
        <f ca="1">IF(AND(Energy!$F$11=$A$3,Main!$B$43=A42),Main!B39,E42)</f>
        <v>0.22222222222222224</v>
      </c>
      <c r="F42" s="103">
        <f ca="1">IF(Main!$D$6=1,U42,IF(Main!$D$6=2,N42,IF(Main!$D$6=3,K42,IF(Main!$D$6=4,V42,J42))))</f>
        <v>615.58970961214129</v>
      </c>
      <c r="G42" s="103">
        <f ca="1">IF(AND(Energy!$F$11=$A$3,Main!$B$43=A42),Weight!H39,G42)</f>
        <v>15</v>
      </c>
      <c r="H42" s="103">
        <f ca="1">IF(AND(Energy!$F$11=$A$3,Main!$B$43=A42),Weight!U39,H42)</f>
        <v>22.035651689372813</v>
      </c>
      <c r="I42" s="103">
        <f ca="1">IF(AND(Energy!$F$11=$A$3,Main!$B$43=A42),Weight!V39,I42)</f>
        <v>58.211221494615245</v>
      </c>
      <c r="J42" s="103">
        <f ca="1">IF(AND(Energy!$F$11=$A$3,Main!$B$43=A42),Weight!I39,J42)</f>
        <v>31.237921530242428</v>
      </c>
      <c r="K42" s="103">
        <f ca="1">IF(AND(Energy!$F$11=$A$3,Main!$B$43=A42),Weight!W39,K42)</f>
        <v>73.211224368709622</v>
      </c>
      <c r="L42" s="103">
        <f ca="1">IF(AND(Energy!$F$11=$A$3,Main!$B$43=A42),'Aerodynamics-Cruise'!BI39,L42)</f>
        <v>73.211218599109742</v>
      </c>
      <c r="M42" s="103">
        <f ca="1">IF(AND(Energy!$F$11=$A$3,Main!$B$43=A42),'Aerodynamics-Cruise'!BJ39,M42)</f>
        <v>3.3024450251812949</v>
      </c>
      <c r="N42" s="103">
        <f ca="1">IF(AND(Energy!$F$11=$A$3,Main!$B$43=A42),'Aerodynamics-Cruise'!BK39,N42)</f>
        <v>22.168792528224039</v>
      </c>
      <c r="O42" s="103">
        <f t="shared" ca="1" si="0"/>
        <v>189.68406878480744</v>
      </c>
      <c r="P42" s="103">
        <f ca="1">IF(AND(Energy!$F$11=$A$3,Main!$B$43=A42),'Aerodynamics-Cruise'!H39,P42)</f>
        <v>9.0553383658480335</v>
      </c>
      <c r="Q42" s="103">
        <f ca="1">IF(AND(Energy!$F$11=$A$3,Main!$B$43=A42),'Aerodynamics-Cruise'!I39,Q42)</f>
        <v>7.7529326794722833</v>
      </c>
      <c r="R42" s="103">
        <f ca="1">IF(AND(Energy!$F$11=$A$3,Main!$B$43=$A42),Summary!R39,R42)</f>
        <v>6.2553891368371328</v>
      </c>
      <c r="S42" s="103">
        <f ca="1">IF(AND(Energy!$F$11=$A$3,Main!$B$43=A42),'Aerodynamics-Cruise'!W39,S42)</f>
        <v>1</v>
      </c>
      <c r="T42" s="103">
        <f ca="1">IF(AND(Energy!$F$11=$A$3,Main!$B$43=A42),'Aerodynamics-Cruise'!BL39,T42)</f>
        <v>29.904757137628156</v>
      </c>
      <c r="U42" s="103">
        <f ca="1">IF(AND(Energy!$F$11=$A$3,Main!$B$43=A42),'Propulsion-Cruise'!M39,U42)</f>
        <v>63.93955260472903</v>
      </c>
      <c r="V42" s="103">
        <f ca="1">IF(AND(Energy!$F$11=$A$3,Main!$B$43=A42),Endurance!AP39,V42)</f>
        <v>615.58970961214129</v>
      </c>
      <c r="W42" s="103">
        <f ca="1">IF(AND(Energy!$F$11=$A$3,Main!$B$43=$A42),Summary!W39,W42)</f>
        <v>1.6315789473684215</v>
      </c>
      <c r="X42" s="13">
        <f ca="1">IF(AND(Energy!$F$11=$A$3,Main!$B$43=A42),Energy!D39,X42)</f>
        <v>406.48957323705662</v>
      </c>
      <c r="Y42" s="102">
        <f ca="1">IF(AND(Energy!$F$11=$A$3,Main!$B$43=A42),'Aerodynamics-Cruise'!V39,Y42)</f>
        <v>127625.49707152128</v>
      </c>
      <c r="Z42" s="102">
        <f ca="1">IF(AND(Energy!$F$11=$A$3,Main!$B$43=$A42),Summary!Z39,Z42)</f>
        <v>96760.993136645324</v>
      </c>
      <c r="AA42" s="102">
        <f ca="1">IF(AND(Energy!$F$11=$A$3,Main!$B$43=$A42),Summary!AA39,AA42)</f>
        <v>96760.993136645324</v>
      </c>
      <c r="AB42" s="103">
        <f ca="1">IF(AND(Energy!$F$11=$A$3,Main!$B$43=$A42),Summary!AB39,AB42)</f>
        <v>6.2553891368371328</v>
      </c>
      <c r="AC42" s="103">
        <f ca="1">IF(AND(Energy!$F$11=$A$3,Main!$B$43=$A42),Summary!AC39,AC42)</f>
        <v>1.917955324227868</v>
      </c>
      <c r="AD42" s="103">
        <f ca="1">IF(AND(Energy!$F$11=$A$3,Main!$B$43=$A42),Summary!AD39,AD42)</f>
        <v>0.43225925282669497</v>
      </c>
      <c r="AE42" s="103">
        <f ca="1">IF(AND(Energy!$F$11=$A$3,Main!$B$43=$A42),Summary!AE39,AE42)</f>
        <v>1.6315789473684215</v>
      </c>
      <c r="AF42" s="103">
        <f ca="1">IF(AND(Energy!$F$11=$A$3,Main!$B$43=$A42),Summary!AF39,AF42)</f>
        <v>33.039473684210527</v>
      </c>
      <c r="AG42" s="103">
        <f ca="1">IF(AND(Energy!$F$11=$A$3,Main!$B$43=$A42),Summary!AG39,AG42)</f>
        <v>12.479599536760361</v>
      </c>
      <c r="AH42" s="103">
        <f ca="1">IF(AND(Energy!$F$11=$A$3,Main!$B$43=$A42),Summary!AH39,AH42)</f>
        <v>47</v>
      </c>
      <c r="AI42" s="103">
        <f ca="1">IF(AND(Energy!$F$11=$A$3,Main!$B$43=$A42),Summary!AI39,AI42)</f>
        <v>2.6738273353833693</v>
      </c>
      <c r="AJ42" s="103">
        <f ca="1">IF(AND(Energy!$F$11=$A$3,Main!$B$43=$A42),Summary!AJ39,AJ42)</f>
        <v>0.25692925780921916</v>
      </c>
      <c r="AK42" s="103">
        <f ca="1">IF(AND(Energy!$F$11=$A$3,Main!$B$43=$A42),Summary!AK39,AK42)</f>
        <v>0.01</v>
      </c>
      <c r="AL42" s="103">
        <f ca="1">IF(AND(Energy!$F$11=$A$3,Main!$B$43=$A42),Summary!AL39,AL42)</f>
        <v>-0.48649743827595837</v>
      </c>
      <c r="AM42" s="103">
        <f ca="1">IF(AND(Energy!$F$11=$A$3,Main!$B$43=$A42),Summary!AJ59,AM42)</f>
        <v>0</v>
      </c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</row>
    <row r="43" spans="1:55">
      <c r="A43">
        <f t="shared" si="2"/>
        <v>2</v>
      </c>
      <c r="D43" s="1">
        <f ca="1">IF(AND(Energy!$F$11=$A$3,Main!$B$43=A43),Main!C40,D43)</f>
        <v>7.5</v>
      </c>
      <c r="E43" s="103">
        <f ca="1">IF(AND(Energy!$F$11=$A$3,Main!$B$43=A43),Main!B40,E43)</f>
        <v>0.22222222222222224</v>
      </c>
      <c r="F43" s="103">
        <f ca="1">IF(Main!$D$6=1,U43,IF(Main!$D$6=2,N43,IF(Main!$D$6=3,K43,IF(Main!$D$6=4,V43,J43))))</f>
        <v>620.65263360027586</v>
      </c>
      <c r="G43" s="103">
        <f ca="1">IF(AND(Energy!$F$11=$A$3,Main!$B$43=A43),Weight!H40,G43)</f>
        <v>15</v>
      </c>
      <c r="H43" s="103">
        <f ca="1">IF(AND(Energy!$F$11=$A$3,Main!$B$43=A43),Weight!U40,H43)</f>
        <v>22.636037305147163</v>
      </c>
      <c r="I43" s="103">
        <f ca="1">IF(AND(Energy!$F$11=$A$3,Main!$B$43=A43),Weight!V40,I43)</f>
        <v>59.034305598356241</v>
      </c>
      <c r="J43" s="103">
        <f ca="1">IF(AND(Energy!$F$11=$A$3,Main!$B$43=A43),Weight!I40,J43)</f>
        <v>31.460620018209077</v>
      </c>
      <c r="K43" s="103">
        <f ca="1">IF(AND(Energy!$F$11=$A$3,Main!$B$43=A43),Weight!W40,K43)</f>
        <v>74.034308445689973</v>
      </c>
      <c r="L43" s="103">
        <f ca="1">IF(AND(Energy!$F$11=$A$3,Main!$B$43=A43),'Aerodynamics-Cruise'!BI40,L43)</f>
        <v>74.034302729813959</v>
      </c>
      <c r="M43" s="103">
        <f ca="1">IF(AND(Energy!$F$11=$A$3,Main!$B$43=A43),'Aerodynamics-Cruise'!BJ40,M43)</f>
        <v>3.3357289557803163</v>
      </c>
      <c r="N43" s="103">
        <f ca="1">IF(AND(Energy!$F$11=$A$3,Main!$B$43=A43),'Aerodynamics-Cruise'!BK40,N43)</f>
        <v>22.194340041184599</v>
      </c>
      <c r="O43" s="103">
        <f t="shared" ca="1" si="0"/>
        <v>190.96717819569409</v>
      </c>
      <c r="P43" s="103">
        <f ca="1">IF(AND(Energy!$F$11=$A$3,Main!$B$43=A43),'Aerodynamics-Cruise'!H40,P43)</f>
        <v>9.0097264569182514</v>
      </c>
      <c r="Q43" s="103">
        <f ca="1">IF(AND(Energy!$F$11=$A$3,Main!$B$43=A43),'Aerodynamics-Cruise'!I40,Q43)</f>
        <v>7.7154701986745762</v>
      </c>
      <c r="R43" s="103">
        <f ca="1">IF(AND(Energy!$F$11=$A$3,Main!$B$43=$A43),Summary!R40,R43)</f>
        <v>6.2663349407272717</v>
      </c>
      <c r="S43" s="103">
        <f ca="1">IF(AND(Energy!$F$11=$A$3,Main!$B$43=A43),'Aerodynamics-Cruise'!W40,S43)</f>
        <v>1</v>
      </c>
      <c r="T43" s="103">
        <f ca="1">IF(AND(Energy!$F$11=$A$3,Main!$B$43=A43),'Aerodynamics-Cruise'!BL40,T43)</f>
        <v>30.054005426002206</v>
      </c>
      <c r="U43" s="103">
        <f ca="1">IF(AND(Energy!$F$11=$A$3,Main!$B$43=A43),'Propulsion-Cruise'!M40,U43)</f>
        <v>64.369797241820635</v>
      </c>
      <c r="V43" s="103">
        <f ca="1">IF(AND(Energy!$F$11=$A$3,Main!$B$43=A43),Endurance!AP40,V43)</f>
        <v>620.65263360027586</v>
      </c>
      <c r="W43" s="103">
        <f ca="1">IF(AND(Energy!$F$11=$A$3,Main!$B$43=$A43),Summary!W40,W43)</f>
        <v>1.6666666666666667</v>
      </c>
      <c r="X43" s="13">
        <f ca="1">IF(AND(Energy!$F$11=$A$3,Main!$B$43=A43),Energy!D40,X43)</f>
        <v>406.61311700893793</v>
      </c>
      <c r="Y43" s="102">
        <f ca="1">IF(AND(Energy!$F$11=$A$3,Main!$B$43=A43),'Aerodynamics-Cruise'!V40,Y43)</f>
        <v>126982.64505270563</v>
      </c>
      <c r="Z43" s="102">
        <f ca="1">IF(AND(Energy!$F$11=$A$3,Main!$B$43=$A43),Summary!Z40,Z43)</f>
        <v>96292.666253595948</v>
      </c>
      <c r="AA43" s="102">
        <f ca="1">IF(AND(Energy!$F$11=$A$3,Main!$B$43=$A43),Summary!AA40,AA43)</f>
        <v>96292.666253595948</v>
      </c>
      <c r="AB43" s="103">
        <f ca="1">IF(AND(Energy!$F$11=$A$3,Main!$B$43=$A43),Summary!AB40,AB43)</f>
        <v>6.2663349407272717</v>
      </c>
      <c r="AC43" s="103">
        <f ca="1">IF(AND(Energy!$F$11=$A$3,Main!$B$43=$A43),Summary!AC40,AC43)</f>
        <v>1.8854731111345162</v>
      </c>
      <c r="AD43" s="103">
        <f ca="1">IF(AND(Energy!$F$11=$A$3,Main!$B$43=$A43),Summary!AD40,AD43)</f>
        <v>0.43252527593076046</v>
      </c>
      <c r="AE43" s="103">
        <f ca="1">IF(AND(Energy!$F$11=$A$3,Main!$B$43=$A43),Summary!AE40,AE43)</f>
        <v>1.6666666666666667</v>
      </c>
      <c r="AF43" s="103">
        <f ca="1">IF(AND(Energy!$F$11=$A$3,Main!$B$43=$A43),Summary!AF40,AF43)</f>
        <v>33.75</v>
      </c>
      <c r="AG43" s="103">
        <f ca="1">IF(AND(Energy!$F$11=$A$3,Main!$B$43=$A43),Summary!AG40,AG43)</f>
        <v>12.541933545304731</v>
      </c>
      <c r="AH43" s="103">
        <f ca="1">IF(AND(Energy!$F$11=$A$3,Main!$B$43=$A43),Summary!AH40,AH43)</f>
        <v>47</v>
      </c>
      <c r="AI43" s="103">
        <f ca="1">IF(AND(Energy!$F$11=$A$3,Main!$B$43=$A43),Summary!AI40,AI43)</f>
        <v>2.6727259775540206</v>
      </c>
      <c r="AJ43" s="103">
        <f ca="1">IF(AND(Energy!$F$11=$A$3,Main!$B$43=$A43),Summary!AJ40,AJ43)</f>
        <v>0.25729326420622151</v>
      </c>
      <c r="AK43" s="103">
        <f ca="1">IF(AND(Energy!$F$11=$A$3,Main!$B$43=$A43),Summary!AK40,AK43)</f>
        <v>0.01</v>
      </c>
      <c r="AL43" s="103">
        <f ca="1">IF(AND(Energy!$F$11=$A$3,Main!$B$43=$A43),Summary!AL40,AL43)</f>
        <v>-0.48580915070234953</v>
      </c>
      <c r="AM43" s="103">
        <f ca="1">IF(AND(Energy!$F$11=$A$3,Main!$B$43=$A43),Summary!AJ60,AM43)</f>
        <v>0</v>
      </c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</row>
    <row r="44" spans="1:55">
      <c r="A44" s="7">
        <f>A24+1</f>
        <v>3</v>
      </c>
      <c r="B44" s="100"/>
      <c r="C44" s="100"/>
      <c r="D44" s="1">
        <f ca="1">IF(AND(Energy!$F$11=$A$3,Main!$B$43=A44),Main!C21,D44)</f>
        <v>4.5</v>
      </c>
      <c r="E44" s="103">
        <f ca="1">IF(AND(Energy!$F$11=$A$3,Main!$B$43=A44),Main!B21,E44)</f>
        <v>0.24444444444444446</v>
      </c>
      <c r="F44" s="103">
        <f ca="1">IF(Main!$D$6=1,U44,IF(Main!$D$6=2,N44,IF(Main!$D$6=3,K44,IF(Main!$D$6=4,V44,J44))))</f>
        <v>606.23501268290272</v>
      </c>
      <c r="G44" s="103">
        <f ca="1">IF(AND(Energy!$F$11=$A$3,Main!$B$43=A44),Weight!H21,G44)</f>
        <v>15</v>
      </c>
      <c r="H44" s="103">
        <f ca="1">IF(AND(Energy!$F$11=$A$3,Main!$B$43=A44),Weight!U21,H44)</f>
        <v>14.220178211995602</v>
      </c>
      <c r="I44" s="103">
        <f ca="1">IF(AND(Energy!$F$11=$A$3,Main!$B$43=A44),Weight!V21,I44)</f>
        <v>50.039563014397203</v>
      </c>
      <c r="J44" s="103">
        <f ca="1">IF(AND(Energy!$F$11=$A$3,Main!$B$43=A44),Weight!I21,J44)</f>
        <v>30.881736527401603</v>
      </c>
      <c r="K44" s="103">
        <f ca="1">IF(AND(Energy!$F$11=$A$3,Main!$B$43=A44),Weight!W21,K44)</f>
        <v>65.039581295999156</v>
      </c>
      <c r="L44" s="103">
        <f ca="1">IF(AND(Energy!$F$11=$A$3,Main!$B$43=A44),'Aerodynamics-Cruise'!BI21,L44)</f>
        <v>65.039544599128462</v>
      </c>
      <c r="M44" s="103">
        <f ca="1">IF(AND(Energy!$F$11=$A$3,Main!$B$43=A44),'Aerodynamics-Cruise'!BJ21,M44)</f>
        <v>3.0238688569722889</v>
      </c>
      <c r="N44" s="103">
        <f ca="1">IF(AND(Energy!$F$11=$A$3,Main!$B$43=A44),'Aerodynamics-Cruise'!BK21,N44)</f>
        <v>21.508718689689026</v>
      </c>
      <c r="O44" s="103">
        <f t="shared" ca="1" si="0"/>
        <v>173.46157499013867</v>
      </c>
      <c r="P44" s="103">
        <f ca="1">IF(AND(Energy!$F$11=$A$3,Main!$B$43=A44),'Aerodynamics-Cruise'!H21,P44)</f>
        <v>10.40341004835869</v>
      </c>
      <c r="Q44" s="103">
        <f ca="1">IF(AND(Energy!$F$11=$A$3,Main!$B$43=A44),'Aerodynamics-Cruise'!I21,Q44)</f>
        <v>8.8154853822120245</v>
      </c>
      <c r="R44" s="103">
        <f ca="1">IF(AND(Energy!$F$11=$A$3,Main!$B$43=$A44),Summary!R21,R44)</f>
        <v>7.191937302541664</v>
      </c>
      <c r="S44" s="103">
        <f ca="1">IF(AND(Energy!$F$11=$A$3,Main!$B$43=A44),'Aerodynamics-Cruise'!W21,S44)</f>
        <v>1</v>
      </c>
      <c r="T44" s="103">
        <f ca="1">IF(AND(Energy!$F$11=$A$3,Main!$B$43=A44),'Aerodynamics-Cruise'!BL21,T44)</f>
        <v>31.458547651544418</v>
      </c>
      <c r="U44" s="103">
        <f ca="1">IF(AND(Energy!$F$11=$A$3,Main!$B$43=A44),'Propulsion-Cruise'!M21,U44)</f>
        <v>64.752014803052759</v>
      </c>
      <c r="V44" s="103">
        <f ca="1">IF(AND(Energy!$F$11=$A$3,Main!$B$43=A44),Endurance!AP21,V44)</f>
        <v>606.23501268290272</v>
      </c>
      <c r="W44" s="103">
        <f ca="1">IF(AND(Energy!$F$11=$A$3,Main!$B$43=$A44),Summary!W21,W44)</f>
        <v>1.1000000000000001</v>
      </c>
      <c r="X44" s="13">
        <f ca="1">IF(AND(Energy!$F$11=$A$3,Main!$B$43=A44),Energy!D21,X44)</f>
        <v>406.29198424803695</v>
      </c>
      <c r="Y44" s="102">
        <f ca="1">IF(AND(Energy!$F$11=$A$3,Main!$B$43=A44),'Aerodynamics-Cruise'!V21,Y44)</f>
        <v>161287.66894398909</v>
      </c>
      <c r="Z44" s="102">
        <f ca="1">IF(AND(Energy!$F$11=$A$3,Main!$B$43=$A44),Summary!Z21,Z44)</f>
        <v>121073.31322559828</v>
      </c>
      <c r="AA44" s="102">
        <f ca="1">IF(AND(Energy!$F$11=$A$3,Main!$B$43=$A44),Summary!AA21,AA44)</f>
        <v>121073.31322559828</v>
      </c>
      <c r="AB44" s="103">
        <f ca="1">IF(AND(Energy!$F$11=$A$3,Main!$B$43=$A44),Summary!AB21,AB44)</f>
        <v>7.191937302541664</v>
      </c>
      <c r="AC44" s="103">
        <f ca="1">IF(AND(Energy!$F$11=$A$3,Main!$B$43=$A44),Summary!AC21,AC44)</f>
        <v>2.4296155764603338</v>
      </c>
      <c r="AD44" s="103">
        <f ca="1">IF(AND(Energy!$F$11=$A$3,Main!$B$43=$A44),Summary!AD21,AD44)</f>
        <v>0.45871651591007939</v>
      </c>
      <c r="AE44" s="103">
        <f ca="1">IF(AND(Energy!$F$11=$A$3,Main!$B$43=$A44),Summary!AE21,AE44)</f>
        <v>1.1000000000000001</v>
      </c>
      <c r="AF44" s="103">
        <f ca="1">IF(AND(Energy!$F$11=$A$3,Main!$B$43=$A44),Summary!AF21,AF44)</f>
        <v>18.409090909090907</v>
      </c>
      <c r="AG44" s="103">
        <f ca="1">IF(AND(Energy!$F$11=$A$3,Main!$B$43=$A44),Summary!AG21,AG44)</f>
        <v>12.333081836377646</v>
      </c>
      <c r="AH44" s="103">
        <f ca="1">IF(AND(Energy!$F$11=$A$3,Main!$B$43=$A44),Summary!AH21,AH44)</f>
        <v>47</v>
      </c>
      <c r="AI44" s="103">
        <f ca="1">IF(AND(Energy!$F$11=$A$3,Main!$B$43=$A44),Summary!AI21,AI44)</f>
        <v>2.7296984193113167</v>
      </c>
      <c r="AJ44" s="103">
        <f ca="1">IF(AND(Energy!$F$11=$A$3,Main!$B$43=$A44),Summary!AJ21,AJ44)</f>
        <v>0.22633505321982686</v>
      </c>
      <c r="AK44" s="103">
        <f ca="1">IF(AND(Energy!$F$11=$A$3,Main!$B$43=$A44),Summary!AK21,AK44)</f>
        <v>0.01</v>
      </c>
      <c r="AL44" s="103">
        <f ca="1">IF(AND(Energy!$F$11=$A$3,Main!$B$43=$A44),Summary!AL21,AL44)</f>
        <v>-0.55224036496341367</v>
      </c>
      <c r="AM44" s="103">
        <f ca="1">IF(AND(Energy!$F$11=$A$3,Main!$B$43=$A44),Summary!AJ61,AM44)</f>
        <v>0</v>
      </c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</row>
    <row r="45" spans="1:55">
      <c r="A45">
        <f>A44</f>
        <v>3</v>
      </c>
      <c r="B45" s="100"/>
      <c r="C45" s="100"/>
      <c r="D45" s="1">
        <f ca="1">IF(AND(Energy!$F$11=$A$3,Main!$B$43=A45),Main!C22,D45)</f>
        <v>4.6578947368421053</v>
      </c>
      <c r="E45" s="103">
        <f ca="1">IF(AND(Energy!$F$11=$A$3,Main!$B$43=A45),Main!B22,E45)</f>
        <v>0.24444444444444446</v>
      </c>
      <c r="F45" s="103">
        <f ca="1">IF(Main!$D$6=1,U45,IF(Main!$D$6=2,N45,IF(Main!$D$6=3,K45,IF(Main!$D$6=4,V45,J45))))</f>
        <v>597.6428008121195</v>
      </c>
      <c r="G45" s="103">
        <f ca="1">IF(AND(Energy!$F$11=$A$3,Main!$B$43=A45),Weight!H22,G45)</f>
        <v>15</v>
      </c>
      <c r="H45" s="103">
        <f ca="1">IF(AND(Energy!$F$11=$A$3,Main!$B$43=A45),Weight!U22,H45)</f>
        <v>14.628248615181633</v>
      </c>
      <c r="I45" s="103">
        <f ca="1">IF(AND(Energy!$F$11=$A$3,Main!$B$43=A45),Weight!V22,I45)</f>
        <v>50.050501957620028</v>
      </c>
      <c r="J45" s="103">
        <f ca="1">IF(AND(Energy!$F$11=$A$3,Main!$B$43=A45),Weight!I22,J45)</f>
        <v>30.484605067438398</v>
      </c>
      <c r="K45" s="103">
        <f ca="1">IF(AND(Energy!$F$11=$A$3,Main!$B$43=A45),Weight!W22,K45)</f>
        <v>65.050519199144176</v>
      </c>
      <c r="L45" s="103">
        <f ca="1">IF(AND(Energy!$F$11=$A$3,Main!$B$43=A45),'Aerodynamics-Cruise'!BI22,L45)</f>
        <v>65.050484588872877</v>
      </c>
      <c r="M45" s="103">
        <f ca="1">IF(AND(Energy!$F$11=$A$3,Main!$B$43=A45),'Aerodynamics-Cruise'!BJ22,M45)</f>
        <v>3.0115755425334054</v>
      </c>
      <c r="N45" s="103">
        <f ca="1">IF(AND(Energy!$F$11=$A$3,Main!$B$43=A45),'Aerodynamics-Cruise'!BK22,N45)</f>
        <v>21.600150376487299</v>
      </c>
      <c r="O45" s="103">
        <f t="shared" ca="1" si="0"/>
        <v>174.21359498154285</v>
      </c>
      <c r="P45" s="103">
        <f ca="1">IF(AND(Energy!$F$11=$A$3,Main!$B$43=A45),'Aerodynamics-Cruise'!H22,P45)</f>
        <v>10.22636903656481</v>
      </c>
      <c r="Q45" s="103">
        <f ca="1">IF(AND(Energy!$F$11=$A$3,Main!$B$43=A45),'Aerodynamics-Cruise'!I22,Q45)</f>
        <v>8.6715514864662477</v>
      </c>
      <c r="R45" s="103">
        <f ca="1">IF(AND(Energy!$F$11=$A$3,Main!$B$43=$A45),Summary!R22,R45)</f>
        <v>6.9525590791055158</v>
      </c>
      <c r="S45" s="103">
        <f ca="1">IF(AND(Energy!$F$11=$A$3,Main!$B$43=A45),'Aerodynamics-Cruise'!W22,S45)</f>
        <v>1</v>
      </c>
      <c r="T45" s="103">
        <f ca="1">IF(AND(Energy!$F$11=$A$3,Main!$B$43=A45),'Aerodynamics-Cruise'!BL22,T45)</f>
        <v>30.797482879439485</v>
      </c>
      <c r="U45" s="103">
        <f ca="1">IF(AND(Energy!$F$11=$A$3,Main!$B$43=A45),'Propulsion-Cruise'!M22,U45)</f>
        <v>63.670504057358045</v>
      </c>
      <c r="V45" s="103">
        <f ca="1">IF(AND(Energy!$F$11=$A$3,Main!$B$43=A45),Endurance!AP22,V45)</f>
        <v>597.6428008121195</v>
      </c>
      <c r="W45" s="103">
        <f ca="1">IF(AND(Energy!$F$11=$A$3,Main!$B$43=$A45),Summary!W22,W45)</f>
        <v>1.1385964912280704</v>
      </c>
      <c r="X45" s="13">
        <f ca="1">IF(AND(Energy!$F$11=$A$3,Main!$B$43=A45),Energy!D22,X45)</f>
        <v>406.07167182246468</v>
      </c>
      <c r="Y45" s="102">
        <f ca="1">IF(AND(Energy!$F$11=$A$3,Main!$B$43=A45),'Aerodynamics-Cruise'!V22,Y45)</f>
        <v>158542.94082436402</v>
      </c>
      <c r="Z45" s="102">
        <f ca="1">IF(AND(Energy!$F$11=$A$3,Main!$B$43=$A45),Summary!Z22,Z45)</f>
        <v>119093.24027337514</v>
      </c>
      <c r="AA45" s="102">
        <f ca="1">IF(AND(Energy!$F$11=$A$3,Main!$B$43=$A45),Summary!AA22,AA45)</f>
        <v>119093.24027337514</v>
      </c>
      <c r="AB45" s="103">
        <f ca="1">IF(AND(Energy!$F$11=$A$3,Main!$B$43=$A45),Summary!AB22,AB45)</f>
        <v>6.9525590791055158</v>
      </c>
      <c r="AC45" s="103">
        <f ca="1">IF(AND(Energy!$F$11=$A$3,Main!$B$43=$A45),Summary!AC22,AC45)</f>
        <v>2.4020903271334695</v>
      </c>
      <c r="AD45" s="103">
        <f ca="1">IF(AND(Energy!$F$11=$A$3,Main!$B$43=$A45),Summary!AD22,AD45)</f>
        <v>0.45399517529310035</v>
      </c>
      <c r="AE45" s="103">
        <f ca="1">IF(AND(Energy!$F$11=$A$3,Main!$B$43=$A45),Summary!AE22,AE45)</f>
        <v>1.1385964912280704</v>
      </c>
      <c r="AF45" s="103">
        <f ca="1">IF(AND(Energy!$F$11=$A$3,Main!$B$43=$A45),Summary!AF22,AF45)</f>
        <v>19.055023923444974</v>
      </c>
      <c r="AG45" s="103">
        <f ca="1">IF(AND(Energy!$F$11=$A$3,Main!$B$43=$A45),Summary!AG22,AG45)</f>
        <v>12.230133420971379</v>
      </c>
      <c r="AH45" s="103">
        <f ca="1">IF(AND(Energy!$F$11=$A$3,Main!$B$43=$A45),Summary!AH22,AH45)</f>
        <v>47</v>
      </c>
      <c r="AI45" s="103">
        <f ca="1">IF(AND(Energy!$F$11=$A$3,Main!$B$43=$A45),Summary!AI22,AI45)</f>
        <v>2.7258692716121193</v>
      </c>
      <c r="AJ45" s="103">
        <f ca="1">IF(AND(Energy!$F$11=$A$3,Main!$B$43=$A45),Summary!AJ22,AJ45)</f>
        <v>0.2273536163097005</v>
      </c>
      <c r="AK45" s="103">
        <f ca="1">IF(AND(Energy!$F$11=$A$3,Main!$B$43=$A45),Summary!AK22,AK45)</f>
        <v>0.01</v>
      </c>
      <c r="AL45" s="103">
        <f ca="1">IF(AND(Energy!$F$11=$A$3,Main!$B$43=$A45),Summary!AL22,AL45)</f>
        <v>-0.54976625572964233</v>
      </c>
      <c r="AM45" s="103">
        <f ca="1">IF(AND(Energy!$F$11=$A$3,Main!$B$43=$A45),Summary!AJ62,AM45)</f>
        <v>0</v>
      </c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</row>
    <row r="46" spans="1:55">
      <c r="A46">
        <f t="shared" ref="A46:A63" si="3">A45</f>
        <v>3</v>
      </c>
      <c r="B46" s="100"/>
      <c r="C46" s="100"/>
      <c r="D46" s="1">
        <f ca="1">IF(AND(Energy!$F$11=$A$3,Main!$B$43=A46),Main!C23,D46)</f>
        <v>4.8157894736842106</v>
      </c>
      <c r="E46" s="103">
        <f ca="1">IF(AND(Energy!$F$11=$A$3,Main!$B$43=A46),Main!B23,E46)</f>
        <v>0.24444444444444446</v>
      </c>
      <c r="F46" s="103">
        <f ca="1">IF(Main!$D$6=1,U46,IF(Main!$D$6=2,N46,IF(Main!$D$6=3,K46,IF(Main!$D$6=4,V46,J46))))</f>
        <v>590.81456660938625</v>
      </c>
      <c r="G46" s="103">
        <f ca="1">IF(AND(Energy!$F$11=$A$3,Main!$B$43=A46),Weight!H23,G46)</f>
        <v>15</v>
      </c>
      <c r="H46" s="103">
        <f ca="1">IF(AND(Energy!$F$11=$A$3,Main!$B$43=A46),Weight!U23,H46)</f>
        <v>15.052743833939473</v>
      </c>
      <c r="I46" s="103">
        <f ca="1">IF(AND(Energy!$F$11=$A$3,Main!$B$43=A46),Weight!V23,I46)</f>
        <v>50.158035552764275</v>
      </c>
      <c r="J46" s="103">
        <f ca="1">IF(AND(Energy!$F$11=$A$3,Main!$B$43=A46),Weight!I23,J46)</f>
        <v>30.167643443824801</v>
      </c>
      <c r="K46" s="103">
        <f ca="1">IF(AND(Energy!$F$11=$A$3,Main!$B$43=A46),Weight!W23,K46)</f>
        <v>65.158051933679744</v>
      </c>
      <c r="L46" s="103">
        <f ca="1">IF(AND(Energy!$F$11=$A$3,Main!$B$43=A46),'Aerodynamics-Cruise'!BI23,L46)</f>
        <v>65.15801904976567</v>
      </c>
      <c r="M46" s="103">
        <f ca="1">IF(AND(Energy!$F$11=$A$3,Main!$B$43=A46),'Aerodynamics-Cruise'!BJ23,M46)</f>
        <v>3.0047784964180222</v>
      </c>
      <c r="N46" s="103">
        <f ca="1">IF(AND(Energy!$F$11=$A$3,Main!$B$43=A46),'Aerodynamics-Cruise'!BK23,N46)</f>
        <v>21.684799437775578</v>
      </c>
      <c r="O46" s="103">
        <f t="shared" ca="1" si="0"/>
        <v>175.04082270621589</v>
      </c>
      <c r="P46" s="103">
        <f ca="1">IF(AND(Energy!$F$11=$A$3,Main!$B$43=A46),'Aerodynamics-Cruise'!H23,P46)</f>
        <v>10.065589860234443</v>
      </c>
      <c r="Q46" s="103">
        <f ca="1">IF(AND(Energy!$F$11=$A$3,Main!$B$43=A46),'Aerodynamics-Cruise'!I23,Q46)</f>
        <v>8.5407492820552502</v>
      </c>
      <c r="R46" s="103">
        <f ca="1">IF(AND(Energy!$F$11=$A$3,Main!$B$43=$A46),Summary!R23,R46)</f>
        <v>6.7492307872631967</v>
      </c>
      <c r="S46" s="103">
        <f ca="1">IF(AND(Energy!$F$11=$A$3,Main!$B$43=A46),'Aerodynamics-Cruise'!W23,S46)</f>
        <v>1</v>
      </c>
      <c r="T46" s="103">
        <f ca="1">IF(AND(Energy!$F$11=$A$3,Main!$B$43=A46),'Aerodynamics-Cruise'!BL23,T46)</f>
        <v>30.244867965795738</v>
      </c>
      <c r="U46" s="103">
        <f ca="1">IF(AND(Energy!$F$11=$A$3,Main!$B$43=A46),'Propulsion-Cruise'!M23,U46)</f>
        <v>62.786007991446617</v>
      </c>
      <c r="V46" s="103">
        <f ca="1">IF(AND(Energy!$F$11=$A$3,Main!$B$43=A46),Endurance!AP23,V46)</f>
        <v>590.81456660938625</v>
      </c>
      <c r="W46" s="103">
        <f ca="1">IF(AND(Energy!$F$11=$A$3,Main!$B$43=$A46),Summary!W23,W46)</f>
        <v>1.1771929824561405</v>
      </c>
      <c r="X46" s="13">
        <f ca="1">IF(AND(Energy!$F$11=$A$3,Main!$B$43=A46),Energy!D23,X46)</f>
        <v>405.89583435255025</v>
      </c>
      <c r="Y46" s="102">
        <f ca="1">IF(AND(Energy!$F$11=$A$3,Main!$B$43=A46),'Aerodynamics-Cruise'!V23,Y46)</f>
        <v>156050.3255718151</v>
      </c>
      <c r="Z46" s="102">
        <f ca="1">IF(AND(Energy!$F$11=$A$3,Main!$B$43=$A46),Summary!Z23,Z46)</f>
        <v>117293.86553584933</v>
      </c>
      <c r="AA46" s="102">
        <f ca="1">IF(AND(Energy!$F$11=$A$3,Main!$B$43=$A46),Summary!AA23,AA46)</f>
        <v>117293.86553584933</v>
      </c>
      <c r="AB46" s="103">
        <f ca="1">IF(AND(Energy!$F$11=$A$3,Main!$B$43=$A46),Summary!AB23,AB46)</f>
        <v>6.7492307872631967</v>
      </c>
      <c r="AC46" s="103">
        <f ca="1">IF(AND(Energy!$F$11=$A$3,Main!$B$43=$A46),Summary!AC23,AC46)</f>
        <v>2.3724315707855701</v>
      </c>
      <c r="AD46" s="103">
        <f ca="1">IF(AND(Energy!$F$11=$A$3,Main!$B$43=$A46),Summary!AD23,AD46)</f>
        <v>0.44989020938679763</v>
      </c>
      <c r="AE46" s="103">
        <f ca="1">IF(AND(Energy!$F$11=$A$3,Main!$B$43=$A46),Summary!AE23,AE46)</f>
        <v>1.1771929824561405</v>
      </c>
      <c r="AF46" s="103">
        <f ca="1">IF(AND(Energy!$F$11=$A$3,Main!$B$43=$A46),Summary!AF23,AF46)</f>
        <v>19.700956937799042</v>
      </c>
      <c r="AG46" s="103">
        <f ca="1">IF(AND(Energy!$F$11=$A$3,Main!$B$43=$A46),Summary!AG23,AG46)</f>
        <v>12.148028767996513</v>
      </c>
      <c r="AH46" s="103">
        <f ca="1">IF(AND(Energy!$F$11=$A$3,Main!$B$43=$A46),Summary!AH23,AH46)</f>
        <v>47</v>
      </c>
      <c r="AI46" s="103">
        <f ca="1">IF(AND(Energy!$F$11=$A$3,Main!$B$43=$A46),Summary!AI23,AI46)</f>
        <v>2.7223392749294901</v>
      </c>
      <c r="AJ46" s="103">
        <f ca="1">IF(AND(Energy!$F$11=$A$3,Main!$B$43=$A46),Summary!AJ23,AJ46)</f>
        <v>0.22830103566154739</v>
      </c>
      <c r="AK46" s="103">
        <f ca="1">IF(AND(Energy!$F$11=$A$3,Main!$B$43=$A46),Summary!AK23,AK46)</f>
        <v>0.01</v>
      </c>
      <c r="AL46" s="103">
        <f ca="1">IF(AND(Energy!$F$11=$A$3,Main!$B$43=$A46),Summary!AL23,AL46)</f>
        <v>-0.54748477018266406</v>
      </c>
      <c r="AM46" s="103">
        <f ca="1">IF(AND(Energy!$F$11=$A$3,Main!$B$43=$A46),Summary!AJ63,AM46)</f>
        <v>0</v>
      </c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</row>
    <row r="47" spans="1:55">
      <c r="A47">
        <f t="shared" si="3"/>
        <v>3</v>
      </c>
      <c r="B47" s="100"/>
      <c r="C47" s="100"/>
      <c r="D47" s="1">
        <f ca="1">IF(AND(Energy!$F$11=$A$3,Main!$B$43=A47),Main!C24,D47)</f>
        <v>4.9736842105263159</v>
      </c>
      <c r="E47" s="103">
        <f ca="1">IF(AND(Energy!$F$11=$A$3,Main!$B$43=A47),Main!B24,E47)</f>
        <v>0.24444444444444446</v>
      </c>
      <c r="F47" s="103">
        <f ca="1">IF(Main!$D$6=1,U47,IF(Main!$D$6=2,N47,IF(Main!$D$6=3,K47,IF(Main!$D$6=4,V47,J47))))</f>
        <v>585.48715110448666</v>
      </c>
      <c r="G47" s="103">
        <f ca="1">IF(AND(Energy!$F$11=$A$3,Main!$B$43=A47),Weight!H24,G47)</f>
        <v>15</v>
      </c>
      <c r="H47" s="103">
        <f ca="1">IF(AND(Energy!$F$11=$A$3,Main!$B$43=A47),Weight!U24,H47)</f>
        <v>15.492928762742338</v>
      </c>
      <c r="I47" s="103">
        <f ca="1">IF(AND(Energy!$F$11=$A$3,Main!$B$43=A47),Weight!V24,I47)</f>
        <v>50.34944096851784</v>
      </c>
      <c r="J47" s="103">
        <f ca="1">IF(AND(Energy!$F$11=$A$3,Main!$B$43=A47),Weight!I24,J47)</f>
        <v>29.918863930775501</v>
      </c>
      <c r="K47" s="103">
        <f ca="1">IF(AND(Energy!$F$11=$A$3,Main!$B$43=A47),Weight!W24,K47)</f>
        <v>65.349456632421521</v>
      </c>
      <c r="L47" s="103">
        <f ca="1">IF(AND(Energy!$F$11=$A$3,Main!$B$43=A47),'Aerodynamics-Cruise'!BI24,L47)</f>
        <v>65.349425186631876</v>
      </c>
      <c r="M47" s="103">
        <f ca="1">IF(AND(Energy!$F$11=$A$3,Main!$B$43=A47),'Aerodynamics-Cruise'!BJ24,M47)</f>
        <v>3.0027119377773293</v>
      </c>
      <c r="N47" s="103">
        <f ca="1">IF(AND(Energy!$F$11=$A$3,Main!$B$43=A47),'Aerodynamics-Cruise'!BK24,N47)</f>
        <v>21.763468005194298</v>
      </c>
      <c r="O47" s="103">
        <f t="shared" ca="1" si="0"/>
        <v>175.93368013033995</v>
      </c>
      <c r="P47" s="103">
        <f ca="1">IF(AND(Energy!$F$11=$A$3,Main!$B$43=A47),'Aerodynamics-Cruise'!H24,P47)</f>
        <v>9.919025849907122</v>
      </c>
      <c r="Q47" s="103">
        <f ca="1">IF(AND(Energy!$F$11=$A$3,Main!$B$43=A47),'Aerodynamics-Cruise'!I24,Q47)</f>
        <v>8.4214366877401972</v>
      </c>
      <c r="R47" s="103">
        <f ca="1">IF(AND(Energy!$F$11=$A$3,Main!$B$43=$A47),Summary!R24,R47)</f>
        <v>6.5760186462474053</v>
      </c>
      <c r="S47" s="103">
        <f ca="1">IF(AND(Energy!$F$11=$A$3,Main!$B$43=A47),'Aerodynamics-Cruise'!W24,S47)</f>
        <v>1</v>
      </c>
      <c r="T47" s="103">
        <f ca="1">IF(AND(Energy!$F$11=$A$3,Main!$B$43=A47),'Aerodynamics-Cruise'!BL24,T47)</f>
        <v>29.783977330638034</v>
      </c>
      <c r="U47" s="103">
        <f ca="1">IF(AND(Energy!$F$11=$A$3,Main!$B$43=A47),'Propulsion-Cruise'!M24,U47)</f>
        <v>62.068772093498787</v>
      </c>
      <c r="V47" s="103">
        <f ca="1">IF(AND(Energy!$F$11=$A$3,Main!$B$43=A47),Endurance!AP24,V47)</f>
        <v>585.48715110448666</v>
      </c>
      <c r="W47" s="103">
        <f ca="1">IF(AND(Energy!$F$11=$A$3,Main!$B$43=$A47),Summary!W24,W47)</f>
        <v>1.2157894736842108</v>
      </c>
      <c r="X47" s="13">
        <f ca="1">IF(AND(Energy!$F$11=$A$3,Main!$B$43=A47),Energy!D24,X47)</f>
        <v>405.75782153221547</v>
      </c>
      <c r="Y47" s="102">
        <f ca="1">IF(AND(Energy!$F$11=$A$3,Main!$B$43=A47),'Aerodynamics-Cruise'!V24,Y47)</f>
        <v>153778.09296088328</v>
      </c>
      <c r="Z47" s="102">
        <f ca="1">IF(AND(Energy!$F$11=$A$3,Main!$B$43=$A47),Summary!Z24,Z47)</f>
        <v>115652.58748100833</v>
      </c>
      <c r="AA47" s="102">
        <f ca="1">IF(AND(Energy!$F$11=$A$3,Main!$B$43=$A47),Summary!AA24,AA47)</f>
        <v>115652.58748100833</v>
      </c>
      <c r="AB47" s="103">
        <f ca="1">IF(AND(Energy!$F$11=$A$3,Main!$B$43=$A47),Summary!AB24,AB47)</f>
        <v>6.5760186462474053</v>
      </c>
      <c r="AC47" s="103">
        <f ca="1">IF(AND(Energy!$F$11=$A$3,Main!$B$43=$A47),Summary!AC24,AC47)</f>
        <v>2.3411621294874823</v>
      </c>
      <c r="AD47" s="103">
        <f ca="1">IF(AND(Energy!$F$11=$A$3,Main!$B$43=$A47),Summary!AD24,AD47)</f>
        <v>0.44632155179684435</v>
      </c>
      <c r="AE47" s="103">
        <f ca="1">IF(AND(Energy!$F$11=$A$3,Main!$B$43=$A47),Summary!AE24,AE47)</f>
        <v>1.2157894736842108</v>
      </c>
      <c r="AF47" s="103">
        <f ca="1">IF(AND(Energy!$F$11=$A$3,Main!$B$43=$A47),Summary!AF24,AF47)</f>
        <v>20.346889952153109</v>
      </c>
      <c r="AG47" s="103">
        <f ca="1">IF(AND(Energy!$F$11=$A$3,Main!$B$43=$A47),Summary!AG24,AG47)</f>
        <v>12.083799417685087</v>
      </c>
      <c r="AH47" s="103">
        <f ca="1">IF(AND(Energy!$F$11=$A$3,Main!$B$43=$A47),Summary!AH24,AH47)</f>
        <v>47</v>
      </c>
      <c r="AI47" s="103">
        <f ca="1">IF(AND(Energy!$F$11=$A$3,Main!$B$43=$A47),Summary!AI24,AI47)</f>
        <v>2.7190764479627814</v>
      </c>
      <c r="AJ47" s="103">
        <f ca="1">IF(AND(Energy!$F$11=$A$3,Main!$B$43=$A47),Summary!AJ24,AJ47)</f>
        <v>0.22918403760784065</v>
      </c>
      <c r="AK47" s="103">
        <f ca="1">IF(AND(Energy!$F$11=$A$3,Main!$B$43=$A47),Summary!AK24,AK47)</f>
        <v>0.01</v>
      </c>
      <c r="AL47" s="103">
        <f ca="1">IF(AND(Energy!$F$11=$A$3,Main!$B$43=$A47),Summary!AL24,AL47)</f>
        <v>-0.54537538804811458</v>
      </c>
      <c r="AM47" s="103">
        <f ca="1">IF(AND(Energy!$F$11=$A$3,Main!$B$43=$A47),Summary!AJ64,AM47)</f>
        <v>0</v>
      </c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</row>
    <row r="48" spans="1:55">
      <c r="A48">
        <f t="shared" si="3"/>
        <v>3</v>
      </c>
      <c r="D48" s="1">
        <f ca="1">IF(AND(Energy!$F$11=$A$3,Main!$B$43=A48),Main!C25,D48)</f>
        <v>5.1315789473684212</v>
      </c>
      <c r="E48" s="103">
        <f ca="1">IF(AND(Energy!$F$11=$A$3,Main!$B$43=A48),Main!B25,E48)</f>
        <v>0.24444444444444446</v>
      </c>
      <c r="F48" s="103">
        <f ca="1">IF(Main!$D$6=1,U48,IF(Main!$D$6=2,N48,IF(Main!$D$6=3,K48,IF(Main!$D$6=4,V48,J48))))</f>
        <v>581.45189743687695</v>
      </c>
      <c r="G48" s="103">
        <f ca="1">IF(AND(Energy!$F$11=$A$3,Main!$B$43=A48),Weight!H25,G48)</f>
        <v>15</v>
      </c>
      <c r="H48" s="103">
        <f ca="1">IF(AND(Energy!$F$11=$A$3,Main!$B$43=A48),Weight!U25,H48)</f>
        <v>15.948242835271799</v>
      </c>
      <c r="I48" s="103">
        <f ca="1">IF(AND(Energy!$F$11=$A$3,Main!$B$43=A48),Weight!V25,I48)</f>
        <v>50.61465324783407</v>
      </c>
      <c r="J48" s="103">
        <f ca="1">IF(AND(Energy!$F$11=$A$3,Main!$B$43=A48),Weight!I25,J48)</f>
        <v>29.728762137562267</v>
      </c>
      <c r="K48" s="103">
        <f ca="1">IF(AND(Energy!$F$11=$A$3,Main!$B$43=A48),Weight!W25,K48)</f>
        <v>65.614668311696903</v>
      </c>
      <c r="L48" s="103">
        <f ca="1">IF(AND(Energy!$F$11=$A$3,Main!$B$43=A48),'Aerodynamics-Cruise'!BI25,L48)</f>
        <v>65.614638069248585</v>
      </c>
      <c r="M48" s="103">
        <f ca="1">IF(AND(Energy!$F$11=$A$3,Main!$B$43=A48),'Aerodynamics-Cruise'!BJ25,M48)</f>
        <v>3.0047601412846299</v>
      </c>
      <c r="N48" s="103">
        <f ca="1">IF(AND(Energy!$F$11=$A$3,Main!$B$43=A48),'Aerodynamics-Cruise'!BK25,N48)</f>
        <v>21.836897117916457</v>
      </c>
      <c r="O48" s="103">
        <f t="shared" ca="1" si="0"/>
        <v>176.88511846074945</v>
      </c>
      <c r="P48" s="103">
        <f ca="1">IF(AND(Energy!$F$11=$A$3,Main!$B$43=A48),'Aerodynamics-Cruise'!H25,P48)</f>
        <v>9.7849917566285622</v>
      </c>
      <c r="Q48" s="103">
        <f ca="1">IF(AND(Energy!$F$11=$A$3,Main!$B$43=A48),'Aerodynamics-Cruise'!I25,Q48)</f>
        <v>8.3122605366364297</v>
      </c>
      <c r="R48" s="103">
        <f ca="1">IF(AND(Energy!$F$11=$A$3,Main!$B$43=$A48),Summary!R25,R48)</f>
        <v>6.4282927525257065</v>
      </c>
      <c r="S48" s="103">
        <f ca="1">IF(AND(Energy!$F$11=$A$3,Main!$B$43=A48),'Aerodynamics-Cruise'!W25,S48)</f>
        <v>1</v>
      </c>
      <c r="T48" s="103">
        <f ca="1">IF(AND(Energy!$F$11=$A$3,Main!$B$43=A48),'Aerodynamics-Cruise'!BL25,T48)</f>
        <v>29.401553213116177</v>
      </c>
      <c r="U48" s="103">
        <f ca="1">IF(AND(Energy!$F$11=$A$3,Main!$B$43=A48),'Propulsion-Cruise'!M25,U48)</f>
        <v>61.495195543634786</v>
      </c>
      <c r="V48" s="103">
        <f ca="1">IF(AND(Energy!$F$11=$A$3,Main!$B$43=A48),Endurance!AP25,V48)</f>
        <v>581.45189743687695</v>
      </c>
      <c r="W48" s="103">
        <f ca="1">IF(AND(Energy!$F$11=$A$3,Main!$B$43=$A48),Summary!W25,W48)</f>
        <v>1.2543859649122808</v>
      </c>
      <c r="X48" s="13">
        <f ca="1">IF(AND(Energy!$F$11=$A$3,Main!$B$43=A48),Energy!D25,X48)</f>
        <v>405.6523607102929</v>
      </c>
      <c r="Y48" s="102">
        <f ca="1">IF(AND(Energy!$F$11=$A$3,Main!$B$43=A48),'Aerodynamics-Cruise'!V25,Y48)</f>
        <v>151700.1159933859</v>
      </c>
      <c r="Z48" s="102">
        <f ca="1">IF(AND(Energy!$F$11=$A$3,Main!$B$43=$A48),Summary!Z25,Z48)</f>
        <v>114150.78175057708</v>
      </c>
      <c r="AA48" s="102">
        <f ca="1">IF(AND(Energy!$F$11=$A$3,Main!$B$43=$A48),Summary!AA25,AA48)</f>
        <v>114150.78175057708</v>
      </c>
      <c r="AB48" s="103">
        <f ca="1">IF(AND(Energy!$F$11=$A$3,Main!$B$43=$A48),Summary!AB25,AB48)</f>
        <v>6.4282927525257065</v>
      </c>
      <c r="AC48" s="103">
        <f ca="1">IF(AND(Energy!$F$11=$A$3,Main!$B$43=$A48),Summary!AC25,AC48)</f>
        <v>2.3086947194962972</v>
      </c>
      <c r="AD48" s="103">
        <f ca="1">IF(AND(Energy!$F$11=$A$3,Main!$B$43=$A48),Summary!AD25,AD48)</f>
        <v>0.44322362990425046</v>
      </c>
      <c r="AE48" s="103">
        <f ca="1">IF(AND(Energy!$F$11=$A$3,Main!$B$43=$A48),Summary!AE25,AE48)</f>
        <v>1.2543859649122808</v>
      </c>
      <c r="AF48" s="103">
        <f ca="1">IF(AND(Energy!$F$11=$A$3,Main!$B$43=$A48),Summary!AF25,AF48)</f>
        <v>20.992822966507177</v>
      </c>
      <c r="AG48" s="103">
        <f ca="1">IF(AND(Energy!$F$11=$A$3,Main!$B$43=$A48),Summary!AG25,AG48)</f>
        <v>12.035057805783582</v>
      </c>
      <c r="AH48" s="103">
        <f ca="1">IF(AND(Energy!$F$11=$A$3,Main!$B$43=$A48),Summary!AH25,AH48)</f>
        <v>47</v>
      </c>
      <c r="AI48" s="103">
        <f ca="1">IF(AND(Energy!$F$11=$A$3,Main!$B$43=$A48),Summary!AI25,AI48)</f>
        <v>2.7160539822561738</v>
      </c>
      <c r="AJ48" s="103">
        <f ca="1">IF(AND(Energy!$F$11=$A$3,Main!$B$43=$A48),Summary!AJ25,AJ48)</f>
        <v>0.23000840140055934</v>
      </c>
      <c r="AK48" s="103">
        <f ca="1">IF(AND(Energy!$F$11=$A$3,Main!$B$43=$A48),Summary!AK25,AK48)</f>
        <v>0.01</v>
      </c>
      <c r="AL48" s="103">
        <f ca="1">IF(AND(Energy!$F$11=$A$3,Main!$B$43=$A48),Summary!AL25,AL48)</f>
        <v>-0.54342070035678802</v>
      </c>
      <c r="AM48" s="103">
        <f ca="1">IF(AND(Energy!$F$11=$A$3,Main!$B$43=$A48),Summary!AJ65,AM48)</f>
        <v>0</v>
      </c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</row>
    <row r="49" spans="1:54">
      <c r="A49">
        <f t="shared" si="3"/>
        <v>3</v>
      </c>
      <c r="B49" s="100"/>
      <c r="C49" s="100"/>
      <c r="D49" s="1">
        <f ca="1">IF(AND(Energy!$F$11=$A$3,Main!$B$43=A49),Main!C26,D49)</f>
        <v>5.2894736842105265</v>
      </c>
      <c r="E49" s="103">
        <f ca="1">IF(AND(Energy!$F$11=$A$3,Main!$B$43=A49),Main!B26,E49)</f>
        <v>0.24444444444444446</v>
      </c>
      <c r="F49" s="103">
        <f ca="1">IF(Main!$D$6=1,U49,IF(Main!$D$6=2,N49,IF(Main!$D$6=3,K49,IF(Main!$D$6=4,V49,J49))))</f>
        <v>578.54118441596165</v>
      </c>
      <c r="G49" s="103">
        <f ca="1">IF(AND(Energy!$F$11=$A$3,Main!$B$43=A49),Weight!H26,G49)</f>
        <v>15</v>
      </c>
      <c r="H49" s="103">
        <f ca="1">IF(AND(Energy!$F$11=$A$3,Main!$B$43=A49),Weight!U26,H49)</f>
        <v>16.418258756841425</v>
      </c>
      <c r="I49" s="103">
        <f ca="1">IF(AND(Energy!$F$11=$A$3,Main!$B$43=A49),Weight!V26,I49)</f>
        <v>50.945610311785387</v>
      </c>
      <c r="J49" s="103">
        <f ca="1">IF(AND(Energy!$F$11=$A$3,Main!$B$43=A49),Weight!I26,J49)</f>
        <v>29.589703279943958</v>
      </c>
      <c r="K49" s="103">
        <f ca="1">IF(AND(Energy!$F$11=$A$3,Main!$B$43=A49),Weight!W26,K49)</f>
        <v>65.945624872349939</v>
      </c>
      <c r="L49" s="103">
        <f ca="1">IF(AND(Energy!$F$11=$A$3,Main!$B$43=A49),'Aerodynamics-Cruise'!BI26,L49)</f>
        <v>65.945595639068188</v>
      </c>
      <c r="M49" s="103">
        <f ca="1">IF(AND(Energy!$F$11=$A$3,Main!$B$43=A49),'Aerodynamics-Cruise'!BJ26,M49)</f>
        <v>3.0104218661584556</v>
      </c>
      <c r="N49" s="103">
        <f ca="1">IF(AND(Energy!$F$11=$A$3,Main!$B$43=A49),'Aerodynamics-Cruise'!BK26,N49)</f>
        <v>21.905765560765129</v>
      </c>
      <c r="O49" s="103">
        <f t="shared" ca="1" si="0"/>
        <v>177.88991725457123</v>
      </c>
      <c r="P49" s="103">
        <f ca="1">IF(AND(Energy!$F$11=$A$3,Main!$B$43=A49),'Aerodynamics-Cruise'!H26,P49)</f>
        <v>9.6620832941069192</v>
      </c>
      <c r="Q49" s="103">
        <f ca="1">IF(AND(Energy!$F$11=$A$3,Main!$B$43=A49),'Aerodynamics-Cruise'!I26,Q49)</f>
        <v>8.2120923993104267</v>
      </c>
      <c r="R49" s="103">
        <f ca="1">IF(AND(Energy!$F$11=$A$3,Main!$B$43=$A49),Summary!R26,R49)</f>
        <v>6.3023879196158115</v>
      </c>
      <c r="S49" s="103">
        <f ca="1">IF(AND(Energy!$F$11=$A$3,Main!$B$43=A49),'Aerodynamics-Cruise'!W26,S49)</f>
        <v>1</v>
      </c>
      <c r="T49" s="103">
        <f ca="1">IF(AND(Energy!$F$11=$A$3,Main!$B$43=A49),'Aerodynamics-Cruise'!BL26,T49)</f>
        <v>29.08694682122379</v>
      </c>
      <c r="U49" s="103">
        <f ca="1">IF(AND(Energy!$F$11=$A$3,Main!$B$43=A49),'Propulsion-Cruise'!M26,U49)</f>
        <v>61.046310474574788</v>
      </c>
      <c r="V49" s="103">
        <f ca="1">IF(AND(Energy!$F$11=$A$3,Main!$B$43=A49),Endurance!AP26,V49)</f>
        <v>578.54118441596165</v>
      </c>
      <c r="W49" s="103">
        <f ca="1">IF(AND(Energy!$F$11=$A$3,Main!$B$43=$A49),Summary!W26,W49)</f>
        <v>1.2929824561403511</v>
      </c>
      <c r="X49" s="13">
        <f ca="1">IF(AND(Energy!$F$11=$A$3,Main!$B$43=A49),Energy!D26,X49)</f>
        <v>405.57521641818983</v>
      </c>
      <c r="Y49" s="102">
        <f ca="1">IF(AND(Energy!$F$11=$A$3,Main!$B$43=A49),'Aerodynamics-Cruise'!V26,Y49)</f>
        <v>149794.62353260061</v>
      </c>
      <c r="Z49" s="102">
        <f ca="1">IF(AND(Energy!$F$11=$A$3,Main!$B$43=$A49),Summary!Z26,Z49)</f>
        <v>112772.91763059069</v>
      </c>
      <c r="AA49" s="102">
        <f ca="1">IF(AND(Energy!$F$11=$A$3,Main!$B$43=$A49),Summary!AA26,AA49)</f>
        <v>112772.91763059069</v>
      </c>
      <c r="AB49" s="103">
        <f ca="1">IF(AND(Energy!$F$11=$A$3,Main!$B$43=$A49),Summary!AB26,AB49)</f>
        <v>6.3023879196158115</v>
      </c>
      <c r="AC49" s="103">
        <f ca="1">IF(AND(Energy!$F$11=$A$3,Main!$B$43=$A49),Summary!AC26,AC49)</f>
        <v>2.2753575845186464</v>
      </c>
      <c r="AD49" s="103">
        <f ca="1">IF(AND(Energy!$F$11=$A$3,Main!$B$43=$A49),Summary!AD26,AD49)</f>
        <v>0.4405420943867645</v>
      </c>
      <c r="AE49" s="103">
        <f ca="1">IF(AND(Energy!$F$11=$A$3,Main!$B$43=$A49),Summary!AE26,AE49)</f>
        <v>1.2929824561403511</v>
      </c>
      <c r="AF49" s="103">
        <f ca="1">IF(AND(Energy!$F$11=$A$3,Main!$B$43=$A49),Summary!AF26,AF49)</f>
        <v>21.638755980861241</v>
      </c>
      <c r="AG49" s="103">
        <f ca="1">IF(AND(Energy!$F$11=$A$3,Main!$B$43=$A49),Summary!AG26,AG49)</f>
        <v>11.999859631695072</v>
      </c>
      <c r="AH49" s="103">
        <f ca="1">IF(AND(Energy!$F$11=$A$3,Main!$B$43=$A49),Summary!AH26,AH49)</f>
        <v>47</v>
      </c>
      <c r="AI49" s="103">
        <f ca="1">IF(AND(Energy!$F$11=$A$3,Main!$B$43=$A49),Summary!AI26,AI49)</f>
        <v>2.7132491453420315</v>
      </c>
      <c r="AJ49" s="103">
        <f ca="1">IF(AND(Energy!$F$11=$A$3,Main!$B$43=$A49),Summary!AJ26,AJ49)</f>
        <v>0.23077912599781666</v>
      </c>
      <c r="AK49" s="103">
        <f ca="1">IF(AND(Energy!$F$11=$A$3,Main!$B$43=$A49),Summary!AK26,AK49)</f>
        <v>0.01</v>
      </c>
      <c r="AL49" s="103">
        <f ca="1">IF(AND(Energy!$F$11=$A$3,Main!$B$43=$A49),Summary!AL26,AL49)</f>
        <v>-0.54160582736448692</v>
      </c>
      <c r="AM49" s="103">
        <f ca="1">IF(AND(Energy!$F$11=$A$3,Main!$B$43=$A49),Summary!AJ66,AM49)</f>
        <v>0</v>
      </c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</row>
    <row r="50" spans="1:54">
      <c r="A50">
        <f t="shared" si="3"/>
        <v>3</v>
      </c>
      <c r="B50" s="100"/>
      <c r="C50" s="100"/>
      <c r="D50" s="1">
        <f ca="1">IF(AND(Energy!$F$11=$A$3,Main!$B$43=A50),Main!C27,D50)</f>
        <v>5.4473684210526319</v>
      </c>
      <c r="E50" s="103">
        <f ca="1">IF(AND(Energy!$F$11=$A$3,Main!$B$43=A50),Main!B27,E50)</f>
        <v>0.24444444444444446</v>
      </c>
      <c r="F50" s="103">
        <f ca="1">IF(Main!$D$6=1,U50,IF(Main!$D$6=2,N50,IF(Main!$D$6=3,K50,IF(Main!$D$6=4,V50,J50))))</f>
        <v>576.61880407848821</v>
      </c>
      <c r="G50" s="103">
        <f ca="1">IF(AND(Energy!$F$11=$A$3,Main!$B$43=A50),Weight!H27,G50)</f>
        <v>15</v>
      </c>
      <c r="H50" s="103">
        <f ca="1">IF(AND(Energy!$F$11=$A$3,Main!$B$43=A50),Weight!U27,H50)</f>
        <v>16.902652725309181</v>
      </c>
      <c r="I50" s="103">
        <f ca="1">IF(AND(Energy!$F$11=$A$3,Main!$B$43=A50),Weight!V27,I50)</f>
        <v>51.335784657770034</v>
      </c>
      <c r="J50" s="103">
        <f ca="1">IF(AND(Energy!$F$11=$A$3,Main!$B$43=A50),Weight!I27,J50)</f>
        <v>29.495483657460852</v>
      </c>
      <c r="K50" s="103">
        <f ca="1">IF(AND(Energy!$F$11=$A$3,Main!$B$43=A50),Weight!W27,K50)</f>
        <v>66.335798797457684</v>
      </c>
      <c r="L50" s="103">
        <f ca="1">IF(AND(Energy!$F$11=$A$3,Main!$B$43=A50),'Aerodynamics-Cruise'!BI27,L50)</f>
        <v>66.335770407920265</v>
      </c>
      <c r="M50" s="103">
        <f ca="1">IF(AND(Energy!$F$11=$A$3,Main!$B$43=A50),'Aerodynamics-Cruise'!BJ27,M50)</f>
        <v>3.0192846057517859</v>
      </c>
      <c r="N50" s="103">
        <f ca="1">IF(AND(Energy!$F$11=$A$3,Main!$B$43=A50),'Aerodynamics-Cruise'!BK27,N50)</f>
        <v>21.970691428542228</v>
      </c>
      <c r="O50" s="103">
        <f t="shared" ca="1" si="0"/>
        <v>178.94419455795807</v>
      </c>
      <c r="P50" s="103">
        <f ca="1">IF(AND(Energy!$F$11=$A$3,Main!$B$43=A50),'Aerodynamics-Cruise'!H27,P50)</f>
        <v>9.5491179806982114</v>
      </c>
      <c r="Q50" s="103">
        <f ca="1">IF(AND(Energy!$F$11=$A$3,Main!$B$43=A50),'Aerodynamics-Cruise'!I27,Q50)</f>
        <v>8.1199813725445811</v>
      </c>
      <c r="R50" s="103">
        <f ca="1">IF(AND(Energy!$F$11=$A$3,Main!$B$43=$A50),Summary!R27,R50)</f>
        <v>6.1953657095121839</v>
      </c>
      <c r="S50" s="103">
        <f ca="1">IF(AND(Energy!$F$11=$A$3,Main!$B$43=A50),'Aerodynamics-Cruise'!W27,S50)</f>
        <v>1</v>
      </c>
      <c r="T50" s="103">
        <f ca="1">IF(AND(Energy!$F$11=$A$3,Main!$B$43=A50),'Aerodynamics-Cruise'!BL27,T50)</f>
        <v>28.83150491762969</v>
      </c>
      <c r="U50" s="103">
        <f ca="1">IF(AND(Energy!$F$11=$A$3,Main!$B$43=A50),'Propulsion-Cruise'!M27,U50)</f>
        <v>60.706695326984295</v>
      </c>
      <c r="V50" s="103">
        <f ca="1">IF(AND(Energy!$F$11=$A$3,Main!$B$43=A50),Endurance!AP27,V50)</f>
        <v>576.61880407848821</v>
      </c>
      <c r="W50" s="103">
        <f ca="1">IF(AND(Energy!$F$11=$A$3,Main!$B$43=$A50),Summary!W27,W50)</f>
        <v>1.3315789473684212</v>
      </c>
      <c r="X50" s="13">
        <f ca="1">IF(AND(Energy!$F$11=$A$3,Main!$B$43=A50),Energy!D27,X50)</f>
        <v>405.52294709557628</v>
      </c>
      <c r="Y50" s="102">
        <f ca="1">IF(AND(Energy!$F$11=$A$3,Main!$B$43=A50),'Aerodynamics-Cruise'!V27,Y50)</f>
        <v>148043.28315607746</v>
      </c>
      <c r="Z50" s="102">
        <f ca="1">IF(AND(Energy!$F$11=$A$3,Main!$B$43=$A50),Summary!Z27,Z50)</f>
        <v>111505.90810273946</v>
      </c>
      <c r="AA50" s="102">
        <f ca="1">IF(AND(Energy!$F$11=$A$3,Main!$B$43=$A50),Summary!AA27,AA50)</f>
        <v>111505.90810273946</v>
      </c>
      <c r="AB50" s="103">
        <f ca="1">IF(AND(Energy!$F$11=$A$3,Main!$B$43=$A50),Summary!AB27,AB50)</f>
        <v>6.1953657095121839</v>
      </c>
      <c r="AC50" s="103">
        <f ca="1">IF(AND(Energy!$F$11=$A$3,Main!$B$43=$A50),Summary!AC27,AC50)</f>
        <v>2.2414134140205149</v>
      </c>
      <c r="AD50" s="103">
        <f ca="1">IF(AND(Energy!$F$11=$A$3,Main!$B$43=$A50),Summary!AD27,AD50)</f>
        <v>0.43823142166673751</v>
      </c>
      <c r="AE50" s="103">
        <f ca="1">IF(AND(Energy!$F$11=$A$3,Main!$B$43=$A50),Summary!AE27,AE50)</f>
        <v>1.3315789473684212</v>
      </c>
      <c r="AF50" s="103">
        <f ca="1">IF(AND(Energy!$F$11=$A$3,Main!$B$43=$A50),Summary!AF27,AF50)</f>
        <v>22.284688995215308</v>
      </c>
      <c r="AG50" s="103">
        <f ca="1">IF(AND(Energy!$F$11=$A$3,Main!$B$43=$A50),Summary!AG27,AG50)</f>
        <v>11.976604189438985</v>
      </c>
      <c r="AH50" s="103">
        <f ca="1">IF(AND(Energy!$F$11=$A$3,Main!$B$43=$A50),Summary!AH27,AH50)</f>
        <v>47</v>
      </c>
      <c r="AI50" s="103">
        <f ca="1">IF(AND(Energy!$F$11=$A$3,Main!$B$43=$A50),Summary!AI27,AI50)</f>
        <v>2.7106424651511318</v>
      </c>
      <c r="AJ50" s="103">
        <f ca="1">IF(AND(Energy!$F$11=$A$3,Main!$B$43=$A50),Summary!AJ27,AJ50)</f>
        <v>0.23150078654978523</v>
      </c>
      <c r="AK50" s="103">
        <f ca="1">IF(AND(Energy!$F$11=$A$3,Main!$B$43=$A50),Summary!AK27,AK50)</f>
        <v>0.01</v>
      </c>
      <c r="AL50" s="103">
        <f ca="1">IF(AND(Energy!$F$11=$A$3,Main!$B$43=$A50),Summary!AL27,AL50)</f>
        <v>-0.53991743692206118</v>
      </c>
      <c r="AM50" s="103">
        <f ca="1">IF(AND(Energy!$F$11=$A$3,Main!$B$43=$A50),Summary!AJ67,AM50)</f>
        <v>0</v>
      </c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</row>
    <row r="51" spans="1:54">
      <c r="A51">
        <f t="shared" si="3"/>
        <v>3</v>
      </c>
      <c r="B51" s="100"/>
      <c r="C51" s="100"/>
      <c r="D51" s="1">
        <f ca="1">IF(AND(Energy!$F$11=$A$3,Main!$B$43=A51),Main!C28,D51)</f>
        <v>5.6052631578947372</v>
      </c>
      <c r="E51" s="103">
        <f ca="1">IF(AND(Energy!$F$11=$A$3,Main!$B$43=A51),Main!B28,E51)</f>
        <v>0.24444444444444446</v>
      </c>
      <c r="F51" s="103">
        <f ca="1">IF(Main!$D$6=1,U51,IF(Main!$D$6=2,N51,IF(Main!$D$6=3,K51,IF(Main!$D$6=4,V51,J51))))</f>
        <v>575.57296503663201</v>
      </c>
      <c r="G51" s="103">
        <f ca="1">IF(AND(Energy!$F$11=$A$3,Main!$B$43=A51),Weight!H28,G51)</f>
        <v>15</v>
      </c>
      <c r="H51" s="103">
        <f ca="1">IF(AND(Energy!$F$11=$A$3,Main!$B$43=A51),Weight!U28,H51)</f>
        <v>17.401182640718105</v>
      </c>
      <c r="I51" s="103">
        <f ca="1">IF(AND(Energy!$F$11=$A$3,Main!$B$43=A51),Weight!V28,I51)</f>
        <v>51.779842745748226</v>
      </c>
      <c r="J51" s="103">
        <f ca="1">IF(AND(Energy!$F$11=$A$3,Main!$B$43=A51),Weight!I28,J51)</f>
        <v>29.441011830030121</v>
      </c>
      <c r="K51" s="103">
        <f ca="1">IF(AND(Energy!$F$11=$A$3,Main!$B$43=A51),Weight!W28,K51)</f>
        <v>66.779856533469058</v>
      </c>
      <c r="L51" s="103">
        <f ca="1">IF(AND(Energy!$F$11=$A$3,Main!$B$43=A51),'Aerodynamics-Cruise'!BI28,L51)</f>
        <v>66.779828849377793</v>
      </c>
      <c r="M51" s="103">
        <f ca="1">IF(AND(Energy!$F$11=$A$3,Main!$B$43=A51),'Aerodynamics-Cruise'!BJ28,M51)</f>
        <v>3.031005656052487</v>
      </c>
      <c r="N51" s="103">
        <f ca="1">IF(AND(Energy!$F$11=$A$3,Main!$B$43=A51),'Aerodynamics-Cruise'!BK28,N51)</f>
        <v>22.032234983140984</v>
      </c>
      <c r="O51" s="103">
        <f t="shared" ca="1" si="0"/>
        <v>180.04505826748121</v>
      </c>
      <c r="P51" s="103">
        <f ca="1">IF(AND(Energy!$F$11=$A$3,Main!$B$43=A51),'Aerodynamics-Cruise'!H28,P51)</f>
        <v>9.4450908811332077</v>
      </c>
      <c r="Q51" s="103">
        <f ca="1">IF(AND(Energy!$F$11=$A$3,Main!$B$43=A51),'Aerodynamics-Cruise'!I28,Q51)</f>
        <v>8.0351187420660164</v>
      </c>
      <c r="R51" s="103">
        <f ca="1">IF(AND(Energy!$F$11=$A$3,Main!$B$43=$A51),Summary!R28,R51)</f>
        <v>6.1048441224077452</v>
      </c>
      <c r="S51" s="103">
        <f ca="1">IF(AND(Energy!$F$11=$A$3,Main!$B$43=A51),'Aerodynamics-Cruise'!W28,S51)</f>
        <v>1</v>
      </c>
      <c r="T51" s="103">
        <f ca="1">IF(AND(Energy!$F$11=$A$3,Main!$B$43=A51),'Aerodynamics-Cruise'!BL28,T51)</f>
        <v>28.62812388264452</v>
      </c>
      <c r="U51" s="103">
        <f ca="1">IF(AND(Energy!$F$11=$A$3,Main!$B$43=A51),'Propulsion-Cruise'!M28,U51)</f>
        <v>60.463684691878122</v>
      </c>
      <c r="V51" s="103">
        <f ca="1">IF(AND(Energy!$F$11=$A$3,Main!$B$43=A51),Endurance!AP28,V51)</f>
        <v>575.57296503663201</v>
      </c>
      <c r="W51" s="103">
        <f ca="1">IF(AND(Energy!$F$11=$A$3,Main!$B$43=$A51),Summary!W28,W51)</f>
        <v>1.3701754385964915</v>
      </c>
      <c r="X51" s="13">
        <f ca="1">IF(AND(Energy!$F$11=$A$3,Main!$B$43=A51),Energy!D28,X51)</f>
        <v>405.49272821805482</v>
      </c>
      <c r="Y51" s="102">
        <f ca="1">IF(AND(Energy!$F$11=$A$3,Main!$B$43=A51),'Aerodynamics-Cruise'!V28,Y51)</f>
        <v>146430.51500430296</v>
      </c>
      <c r="Z51" s="102">
        <f ca="1">IF(AND(Energy!$F$11=$A$3,Main!$B$43=$A51),Summary!Z28,Z51)</f>
        <v>110338.62337145112</v>
      </c>
      <c r="AA51" s="102">
        <f ca="1">IF(AND(Energy!$F$11=$A$3,Main!$B$43=$A51),Summary!AA28,AA51)</f>
        <v>110338.62337145112</v>
      </c>
      <c r="AB51" s="103">
        <f ca="1">IF(AND(Energy!$F$11=$A$3,Main!$B$43=$A51),Summary!AB28,AB51)</f>
        <v>6.1048441224077452</v>
      </c>
      <c r="AC51" s="103">
        <f ca="1">IF(AND(Energy!$F$11=$A$3,Main!$B$43=$A51),Summary!AC28,AC51)</f>
        <v>2.2070734679061936</v>
      </c>
      <c r="AD51" s="103">
        <f ca="1">IF(AND(Energy!$F$11=$A$3,Main!$B$43=$A51),Summary!AD28,AD51)</f>
        <v>0.43625312745309952</v>
      </c>
      <c r="AE51" s="103">
        <f ca="1">IF(AND(Energy!$F$11=$A$3,Main!$B$43=$A51),Summary!AE28,AE51)</f>
        <v>1.3701754385964915</v>
      </c>
      <c r="AF51" s="103">
        <f ca="1">IF(AND(Energy!$F$11=$A$3,Main!$B$43=$A51),Summary!AF28,AF51)</f>
        <v>22.930622009569376</v>
      </c>
      <c r="AG51" s="103">
        <f ca="1">IF(AND(Energy!$F$11=$A$3,Main!$B$43=$A51),Summary!AG28,AG51)</f>
        <v>11.963961022199943</v>
      </c>
      <c r="AH51" s="103">
        <f ca="1">IF(AND(Energy!$F$11=$A$3,Main!$B$43=$A51),Summary!AH28,AH51)</f>
        <v>47</v>
      </c>
      <c r="AI51" s="103">
        <f ca="1">IF(AND(Energy!$F$11=$A$3,Main!$B$43=$A51),Summary!AI28,AI51)</f>
        <v>2.70821711437</v>
      </c>
      <c r="AJ51" s="103">
        <f ca="1">IF(AND(Energy!$F$11=$A$3,Main!$B$43=$A51),Summary!AJ28,AJ51)</f>
        <v>0.23217701742813232</v>
      </c>
      <c r="AK51" s="103">
        <f ca="1">IF(AND(Energy!$F$11=$A$3,Main!$B$43=$A51),Summary!AK28,AK51)</f>
        <v>0.01</v>
      </c>
      <c r="AL51" s="103">
        <f ca="1">IF(AND(Energy!$F$11=$A$3,Main!$B$43=$A51),Summary!AL28,AL51)</f>
        <v>-0.53834485582352465</v>
      </c>
      <c r="AM51" s="103">
        <f ca="1">IF(AND(Energy!$F$11=$A$3,Main!$B$43=$A51),Summary!AJ68,AM51)</f>
        <v>0</v>
      </c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</row>
    <row r="52" spans="1:54">
      <c r="A52">
        <f t="shared" si="3"/>
        <v>3</v>
      </c>
      <c r="B52" s="100"/>
      <c r="C52" s="100"/>
      <c r="D52" s="1">
        <f ca="1">IF(AND(Energy!$F$11=$A$3,Main!$B$43=A52),Main!C29,D52)</f>
        <v>5.7631578947368425</v>
      </c>
      <c r="E52" s="103">
        <f ca="1">IF(AND(Energy!$F$11=$A$3,Main!$B$43=A52),Main!B29,E52)</f>
        <v>0.24444444444444446</v>
      </c>
      <c r="F52" s="103">
        <f ca="1">IF(Main!$D$6=1,U52,IF(Main!$D$6=2,N52,IF(Main!$D$6=3,K52,IF(Main!$D$6=4,V52,J52))))</f>
        <v>575.31108855786715</v>
      </c>
      <c r="G52" s="103">
        <f ca="1">IF(AND(Energy!$F$11=$A$3,Main!$B$43=A52),Weight!H29,G52)</f>
        <v>15</v>
      </c>
      <c r="H52" s="103">
        <f ca="1">IF(AND(Energy!$F$11=$A$3,Main!$B$43=A52),Weight!U29,H52)</f>
        <v>17.913671667037782</v>
      </c>
      <c r="I52" s="103">
        <f ca="1">IF(AND(Energy!$F$11=$A$3,Main!$B$43=A52),Weight!V29,I52)</f>
        <v>52.273391417230059</v>
      </c>
      <c r="J52" s="103">
        <f ca="1">IF(AND(Energy!$F$11=$A$3,Main!$B$43=A52),Weight!I29,J52)</f>
        <v>29.422071475192276</v>
      </c>
      <c r="K52" s="103">
        <f ca="1">IF(AND(Energy!$F$11=$A$3,Main!$B$43=A52),Weight!W29,K52)</f>
        <v>67.273404912172907</v>
      </c>
      <c r="L52" s="103">
        <f ca="1">IF(AND(Energy!$F$11=$A$3,Main!$B$43=A52),'Aerodynamics-Cruise'!BI29,L52)</f>
        <v>67.273377814747505</v>
      </c>
      <c r="M52" s="103">
        <f ca="1">IF(AND(Energy!$F$11=$A$3,Main!$B$43=A52),'Aerodynamics-Cruise'!BJ29,M52)</f>
        <v>3.0452978391622327</v>
      </c>
      <c r="N52" s="103">
        <f ca="1">IF(AND(Energy!$F$11=$A$3,Main!$B$43=A52),'Aerodynamics-Cruise'!BK29,N52)</f>
        <v>22.090902554626492</v>
      </c>
      <c r="O52" s="103">
        <f t="shared" ca="1" si="0"/>
        <v>181.19035549497784</v>
      </c>
      <c r="P52" s="103">
        <f ca="1">IF(AND(Energy!$F$11=$A$3,Main!$B$43=A52),'Aerodynamics-Cruise'!H29,P52)</f>
        <v>9.3491408310878814</v>
      </c>
      <c r="Q52" s="103">
        <f ca="1">IF(AND(Energy!$F$11=$A$3,Main!$B$43=A52),'Aerodynamics-Cruise'!I29,Q52)</f>
        <v>7.956811000580581</v>
      </c>
      <c r="R52" s="103">
        <f ca="1">IF(AND(Energy!$F$11=$A$3,Main!$B$43=$A52),Summary!R29,R52)</f>
        <v>6.0288731454072781</v>
      </c>
      <c r="S52" s="103">
        <f ca="1">IF(AND(Energy!$F$11=$A$3,Main!$B$43=A52),'Aerodynamics-Cruise'!W29,S52)</f>
        <v>1</v>
      </c>
      <c r="T52" s="103">
        <f ca="1">IF(AND(Energy!$F$11=$A$3,Main!$B$43=A52),'Aerodynamics-Cruise'!BL29,T52)</f>
        <v>28.470918370935326</v>
      </c>
      <c r="U52" s="103">
        <f ca="1">IF(AND(Energy!$F$11=$A$3,Main!$B$43=A52),'Propulsion-Cruise'!M29,U52)</f>
        <v>60.30678167007877</v>
      </c>
      <c r="V52" s="103">
        <f ca="1">IF(AND(Energy!$F$11=$A$3,Main!$B$43=A52),Endurance!AP29,V52)</f>
        <v>575.31108855786715</v>
      </c>
      <c r="W52" s="103">
        <f ca="1">IF(AND(Energy!$F$11=$A$3,Main!$B$43=$A52),Summary!W29,W52)</f>
        <v>1.4087719298245616</v>
      </c>
      <c r="X52" s="13">
        <f ca="1">IF(AND(Energy!$F$11=$A$3,Main!$B$43=A52),Energy!D29,X52)</f>
        <v>405.48222074169507</v>
      </c>
      <c r="Y52" s="102">
        <f ca="1">IF(AND(Energy!$F$11=$A$3,Main!$B$43=A52),'Aerodynamics-Cruise'!V29,Y52)</f>
        <v>144942.96814851876</v>
      </c>
      <c r="Z52" s="102">
        <f ca="1">IF(AND(Energy!$F$11=$A$3,Main!$B$43=$A52),Summary!Z29,Z52)</f>
        <v>109261.51942259652</v>
      </c>
      <c r="AA52" s="102">
        <f ca="1">IF(AND(Energy!$F$11=$A$3,Main!$B$43=$A52),Summary!AA29,AA52)</f>
        <v>109261.51942259652</v>
      </c>
      <c r="AB52" s="103">
        <f ca="1">IF(AND(Energy!$F$11=$A$3,Main!$B$43=$A52),Summary!AB29,AB52)</f>
        <v>6.0288731454072781</v>
      </c>
      <c r="AC52" s="103">
        <f ca="1">IF(AND(Energy!$F$11=$A$3,Main!$B$43=$A52),Summary!AC29,AC52)</f>
        <v>2.1725083463239905</v>
      </c>
      <c r="AD52" s="103">
        <f ca="1">IF(AND(Energy!$F$11=$A$3,Main!$B$43=$A52),Summary!AD29,AD52)</f>
        <v>0.43457440519240126</v>
      </c>
      <c r="AE52" s="103">
        <f ca="1">IF(AND(Energy!$F$11=$A$3,Main!$B$43=$A52),Summary!AE29,AE52)</f>
        <v>1.4087719298245616</v>
      </c>
      <c r="AF52" s="103">
        <f ca="1">IF(AND(Energy!$F$11=$A$3,Main!$B$43=$A52),Summary!AF29,AF52)</f>
        <v>23.576555023923444</v>
      </c>
      <c r="AG52" s="103">
        <f ca="1">IF(AND(Energy!$F$11=$A$3,Main!$B$43=$A52),Summary!AG29,AG52)</f>
        <v>11.960814647526055</v>
      </c>
      <c r="AH52" s="103">
        <f ca="1">IF(AND(Energy!$F$11=$A$3,Main!$B$43=$A52),Summary!AH29,AH52)</f>
        <v>47</v>
      </c>
      <c r="AI52" s="103">
        <f ca="1">IF(AND(Energy!$F$11=$A$3,Main!$B$43=$A52),Summary!AI29,AI52)</f>
        <v>2.7059584340663467</v>
      </c>
      <c r="AJ52" s="103">
        <f ca="1">IF(AND(Energy!$F$11=$A$3,Main!$B$43=$A52),Summary!AJ29,AJ52)</f>
        <v>0.23281120235294039</v>
      </c>
      <c r="AK52" s="103">
        <f ca="1">IF(AND(Energy!$F$11=$A$3,Main!$B$43=$A52),Summary!AK29,AK52)</f>
        <v>0.01</v>
      </c>
      <c r="AL52" s="103">
        <f ca="1">IF(AND(Energy!$F$11=$A$3,Main!$B$43=$A52),Summary!AL29,AL52)</f>
        <v>-0.53687835142039575</v>
      </c>
      <c r="AM52" s="103">
        <f ca="1">IF(AND(Energy!$F$11=$A$3,Main!$B$43=$A52),Summary!AJ69,AM52)</f>
        <v>0</v>
      </c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</row>
    <row r="53" spans="1:54">
      <c r="A53">
        <f t="shared" si="3"/>
        <v>3</v>
      </c>
      <c r="B53" s="100"/>
      <c r="C53" s="100"/>
      <c r="D53" s="1">
        <f ca="1">IF(AND(Energy!$F$11=$A$3,Main!$B$43=A53),Main!C30,D53)</f>
        <v>5.9210526315789478</v>
      </c>
      <c r="E53" s="103">
        <f ca="1">IF(AND(Energy!$F$11=$A$3,Main!$B$43=A53),Main!B30,E53)</f>
        <v>0.24444444444444446</v>
      </c>
      <c r="F53" s="103">
        <f ca="1">IF(Main!$D$6=1,U53,IF(Main!$D$6=2,N53,IF(Main!$D$6=3,K53,IF(Main!$D$6=4,V53,J53))))</f>
        <v>575.75590206464199</v>
      </c>
      <c r="G53" s="103">
        <f ca="1">IF(AND(Energy!$F$11=$A$3,Main!$B$43=A53),Weight!H30,G53)</f>
        <v>15</v>
      </c>
      <c r="H53" s="103">
        <f ca="1">IF(AND(Energy!$F$11=$A$3,Main!$B$43=A53),Weight!U30,H53)</f>
        <v>18.439995828327895</v>
      </c>
      <c r="I53" s="103">
        <f ca="1">IF(AND(Energy!$F$11=$A$3,Main!$B$43=A53),Weight!V30,I53)</f>
        <v>52.81278749720488</v>
      </c>
      <c r="J53" s="103">
        <f ca="1">IF(AND(Energy!$F$11=$A$3,Main!$B$43=A53),Weight!I30,J53)</f>
        <v>29.435143393876981</v>
      </c>
      <c r="K53" s="103">
        <f ca="1">IF(AND(Energy!$F$11=$A$3,Main!$B$43=A53),Weight!W30,K53)</f>
        <v>67.812800750858713</v>
      </c>
      <c r="L53" s="103">
        <f ca="1">IF(AND(Energy!$F$11=$A$3,Main!$B$43=A53),'Aerodynamics-Cruise'!BI30,L53)</f>
        <v>67.812774136779126</v>
      </c>
      <c r="M53" s="103">
        <f ca="1">IF(AND(Energy!$F$11=$A$3,Main!$B$43=A53),'Aerodynamics-Cruise'!BJ30,M53)</f>
        <v>3.0619186830871579</v>
      </c>
      <c r="N53" s="103">
        <f ca="1">IF(AND(Energy!$F$11=$A$3,Main!$B$43=A53),'Aerodynamics-Cruise'!BK30,N53)</f>
        <v>22.147150579586057</v>
      </c>
      <c r="O53" s="103">
        <f t="shared" ca="1" si="0"/>
        <v>182.37848932603418</v>
      </c>
      <c r="P53" s="103">
        <f ca="1">IF(AND(Energy!$F$11=$A$3,Main!$B$43=A53),'Aerodynamics-Cruise'!H30,P53)</f>
        <v>9.2605243824933829</v>
      </c>
      <c r="Q53" s="103">
        <f ca="1">IF(AND(Energy!$F$11=$A$3,Main!$B$43=A53),'Aerodynamics-Cruise'!I30,Q53)</f>
        <v>7.884459024106655</v>
      </c>
      <c r="R53" s="103">
        <f ca="1">IF(AND(Energy!$F$11=$A$3,Main!$B$43=$A53),Summary!R30,R53)</f>
        <v>5.9658425724369302</v>
      </c>
      <c r="S53" s="103">
        <f ca="1">IF(AND(Energy!$F$11=$A$3,Main!$B$43=A53),'Aerodynamics-Cruise'!W30,S53)</f>
        <v>1</v>
      </c>
      <c r="T53" s="103">
        <f ca="1">IF(AND(Energy!$F$11=$A$3,Main!$B$43=A53),'Aerodynamics-Cruise'!BL30,T53)</f>
        <v>28.354972621940654</v>
      </c>
      <c r="U53" s="103">
        <f ca="1">IF(AND(Energy!$F$11=$A$3,Main!$B$43=A53),'Propulsion-Cruise'!M30,U53)</f>
        <v>60.22721671693931</v>
      </c>
      <c r="V53" s="103">
        <f ca="1">IF(AND(Energy!$F$11=$A$3,Main!$B$43=A53),Endurance!AP30,V53)</f>
        <v>575.75590206464199</v>
      </c>
      <c r="W53" s="103">
        <f ca="1">IF(AND(Energy!$F$11=$A$3,Main!$B$43=$A53),Summary!W30,W53)</f>
        <v>1.4473684210526319</v>
      </c>
      <c r="X53" s="13">
        <f ca="1">IF(AND(Energy!$F$11=$A$3,Main!$B$43=A53),Energy!D30,X53)</f>
        <v>405.48947235842741</v>
      </c>
      <c r="Y53" s="102">
        <f ca="1">IF(AND(Energy!$F$11=$A$3,Main!$B$43=A53),'Aerodynamics-Cruise'!V30,Y53)</f>
        <v>143569.11665583856</v>
      </c>
      <c r="Z53" s="102">
        <f ca="1">IF(AND(Energy!$F$11=$A$3,Main!$B$43=$A53),Summary!Z30,Z53)</f>
        <v>108266.35136417298</v>
      </c>
      <c r="AA53" s="102">
        <f ca="1">IF(AND(Energy!$F$11=$A$3,Main!$B$43=$A53),Summary!AA30,AA53)</f>
        <v>108266.35136417298</v>
      </c>
      <c r="AB53" s="103">
        <f ca="1">IF(AND(Energy!$F$11=$A$3,Main!$B$43=$A53),Summary!AB30,AB53)</f>
        <v>5.9658425724369302</v>
      </c>
      <c r="AC53" s="103">
        <f ca="1">IF(AND(Energy!$F$11=$A$3,Main!$B$43=$A53),Summary!AC30,AC53)</f>
        <v>2.137856217007819</v>
      </c>
      <c r="AD53" s="103">
        <f ca="1">IF(AND(Energy!$F$11=$A$3,Main!$B$43=$A53),Summary!AD30,AD53)</f>
        <v>0.43316708028167444</v>
      </c>
      <c r="AE53" s="103">
        <f ca="1">IF(AND(Energy!$F$11=$A$3,Main!$B$43=$A53),Summary!AE30,AE53)</f>
        <v>1.4473684210526319</v>
      </c>
      <c r="AF53" s="103">
        <f ca="1">IF(AND(Energy!$F$11=$A$3,Main!$B$43=$A53),Summary!AF30,AF53)</f>
        <v>24.222488038277508</v>
      </c>
      <c r="AG53" s="103">
        <f ca="1">IF(AND(Energy!$F$11=$A$3,Main!$B$43=$A53),Summary!AG30,AG53)</f>
        <v>11.966222621162901</v>
      </c>
      <c r="AH53" s="103">
        <f ca="1">IF(AND(Energy!$F$11=$A$3,Main!$B$43=$A53),Summary!AH30,AH53)</f>
        <v>47</v>
      </c>
      <c r="AI53" s="103">
        <f ca="1">IF(AND(Energy!$F$11=$A$3,Main!$B$43=$A53),Summary!AI30,AI53)</f>
        <v>2.7038535632785718</v>
      </c>
      <c r="AJ53" s="103">
        <f ca="1">IF(AND(Energy!$F$11=$A$3,Main!$B$43=$A53),Summary!AJ30,AJ53)</f>
        <v>0.23340636793658004</v>
      </c>
      <c r="AK53" s="103">
        <f ca="1">IF(AND(Energy!$F$11=$A$3,Main!$B$43=$A53),Summary!AK30,AK53)</f>
        <v>0.01</v>
      </c>
      <c r="AL53" s="103">
        <f ca="1">IF(AND(Energy!$F$11=$A$3,Main!$B$43=$A53),Summary!AL30,AL53)</f>
        <v>-0.53550932240405791</v>
      </c>
      <c r="AM53" s="103">
        <f ca="1">IF(AND(Energy!$F$11=$A$3,Main!$B$43=$A53),Summary!AJ70,AM53)</f>
        <v>0</v>
      </c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</row>
    <row r="54" spans="1:54">
      <c r="A54">
        <f t="shared" si="3"/>
        <v>3</v>
      </c>
      <c r="B54" s="100"/>
      <c r="C54" s="100"/>
      <c r="D54" s="1">
        <f ca="1">IF(AND(Energy!$F$11=$A$3,Main!$B$43=A54),Main!C31,D54)</f>
        <v>6.0789473684210531</v>
      </c>
      <c r="E54" s="103">
        <f ca="1">IF(AND(Energy!$F$11=$A$3,Main!$B$43=A54),Main!B31,E54)</f>
        <v>0.24444444444444446</v>
      </c>
      <c r="F54" s="103">
        <f ca="1">IF(Main!$D$6=1,U54,IF(Main!$D$6=2,N54,IF(Main!$D$6=3,K54,IF(Main!$D$6=4,V54,J54))))</f>
        <v>576.84245537336517</v>
      </c>
      <c r="G54" s="103">
        <f ca="1">IF(AND(Energy!$F$11=$A$3,Main!$B$43=A54),Weight!H31,G54)</f>
        <v>15</v>
      </c>
      <c r="H54" s="103">
        <f ca="1">IF(AND(Energy!$F$11=$A$3,Main!$B$43=A54),Weight!U31,H54)</f>
        <v>18.980074438707533</v>
      </c>
      <c r="I54" s="103">
        <f ca="1">IF(AND(Energy!$F$11=$A$3,Main!$B$43=A54),Weight!V31,I54)</f>
        <v>53.394992278904056</v>
      </c>
      <c r="J54" s="103">
        <f ca="1">IF(AND(Energy!$F$11=$A$3,Main!$B$43=A54),Weight!I31,J54)</f>
        <v>29.477269565196519</v>
      </c>
      <c r="K54" s="103">
        <f ca="1">IF(AND(Energy!$F$11=$A$3,Main!$B$43=A54),Weight!W31,K54)</f>
        <v>68.395005336528442</v>
      </c>
      <c r="L54" s="103">
        <f ca="1">IF(AND(Energy!$F$11=$A$3,Main!$B$43=A54),'Aerodynamics-Cruise'!BI31,L54)</f>
        <v>68.394979114982689</v>
      </c>
      <c r="M54" s="103">
        <f ca="1">IF(AND(Energy!$F$11=$A$3,Main!$B$43=A54),'Aerodynamics-Cruise'!BJ31,M54)</f>
        <v>3.0806620647175755</v>
      </c>
      <c r="N54" s="103">
        <f ca="1">IF(AND(Energy!$F$11=$A$3,Main!$B$43=A54),'Aerodynamics-Cruise'!BK31,N54)</f>
        <v>22.201389726676464</v>
      </c>
      <c r="O54" s="103">
        <f t="shared" ca="1" si="0"/>
        <v>183.60828378273504</v>
      </c>
      <c r="P54" s="103">
        <f ca="1">IF(AND(Energy!$F$11=$A$3,Main!$B$43=A54),'Aerodynamics-Cruise'!H31,P54)</f>
        <v>9.1785953958957922</v>
      </c>
      <c r="Q54" s="103">
        <f ca="1">IF(AND(Energy!$F$11=$A$3,Main!$B$43=A54),'Aerodynamics-Cruise'!I31,Q54)</f>
        <v>7.8175417535516756</v>
      </c>
      <c r="R54" s="103">
        <f ca="1">IF(AND(Energy!$F$11=$A$3,Main!$B$43=$A54),Summary!R31,R54)</f>
        <v>5.9144125958452554</v>
      </c>
      <c r="S54" s="103">
        <f ca="1">IF(AND(Energy!$F$11=$A$3,Main!$B$43=A54),'Aerodynamics-Cruise'!W31,S54)</f>
        <v>1</v>
      </c>
      <c r="T54" s="103">
        <f ca="1">IF(AND(Energy!$F$11=$A$3,Main!$B$43=A54),'Aerodynamics-Cruise'!BL31,T54)</f>
        <v>28.276150643527565</v>
      </c>
      <c r="U54" s="103">
        <f ca="1">IF(AND(Energy!$F$11=$A$3,Main!$B$43=A54),'Propulsion-Cruise'!M31,U54)</f>
        <v>60.217610705213367</v>
      </c>
      <c r="V54" s="103">
        <f ca="1">IF(AND(Energy!$F$11=$A$3,Main!$B$43=A54),Endurance!AP31,V54)</f>
        <v>576.84245537336517</v>
      </c>
      <c r="W54" s="103">
        <f ca="1">IF(AND(Energy!$F$11=$A$3,Main!$B$43=$A54),Summary!W31,W54)</f>
        <v>1.4859649122807019</v>
      </c>
      <c r="X54" s="13">
        <f ca="1">IF(AND(Energy!$F$11=$A$3,Main!$B$43=A54),Energy!D31,X54)</f>
        <v>405.51284207906315</v>
      </c>
      <c r="Y54" s="102">
        <f ca="1">IF(AND(Energy!$F$11=$A$3,Main!$B$43=A54),'Aerodynamics-Cruise'!V31,Y54)</f>
        <v>142298.94320253385</v>
      </c>
      <c r="Z54" s="102">
        <f ca="1">IF(AND(Energy!$F$11=$A$3,Main!$B$43=$A54),Summary!Z31,Z54)</f>
        <v>107345.9487906155</v>
      </c>
      <c r="AA54" s="102">
        <f ca="1">IF(AND(Energy!$F$11=$A$3,Main!$B$43=$A54),Summary!AA31,AA54)</f>
        <v>107345.9487906155</v>
      </c>
      <c r="AB54" s="103">
        <f ca="1">IF(AND(Energy!$F$11=$A$3,Main!$B$43=$A54),Summary!AB31,AB54)</f>
        <v>5.9144125958452554</v>
      </c>
      <c r="AC54" s="103">
        <f ca="1">IF(AND(Energy!$F$11=$A$3,Main!$B$43=$A54),Summary!AC31,AC54)</f>
        <v>2.1032292163169193</v>
      </c>
      <c r="AD54" s="103">
        <f ca="1">IF(AND(Energy!$F$11=$A$3,Main!$B$43=$A54),Summary!AD31,AD54)</f>
        <v>0.43200679306507489</v>
      </c>
      <c r="AE54" s="103">
        <f ca="1">IF(AND(Energy!$F$11=$A$3,Main!$B$43=$A54),Summary!AE31,AE54)</f>
        <v>1.4859649122807019</v>
      </c>
      <c r="AF54" s="103">
        <f ca="1">IF(AND(Energy!$F$11=$A$3,Main!$B$43=$A54),Summary!AF31,AF54)</f>
        <v>24.868421052631579</v>
      </c>
      <c r="AG54" s="103">
        <f ca="1">IF(AND(Energy!$F$11=$A$3,Main!$B$43=$A54),Summary!AG31,AG54)</f>
        <v>11.97938314760693</v>
      </c>
      <c r="AH54" s="103">
        <f ca="1">IF(AND(Energy!$F$11=$A$3,Main!$B$43=$A54),Summary!AH31,AH54)</f>
        <v>47</v>
      </c>
      <c r="AI54" s="103">
        <f ca="1">IF(AND(Energy!$F$11=$A$3,Main!$B$43=$A54),Summary!AI31,AI54)</f>
        <v>2.7018911456979846</v>
      </c>
      <c r="AJ54" s="103">
        <f ca="1">IF(AND(Energy!$F$11=$A$3,Main!$B$43=$A54),Summary!AJ31,AJ54)</f>
        <v>0.23396522093690728</v>
      </c>
      <c r="AK54" s="103">
        <f ca="1">IF(AND(Energy!$F$11=$A$3,Main!$B$43=$A54),Summary!AK31,AK54)</f>
        <v>0.01</v>
      </c>
      <c r="AL54" s="103">
        <f ca="1">IF(AND(Energy!$F$11=$A$3,Main!$B$43=$A54),Summary!AL31,AL54)</f>
        <v>-0.53423015931909423</v>
      </c>
      <c r="AM54" s="103">
        <f ca="1">IF(AND(Energy!$F$11=$A$3,Main!$B$43=$A54),Summary!AJ71,AM54)</f>
        <v>0</v>
      </c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</row>
    <row r="55" spans="1:54">
      <c r="A55">
        <f t="shared" si="3"/>
        <v>3</v>
      </c>
      <c r="B55" s="100"/>
      <c r="C55" s="100"/>
      <c r="D55" s="1">
        <f ca="1">IF(AND(Energy!$F$11=$A$3,Main!$B$43=A55),Main!C32,D55)</f>
        <v>6.2368421052631584</v>
      </c>
      <c r="E55" s="103">
        <f ca="1">IF(AND(Energy!$F$11=$A$3,Main!$B$43=A55),Main!B32,E55)</f>
        <v>0.24444444444444446</v>
      </c>
      <c r="F55" s="103">
        <f ca="1">IF(Main!$D$6=1,U55,IF(Main!$D$6=2,N55,IF(Main!$D$6=3,K55,IF(Main!$D$6=4,V55,J55))))</f>
        <v>578.51581451342463</v>
      </c>
      <c r="G55" s="103">
        <f ca="1">IF(AND(Energy!$F$11=$A$3,Main!$B$43=A55),Weight!H32,G55)</f>
        <v>15</v>
      </c>
      <c r="H55" s="103">
        <f ca="1">IF(AND(Energy!$F$11=$A$3,Main!$B$43=A55),Weight!U32,H55)</f>
        <v>19.533862636139311</v>
      </c>
      <c r="I55" s="103">
        <f ca="1">IF(AND(Energy!$F$11=$A$3,Main!$B$43=A55),Weight!V32,I55)</f>
        <v>54.017458990625983</v>
      </c>
      <c r="J55" s="103">
        <f ca="1">IF(AND(Energy!$F$11=$A$3,Main!$B$43=A55),Weight!I32,J55)</f>
        <v>29.545948079486671</v>
      </c>
      <c r="K55" s="103">
        <f ca="1">IF(AND(Energy!$F$11=$A$3,Main!$B$43=A55),Weight!W32,K55)</f>
        <v>69.017471892372498</v>
      </c>
      <c r="L55" s="103">
        <f ca="1">IF(AND(Energy!$F$11=$A$3,Main!$B$43=A55),'Aerodynamics-Cruise'!BI32,L55)</f>
        <v>69.017445982805739</v>
      </c>
      <c r="M55" s="103">
        <f ca="1">IF(AND(Energy!$F$11=$A$3,Main!$B$43=A55),'Aerodynamics-Cruise'!BJ32,M55)</f>
        <v>3.1013516833358228</v>
      </c>
      <c r="N55" s="103">
        <f ca="1">IF(AND(Energy!$F$11=$A$3,Main!$B$43=A55),'Aerodynamics-Cruise'!BK32,N55)</f>
        <v>22.253988915107612</v>
      </c>
      <c r="O55" s="103">
        <f t="shared" ca="1" si="0"/>
        <v>184.87888335514984</v>
      </c>
      <c r="P55" s="103">
        <f ca="1">IF(AND(Energy!$F$11=$A$3,Main!$B$43=A55),'Aerodynamics-Cruise'!H32,P55)</f>
        <v>9.1027888729542035</v>
      </c>
      <c r="Q55" s="103">
        <f ca="1">IF(AND(Energy!$F$11=$A$3,Main!$B$43=A55),'Aerodynamics-Cruise'!I32,Q55)</f>
        <v>7.7556032605963248</v>
      </c>
      <c r="R55" s="103">
        <f ca="1">IF(AND(Energy!$F$11=$A$3,Main!$B$43=$A55),Summary!R32,R55)</f>
        <v>5.8734608625234985</v>
      </c>
      <c r="S55" s="103">
        <f ca="1">IF(AND(Energy!$F$11=$A$3,Main!$B$43=A55),'Aerodynamics-Cruise'!W32,S55)</f>
        <v>1</v>
      </c>
      <c r="T55" s="103">
        <f ca="1">IF(AND(Energy!$F$11=$A$3,Main!$B$43=A55),'Aerodynamics-Cruise'!BL32,T55)</f>
        <v>28.230949594187116</v>
      </c>
      <c r="U55" s="103">
        <f ca="1">IF(AND(Energy!$F$11=$A$3,Main!$B$43=A55),'Propulsion-Cruise'!M32,U55)</f>
        <v>60.271714512141607</v>
      </c>
      <c r="V55" s="103">
        <f ca="1">IF(AND(Energy!$F$11=$A$3,Main!$B$43=A55),Endurance!AP32,V55)</f>
        <v>578.51581451342463</v>
      </c>
      <c r="W55" s="103">
        <f ca="1">IF(AND(Energy!$F$11=$A$3,Main!$B$43=$A55),Summary!W32,W55)</f>
        <v>1.5245614035087722</v>
      </c>
      <c r="X55" s="13">
        <f ca="1">IF(AND(Energy!$F$11=$A$3,Main!$B$43=A55),Energy!D32,X55)</f>
        <v>405.55094194637286</v>
      </c>
      <c r="Y55" s="102">
        <f ca="1">IF(AND(Energy!$F$11=$A$3,Main!$B$43=A55),'Aerodynamics-Cruise'!V32,Y55)</f>
        <v>141123.68842365232</v>
      </c>
      <c r="Z55" s="102">
        <f ca="1">IF(AND(Energy!$F$11=$A$3,Main!$B$43=$A55),Summary!Z32,Z55)</f>
        <v>106494.0377380342</v>
      </c>
      <c r="AA55" s="102">
        <f ca="1">IF(AND(Energy!$F$11=$A$3,Main!$B$43=$A55),Summary!AA32,AA55)</f>
        <v>106494.0377380342</v>
      </c>
      <c r="AB55" s="103">
        <f ca="1">IF(AND(Energy!$F$11=$A$3,Main!$B$43=$A55),Summary!AB32,AB55)</f>
        <v>5.8734608625234985</v>
      </c>
      <c r="AC55" s="103">
        <f ca="1">IF(AND(Energy!$F$11=$A$3,Main!$B$43=$A55),Summary!AC32,AC55)</f>
        <v>2.0687184639451313</v>
      </c>
      <c r="AD55" s="103">
        <f ca="1">IF(AND(Energy!$F$11=$A$3,Main!$B$43=$A55),Summary!AD32,AD55)</f>
        <v>0.43107235341882066</v>
      </c>
      <c r="AE55" s="103">
        <f ca="1">IF(AND(Energy!$F$11=$A$3,Main!$B$43=$A55),Summary!AE32,AE55)</f>
        <v>1.5245614035087722</v>
      </c>
      <c r="AF55" s="103">
        <f ca="1">IF(AND(Energy!$F$11=$A$3,Main!$B$43=$A55),Summary!AF32,AF55)</f>
        <v>25.514354066985646</v>
      </c>
      <c r="AG55" s="103">
        <f ca="1">IF(AND(Energy!$F$11=$A$3,Main!$B$43=$A55),Summary!AG32,AG55)</f>
        <v>11.999609783206594</v>
      </c>
      <c r="AH55" s="103">
        <f ca="1">IF(AND(Energy!$F$11=$A$3,Main!$B$43=$A55),Summary!AH32,AH55)</f>
        <v>47</v>
      </c>
      <c r="AI55" s="103">
        <f ca="1">IF(AND(Energy!$F$11=$A$3,Main!$B$43=$A55),Summary!AI32,AI55)</f>
        <v>2.7000610949053168</v>
      </c>
      <c r="AJ55" s="103">
        <f ca="1">IF(AND(Energy!$F$11=$A$3,Main!$B$43=$A55),Summary!AJ32,AJ55)</f>
        <v>0.23449018841076244</v>
      </c>
      <c r="AK55" s="103">
        <f ca="1">IF(AND(Energy!$F$11=$A$3,Main!$B$43=$A55),Summary!AK32,AK55)</f>
        <v>0.01</v>
      </c>
      <c r="AL55" s="103">
        <f ca="1">IF(AND(Energy!$F$11=$A$3,Main!$B$43=$A55),Summary!AL32,AL55)</f>
        <v>-0.53303410830126818</v>
      </c>
      <c r="AM55" s="103">
        <f ca="1">IF(AND(Energy!$F$11=$A$3,Main!$B$43=$A55),Summary!AJ72,AM55)</f>
        <v>0</v>
      </c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</row>
    <row r="56" spans="1:54">
      <c r="A56">
        <f t="shared" si="3"/>
        <v>3</v>
      </c>
      <c r="B56" s="100"/>
      <c r="C56" s="100"/>
      <c r="D56" s="1">
        <f ca="1">IF(AND(Energy!$F$11=$A$3,Main!$B$43=A56),Main!C33,D56)</f>
        <v>6.3947368421052637</v>
      </c>
      <c r="E56" s="103">
        <f ca="1">IF(AND(Energy!$F$11=$A$3,Main!$B$43=A56),Main!B33,E56)</f>
        <v>0.24444444444444446</v>
      </c>
      <c r="F56" s="103">
        <f ca="1">IF(Main!$D$6=1,U56,IF(Main!$D$6=2,N56,IF(Main!$D$6=3,K56,IF(Main!$D$6=4,V56,J56))))</f>
        <v>580.7292589191037</v>
      </c>
      <c r="G56" s="103">
        <f ca="1">IF(AND(Energy!$F$11=$A$3,Main!$B$43=A56),Weight!H33,G56)</f>
        <v>15</v>
      </c>
      <c r="H56" s="103">
        <f ca="1">IF(AND(Energy!$F$11=$A$3,Main!$B$43=A56),Weight!U33,H56)</f>
        <v>20.101345489848704</v>
      </c>
      <c r="I56" s="103">
        <f ca="1">IF(AND(Energy!$F$11=$A$3,Main!$B$43=A56),Weight!V33,I56)</f>
        <v>54.678044774516977</v>
      </c>
      <c r="J56" s="103">
        <f ca="1">IF(AND(Energy!$F$11=$A$3,Main!$B$43=A56),Weight!I33,J56)</f>
        <v>29.639051009668272</v>
      </c>
      <c r="K56" s="103">
        <f ca="1">IF(AND(Energy!$F$11=$A$3,Main!$B$43=A56),Weight!W33,K56)</f>
        <v>69.678057556348733</v>
      </c>
      <c r="L56" s="103">
        <f ca="1">IF(AND(Energy!$F$11=$A$3,Main!$B$43=A56),'Aerodynamics-Cruise'!BI33,L56)</f>
        <v>69.678031886616552</v>
      </c>
      <c r="M56" s="103">
        <f ca="1">IF(AND(Energy!$F$11=$A$3,Main!$B$43=A56),'Aerodynamics-Cruise'!BJ33,M56)</f>
        <v>3.1238359075607391</v>
      </c>
      <c r="N56" s="103">
        <f ca="1">IF(AND(Energy!$F$11=$A$3,Main!$B$43=A56),'Aerodynamics-Cruise'!BK33,N56)</f>
        <v>22.305279133891815</v>
      </c>
      <c r="O56" s="103">
        <f t="shared" ca="1" si="0"/>
        <v>186.18967766122458</v>
      </c>
      <c r="P56" s="103">
        <f ca="1">IF(AND(Energy!$F$11=$A$3,Main!$B$43=A56),'Aerodynamics-Cruise'!H33,P56)</f>
        <v>9.0326080110113356</v>
      </c>
      <c r="Q56" s="103">
        <f ca="1">IF(AND(Energy!$F$11=$A$3,Main!$B$43=A56),'Aerodynamics-Cruise'!I33,Q56)</f>
        <v>7.698242386350846</v>
      </c>
      <c r="R56" s="103">
        <f ca="1">IF(AND(Energy!$F$11=$A$3,Main!$B$43=$A56),Summary!R33,R56)</f>
        <v>5.8420416088093727</v>
      </c>
      <c r="S56" s="103">
        <f ca="1">IF(AND(Energy!$F$11=$A$3,Main!$B$43=A56),'Aerodynamics-Cruise'!W33,S56)</f>
        <v>1</v>
      </c>
      <c r="T56" s="103">
        <f ca="1">IF(AND(Energy!$F$11=$A$3,Main!$B$43=A56),'Aerodynamics-Cruise'!BL33,T56)</f>
        <v>28.216385243717998</v>
      </c>
      <c r="U56" s="103">
        <f ca="1">IF(AND(Energy!$F$11=$A$3,Main!$B$43=A56),'Propulsion-Cruise'!M33,U56)</f>
        <v>60.384205456570136</v>
      </c>
      <c r="V56" s="103">
        <f ca="1">IF(AND(Energy!$F$11=$A$3,Main!$B$43=A56),Endurance!AP33,V56)</f>
        <v>580.7292589191037</v>
      </c>
      <c r="W56" s="103">
        <f ca="1">IF(AND(Energy!$F$11=$A$3,Main!$B$43=$A56),Summary!W33,W56)</f>
        <v>1.5631578947368423</v>
      </c>
      <c r="X56" s="13">
        <f ca="1">IF(AND(Energy!$F$11=$A$3,Main!$B$43=A56),Energy!D33,X56)</f>
        <v>405.60259147345562</v>
      </c>
      <c r="Y56" s="102">
        <f ca="1">IF(AND(Energy!$F$11=$A$3,Main!$B$43=A56),'Aerodynamics-Cruise'!V33,Y56)</f>
        <v>140035.65021554276</v>
      </c>
      <c r="Z56" s="102">
        <f ca="1">IF(AND(Energy!$F$11=$A$3,Main!$B$43=$A56),Summary!Z33,Z56)</f>
        <v>105705.09805761135</v>
      </c>
      <c r="AA56" s="102">
        <f ca="1">IF(AND(Energy!$F$11=$A$3,Main!$B$43=$A56),Summary!AA33,AA56)</f>
        <v>105705.09805761135</v>
      </c>
      <c r="AB56" s="103">
        <f ca="1">IF(AND(Energy!$F$11=$A$3,Main!$B$43=$A56),Summary!AB33,AB56)</f>
        <v>5.8420416088093727</v>
      </c>
      <c r="AC56" s="103">
        <f ca="1">IF(AND(Energy!$F$11=$A$3,Main!$B$43=$A56),Summary!AC33,AC56)</f>
        <v>2.0343979859061565</v>
      </c>
      <c r="AD56" s="103">
        <f ca="1">IF(AND(Energy!$F$11=$A$3,Main!$B$43=$A56),Summary!AD33,AD56)</f>
        <v>0.43034522540523529</v>
      </c>
      <c r="AE56" s="103">
        <f ca="1">IF(AND(Energy!$F$11=$A$3,Main!$B$43=$A56),Summary!AE33,AE56)</f>
        <v>1.5631578947368423</v>
      </c>
      <c r="AF56" s="103">
        <f ca="1">IF(AND(Energy!$F$11=$A$3,Main!$B$43=$A56),Summary!AF33,AF56)</f>
        <v>26.160287081339714</v>
      </c>
      <c r="AG56" s="103">
        <f ca="1">IF(AND(Energy!$F$11=$A$3,Main!$B$43=$A56),Summary!AG33,AG56)</f>
        <v>12.026311463008847</v>
      </c>
      <c r="AH56" s="103">
        <f ca="1">IF(AND(Energy!$F$11=$A$3,Main!$B$43=$A56),Summary!AH33,AH56)</f>
        <v>47</v>
      </c>
      <c r="AI56" s="103">
        <f ca="1">IF(AND(Energy!$F$11=$A$3,Main!$B$43=$A56),Summary!AI33,AI56)</f>
        <v>2.6983544044887733</v>
      </c>
      <c r="AJ56" s="103">
        <f ca="1">IF(AND(Energy!$F$11=$A$3,Main!$B$43=$A56),Summary!AJ33,AJ56)</f>
        <v>0.2349834617807966</v>
      </c>
      <c r="AK56" s="103">
        <f ca="1">IF(AND(Energy!$F$11=$A$3,Main!$B$43=$A56),Summary!AK33,AK56)</f>
        <v>0.01</v>
      </c>
      <c r="AL56" s="103">
        <f ca="1">IF(AND(Energy!$F$11=$A$3,Main!$B$43=$A56),Summary!AL33,AL56)</f>
        <v>-0.53191513431606985</v>
      </c>
      <c r="AM56" s="103">
        <f ca="1">IF(AND(Energy!$F$11=$A$3,Main!$B$43=$A56),Summary!AJ73,AM56)</f>
        <v>0</v>
      </c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</row>
    <row r="57" spans="1:54">
      <c r="A57">
        <f t="shared" si="3"/>
        <v>3</v>
      </c>
      <c r="B57" s="100"/>
      <c r="C57" s="100"/>
      <c r="D57" s="1">
        <f ca="1">IF(AND(Energy!$F$11=$A$3,Main!$B$43=A57),Main!C34,D57)</f>
        <v>6.552631578947369</v>
      </c>
      <c r="E57" s="103">
        <f ca="1">IF(AND(Energy!$F$11=$A$3,Main!$B$43=A57),Main!B34,E57)</f>
        <v>0.24444444444444446</v>
      </c>
      <c r="F57" s="103">
        <f ca="1">IF(Main!$D$6=1,U57,IF(Main!$D$6=2,N57,IF(Main!$D$6=3,K57,IF(Main!$D$6=4,V57,J57))))</f>
        <v>583.44285774607715</v>
      </c>
      <c r="G57" s="103">
        <f ca="1">IF(AND(Energy!$F$11=$A$3,Main!$B$43=A57),Weight!H34,G57)</f>
        <v>15</v>
      </c>
      <c r="H57" s="103">
        <f ca="1">IF(AND(Energy!$F$11=$A$3,Main!$B$43=A57),Weight!U34,H57)</f>
        <v>20.682533302591253</v>
      </c>
      <c r="I57" s="103">
        <f ca="1">IF(AND(Energy!$F$11=$A$3,Main!$B$43=A57),Weight!V34,I57)</f>
        <v>55.374941136130815</v>
      </c>
      <c r="J57" s="103">
        <f ca="1">IF(AND(Energy!$F$11=$A$3,Main!$B$43=A57),Weight!I34,J57)</f>
        <v>29.754759558539561</v>
      </c>
      <c r="K57" s="103">
        <f ca="1">IF(AND(Energy!$F$11=$A$3,Main!$B$43=A57),Weight!W34,K57)</f>
        <v>70.374953830548449</v>
      </c>
      <c r="L57" s="103">
        <f ca="1">IF(AND(Energy!$F$11=$A$3,Main!$B$43=A57),'Aerodynamics-Cruise'!BI34,L57)</f>
        <v>70.3749283354596</v>
      </c>
      <c r="M57" s="103">
        <f ca="1">IF(AND(Energy!$F$11=$A$3,Main!$B$43=A57),'Aerodynamics-Cruise'!BJ34,M57)</f>
        <v>3.1479836671409913</v>
      </c>
      <c r="N57" s="103">
        <f ca="1">IF(AND(Energy!$F$11=$A$3,Main!$B$43=A57),'Aerodynamics-Cruise'!BK34,N57)</f>
        <v>22.355557009409242</v>
      </c>
      <c r="O57" s="103">
        <f t="shared" ca="1" si="0"/>
        <v>187.54024455210327</v>
      </c>
      <c r="P57" s="103">
        <f ca="1">IF(AND(Energy!$F$11=$A$3,Main!$B$43=A57),'Aerodynamics-Cruise'!H34,P57)</f>
        <v>8.9676137378303356</v>
      </c>
      <c r="Q57" s="103">
        <f ca="1">IF(AND(Energy!$F$11=$A$3,Main!$B$43=A57),'Aerodynamics-Cruise'!I34,Q57)</f>
        <v>7.6451043612007341</v>
      </c>
      <c r="R57" s="103">
        <f ca="1">IF(AND(Energy!$F$11=$A$3,Main!$B$43=$A57),Summary!R34,R57)</f>
        <v>5.8193537576076864</v>
      </c>
      <c r="S57" s="103">
        <f ca="1">IF(AND(Energy!$F$11=$A$3,Main!$B$43=A57),'Aerodynamics-Cruise'!W34,S57)</f>
        <v>1</v>
      </c>
      <c r="T57" s="103">
        <f ca="1">IF(AND(Energy!$F$11=$A$3,Main!$B$43=A57),'Aerodynamics-Cruise'!BL34,T57)</f>
        <v>28.229901579919073</v>
      </c>
      <c r="U57" s="103">
        <f ca="1">IF(AND(Energy!$F$11=$A$3,Main!$B$43=A57),'Propulsion-Cruise'!M34,U57)</f>
        <v>60.550526551977249</v>
      </c>
      <c r="V57" s="103">
        <f ca="1">IF(AND(Energy!$F$11=$A$3,Main!$B$43=A57),Endurance!AP34,V57)</f>
        <v>583.44285774607715</v>
      </c>
      <c r="W57" s="103">
        <f ca="1">IF(AND(Energy!$F$11=$A$3,Main!$B$43=$A57),Summary!W34,W57)</f>
        <v>1.6017543859649126</v>
      </c>
      <c r="X57" s="13">
        <f ca="1">IF(AND(Energy!$F$11=$A$3,Main!$B$43=A57),Energy!D34,X57)</f>
        <v>405.66678166607704</v>
      </c>
      <c r="Y57" s="102">
        <f ca="1">IF(AND(Energy!$F$11=$A$3,Main!$B$43=A57),'Aerodynamics-Cruise'!V34,Y57)</f>
        <v>139028.02148925542</v>
      </c>
      <c r="Z57" s="102">
        <f ca="1">IF(AND(Energy!$F$11=$A$3,Main!$B$43=$A57),Summary!Z34,Z57)</f>
        <v>104974.24806267754</v>
      </c>
      <c r="AA57" s="102">
        <f ca="1">IF(AND(Energy!$F$11=$A$3,Main!$B$43=$A57),Summary!AA34,AA57)</f>
        <v>104974.24806267754</v>
      </c>
      <c r="AB57" s="103">
        <f ca="1">IF(AND(Energy!$F$11=$A$3,Main!$B$43=$A57),Summary!AB34,AB57)</f>
        <v>5.8193537576076864</v>
      </c>
      <c r="AC57" s="103">
        <f ca="1">IF(AND(Energy!$F$11=$A$3,Main!$B$43=$A57),Summary!AC34,AC57)</f>
        <v>2.0003278599439271</v>
      </c>
      <c r="AD57" s="103">
        <f ca="1">IF(AND(Energy!$F$11=$A$3,Main!$B$43=$A57),Summary!AD34,AD57)</f>
        <v>0.42980911184375786</v>
      </c>
      <c r="AE57" s="103">
        <f ca="1">IF(AND(Energy!$F$11=$A$3,Main!$B$43=$A57),Summary!AE34,AE57)</f>
        <v>1.6017543859649126</v>
      </c>
      <c r="AF57" s="103">
        <f ca="1">IF(AND(Energy!$F$11=$A$3,Main!$B$43=$A57),Summary!AF34,AF57)</f>
        <v>26.806220095693782</v>
      </c>
      <c r="AG57" s="103">
        <f ca="1">IF(AND(Energy!$F$11=$A$3,Main!$B$43=$A57),Summary!AG34,AG57)</f>
        <v>12.058976578186186</v>
      </c>
      <c r="AH57" s="103">
        <f ca="1">IF(AND(Energy!$F$11=$A$3,Main!$B$43=$A57),Summary!AH34,AH57)</f>
        <v>47</v>
      </c>
      <c r="AI57" s="103">
        <f ca="1">IF(AND(Energy!$F$11=$A$3,Main!$B$43=$A57),Summary!AI34,AI57)</f>
        <v>2.6967629930298807</v>
      </c>
      <c r="AJ57" s="103">
        <f ca="1">IF(AND(Energy!$F$11=$A$3,Main!$B$43=$A57),Summary!AJ34,AJ57)</f>
        <v>0.23544702586992239</v>
      </c>
      <c r="AK57" s="103">
        <f ca="1">IF(AND(Energy!$F$11=$A$3,Main!$B$43=$A57),Summary!AK34,AK57)</f>
        <v>0.01</v>
      </c>
      <c r="AL57" s="103">
        <f ca="1">IF(AND(Energy!$F$11=$A$3,Main!$B$43=$A57),Summary!AL34,AL57)</f>
        <v>-0.53086782580552183</v>
      </c>
      <c r="AM57" s="103">
        <f ca="1">IF(AND(Energy!$F$11=$A$3,Main!$B$43=$A57),Summary!AJ74,AM57)</f>
        <v>0</v>
      </c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</row>
    <row r="58" spans="1:54">
      <c r="A58">
        <f t="shared" si="3"/>
        <v>3</v>
      </c>
      <c r="B58" s="100"/>
      <c r="C58" s="100"/>
      <c r="D58" s="1">
        <f ca="1">IF(AND(Energy!$F$11=$A$3,Main!$B$43=A58),Main!C35,D58)</f>
        <v>6.7105263157894743</v>
      </c>
      <c r="E58" s="103">
        <f ca="1">IF(AND(Energy!$F$11=$A$3,Main!$B$43=A58),Main!B35,E58)</f>
        <v>0.24444444444444446</v>
      </c>
      <c r="F58" s="103">
        <f ca="1">IF(Main!$D$6=1,U58,IF(Main!$D$6=2,N58,IF(Main!$D$6=3,K58,IF(Main!$D$6=4,V58,J58))))</f>
        <v>586.62233482002796</v>
      </c>
      <c r="G58" s="103">
        <f ca="1">IF(AND(Energy!$F$11=$A$3,Main!$B$43=A58),Weight!H35,G58)</f>
        <v>15</v>
      </c>
      <c r="H58" s="103">
        <f ca="1">IF(AND(Energy!$F$11=$A$3,Main!$B$43=A58),Weight!U35,H58)</f>
        <v>21.277457828205144</v>
      </c>
      <c r="I58" s="103">
        <f ca="1">IF(AND(Energy!$F$11=$A$3,Main!$B$43=A58),Weight!V35,I58)</f>
        <v>56.1066184608258</v>
      </c>
      <c r="J58" s="103">
        <f ca="1">IF(AND(Energy!$F$11=$A$3,Main!$B$43=A58),Weight!I35,J58)</f>
        <v>29.891512357620655</v>
      </c>
      <c r="K58" s="103">
        <f ca="1">IF(AND(Energy!$F$11=$A$3,Main!$B$43=A58),Weight!W35,K58)</f>
        <v>71.106631097446723</v>
      </c>
      <c r="L58" s="103">
        <f ca="1">IF(AND(Energy!$F$11=$A$3,Main!$B$43=A58),'Aerodynamics-Cruise'!BI35,L58)</f>
        <v>71.106605717599692</v>
      </c>
      <c r="M58" s="103">
        <f ca="1">IF(AND(Energy!$F$11=$A$3,Main!$B$43=A58),'Aerodynamics-Cruise'!BJ35,M58)</f>
        <v>3.1736811474151652</v>
      </c>
      <c r="N58" s="103">
        <f ca="1">IF(AND(Energy!$F$11=$A$3,Main!$B$43=A58),'Aerodynamics-Cruise'!BK35,N58)</f>
        <v>22.405088102663729</v>
      </c>
      <c r="O58" s="103">
        <f t="shared" ca="1" si="0"/>
        <v>188.93030689419035</v>
      </c>
      <c r="P58" s="103">
        <f ca="1">IF(AND(Energy!$F$11=$A$3,Main!$B$43=A58),'Aerodynamics-Cruise'!H35,P58)</f>
        <v>8.9074161759400656</v>
      </c>
      <c r="Q58" s="103">
        <f ca="1">IF(AND(Energy!$F$11=$A$3,Main!$B$43=A58),'Aerodynamics-Cruise'!I35,Q58)</f>
        <v>7.5958739666593686</v>
      </c>
      <c r="R58" s="103">
        <f ca="1">IF(AND(Energy!$F$11=$A$3,Main!$B$43=$A58),Summary!R35,R58)</f>
        <v>5.8047157662984263</v>
      </c>
      <c r="S58" s="103">
        <f ca="1">IF(AND(Energy!$F$11=$A$3,Main!$B$43=A58),'Aerodynamics-Cruise'!W35,S58)</f>
        <v>1</v>
      </c>
      <c r="T58" s="103">
        <f ca="1">IF(AND(Energy!$F$11=$A$3,Main!$B$43=A58),'Aerodynamics-Cruise'!BL35,T58)</f>
        <v>28.269298789761869</v>
      </c>
      <c r="U58" s="103">
        <f ca="1">IF(AND(Energy!$F$11=$A$3,Main!$B$43=A58),'Propulsion-Cruise'!M35,U58)</f>
        <v>60.766758355846292</v>
      </c>
      <c r="V58" s="103">
        <f ca="1">IF(AND(Energy!$F$11=$A$3,Main!$B$43=A58),Endurance!AP35,V58)</f>
        <v>586.62233482002796</v>
      </c>
      <c r="W58" s="103">
        <f ca="1">IF(AND(Energy!$F$11=$A$3,Main!$B$43=$A58),Summary!W35,W58)</f>
        <v>1.6403508771929827</v>
      </c>
      <c r="X58" s="13">
        <f ca="1">IF(AND(Energy!$F$11=$A$3,Main!$B$43=A58),Energy!D35,X58)</f>
        <v>405.74264634096062</v>
      </c>
      <c r="Y58" s="102">
        <f ca="1">IF(AND(Energy!$F$11=$A$3,Main!$B$43=A58),'Aerodynamics-Cruise'!V35,Y58)</f>
        <v>138094.75783933088</v>
      </c>
      <c r="Z58" s="102">
        <f ca="1">IF(AND(Energy!$F$11=$A$3,Main!$B$43=$A58),Summary!Z35,Z58)</f>
        <v>104297.15040321535</v>
      </c>
      <c r="AA58" s="102">
        <f ca="1">IF(AND(Energy!$F$11=$A$3,Main!$B$43=$A58),Summary!AA35,AA58)</f>
        <v>104297.15040321535</v>
      </c>
      <c r="AB58" s="103">
        <f ca="1">IF(AND(Energy!$F$11=$A$3,Main!$B$43=$A58),Summary!AB35,AB58)</f>
        <v>5.8047157662984263</v>
      </c>
      <c r="AC58" s="103">
        <f ca="1">IF(AND(Energy!$F$11=$A$3,Main!$B$43=$A58),Summary!AC35,AC58)</f>
        <v>1.9665567289123094</v>
      </c>
      <c r="AD58" s="103">
        <f ca="1">IF(AND(Energy!$F$11=$A$3,Main!$B$43=$A58),Summary!AD35,AD58)</f>
        <v>0.42944961642034785</v>
      </c>
      <c r="AE58" s="103">
        <f ca="1">IF(AND(Energy!$F$11=$A$3,Main!$B$43=$A58),Summary!AE35,AE58)</f>
        <v>1.6403508771929827</v>
      </c>
      <c r="AF58" s="103">
        <f ca="1">IF(AND(Energy!$F$11=$A$3,Main!$B$43=$A58),Summary!AF35,AF58)</f>
        <v>27.452153110047849</v>
      </c>
      <c r="AG58" s="103">
        <f ca="1">IF(AND(Energy!$F$11=$A$3,Main!$B$43=$A58),Summary!AG35,AG58)</f>
        <v>12.097160166466667</v>
      </c>
      <c r="AH58" s="103">
        <f ca="1">IF(AND(Energy!$F$11=$A$3,Main!$B$43=$A58),Summary!AH35,AH58)</f>
        <v>47</v>
      </c>
      <c r="AI58" s="103">
        <f ca="1">IF(AND(Energy!$F$11=$A$3,Main!$B$43=$A58),Summary!AI35,AI58)</f>
        <v>2.6952795764382098</v>
      </c>
      <c r="AJ58" s="103">
        <f ca="1">IF(AND(Energy!$F$11=$A$3,Main!$B$43=$A58),Summary!AJ35,AJ58)</f>
        <v>0.2358826835799889</v>
      </c>
      <c r="AK58" s="103">
        <f ca="1">IF(AND(Energy!$F$11=$A$3,Main!$B$43=$A58),Summary!AK35,AK58)</f>
        <v>0.01</v>
      </c>
      <c r="AL58" s="103">
        <f ca="1">IF(AND(Energy!$F$11=$A$3,Main!$B$43=$A58),Summary!AL35,AL58)</f>
        <v>-0.5298873145018006</v>
      </c>
      <c r="AM58" s="103">
        <f ca="1">IF(AND(Energy!$F$11=$A$3,Main!$B$43=$A58),Summary!AJ75,AM58)</f>
        <v>0</v>
      </c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</row>
    <row r="59" spans="1:54">
      <c r="A59">
        <f t="shared" si="3"/>
        <v>3</v>
      </c>
      <c r="B59" s="100"/>
      <c r="C59" s="100"/>
      <c r="D59" s="1">
        <f ca="1">IF(AND(Energy!$F$11=$A$3,Main!$B$43=A59),Main!C36,D59)</f>
        <v>6.8684210526315796</v>
      </c>
      <c r="E59" s="103">
        <f ca="1">IF(AND(Energy!$F$11=$A$3,Main!$B$43=A59),Main!B36,E59)</f>
        <v>0.24444444444444446</v>
      </c>
      <c r="F59" s="103">
        <f ca="1">IF(Main!$D$6=1,U59,IF(Main!$D$6=2,N59,IF(Main!$D$6=3,K59,IF(Main!$D$6=4,V59,J59))))</f>
        <v>590.23815574273783</v>
      </c>
      <c r="G59" s="103">
        <f ca="1">IF(AND(Energy!$F$11=$A$3,Main!$B$43=A59),Weight!H36,G59)</f>
        <v>15</v>
      </c>
      <c r="H59" s="103">
        <f ca="1">IF(AND(Energy!$F$11=$A$3,Main!$B$43=A59),Weight!U36,H59)</f>
        <v>21.886169197967689</v>
      </c>
      <c r="I59" s="103">
        <f ca="1">IF(AND(Energy!$F$11=$A$3,Main!$B$43=A59),Weight!V36,I59)</f>
        <v>56.871781360959417</v>
      </c>
      <c r="J59" s="103">
        <f ca="1">IF(AND(Energy!$F$11=$A$3,Main!$B$43=A59),Weight!I36,J59)</f>
        <v>30.047963887991727</v>
      </c>
      <c r="K59" s="103">
        <f ca="1">IF(AND(Energy!$F$11=$A$3,Main!$B$43=A59),Weight!W36,K59)</f>
        <v>71.871793967013033</v>
      </c>
      <c r="L59" s="103">
        <f ca="1">IF(AND(Energy!$F$11=$A$3,Main!$B$43=A59),'Aerodynamics-Cruise'!BI36,L59)</f>
        <v>71.871768647801758</v>
      </c>
      <c r="M59" s="103">
        <f ca="1">IF(AND(Energy!$F$11=$A$3,Main!$B$43=A59),'Aerodynamics-Cruise'!BJ36,M59)</f>
        <v>3.2008291070054877</v>
      </c>
      <c r="N59" s="103">
        <f ca="1">IF(AND(Energy!$F$11=$A$3,Main!$B$43=A59),'Aerodynamics-Cruise'!BK36,N59)</f>
        <v>22.454109933735534</v>
      </c>
      <c r="O59" s="103">
        <f t="shared" ca="1" si="0"/>
        <v>190.35969957534584</v>
      </c>
      <c r="P59" s="103">
        <f ca="1">IF(AND(Energy!$F$11=$A$3,Main!$B$43=A59),'Aerodynamics-Cruise'!H36,P59)</f>
        <v>8.8516676240060725</v>
      </c>
      <c r="Q59" s="103">
        <f ca="1">IF(AND(Energy!$F$11=$A$3,Main!$B$43=A59),'Aerodynamics-Cruise'!I36,Q59)</f>
        <v>7.5502699099982422</v>
      </c>
      <c r="R59" s="103">
        <f ca="1">IF(AND(Energy!$F$11=$A$3,Main!$B$43=$A59),Summary!R36,R59)</f>
        <v>5.7975456129524847</v>
      </c>
      <c r="S59" s="103">
        <f ca="1">IF(AND(Energy!$F$11=$A$3,Main!$B$43=A59),'Aerodynamics-Cruise'!W36,S59)</f>
        <v>1</v>
      </c>
      <c r="T59" s="103">
        <f ca="1">IF(AND(Energy!$F$11=$A$3,Main!$B$43=A59),'Aerodynamics-Cruise'!BL36,T59)</f>
        <v>28.332675376456745</v>
      </c>
      <c r="U59" s="103">
        <f ca="1">IF(AND(Energy!$F$11=$A$3,Main!$B$43=A59),'Propulsion-Cruise'!M36,U59)</f>
        <v>61.029515907865971</v>
      </c>
      <c r="V59" s="103">
        <f ca="1">IF(AND(Energy!$F$11=$A$3,Main!$B$43=A59),Endurance!AP36,V59)</f>
        <v>590.23815574273783</v>
      </c>
      <c r="W59" s="103">
        <f ca="1">IF(AND(Energy!$F$11=$A$3,Main!$B$43=$A59),Summary!W36,W59)</f>
        <v>1.678947368421053</v>
      </c>
      <c r="X59" s="13">
        <f ca="1">IF(AND(Energy!$F$11=$A$3,Main!$B$43=A59),Energy!D36,X59)</f>
        <v>405.82943905936776</v>
      </c>
      <c r="Y59" s="102">
        <f ca="1">IF(AND(Energy!$F$11=$A$3,Main!$B$43=A59),'Aerodynamics-Cruise'!V36,Y59)</f>
        <v>137230.46873156325</v>
      </c>
      <c r="Z59" s="102">
        <f ca="1">IF(AND(Energy!$F$11=$A$3,Main!$B$43=$A59),Summary!Z36,Z59)</f>
        <v>103669.93463533143</v>
      </c>
      <c r="AA59" s="102">
        <f ca="1">IF(AND(Energy!$F$11=$A$3,Main!$B$43=$A59),Summary!AA36,AA59)</f>
        <v>103669.93463533143</v>
      </c>
      <c r="AB59" s="103">
        <f ca="1">IF(AND(Energy!$F$11=$A$3,Main!$B$43=$A59),Summary!AB36,AB59)</f>
        <v>5.7975456129524847</v>
      </c>
      <c r="AC59" s="103">
        <f ca="1">IF(AND(Energy!$F$11=$A$3,Main!$B$43=$A59),Summary!AC36,AC59)</f>
        <v>1.9331238173755652</v>
      </c>
      <c r="AD59" s="103">
        <f ca="1">IF(AND(Energy!$F$11=$A$3,Main!$B$43=$A59),Summary!AD36,AD59)</f>
        <v>0.42925396660431586</v>
      </c>
      <c r="AE59" s="103">
        <f ca="1">IF(AND(Energy!$F$11=$A$3,Main!$B$43=$A59),Summary!AE36,AE59)</f>
        <v>1.678947368421053</v>
      </c>
      <c r="AF59" s="103">
        <f ca="1">IF(AND(Energy!$F$11=$A$3,Main!$B$43=$A59),Summary!AF36,AF59)</f>
        <v>28.098086124401913</v>
      </c>
      <c r="AG59" s="103">
        <f ca="1">IF(AND(Energy!$F$11=$A$3,Main!$B$43=$A59),Summary!AG36,AG59)</f>
        <v>12.140473520514304</v>
      </c>
      <c r="AH59" s="103">
        <f ca="1">IF(AND(Energy!$F$11=$A$3,Main!$B$43=$A59),Summary!AH36,AH59)</f>
        <v>47</v>
      </c>
      <c r="AI59" s="103">
        <f ca="1">IF(AND(Energy!$F$11=$A$3,Main!$B$43=$A59),Summary!AI36,AI59)</f>
        <v>2.6938975619630448</v>
      </c>
      <c r="AJ59" s="103">
        <f ca="1">IF(AND(Energy!$F$11=$A$3,Main!$B$43=$A59),Summary!AJ36,AJ59)</f>
        <v>0.23629208243459945</v>
      </c>
      <c r="AK59" s="103">
        <f ca="1">IF(AND(Energy!$F$11=$A$3,Main!$B$43=$A59),Summary!AK36,AK59)</f>
        <v>0.01</v>
      </c>
      <c r="AL59" s="103">
        <f ca="1">IF(AND(Energy!$F$11=$A$3,Main!$B$43=$A59),Summary!AL36,AL59)</f>
        <v>-0.52896919531332331</v>
      </c>
      <c r="AM59" s="103">
        <f ca="1">IF(AND(Energy!$F$11=$A$3,Main!$B$43=$A59),Summary!AJ76,AM59)</f>
        <v>0</v>
      </c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</row>
    <row r="60" spans="1:54">
      <c r="A60">
        <f t="shared" si="3"/>
        <v>3</v>
      </c>
      <c r="B60" s="100"/>
      <c r="C60" s="100"/>
      <c r="D60" s="1">
        <f ca="1">IF(AND(Energy!$F$11=$A$3,Main!$B$43=A60),Main!C37,D60)</f>
        <v>7.026315789473685</v>
      </c>
      <c r="E60" s="103">
        <f ca="1">IF(AND(Energy!$F$11=$A$3,Main!$B$43=A60),Main!B37,E60)</f>
        <v>0.24444444444444446</v>
      </c>
      <c r="F60" s="103">
        <f ca="1">IF(Main!$D$6=1,U60,IF(Main!$D$6=2,N60,IF(Main!$D$6=3,K60,IF(Main!$D$6=4,V60,J60))))</f>
        <v>594.26478797860329</v>
      </c>
      <c r="G60" s="103">
        <f ca="1">IF(AND(Energy!$F$11=$A$3,Main!$B$43=A60),Weight!H37,G60)</f>
        <v>15</v>
      </c>
      <c r="H60" s="103">
        <f ca="1">IF(AND(Energy!$F$11=$A$3,Main!$B$43=A60),Weight!U37,H60)</f>
        <v>22.5087334039155</v>
      </c>
      <c r="I60" s="103">
        <f ca="1">IF(AND(Energy!$F$11=$A$3,Main!$B$43=A60),Weight!V37,I60)</f>
        <v>57.669332461286771</v>
      </c>
      <c r="J60" s="103">
        <f ca="1">IF(AND(Energy!$F$11=$A$3,Main!$B$43=A60),Weight!I37,J60)</f>
        <v>30.222950782371274</v>
      </c>
      <c r="K60" s="103">
        <f ca="1">IF(AND(Energy!$F$11=$A$3,Main!$B$43=A60),Weight!W37,K60)</f>
        <v>72.66934506199118</v>
      </c>
      <c r="L60" s="103">
        <f ca="1">IF(AND(Energy!$F$11=$A$3,Main!$B$43=A60),'Aerodynamics-Cruise'!BI37,L60)</f>
        <v>72.66931975284821</v>
      </c>
      <c r="M60" s="103">
        <f ca="1">IF(AND(Energy!$F$11=$A$3,Main!$B$43=A60),'Aerodynamics-Cruise'!BJ37,M60)</f>
        <v>3.2293406853880819</v>
      </c>
      <c r="N60" s="103">
        <f ca="1">IF(AND(Energy!$F$11=$A$3,Main!$B$43=A60),'Aerodynamics-Cruise'!BK37,N60)</f>
        <v>22.502834737027836</v>
      </c>
      <c r="O60" s="103">
        <f t="shared" ca="1" si="0"/>
        <v>191.8283441969611</v>
      </c>
      <c r="P60" s="103">
        <f ca="1">IF(AND(Energy!$F$11=$A$3,Main!$B$43=A60),'Aerodynamics-Cruise'!H37,P60)</f>
        <v>8.8000567432309751</v>
      </c>
      <c r="Q60" s="103">
        <f ca="1">IF(AND(Energy!$F$11=$A$3,Main!$B$43=A60),'Aerodynamics-Cruise'!I37,Q60)</f>
        <v>7.5080401626251261</v>
      </c>
      <c r="R60" s="103">
        <f ca="1">IF(AND(Energy!$F$11=$A$3,Main!$B$43=$A60),Summary!R37,R60)</f>
        <v>5.7973447323012923</v>
      </c>
      <c r="S60" s="103">
        <f ca="1">IF(AND(Energy!$F$11=$A$3,Main!$B$43=A60),'Aerodynamics-Cruise'!W37,S60)</f>
        <v>1</v>
      </c>
      <c r="T60" s="103">
        <f ca="1">IF(AND(Energy!$F$11=$A$3,Main!$B$43=A60),'Aerodynamics-Cruise'!BL37,T60)</f>
        <v>28.418381274639529</v>
      </c>
      <c r="U60" s="103">
        <f ca="1">IF(AND(Energy!$F$11=$A$3,Main!$B$43=A60),'Propulsion-Cruise'!M37,U60)</f>
        <v>61.335865201743957</v>
      </c>
      <c r="V60" s="103">
        <f ca="1">IF(AND(Energy!$F$11=$A$3,Main!$B$43=A60),Endurance!AP37,V60)</f>
        <v>594.26478797860329</v>
      </c>
      <c r="W60" s="103">
        <f ca="1">IF(AND(Energy!$F$11=$A$3,Main!$B$43=$A60),Summary!W37,W60)</f>
        <v>1.717543859649123</v>
      </c>
      <c r="X60" s="13">
        <f ca="1">IF(AND(Energy!$F$11=$A$3,Main!$B$43=A60),Energy!D37,X60)</f>
        <v>405.9265144328445</v>
      </c>
      <c r="Y60" s="102">
        <f ca="1">IF(AND(Energy!$F$11=$A$3,Main!$B$43=A60),'Aerodynamics-Cruise'!V37,Y60)</f>
        <v>136430.32737275225</v>
      </c>
      <c r="Z60" s="102">
        <f ca="1">IF(AND(Energy!$F$11=$A$3,Main!$B$43=$A60),Summary!Z37,Z60)</f>
        <v>103089.13305736858</v>
      </c>
      <c r="AA60" s="102">
        <f ca="1">IF(AND(Energy!$F$11=$A$3,Main!$B$43=$A60),Summary!AA37,AA60)</f>
        <v>103089.13305736858</v>
      </c>
      <c r="AB60" s="103">
        <f ca="1">IF(AND(Energy!$F$11=$A$3,Main!$B$43=$A60),Summary!AB37,AB60)</f>
        <v>5.7973447323012923</v>
      </c>
      <c r="AC60" s="103">
        <f ca="1">IF(AND(Energy!$F$11=$A$3,Main!$B$43=$A60),Summary!AC37,AC60)</f>
        <v>1.9000605782339737</v>
      </c>
      <c r="AD60" s="103">
        <f ca="1">IF(AND(Energy!$F$11=$A$3,Main!$B$43=$A60),Summary!AD37,AD60)</f>
        <v>0.42921078478820401</v>
      </c>
      <c r="AE60" s="103">
        <f ca="1">IF(AND(Energy!$F$11=$A$3,Main!$B$43=$A60),Summary!AE37,AE60)</f>
        <v>1.717543859649123</v>
      </c>
      <c r="AF60" s="103">
        <f ca="1">IF(AND(Energy!$F$11=$A$3,Main!$B$43=$A60),Summary!AF37,AF60)</f>
        <v>28.744019138755984</v>
      </c>
      <c r="AG60" s="103">
        <f ca="1">IF(AND(Energy!$F$11=$A$3,Main!$B$43=$A60),Summary!AG37,AG60)</f>
        <v>12.188575696375249</v>
      </c>
      <c r="AH60" s="103">
        <f ca="1">IF(AND(Energy!$F$11=$A$3,Main!$B$43=$A60),Summary!AH37,AH60)</f>
        <v>47</v>
      </c>
      <c r="AI60" s="103">
        <f ca="1">IF(AND(Energy!$F$11=$A$3,Main!$B$43=$A60),Summary!AI37,AI60)</f>
        <v>2.6926109595855658</v>
      </c>
      <c r="AJ60" s="103">
        <f ca="1">IF(AND(Energy!$F$11=$A$3,Main!$B$43=$A60),Summary!AJ37,AJ60)</f>
        <v>0.23667672678001986</v>
      </c>
      <c r="AK60" s="103">
        <f ca="1">IF(AND(Energy!$F$11=$A$3,Main!$B$43=$A60),Summary!AK37,AK60)</f>
        <v>0.01</v>
      </c>
      <c r="AL60" s="103">
        <f ca="1">IF(AND(Energy!$F$11=$A$3,Main!$B$43=$A60),Summary!AL37,AL60)</f>
        <v>-0.52810948216030029</v>
      </c>
      <c r="AM60" s="103">
        <f ca="1">IF(AND(Energy!$F$11=$A$3,Main!$B$43=$A60),Summary!AJ77,AM60)</f>
        <v>0</v>
      </c>
      <c r="AN60" s="100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</row>
    <row r="61" spans="1:54">
      <c r="A61">
        <f t="shared" si="3"/>
        <v>3</v>
      </c>
      <c r="B61" s="100"/>
      <c r="C61" s="100"/>
      <c r="D61" s="1">
        <f ca="1">IF(AND(Energy!$F$11=$A$3,Main!$B$43=A61),Main!C38,D61)</f>
        <v>7.1842105263157903</v>
      </c>
      <c r="E61" s="103">
        <f ca="1">IF(AND(Energy!$F$11=$A$3,Main!$B$43=A61),Main!B38,E61)</f>
        <v>0.24444444444444446</v>
      </c>
      <c r="F61" s="103">
        <f ca="1">IF(Main!$D$6=1,U61,IF(Main!$D$6=2,N61,IF(Main!$D$6=3,K61,IF(Main!$D$6=4,V61,J61))))</f>
        <v>598.68009645596703</v>
      </c>
      <c r="G61" s="103">
        <f ca="1">IF(AND(Energy!$F$11=$A$3,Main!$B$43=A61),Weight!H38,G61)</f>
        <v>15</v>
      </c>
      <c r="H61" s="103">
        <f ca="1">IF(AND(Energy!$F$11=$A$3,Main!$B$43=A61),Weight!U38,H61)</f>
        <v>23.145230219907162</v>
      </c>
      <c r="I61" s="103">
        <f ca="1">IF(AND(Energy!$F$11=$A$3,Main!$B$43=A61),Weight!V38,I61)</f>
        <v>58.49834279566312</v>
      </c>
      <c r="J61" s="103">
        <f ca="1">IF(AND(Energy!$F$11=$A$3,Main!$B$43=A61),Weight!I38,J61)</f>
        <v>30.415464300755957</v>
      </c>
      <c r="K61" s="103">
        <f ca="1">IF(AND(Energy!$F$11=$A$3,Main!$B$43=A61),Weight!W38,K61)</f>
        <v>73.498355414551639</v>
      </c>
      <c r="L61" s="103">
        <f ca="1">IF(AND(Energy!$F$11=$A$3,Main!$B$43=A61),'Aerodynamics-Cruise'!BI38,L61)</f>
        <v>73.498330068292404</v>
      </c>
      <c r="M61" s="103">
        <f ca="1">IF(AND(Energy!$F$11=$A$3,Main!$B$43=A61),'Aerodynamics-Cruise'!BJ38,M61)</f>
        <v>3.2591395970351931</v>
      </c>
      <c r="N61" s="103">
        <f ca="1">IF(AND(Energy!$F$11=$A$3,Main!$B$43=A61),'Aerodynamics-Cruise'!BK38,N61)</f>
        <v>22.551451964547056</v>
      </c>
      <c r="O61" s="103">
        <f t="shared" ca="1" si="0"/>
        <v>193.33622959969705</v>
      </c>
      <c r="P61" s="103">
        <f ca="1">IF(AND(Energy!$F$11=$A$3,Main!$B$43=A61),'Aerodynamics-Cruise'!H38,P61)</f>
        <v>8.7523037078379993</v>
      </c>
      <c r="Q61" s="103">
        <f ca="1">IF(AND(Energy!$F$11=$A$3,Main!$B$43=A61),'Aerodynamics-Cruise'!I38,Q61)</f>
        <v>7.4689580697938673</v>
      </c>
      <c r="R61" s="103">
        <f ca="1">IF(AND(Energy!$F$11=$A$3,Main!$B$43=$A61),Summary!R38,R61)</f>
        <v>5.8036850230882422</v>
      </c>
      <c r="S61" s="103">
        <f ca="1">IF(AND(Energy!$F$11=$A$3,Main!$B$43=A61),'Aerodynamics-Cruise'!W38,S61)</f>
        <v>1</v>
      </c>
      <c r="T61" s="103">
        <f ca="1">IF(AND(Energy!$F$11=$A$3,Main!$B$43=A61),'Aerodynamics-Cruise'!BL38,T61)</f>
        <v>28.524979579492761</v>
      </c>
      <c r="U61" s="103">
        <f ca="1">IF(AND(Energy!$F$11=$A$3,Main!$B$43=A61),'Propulsion-Cruise'!M38,U61)</f>
        <v>61.683254960417294</v>
      </c>
      <c r="V61" s="103">
        <f ca="1">IF(AND(Energy!$F$11=$A$3,Main!$B$43=A61),Endurance!AP38,V61)</f>
        <v>598.68009645596703</v>
      </c>
      <c r="W61" s="103">
        <f ca="1">IF(AND(Energy!$F$11=$A$3,Main!$B$43=$A61),Summary!W38,W61)</f>
        <v>1.7561403508771933</v>
      </c>
      <c r="X61" s="13">
        <f ca="1">IF(AND(Energy!$F$11=$A$3,Main!$B$43=A61),Energy!D38,X61)</f>
        <v>406.03331285383376</v>
      </c>
      <c r="Y61" s="102">
        <f ca="1">IF(AND(Energy!$F$11=$A$3,Main!$B$43=A61),'Aerodynamics-Cruise'!V38,Y61)</f>
        <v>135689.99552696984</v>
      </c>
      <c r="Z61" s="102">
        <f ca="1">IF(AND(Energy!$F$11=$A$3,Main!$B$43=$A61),Summary!Z38,Z61)</f>
        <v>102551.62716376645</v>
      </c>
      <c r="AA61" s="102">
        <f ca="1">IF(AND(Energy!$F$11=$A$3,Main!$B$43=$A61),Summary!AA38,AA61)</f>
        <v>102551.62716376645</v>
      </c>
      <c r="AB61" s="103">
        <f ca="1">IF(AND(Energy!$F$11=$A$3,Main!$B$43=$A61),Summary!AB38,AB61)</f>
        <v>5.8036850230882422</v>
      </c>
      <c r="AC61" s="103">
        <f ca="1">IF(AND(Energy!$F$11=$A$3,Main!$B$43=$A61),Summary!AC38,AC61)</f>
        <v>1.8673920219241706</v>
      </c>
      <c r="AD61" s="103">
        <f ca="1">IF(AND(Energy!$F$11=$A$3,Main!$B$43=$A61),Summary!AD38,AD61)</f>
        <v>0.4293098978841397</v>
      </c>
      <c r="AE61" s="103">
        <f ca="1">IF(AND(Energy!$F$11=$A$3,Main!$B$43=$A61),Summary!AE38,AE61)</f>
        <v>1.7561403508771933</v>
      </c>
      <c r="AF61" s="103">
        <f ca="1">IF(AND(Energy!$F$11=$A$3,Main!$B$43=$A61),Summary!AF38,AF61)</f>
        <v>29.389952153110048</v>
      </c>
      <c r="AG61" s="103">
        <f ca="1">IF(AND(Energy!$F$11=$A$3,Main!$B$43=$A61),Summary!AG38,AG61)</f>
        <v>12.241166522405551</v>
      </c>
      <c r="AH61" s="103">
        <f ca="1">IF(AND(Energy!$F$11=$A$3,Main!$B$43=$A61),Summary!AH38,AH61)</f>
        <v>47</v>
      </c>
      <c r="AI61" s="103">
        <f ca="1">IF(AND(Energy!$F$11=$A$3,Main!$B$43=$A61),Summary!AI38,AI61)</f>
        <v>2.6914143074100889</v>
      </c>
      <c r="AJ61" s="103">
        <f ca="1">IF(AND(Energy!$F$11=$A$3,Main!$B$43=$A61),Summary!AJ38,AJ61)</f>
        <v>0.2370379968629808</v>
      </c>
      <c r="AK61" s="103">
        <f ca="1">IF(AND(Energy!$F$11=$A$3,Main!$B$43=$A61),Summary!AK38,AK61)</f>
        <v>0.01</v>
      </c>
      <c r="AL61" s="103">
        <f ca="1">IF(AND(Energy!$F$11=$A$3,Main!$B$43=$A61),Summary!AL38,AL61)</f>
        <v>-0.52730455094403528</v>
      </c>
      <c r="AM61" s="103">
        <f ca="1">IF(AND(Energy!$F$11=$A$3,Main!$B$43=$A61),Summary!AJ78,AM61)</f>
        <v>0</v>
      </c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</row>
    <row r="62" spans="1:54">
      <c r="A62">
        <f t="shared" si="3"/>
        <v>3</v>
      </c>
      <c r="B62" s="100"/>
      <c r="C62" s="100"/>
      <c r="D62" s="1">
        <f ca="1">IF(AND(Energy!$F$11=$A$3,Main!$B$43=A62),Main!C39,D62)</f>
        <v>7.3421052631578956</v>
      </c>
      <c r="E62" s="103">
        <f ca="1">IF(AND(Energy!$F$11=$A$3,Main!$B$43=A62),Main!B39,E62)</f>
        <v>0.24444444444444446</v>
      </c>
      <c r="F62" s="103">
        <f ca="1">IF(Main!$D$6=1,U62,IF(Main!$D$6=2,N62,IF(Main!$D$6=3,K62,IF(Main!$D$6=4,V62,J62))))</f>
        <v>603.46484658372412</v>
      </c>
      <c r="G62" s="103">
        <f ca="1">IF(AND(Energy!$F$11=$A$3,Main!$B$43=A62),Weight!H39,G62)</f>
        <v>15</v>
      </c>
      <c r="H62" s="103">
        <f ca="1">IF(AND(Energy!$F$11=$A$3,Main!$B$43=A62),Weight!U39,H62)</f>
        <v>23.795751472853325</v>
      </c>
      <c r="I62" s="103">
        <f ca="1">IF(AND(Energy!$F$11=$A$3,Main!$B$43=A62),Weight!V39,I62)</f>
        <v>59.358027447276868</v>
      </c>
      <c r="J62" s="103">
        <f ca="1">IF(AND(Energy!$F$11=$A$3,Main!$B$43=A62),Weight!I39,J62)</f>
        <v>30.624627699423545</v>
      </c>
      <c r="K62" s="103">
        <f ca="1">IF(AND(Energy!$F$11=$A$3,Main!$B$43=A62),Weight!W39,K62)</f>
        <v>74.358040106473879</v>
      </c>
      <c r="L62" s="103">
        <f ca="1">IF(AND(Energy!$F$11=$A$3,Main!$B$43=A62),'Aerodynamics-Cruise'!BI39,L62)</f>
        <v>74.358014678742663</v>
      </c>
      <c r="M62" s="103">
        <f ca="1">IF(AND(Energy!$F$11=$A$3,Main!$B$43=A62),'Aerodynamics-Cruise'!BJ39,M62)</f>
        <v>3.2901586347175433</v>
      </c>
      <c r="N62" s="103">
        <f ca="1">IF(AND(Energy!$F$11=$A$3,Main!$B$43=A62),'Aerodynamics-Cruise'!BK39,N62)</f>
        <v>22.600130551190343</v>
      </c>
      <c r="O62" s="103">
        <f t="shared" ca="1" si="0"/>
        <v>194.88339682696724</v>
      </c>
      <c r="P62" s="103">
        <f ca="1">IF(AND(Energy!$F$11=$A$3,Main!$B$43=A62),'Aerodynamics-Cruise'!H39,P62)</f>
        <v>8.7081561343976492</v>
      </c>
      <c r="Q62" s="103">
        <f ca="1">IF(AND(Energy!$F$11=$A$3,Main!$B$43=A62),'Aerodynamics-Cruise'!I39,Q62)</f>
        <v>7.4328190836916281</v>
      </c>
      <c r="R62" s="103">
        <f ca="1">IF(AND(Energy!$F$11=$A$3,Main!$B$43=$A62),Summary!R39,R62)</f>
        <v>5.8161982610162557</v>
      </c>
      <c r="S62" s="103">
        <f ca="1">IF(AND(Energy!$F$11=$A$3,Main!$B$43=A62),'Aerodynamics-Cruise'!W39,S62)</f>
        <v>1</v>
      </c>
      <c r="T62" s="103">
        <f ca="1">IF(AND(Energy!$F$11=$A$3,Main!$B$43=A62),'Aerodynamics-Cruise'!BL39,T62)</f>
        <v>28.651215098056969</v>
      </c>
      <c r="U62" s="103">
        <f ca="1">IF(AND(Energy!$F$11=$A$3,Main!$B$43=A62),'Propulsion-Cruise'!M39,U62)</f>
        <v>62.069460540322147</v>
      </c>
      <c r="V62" s="103">
        <f ca="1">IF(AND(Energy!$F$11=$A$3,Main!$B$43=A62),Endurance!AP39,V62)</f>
        <v>603.46484658372412</v>
      </c>
      <c r="W62" s="103">
        <f ca="1">IF(AND(Energy!$F$11=$A$3,Main!$B$43=$A62),Summary!W39,W62)</f>
        <v>1.7947368421052634</v>
      </c>
      <c r="X62" s="13">
        <f ca="1">IF(AND(Energy!$F$11=$A$3,Main!$B$43=A62),Energy!D39,X62)</f>
        <v>406.14934794092079</v>
      </c>
      <c r="Y62" s="102">
        <f ca="1">IF(AND(Energy!$F$11=$A$3,Main!$B$43=A62),'Aerodynamics-Cruise'!V39,Y62)</f>
        <v>135005.56040650173</v>
      </c>
      <c r="Z62" s="102">
        <f ca="1">IF(AND(Energy!$F$11=$A$3,Main!$B$43=$A62),Summary!Z39,Z62)</f>
        <v>102054.60267987552</v>
      </c>
      <c r="AA62" s="102">
        <f ca="1">IF(AND(Energy!$F$11=$A$3,Main!$B$43=$A62),Summary!AA39,AA62)</f>
        <v>102054.60267987552</v>
      </c>
      <c r="AB62" s="103">
        <f ca="1">IF(AND(Energy!$F$11=$A$3,Main!$B$43=$A62),Summary!AB39,AB62)</f>
        <v>5.8161982610162557</v>
      </c>
      <c r="AC62" s="103">
        <f ca="1">IF(AND(Energy!$F$11=$A$3,Main!$B$43=$A62),Summary!AC39,AC62)</f>
        <v>1.8351378068065727</v>
      </c>
      <c r="AD62" s="103">
        <f ca="1">IF(AND(Energy!$F$11=$A$3,Main!$B$43=$A62),Summary!AD39,AD62)</f>
        <v>0.42954217793928795</v>
      </c>
      <c r="AE62" s="103">
        <f ca="1">IF(AND(Energy!$F$11=$A$3,Main!$B$43=$A62),Summary!AE39,AE62)</f>
        <v>1.7947368421052634</v>
      </c>
      <c r="AF62" s="103">
        <f ca="1">IF(AND(Energy!$F$11=$A$3,Main!$B$43=$A62),Summary!AF39,AF62)</f>
        <v>30.035885167464119</v>
      </c>
      <c r="AG62" s="103">
        <f ca="1">IF(AND(Energy!$F$11=$A$3,Main!$B$43=$A62),Summary!AG39,AG62)</f>
        <v>12.297980807702551</v>
      </c>
      <c r="AH62" s="103">
        <f ca="1">IF(AND(Energy!$F$11=$A$3,Main!$B$43=$A62),Summary!AH39,AH62)</f>
        <v>47</v>
      </c>
      <c r="AI62" s="103">
        <f ca="1">IF(AND(Energy!$F$11=$A$3,Main!$B$43=$A62),Summary!AI39,AI62)</f>
        <v>2.6903026084688126</v>
      </c>
      <c r="AJ62" s="103">
        <f ca="1">IF(AND(Energy!$F$11=$A$3,Main!$B$43=$A62),Summary!AJ39,AJ62)</f>
        <v>0.23737716305188392</v>
      </c>
      <c r="AK62" s="103">
        <f ca="1">IF(AND(Energy!$F$11=$A$3,Main!$B$43=$A62),Summary!AK39,AK62)</f>
        <v>0.01</v>
      </c>
      <c r="AL62" s="103">
        <f ca="1">IF(AND(Energy!$F$11=$A$3,Main!$B$43=$A62),Summary!AL39,AL62)</f>
        <v>-0.52655109582882575</v>
      </c>
      <c r="AM62" s="103">
        <f ca="1">IF(AND(Energy!$F$11=$A$3,Main!$B$43=$A62),Summary!AJ79,AM62)</f>
        <v>0</v>
      </c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</row>
    <row r="63" spans="1:54">
      <c r="A63">
        <f t="shared" si="3"/>
        <v>3</v>
      </c>
      <c r="D63" s="1">
        <f ca="1">IF(AND(Energy!$F$11=$A$3,Main!$B$43=A63),Main!C40,D63)</f>
        <v>7.5</v>
      </c>
      <c r="E63" s="103">
        <f ca="1">IF(AND(Energy!$F$11=$A$3,Main!$B$43=A63),Main!B40,E63)</f>
        <v>0.24444444444444446</v>
      </c>
      <c r="F63" s="103">
        <f ca="1">IF(Main!$D$6=1,U63,IF(Main!$D$6=2,N63,IF(Main!$D$6=3,K63,IF(Main!$D$6=4,V63,J63))))</f>
        <v>608.60229295859699</v>
      </c>
      <c r="G63" s="103">
        <f ca="1">IF(AND(Energy!$F$11=$A$3,Main!$B$43=A63),Weight!H40,G63)</f>
        <v>15</v>
      </c>
      <c r="H63" s="103">
        <f ca="1">IF(AND(Energy!$F$11=$A$3,Main!$B$43=A63),Weight!U40,H63)</f>
        <v>24.460399595115696</v>
      </c>
      <c r="I63" s="103">
        <f ca="1">IF(AND(Energy!$F$11=$A$3,Main!$B$43=A63),Weight!V40,I63)</f>
        <v>60.247725373488692</v>
      </c>
      <c r="J63" s="103">
        <f ca="1">IF(AND(Energy!$F$11=$A$3,Main!$B$43=A63),Weight!I40,J63)</f>
        <v>30.849677503372995</v>
      </c>
      <c r="K63" s="103">
        <f ca="1">IF(AND(Energy!$F$11=$A$3,Main!$B$43=A63),Weight!W40,K63)</f>
        <v>75.247738093940058</v>
      </c>
      <c r="L63" s="103">
        <f ca="1">IF(AND(Energy!$F$11=$A$3,Main!$B$43=A63),'Aerodynamics-Cruise'!BI40,L63)</f>
        <v>75.247712542747209</v>
      </c>
      <c r="M63" s="103">
        <f ca="1">IF(AND(Energy!$F$11=$A$3,Main!$B$43=A63),'Aerodynamics-Cruise'!BJ40,M63)</f>
        <v>3.3223384213663296</v>
      </c>
      <c r="N63" s="103">
        <f ca="1">IF(AND(Energy!$F$11=$A$3,Main!$B$43=A63),'Aerodynamics-Cruise'!BK40,N63)</f>
        <v>22.649020960303371</v>
      </c>
      <c r="O63" s="103">
        <f t="shared" ca="1" si="0"/>
        <v>196.46992748648296</v>
      </c>
      <c r="P63" s="103">
        <f ca="1">IF(AND(Energy!$F$11=$A$3,Main!$B$43=A63),'Aerodynamics-Cruise'!H40,P63)</f>
        <v>8.6673856445976742</v>
      </c>
      <c r="Q63" s="103">
        <f ca="1">IF(AND(Energy!$F$11=$A$3,Main!$B$43=A63),'Aerodynamics-Cruise'!I40,Q63)</f>
        <v>7.3994380037205669</v>
      </c>
      <c r="R63" s="103">
        <f ca="1">IF(AND(Energy!$F$11=$A$3,Main!$B$43=$A63),Summary!R40,R63)</f>
        <v>5.8345674135095189</v>
      </c>
      <c r="S63" s="103">
        <f ca="1">IF(AND(Energy!$F$11=$A$3,Main!$B$43=A63),'Aerodynamics-Cruise'!W40,S63)</f>
        <v>1</v>
      </c>
      <c r="T63" s="103">
        <f ca="1">IF(AND(Energy!$F$11=$A$3,Main!$B$43=A63),'Aerodynamics-Cruise'!BL40,T63)</f>
        <v>28.795988339845824</v>
      </c>
      <c r="U63" s="103">
        <f ca="1">IF(AND(Energy!$F$11=$A$3,Main!$B$43=A63),'Propulsion-Cruise'!M40,U63)</f>
        <v>62.492537511235561</v>
      </c>
      <c r="V63" s="103">
        <f ca="1">IF(AND(Energy!$F$11=$A$3,Main!$B$43=A63),Endurance!AP40,V63)</f>
        <v>608.60229295859699</v>
      </c>
      <c r="W63" s="103">
        <f ca="1">IF(AND(Energy!$F$11=$A$3,Main!$B$43=$A63),Summary!W40,W63)</f>
        <v>1.8333333333333335</v>
      </c>
      <c r="X63" s="13">
        <f ca="1">IF(AND(Energy!$F$11=$A$3,Main!$B$43=A63),Energy!D40,X63)</f>
        <v>406.27419614954493</v>
      </c>
      <c r="Y63" s="102">
        <f ca="1">IF(AND(Energy!$F$11=$A$3,Main!$B$43=A63),'Aerodynamics-Cruise'!V40,Y63)</f>
        <v>134373.4813832799</v>
      </c>
      <c r="Z63" s="102">
        <f ca="1">IF(AND(Energy!$F$11=$A$3,Main!$B$43=$A63),Summary!Z40,Z63)</f>
        <v>101595.51157833225</v>
      </c>
      <c r="AA63" s="102">
        <f ca="1">IF(AND(Energy!$F$11=$A$3,Main!$B$43=$A63),Summary!AA40,AA63)</f>
        <v>101595.51157833225</v>
      </c>
      <c r="AB63" s="103">
        <f ca="1">IF(AND(Energy!$F$11=$A$3,Main!$B$43=$A63),Summary!AB40,AB63)</f>
        <v>5.8345674135095189</v>
      </c>
      <c r="AC63" s="103">
        <f ca="1">IF(AND(Energy!$F$11=$A$3,Main!$B$43=$A63),Summary!AC40,AC63)</f>
        <v>1.8033131361221413</v>
      </c>
      <c r="AD63" s="103">
        <f ca="1">IF(AND(Energy!$F$11=$A$3,Main!$B$43=$A63),Summary!AD40,AD63)</f>
        <v>0.42989940792152109</v>
      </c>
      <c r="AE63" s="103">
        <f ca="1">IF(AND(Energy!$F$11=$A$3,Main!$B$43=$A63),Summary!AE40,AE63)</f>
        <v>1.8333333333333335</v>
      </c>
      <c r="AF63" s="103">
        <f ca="1">IF(AND(Energy!$F$11=$A$3,Main!$B$43=$A63),Summary!AF40,AF63)</f>
        <v>30.68181818181818</v>
      </c>
      <c r="AG63" s="103">
        <f ca="1">IF(AND(Energy!$F$11=$A$3,Main!$B$43=$A63),Summary!AG40,AG63)</f>
        <v>12.358783514919987</v>
      </c>
      <c r="AH63" s="103">
        <f ca="1">IF(AND(Energy!$F$11=$A$3,Main!$B$43=$A63),Summary!AH40,AH63)</f>
        <v>47</v>
      </c>
      <c r="AI63" s="103">
        <f ca="1">IF(AND(Energy!$F$11=$A$3,Main!$B$43=$A63),Summary!AI40,AI63)</f>
        <v>2.6892712768827178</v>
      </c>
      <c r="AJ63" s="103">
        <f ca="1">IF(AND(Energy!$F$11=$A$3,Main!$B$43=$A63),Summary!AJ40,AJ63)</f>
        <v>0.237695397121825</v>
      </c>
      <c r="AK63" s="103">
        <f ca="1">IF(AND(Energy!$F$11=$A$3,Main!$B$43=$A63),Summary!AK40,AK63)</f>
        <v>0.01</v>
      </c>
      <c r="AL63" s="103">
        <f ca="1">IF(AND(Energy!$F$11=$A$3,Main!$B$43=$A63),Summary!AL40,AL63)</f>
        <v>-0.52584609398909832</v>
      </c>
      <c r="AM63" s="103">
        <f ca="1">IF(AND(Energy!$F$11=$A$3,Main!$B$43=$A63),Summary!AJ80,AM63)</f>
        <v>0</v>
      </c>
    </row>
    <row r="64" spans="1:54">
      <c r="A64" s="7">
        <f>A44+1</f>
        <v>4</v>
      </c>
      <c r="D64" s="1">
        <f ca="1">IF(AND(Energy!$F$11=$A$3,Main!$B$43=A64),Main!C21,D64)</f>
        <v>4.5</v>
      </c>
      <c r="E64" s="103">
        <f ca="1">IF(AND(Energy!$F$11=$A$3,Main!$B$43=A64),Main!B21,E64)</f>
        <v>0.26666666666666666</v>
      </c>
      <c r="F64" s="103">
        <f ca="1">IF(Main!$D$6=1,U64,IF(Main!$D$6=2,N64,IF(Main!$D$6=3,K64,IF(Main!$D$6=4,V64,J64))))</f>
        <v>604.10433733210459</v>
      </c>
      <c r="G64" s="103">
        <f ca="1">IF(AND(Energy!$F$11=$A$3,Main!$B$43=A64),Weight!H21,G64)</f>
        <v>15</v>
      </c>
      <c r="H64" s="103">
        <f ca="1">IF(AND(Energy!$F$11=$A$3,Main!$B$43=A64),Weight!U21,H64)</f>
        <v>15.144995750624958</v>
      </c>
      <c r="I64" s="103">
        <f ca="1">IF(AND(Energy!$F$11=$A$3,Main!$B$43=A64),Weight!V21,I64)</f>
        <v>50.818807629102963</v>
      </c>
      <c r="J64" s="103">
        <f ca="1">IF(AND(Energy!$F$11=$A$3,Main!$B$43=A64),Weight!I21,J64)</f>
        <v>30.736163603478008</v>
      </c>
      <c r="K64" s="103">
        <f ca="1">IF(AND(Energy!$F$11=$A$3,Main!$B$43=A64),Weight!W21,K64)</f>
        <v>65.818810472408828</v>
      </c>
      <c r="L64" s="103">
        <f ca="1">IF(AND(Energy!$F$11=$A$3,Main!$B$43=A64),'Aerodynamics-Cruise'!BI21,L64)</f>
        <v>65.818804757138082</v>
      </c>
      <c r="M64" s="103">
        <f ca="1">IF(AND(Energy!$F$11=$A$3,Main!$B$43=A64),'Aerodynamics-Cruise'!BJ21,M64)</f>
        <v>3.0841703308098576</v>
      </c>
      <c r="N64" s="103">
        <f ca="1">IF(AND(Energy!$F$11=$A$3,Main!$B$43=A64),'Aerodynamics-Cruise'!BK21,N64)</f>
        <v>21.340846223579046</v>
      </c>
      <c r="O64" s="103">
        <f t="shared" ca="1" si="0"/>
        <v>173.1357019706542</v>
      </c>
      <c r="P64" s="103">
        <f ca="1">IF(AND(Energy!$F$11=$A$3,Main!$B$43=A64),'Aerodynamics-Cruise'!H21,P64)</f>
        <v>10.028019721266487</v>
      </c>
      <c r="Q64" s="103">
        <f ca="1">IF(AND(Energy!$F$11=$A$3,Main!$B$43=A64),'Aerodynamics-Cruise'!I21,Q64)</f>
        <v>8.4732886592420584</v>
      </c>
      <c r="R64" s="103">
        <f ca="1">IF(AND(Energy!$F$11=$A$3,Main!$B$43=$A64),Summary!R21,R64)</f>
        <v>6.7027580499733901</v>
      </c>
      <c r="S64" s="103">
        <f ca="1">IF(AND(Energy!$F$11=$A$3,Main!$B$43=A64),'Aerodynamics-Cruise'!W21,S64)</f>
        <v>1</v>
      </c>
      <c r="T64" s="103">
        <f ca="1">IF(AND(Energy!$F$11=$A$3,Main!$B$43=A64),'Aerodynamics-Cruise'!BL21,T64)</f>
        <v>30.928120901106237</v>
      </c>
      <c r="U64" s="103">
        <f ca="1">IF(AND(Energy!$F$11=$A$3,Main!$B$43=A64),'Propulsion-Cruise'!M21,U64)</f>
        <v>64.215892101196474</v>
      </c>
      <c r="V64" s="103">
        <f ca="1">IF(AND(Energy!$F$11=$A$3,Main!$B$43=A64),Endurance!AP21,V64)</f>
        <v>604.10433733210459</v>
      </c>
      <c r="W64" s="103">
        <f ca="1">IF(AND(Energy!$F$11=$A$3,Main!$B$43=$A64),Summary!W21,W64)</f>
        <v>1.2</v>
      </c>
      <c r="X64" s="13">
        <f ca="1">IF(AND(Energy!$F$11=$A$3,Main!$B$43=A64),Energy!D21,X64)</f>
        <v>406.21121900107175</v>
      </c>
      <c r="Y64" s="102">
        <f ca="1">IF(AND(Energy!$F$11=$A$3,Main!$B$43=A64),'Aerodynamics-Cruise'!V21,Y64)</f>
        <v>169601.30475916862</v>
      </c>
      <c r="Z64" s="102">
        <f ca="1">IF(AND(Energy!$F$11=$A$3,Main!$B$43=$A64),Summary!Z21,Z64)</f>
        <v>126967.01011504616</v>
      </c>
      <c r="AA64" s="102">
        <f ca="1">IF(AND(Energy!$F$11=$A$3,Main!$B$43=$A64),Summary!AA21,AA64)</f>
        <v>126967.01011504616</v>
      </c>
      <c r="AB64" s="103">
        <f ca="1">IF(AND(Energy!$F$11=$A$3,Main!$B$43=$A64),Summary!AB21,AB64)</f>
        <v>6.7027580499733901</v>
      </c>
      <c r="AC64" s="103">
        <f ca="1">IF(AND(Energy!$F$11=$A$3,Main!$B$43=$A64),Summary!AC21,AC64)</f>
        <v>2.3301297137094474</v>
      </c>
      <c r="AD64" s="103">
        <f ca="1">IF(AND(Energy!$F$11=$A$3,Main!$B$43=$A64),Summary!AD21,AD64)</f>
        <v>0.45786529823551797</v>
      </c>
      <c r="AE64" s="103">
        <f ca="1">IF(AND(Energy!$F$11=$A$3,Main!$B$43=$A64),Summary!AE21,AE64)</f>
        <v>1.2</v>
      </c>
      <c r="AF64" s="103">
        <f ca="1">IF(AND(Energy!$F$11=$A$3,Main!$B$43=$A64),Summary!AF21,AF64)</f>
        <v>16.875</v>
      </c>
      <c r="AG64" s="103">
        <f ca="1">IF(AND(Energy!$F$11=$A$3,Main!$B$43=$A64),Summary!AG21,AG64)</f>
        <v>12.338644161215893</v>
      </c>
      <c r="AH64" s="103">
        <f ca="1">IF(AND(Energy!$F$11=$A$3,Main!$B$43=$A64),Summary!AH21,AH64)</f>
        <v>47</v>
      </c>
      <c r="AI64" s="103">
        <f ca="1">IF(AND(Energy!$F$11=$A$3,Main!$B$43=$A64),Summary!AI21,AI64)</f>
        <v>2.7452529592512271</v>
      </c>
      <c r="AJ64" s="103">
        <f ca="1">IF(AND(Energy!$F$11=$A$3,Main!$B$43=$A64),Summary!AJ21,AJ64)</f>
        <v>0.22380272242895341</v>
      </c>
      <c r="AK64" s="103">
        <f ca="1">IF(AND(Energy!$F$11=$A$3,Main!$B$43=$A64),Summary!AK21,AK64)</f>
        <v>0.01</v>
      </c>
      <c r="AL64" s="103">
        <f ca="1">IF(AND(Energy!$F$11=$A$3,Main!$B$43=$A64),Summary!AL21,AL64)</f>
        <v>-0.55852197843479334</v>
      </c>
      <c r="AM64" s="103">
        <f ca="1">IF(AND(Energy!$F$11=$A$3,Main!$B$43=$A64),Summary!AJ81,AM64)</f>
        <v>0</v>
      </c>
    </row>
    <row r="65" spans="1:39">
      <c r="A65">
        <f>A64</f>
        <v>4</v>
      </c>
      <c r="D65" s="1">
        <f ca="1">IF(AND(Energy!$F$11=$A$3,Main!$B$43=A65),Main!C22,D65)</f>
        <v>4.6578947368421053</v>
      </c>
      <c r="E65" s="103">
        <f ca="1">IF(AND(Energy!$F$11=$A$3,Main!$B$43=A65),Main!B22,E65)</f>
        <v>0.26666666666666666</v>
      </c>
      <c r="F65" s="103">
        <f ca="1">IF(Main!$D$6=1,U65,IF(Main!$D$6=2,N65,IF(Main!$D$6=3,K65,IF(Main!$D$6=4,V65,J65))))</f>
        <v>595.14672910851209</v>
      </c>
      <c r="G65" s="103">
        <f ca="1">IF(AND(Energy!$F$11=$A$3,Main!$B$43=A65),Weight!H22,G65)</f>
        <v>15</v>
      </c>
      <c r="H65" s="103">
        <f ca="1">IF(AND(Energy!$F$11=$A$3,Main!$B$43=A65),Weight!U22,H65)</f>
        <v>15.591177867036464</v>
      </c>
      <c r="I65" s="103">
        <f ca="1">IF(AND(Energy!$F$11=$A$3,Main!$B$43=A65),Weight!V22,I65)</f>
        <v>50.850920885911506</v>
      </c>
      <c r="J65" s="103">
        <f ca="1">IF(AND(Energy!$F$11=$A$3,Main!$B$43=A65),Weight!I22,J65)</f>
        <v>30.322094743875041</v>
      </c>
      <c r="K65" s="103">
        <f ca="1">IF(AND(Energy!$F$11=$A$3,Main!$B$43=A65),Weight!W22,K65)</f>
        <v>65.85092358441473</v>
      </c>
      <c r="L65" s="103">
        <f ca="1">IF(AND(Energy!$F$11=$A$3,Main!$B$43=A65),'Aerodynamics-Cruise'!BI22,L65)</f>
        <v>65.850918158849552</v>
      </c>
      <c r="M65" s="103">
        <f ca="1">IF(AND(Energy!$F$11=$A$3,Main!$B$43=A65),'Aerodynamics-Cruise'!BJ22,M65)</f>
        <v>3.0672356654752617</v>
      </c>
      <c r="N65" s="103">
        <f ca="1">IF(AND(Energy!$F$11=$A$3,Main!$B$43=A65),'Aerodynamics-Cruise'!BK22,N65)</f>
        <v>21.469142035633602</v>
      </c>
      <c r="O65" s="103">
        <f t="shared" ca="1" si="0"/>
        <v>174.21903608903477</v>
      </c>
      <c r="P65" s="103">
        <f ca="1">IF(AND(Energy!$F$11=$A$3,Main!$B$43=A65),'Aerodynamics-Cruise'!H22,P65)</f>
        <v>9.8589326837525668</v>
      </c>
      <c r="Q65" s="103">
        <f ca="1">IF(AND(Energy!$F$11=$A$3,Main!$B$43=A65),'Aerodynamics-Cruise'!I22,Q65)</f>
        <v>8.336220211734954</v>
      </c>
      <c r="R65" s="103">
        <f ca="1">IF(AND(Energy!$F$11=$A$3,Main!$B$43=$A65),Summary!R22,R65)</f>
        <v>6.4837159584118664</v>
      </c>
      <c r="S65" s="103">
        <f ca="1">IF(AND(Energy!$F$11=$A$3,Main!$B$43=A65),'Aerodynamics-Cruise'!W22,S65)</f>
        <v>1</v>
      </c>
      <c r="T65" s="103">
        <f ca="1">IF(AND(Energy!$F$11=$A$3,Main!$B$43=A65),'Aerodynamics-Cruise'!BL22,T65)</f>
        <v>30.239669951125613</v>
      </c>
      <c r="U65" s="103">
        <f ca="1">IF(AND(Energy!$F$11=$A$3,Main!$B$43=A65),'Propulsion-Cruise'!M22,U65)</f>
        <v>63.083720063210947</v>
      </c>
      <c r="V65" s="103">
        <f ca="1">IF(AND(Energy!$F$11=$A$3,Main!$B$43=A65),Endurance!AP22,V65)</f>
        <v>595.14672910851209</v>
      </c>
      <c r="W65" s="103">
        <f ca="1">IF(AND(Energy!$F$11=$A$3,Main!$B$43=$A65),Summary!W22,W65)</f>
        <v>1.2421052631578948</v>
      </c>
      <c r="X65" s="13">
        <f ca="1">IF(AND(Energy!$F$11=$A$3,Main!$B$43=A65),Energy!D22,X65)</f>
        <v>405.98151087512701</v>
      </c>
      <c r="Y65" s="102">
        <f ca="1">IF(AND(Energy!$F$11=$A$3,Main!$B$43=A65),'Aerodynamics-Cruise'!V22,Y65)</f>
        <v>166741.57941185933</v>
      </c>
      <c r="Z65" s="102">
        <f ca="1">IF(AND(Energy!$F$11=$A$3,Main!$B$43=$A65),Summary!Z22,Z65)</f>
        <v>124909.72990851464</v>
      </c>
      <c r="AA65" s="102">
        <f ca="1">IF(AND(Energy!$F$11=$A$3,Main!$B$43=$A65),Summary!AA22,AA65)</f>
        <v>124909.72990851464</v>
      </c>
      <c r="AB65" s="103">
        <f ca="1">IF(AND(Energy!$F$11=$A$3,Main!$B$43=$A65),Summary!AB22,AB65)</f>
        <v>6.4837159584118664</v>
      </c>
      <c r="AC65" s="103">
        <f ca="1">IF(AND(Energy!$F$11=$A$3,Main!$B$43=$A65),Summary!AC22,AC65)</f>
        <v>2.3034204991916072</v>
      </c>
      <c r="AD65" s="103">
        <f ca="1">IF(AND(Energy!$F$11=$A$3,Main!$B$43=$A65),Summary!AD22,AD65)</f>
        <v>0.45312188045770374</v>
      </c>
      <c r="AE65" s="103">
        <f ca="1">IF(AND(Energy!$F$11=$A$3,Main!$B$43=$A65),Summary!AE22,AE65)</f>
        <v>1.2421052631578948</v>
      </c>
      <c r="AF65" s="103">
        <f ca="1">IF(AND(Energy!$F$11=$A$3,Main!$B$43=$A65),Summary!AF22,AF65)</f>
        <v>17.467105263157894</v>
      </c>
      <c r="AG65" s="103">
        <f ca="1">IF(AND(Energy!$F$11=$A$3,Main!$B$43=$A65),Summary!AG22,AG65)</f>
        <v>12.226017717691869</v>
      </c>
      <c r="AH65" s="103">
        <f ca="1">IF(AND(Energy!$F$11=$A$3,Main!$B$43=$A65),Summary!AH22,AH65)</f>
        <v>47</v>
      </c>
      <c r="AI65" s="103">
        <f ca="1">IF(AND(Energy!$F$11=$A$3,Main!$B$43=$A65),Summary!AI22,AI65)</f>
        <v>2.7414318969245546</v>
      </c>
      <c r="AJ65" s="103">
        <f ca="1">IF(AND(Energy!$F$11=$A$3,Main!$B$43=$A65),Summary!AJ22,AJ65)</f>
        <v>0.22479726589752502</v>
      </c>
      <c r="AK65" s="103">
        <f ca="1">IF(AND(Energy!$F$11=$A$3,Main!$B$43=$A65),Summary!AK22,AK65)</f>
        <v>0.01</v>
      </c>
      <c r="AL65" s="103">
        <f ca="1">IF(AND(Energy!$F$11=$A$3,Main!$B$43=$A65),Summary!AL22,AL65)</f>
        <v>-0.55605094535729982</v>
      </c>
      <c r="AM65" s="103">
        <f ca="1">IF(AND(Energy!$F$11=$A$3,Main!$B$43=$A65),Summary!AJ82,AM65)</f>
        <v>0</v>
      </c>
    </row>
    <row r="66" spans="1:39">
      <c r="A66">
        <f t="shared" ref="A66:A83" si="4">A65</f>
        <v>4</v>
      </c>
      <c r="D66" s="1">
        <f ca="1">IF(AND(Energy!$F$11=$A$3,Main!$B$43=A66),Main!C23,D66)</f>
        <v>4.8157894736842106</v>
      </c>
      <c r="E66" s="103">
        <f ca="1">IF(AND(Energy!$F$11=$A$3,Main!$B$43=A66),Main!B23,E66)</f>
        <v>0.26666666666666666</v>
      </c>
      <c r="F66" s="103">
        <f ca="1">IF(Main!$D$6=1,U66,IF(Main!$D$6=2,N66,IF(Main!$D$6=3,K66,IF(Main!$D$6=4,V66,J66))))</f>
        <v>588.02352949467149</v>
      </c>
      <c r="G66" s="103">
        <f ca="1">IF(AND(Energy!$F$11=$A$3,Main!$B$43=A66),Weight!H23,G66)</f>
        <v>15</v>
      </c>
      <c r="H66" s="103">
        <f ca="1">IF(AND(Energy!$F$11=$A$3,Main!$B$43=A66),Weight!U23,H66)</f>
        <v>16.055531828647993</v>
      </c>
      <c r="I66" s="103">
        <f ca="1">IF(AND(Energy!$F$11=$A$3,Main!$B$43=A66),Weight!V23,I66)</f>
        <v>50.984510636702723</v>
      </c>
      <c r="J66" s="103">
        <f ca="1">IF(AND(Energy!$F$11=$A$3,Main!$B$43=A66),Weight!I23,J66)</f>
        <v>29.991330533054729</v>
      </c>
      <c r="K66" s="103">
        <f ca="1">IF(AND(Energy!$F$11=$A$3,Main!$B$43=A66),Weight!W23,K66)</f>
        <v>65.984513219782173</v>
      </c>
      <c r="L66" s="103">
        <f ca="1">IF(AND(Energy!$F$11=$A$3,Main!$B$43=A66),'Aerodynamics-Cruise'!BI23,L66)</f>
        <v>65.984508024944105</v>
      </c>
      <c r="M66" s="103">
        <f ca="1">IF(AND(Energy!$F$11=$A$3,Main!$B$43=A66),'Aerodynamics-Cruise'!BJ23,M66)</f>
        <v>3.0563096378833667</v>
      </c>
      <c r="N66" s="103">
        <f ca="1">IF(AND(Energy!$F$11=$A$3,Main!$B$43=A66),'Aerodynamics-Cruise'!BK23,N66)</f>
        <v>21.589601788724973</v>
      </c>
      <c r="O66" s="103">
        <f t="shared" ca="1" si="0"/>
        <v>175.37416793130515</v>
      </c>
      <c r="P66" s="103">
        <f ca="1">IF(AND(Energy!$F$11=$A$3,Main!$B$43=A66),'Aerodynamics-Cruise'!H23,P66)</f>
        <v>9.7057409473142435</v>
      </c>
      <c r="Q66" s="103">
        <f ca="1">IF(AND(Energy!$F$11=$A$3,Main!$B$43=A66),'Aerodynamics-Cruise'!I23,Q66)</f>
        <v>8.211953121724834</v>
      </c>
      <c r="R66" s="103">
        <f ca="1">IF(AND(Energy!$F$11=$A$3,Main!$B$43=$A66),Summary!R23,R66)</f>
        <v>6.2987270461888771</v>
      </c>
      <c r="S66" s="103">
        <f ca="1">IF(AND(Energy!$F$11=$A$3,Main!$B$43=A66),'Aerodynamics-Cruise'!W23,S66)</f>
        <v>1</v>
      </c>
      <c r="T66" s="103">
        <f ca="1">IF(AND(Energy!$F$11=$A$3,Main!$B$43=A66),'Aerodynamics-Cruise'!BL23,T66)</f>
        <v>29.663749600075761</v>
      </c>
      <c r="U66" s="103">
        <f ca="1">IF(AND(Energy!$F$11=$A$3,Main!$B$43=A66),'Propulsion-Cruise'!M23,U66)</f>
        <v>62.156084616723639</v>
      </c>
      <c r="V66" s="103">
        <f ca="1">IF(AND(Energy!$F$11=$A$3,Main!$B$43=A66),Endurance!AP23,V66)</f>
        <v>588.02352949467149</v>
      </c>
      <c r="W66" s="103">
        <f ca="1">IF(AND(Energy!$F$11=$A$3,Main!$B$43=$A66),Summary!W23,W66)</f>
        <v>1.2842105263157895</v>
      </c>
      <c r="X66" s="13">
        <f ca="1">IF(AND(Energy!$F$11=$A$3,Main!$B$43=A66),Energy!D23,X66)</f>
        <v>405.79801669170536</v>
      </c>
      <c r="Y66" s="102">
        <f ca="1">IF(AND(Energy!$F$11=$A$3,Main!$B$43=A66),'Aerodynamics-Cruise'!V23,Y66)</f>
        <v>164150.68718184478</v>
      </c>
      <c r="Z66" s="102">
        <f ca="1">IF(AND(Energy!$F$11=$A$3,Main!$B$43=$A66),Summary!Z23,Z66)</f>
        <v>123044.63634926286</v>
      </c>
      <c r="AA66" s="102">
        <f ca="1">IF(AND(Energy!$F$11=$A$3,Main!$B$43=$A66),Summary!AA23,AA66)</f>
        <v>123044.63634926286</v>
      </c>
      <c r="AB66" s="103">
        <f ca="1">IF(AND(Energy!$F$11=$A$3,Main!$B$43=$A66),Summary!AB23,AB66)</f>
        <v>6.2987270461888771</v>
      </c>
      <c r="AC66" s="103">
        <f ca="1">IF(AND(Energy!$F$11=$A$3,Main!$B$43=$A66),Summary!AC23,AC66)</f>
        <v>2.2745745715791239</v>
      </c>
      <c r="AD66" s="103">
        <f ca="1">IF(AND(Energy!$F$11=$A$3,Main!$B$43=$A66),Summary!AD23,AD66)</f>
        <v>0.44900985077516903</v>
      </c>
      <c r="AE66" s="103">
        <f ca="1">IF(AND(Energy!$F$11=$A$3,Main!$B$43=$A66),Summary!AE23,AE66)</f>
        <v>1.2842105263157895</v>
      </c>
      <c r="AF66" s="103">
        <f ca="1">IF(AND(Energy!$F$11=$A$3,Main!$B$43=$A66),Summary!AF23,AF66)</f>
        <v>18.059210526315791</v>
      </c>
      <c r="AG66" s="103">
        <f ca="1">IF(AND(Energy!$F$11=$A$3,Main!$B$43=$A66),Summary!AG23,AG66)</f>
        <v>12.135413256622641</v>
      </c>
      <c r="AH66" s="103">
        <f ca="1">IF(AND(Energy!$F$11=$A$3,Main!$B$43=$A66),Summary!AH23,AH66)</f>
        <v>47</v>
      </c>
      <c r="AI66" s="103">
        <f ca="1">IF(AND(Energy!$F$11=$A$3,Main!$B$43=$A66),Summary!AI23,AI66)</f>
        <v>2.7379183121376203</v>
      </c>
      <c r="AJ66" s="103">
        <f ca="1">IF(AND(Energy!$F$11=$A$3,Main!$B$43=$A66),Summary!AJ23,AJ66)</f>
        <v>0.22572021728244071</v>
      </c>
      <c r="AK66" s="103">
        <f ca="1">IF(AND(Energy!$F$11=$A$3,Main!$B$43=$A66),Summary!AK23,AK66)</f>
        <v>0.01</v>
      </c>
      <c r="AL66" s="103">
        <f ca="1">IF(AND(Energy!$F$11=$A$3,Main!$B$43=$A66),Summary!AL23,AL66)</f>
        <v>-0.55377726472711519</v>
      </c>
      <c r="AM66" s="103">
        <f ca="1">IF(AND(Energy!$F$11=$A$3,Main!$B$43=$A66),Summary!AJ83,AM66)</f>
        <v>0</v>
      </c>
    </row>
    <row r="67" spans="1:39">
      <c r="A67">
        <f t="shared" si="4"/>
        <v>4</v>
      </c>
      <c r="D67" s="1">
        <f ca="1">IF(AND(Energy!$F$11=$A$3,Main!$B$43=A67),Main!C24,D67)</f>
        <v>4.9736842105263159</v>
      </c>
      <c r="E67" s="103">
        <f ca="1">IF(AND(Energy!$F$11=$A$3,Main!$B$43=A67),Main!B24,E67)</f>
        <v>0.26666666666666666</v>
      </c>
      <c r="F67" s="103">
        <f ca="1">IF(Main!$D$6=1,U67,IF(Main!$D$6=2,N67,IF(Main!$D$6=3,K67,IF(Main!$D$6=4,V67,J67))))</f>
        <v>582.45857657004137</v>
      </c>
      <c r="G67" s="103">
        <f ca="1">IF(AND(Energy!$F$11=$A$3,Main!$B$43=A67),Weight!H24,G67)</f>
        <v>15</v>
      </c>
      <c r="H67" s="103">
        <f ca="1">IF(AND(Energy!$F$11=$A$3,Main!$B$43=A67),Weight!U24,H67)</f>
        <v>16.537263135972523</v>
      </c>
      <c r="I67" s="103">
        <f ca="1">IF(AND(Energy!$F$11=$A$3,Main!$B$43=A67),Weight!V24,I67)</f>
        <v>51.206209568991952</v>
      </c>
      <c r="J67" s="103">
        <f ca="1">IF(AND(Energy!$F$11=$A$3,Main!$B$43=A67),Weight!I24,J67)</f>
        <v>29.731298158019424</v>
      </c>
      <c r="K67" s="103">
        <f ca="1">IF(AND(Energy!$F$11=$A$3,Main!$B$43=A67),Weight!W24,K67)</f>
        <v>66.206212060097926</v>
      </c>
      <c r="L67" s="103">
        <f ca="1">IF(AND(Energy!$F$11=$A$3,Main!$B$43=A67),'Aerodynamics-Cruise'!BI24,L67)</f>
        <v>66.206207048918145</v>
      </c>
      <c r="M67" s="103">
        <f ca="1">IF(AND(Energy!$F$11=$A$3,Main!$B$43=A67),'Aerodynamics-Cruise'!BJ24,M67)</f>
        <v>3.050547277114382</v>
      </c>
      <c r="N67" s="103">
        <f ca="1">IF(AND(Energy!$F$11=$A$3,Main!$B$43=A67),'Aerodynamics-Cruise'!BK24,N67)</f>
        <v>21.703058839837055</v>
      </c>
      <c r="O67" s="103">
        <f t="shared" ca="1" si="0"/>
        <v>176.59170584229301</v>
      </c>
      <c r="P67" s="103">
        <f ca="1">IF(AND(Energy!$F$11=$A$3,Main!$B$43=A67),'Aerodynamics-Cruise'!H24,P67)</f>
        <v>9.5664224313470978</v>
      </c>
      <c r="Q67" s="103">
        <f ca="1">IF(AND(Energy!$F$11=$A$3,Main!$B$43=A67),'Aerodynamics-Cruise'!I24,Q67)</f>
        <v>8.0988693324648189</v>
      </c>
      <c r="R67" s="103">
        <f ca="1">IF(AND(Energy!$F$11=$A$3,Main!$B$43=$A67),Summary!R24,R67)</f>
        <v>6.1421494950980939</v>
      </c>
      <c r="S67" s="103">
        <f ca="1">IF(AND(Energy!$F$11=$A$3,Main!$B$43=A67),'Aerodynamics-Cruise'!W24,S67)</f>
        <v>1</v>
      </c>
      <c r="T67" s="103">
        <f ca="1">IF(AND(Energy!$F$11=$A$3,Main!$B$43=A67),'Aerodynamics-Cruise'!BL24,T67)</f>
        <v>29.182823899671835</v>
      </c>
      <c r="U67" s="103">
        <f ca="1">IF(AND(Energy!$F$11=$A$3,Main!$B$43=A67),'Propulsion-Cruise'!M24,U67)</f>
        <v>61.401781989550152</v>
      </c>
      <c r="V67" s="103">
        <f ca="1">IF(AND(Energy!$F$11=$A$3,Main!$B$43=A67),Endurance!AP24,V67)</f>
        <v>582.45857657004137</v>
      </c>
      <c r="W67" s="103">
        <f ca="1">IF(AND(Energy!$F$11=$A$3,Main!$B$43=$A67),Summary!W24,W67)</f>
        <v>1.3263157894736843</v>
      </c>
      <c r="X67" s="13">
        <f ca="1">IF(AND(Energy!$F$11=$A$3,Main!$B$43=A67),Energy!D24,X67)</f>
        <v>405.65376157808731</v>
      </c>
      <c r="Y67" s="102">
        <f ca="1">IF(AND(Energy!$F$11=$A$3,Main!$B$43=A67),'Aerodynamics-Cruise'!V24,Y67)</f>
        <v>161794.42914267979</v>
      </c>
      <c r="Z67" s="102">
        <f ca="1">IF(AND(Energy!$F$11=$A$3,Main!$B$43=$A67),Summary!Z24,Z67)</f>
        <v>121347.43143869507</v>
      </c>
      <c r="AA67" s="102">
        <f ca="1">IF(AND(Energy!$F$11=$A$3,Main!$B$43=$A67),Summary!AA24,AA67)</f>
        <v>121347.43143869507</v>
      </c>
      <c r="AB67" s="103">
        <f ca="1">IF(AND(Energy!$F$11=$A$3,Main!$B$43=$A67),Summary!AB24,AB67)</f>
        <v>6.1421494950980939</v>
      </c>
      <c r="AC67" s="103">
        <f ca="1">IF(AND(Energy!$F$11=$A$3,Main!$B$43=$A67),Summary!AC24,AC67)</f>
        <v>2.2441167270031328</v>
      </c>
      <c r="AD67" s="103">
        <f ca="1">IF(AND(Energy!$F$11=$A$3,Main!$B$43=$A67),Summary!AD24,AD67)</f>
        <v>0.44544647582110614</v>
      </c>
      <c r="AE67" s="103">
        <f ca="1">IF(AND(Energy!$F$11=$A$3,Main!$B$43=$A67),Summary!AE24,AE67)</f>
        <v>1.3263157894736843</v>
      </c>
      <c r="AF67" s="103">
        <f ca="1">IF(AND(Energy!$F$11=$A$3,Main!$B$43=$A67),Summary!AF24,AF67)</f>
        <v>18.651315789473685</v>
      </c>
      <c r="AG67" s="103">
        <f ca="1">IF(AND(Energy!$F$11=$A$3,Main!$B$43=$A67),Summary!AG24,AG67)</f>
        <v>12.063673840192024</v>
      </c>
      <c r="AH67" s="103">
        <f ca="1">IF(AND(Energy!$F$11=$A$3,Main!$B$43=$A67),Summary!AH24,AH67)</f>
        <v>47</v>
      </c>
      <c r="AI67" s="103">
        <f ca="1">IF(AND(Energy!$F$11=$A$3,Main!$B$43=$A67),Summary!AI24,AI67)</f>
        <v>2.7346789336625981</v>
      </c>
      <c r="AJ67" s="103">
        <f ca="1">IF(AND(Energy!$F$11=$A$3,Main!$B$43=$A67),Summary!AJ24,AJ67)</f>
        <v>0.22657841578949936</v>
      </c>
      <c r="AK67" s="103">
        <f ca="1">IF(AND(Energy!$F$11=$A$3,Main!$B$43=$A67),Summary!AK24,AK67)</f>
        <v>0.01</v>
      </c>
      <c r="AL67" s="103">
        <f ca="1">IF(AND(Energy!$F$11=$A$3,Main!$B$43=$A67),Summary!AL24,AL67)</f>
        <v>-0.55167971710979635</v>
      </c>
      <c r="AM67" s="103">
        <f ca="1">IF(AND(Energy!$F$11=$A$3,Main!$B$43=$A67),Summary!AJ84,AM67)</f>
        <v>0</v>
      </c>
    </row>
    <row r="68" spans="1:39">
      <c r="A68">
        <f t="shared" si="4"/>
        <v>4</v>
      </c>
      <c r="D68" s="1">
        <f ca="1">IF(AND(Energy!$F$11=$A$3,Main!$B$43=A68),Main!C25,D68)</f>
        <v>5.1315789473684212</v>
      </c>
      <c r="E68" s="103">
        <f ca="1">IF(AND(Energy!$F$11=$A$3,Main!$B$43=A68),Main!B25,E68)</f>
        <v>0.26666666666666666</v>
      </c>
      <c r="F68" s="103">
        <f ca="1">IF(Main!$D$6=1,U68,IF(Main!$D$6=2,N68,IF(Main!$D$6=3,K68,IF(Main!$D$6=4,V68,J68))))</f>
        <v>578.2335461209633</v>
      </c>
      <c r="G68" s="103">
        <f ca="1">IF(AND(Energy!$F$11=$A$3,Main!$B$43=A68),Weight!H25,G68)</f>
        <v>15</v>
      </c>
      <c r="H68" s="103">
        <f ca="1">IF(AND(Energy!$F$11=$A$3,Main!$B$43=A68),Weight!U25,H68)</f>
        <v>17.035771295865878</v>
      </c>
      <c r="I68" s="103">
        <f ca="1">IF(AND(Energy!$F$11=$A$3,Main!$B$43=A68),Weight!V25,I68)</f>
        <v>51.505478156768817</v>
      </c>
      <c r="J68" s="103">
        <f ca="1">IF(AND(Energy!$F$11=$A$3,Main!$B$43=A68),Weight!I25,J68)</f>
        <v>29.532058585902938</v>
      </c>
      <c r="K68" s="103">
        <f ca="1">IF(AND(Energy!$F$11=$A$3,Main!$B$43=A68),Weight!W25,K68)</f>
        <v>66.505480574997804</v>
      </c>
      <c r="L68" s="103">
        <f ca="1">IF(AND(Energy!$F$11=$A$3,Main!$B$43=A68),'Aerodynamics-Cruise'!BI25,L68)</f>
        <v>66.505475709154226</v>
      </c>
      <c r="M68" s="103">
        <f ca="1">IF(AND(Energy!$F$11=$A$3,Main!$B$43=A68),'Aerodynamics-Cruise'!BJ25,M68)</f>
        <v>3.0492708016931016</v>
      </c>
      <c r="N68" s="103">
        <f ca="1">IF(AND(Energy!$F$11=$A$3,Main!$B$43=A68),'Aerodynamics-Cruise'!BK25,N68)</f>
        <v>21.810288437559297</v>
      </c>
      <c r="O68" s="103">
        <f t="shared" ca="1" si="0"/>
        <v>177.86484213549062</v>
      </c>
      <c r="P68" s="103">
        <f ca="1">IF(AND(Energy!$F$11=$A$3,Main!$B$43=A68),'Aerodynamics-Cruise'!H25,P68)</f>
        <v>9.4393164883054119</v>
      </c>
      <c r="Q68" s="103">
        <f ca="1">IF(AND(Energy!$F$11=$A$3,Main!$B$43=A68),'Aerodynamics-Cruise'!I25,Q68)</f>
        <v>7.9956389543865534</v>
      </c>
      <c r="R68" s="103">
        <f ca="1">IF(AND(Energy!$F$11=$A$3,Main!$B$43=$A68),Summary!R25,R68)</f>
        <v>6.0095960359881779</v>
      </c>
      <c r="S68" s="103">
        <f ca="1">IF(AND(Energy!$F$11=$A$3,Main!$B$43=A68),'Aerodynamics-Cruise'!W25,S68)</f>
        <v>1</v>
      </c>
      <c r="T68" s="103">
        <f ca="1">IF(AND(Energy!$F$11=$A$3,Main!$B$43=A68),'Aerodynamics-Cruise'!BL25,T68)</f>
        <v>28.783032155729956</v>
      </c>
      <c r="U68" s="103">
        <f ca="1">IF(AND(Energy!$F$11=$A$3,Main!$B$43=A68),'Propulsion-Cruise'!M25,U68)</f>
        <v>60.796132416000411</v>
      </c>
      <c r="V68" s="103">
        <f ca="1">IF(AND(Energy!$F$11=$A$3,Main!$B$43=A68),Endurance!AP25,V68)</f>
        <v>578.2335461209633</v>
      </c>
      <c r="W68" s="103">
        <f ca="1">IF(AND(Energy!$F$11=$A$3,Main!$B$43=$A68),Summary!W25,W68)</f>
        <v>1.368421052631579</v>
      </c>
      <c r="X68" s="13">
        <f ca="1">IF(AND(Energy!$F$11=$A$3,Main!$B$43=A68),Energy!D25,X68)</f>
        <v>405.54323177318406</v>
      </c>
      <c r="Y68" s="102">
        <f ca="1">IF(AND(Energy!$F$11=$A$3,Main!$B$43=A68),'Aerodynamics-Cruise'!V25,Y68)</f>
        <v>159644.71919179111</v>
      </c>
      <c r="Z68" s="102">
        <f ca="1">IF(AND(Energy!$F$11=$A$3,Main!$B$43=$A68),Summary!Z25,Z68)</f>
        <v>119798.14513590907</v>
      </c>
      <c r="AA68" s="102">
        <f ca="1">IF(AND(Energy!$F$11=$A$3,Main!$B$43=$A68),Summary!AA25,AA68)</f>
        <v>119798.14513590907</v>
      </c>
      <c r="AB68" s="103">
        <f ca="1">IF(AND(Energy!$F$11=$A$3,Main!$B$43=$A68),Summary!AB25,AB68)</f>
        <v>6.0095960359881779</v>
      </c>
      <c r="AC68" s="103">
        <f ca="1">IF(AND(Energy!$F$11=$A$3,Main!$B$43=$A68),Summary!AC25,AC68)</f>
        <v>2.2124604374099537</v>
      </c>
      <c r="AD68" s="103">
        <f ca="1">IF(AND(Energy!$F$11=$A$3,Main!$B$43=$A68),Summary!AD25,AD68)</f>
        <v>0.44236417485576335</v>
      </c>
      <c r="AE68" s="103">
        <f ca="1">IF(AND(Energy!$F$11=$A$3,Main!$B$43=$A68),Summary!AE25,AE68)</f>
        <v>1.368421052631579</v>
      </c>
      <c r="AF68" s="103">
        <f ca="1">IF(AND(Energy!$F$11=$A$3,Main!$B$43=$A68),Summary!AF25,AF68)</f>
        <v>19.243421052631579</v>
      </c>
      <c r="AG68" s="103">
        <f ca="1">IF(AND(Energy!$F$11=$A$3,Main!$B$43=$A68),Summary!AG25,AG68)</f>
        <v>12.008266075818685</v>
      </c>
      <c r="AH68" s="103">
        <f ca="1">IF(AND(Energy!$F$11=$A$3,Main!$B$43=$A68),Summary!AH25,AH68)</f>
        <v>47</v>
      </c>
      <c r="AI68" s="103">
        <f ca="1">IF(AND(Energy!$F$11=$A$3,Main!$B$43=$A68),Summary!AI25,AI68)</f>
        <v>2.731685938532125</v>
      </c>
      <c r="AJ68" s="103">
        <f ca="1">IF(AND(Energy!$F$11=$A$3,Main!$B$43=$A68),Summary!AJ25,AJ68)</f>
        <v>0.22737772561280092</v>
      </c>
      <c r="AK68" s="103">
        <f ca="1">IF(AND(Energy!$F$11=$A$3,Main!$B$43=$A68),Summary!AK25,AK68)</f>
        <v>0.01</v>
      </c>
      <c r="AL68" s="103">
        <f ca="1">IF(AND(Energy!$F$11=$A$3,Main!$B$43=$A68),Summary!AL25,AL68)</f>
        <v>-0.5497403379137934</v>
      </c>
      <c r="AM68" s="103">
        <f ca="1">IF(AND(Energy!$F$11=$A$3,Main!$B$43=$A68),Summary!AJ85,AM68)</f>
        <v>0</v>
      </c>
    </row>
    <row r="69" spans="1:39">
      <c r="A69">
        <f t="shared" si="4"/>
        <v>4</v>
      </c>
      <c r="D69" s="1">
        <f ca="1">IF(AND(Energy!$F$11=$A$3,Main!$B$43=A69),Main!C26,D69)</f>
        <v>5.2894736842105265</v>
      </c>
      <c r="E69" s="103">
        <f ca="1">IF(AND(Energy!$F$11=$A$3,Main!$B$43=A69),Main!B26,E69)</f>
        <v>0.26666666666666666</v>
      </c>
      <c r="F69" s="103">
        <f ca="1">IF(Main!$D$6=1,U69,IF(Main!$D$6=2,N69,IF(Main!$D$6=3,K69,IF(Main!$D$6=4,V69,J69))))</f>
        <v>575.17350187585259</v>
      </c>
      <c r="G69" s="103">
        <f ca="1">IF(AND(Energy!$F$11=$A$3,Main!$B$43=A69),Weight!H26,G69)</f>
        <v>15</v>
      </c>
      <c r="H69" s="103">
        <f ca="1">IF(AND(Energy!$F$11=$A$3,Main!$B$43=A69),Weight!U26,H69)</f>
        <v>17.550603389465806</v>
      </c>
      <c r="I69" s="103">
        <f ca="1">IF(AND(Energy!$F$11=$A$3,Main!$B$43=A69),Weight!V26,I69)</f>
        <v>51.873900070102096</v>
      </c>
      <c r="J69" s="103">
        <f ca="1">IF(AND(Energy!$F$11=$A$3,Main!$B$43=A69),Weight!I26,J69)</f>
        <v>29.385648405636292</v>
      </c>
      <c r="K69" s="103">
        <f ca="1">IF(AND(Energy!$F$11=$A$3,Main!$B$43=A69),Weight!W26,K69)</f>
        <v>66.873902431270878</v>
      </c>
      <c r="L69" s="103">
        <f ca="1">IF(AND(Energy!$F$11=$A$3,Main!$B$43=A69),'Aerodynamics-Cruise'!BI26,L69)</f>
        <v>66.87389767903116</v>
      </c>
      <c r="M69" s="103">
        <f ca="1">IF(AND(Energy!$F$11=$A$3,Main!$B$43=A69),'Aerodynamics-Cruise'!BJ26,M69)</f>
        <v>3.0519295575395184</v>
      </c>
      <c r="N69" s="103">
        <f ca="1">IF(AND(Energy!$F$11=$A$3,Main!$B$43=A69),'Aerodynamics-Cruise'!BK26,N69)</f>
        <v>21.912005640439894</v>
      </c>
      <c r="O69" s="103">
        <f t="shared" ref="O69:O132" ca="1" si="5">L69^(3/2)/M69</f>
        <v>179.18863007076538</v>
      </c>
      <c r="P69" s="103">
        <f ca="1">IF(AND(Energy!$F$11=$A$3,Main!$B$43=A69),'Aerodynamics-Cruise'!H26,P69)</f>
        <v>9.3230424446078892</v>
      </c>
      <c r="Q69" s="103">
        <f ca="1">IF(AND(Energy!$F$11=$A$3,Main!$B$43=A69),'Aerodynamics-Cruise'!I26,Q69)</f>
        <v>7.9011554568345508</v>
      </c>
      <c r="R69" s="103">
        <f ca="1">IF(AND(Energy!$F$11=$A$3,Main!$B$43=$A69),Summary!R26,R69)</f>
        <v>5.8976041441026696</v>
      </c>
      <c r="S69" s="103">
        <f ca="1">IF(AND(Energy!$F$11=$A$3,Main!$B$43=A69),'Aerodynamics-Cruise'!W26,S69)</f>
        <v>1</v>
      </c>
      <c r="T69" s="103">
        <f ca="1">IF(AND(Energy!$F$11=$A$3,Main!$B$43=A69),'Aerodynamics-Cruise'!BL26,T69)</f>
        <v>28.453268802894307</v>
      </c>
      <c r="U69" s="103">
        <f ca="1">IF(AND(Energy!$F$11=$A$3,Main!$B$43=A69),'Propulsion-Cruise'!M26,U69)</f>
        <v>60.319349960392827</v>
      </c>
      <c r="V69" s="103">
        <f ca="1">IF(AND(Energy!$F$11=$A$3,Main!$B$43=A69),Endurance!AP26,V69)</f>
        <v>575.17350187585259</v>
      </c>
      <c r="W69" s="103">
        <f ca="1">IF(AND(Energy!$F$11=$A$3,Main!$B$43=$A69),Summary!W26,W69)</f>
        <v>1.4105263157894736</v>
      </c>
      <c r="X69" s="13">
        <f ca="1">IF(AND(Energy!$F$11=$A$3,Main!$B$43=A69),Energy!D26,X69)</f>
        <v>405.46200950862476</v>
      </c>
      <c r="Y69" s="102">
        <f ca="1">IF(AND(Energy!$F$11=$A$3,Main!$B$43=A69),'Aerodynamics-Cruise'!V26,Y69)</f>
        <v>157678.20635387721</v>
      </c>
      <c r="Z69" s="102">
        <f ca="1">IF(AND(Energy!$F$11=$A$3,Main!$B$43=$A69),Summary!Z26,Z69)</f>
        <v>118380.16192727115</v>
      </c>
      <c r="AA69" s="102">
        <f ca="1">IF(AND(Energy!$F$11=$A$3,Main!$B$43=$A69),Summary!AA26,AA69)</f>
        <v>118380.16192727115</v>
      </c>
      <c r="AB69" s="103">
        <f ca="1">IF(AND(Energy!$F$11=$A$3,Main!$B$43=$A69),Summary!AB26,AB69)</f>
        <v>5.8976041441026696</v>
      </c>
      <c r="AC69" s="103">
        <f ca="1">IF(AND(Energy!$F$11=$A$3,Main!$B$43=$A69),Summary!AC26,AC69)</f>
        <v>2.1799340332713055</v>
      </c>
      <c r="AD69" s="103">
        <f ca="1">IF(AND(Energy!$F$11=$A$3,Main!$B$43=$A69),Summary!AD26,AD69)</f>
        <v>0.43970705833171403</v>
      </c>
      <c r="AE69" s="103">
        <f ca="1">IF(AND(Energy!$F$11=$A$3,Main!$B$43=$A69),Summary!AE26,AE69)</f>
        <v>1.4105263157894736</v>
      </c>
      <c r="AF69" s="103">
        <f ca="1">IF(AND(Energy!$F$11=$A$3,Main!$B$43=$A69),Summary!AF26,AF69)</f>
        <v>19.835526315789476</v>
      </c>
      <c r="AG69" s="103">
        <f ca="1">IF(AND(Energy!$F$11=$A$3,Main!$B$43=$A69),Summary!AG26,AG69)</f>
        <v>11.967130786672758</v>
      </c>
      <c r="AH69" s="103">
        <f ca="1">IF(AND(Energy!$F$11=$A$3,Main!$B$43=$A69),Summary!AH26,AH69)</f>
        <v>47</v>
      </c>
      <c r="AI69" s="103">
        <f ca="1">IF(AND(Energy!$F$11=$A$3,Main!$B$43=$A69),Summary!AI26,AI69)</f>
        <v>2.7289157817110743</v>
      </c>
      <c r="AJ69" s="103">
        <f ca="1">IF(AND(Energy!$F$11=$A$3,Main!$B$43=$A69),Summary!AJ26,AJ69)</f>
        <v>0.2281232204908813</v>
      </c>
      <c r="AK69" s="103">
        <f ca="1">IF(AND(Energy!$F$11=$A$3,Main!$B$43=$A69),Summary!AK26,AK69)</f>
        <v>0.01</v>
      </c>
      <c r="AL69" s="103">
        <f ca="1">IF(AND(Energy!$F$11=$A$3,Main!$B$43=$A69),Summary!AL26,AL69)</f>
        <v>-0.54794377563995245</v>
      </c>
      <c r="AM69" s="103">
        <f ca="1">IF(AND(Energy!$F$11=$A$3,Main!$B$43=$A69),Summary!AJ86,AM69)</f>
        <v>0</v>
      </c>
    </row>
    <row r="70" spans="1:39">
      <c r="A70">
        <f t="shared" si="4"/>
        <v>4</v>
      </c>
      <c r="D70" s="1">
        <f ca="1">IF(AND(Energy!$F$11=$A$3,Main!$B$43=A70),Main!C27,D70)</f>
        <v>5.4473684210526319</v>
      </c>
      <c r="E70" s="103">
        <f ca="1">IF(AND(Energy!$F$11=$A$3,Main!$B$43=A70),Main!B27,E70)</f>
        <v>0.26666666666666666</v>
      </c>
      <c r="F70" s="103">
        <f ca="1">IF(Main!$D$6=1,U70,IF(Main!$D$6=2,N70,IF(Main!$D$6=3,K70,IF(Main!$D$6=4,V70,J70))))</f>
        <v>573.13661984084024</v>
      </c>
      <c r="G70" s="103">
        <f ca="1">IF(AND(Energy!$F$11=$A$3,Main!$B$43=A70),Weight!H27,G70)</f>
        <v>15</v>
      </c>
      <c r="H70" s="103">
        <f ca="1">IF(AND(Energy!$F$11=$A$3,Main!$B$43=A70),Weight!U27,H70)</f>
        <v>18.081420752079325</v>
      </c>
      <c r="I70" s="103">
        <f ca="1">IF(AND(Energy!$F$11=$A$3,Main!$B$43=A70),Weight!V27,I70)</f>
        <v>52.304680841010736</v>
      </c>
      <c r="J70" s="103">
        <f ca="1">IF(AND(Energy!$F$11=$A$3,Main!$B$43=A70),Weight!I27,J70)</f>
        <v>29.285611813931411</v>
      </c>
      <c r="K70" s="103">
        <f ca="1">IF(AND(Energy!$F$11=$A$3,Main!$B$43=A70),Weight!W27,K70)</f>
        <v>67.304683158576879</v>
      </c>
      <c r="L70" s="103">
        <f ca="1">IF(AND(Energy!$F$11=$A$3,Main!$B$43=A70),'Aerodynamics-Cruise'!BI27,L70)</f>
        <v>67.304678492949833</v>
      </c>
      <c r="M70" s="103">
        <f ca="1">IF(AND(Energy!$F$11=$A$3,Main!$B$43=A70),'Aerodynamics-Cruise'!BJ27,M70)</f>
        <v>3.0580711555243272</v>
      </c>
      <c r="N70" s="103">
        <f ca="1">IF(AND(Energy!$F$11=$A$3,Main!$B$43=A70),'Aerodynamics-Cruise'!BK27,N70)</f>
        <v>22.008866069504517</v>
      </c>
      <c r="O70" s="103">
        <f t="shared" ca="1" si="5"/>
        <v>180.55947970502444</v>
      </c>
      <c r="P70" s="103">
        <f ca="1">IF(AND(Energy!$F$11=$A$3,Main!$B$43=A70),'Aerodynamics-Cruise'!H27,P70)</f>
        <v>9.2164399841856834</v>
      </c>
      <c r="Q70" s="103">
        <f ca="1">IF(AND(Energy!$F$11=$A$3,Main!$B$43=A70),'Aerodynamics-Cruise'!I27,Q70)</f>
        <v>7.814488214055956</v>
      </c>
      <c r="R70" s="103">
        <f ca="1">IF(AND(Energy!$F$11=$A$3,Main!$B$43=$A70),Summary!R27,R70)</f>
        <v>5.8034057083146973</v>
      </c>
      <c r="S70" s="103">
        <f ca="1">IF(AND(Energy!$F$11=$A$3,Main!$B$43=A70),'Aerodynamics-Cruise'!W27,S70)</f>
        <v>1</v>
      </c>
      <c r="T70" s="103">
        <f ca="1">IF(AND(Energy!$F$11=$A$3,Main!$B$43=A70),'Aerodynamics-Cruise'!BL27,T70)</f>
        <v>28.184529272259326</v>
      </c>
      <c r="U70" s="103">
        <f ca="1">IF(AND(Energy!$F$11=$A$3,Main!$B$43=A70),'Propulsion-Cruise'!M27,U70)</f>
        <v>59.955383235513068</v>
      </c>
      <c r="V70" s="103">
        <f ca="1">IF(AND(Energy!$F$11=$A$3,Main!$B$43=A70),Endurance!AP27,V70)</f>
        <v>573.13661984084024</v>
      </c>
      <c r="W70" s="103">
        <f ca="1">IF(AND(Energy!$F$11=$A$3,Main!$B$43=$A70),Summary!W27,W70)</f>
        <v>1.4526315789473685</v>
      </c>
      <c r="X70" s="13">
        <f ca="1">IF(AND(Energy!$F$11=$A$3,Main!$B$43=A70),Energy!D27,X70)</f>
        <v>405.4065133741114</v>
      </c>
      <c r="Y70" s="102">
        <f ca="1">IF(AND(Energy!$F$11=$A$3,Main!$B$43=A70),'Aerodynamics-Cruise'!V27,Y70)</f>
        <v>155875.26650327025</v>
      </c>
      <c r="Z70" s="102">
        <f ca="1">IF(AND(Energy!$F$11=$A$3,Main!$B$43=$A70),Summary!Z27,Z70)</f>
        <v>117079.50807338492</v>
      </c>
      <c r="AA70" s="102">
        <f ca="1">IF(AND(Energy!$F$11=$A$3,Main!$B$43=$A70),Summary!AA27,AA70)</f>
        <v>117079.50807338492</v>
      </c>
      <c r="AB70" s="103">
        <f ca="1">IF(AND(Energy!$F$11=$A$3,Main!$B$43=$A70),Summary!AB27,AB70)</f>
        <v>5.8034057083146973</v>
      </c>
      <c r="AC70" s="103">
        <f ca="1">IF(AND(Energy!$F$11=$A$3,Main!$B$43=$A70),Summary!AC27,AC70)</f>
        <v>2.146799933768488</v>
      </c>
      <c r="AD70" s="103">
        <f ca="1">IF(AND(Energy!$F$11=$A$3,Main!$B$43=$A70),Summary!AD27,AD70)</f>
        <v>0.43742840275341116</v>
      </c>
      <c r="AE70" s="103">
        <f ca="1">IF(AND(Energy!$F$11=$A$3,Main!$B$43=$A70),Summary!AE27,AE70)</f>
        <v>1.4526315789473685</v>
      </c>
      <c r="AF70" s="103">
        <f ca="1">IF(AND(Energy!$F$11=$A$3,Main!$B$43=$A70),Summary!AF27,AF70)</f>
        <v>20.42763157894737</v>
      </c>
      <c r="AG70" s="103">
        <f ca="1">IF(AND(Energy!$F$11=$A$3,Main!$B$43=$A70),Summary!AG27,AG70)</f>
        <v>11.938575386280107</v>
      </c>
      <c r="AH70" s="103">
        <f ca="1">IF(AND(Energy!$F$11=$A$3,Main!$B$43=$A70),Summary!AH27,AH70)</f>
        <v>47</v>
      </c>
      <c r="AI70" s="103">
        <f ca="1">IF(AND(Energy!$F$11=$A$3,Main!$B$43=$A70),Summary!AI27,AI70)</f>
        <v>2.7263483302299223</v>
      </c>
      <c r="AJ70" s="103">
        <f ca="1">IF(AND(Energy!$F$11=$A$3,Main!$B$43=$A70),Summary!AJ27,AJ70)</f>
        <v>0.22881934872168003</v>
      </c>
      <c r="AK70" s="103">
        <f ca="1">IF(AND(Energy!$F$11=$A$3,Main!$B$43=$A70),Summary!AK27,AK70)</f>
        <v>0.01</v>
      </c>
      <c r="AL70" s="103">
        <f ca="1">IF(AND(Energy!$F$11=$A$3,Main!$B$43=$A70),Summary!AL27,AL70)</f>
        <v>-0.54627674666410375</v>
      </c>
      <c r="AM70" s="103">
        <f ca="1">IF(AND(Energy!$F$11=$A$3,Main!$B$43=$A70),Summary!AJ87,AM70)</f>
        <v>0</v>
      </c>
    </row>
    <row r="71" spans="1:39">
      <c r="A71">
        <f t="shared" si="4"/>
        <v>4</v>
      </c>
      <c r="D71" s="1">
        <f ca="1">IF(AND(Energy!$F$11=$A$3,Main!$B$43=A71),Main!C28,D71)</f>
        <v>5.6052631578947372</v>
      </c>
      <c r="E71" s="103">
        <f ca="1">IF(AND(Energy!$F$11=$A$3,Main!$B$43=A71),Main!B28,E71)</f>
        <v>0.26666666666666666</v>
      </c>
      <c r="F71" s="103">
        <f ca="1">IF(Main!$D$6=1,U71,IF(Main!$D$6=2,N71,IF(Main!$D$6=3,K71,IF(Main!$D$6=4,V71,J71))))</f>
        <v>572.00673337215221</v>
      </c>
      <c r="G71" s="103">
        <f ca="1">IF(AND(Energy!$F$11=$A$3,Main!$B$43=A71),Weight!H28,G71)</f>
        <v>15</v>
      </c>
      <c r="H71" s="103">
        <f ca="1">IF(AND(Energy!$F$11=$A$3,Main!$B$43=A71),Weight!U28,H71)</f>
        <v>18.627974590373256</v>
      </c>
      <c r="I71" s="103">
        <f ca="1">IF(AND(Energy!$F$11=$A$3,Main!$B$43=A71),Weight!V28,I71)</f>
        <v>52.792283959455887</v>
      </c>
      <c r="J71" s="103">
        <f ca="1">IF(AND(Energy!$F$11=$A$3,Main!$B$43=A71),Weight!I28,J71)</f>
        <v>29.22666109408263</v>
      </c>
      <c r="K71" s="103">
        <f ca="1">IF(AND(Energy!$F$11=$A$3,Main!$B$43=A71),Weight!W28,K71)</f>
        <v>67.792286244758102</v>
      </c>
      <c r="L71" s="103">
        <f ca="1">IF(AND(Energy!$F$11=$A$3,Main!$B$43=A71),'Aerodynamics-Cruise'!BI28,L71)</f>
        <v>67.792281643010455</v>
      </c>
      <c r="M71" s="103">
        <f ca="1">IF(AND(Energy!$F$11=$A$3,Main!$B$43=A71),'Aerodynamics-Cruise'!BJ28,M71)</f>
        <v>3.0673202724365991</v>
      </c>
      <c r="N71" s="103">
        <f ca="1">IF(AND(Energy!$F$11=$A$3,Main!$B$43=A71),'Aerodynamics-Cruise'!BK28,N71)</f>
        <v>22.101468259510455</v>
      </c>
      <c r="O71" s="103">
        <f t="shared" ca="1" si="5"/>
        <v>181.97480029905279</v>
      </c>
      <c r="P71" s="103">
        <f ca="1">IF(AND(Energy!$F$11=$A$3,Main!$B$43=A71),'Aerodynamics-Cruise'!H28,P71)</f>
        <v>9.1185246719338924</v>
      </c>
      <c r="Q71" s="103">
        <f ca="1">IF(AND(Energy!$F$11=$A$3,Main!$B$43=A71),'Aerodynamics-Cruise'!I28,Q71)</f>
        <v>7.734847084990923</v>
      </c>
      <c r="R71" s="103">
        <f ca="1">IF(AND(Energy!$F$11=$A$3,Main!$B$43=$A71),Summary!R28,R71)</f>
        <v>5.7247627129917316</v>
      </c>
      <c r="S71" s="103">
        <f ca="1">IF(AND(Energy!$F$11=$A$3,Main!$B$43=A71),'Aerodynamics-Cruise'!W28,S71)</f>
        <v>1</v>
      </c>
      <c r="T71" s="103">
        <f ca="1">IF(AND(Energy!$F$11=$A$3,Main!$B$43=A71),'Aerodynamics-Cruise'!BL28,T71)</f>
        <v>27.969435580936118</v>
      </c>
      <c r="U71" s="103">
        <f ca="1">IF(AND(Energy!$F$11=$A$3,Main!$B$43=A71),'Propulsion-Cruise'!M28,U71)</f>
        <v>59.69107434355012</v>
      </c>
      <c r="V71" s="103">
        <f ca="1">IF(AND(Energy!$F$11=$A$3,Main!$B$43=A71),Endurance!AP28,V71)</f>
        <v>572.00673337215221</v>
      </c>
      <c r="W71" s="103">
        <f ca="1">IF(AND(Energy!$F$11=$A$3,Main!$B$43=$A71),Summary!W28,W71)</f>
        <v>1.4947368421052631</v>
      </c>
      <c r="X71" s="13">
        <f ca="1">IF(AND(Energy!$F$11=$A$3,Main!$B$43=A71),Energy!D28,X71)</f>
        <v>405.37380996495921</v>
      </c>
      <c r="Y71" s="102">
        <f ca="1">IF(AND(Energy!$F$11=$A$3,Main!$B$43=A71),'Aerodynamics-Cruise'!V28,Y71)</f>
        <v>154219.25014357088</v>
      </c>
      <c r="Z71" s="102">
        <f ca="1">IF(AND(Energy!$F$11=$A$3,Main!$B$43=$A71),Summary!Z28,Z71)</f>
        <v>115884.31961229774</v>
      </c>
      <c r="AA71" s="102">
        <f ca="1">IF(AND(Energy!$F$11=$A$3,Main!$B$43=$A71),Summary!AA28,AA71)</f>
        <v>115884.31961229774</v>
      </c>
      <c r="AB71" s="103">
        <f ca="1">IF(AND(Energy!$F$11=$A$3,Main!$B$43=$A71),Summary!AB28,AB71)</f>
        <v>5.7247627129917316</v>
      </c>
      <c r="AC71" s="103">
        <f ca="1">IF(AND(Energy!$F$11=$A$3,Main!$B$43=$A71),Summary!AC28,AC71)</f>
        <v>2.1132689878791076</v>
      </c>
      <c r="AD71" s="103">
        <f ca="1">IF(AND(Energy!$F$11=$A$3,Main!$B$43=$A71),Summary!AD28,AD71)</f>
        <v>0.43548877294406685</v>
      </c>
      <c r="AE71" s="103">
        <f ca="1">IF(AND(Energy!$F$11=$A$3,Main!$B$43=$A71),Summary!AE28,AE71)</f>
        <v>1.4947368421052631</v>
      </c>
      <c r="AF71" s="103">
        <f ca="1">IF(AND(Energy!$F$11=$A$3,Main!$B$43=$A71),Summary!AF28,AF71)</f>
        <v>21.019736842105267</v>
      </c>
      <c r="AG71" s="103">
        <f ca="1">IF(AND(Energy!$F$11=$A$3,Main!$B$43=$A71),Summary!AG28,AG71)</f>
        <v>11.921194797856849</v>
      </c>
      <c r="AH71" s="103">
        <f ca="1">IF(AND(Energy!$F$11=$A$3,Main!$B$43=$A71),Summary!AH28,AH71)</f>
        <v>47</v>
      </c>
      <c r="AI71" s="103">
        <f ca="1">IF(AND(Energy!$F$11=$A$3,Main!$B$43=$A71),Summary!AI28,AI71)</f>
        <v>2.7239662103826263</v>
      </c>
      <c r="AJ71" s="103">
        <f ca="1">IF(AND(Energy!$F$11=$A$3,Main!$B$43=$A71),Summary!AJ28,AJ71)</f>
        <v>0.22946997707294448</v>
      </c>
      <c r="AK71" s="103">
        <f ca="1">IF(AND(Energy!$F$11=$A$3,Main!$B$43=$A71),Summary!AK28,AK71)</f>
        <v>0.01</v>
      </c>
      <c r="AL71" s="103">
        <f ca="1">IF(AND(Energy!$F$11=$A$3,Main!$B$43=$A71),Summary!AL28,AL71)</f>
        <v>-0.54472781747055066</v>
      </c>
      <c r="AM71" s="103">
        <f ca="1">IF(AND(Energy!$F$11=$A$3,Main!$B$43=$A71),Summary!AJ88,AM71)</f>
        <v>0</v>
      </c>
    </row>
    <row r="72" spans="1:39">
      <c r="A72">
        <f t="shared" si="4"/>
        <v>4</v>
      </c>
      <c r="D72" s="1">
        <f ca="1">IF(AND(Energy!$F$11=$A$3,Main!$B$43=A72),Main!C29,D72)</f>
        <v>5.7631578947368425</v>
      </c>
      <c r="E72" s="103">
        <f ca="1">IF(AND(Energy!$F$11=$A$3,Main!$B$43=A72),Main!B29,E72)</f>
        <v>0.26666666666666666</v>
      </c>
      <c r="F72" s="103">
        <f ca="1">IF(Main!$D$6=1,U72,IF(Main!$D$6=2,N72,IF(Main!$D$6=3,K72,IF(Main!$D$6=4,V72,J72))))</f>
        <v>571.68782425812662</v>
      </c>
      <c r="G72" s="103">
        <f ca="1">IF(AND(Energy!$F$11=$A$3,Main!$B$43=A72),Weight!H29,G72)</f>
        <v>15</v>
      </c>
      <c r="H72" s="103">
        <f ca="1">IF(AND(Energy!$F$11=$A$3,Main!$B$43=A72),Weight!U29,H72)</f>
        <v>19.190087793149218</v>
      </c>
      <c r="I72" s="103">
        <f ca="1">IF(AND(Energy!$F$11=$A$3,Main!$B$43=A72),Weight!V29,I72)</f>
        <v>53.332161801526723</v>
      </c>
      <c r="J72" s="103">
        <f ca="1">IF(AND(Energy!$F$11=$A$3,Main!$B$43=A72),Weight!I29,J72)</f>
        <v>29.204425733377509</v>
      </c>
      <c r="K72" s="103">
        <f ca="1">IF(AND(Energy!$F$11=$A$3,Main!$B$43=A72),Weight!W29,K72)</f>
        <v>68.33216406434893</v>
      </c>
      <c r="L72" s="103">
        <f ca="1">IF(AND(Energy!$F$11=$A$3,Main!$B$43=A72),'Aerodynamics-Cruise'!BI29,L72)</f>
        <v>68.332159506872614</v>
      </c>
      <c r="M72" s="103">
        <f ca="1">IF(AND(Energy!$F$11=$A$3,Main!$B$43=A72),'Aerodynamics-Cruise'!BJ29,M72)</f>
        <v>3.0793627946667983</v>
      </c>
      <c r="N72" s="103">
        <f ca="1">IF(AND(Energy!$F$11=$A$3,Main!$B$43=A72),'Aerodynamics-Cruise'!BK29,N72)</f>
        <v>22.190356922288682</v>
      </c>
      <c r="O72" s="103">
        <f t="shared" ca="1" si="5"/>
        <v>183.43274312483979</v>
      </c>
      <c r="P72" s="103">
        <f ca="1">IF(AND(Energy!$F$11=$A$3,Main!$B$43=A72),'Aerodynamics-Cruise'!H29,P72)</f>
        <v>9.0284541911188629</v>
      </c>
      <c r="Q72" s="103">
        <f ca="1">IF(AND(Energy!$F$11=$A$3,Main!$B$43=A72),'Aerodynamics-Cruise'!I29,Q72)</f>
        <v>7.6615555121370011</v>
      </c>
      <c r="R72" s="103">
        <f ca="1">IF(AND(Energy!$F$11=$A$3,Main!$B$43=$A72),Summary!R29,R72)</f>
        <v>5.6598477474064168</v>
      </c>
      <c r="S72" s="103">
        <f ca="1">IF(AND(Energy!$F$11=$A$3,Main!$B$43=A72),'Aerodynamics-Cruise'!W29,S72)</f>
        <v>1</v>
      </c>
      <c r="T72" s="103">
        <f ca="1">IF(AND(Energy!$F$11=$A$3,Main!$B$43=A72),'Aerodynamics-Cruise'!BL29,T72)</f>
        <v>27.80188592948495</v>
      </c>
      <c r="U72" s="103">
        <f ca="1">IF(AND(Energy!$F$11=$A$3,Main!$B$43=A72),'Propulsion-Cruise'!M29,U72)</f>
        <v>59.515537373585126</v>
      </c>
      <c r="V72" s="103">
        <f ca="1">IF(AND(Energy!$F$11=$A$3,Main!$B$43=A72),Endurance!AP29,V72)</f>
        <v>571.68782425812662</v>
      </c>
      <c r="W72" s="103">
        <f ca="1">IF(AND(Energy!$F$11=$A$3,Main!$B$43=$A72),Summary!W29,W72)</f>
        <v>1.536842105263158</v>
      </c>
      <c r="X72" s="13">
        <f ca="1">IF(AND(Energy!$F$11=$A$3,Main!$B$43=A72),Energy!D29,X72)</f>
        <v>405.36147470309902</v>
      </c>
      <c r="Y72" s="102">
        <f ca="1">IF(AND(Energy!$F$11=$A$3,Main!$B$43=A72),'Aerodynamics-Cruise'!V29,Y72)</f>
        <v>152695.91138964737</v>
      </c>
      <c r="Z72" s="102">
        <f ca="1">IF(AND(Energy!$F$11=$A$3,Main!$B$43=$A72),Summary!Z29,Z72)</f>
        <v>114784.43832339639</v>
      </c>
      <c r="AA72" s="102">
        <f ca="1">IF(AND(Energy!$F$11=$A$3,Main!$B$43=$A72),Summary!AA29,AA72)</f>
        <v>114784.43832339639</v>
      </c>
      <c r="AB72" s="103">
        <f ca="1">IF(AND(Energy!$F$11=$A$3,Main!$B$43=$A72),Summary!AB29,AB72)</f>
        <v>5.6598477474064168</v>
      </c>
      <c r="AC72" s="103">
        <f ca="1">IF(AND(Energy!$F$11=$A$3,Main!$B$43=$A72),Summary!AC29,AC72)</f>
        <v>2.0795113264313212</v>
      </c>
      <c r="AD72" s="103">
        <f ca="1">IF(AND(Energy!$F$11=$A$3,Main!$B$43=$A72),Summary!AD29,AD72)</f>
        <v>0.43385460077711957</v>
      </c>
      <c r="AE72" s="103">
        <f ca="1">IF(AND(Energy!$F$11=$A$3,Main!$B$43=$A72),Summary!AE29,AE72)</f>
        <v>1.536842105263158</v>
      </c>
      <c r="AF72" s="103">
        <f ca="1">IF(AND(Energy!$F$11=$A$3,Main!$B$43=$A72),Summary!AF29,AF72)</f>
        <v>21.611842105263158</v>
      </c>
      <c r="AG72" s="103">
        <f ca="1">IF(AND(Energy!$F$11=$A$3,Main!$B$43=$A72),Summary!AG29,AG72)</f>
        <v>11.913812292091658</v>
      </c>
      <c r="AH72" s="103">
        <f ca="1">IF(AND(Energy!$F$11=$A$3,Main!$B$43=$A72),Summary!AH29,AH72)</f>
        <v>47</v>
      </c>
      <c r="AI72" s="103">
        <f ca="1">IF(AND(Energy!$F$11=$A$3,Main!$B$43=$A72),Summary!AI29,AI72)</f>
        <v>2.7217543067223127</v>
      </c>
      <c r="AJ72" s="103">
        <f ca="1">IF(AND(Energy!$F$11=$A$3,Main!$B$43=$A72),Summary!AJ29,AJ72)</f>
        <v>0.23007854188268523</v>
      </c>
      <c r="AK72" s="103">
        <f ca="1">IF(AND(Energy!$F$11=$A$3,Main!$B$43=$A72),Summary!AK29,AK72)</f>
        <v>0.01</v>
      </c>
      <c r="AL72" s="103">
        <f ca="1">IF(AND(Energy!$F$11=$A$3,Main!$B$43=$A72),Summary!AL29,AL72)</f>
        <v>-0.54328695298836494</v>
      </c>
      <c r="AM72" s="103">
        <f ca="1">IF(AND(Energy!$F$11=$A$3,Main!$B$43=$A72),Summary!AJ89,AM72)</f>
        <v>0</v>
      </c>
    </row>
    <row r="73" spans="1:39">
      <c r="A73">
        <f t="shared" si="4"/>
        <v>4</v>
      </c>
      <c r="D73" s="1">
        <f ca="1">IF(AND(Energy!$F$11=$A$3,Main!$B$43=A73),Main!C30,D73)</f>
        <v>5.9210526315789478</v>
      </c>
      <c r="E73" s="103">
        <f ca="1">IF(AND(Energy!$F$11=$A$3,Main!$B$43=A73),Main!B30,E73)</f>
        <v>0.26666666666666666</v>
      </c>
      <c r="F73" s="103">
        <f ca="1">IF(Main!$D$6=1,U73,IF(Main!$D$6=2,N73,IF(Main!$D$6=3,K73,IF(Main!$D$6=4,V73,J73))))</f>
        <v>572.09988953489994</v>
      </c>
      <c r="G73" s="103">
        <f ca="1">IF(AND(Energy!$F$11=$A$3,Main!$B$43=A73),Weight!H30,G73)</f>
        <v>15</v>
      </c>
      <c r="H73" s="103">
        <f ca="1">IF(AND(Energy!$F$11=$A$3,Main!$B$43=A73),Weight!U30,H73)</f>
        <v>19.767641168048435</v>
      </c>
      <c r="I73" s="103">
        <f ca="1">IF(AND(Energy!$F$11=$A$3,Main!$B$43=A73),Weight!V30,I73)</f>
        <v>53.92055364894145</v>
      </c>
      <c r="J73" s="103">
        <f ca="1">IF(AND(Energy!$F$11=$A$3,Main!$B$43=A73),Weight!I30,J73)</f>
        <v>29.215264205893014</v>
      </c>
      <c r="K73" s="103">
        <f ca="1">IF(AND(Energy!$F$11=$A$3,Main!$B$43=A73),Weight!W30,K73)</f>
        <v>68.920555897836081</v>
      </c>
      <c r="L73" s="103">
        <f ca="1">IF(AND(Energy!$F$11=$A$3,Main!$B$43=A73),'Aerodynamics-Cruise'!BI30,L73)</f>
        <v>68.920551367498575</v>
      </c>
      <c r="M73" s="103">
        <f ca="1">IF(AND(Energy!$F$11=$A$3,Main!$B$43=A73),'Aerodynamics-Cruise'!BJ30,M73)</f>
        <v>3.093933786918738</v>
      </c>
      <c r="N73" s="103">
        <f ca="1">IF(AND(Energy!$F$11=$A$3,Main!$B$43=A73),'Aerodynamics-Cruise'!BK30,N73)</f>
        <v>22.276026610167651</v>
      </c>
      <c r="O73" s="103">
        <f t="shared" ca="1" si="5"/>
        <v>184.93201409559643</v>
      </c>
      <c r="P73" s="103">
        <f ca="1">IF(AND(Energy!$F$11=$A$3,Main!$B$43=A73),'Aerodynamics-Cruise'!H30,P73)</f>
        <v>8.9455023361000219</v>
      </c>
      <c r="Q73" s="103">
        <f ca="1">IF(AND(Energy!$F$11=$A$3,Main!$B$43=A73),'Aerodynamics-Cruise'!I30,Q73)</f>
        <v>7.5940297896499631</v>
      </c>
      <c r="R73" s="103">
        <f ca="1">IF(AND(Energy!$F$11=$A$3,Main!$B$43=$A73),Summary!R30,R73)</f>
        <v>5.6071556691321671</v>
      </c>
      <c r="S73" s="103">
        <f ca="1">IF(AND(Energy!$F$11=$A$3,Main!$B$43=A73),'Aerodynamics-Cruise'!W30,S73)</f>
        <v>1</v>
      </c>
      <c r="T73" s="103">
        <f ca="1">IF(AND(Energy!$F$11=$A$3,Main!$B$43=A73),'Aerodynamics-Cruise'!BL30,T73)</f>
        <v>27.676791918620356</v>
      </c>
      <c r="U73" s="103">
        <f ca="1">IF(AND(Energy!$F$11=$A$3,Main!$B$43=A73),'Propulsion-Cruise'!M30,U73)</f>
        <v>59.419692108206874</v>
      </c>
      <c r="V73" s="103">
        <f ca="1">IF(AND(Energy!$F$11=$A$3,Main!$B$43=A73),Endurance!AP30,V73)</f>
        <v>572.09988953489994</v>
      </c>
      <c r="W73" s="103">
        <f ca="1">IF(AND(Energy!$F$11=$A$3,Main!$B$43=$A73),Summary!W30,W73)</f>
        <v>1.5789473684210527</v>
      </c>
      <c r="X73" s="13">
        <f ca="1">IF(AND(Energy!$F$11=$A$3,Main!$B$43=A73),Energy!D30,X73)</f>
        <v>405.36748742194305</v>
      </c>
      <c r="Y73" s="102">
        <f ca="1">IF(AND(Energy!$F$11=$A$3,Main!$B$43=A73),'Aerodynamics-Cruise'!V30,Y73)</f>
        <v>151292.96811326419</v>
      </c>
      <c r="Z73" s="102">
        <f ca="1">IF(AND(Energy!$F$11=$A$3,Main!$B$43=$A73),Summary!Z30,Z73)</f>
        <v>113771.10035471365</v>
      </c>
      <c r="AA73" s="102">
        <f ca="1">IF(AND(Energy!$F$11=$A$3,Main!$B$43=$A73),Summary!AA30,AA73)</f>
        <v>113771.10035471365</v>
      </c>
      <c r="AB73" s="103">
        <f ca="1">IF(AND(Energy!$F$11=$A$3,Main!$B$43=$A73),Summary!AB30,AB73)</f>
        <v>5.6071556691321671</v>
      </c>
      <c r="AC73" s="103">
        <f ca="1">IF(AND(Energy!$F$11=$A$3,Main!$B$43=$A73),Summary!AC30,AC73)</f>
        <v>2.0456646635464799</v>
      </c>
      <c r="AD73" s="103">
        <f ca="1">IF(AND(Energy!$F$11=$A$3,Main!$B$43=$A73),Summary!AD30,AD73)</f>
        <v>0.43249709384185042</v>
      </c>
      <c r="AE73" s="103">
        <f ca="1">IF(AND(Energy!$F$11=$A$3,Main!$B$43=$A73),Summary!AE30,AE73)</f>
        <v>1.5789473684210527</v>
      </c>
      <c r="AF73" s="103">
        <f ca="1">IF(AND(Energy!$F$11=$A$3,Main!$B$43=$A73),Summary!AF30,AF73)</f>
        <v>22.203947368421055</v>
      </c>
      <c r="AG73" s="103">
        <f ca="1">IF(AND(Energy!$F$11=$A$3,Main!$B$43=$A73),Summary!AG30,AG73)</f>
        <v>11.915434583067849</v>
      </c>
      <c r="AH73" s="103">
        <f ca="1">IF(AND(Energy!$F$11=$A$3,Main!$B$43=$A73),Summary!AH30,AH73)</f>
        <v>47</v>
      </c>
      <c r="AI73" s="103">
        <f ca="1">IF(AND(Energy!$F$11=$A$3,Main!$B$43=$A73),Summary!AI30,AI73)</f>
        <v>2.7196993721910965</v>
      </c>
      <c r="AJ73" s="103">
        <f ca="1">IF(AND(Energy!$F$11=$A$3,Main!$B$43=$A73),Summary!AJ30,AJ73)</f>
        <v>0.23064810002648445</v>
      </c>
      <c r="AK73" s="103">
        <f ca="1">IF(AND(Energy!$F$11=$A$3,Main!$B$43=$A73),Summary!AK30,AK73)</f>
        <v>0.01</v>
      </c>
      <c r="AL73" s="103">
        <f ca="1">IF(AND(Energy!$F$11=$A$3,Main!$B$43=$A73),Summary!AL30,AL73)</f>
        <v>-0.54194532689943586</v>
      </c>
      <c r="AM73" s="103">
        <f ca="1">IF(AND(Energy!$F$11=$A$3,Main!$B$43=$A73),Summary!AJ90,AM73)</f>
        <v>0</v>
      </c>
    </row>
    <row r="74" spans="1:39">
      <c r="A74">
        <f t="shared" si="4"/>
        <v>4</v>
      </c>
      <c r="D74" s="1">
        <f ca="1">IF(AND(Energy!$F$11=$A$3,Main!$B$43=A74),Main!C31,D74)</f>
        <v>6.0789473684210531</v>
      </c>
      <c r="E74" s="103">
        <f ca="1">IF(AND(Energy!$F$11=$A$3,Main!$B$43=A74),Main!B31,E74)</f>
        <v>0.26666666666666666</v>
      </c>
      <c r="F74" s="103">
        <f ca="1">IF(Main!$D$6=1,U74,IF(Main!$D$6=2,N74,IF(Main!$D$6=3,K74,IF(Main!$D$6=4,V74,J74))))</f>
        <v>573.17579501755915</v>
      </c>
      <c r="G74" s="103">
        <f ca="1">IF(AND(Energy!$F$11=$A$3,Main!$B$43=A74),Weight!H31,G74)</f>
        <v>15</v>
      </c>
      <c r="H74" s="103">
        <f ca="1">IF(AND(Energy!$F$11=$A$3,Main!$B$43=A74),Weight!U31,H74)</f>
        <v>20.360562868067703</v>
      </c>
      <c r="I74" s="103">
        <f ca="1">IF(AND(Energy!$F$11=$A$3,Main!$B$43=A74),Weight!V31,I74)</f>
        <v>54.554331840001225</v>
      </c>
      <c r="J74" s="103">
        <f ca="1">IF(AND(Energy!$F$11=$A$3,Main!$B$43=A74),Weight!I31,J74)</f>
        <v>29.256120696933518</v>
      </c>
      <c r="K74" s="103">
        <f ca="1">IF(AND(Energy!$F$11=$A$3,Main!$B$43=A74),Weight!W31,K74)</f>
        <v>69.554334082527504</v>
      </c>
      <c r="L74" s="103">
        <f ca="1">IF(AND(Energy!$F$11=$A$3,Main!$B$43=A74),'Aerodynamics-Cruise'!BI31,L74)</f>
        <v>69.554329564193026</v>
      </c>
      <c r="M74" s="103">
        <f ca="1">IF(AND(Energy!$F$11=$A$3,Main!$B$43=A74),'Aerodynamics-Cruise'!BJ31,M74)</f>
        <v>3.1108082318160557</v>
      </c>
      <c r="N74" s="103">
        <f ca="1">IF(AND(Energy!$F$11=$A$3,Main!$B$43=A74),'Aerodynamics-Cruise'!BK31,N74)</f>
        <v>22.358925520647723</v>
      </c>
      <c r="O74" s="103">
        <f t="shared" ca="1" si="5"/>
        <v>186.47173586202851</v>
      </c>
      <c r="P74" s="103">
        <f ca="1">IF(AND(Energy!$F$11=$A$3,Main!$B$43=A74),'Aerodynamics-Cruise'!H31,P74)</f>
        <v>8.8690387033936418</v>
      </c>
      <c r="Q74" s="103">
        <f ca="1">IF(AND(Energy!$F$11=$A$3,Main!$B$43=A74),'Aerodynamics-Cruise'!I31,Q74)</f>
        <v>7.5317628661199061</v>
      </c>
      <c r="R74" s="103">
        <f ca="1">IF(AND(Energy!$F$11=$A$3,Main!$B$43=$A74),Summary!R31,R74)</f>
        <v>5.5654372955654088</v>
      </c>
      <c r="S74" s="103">
        <f ca="1">IF(AND(Energy!$F$11=$A$3,Main!$B$43=A74),'Aerodynamics-Cruise'!W31,S74)</f>
        <v>1</v>
      </c>
      <c r="T74" s="103">
        <f ca="1">IF(AND(Energy!$F$11=$A$3,Main!$B$43=A74),'Aerodynamics-Cruise'!BL31,T74)</f>
        <v>27.589878606812139</v>
      </c>
      <c r="U74" s="103">
        <f ca="1">IF(AND(Energy!$F$11=$A$3,Main!$B$43=A74),'Propulsion-Cruise'!M31,U74)</f>
        <v>59.395909056239553</v>
      </c>
      <c r="V74" s="103">
        <f ca="1">IF(AND(Energy!$F$11=$A$3,Main!$B$43=A74),Endurance!AP31,V74)</f>
        <v>573.17579501755915</v>
      </c>
      <c r="W74" s="103">
        <f ca="1">IF(AND(Energy!$F$11=$A$3,Main!$B$43=$A74),Summary!W31,W74)</f>
        <v>1.6210526315789475</v>
      </c>
      <c r="X74" s="13">
        <f ca="1">IF(AND(Energy!$F$11=$A$3,Main!$B$43=A74),Energy!D31,X74)</f>
        <v>405.39015288306518</v>
      </c>
      <c r="Y74" s="102">
        <f ca="1">IF(AND(Energy!$F$11=$A$3,Main!$B$43=A74),'Aerodynamics-Cruise'!V31,Y74)</f>
        <v>149999.75846329448</v>
      </c>
      <c r="Z74" s="102">
        <f ca="1">IF(AND(Energy!$F$11=$A$3,Main!$B$43=$A74),Summary!Z31,Z74)</f>
        <v>112836.69296113822</v>
      </c>
      <c r="AA74" s="102">
        <f ca="1">IF(AND(Energy!$F$11=$A$3,Main!$B$43=$A74),Summary!AA31,AA74)</f>
        <v>112836.69296113822</v>
      </c>
      <c r="AB74" s="103">
        <f ca="1">IF(AND(Energy!$F$11=$A$3,Main!$B$43=$A74),Summary!AB31,AB74)</f>
        <v>5.5654372955654088</v>
      </c>
      <c r="AC74" s="103">
        <f ca="1">IF(AND(Energy!$F$11=$A$3,Main!$B$43=$A74),Summary!AC31,AC74)</f>
        <v>2.0118407212934226</v>
      </c>
      <c r="AD74" s="103">
        <f ca="1">IF(AND(Energy!$F$11=$A$3,Main!$B$43=$A74),Summary!AD31,AD74)</f>
        <v>0.43139138572514529</v>
      </c>
      <c r="AE74" s="103">
        <f ca="1">IF(AND(Energy!$F$11=$A$3,Main!$B$43=$A74),Summary!AE31,AE74)</f>
        <v>1.6210526315789475</v>
      </c>
      <c r="AF74" s="103">
        <f ca="1">IF(AND(Energy!$F$11=$A$3,Main!$B$43=$A74),Summary!AF31,AF74)</f>
        <v>22.796052631578949</v>
      </c>
      <c r="AG74" s="103">
        <f ca="1">IF(AND(Energy!$F$11=$A$3,Main!$B$43=$A74),Summary!AG31,AG74)</f>
        <v>11.925217260612536</v>
      </c>
      <c r="AH74" s="103">
        <f ca="1">IF(AND(Energy!$F$11=$A$3,Main!$B$43=$A74),Summary!AH31,AH74)</f>
        <v>47</v>
      </c>
      <c r="AI74" s="103">
        <f ca="1">IF(AND(Energy!$F$11=$A$3,Main!$B$43=$A74),Summary!AI31,AI74)</f>
        <v>2.7177897204953272</v>
      </c>
      <c r="AJ74" s="103">
        <f ca="1">IF(AND(Energy!$F$11=$A$3,Main!$B$43=$A74),Summary!AJ31,AJ74)</f>
        <v>0.23118138324701118</v>
      </c>
      <c r="AK74" s="103">
        <f ca="1">IF(AND(Energy!$F$11=$A$3,Main!$B$43=$A74),Summary!AK31,AK74)</f>
        <v>0.01</v>
      </c>
      <c r="AL74" s="103">
        <f ca="1">IF(AND(Energy!$F$11=$A$3,Main!$B$43=$A74),Summary!AL31,AL74)</f>
        <v>-0.5406951375397373</v>
      </c>
      <c r="AM74" s="103">
        <f ca="1">IF(AND(Energy!$F$11=$A$3,Main!$B$43=$A74),Summary!AJ91,AM74)</f>
        <v>0</v>
      </c>
    </row>
    <row r="75" spans="1:39">
      <c r="A75">
        <f t="shared" si="4"/>
        <v>4</v>
      </c>
      <c r="D75" s="1">
        <f ca="1">IF(AND(Energy!$F$11=$A$3,Main!$B$43=A75),Main!C32,D75)</f>
        <v>6.2368421052631584</v>
      </c>
      <c r="E75" s="103">
        <f ca="1">IF(AND(Energy!$F$11=$A$3,Main!$B$43=A75),Main!B32,E75)</f>
        <v>0.26666666666666666</v>
      </c>
      <c r="F75" s="103">
        <f ca="1">IF(Main!$D$6=1,U75,IF(Main!$D$6=2,N75,IF(Main!$D$6=3,K75,IF(Main!$D$6=4,V75,J75))))</f>
        <v>574.85884935756269</v>
      </c>
      <c r="G75" s="103">
        <f ca="1">IF(AND(Energy!$F$11=$A$3,Main!$B$43=A75),Weight!H32,G75)</f>
        <v>15</v>
      </c>
      <c r="H75" s="103">
        <f ca="1">IF(AND(Energy!$F$11=$A$3,Main!$B$43=A75),Weight!U32,H75)</f>
        <v>20.968820164416456</v>
      </c>
      <c r="I75" s="103">
        <f ca="1">IF(AND(Energy!$F$11=$A$3,Main!$B$43=A75),Weight!V32,I75)</f>
        <v>55.230883083391916</v>
      </c>
      <c r="J75" s="103">
        <f ca="1">IF(AND(Energy!$F$11=$A$3,Main!$B$43=A75),Weight!I32,J75)</f>
        <v>29.324414643975459</v>
      </c>
      <c r="K75" s="103">
        <f ca="1">IF(AND(Energy!$F$11=$A$3,Main!$B$43=A75),Weight!W32,K75)</f>
        <v>70.230885326298747</v>
      </c>
      <c r="L75" s="103">
        <f ca="1">IF(AND(Energy!$F$11=$A$3,Main!$B$43=A75),'Aerodynamics-Cruise'!BI32,L75)</f>
        <v>70.230880806460604</v>
      </c>
      <c r="M75" s="103">
        <f ca="1">IF(AND(Energy!$F$11=$A$3,Main!$B$43=A75),'Aerodynamics-Cruise'!BJ32,M75)</f>
        <v>3.1297938144679143</v>
      </c>
      <c r="N75" s="103">
        <f ca="1">IF(AND(Energy!$F$11=$A$3,Main!$B$43=A75),'Aerodynamics-Cruise'!BK32,N75)</f>
        <v>22.439459264635399</v>
      </c>
      <c r="O75" s="103">
        <f t="shared" ca="1" si="5"/>
        <v>188.05134539405856</v>
      </c>
      <c r="P75" s="103">
        <f ca="1">IF(AND(Energy!$F$11=$A$3,Main!$B$43=A75),'Aerodynamics-Cruise'!H32,P75)</f>
        <v>8.7985126408998156</v>
      </c>
      <c r="Q75" s="103">
        <f ca="1">IF(AND(Energy!$F$11=$A$3,Main!$B$43=A75),'Aerodynamics-Cruise'!I32,Q75)</f>
        <v>7.4743115373174875</v>
      </c>
      <c r="R75" s="103">
        <f ca="1">IF(AND(Energy!$F$11=$A$3,Main!$B$43=$A75),Summary!R32,R75)</f>
        <v>5.5336489524302639</v>
      </c>
      <c r="S75" s="103">
        <f ca="1">IF(AND(Energy!$F$11=$A$3,Main!$B$43=A75),'Aerodynamics-Cruise'!W32,S75)</f>
        <v>1</v>
      </c>
      <c r="T75" s="103">
        <f ca="1">IF(AND(Energy!$F$11=$A$3,Main!$B$43=A75),'Aerodynamics-Cruise'!BL32,T75)</f>
        <v>27.537530440005995</v>
      </c>
      <c r="U75" s="103">
        <f ca="1">IF(AND(Energy!$F$11=$A$3,Main!$B$43=A75),'Propulsion-Cruise'!M32,U75)</f>
        <v>59.437735778693785</v>
      </c>
      <c r="V75" s="103">
        <f ca="1">IF(AND(Energy!$F$11=$A$3,Main!$B$43=A75),Endurance!AP32,V75)</f>
        <v>574.85884935756269</v>
      </c>
      <c r="W75" s="103">
        <f ca="1">IF(AND(Energy!$F$11=$A$3,Main!$B$43=$A75),Summary!W32,W75)</f>
        <v>1.6631578947368422</v>
      </c>
      <c r="X75" s="13">
        <f ca="1">IF(AND(Energy!$F$11=$A$3,Main!$B$43=A75),Energy!D32,X75)</f>
        <v>405.42803949811832</v>
      </c>
      <c r="Y75" s="102">
        <f ca="1">IF(AND(Energy!$F$11=$A$3,Main!$B$43=A75),'Aerodynamics-Cruise'!V32,Y75)</f>
        <v>148806.96940314604</v>
      </c>
      <c r="Z75" s="102">
        <f ca="1">IF(AND(Energy!$F$11=$A$3,Main!$B$43=$A75),Summary!Z32,Z75)</f>
        <v>111974.56215923779</v>
      </c>
      <c r="AA75" s="102">
        <f ca="1">IF(AND(Energy!$F$11=$A$3,Main!$B$43=$A75),Summary!AA32,AA75)</f>
        <v>111974.56215923779</v>
      </c>
      <c r="AB75" s="103">
        <f ca="1">IF(AND(Energy!$F$11=$A$3,Main!$B$43=$A75),Summary!AB32,AB75)</f>
        <v>5.5336489524302639</v>
      </c>
      <c r="AC75" s="103">
        <f ca="1">IF(AND(Energy!$F$11=$A$3,Main!$B$43=$A75),Summary!AC32,AC75)</f>
        <v>1.9781302478387144</v>
      </c>
      <c r="AD75" s="103">
        <f ca="1">IF(AND(Energy!$F$11=$A$3,Main!$B$43=$A75),Summary!AD32,AD75)</f>
        <v>0.43051586640957834</v>
      </c>
      <c r="AE75" s="103">
        <f ca="1">IF(AND(Energy!$F$11=$A$3,Main!$B$43=$A75),Summary!AE32,AE75)</f>
        <v>1.6631578947368422</v>
      </c>
      <c r="AF75" s="103">
        <f ca="1">IF(AND(Energy!$F$11=$A$3,Main!$B$43=$A75),Summary!AF32,AF75)</f>
        <v>23.388157894736846</v>
      </c>
      <c r="AG75" s="103">
        <f ca="1">IF(AND(Energy!$F$11=$A$3,Main!$B$43=$A75),Summary!AG32,AG75)</f>
        <v>11.942437853345771</v>
      </c>
      <c r="AH75" s="103">
        <f ca="1">IF(AND(Energy!$F$11=$A$3,Main!$B$43=$A75),Summary!AH32,AH75)</f>
        <v>47</v>
      </c>
      <c r="AI75" s="103">
        <f ca="1">IF(AND(Energy!$F$11=$A$3,Main!$B$43=$A75),Summary!AI32,AI75)</f>
        <v>2.7160149804945077</v>
      </c>
      <c r="AJ75" s="103">
        <f ca="1">IF(AND(Energy!$F$11=$A$3,Main!$B$43=$A75),Summary!AJ32,AJ75)</f>
        <v>0.23168084360463556</v>
      </c>
      <c r="AK75" s="103">
        <f ca="1">IF(AND(Energy!$F$11=$A$3,Main!$B$43=$A75),Summary!AK32,AK75)</f>
        <v>0.01</v>
      </c>
      <c r="AL75" s="103">
        <f ca="1">IF(AND(Energy!$F$11=$A$3,Main!$B$43=$A75),Summary!AL32,AL75)</f>
        <v>-0.53952945602778646</v>
      </c>
      <c r="AM75" s="103">
        <f ca="1">IF(AND(Energy!$F$11=$A$3,Main!$B$43=$A75),Summary!AJ92,AM75)</f>
        <v>0</v>
      </c>
    </row>
    <row r="76" spans="1:39">
      <c r="A76">
        <f t="shared" si="4"/>
        <v>4</v>
      </c>
      <c r="D76" s="1">
        <f ca="1">IF(AND(Energy!$F$11=$A$3,Main!$B$43=A76),Main!C33,D76)</f>
        <v>6.3947368421052637</v>
      </c>
      <c r="E76" s="103">
        <f ca="1">IF(AND(Energy!$F$11=$A$3,Main!$B$43=A76),Main!B33,E76)</f>
        <v>0.26666666666666666</v>
      </c>
      <c r="F76" s="103">
        <f ca="1">IF(Main!$D$6=1,U76,IF(Main!$D$6=2,N76,IF(Main!$D$6=3,K76,IF(Main!$D$6=4,V76,J76))))</f>
        <v>577.1009118622336</v>
      </c>
      <c r="G76" s="103">
        <f ca="1">IF(AND(Energy!$F$11=$A$3,Main!$B$43=A76),Weight!H33,G76)</f>
        <v>15</v>
      </c>
      <c r="H76" s="103">
        <f ca="1">IF(AND(Energy!$F$11=$A$3,Main!$B$43=A76),Weight!U33,H76)</f>
        <v>21.592412969308526</v>
      </c>
      <c r="I76" s="103">
        <f ca="1">IF(AND(Energy!$F$11=$A$3,Main!$B$43=A76),Weight!V33,I76)</f>
        <v>55.948015831123428</v>
      </c>
      <c r="J76" s="103">
        <f ca="1">IF(AND(Energy!$F$11=$A$3,Main!$B$43=A76),Weight!I33,J76)</f>
        <v>29.417954586814901</v>
      </c>
      <c r="K76" s="103">
        <f ca="1">IF(AND(Energy!$F$11=$A$3,Main!$B$43=A76),Weight!W33,K76)</f>
        <v>70.948018080498471</v>
      </c>
      <c r="L76" s="103">
        <f ca="1">IF(AND(Energy!$F$11=$A$3,Main!$B$43=A76),'Aerodynamics-Cruise'!BI33,L76)</f>
        <v>70.948013546979197</v>
      </c>
      <c r="M76" s="103">
        <f ca="1">IF(AND(Energy!$F$11=$A$3,Main!$B$43=A76),'Aerodynamics-Cruise'!BJ33,M76)</f>
        <v>3.1507252372885741</v>
      </c>
      <c r="N76" s="103">
        <f ca="1">IF(AND(Energy!$F$11=$A$3,Main!$B$43=A76),'Aerodynamics-Cruise'!BK33,N76)</f>
        <v>22.517994494510436</v>
      </c>
      <c r="O76" s="103">
        <f t="shared" ca="1" si="5"/>
        <v>189.67051733221055</v>
      </c>
      <c r="P76" s="103">
        <f ca="1">IF(AND(Energy!$F$11=$A$3,Main!$B$43=A76),'Aerodynamics-Cruise'!H33,P76)</f>
        <v>8.7334404236688741</v>
      </c>
      <c r="Q76" s="103">
        <f ca="1">IF(AND(Energy!$F$11=$A$3,Main!$B$43=A76),'Aerodynamics-Cruise'!I33,Q76)</f>
        <v>7.4212862086505487</v>
      </c>
      <c r="R76" s="103">
        <f ca="1">IF(AND(Energy!$F$11=$A$3,Main!$B$43=$A76),Summary!R33,R76)</f>
        <v>5.510913613763309</v>
      </c>
      <c r="S76" s="103">
        <f ca="1">IF(AND(Energy!$F$11=$A$3,Main!$B$43=A76),'Aerodynamics-Cruise'!W33,S76)</f>
        <v>1</v>
      </c>
      <c r="T76" s="103">
        <f ca="1">IF(AND(Energy!$F$11=$A$3,Main!$B$43=A76),'Aerodynamics-Cruise'!BL33,T76)</f>
        <v>27.516671151209739</v>
      </c>
      <c r="U76" s="103">
        <f ca="1">IF(AND(Energy!$F$11=$A$3,Main!$B$43=A76),'Propulsion-Cruise'!M33,U76)</f>
        <v>59.539683436331792</v>
      </c>
      <c r="V76" s="103">
        <f ca="1">IF(AND(Energy!$F$11=$A$3,Main!$B$43=A76),Endurance!AP33,V76)</f>
        <v>577.1009118622336</v>
      </c>
      <c r="W76" s="103">
        <f ca="1">IF(AND(Energy!$F$11=$A$3,Main!$B$43=$A76),Summary!W33,W76)</f>
        <v>1.705263157894737</v>
      </c>
      <c r="X76" s="13">
        <f ca="1">IF(AND(Energy!$F$11=$A$3,Main!$B$43=A76),Energy!D33,X76)</f>
        <v>405.47993153648969</v>
      </c>
      <c r="Y76" s="102">
        <f ca="1">IF(AND(Energy!$F$11=$A$3,Main!$B$43=A76),'Aerodynamics-Cruise'!V33,Y76)</f>
        <v>147706.41981781417</v>
      </c>
      <c r="Z76" s="102">
        <f ca="1">IF(AND(Energy!$F$11=$A$3,Main!$B$43=$A76),Summary!Z33,Z76)</f>
        <v>111178.85897797547</v>
      </c>
      <c r="AA76" s="102">
        <f ca="1">IF(AND(Energy!$F$11=$A$3,Main!$B$43=$A76),Summary!AA33,AA76)</f>
        <v>111178.85897797547</v>
      </c>
      <c r="AB76" s="103">
        <f ca="1">IF(AND(Energy!$F$11=$A$3,Main!$B$43=$A76),Summary!AB33,AB76)</f>
        <v>5.510913613763309</v>
      </c>
      <c r="AC76" s="103">
        <f ca="1">IF(AND(Energy!$F$11=$A$3,Main!$B$43=$A76),Summary!AC33,AC76)</f>
        <v>1.9446069652363032</v>
      </c>
      <c r="AD76" s="103">
        <f ca="1">IF(AND(Energy!$F$11=$A$3,Main!$B$43=$A76),Summary!AD33,AD76)</f>
        <v>0.42985164880976057</v>
      </c>
      <c r="AE76" s="103">
        <f ca="1">IF(AND(Energy!$F$11=$A$3,Main!$B$43=$A76),Summary!AE33,AE76)</f>
        <v>1.705263157894737</v>
      </c>
      <c r="AF76" s="103">
        <f ca="1">IF(AND(Energy!$F$11=$A$3,Main!$B$43=$A76),Summary!AF33,AF76)</f>
        <v>23.980263157894736</v>
      </c>
      <c r="AG76" s="103">
        <f ca="1">IF(AND(Energy!$F$11=$A$3,Main!$B$43=$A76),Summary!AG33,AG76)</f>
        <v>11.966474603708352</v>
      </c>
      <c r="AH76" s="103">
        <f ca="1">IF(AND(Energy!$F$11=$A$3,Main!$B$43=$A76),Summary!AH33,AH76)</f>
        <v>47</v>
      </c>
      <c r="AI76" s="103">
        <f ca="1">IF(AND(Energy!$F$11=$A$3,Main!$B$43=$A76),Summary!AI33,AI76)</f>
        <v>2.7143658979865992</v>
      </c>
      <c r="AJ76" s="103">
        <f ca="1">IF(AND(Energy!$F$11=$A$3,Main!$B$43=$A76),Summary!AJ33,AJ76)</f>
        <v>0.23214869214714184</v>
      </c>
      <c r="AK76" s="103">
        <f ca="1">IF(AND(Energy!$F$11=$A$3,Main!$B$43=$A76),Summary!AK33,AK76)</f>
        <v>0.01</v>
      </c>
      <c r="AL76" s="103">
        <f ca="1">IF(AND(Energy!$F$11=$A$3,Main!$B$43=$A76),Summary!AL33,AL76)</f>
        <v>-0.53844209916858088</v>
      </c>
      <c r="AM76" s="103">
        <f ca="1">IF(AND(Energy!$F$11=$A$3,Main!$B$43=$A76),Summary!AJ93,AM76)</f>
        <v>0</v>
      </c>
    </row>
    <row r="77" spans="1:39">
      <c r="A77">
        <f t="shared" si="4"/>
        <v>4</v>
      </c>
      <c r="D77" s="1">
        <f ca="1">IF(AND(Energy!$F$11=$A$3,Main!$B$43=A77),Main!C34,D77)</f>
        <v>6.552631578947369</v>
      </c>
      <c r="E77" s="103">
        <f ca="1">IF(AND(Energy!$F$11=$A$3,Main!$B$43=A77),Main!B34,E77)</f>
        <v>0.26666666666666666</v>
      </c>
      <c r="F77" s="103">
        <f ca="1">IF(Main!$D$6=1,U77,IF(Main!$D$6=2,N77,IF(Main!$D$6=3,K77,IF(Main!$D$6=4,V77,J77))))</f>
        <v>579.86090104202276</v>
      </c>
      <c r="G77" s="103">
        <f ca="1">IF(AND(Energy!$F$11=$A$3,Main!$B$43=A77),Weight!H34,G77)</f>
        <v>15</v>
      </c>
      <c r="H77" s="103">
        <f ca="1">IF(AND(Energy!$F$11=$A$3,Main!$B$43=A77),Weight!U34,H77)</f>
        <v>22.231368681525751</v>
      </c>
      <c r="I77" s="103">
        <f ca="1">IF(AND(Energy!$F$11=$A$3,Main!$B$43=A77),Weight!V34,I77)</f>
        <v>56.703887223820558</v>
      </c>
      <c r="J77" s="103">
        <f ca="1">IF(AND(Energy!$F$11=$A$3,Main!$B$43=A77),Weight!I34,J77)</f>
        <v>29.534870267294803</v>
      </c>
      <c r="K77" s="103">
        <f ca="1">IF(AND(Energy!$F$11=$A$3,Main!$B$43=A77),Weight!W34,K77)</f>
        <v>71.703889485209132</v>
      </c>
      <c r="L77" s="103">
        <f ca="1">IF(AND(Energy!$F$11=$A$3,Main!$B$43=A77),'Aerodynamics-Cruise'!BI34,L77)</f>
        <v>71.703884926921432</v>
      </c>
      <c r="M77" s="103">
        <f ca="1">IF(AND(Energy!$F$11=$A$3,Main!$B$43=A77),'Aerodynamics-Cruise'!BJ34,M77)</f>
        <v>3.1734596949798104</v>
      </c>
      <c r="N77" s="103">
        <f ca="1">IF(AND(Energy!$F$11=$A$3,Main!$B$43=A77),'Aerodynamics-Cruise'!BK34,N77)</f>
        <v>22.594862332851406</v>
      </c>
      <c r="O77" s="103">
        <f t="shared" ca="1" si="5"/>
        <v>191.32910625039153</v>
      </c>
      <c r="P77" s="103">
        <f ca="1">IF(AND(Energy!$F$11=$A$3,Main!$B$43=A77),'Aerodynamics-Cruise'!H34,P77)</f>
        <v>8.6733949060064628</v>
      </c>
      <c r="Q77" s="103">
        <f ca="1">IF(AND(Energy!$F$11=$A$3,Main!$B$43=A77),'Aerodynamics-Cruise'!I34,Q77)</f>
        <v>7.3723426306366813</v>
      </c>
      <c r="R77" s="103">
        <f ca="1">IF(AND(Energy!$F$11=$A$3,Main!$B$43=$A77),Summary!R34,R77)</f>
        <v>5.4964906314783386</v>
      </c>
      <c r="S77" s="103">
        <f ca="1">IF(AND(Energy!$F$11=$A$3,Main!$B$43=A77),'Aerodynamics-Cruise'!W34,S77)</f>
        <v>1</v>
      </c>
      <c r="T77" s="103">
        <f ca="1">IF(AND(Energy!$F$11=$A$3,Main!$B$43=A77),'Aerodynamics-Cruise'!BL34,T77)</f>
        <v>27.52466915285471</v>
      </c>
      <c r="U77" s="103">
        <f ca="1">IF(AND(Energy!$F$11=$A$3,Main!$B$43=A77),'Propulsion-Cruise'!M34,U77)</f>
        <v>59.697058548764439</v>
      </c>
      <c r="V77" s="103">
        <f ca="1">IF(AND(Energy!$F$11=$A$3,Main!$B$43=A77),Endurance!AP34,V77)</f>
        <v>579.86090104202276</v>
      </c>
      <c r="W77" s="103">
        <f ca="1">IF(AND(Energy!$F$11=$A$3,Main!$B$43=$A77),Summary!W34,W77)</f>
        <v>1.7473684210526317</v>
      </c>
      <c r="X77" s="13">
        <f ca="1">IF(AND(Energy!$F$11=$A$3,Main!$B$43=A77),Energy!D34,X77)</f>
        <v>405.54479145705972</v>
      </c>
      <c r="Y77" s="102">
        <f ca="1">IF(AND(Energy!$F$11=$A$3,Main!$B$43=A77),'Aerodynamics-Cruise'!V34,Y77)</f>
        <v>146690.88550261056</v>
      </c>
      <c r="Z77" s="102">
        <f ca="1">IF(AND(Energy!$F$11=$A$3,Main!$B$43=$A77),Summary!Z34,Z77)</f>
        <v>110444.41534277837</v>
      </c>
      <c r="AA77" s="102">
        <f ca="1">IF(AND(Energy!$F$11=$A$3,Main!$B$43=$A77),Summary!AA34,AA77)</f>
        <v>110444.41534277837</v>
      </c>
      <c r="AB77" s="103">
        <f ca="1">IF(AND(Energy!$F$11=$A$3,Main!$B$43=$A77),Summary!AB34,AB77)</f>
        <v>5.4964906314783386</v>
      </c>
      <c r="AC77" s="103">
        <f ca="1">IF(AND(Energy!$F$11=$A$3,Main!$B$43=$A77),Summary!AC34,AC77)</f>
        <v>1.9113307066619387</v>
      </c>
      <c r="AD77" s="103">
        <f ca="1">IF(AND(Energy!$F$11=$A$3,Main!$B$43=$A77),Summary!AD34,AD77)</f>
        <v>0.42938213954144344</v>
      </c>
      <c r="AE77" s="103">
        <f ca="1">IF(AND(Energy!$F$11=$A$3,Main!$B$43=$A77),Summary!AE34,AE77)</f>
        <v>1.7473684210526317</v>
      </c>
      <c r="AF77" s="103">
        <f ca="1">IF(AND(Energy!$F$11=$A$3,Main!$B$43=$A77),Summary!AF34,AF77)</f>
        <v>24.572368421052637</v>
      </c>
      <c r="AG77" s="103">
        <f ca="1">IF(AND(Energy!$F$11=$A$3,Main!$B$43=$A77),Summary!AG34,AG77)</f>
        <v>11.996789574684062</v>
      </c>
      <c r="AH77" s="103">
        <f ca="1">IF(AND(Energy!$F$11=$A$3,Main!$B$43=$A77),Summary!AH34,AH77)</f>
        <v>47</v>
      </c>
      <c r="AI77" s="103">
        <f ca="1">IF(AND(Energy!$F$11=$A$3,Main!$B$43=$A77),Summary!AI34,AI77)</f>
        <v>2.7128341741847115</v>
      </c>
      <c r="AJ77" s="103">
        <f ca="1">IF(AND(Energy!$F$11=$A$3,Main!$B$43=$A77),Summary!AJ34,AJ77)</f>
        <v>0.2325869302825708</v>
      </c>
      <c r="AK77" s="103">
        <f ca="1">IF(AND(Energy!$F$11=$A$3,Main!$B$43=$A77),Summary!AK34,AK77)</f>
        <v>0.01</v>
      </c>
      <c r="AL77" s="103">
        <f ca="1">IF(AND(Energy!$F$11=$A$3,Main!$B$43=$A77),Summary!AL34,AL77)</f>
        <v>-0.53742752641679004</v>
      </c>
      <c r="AM77" s="103">
        <f ca="1">IF(AND(Energy!$F$11=$A$3,Main!$B$43=$A77),Summary!AJ94,AM77)</f>
        <v>0</v>
      </c>
    </row>
    <row r="78" spans="1:39">
      <c r="A78">
        <f t="shared" si="4"/>
        <v>4</v>
      </c>
      <c r="D78" s="1">
        <f ca="1">IF(AND(Energy!$F$11=$A$3,Main!$B$43=A78),Main!C35,D78)</f>
        <v>6.7105263157894743</v>
      </c>
      <c r="E78" s="103">
        <f ca="1">IF(AND(Energy!$F$11=$A$3,Main!$B$43=A78),Main!B35,E78)</f>
        <v>0.26666666666666666</v>
      </c>
      <c r="F78" s="103">
        <f ca="1">IF(Main!$D$6=1,U78,IF(Main!$D$6=2,N78,IF(Main!$D$6=3,K78,IF(Main!$D$6=4,V78,J78))))</f>
        <v>583.1036076351993</v>
      </c>
      <c r="G78" s="103">
        <f ca="1">IF(AND(Energy!$F$11=$A$3,Main!$B$43=A78),Weight!H35,G78)</f>
        <v>15</v>
      </c>
      <c r="H78" s="103">
        <f ca="1">IF(AND(Energy!$F$11=$A$3,Main!$B$43=A78),Weight!U35,H78)</f>
        <v>22.885738043639861</v>
      </c>
      <c r="I78" s="103">
        <f ca="1">IF(AND(Energy!$F$11=$A$3,Main!$B$43=A78),Weight!V35,I78)</f>
        <v>57.496944913197211</v>
      </c>
      <c r="J78" s="103">
        <f ca="1">IF(AND(Energy!$F$11=$A$3,Main!$B$43=A78),Weight!I35,J78)</f>
        <v>29.673558594557345</v>
      </c>
      <c r="K78" s="103">
        <f ca="1">IF(AND(Energy!$F$11=$A$3,Main!$B$43=A78),Weight!W35,K78)</f>
        <v>72.496947191697771</v>
      </c>
      <c r="L78" s="103">
        <f ca="1">IF(AND(Energy!$F$11=$A$3,Main!$B$43=A78),'Aerodynamics-Cruise'!BI35,L78)</f>
        <v>72.49694259845225</v>
      </c>
      <c r="M78" s="103">
        <f ca="1">IF(AND(Energy!$F$11=$A$3,Main!$B$43=A78),'Aerodynamics-Cruise'!BJ35,M78)</f>
        <v>3.1978732393500953</v>
      </c>
      <c r="N78" s="103">
        <f ca="1">IF(AND(Energy!$F$11=$A$3,Main!$B$43=A78),'Aerodynamics-Cruise'!BK35,N78)</f>
        <v>22.67036157230104</v>
      </c>
      <c r="O78" s="103">
        <f t="shared" ca="1" si="5"/>
        <v>193.02710292788134</v>
      </c>
      <c r="P78" s="103">
        <f ca="1">IF(AND(Energy!$F$11=$A$3,Main!$B$43=A78),'Aerodynamics-Cruise'!H35,P78)</f>
        <v>8.6179970961628989</v>
      </c>
      <c r="Q78" s="103">
        <f ca="1">IF(AND(Energy!$F$11=$A$3,Main!$B$43=A78),'Aerodynamics-Cruise'!I35,Q78)</f>
        <v>7.3271751667955733</v>
      </c>
      <c r="R78" s="103">
        <f ca="1">IF(AND(Energy!$F$11=$A$3,Main!$B$43=$A78),Summary!R35,R78)</f>
        <v>5.4897519142769555</v>
      </c>
      <c r="S78" s="103">
        <f ca="1">IF(AND(Energy!$F$11=$A$3,Main!$B$43=A78),'Aerodynamics-Cruise'!W35,S78)</f>
        <v>1</v>
      </c>
      <c r="T78" s="103">
        <f ca="1">IF(AND(Energy!$F$11=$A$3,Main!$B$43=A78),'Aerodynamics-Cruise'!BL35,T78)</f>
        <v>27.559262290616164</v>
      </c>
      <c r="U78" s="103">
        <f ca="1">IF(AND(Energy!$F$11=$A$3,Main!$B$43=A78),'Propulsion-Cruise'!M35,U78)</f>
        <v>59.905829105395</v>
      </c>
      <c r="V78" s="103">
        <f ca="1">IF(AND(Energy!$F$11=$A$3,Main!$B$43=A78),Endurance!AP35,V78)</f>
        <v>583.1036076351993</v>
      </c>
      <c r="W78" s="103">
        <f ca="1">IF(AND(Energy!$F$11=$A$3,Main!$B$43=$A78),Summary!W35,W78)</f>
        <v>1.7894736842105265</v>
      </c>
      <c r="X78" s="13">
        <f ca="1">IF(AND(Energy!$F$11=$A$3,Main!$B$43=A78),Energy!D35,X78)</f>
        <v>405.62172993197703</v>
      </c>
      <c r="Y78" s="102">
        <f ca="1">IF(AND(Energy!$F$11=$A$3,Main!$B$43=A78),'Aerodynamics-Cruise'!V35,Y78)</f>
        <v>145753.95666806272</v>
      </c>
      <c r="Z78" s="102">
        <f ca="1">IF(AND(Energy!$F$11=$A$3,Main!$B$43=$A78),Summary!Z35,Z78)</f>
        <v>109766.64297515167</v>
      </c>
      <c r="AA78" s="102">
        <f ca="1">IF(AND(Energy!$F$11=$A$3,Main!$B$43=$A78),Summary!AA35,AA78)</f>
        <v>109766.64297515167</v>
      </c>
      <c r="AB78" s="103">
        <f ca="1">IF(AND(Energy!$F$11=$A$3,Main!$B$43=$A78),Summary!AB35,AB78)</f>
        <v>5.4897519142769555</v>
      </c>
      <c r="AC78" s="103">
        <f ca="1">IF(AND(Energy!$F$11=$A$3,Main!$B$43=$A78),Summary!AC35,AC78)</f>
        <v>1.8783499234448533</v>
      </c>
      <c r="AD78" s="103">
        <f ca="1">IF(AND(Energy!$F$11=$A$3,Main!$B$43=$A78),Summary!AD35,AD78)</f>
        <v>0.42909269041833314</v>
      </c>
      <c r="AE78" s="103">
        <f ca="1">IF(AND(Energy!$F$11=$A$3,Main!$B$43=$A78),Summary!AE35,AE78)</f>
        <v>1.7894736842105265</v>
      </c>
      <c r="AF78" s="103">
        <f ca="1">IF(AND(Energy!$F$11=$A$3,Main!$B$43=$A78),Summary!AF35,AF78)</f>
        <v>25.164473684210527</v>
      </c>
      <c r="AG78" s="103">
        <f ca="1">IF(AND(Energy!$F$11=$A$3,Main!$B$43=$A78),Summary!AG35,AG78)</f>
        <v>12.032915079744605</v>
      </c>
      <c r="AH78" s="103">
        <f ca="1">IF(AND(Energy!$F$11=$A$3,Main!$B$43=$A78),Summary!AH35,AH78)</f>
        <v>47</v>
      </c>
      <c r="AI78" s="103">
        <f ca="1">IF(AND(Energy!$F$11=$A$3,Main!$B$43=$A78),Summary!AI35,AI78)</f>
        <v>2.7114123329215203</v>
      </c>
      <c r="AJ78" s="103">
        <f ca="1">IF(AND(Energy!$F$11=$A$3,Main!$B$43=$A78),Summary!AJ35,AJ78)</f>
        <v>0.2329973761222987</v>
      </c>
      <c r="AK78" s="103">
        <f ca="1">IF(AND(Energy!$F$11=$A$3,Main!$B$43=$A78),Summary!AK35,AK78)</f>
        <v>0.01</v>
      </c>
      <c r="AL78" s="103">
        <f ca="1">IF(AND(Energy!$F$11=$A$3,Main!$B$43=$A78),Summary!AL35,AL78)</f>
        <v>-0.5364807540600619</v>
      </c>
      <c r="AM78" s="103">
        <f ca="1">IF(AND(Energy!$F$11=$A$3,Main!$B$43=$A78),Summary!AJ95,AM78)</f>
        <v>0</v>
      </c>
    </row>
    <row r="79" spans="1:39">
      <c r="A79">
        <f t="shared" si="4"/>
        <v>4</v>
      </c>
      <c r="D79" s="1">
        <f ca="1">IF(AND(Energy!$F$11=$A$3,Main!$B$43=A79),Main!C36,D79)</f>
        <v>6.8684210526315796</v>
      </c>
      <c r="E79" s="103">
        <f ca="1">IF(AND(Energy!$F$11=$A$3,Main!$B$43=A79),Main!B36,E79)</f>
        <v>0.26666666666666666</v>
      </c>
      <c r="F79" s="103">
        <f ca="1">IF(Main!$D$6=1,U79,IF(Main!$D$6=2,N79,IF(Main!$D$6=3,K79,IF(Main!$D$6=4,V79,J79))))</f>
        <v>586.79874155601044</v>
      </c>
      <c r="G79" s="103">
        <f ca="1">IF(AND(Energy!$F$11=$A$3,Main!$B$43=A79),Weight!H36,G79)</f>
        <v>15</v>
      </c>
      <c r="H79" s="103">
        <f ca="1">IF(AND(Energy!$F$11=$A$3,Main!$B$43=A79),Weight!U36,H79)</f>
        <v>23.55559178153645</v>
      </c>
      <c r="I79" s="103">
        <f ca="1">IF(AND(Energy!$F$11=$A$3,Main!$B$43=A79),Weight!V36,I79)</f>
        <v>58.325880318852185</v>
      </c>
      <c r="J79" s="103">
        <f ca="1">IF(AND(Energy!$F$11=$A$3,Main!$B$43=A79),Weight!I36,J79)</f>
        <v>29.832640262315739</v>
      </c>
      <c r="K79" s="103">
        <f ca="1">IF(AND(Energy!$F$11=$A$3,Main!$B$43=A79),Weight!W36,K79)</f>
        <v>73.32588261919814</v>
      </c>
      <c r="L79" s="103">
        <f ca="1">IF(AND(Energy!$F$11=$A$3,Main!$B$43=A79),'Aerodynamics-Cruise'!BI36,L79)</f>
        <v>73.325877981538852</v>
      </c>
      <c r="M79" s="103">
        <f ca="1">IF(AND(Energy!$F$11=$A$3,Main!$B$43=A79),'Aerodynamics-Cruise'!BJ36,M79)</f>
        <v>3.2238578340292339</v>
      </c>
      <c r="N79" s="103">
        <f ca="1">IF(AND(Energy!$F$11=$A$3,Main!$B$43=A79),'Aerodynamics-Cruise'!BK36,N79)</f>
        <v>22.744761635439392</v>
      </c>
      <c r="O79" s="103">
        <f t="shared" ca="1" si="5"/>
        <v>194.76460108410168</v>
      </c>
      <c r="P79" s="103">
        <f ca="1">IF(AND(Energy!$F$11=$A$3,Main!$B$43=A79),'Aerodynamics-Cruise'!H36,P79)</f>
        <v>8.5669092395710873</v>
      </c>
      <c r="Q79" s="103">
        <f ca="1">IF(AND(Energy!$F$11=$A$3,Main!$B$43=A79),'Aerodynamics-Cruise'!I36,Q79)</f>
        <v>7.2855112644219435</v>
      </c>
      <c r="R79" s="103">
        <f ca="1">IF(AND(Energy!$F$11=$A$3,Main!$B$43=$A79),Summary!R36,R79)</f>
        <v>5.4901630050967514</v>
      </c>
      <c r="S79" s="103">
        <f ca="1">IF(AND(Energy!$F$11=$A$3,Main!$B$43=A79),'Aerodynamics-Cruise'!W36,S79)</f>
        <v>1</v>
      </c>
      <c r="T79" s="103">
        <f ca="1">IF(AND(Energy!$F$11=$A$3,Main!$B$43=A79),'Aerodynamics-Cruise'!BL36,T79)</f>
        <v>27.618497465408677</v>
      </c>
      <c r="U79" s="103">
        <f ca="1">IF(AND(Energy!$F$11=$A$3,Main!$B$43=A79),'Propulsion-Cruise'!M36,U79)</f>
        <v>60.162517067677769</v>
      </c>
      <c r="V79" s="103">
        <f ca="1">IF(AND(Energy!$F$11=$A$3,Main!$B$43=A79),Endurance!AP36,V79)</f>
        <v>586.79874155601044</v>
      </c>
      <c r="W79" s="103">
        <f ca="1">IF(AND(Energy!$F$11=$A$3,Main!$B$43=$A79),Summary!W36,W79)</f>
        <v>1.8315789473684212</v>
      </c>
      <c r="X79" s="13">
        <f ca="1">IF(AND(Energy!$F$11=$A$3,Main!$B$43=A79),Energy!D36,X79)</f>
        <v>405.70998177973149</v>
      </c>
      <c r="Y79" s="102">
        <f ca="1">IF(AND(Energy!$F$11=$A$3,Main!$B$43=A79),'Aerodynamics-Cruise'!V36,Y79)</f>
        <v>144889.9209585053</v>
      </c>
      <c r="Z79" s="102">
        <f ca="1">IF(AND(Energy!$F$11=$A$3,Main!$B$43=$A79),Summary!Z36,Z79)</f>
        <v>109141.45035818554</v>
      </c>
      <c r="AA79" s="102">
        <f ca="1">IF(AND(Energy!$F$11=$A$3,Main!$B$43=$A79),Summary!AA36,AA79)</f>
        <v>109141.45035818554</v>
      </c>
      <c r="AB79" s="103">
        <f ca="1">IF(AND(Energy!$F$11=$A$3,Main!$B$43=$A79),Summary!AB36,AB79)</f>
        <v>5.4901630050967514</v>
      </c>
      <c r="AC79" s="103">
        <f ca="1">IF(AND(Energy!$F$11=$A$3,Main!$B$43=$A79),Summary!AC36,AC79)</f>
        <v>1.8457037006861539</v>
      </c>
      <c r="AD79" s="103">
        <f ca="1">IF(AND(Energy!$F$11=$A$3,Main!$B$43=$A79),Summary!AD36,AD79)</f>
        <v>0.42897031314027162</v>
      </c>
      <c r="AE79" s="103">
        <f ca="1">IF(AND(Energy!$F$11=$A$3,Main!$B$43=$A79),Summary!AE36,AE79)</f>
        <v>1.8315789473684212</v>
      </c>
      <c r="AF79" s="103">
        <f ca="1">IF(AND(Energy!$F$11=$A$3,Main!$B$43=$A79),Summary!AF36,AF79)</f>
        <v>25.756578947368425</v>
      </c>
      <c r="AG79" s="103">
        <f ca="1">IF(AND(Energy!$F$11=$A$3,Main!$B$43=$A79),Summary!AG36,AG79)</f>
        <v>12.074442689837392</v>
      </c>
      <c r="AH79" s="103">
        <f ca="1">IF(AND(Energy!$F$11=$A$3,Main!$B$43=$A79),Summary!AH36,AH79)</f>
        <v>47</v>
      </c>
      <c r="AI79" s="103">
        <f ca="1">IF(AND(Energy!$F$11=$A$3,Main!$B$43=$A79),Summary!AI36,AI79)</f>
        <v>2.7100936105839857</v>
      </c>
      <c r="AJ79" s="103">
        <f ca="1">IF(AND(Energy!$F$11=$A$3,Main!$B$43=$A79),Summary!AJ36,AJ79)</f>
        <v>0.23338168732716907</v>
      </c>
      <c r="AK79" s="103">
        <f ca="1">IF(AND(Energy!$F$11=$A$3,Main!$B$43=$A79),Summary!AK36,AK79)</f>
        <v>0.01</v>
      </c>
      <c r="AL79" s="103">
        <f ca="1">IF(AND(Energy!$F$11=$A$3,Main!$B$43=$A79),Summary!AL36,AL79)</f>
        <v>-0.5355972819232041</v>
      </c>
      <c r="AM79" s="103">
        <f ca="1">IF(AND(Energy!$F$11=$A$3,Main!$B$43=$A79),Summary!AJ96,AM79)</f>
        <v>0</v>
      </c>
    </row>
    <row r="80" spans="1:39">
      <c r="A80">
        <f t="shared" si="4"/>
        <v>4</v>
      </c>
      <c r="D80" s="1">
        <f ca="1">IF(AND(Energy!$F$11=$A$3,Main!$B$43=A80),Main!C37,D80)</f>
        <v>7.026315789473685</v>
      </c>
      <c r="E80" s="103">
        <f ca="1">IF(AND(Energy!$F$11=$A$3,Main!$B$43=A80),Main!B37,E80)</f>
        <v>0.26666666666666666</v>
      </c>
      <c r="F80" s="103">
        <f ca="1">IF(Main!$D$6=1,U80,IF(Main!$D$6=2,N80,IF(Main!$D$6=3,K80,IF(Main!$D$6=4,V80,J80))))</f>
        <v>590.92016042989917</v>
      </c>
      <c r="G80" s="103">
        <f ca="1">IF(AND(Energy!$F$11=$A$3,Main!$B$43=A80),Weight!H37,G80)</f>
        <v>15</v>
      </c>
      <c r="H80" s="103">
        <f ca="1">IF(AND(Energy!$F$11=$A$3,Main!$B$43=A80),Weight!U37,H80)</f>
        <v>24.241017855368831</v>
      </c>
      <c r="I80" s="103">
        <f ca="1">IF(AND(Energy!$F$11=$A$3,Main!$B$43=A80),Weight!V37,I80)</f>
        <v>59.189590764895684</v>
      </c>
      <c r="J80" s="103">
        <f ca="1">IF(AND(Energy!$F$11=$A$3,Main!$B$43=A80),Weight!I37,J80)</f>
        <v>30.010924634526852</v>
      </c>
      <c r="K80" s="103">
        <f ca="1">IF(AND(Energy!$F$11=$A$3,Main!$B$43=A80),Weight!W37,K80)</f>
        <v>74.189593091519185</v>
      </c>
      <c r="L80" s="103">
        <f ca="1">IF(AND(Energy!$F$11=$A$3,Main!$B$43=A80),'Aerodynamics-Cruise'!BI37,L80)</f>
        <v>74.1895884005949</v>
      </c>
      <c r="M80" s="103">
        <f ca="1">IF(AND(Energy!$F$11=$A$3,Main!$B$43=A80),'Aerodynamics-Cruise'!BJ37,M80)</f>
        <v>3.2513189495195953</v>
      </c>
      <c r="N80" s="103">
        <f ca="1">IF(AND(Energy!$F$11=$A$3,Main!$B$43=A80),'Aerodynamics-Cruise'!BK37,N80)</f>
        <v>22.818305294704146</v>
      </c>
      <c r="O80" s="103">
        <f t="shared" ca="1" si="5"/>
        <v>196.54177198205895</v>
      </c>
      <c r="P80" s="103">
        <f ca="1">IF(AND(Energy!$F$11=$A$3,Main!$B$43=A80),'Aerodynamics-Cruise'!H37,P80)</f>
        <v>8.5198290974036546</v>
      </c>
      <c r="Q80" s="103">
        <f ca="1">IF(AND(Energy!$F$11=$A$3,Main!$B$43=A80),'Aerodynamics-Cruise'!I37,Q80)</f>
        <v>7.247106878851751</v>
      </c>
      <c r="R80" s="103">
        <f ca="1">IF(AND(Energy!$F$11=$A$3,Main!$B$43=$A80),Summary!R37,R80)</f>
        <v>5.4972679189190927</v>
      </c>
      <c r="S80" s="103">
        <f ca="1">IF(AND(Energy!$F$11=$A$3,Main!$B$43=A80),'Aerodynamics-Cruise'!W37,S80)</f>
        <v>1</v>
      </c>
      <c r="T80" s="103">
        <f ca="1">IF(AND(Energy!$F$11=$A$3,Main!$B$43=A80),'Aerodynamics-Cruise'!BL37,T80)</f>
        <v>27.700681791056933</v>
      </c>
      <c r="U80" s="103">
        <f ca="1">IF(AND(Energy!$F$11=$A$3,Main!$B$43=A80),'Propulsion-Cruise'!M37,U80)</f>
        <v>60.464111357453582</v>
      </c>
      <c r="V80" s="103">
        <f ca="1">IF(AND(Energy!$F$11=$A$3,Main!$B$43=A80),Endurance!AP37,V80)</f>
        <v>590.92016042989917</v>
      </c>
      <c r="W80" s="103">
        <f ca="1">IF(AND(Energy!$F$11=$A$3,Main!$B$43=$A80),Summary!W37,W80)</f>
        <v>1.8736842105263161</v>
      </c>
      <c r="X80" s="13">
        <f ca="1">IF(AND(Energy!$F$11=$A$3,Main!$B$43=A80),Energy!D37,X80)</f>
        <v>405.80888648518874</v>
      </c>
      <c r="Y80" s="102">
        <f ca="1">IF(AND(Energy!$F$11=$A$3,Main!$B$43=A80),'Aerodynamics-Cruise'!V37,Y80)</f>
        <v>144093.66668679597</v>
      </c>
      <c r="Z80" s="102">
        <f ca="1">IF(AND(Energy!$F$11=$A$3,Main!$B$43=$A80),Summary!Z37,Z80)</f>
        <v>108565.17402222255</v>
      </c>
      <c r="AA80" s="102">
        <f ca="1">IF(AND(Energy!$F$11=$A$3,Main!$B$43=$A80),Summary!AA37,AA80)</f>
        <v>108565.17402222255</v>
      </c>
      <c r="AB80" s="103">
        <f ca="1">IF(AND(Energy!$F$11=$A$3,Main!$B$43=$A80),Summary!AB37,AB80)</f>
        <v>5.4972679189190927</v>
      </c>
      <c r="AC80" s="103">
        <f ca="1">IF(AND(Energy!$F$11=$A$3,Main!$B$43=$A80),Summary!AC37,AC80)</f>
        <v>1.8134233899842351</v>
      </c>
      <c r="AD80" s="103">
        <f ca="1">IF(AND(Energy!$F$11=$A$3,Main!$B$43=$A80),Summary!AD37,AD80)</f>
        <v>0.42900344393865575</v>
      </c>
      <c r="AE80" s="103">
        <f ca="1">IF(AND(Energy!$F$11=$A$3,Main!$B$43=$A80),Summary!AE37,AE80)</f>
        <v>1.8736842105263161</v>
      </c>
      <c r="AF80" s="103">
        <f ca="1">IF(AND(Energy!$F$11=$A$3,Main!$B$43=$A80),Summary!AF37,AF80)</f>
        <v>26.348684210526319</v>
      </c>
      <c r="AG80" s="103">
        <f ca="1">IF(AND(Energy!$F$11=$A$3,Main!$B$43=$A80),Summary!AG37,AG80)</f>
        <v>12.121014258960857</v>
      </c>
      <c r="AH80" s="103">
        <f ca="1">IF(AND(Energy!$F$11=$A$3,Main!$B$43=$A80),Summary!AH37,AH80)</f>
        <v>47</v>
      </c>
      <c r="AI80" s="103">
        <f ca="1">IF(AND(Energy!$F$11=$A$3,Main!$B$43=$A80),Summary!AI37,AI80)</f>
        <v>2.7088718642110119</v>
      </c>
      <c r="AJ80" s="103">
        <f ca="1">IF(AND(Energy!$F$11=$A$3,Main!$B$43=$A80),Summary!AJ37,AJ80)</f>
        <v>0.23374137942047316</v>
      </c>
      <c r="AK80" s="103">
        <f ca="1">IF(AND(Energy!$F$11=$A$3,Main!$B$43=$A80),Summary!AK37,AK80)</f>
        <v>0.01</v>
      </c>
      <c r="AL80" s="103">
        <f ca="1">IF(AND(Energy!$F$11=$A$3,Main!$B$43=$A80),Summary!AL37,AL80)</f>
        <v>-0.53477303411566013</v>
      </c>
      <c r="AM80" s="103">
        <f ca="1">IF(AND(Energy!$F$11=$A$3,Main!$B$43=$A80),Summary!AJ97,AM80)</f>
        <v>0</v>
      </c>
    </row>
    <row r="81" spans="1:39">
      <c r="A81">
        <f t="shared" si="4"/>
        <v>4</v>
      </c>
      <c r="D81" s="1">
        <f ca="1">IF(AND(Energy!$F$11=$A$3,Main!$B$43=A81),Main!C38,D81)</f>
        <v>7.1842105263157903</v>
      </c>
      <c r="E81" s="103">
        <f ca="1">IF(AND(Energy!$F$11=$A$3,Main!$B$43=A81),Main!B38,E81)</f>
        <v>0.26666666666666666</v>
      </c>
      <c r="F81" s="103">
        <f ca="1">IF(Main!$D$6=1,U81,IF(Main!$D$6=2,N81,IF(Main!$D$6=3,K81,IF(Main!$D$6=4,V81,J81))))</f>
        <v>595.44524036924224</v>
      </c>
      <c r="G81" s="103">
        <f ca="1">IF(AND(Energy!$F$11=$A$3,Main!$B$43=A81),Weight!H38,G81)</f>
        <v>15</v>
      </c>
      <c r="H81" s="103">
        <f ca="1">IF(AND(Energy!$F$11=$A$3,Main!$B$43=A81),Weight!U38,H81)</f>
        <v>24.942119192409947</v>
      </c>
      <c r="I81" s="103">
        <f ca="1">IF(AND(Energy!$F$11=$A$3,Main!$B$43=A81),Weight!V38,I81)</f>
        <v>60.087148574863306</v>
      </c>
      <c r="J81" s="103">
        <f ca="1">IF(AND(Energy!$F$11=$A$3,Main!$B$43=A81),Weight!I38,J81)</f>
        <v>30.207381107453362</v>
      </c>
      <c r="K81" s="103">
        <f ca="1">IF(AND(Energy!$F$11=$A$3,Main!$B$43=A81),Weight!W38,K81)</f>
        <v>75.087150931951015</v>
      </c>
      <c r="L81" s="103">
        <f ca="1">IF(AND(Energy!$F$11=$A$3,Main!$B$43=A81),'Aerodynamics-Cruise'!BI38,L81)</f>
        <v>75.087146179403263</v>
      </c>
      <c r="M81" s="103">
        <f ca="1">IF(AND(Energy!$F$11=$A$3,Main!$B$43=A81),'Aerodynamics-Cruise'!BJ38,M81)</f>
        <v>3.2801735850934062</v>
      </c>
      <c r="N81" s="103">
        <f ca="1">IF(AND(Energy!$F$11=$A$3,Main!$B$43=A81),'Aerodynamics-Cruise'!BK38,N81)</f>
        <v>22.891211160480424</v>
      </c>
      <c r="O81" s="103">
        <f t="shared" ca="1" si="5"/>
        <v>198.35884498894592</v>
      </c>
      <c r="P81" s="103">
        <f ca="1">IF(AND(Energy!$F$11=$A$3,Main!$B$43=A81),'Aerodynamics-Cruise'!H38,P81)</f>
        <v>8.4764851805782833</v>
      </c>
      <c r="Q81" s="103">
        <f ca="1">IF(AND(Energy!$F$11=$A$3,Main!$B$43=A81),'Aerodynamics-Cruise'!I38,Q81)</f>
        <v>7.2117426601733881</v>
      </c>
      <c r="R81" s="103">
        <f ca="1">IF(AND(Energy!$F$11=$A$3,Main!$B$43=$A81),Summary!R38,R81)</f>
        <v>5.5106768969275564</v>
      </c>
      <c r="S81" s="103">
        <f ca="1">IF(AND(Energy!$F$11=$A$3,Main!$B$43=A81),'Aerodynamics-Cruise'!W38,S81)</f>
        <v>1</v>
      </c>
      <c r="T81" s="103">
        <f ca="1">IF(AND(Energy!$F$11=$A$3,Main!$B$43=A81),'Aerodynamics-Cruise'!BL38,T81)</f>
        <v>27.804342783768597</v>
      </c>
      <c r="U81" s="103">
        <f ca="1">IF(AND(Energy!$F$11=$A$3,Main!$B$43=A81),'Propulsion-Cruise'!M38,U81)</f>
        <v>60.80799689207381</v>
      </c>
      <c r="V81" s="103">
        <f ca="1">IF(AND(Energy!$F$11=$A$3,Main!$B$43=A81),Endurance!AP38,V81)</f>
        <v>595.44524036924224</v>
      </c>
      <c r="W81" s="103">
        <f ca="1">IF(AND(Energy!$F$11=$A$3,Main!$B$43=$A81),Summary!W38,W81)</f>
        <v>1.9157894736842107</v>
      </c>
      <c r="X81" s="13">
        <f ca="1">IF(AND(Energy!$F$11=$A$3,Main!$B$43=A81),Energy!D38,X81)</f>
        <v>405.91787231245775</v>
      </c>
      <c r="Y81" s="102">
        <f ca="1">IF(AND(Energy!$F$11=$A$3,Main!$B$43=A81),'Aerodynamics-Cruise'!V38,Y81)</f>
        <v>143360.60222828019</v>
      </c>
      <c r="Z81" s="102">
        <f ca="1">IF(AND(Energy!$F$11=$A$3,Main!$B$43=$A81),Summary!Z38,Z81)</f>
        <v>108034.52128123229</v>
      </c>
      <c r="AA81" s="102">
        <f ca="1">IF(AND(Energy!$F$11=$A$3,Main!$B$43=$A81),Summary!AA38,AA81)</f>
        <v>108034.52128123229</v>
      </c>
      <c r="AB81" s="103">
        <f ca="1">IF(AND(Energy!$F$11=$A$3,Main!$B$43=$A81),Summary!AB38,AB81)</f>
        <v>5.5106768969275564</v>
      </c>
      <c r="AC81" s="103">
        <f ca="1">IF(AND(Energy!$F$11=$A$3,Main!$B$43=$A81),Summary!AC38,AC81)</f>
        <v>1.7815339359451128</v>
      </c>
      <c r="AD81" s="103">
        <f ca="1">IF(AND(Energy!$F$11=$A$3,Main!$B$43=$A81),Summary!AD38,AD81)</f>
        <v>0.4291817480577757</v>
      </c>
      <c r="AE81" s="103">
        <f ca="1">IF(AND(Energy!$F$11=$A$3,Main!$B$43=$A81),Summary!AE38,AE81)</f>
        <v>1.9157894736842107</v>
      </c>
      <c r="AF81" s="103">
        <f ca="1">IF(AND(Energy!$F$11=$A$3,Main!$B$43=$A81),Summary!AF38,AF81)</f>
        <v>26.940789473684212</v>
      </c>
      <c r="AG81" s="103">
        <f ca="1">IF(AND(Energy!$F$11=$A$3,Main!$B$43=$A81),Summary!AG38,AG81)</f>
        <v>12.172314544588591</v>
      </c>
      <c r="AH81" s="103">
        <f ca="1">IF(AND(Energy!$F$11=$A$3,Main!$B$43=$A81),Summary!AH38,AH81)</f>
        <v>47</v>
      </c>
      <c r="AI81" s="103">
        <f ca="1">IF(AND(Energy!$F$11=$A$3,Main!$B$43=$A81),Summary!AI38,AI81)</f>
        <v>2.7077414942263718</v>
      </c>
      <c r="AJ81" s="103">
        <f ca="1">IF(AND(Energy!$F$11=$A$3,Main!$B$43=$A81),Summary!AJ38,AJ81)</f>
        <v>0.23407784235210335</v>
      </c>
      <c r="AK81" s="103">
        <f ca="1">IF(AND(Energy!$F$11=$A$3,Main!$B$43=$A81),Summary!AK38,AK81)</f>
        <v>0.01</v>
      </c>
      <c r="AL81" s="103">
        <f ca="1">IF(AND(Energy!$F$11=$A$3,Main!$B$43=$A81),Summary!AL38,AL81)</f>
        <v>-0.53400430666230903</v>
      </c>
      <c r="AM81" s="103">
        <f ca="1">IF(AND(Energy!$F$11=$A$3,Main!$B$43=$A81),Summary!AJ98,AM81)</f>
        <v>0</v>
      </c>
    </row>
    <row r="82" spans="1:39">
      <c r="A82">
        <f t="shared" si="4"/>
        <v>4</v>
      </c>
      <c r="D82" s="1">
        <f ca="1">IF(AND(Energy!$F$11=$A$3,Main!$B$43=A82),Main!C39,D82)</f>
        <v>7.3421052631578956</v>
      </c>
      <c r="E82" s="103">
        <f ca="1">IF(AND(Energy!$F$11=$A$3,Main!$B$43=A82),Main!B39,E82)</f>
        <v>0.26666666666666666</v>
      </c>
      <c r="F82" s="103">
        <f ca="1">IF(Main!$D$6=1,U82,IF(Main!$D$6=2,N82,IF(Main!$D$6=3,K82,IF(Main!$D$6=4,V82,J82))))</f>
        <v>600.35435917896632</v>
      </c>
      <c r="G82" s="103">
        <f ca="1">IF(AND(Energy!$F$11=$A$3,Main!$B$43=A82),Weight!H39,G82)</f>
        <v>15</v>
      </c>
      <c r="H82" s="103">
        <f ca="1">IF(AND(Energy!$F$11=$A$3,Main!$B$43=A82),Weight!U39,H82)</f>
        <v>25.659011803419084</v>
      </c>
      <c r="I82" s="103">
        <f ca="1">IF(AND(Energy!$F$11=$A$3,Main!$B$43=A82),Weight!V39,I82)</f>
        <v>61.017775668949028</v>
      </c>
      <c r="J82" s="103">
        <f ca="1">IF(AND(Energy!$F$11=$A$3,Main!$B$43=A82),Weight!I39,J82)</f>
        <v>30.421115590529944</v>
      </c>
      <c r="K82" s="103">
        <f ca="1">IF(AND(Energy!$F$11=$A$3,Main!$B$43=A82),Weight!W39,K82)</f>
        <v>76.017778060489519</v>
      </c>
      <c r="L82" s="103">
        <f ca="1">IF(AND(Energy!$F$11=$A$3,Main!$B$43=A82),'Aerodynamics-Cruise'!BI39,L82)</f>
        <v>76.017773238356753</v>
      </c>
      <c r="M82" s="103">
        <f ca="1">IF(AND(Energy!$F$11=$A$3,Main!$B$43=A82),'Aerodynamics-Cruise'!BJ39,M82)</f>
        <v>3.3103486309145977</v>
      </c>
      <c r="N82" s="103">
        <f ca="1">IF(AND(Energy!$F$11=$A$3,Main!$B$43=A82),'Aerodynamics-Cruise'!BK39,N82)</f>
        <v>22.96367594894506</v>
      </c>
      <c r="O82" s="103">
        <f t="shared" ca="1" si="5"/>
        <v>200.21609266945691</v>
      </c>
      <c r="P82" s="103">
        <f ca="1">IF(AND(Energy!$F$11=$A$3,Main!$B$43=A82),'Aerodynamics-Cruise'!H39,P82)</f>
        <v>8.4366327539326669</v>
      </c>
      <c r="Q82" s="103">
        <f ca="1">IF(AND(Energy!$F$11=$A$3,Main!$B$43=A82),'Aerodynamics-Cruise'!I39,Q82)</f>
        <v>7.179220754769668</v>
      </c>
      <c r="R82" s="103">
        <f ca="1">IF(AND(Energy!$F$11=$A$3,Main!$B$43=$A82),Summary!R39,R82)</f>
        <v>5.5300564425841321</v>
      </c>
      <c r="S82" s="103">
        <f ca="1">IF(AND(Energy!$F$11=$A$3,Main!$B$43=A82),'Aerodynamics-Cruise'!W39,S82)</f>
        <v>1</v>
      </c>
      <c r="T82" s="103">
        <f ca="1">IF(AND(Energy!$F$11=$A$3,Main!$B$43=A82),'Aerodynamics-Cruise'!BL39,T82)</f>
        <v>27.928195686510257</v>
      </c>
      <c r="U82" s="103">
        <f ca="1">IF(AND(Energy!$F$11=$A$3,Main!$B$43=A82),'Propulsion-Cruise'!M39,U82)</f>
        <v>61.19189630272453</v>
      </c>
      <c r="V82" s="103">
        <f ca="1">IF(AND(Energy!$F$11=$A$3,Main!$B$43=A82),Endurance!AP39,V82)</f>
        <v>600.35435917896632</v>
      </c>
      <c r="W82" s="103">
        <f ca="1">IF(AND(Energy!$F$11=$A$3,Main!$B$43=$A82),Summary!W39,W82)</f>
        <v>1.9578947368421054</v>
      </c>
      <c r="X82" s="13">
        <f ca="1">IF(AND(Energy!$F$11=$A$3,Main!$B$43=A82),Energy!D39,X82)</f>
        <v>406.03644325745717</v>
      </c>
      <c r="Y82" s="102">
        <f ca="1">IF(AND(Energy!$F$11=$A$3,Main!$B$43=A82),'Aerodynamics-Cruise'!V39,Y82)</f>
        <v>142686.58844043515</v>
      </c>
      <c r="Z82" s="102">
        <f ca="1">IF(AND(Energy!$F$11=$A$3,Main!$B$43=$A82),Summary!Z39,Z82)</f>
        <v>107546.52220282354</v>
      </c>
      <c r="AA82" s="102">
        <f ca="1">IF(AND(Energy!$F$11=$A$3,Main!$B$43=$A82),Summary!AA39,AA82)</f>
        <v>107546.52220282354</v>
      </c>
      <c r="AB82" s="103">
        <f ca="1">IF(AND(Energy!$F$11=$A$3,Main!$B$43=$A82),Summary!AB39,AB82)</f>
        <v>5.5300564425841321</v>
      </c>
      <c r="AC82" s="103">
        <f ca="1">IF(AND(Energy!$F$11=$A$3,Main!$B$43=$A82),Summary!AC39,AC82)</f>
        <v>1.7500549609378393</v>
      </c>
      <c r="AD82" s="103">
        <f ca="1">IF(AND(Energy!$F$11=$A$3,Main!$B$43=$A82),Summary!AD39,AD82)</f>
        <v>0.42949595627650933</v>
      </c>
      <c r="AE82" s="103">
        <f ca="1">IF(AND(Energy!$F$11=$A$3,Main!$B$43=$A82),Summary!AE39,AE82)</f>
        <v>1.9578947368421054</v>
      </c>
      <c r="AF82" s="103">
        <f ca="1">IF(AND(Energy!$F$11=$A$3,Main!$B$43=$A82),Summary!AF39,AF82)</f>
        <v>27.53289473684211</v>
      </c>
      <c r="AG82" s="103">
        <f ca="1">IF(AND(Energy!$F$11=$A$3,Main!$B$43=$A82),Summary!AG39,AG82)</f>
        <v>12.228065099285423</v>
      </c>
      <c r="AH82" s="103">
        <f ca="1">IF(AND(Energy!$F$11=$A$3,Main!$B$43=$A82),Summary!AH39,AH82)</f>
        <v>47</v>
      </c>
      <c r="AI82" s="103">
        <f ca="1">IF(AND(Energy!$F$11=$A$3,Main!$B$43=$A82),Summary!AI39,AI82)</f>
        <v>2.7066973790663464</v>
      </c>
      <c r="AJ82" s="103">
        <f ca="1">IF(AND(Energy!$F$11=$A$3,Main!$B$43=$A82),Summary!AJ39,AJ82)</f>
        <v>0.23439235449651483</v>
      </c>
      <c r="AK82" s="103">
        <f ca="1">IF(AND(Energy!$F$11=$A$3,Main!$B$43=$A82),Summary!AK39,AK82)</f>
        <v>0.01</v>
      </c>
      <c r="AL82" s="103">
        <f ca="1">IF(AND(Energy!$F$11=$A$3,Main!$B$43=$A82),Summary!AL39,AL82)</f>
        <v>-0.53328772339002339</v>
      </c>
      <c r="AM82" s="103">
        <f ca="1">IF(AND(Energy!$F$11=$A$3,Main!$B$43=$A82),Summary!AJ99,AM82)</f>
        <v>0</v>
      </c>
    </row>
    <row r="83" spans="1:39">
      <c r="A83">
        <f t="shared" si="4"/>
        <v>4</v>
      </c>
      <c r="D83" s="1">
        <f ca="1">IF(AND(Energy!$F$11=$A$3,Main!$B$43=A83),Main!C40,D83)</f>
        <v>7.5</v>
      </c>
      <c r="E83" s="103">
        <f ca="1">IF(AND(Energy!$F$11=$A$3,Main!$B$43=A83),Main!B40,E83)</f>
        <v>0.26666666666666666</v>
      </c>
      <c r="F83" s="103">
        <f ca="1">IF(Main!$D$6=1,U83,IF(Main!$D$6=2,N83,IF(Main!$D$6=3,K83,IF(Main!$D$6=4,V83,J83))))</f>
        <v>605.63046913321625</v>
      </c>
      <c r="G83" s="103">
        <f ca="1">IF(AND(Energy!$F$11=$A$3,Main!$B$43=A83),Weight!H40,G83)</f>
        <v>15</v>
      </c>
      <c r="H83" s="103">
        <f ca="1">IF(AND(Energy!$F$11=$A$3,Main!$B$43=A83),Weight!U40,H83)</f>
        <v>26.391823206563046</v>
      </c>
      <c r="I83" s="103">
        <f ca="1">IF(AND(Energy!$F$11=$A$3,Main!$B$43=A83),Weight!V40,I83)</f>
        <v>61.980822546619066</v>
      </c>
      <c r="J83" s="103">
        <f ca="1">IF(AND(Energy!$F$11=$A$3,Main!$B$43=A83),Weight!I40,J83)</f>
        <v>30.651351065056016</v>
      </c>
      <c r="K83" s="103">
        <f ca="1">IF(AND(Energy!$F$11=$A$3,Main!$B$43=A83),Weight!W40,K83)</f>
        <v>76.980824976443301</v>
      </c>
      <c r="L83" s="103">
        <f ca="1">IF(AND(Energy!$F$11=$A$3,Main!$B$43=A83),'Aerodynamics-Cruise'!BI40,L83)</f>
        <v>76.980820077079784</v>
      </c>
      <c r="M83" s="103">
        <f ca="1">IF(AND(Energy!$F$11=$A$3,Main!$B$43=A83),'Aerodynamics-Cruise'!BJ40,M83)</f>
        <v>3.3417795033983881</v>
      </c>
      <c r="N83" s="103">
        <f ca="1">IF(AND(Energy!$F$11=$A$3,Main!$B$43=A83),'Aerodynamics-Cruise'!BK40,N83)</f>
        <v>23.035876543857825</v>
      </c>
      <c r="O83" s="103">
        <f t="shared" ca="1" si="5"/>
        <v>202.11381934478277</v>
      </c>
      <c r="P83" s="103">
        <f ca="1">IF(AND(Energy!$F$11=$A$3,Main!$B$43=A83),'Aerodynamics-Cruise'!H40,P83)</f>
        <v>8.400050465921419</v>
      </c>
      <c r="Q83" s="103">
        <f ca="1">IF(AND(Energy!$F$11=$A$3,Main!$B$43=A83),'Aerodynamics-Cruise'!I40,Q83)</f>
        <v>7.1493621064080317</v>
      </c>
      <c r="R83" s="103">
        <f ca="1">IF(AND(Energy!$F$11=$A$3,Main!$B$43=$A83),Summary!R40,R83)</f>
        <v>5.5551211588190563</v>
      </c>
      <c r="S83" s="103">
        <f ca="1">IF(AND(Energy!$F$11=$A$3,Main!$B$43=A83),'Aerodynamics-Cruise'!W40,S83)</f>
        <v>1</v>
      </c>
      <c r="T83" s="103">
        <f ca="1">IF(AND(Energy!$F$11=$A$3,Main!$B$43=A83),'Aerodynamics-Cruise'!BL40,T83)</f>
        <v>28.071116474528278</v>
      </c>
      <c r="U83" s="103">
        <f ca="1">IF(AND(Energy!$F$11=$A$3,Main!$B$43=A83),'Propulsion-Cruise'!M40,U83)</f>
        <v>61.613821756867274</v>
      </c>
      <c r="V83" s="103">
        <f ca="1">IF(AND(Energy!$F$11=$A$3,Main!$B$43=A83),Endurance!AP40,V83)</f>
        <v>605.63046913321625</v>
      </c>
      <c r="W83" s="103">
        <f ca="1">IF(AND(Energy!$F$11=$A$3,Main!$B$43=$A83),Summary!W40,W83)</f>
        <v>2</v>
      </c>
      <c r="X83" s="13">
        <f ca="1">IF(AND(Energy!$F$11=$A$3,Main!$B$43=A83),Energy!D40,X83)</f>
        <v>406.16416826268926</v>
      </c>
      <c r="Y83" s="102">
        <f ca="1">IF(AND(Energy!$F$11=$A$3,Main!$B$43=A83),'Aerodynamics-Cruise'!V40,Y83)</f>
        <v>142067.88166180509</v>
      </c>
      <c r="Z83" s="102">
        <f ca="1">IF(AND(Energy!$F$11=$A$3,Main!$B$43=$A83),Summary!Z40,Z83)</f>
        <v>107098.48908044965</v>
      </c>
      <c r="AA83" s="102">
        <f ca="1">IF(AND(Energy!$F$11=$A$3,Main!$B$43=$A83),Summary!AA40,AA83)</f>
        <v>107098.48908044965</v>
      </c>
      <c r="AB83" s="103">
        <f ca="1">IF(AND(Energy!$F$11=$A$3,Main!$B$43=$A83),Summary!AB40,AB83)</f>
        <v>5.5551211588190563</v>
      </c>
      <c r="AC83" s="103">
        <f ca="1">IF(AND(Energy!$F$11=$A$3,Main!$B$43=$A83),Summary!AC40,AC83)</f>
        <v>1.7190016559601737</v>
      </c>
      <c r="AD83" s="103">
        <f ca="1">IF(AND(Energy!$F$11=$A$3,Main!$B$43=$A83),Summary!AD40,AD83)</f>
        <v>0.42993772739402059</v>
      </c>
      <c r="AE83" s="103">
        <f ca="1">IF(AND(Energy!$F$11=$A$3,Main!$B$43=$A83),Summary!AE40,AE83)</f>
        <v>2</v>
      </c>
      <c r="AF83" s="103">
        <f ca="1">IF(AND(Energy!$F$11=$A$3,Main!$B$43=$A83),Summary!AF40,AF83)</f>
        <v>28.125</v>
      </c>
      <c r="AG83" s="103">
        <f ca="1">IF(AND(Energy!$F$11=$A$3,Main!$B$43=$A83),Summary!AG40,AG83)</f>
        <v>12.288019183213633</v>
      </c>
      <c r="AH83" s="103">
        <f ca="1">IF(AND(Energy!$F$11=$A$3,Main!$B$43=$A83),Summary!AH40,AH83)</f>
        <v>47</v>
      </c>
      <c r="AI83" s="103">
        <f ca="1">IF(AND(Energy!$F$11=$A$3,Main!$B$43=$A83),Summary!AI40,AI83)</f>
        <v>2.7057348195457243</v>
      </c>
      <c r="AJ83" s="103">
        <f ca="1">IF(AND(Energy!$F$11=$A$3,Main!$B$43=$A83),Summary!AJ40,AJ83)</f>
        <v>0.23468609462971074</v>
      </c>
      <c r="AK83" s="103">
        <f ca="1">IF(AND(Energy!$F$11=$A$3,Main!$B$43=$A83),Summary!AK40,AK83)</f>
        <v>0.01</v>
      </c>
      <c r="AL83" s="103">
        <f ca="1">IF(AND(Energy!$F$11=$A$3,Main!$B$43=$A83),Summary!AL40,AL83)</f>
        <v>-0.53262019837137442</v>
      </c>
      <c r="AM83" s="103">
        <f ca="1">IF(AND(Energy!$F$11=$A$3,Main!$B$43=$A83),Summary!AJ100,AM83)</f>
        <v>0</v>
      </c>
    </row>
    <row r="84" spans="1:39">
      <c r="A84" s="7">
        <f>A64+1</f>
        <v>5</v>
      </c>
      <c r="D84" s="1">
        <f ca="1">IF(AND(Energy!$F$11=$A$3,Main!$B$43=A84),Main!C21,D84)</f>
        <v>4.5</v>
      </c>
      <c r="E84" s="103">
        <f ca="1">IF(AND(Energy!$F$11=$A$3,Main!$B$43=A84),Main!B21,E84)</f>
        <v>0.28888888888888886</v>
      </c>
      <c r="F84" s="103">
        <f ca="1">IF(Main!$D$6=1,U84,IF(Main!$D$6=2,N84,IF(Main!$D$6=3,K84,IF(Main!$D$6=4,V84,J84))))</f>
        <v>610.04689887102916</v>
      </c>
      <c r="G84" s="103">
        <f ca="1">IF(AND(Energy!$F$11=$A$3,Main!$B$43=A84),Weight!H21,G84)</f>
        <v>15</v>
      </c>
      <c r="H84" s="103">
        <f ca="1">IF(AND(Energy!$F$11=$A$3,Main!$B$43=A84),Weight!U21,H84)</f>
        <v>16.129981512724008</v>
      </c>
      <c r="I84" s="103">
        <f ca="1">IF(AND(Energy!$F$11=$A$3,Main!$B$43=A84),Weight!V21,I84)</f>
        <v>52.025350405221459</v>
      </c>
      <c r="J84" s="103">
        <f ca="1">IF(AND(Energy!$F$11=$A$3,Main!$B$43=A84),Weight!I21,J84)</f>
        <v>30.957720617497451</v>
      </c>
      <c r="K84" s="103">
        <f ca="1">IF(AND(Energy!$F$11=$A$3,Main!$B$43=A84),Weight!W21,K84)</f>
        <v>67.025350618519184</v>
      </c>
      <c r="L84" s="103">
        <f ca="1">IF(AND(Energy!$F$11=$A$3,Main!$B$43=A84),'Aerodynamics-Cruise'!BI21,L84)</f>
        <v>67.025350190341968</v>
      </c>
      <c r="M84" s="103">
        <f ca="1">IF(AND(Energy!$F$11=$A$3,Main!$B$43=A84),'Aerodynamics-Cruise'!BJ21,M84)</f>
        <v>3.1719326809730268</v>
      </c>
      <c r="N84" s="103">
        <f ca="1">IF(AND(Energy!$F$11=$A$3,Main!$B$43=A84),'Aerodynamics-Cruise'!BK21,N84)</f>
        <v>21.1307606218746</v>
      </c>
      <c r="O84" s="103">
        <f t="shared" ca="1" si="5"/>
        <v>172.99544811357657</v>
      </c>
      <c r="P84" s="103">
        <f ca="1">IF(AND(Energy!$F$11=$A$3,Main!$B$43=A84),'Aerodynamics-Cruise'!H21,P84)</f>
        <v>9.7303233645283509</v>
      </c>
      <c r="Q84" s="103">
        <f ca="1">IF(AND(Energy!$F$11=$A$3,Main!$B$43=A84),'Aerodynamics-Cruise'!I21,Q84)</f>
        <v>8.1985217260301368</v>
      </c>
      <c r="R84" s="103">
        <f ca="1">IF(AND(Energy!$F$11=$A$3,Main!$B$43=$A84),Summary!R21,R84)</f>
        <v>6.3750883835118755</v>
      </c>
      <c r="S84" s="103">
        <f ca="1">IF(AND(Energy!$F$11=$A$3,Main!$B$43=A84),'Aerodynamics-Cruise'!W21,S84)</f>
        <v>1</v>
      </c>
      <c r="T84" s="103">
        <f ca="1">IF(AND(Energy!$F$11=$A$3,Main!$B$43=A84),'Aerodynamics-Cruise'!BL21,T84)</f>
        <v>30.863930676382896</v>
      </c>
      <c r="U84" s="103">
        <f ca="1">IF(AND(Energy!$F$11=$A$3,Main!$B$43=A84),'Propulsion-Cruise'!M21,U84)</f>
        <v>64.57682355192722</v>
      </c>
      <c r="V84" s="103">
        <f ca="1">IF(AND(Energy!$F$11=$A$3,Main!$B$43=A84),Endurance!AP21,V84)</f>
        <v>610.04689887102916</v>
      </c>
      <c r="W84" s="103">
        <f ca="1">IF(AND(Energy!$F$11=$A$3,Main!$B$43=$A84),Summary!W21,W84)</f>
        <v>1.2999999999999998</v>
      </c>
      <c r="X84" s="13">
        <f ca="1">IF(AND(Energy!$F$11=$A$3,Main!$B$43=A84),Energy!D21,X84)</f>
        <v>406.33412829189223</v>
      </c>
      <c r="Y84" s="102">
        <f ca="1">IF(AND(Energy!$F$11=$A$3,Main!$B$43=A84),'Aerodynamics-Cruise'!V21,Y84)</f>
        <v>178280.31351899137</v>
      </c>
      <c r="Z84" s="102">
        <f ca="1">IF(AND(Energy!$F$11=$A$3,Main!$B$43=$A84),Summary!Z21,Z84)</f>
        <v>133101.96913509449</v>
      </c>
      <c r="AA84" s="102">
        <f ca="1">IF(AND(Energy!$F$11=$A$3,Main!$B$43=$A84),Summary!AA21,AA84)</f>
        <v>133101.96913509449</v>
      </c>
      <c r="AB84" s="103">
        <f ca="1">IF(AND(Energy!$F$11=$A$3,Main!$B$43=$A84),Summary!AB21,AB84)</f>
        <v>6.3750883835118755</v>
      </c>
      <c r="AC84" s="103">
        <f ca="1">IF(AND(Energy!$F$11=$A$3,Main!$B$43=$A84),Summary!AC21,AC84)</f>
        <v>2.2263409085954855</v>
      </c>
      <c r="AD84" s="103">
        <f ca="1">IF(AND(Energy!$F$11=$A$3,Main!$B$43=$A84),Summary!AD21,AD84)</f>
        <v>0.45967271269569493</v>
      </c>
      <c r="AE84" s="103">
        <f ca="1">IF(AND(Energy!$F$11=$A$3,Main!$B$43=$A84),Summary!AE21,AE84)</f>
        <v>1.2999999999999998</v>
      </c>
      <c r="AF84" s="103">
        <f ca="1">IF(AND(Energy!$F$11=$A$3,Main!$B$43=$A84),Summary!AF21,AF84)</f>
        <v>15.576923076923078</v>
      </c>
      <c r="AG84" s="103">
        <f ca="1">IF(AND(Energy!$F$11=$A$3,Main!$B$43=$A84),Summary!AG21,AG84)</f>
        <v>12.44094358229497</v>
      </c>
      <c r="AH84" s="103">
        <f ca="1">IF(AND(Energy!$F$11=$A$3,Main!$B$43=$A84),Summary!AH21,AH84)</f>
        <v>47</v>
      </c>
      <c r="AI84" s="103">
        <f ca="1">IF(AND(Energy!$F$11=$A$3,Main!$B$43=$A84),Summary!AI21,AI84)</f>
        <v>2.7608290107158608</v>
      </c>
      <c r="AJ84" s="103">
        <f ca="1">IF(AND(Energy!$F$11=$A$3,Main!$B$43=$A84),Summary!AJ21,AJ84)</f>
        <v>0.22296734473077826</v>
      </c>
      <c r="AK84" s="103">
        <f ca="1">IF(AND(Energy!$F$11=$A$3,Main!$B$43=$A84),Summary!AK21,AK84)</f>
        <v>0.01</v>
      </c>
      <c r="AL84" s="103">
        <f ca="1">IF(AND(Energy!$F$11=$A$3,Main!$B$43=$A84),Summary!AL21,AL84)</f>
        <v>-0.56061980044490989</v>
      </c>
      <c r="AM84" s="103">
        <f ca="1">IF(AND(Energy!$F$11=$A$3,Main!$B$43=$A84),Summary!AJ101,AM84)</f>
        <v>0</v>
      </c>
    </row>
    <row r="85" spans="1:39">
      <c r="A85">
        <f>A84</f>
        <v>5</v>
      </c>
      <c r="B85" s="100"/>
      <c r="C85" s="100"/>
      <c r="D85" s="1">
        <f ca="1">IF(AND(Energy!$F$11=$A$3,Main!$B$43=A85),Main!C22,D85)</f>
        <v>4.6578947368421053</v>
      </c>
      <c r="E85" s="103">
        <f ca="1">IF(AND(Energy!$F$11=$A$3,Main!$B$43=A85),Main!B22,E85)</f>
        <v>0.28888888888888886</v>
      </c>
      <c r="F85" s="103">
        <f ca="1">IF(Main!$D$6=1,U85,IF(Main!$D$6=2,N85,IF(Main!$D$6=3,K85,IF(Main!$D$6=4,V85,J85))))</f>
        <v>600.48532231564729</v>
      </c>
      <c r="G85" s="103">
        <f ca="1">IF(AND(Energy!$F$11=$A$3,Main!$B$43=A85),Weight!H22,G85)</f>
        <v>15</v>
      </c>
      <c r="H85" s="103">
        <f ca="1">IF(AND(Energy!$F$11=$A$3,Main!$B$43=A85),Weight!U22,H85)</f>
        <v>16.614956059452787</v>
      </c>
      <c r="I85" s="103">
        <f ca="1">IF(AND(Energy!$F$11=$A$3,Main!$B$43=A85),Weight!V22,I85)</f>
        <v>52.068418582205211</v>
      </c>
      <c r="J85" s="103">
        <f ca="1">IF(AND(Energy!$F$11=$A$3,Main!$B$43=A85),Weight!I22,J85)</f>
        <v>30.515814247752424</v>
      </c>
      <c r="K85" s="103">
        <f ca="1">IF(AND(Energy!$F$11=$A$3,Main!$B$43=A85),Weight!W22,K85)</f>
        <v>67.068418786077757</v>
      </c>
      <c r="L85" s="103">
        <f ca="1">IF(AND(Energy!$F$11=$A$3,Main!$B$43=A85),'Aerodynamics-Cruise'!BI22,L85)</f>
        <v>67.068418376821583</v>
      </c>
      <c r="M85" s="103">
        <f ca="1">IF(AND(Energy!$F$11=$A$3,Main!$B$43=A85),'Aerodynamics-Cruise'!BJ22,M85)</f>
        <v>3.1498619424385934</v>
      </c>
      <c r="N85" s="103">
        <f ca="1">IF(AND(Energy!$F$11=$A$3,Main!$B$43=A85),'Aerodynamics-Cruise'!BK22,N85)</f>
        <v>21.292494592603589</v>
      </c>
      <c r="O85" s="103">
        <f t="shared" ca="1" si="5"/>
        <v>174.37554502337167</v>
      </c>
      <c r="P85" s="103">
        <f ca="1">IF(AND(Energy!$F$11=$A$3,Main!$B$43=A85),'Aerodynamics-Cruise'!H22,P85)</f>
        <v>9.5669851615701464</v>
      </c>
      <c r="Q85" s="103">
        <f ca="1">IF(AND(Energy!$F$11=$A$3,Main!$B$43=A85),'Aerodynamics-Cruise'!I22,Q85)</f>
        <v>8.0664964979920661</v>
      </c>
      <c r="R85" s="103">
        <f ca="1">IF(AND(Energy!$F$11=$A$3,Main!$B$43=$A85),Summary!R22,R85)</f>
        <v>6.1685126210290928</v>
      </c>
      <c r="S85" s="103">
        <f ca="1">IF(AND(Energy!$F$11=$A$3,Main!$B$43=A85),'Aerodynamics-Cruise'!W22,S85)</f>
        <v>1</v>
      </c>
      <c r="T85" s="103">
        <f ca="1">IF(AND(Energy!$F$11=$A$3,Main!$B$43=A85),'Aerodynamics-Cruise'!BL22,T85)</f>
        <v>30.134682464304543</v>
      </c>
      <c r="U85" s="103">
        <f ca="1">IF(AND(Energy!$F$11=$A$3,Main!$B$43=A85),'Propulsion-Cruise'!M22,U85)</f>
        <v>63.366758033836398</v>
      </c>
      <c r="V85" s="103">
        <f ca="1">IF(AND(Energy!$F$11=$A$3,Main!$B$43=A85),Endurance!AP22,V85)</f>
        <v>600.48532231564729</v>
      </c>
      <c r="W85" s="103">
        <f ca="1">IF(AND(Energy!$F$11=$A$3,Main!$B$43=$A85),Summary!W22,W85)</f>
        <v>1.3456140350877193</v>
      </c>
      <c r="X85" s="13">
        <f ca="1">IF(AND(Energy!$F$11=$A$3,Main!$B$43=A85),Energy!D22,X85)</f>
        <v>406.08897715299315</v>
      </c>
      <c r="Y85" s="102">
        <f ca="1">IF(AND(Energy!$F$11=$A$3,Main!$B$43=A85),'Aerodynamics-Cruise'!V22,Y85)</f>
        <v>175287.60865789975</v>
      </c>
      <c r="Z85" s="102">
        <f ca="1">IF(AND(Energy!$F$11=$A$3,Main!$B$43=$A85),Summary!Z22,Z85)</f>
        <v>130955.00833667126</v>
      </c>
      <c r="AA85" s="102">
        <f ca="1">IF(AND(Energy!$F$11=$A$3,Main!$B$43=$A85),Summary!AA22,AA85)</f>
        <v>130955.00833667126</v>
      </c>
      <c r="AB85" s="103">
        <f ca="1">IF(AND(Energy!$F$11=$A$3,Main!$B$43=$A85),Summary!AB22,AB85)</f>
        <v>6.1685126210290928</v>
      </c>
      <c r="AC85" s="103">
        <f ca="1">IF(AND(Energy!$F$11=$A$3,Main!$B$43=$A85),Summary!AC22,AC85)</f>
        <v>2.2009826647731212</v>
      </c>
      <c r="AD85" s="103">
        <f ca="1">IF(AND(Energy!$F$11=$A$3,Main!$B$43=$A85),Summary!AD22,AD85)</f>
        <v>0.45483597238170503</v>
      </c>
      <c r="AE85" s="103">
        <f ca="1">IF(AND(Energy!$F$11=$A$3,Main!$B$43=$A85),Summary!AE22,AE85)</f>
        <v>1.3456140350877193</v>
      </c>
      <c r="AF85" s="103">
        <f ca="1">IF(AND(Energy!$F$11=$A$3,Main!$B$43=$A85),Summary!AF22,AF85)</f>
        <v>16.123481781376519</v>
      </c>
      <c r="AG85" s="103">
        <f ca="1">IF(AND(Energy!$F$11=$A$3,Main!$B$43=$A85),Summary!AG22,AG85)</f>
        <v>12.316589091573151</v>
      </c>
      <c r="AH85" s="103">
        <f ca="1">IF(AND(Energy!$F$11=$A$3,Main!$B$43=$A85),Summary!AH22,AH85)</f>
        <v>47</v>
      </c>
      <c r="AI85" s="103">
        <f ca="1">IF(AND(Energy!$F$11=$A$3,Main!$B$43=$A85),Summary!AI22,AI85)</f>
        <v>2.7569974780104758</v>
      </c>
      <c r="AJ85" s="103">
        <f ca="1">IF(AND(Energy!$F$11=$A$3,Main!$B$43=$A85),Summary!AJ22,AJ85)</f>
        <v>0.22394319139805929</v>
      </c>
      <c r="AK85" s="103">
        <f ca="1">IF(AND(Energy!$F$11=$A$3,Main!$B$43=$A85),Summary!AK22,AK85)</f>
        <v>0.01</v>
      </c>
      <c r="AL85" s="103">
        <f ca="1">IF(AND(Energy!$F$11=$A$3,Main!$B$43=$A85),Summary!AL22,AL85)</f>
        <v>-0.5581768569084572</v>
      </c>
      <c r="AM85" s="103">
        <f ca="1">IF(AND(Energy!$F$11=$A$3,Main!$B$43=$A85),Summary!AJ102,AM85)</f>
        <v>0</v>
      </c>
    </row>
    <row r="86" spans="1:39">
      <c r="A86">
        <f t="shared" ref="A86:A103" si="6">A85</f>
        <v>5</v>
      </c>
      <c r="D86" s="1">
        <f ca="1">IF(AND(Energy!$F$11=$A$3,Main!$B$43=A86),Main!C23,D86)</f>
        <v>4.8157894736842106</v>
      </c>
      <c r="E86" s="103">
        <f ca="1">IF(AND(Energy!$F$11=$A$3,Main!$B$43=A86),Main!B23,E86)</f>
        <v>0.28888888888888886</v>
      </c>
      <c r="F86" s="103">
        <f ca="1">IF(Main!$D$6=1,U86,IF(Main!$D$6=2,N86,IF(Main!$D$6=3,K86,IF(Main!$D$6=4,V86,J86))))</f>
        <v>592.87642421829526</v>
      </c>
      <c r="G86" s="103">
        <f ca="1">IF(AND(Energy!$F$11=$A$3,Main!$B$43=A86),Weight!H23,G86)</f>
        <v>15</v>
      </c>
      <c r="H86" s="103">
        <f ca="1">IF(AND(Energy!$F$11=$A$3,Main!$B$43=A86),Weight!U23,H86)</f>
        <v>17.120136905176274</v>
      </c>
      <c r="I86" s="103">
        <f ca="1">IF(AND(Energy!$F$11=$A$3,Main!$B$43=A86),Weight!V23,I86)</f>
        <v>52.220305601998078</v>
      </c>
      <c r="J86" s="103">
        <f ca="1">IF(AND(Energy!$F$11=$A$3,Main!$B$43=A86),Weight!I23,J86)</f>
        <v>30.162520421821803</v>
      </c>
      <c r="K86" s="103">
        <f ca="1">IF(AND(Energy!$F$11=$A$3,Main!$B$43=A86),Weight!W23,K86)</f>
        <v>67.220305798827923</v>
      </c>
      <c r="L86" s="103">
        <f ca="1">IF(AND(Energy!$F$11=$A$3,Main!$B$43=A86),'Aerodynamics-Cruise'!BI23,L86)</f>
        <v>67.220305403710057</v>
      </c>
      <c r="M86" s="103">
        <f ca="1">IF(AND(Energy!$F$11=$A$3,Main!$B$43=A86),'Aerodynamics-Cruise'!BJ23,M86)</f>
        <v>3.1344432501682289</v>
      </c>
      <c r="N86" s="103">
        <f ca="1">IF(AND(Energy!$F$11=$A$3,Main!$B$43=A86),'Aerodynamics-Cruise'!BK23,N86)</f>
        <v>21.445692277281548</v>
      </c>
      <c r="O86" s="103">
        <f t="shared" ca="1" si="5"/>
        <v>175.82892086982375</v>
      </c>
      <c r="P86" s="103">
        <f ca="1">IF(AND(Energy!$F$11=$A$3,Main!$B$43=A86),'Aerodynamics-Cruise'!H23,P86)</f>
        <v>9.419429791728021</v>
      </c>
      <c r="Q86" s="103">
        <f ca="1">IF(AND(Energy!$F$11=$A$3,Main!$B$43=A86),'Aerodynamics-Cruise'!I23,Q86)</f>
        <v>7.9471481209748926</v>
      </c>
      <c r="R86" s="103">
        <f ca="1">IF(AND(Energy!$F$11=$A$3,Main!$B$43=$A86),Summary!R23,R86)</f>
        <v>5.9952002306219532</v>
      </c>
      <c r="S86" s="103">
        <f ca="1">IF(AND(Energy!$F$11=$A$3,Main!$B$43=A86),'Aerodynamics-Cruise'!W23,S86)</f>
        <v>1</v>
      </c>
      <c r="T86" s="103">
        <f ca="1">IF(AND(Energy!$F$11=$A$3,Main!$B$43=A86),'Aerodynamics-Cruise'!BL23,T86)</f>
        <v>29.524668131115423</v>
      </c>
      <c r="U86" s="103">
        <f ca="1">IF(AND(Energy!$F$11=$A$3,Main!$B$43=A86),'Propulsion-Cruise'!M23,U86)</f>
        <v>62.374087782240551</v>
      </c>
      <c r="V86" s="103">
        <f ca="1">IF(AND(Energy!$F$11=$A$3,Main!$B$43=A86),Endurance!AP23,V86)</f>
        <v>592.87642421829526</v>
      </c>
      <c r="W86" s="103">
        <f ca="1">IF(AND(Energy!$F$11=$A$3,Main!$B$43=$A86),Summary!W23,W86)</f>
        <v>1.3912280701754385</v>
      </c>
      <c r="X86" s="13">
        <f ca="1">IF(AND(Energy!$F$11=$A$3,Main!$B$43=A86),Energy!D23,X86)</f>
        <v>405.89298454089436</v>
      </c>
      <c r="Y86" s="102">
        <f ca="1">IF(AND(Energy!$F$11=$A$3,Main!$B$43=A86),'Aerodynamics-Cruise'!V23,Y86)</f>
        <v>172584.0790205638</v>
      </c>
      <c r="Z86" s="102">
        <f ca="1">IF(AND(Energy!$F$11=$A$3,Main!$B$43=$A86),Summary!Z23,Z86)</f>
        <v>129014.24626910174</v>
      </c>
      <c r="AA86" s="102">
        <f ca="1">IF(AND(Energy!$F$11=$A$3,Main!$B$43=$A86),Summary!AA23,AA86)</f>
        <v>129014.24626910174</v>
      </c>
      <c r="AB86" s="103">
        <f ca="1">IF(AND(Energy!$F$11=$A$3,Main!$B$43=$A86),Summary!AB23,AB86)</f>
        <v>5.9952002306219532</v>
      </c>
      <c r="AC86" s="103">
        <f ca="1">IF(AND(Energy!$F$11=$A$3,Main!$B$43=$A86),Summary!AC23,AC86)</f>
        <v>2.1734118703276071</v>
      </c>
      <c r="AD86" s="103">
        <f ca="1">IF(AND(Energy!$F$11=$A$3,Main!$B$43=$A86),Summary!AD23,AD86)</f>
        <v>0.45065635871657983</v>
      </c>
      <c r="AE86" s="103">
        <f ca="1">IF(AND(Energy!$F$11=$A$3,Main!$B$43=$A86),Summary!AE23,AE86)</f>
        <v>1.3912280701754385</v>
      </c>
      <c r="AF86" s="103">
        <f ca="1">IF(AND(Energy!$F$11=$A$3,Main!$B$43=$A86),Summary!AF23,AF86)</f>
        <v>16.670040485829961</v>
      </c>
      <c r="AG86" s="103">
        <f ca="1">IF(AND(Energy!$F$11=$A$3,Main!$B$43=$A86),Summary!AG23,AG86)</f>
        <v>12.215882046748501</v>
      </c>
      <c r="AH86" s="103">
        <f ca="1">IF(AND(Energy!$F$11=$A$3,Main!$B$43=$A86),Summary!AH23,AH86)</f>
        <v>47</v>
      </c>
      <c r="AI86" s="103">
        <f ca="1">IF(AND(Energy!$F$11=$A$3,Main!$B$43=$A86),Summary!AI23,AI86)</f>
        <v>2.7534847728966687</v>
      </c>
      <c r="AJ86" s="103">
        <f ca="1">IF(AND(Energy!$F$11=$A$3,Main!$B$43=$A86),Summary!AJ23,AJ86)</f>
        <v>0.22484601159905213</v>
      </c>
      <c r="AK86" s="103">
        <f ca="1">IF(AND(Energy!$F$11=$A$3,Main!$B$43=$A86),Summary!AK23,AK86)</f>
        <v>0.01</v>
      </c>
      <c r="AL86" s="103">
        <f ca="1">IF(AND(Energy!$F$11=$A$3,Main!$B$43=$A86),Summary!AL23,AL86)</f>
        <v>-0.55593561122054591</v>
      </c>
      <c r="AM86" s="103">
        <f ca="1">IF(AND(Energy!$F$11=$A$3,Main!$B$43=$A86),Summary!AJ103,AM86)</f>
        <v>0</v>
      </c>
    </row>
    <row r="87" spans="1:39">
      <c r="A87">
        <f t="shared" si="6"/>
        <v>5</v>
      </c>
      <c r="D87" s="1">
        <f ca="1">IF(AND(Energy!$F$11=$A$3,Main!$B$43=A87),Main!C24,D87)</f>
        <v>4.9736842105263159</v>
      </c>
      <c r="E87" s="103">
        <f ca="1">IF(AND(Energy!$F$11=$A$3,Main!$B$43=A87),Main!B24,E87)</f>
        <v>0.28888888888888886</v>
      </c>
      <c r="F87" s="103">
        <f ca="1">IF(Main!$D$6=1,U87,IF(Main!$D$6=2,N87,IF(Main!$D$6=3,K87,IF(Main!$D$6=4,V87,J87))))</f>
        <v>586.92159637824375</v>
      </c>
      <c r="G87" s="103">
        <f ca="1">IF(AND(Energy!$F$11=$A$3,Main!$B$43=A87),Weight!H24,G87)</f>
        <v>15</v>
      </c>
      <c r="H87" s="103">
        <f ca="1">IF(AND(Energy!$F$11=$A$3,Main!$B$43=A87),Weight!U24,H87)</f>
        <v>17.644635465431193</v>
      </c>
      <c r="I87" s="103">
        <f ca="1">IF(AND(Energy!$F$11=$A$3,Main!$B$43=A87),Weight!V24,I87)</f>
        <v>52.46653564843308</v>
      </c>
      <c r="J87" s="103">
        <f ca="1">IF(AND(Energy!$F$11=$A$3,Main!$B$43=A87),Weight!I24,J87)</f>
        <v>29.884251908001886</v>
      </c>
      <c r="K87" s="103">
        <f ca="1">IF(AND(Energy!$F$11=$A$3,Main!$B$43=A87),Weight!W24,K87)</f>
        <v>67.466535840076006</v>
      </c>
      <c r="L87" s="103">
        <f ca="1">IF(AND(Energy!$F$11=$A$3,Main!$B$43=A87),'Aerodynamics-Cruise'!BI24,L87)</f>
        <v>67.46653545537103</v>
      </c>
      <c r="M87" s="103">
        <f ca="1">IF(AND(Energy!$F$11=$A$3,Main!$B$43=A87),'Aerodynamics-Cruise'!BJ24,M87)</f>
        <v>3.124726316314991</v>
      </c>
      <c r="N87" s="103">
        <f ca="1">IF(AND(Energy!$F$11=$A$3,Main!$B$43=A87),'Aerodynamics-Cruise'!BK24,N87)</f>
        <v>21.591182275103929</v>
      </c>
      <c r="O87" s="103">
        <f t="shared" ca="1" si="5"/>
        <v>177.34568584953814</v>
      </c>
      <c r="P87" s="103">
        <f ca="1">IF(AND(Energy!$F$11=$A$3,Main!$B$43=A87),'Aerodynamics-Cruise'!H24,P87)</f>
        <v>9.2856155187788456</v>
      </c>
      <c r="Q87" s="103">
        <f ca="1">IF(AND(Energy!$F$11=$A$3,Main!$B$43=A87),'Aerodynamics-Cruise'!I24,Q87)</f>
        <v>7.8388470644951216</v>
      </c>
      <c r="R87" s="103">
        <f ca="1">IF(AND(Energy!$F$11=$A$3,Main!$B$43=$A87),Summary!R24,R87)</f>
        <v>5.8495684656954143</v>
      </c>
      <c r="S87" s="103">
        <f ca="1">IF(AND(Energy!$F$11=$A$3,Main!$B$43=A87),'Aerodynamics-Cruise'!W24,S87)</f>
        <v>1</v>
      </c>
      <c r="T87" s="103">
        <f ca="1">IF(AND(Energy!$F$11=$A$3,Main!$B$43=A87),'Aerodynamics-Cruise'!BL24,T87)</f>
        <v>29.015007174711137</v>
      </c>
      <c r="U87" s="103">
        <f ca="1">IF(AND(Energy!$F$11=$A$3,Main!$B$43=A87),'Propulsion-Cruise'!M24,U87)</f>
        <v>61.565097611489279</v>
      </c>
      <c r="V87" s="103">
        <f ca="1">IF(AND(Energy!$F$11=$A$3,Main!$B$43=A87),Endurance!AP24,V87)</f>
        <v>586.92159637824375</v>
      </c>
      <c r="W87" s="103">
        <f ca="1">IF(AND(Energy!$F$11=$A$3,Main!$B$43=$A87),Summary!W24,W87)</f>
        <v>1.4368421052631577</v>
      </c>
      <c r="X87" s="13">
        <f ca="1">IF(AND(Energy!$F$11=$A$3,Main!$B$43=A87),Energy!D24,X87)</f>
        <v>405.73861282861264</v>
      </c>
      <c r="Y87" s="102">
        <f ca="1">IF(AND(Energy!$F$11=$A$3,Main!$B$43=A87),'Aerodynamics-Cruise'!V24,Y87)</f>
        <v>170132.31563707106</v>
      </c>
      <c r="Z87" s="102">
        <f ca="1">IF(AND(Energy!$F$11=$A$3,Main!$B$43=$A87),Summary!Z24,Z87)</f>
        <v>127253.17074613219</v>
      </c>
      <c r="AA87" s="102">
        <f ca="1">IF(AND(Energy!$F$11=$A$3,Main!$B$43=$A87),Summary!AA24,AA87)</f>
        <v>127253.17074613219</v>
      </c>
      <c r="AB87" s="103">
        <f ca="1">IF(AND(Energy!$F$11=$A$3,Main!$B$43=$A87),Summary!AB24,AB87)</f>
        <v>5.8495684656954143</v>
      </c>
      <c r="AC87" s="103">
        <f ca="1">IF(AND(Energy!$F$11=$A$3,Main!$B$43=$A87),Summary!AC24,AC87)</f>
        <v>2.144168089774408</v>
      </c>
      <c r="AD87" s="103">
        <f ca="1">IF(AND(Energy!$F$11=$A$3,Main!$B$43=$A87),Summary!AD24,AD87)</f>
        <v>0.44704646682823551</v>
      </c>
      <c r="AE87" s="103">
        <f ca="1">IF(AND(Energy!$F$11=$A$3,Main!$B$43=$A87),Summary!AE24,AE87)</f>
        <v>1.4368421052631577</v>
      </c>
      <c r="AF87" s="103">
        <f ca="1">IF(AND(Energy!$F$11=$A$3,Main!$B$43=$A87),Summary!AF24,AF87)</f>
        <v>17.216599190283404</v>
      </c>
      <c r="AG87" s="103">
        <f ca="1">IF(AND(Energy!$F$11=$A$3,Main!$B$43=$A87),Summary!AG24,AG87)</f>
        <v>12.135386973761054</v>
      </c>
      <c r="AH87" s="103">
        <f ca="1">IF(AND(Energy!$F$11=$A$3,Main!$B$43=$A87),Summary!AH24,AH87)</f>
        <v>47</v>
      </c>
      <c r="AI87" s="103">
        <f ca="1">IF(AND(Energy!$F$11=$A$3,Main!$B$43=$A87),Summary!AI24,AI87)</f>
        <v>2.7502557360092061</v>
      </c>
      <c r="AJ87" s="103">
        <f ca="1">IF(AND(Energy!$F$11=$A$3,Main!$B$43=$A87),Summary!AJ24,AJ87)</f>
        <v>0.22568291528419149</v>
      </c>
      <c r="AK87" s="103">
        <f ca="1">IF(AND(Energy!$F$11=$A$3,Main!$B$43=$A87),Summary!AK24,AK87)</f>
        <v>0.01</v>
      </c>
      <c r="AL87" s="103">
        <f ca="1">IF(AND(Energy!$F$11=$A$3,Main!$B$43=$A87),Summary!AL24,AL87)</f>
        <v>-0.55387401725097551</v>
      </c>
      <c r="AM87" s="103">
        <f ca="1">IF(AND(Energy!$F$11=$A$3,Main!$B$43=$A87),Summary!AJ104,AM87)</f>
        <v>0</v>
      </c>
    </row>
    <row r="88" spans="1:39">
      <c r="A88">
        <f t="shared" si="6"/>
        <v>5</v>
      </c>
      <c r="D88" s="1">
        <f ca="1">IF(AND(Energy!$F$11=$A$3,Main!$B$43=A88),Main!C25,D88)</f>
        <v>5.1315789473684212</v>
      </c>
      <c r="E88" s="103">
        <f ca="1">IF(AND(Energy!$F$11=$A$3,Main!$B$43=A88),Main!B25,E88)</f>
        <v>0.28888888888888886</v>
      </c>
      <c r="F88" s="103">
        <f ca="1">IF(Main!$D$6=1,U88,IF(Main!$D$6=2,N88,IF(Main!$D$6=3,K88,IF(Main!$D$6=4,V88,J88))))</f>
        <v>582.38580496350448</v>
      </c>
      <c r="G88" s="103">
        <f ca="1">IF(AND(Energy!$F$11=$A$3,Main!$B$43=A88),Weight!H25,G88)</f>
        <v>15</v>
      </c>
      <c r="H88" s="103">
        <f ca="1">IF(AND(Energy!$F$11=$A$3,Main!$B$43=A88),Weight!U25,H88)</f>
        <v>18.187785943431805</v>
      </c>
      <c r="I88" s="103">
        <f ca="1">IF(AND(Energy!$F$11=$A$3,Main!$B$43=A88),Weight!V25,I88)</f>
        <v>52.795749059308775</v>
      </c>
      <c r="J88" s="103">
        <f ca="1">IF(AND(Energy!$F$11=$A$3,Main!$B$43=A88),Weight!I25,J88)</f>
        <v>29.670314840876969</v>
      </c>
      <c r="K88" s="103">
        <f ca="1">IF(AND(Energy!$F$11=$A$3,Main!$B$43=A88),Weight!W25,K88)</f>
        <v>67.795749247247798</v>
      </c>
      <c r="L88" s="103">
        <f ca="1">IF(AND(Energy!$F$11=$A$3,Main!$B$43=A88),'Aerodynamics-Cruise'!BI25,L88)</f>
        <v>67.795748869978667</v>
      </c>
      <c r="M88" s="103">
        <f ca="1">IF(AND(Energy!$F$11=$A$3,Main!$B$43=A88),'Aerodynamics-Cruise'!BJ25,M88)</f>
        <v>3.1199517973916282</v>
      </c>
      <c r="N88" s="103">
        <f ca="1">IF(AND(Energy!$F$11=$A$3,Main!$B$43=A88),'Aerodynamics-Cruise'!BK25,N88)</f>
        <v>21.729742403923648</v>
      </c>
      <c r="O88" s="103">
        <f t="shared" ca="1" si="5"/>
        <v>178.9187309623286</v>
      </c>
      <c r="P88" s="103">
        <f ca="1">IF(AND(Energy!$F$11=$A$3,Main!$B$43=A88),'Aerodynamics-Cruise'!H25,P88)</f>
        <v>9.163872263455259</v>
      </c>
      <c r="Q88" s="103">
        <f ca="1">IF(AND(Energy!$F$11=$A$3,Main!$B$43=A88),'Aerodynamics-Cruise'!I25,Q88)</f>
        <v>7.7402593623633598</v>
      </c>
      <c r="R88" s="103">
        <f ca="1">IF(AND(Energy!$F$11=$A$3,Main!$B$43=$A88),Summary!R25,R88)</f>
        <v>5.7272977325765053</v>
      </c>
      <c r="S88" s="103">
        <f ca="1">IF(AND(Energy!$F$11=$A$3,Main!$B$43=A88),'Aerodynamics-Cruise'!W25,S88)</f>
        <v>1</v>
      </c>
      <c r="T88" s="103">
        <f ca="1">IF(AND(Energy!$F$11=$A$3,Main!$B$43=A88),'Aerodynamics-Cruise'!BL25,T88)</f>
        <v>28.590839739434525</v>
      </c>
      <c r="U88" s="103">
        <f ca="1">IF(AND(Energy!$F$11=$A$3,Main!$B$43=A88),'Propulsion-Cruise'!M25,U88)</f>
        <v>60.913236434717547</v>
      </c>
      <c r="V88" s="103">
        <f ca="1">IF(AND(Energy!$F$11=$A$3,Main!$B$43=A88),Endurance!AP25,V88)</f>
        <v>582.38580496350448</v>
      </c>
      <c r="W88" s="103">
        <f ca="1">IF(AND(Energy!$F$11=$A$3,Main!$B$43=$A88),Summary!W25,W88)</f>
        <v>1.4824561403508771</v>
      </c>
      <c r="X88" s="13">
        <f ca="1">IF(AND(Energy!$F$11=$A$3,Main!$B$43=A88),Energy!D25,X88)</f>
        <v>405.61992950760003</v>
      </c>
      <c r="Y88" s="102">
        <f ca="1">IF(AND(Energy!$F$11=$A$3,Main!$B$43=A88),'Aerodynamics-Cruise'!V25,Y88)</f>
        <v>167901.7190870083</v>
      </c>
      <c r="Z88" s="102">
        <f ca="1">IF(AND(Energy!$F$11=$A$3,Main!$B$43=$A88),Summary!Z25,Z88)</f>
        <v>125650.07903529839</v>
      </c>
      <c r="AA88" s="102">
        <f ca="1">IF(AND(Energy!$F$11=$A$3,Main!$B$43=$A88),Summary!AA25,AA88)</f>
        <v>125650.07903529839</v>
      </c>
      <c r="AB88" s="103">
        <f ca="1">IF(AND(Energy!$F$11=$A$3,Main!$B$43=$A88),Summary!AB25,AB88)</f>
        <v>5.7272977325765053</v>
      </c>
      <c r="AC88" s="103">
        <f ca="1">IF(AND(Energy!$F$11=$A$3,Main!$B$43=$A88),Summary!AC25,AC88)</f>
        <v>2.1136755451698002</v>
      </c>
      <c r="AD88" s="103">
        <f ca="1">IF(AND(Energy!$F$11=$A$3,Main!$B$43=$A88),Summary!AD25,AD88)</f>
        <v>0.44393518469082421</v>
      </c>
      <c r="AE88" s="103">
        <f ca="1">IF(AND(Energy!$F$11=$A$3,Main!$B$43=$A88),Summary!AE25,AE88)</f>
        <v>1.4824561403508771</v>
      </c>
      <c r="AF88" s="103">
        <f ca="1">IF(AND(Energy!$F$11=$A$3,Main!$B$43=$A88),Summary!AF25,AF88)</f>
        <v>17.763157894736842</v>
      </c>
      <c r="AG88" s="103">
        <f ca="1">IF(AND(Energy!$F$11=$A$3,Main!$B$43=$A88),Summary!AG25,AG88)</f>
        <v>12.072357260068125</v>
      </c>
      <c r="AH88" s="103">
        <f ca="1">IF(AND(Energy!$F$11=$A$3,Main!$B$43=$A88),Summary!AH25,AH88)</f>
        <v>47</v>
      </c>
      <c r="AI88" s="103">
        <f ca="1">IF(AND(Energy!$F$11=$A$3,Main!$B$43=$A88),Summary!AI25,AI88)</f>
        <v>2.7472810761016997</v>
      </c>
      <c r="AJ88" s="103">
        <f ca="1">IF(AND(Energy!$F$11=$A$3,Main!$B$43=$A88),Summary!AJ25,AJ88)</f>
        <v>0.22645997984686522</v>
      </c>
      <c r="AK88" s="103">
        <f ca="1">IF(AND(Energy!$F$11=$A$3,Main!$B$43=$A88),Summary!AK25,AK88)</f>
        <v>0.01</v>
      </c>
      <c r="AL88" s="103">
        <f ca="1">IF(AND(Energy!$F$11=$A$3,Main!$B$43=$A88),Summary!AL25,AL88)</f>
        <v>-0.5519734696146259</v>
      </c>
      <c r="AM88" s="103">
        <f ca="1">IF(AND(Energy!$F$11=$A$3,Main!$B$43=$A88),Summary!AJ105,AM88)</f>
        <v>0</v>
      </c>
    </row>
    <row r="89" spans="1:39">
      <c r="A89">
        <f t="shared" si="6"/>
        <v>5</v>
      </c>
      <c r="D89" s="1">
        <f ca="1">IF(AND(Energy!$F$11=$A$3,Main!$B$43=A89),Main!C26,D89)</f>
        <v>5.2894736842105265</v>
      </c>
      <c r="E89" s="103">
        <f ca="1">IF(AND(Energy!$F$11=$A$3,Main!$B$43=A89),Main!B26,E89)</f>
        <v>0.28888888888888886</v>
      </c>
      <c r="F89" s="103">
        <f ca="1">IF(Main!$D$6=1,U89,IF(Main!$D$6=2,N89,IF(Main!$D$6=3,K89,IF(Main!$D$6=4,V89,J89))))</f>
        <v>579.0814453306707</v>
      </c>
      <c r="G89" s="103">
        <f ca="1">IF(AND(Energy!$F$11=$A$3,Main!$B$43=A89),Weight!H26,G89)</f>
        <v>15</v>
      </c>
      <c r="H89" s="103">
        <f ca="1">IF(AND(Energy!$F$11=$A$3,Main!$B$43=A89),Weight!U26,H89)</f>
        <v>18.749091033126206</v>
      </c>
      <c r="I89" s="103">
        <f ca="1">IF(AND(Energy!$F$11=$A$3,Main!$B$43=A89),Weight!V26,I89)</f>
        <v>53.198913073088406</v>
      </c>
      <c r="J89" s="103">
        <f ca="1">IF(AND(Energy!$F$11=$A$3,Main!$B$43=A89),Weight!I26,J89)</f>
        <v>29.512173764962203</v>
      </c>
      <c r="K89" s="103">
        <f ca="1">IF(AND(Energy!$F$11=$A$3,Main!$B$43=A89),Weight!W26,K89)</f>
        <v>68.19891325853817</v>
      </c>
      <c r="L89" s="103">
        <f ca="1">IF(AND(Energy!$F$11=$A$3,Main!$B$43=A89),'Aerodynamics-Cruise'!BI26,L89)</f>
        <v>68.198912886266484</v>
      </c>
      <c r="M89" s="103">
        <f ca="1">IF(AND(Energy!$F$11=$A$3,Main!$B$43=A89),'Aerodynamics-Cruise'!BJ26,M89)</f>
        <v>3.1195047841767112</v>
      </c>
      <c r="N89" s="103">
        <f ca="1">IF(AND(Energy!$F$11=$A$3,Main!$B$43=A89),'Aerodynamics-Cruise'!BK26,N89)</f>
        <v>21.862095942983238</v>
      </c>
      <c r="O89" s="103">
        <f t="shared" ca="1" si="5"/>
        <v>180.54294479104422</v>
      </c>
      <c r="P89" s="103">
        <f ca="1">IF(AND(Energy!$F$11=$A$3,Main!$B$43=A89),'Aerodynamics-Cruise'!H26,P89)</f>
        <v>9.0528162916763844</v>
      </c>
      <c r="Q89" s="103">
        <f ca="1">IF(AND(Energy!$F$11=$A$3,Main!$B$43=A89),'Aerodynamics-Cruise'!I26,Q89)</f>
        <v>7.6502789074232567</v>
      </c>
      <c r="R89" s="103">
        <f ca="1">IF(AND(Energy!$F$11=$A$3,Main!$B$43=$A89),Summary!R26,R89)</f>
        <v>5.6249941734104736</v>
      </c>
      <c r="S89" s="103">
        <f ca="1">IF(AND(Energy!$F$11=$A$3,Main!$B$43=A89),'Aerodynamics-Cruise'!W26,S89)</f>
        <v>1</v>
      </c>
      <c r="T89" s="103">
        <f ca="1">IF(AND(Energy!$F$11=$A$3,Main!$B$43=A89),'Aerodynamics-Cruise'!BL26,T89)</f>
        <v>28.240303732157354</v>
      </c>
      <c r="U89" s="103">
        <f ca="1">IF(AND(Energy!$F$11=$A$3,Main!$B$43=A89),'Propulsion-Cruise'!M26,U89)</f>
        <v>60.397297651209605</v>
      </c>
      <c r="V89" s="103">
        <f ca="1">IF(AND(Energy!$F$11=$A$3,Main!$B$43=A89),Endurance!AP26,V89)</f>
        <v>579.0814453306707</v>
      </c>
      <c r="W89" s="103">
        <f ca="1">IF(AND(Energy!$F$11=$A$3,Main!$B$43=$A89),Summary!W26,W89)</f>
        <v>1.5280701754385964</v>
      </c>
      <c r="X89" s="13">
        <f ca="1">IF(AND(Energy!$F$11=$A$3,Main!$B$43=A89),Energy!D26,X89)</f>
        <v>405.53219946473303</v>
      </c>
      <c r="Y89" s="102">
        <f ca="1">IF(AND(Energy!$F$11=$A$3,Main!$B$43=A89),'Aerodynamics-Cruise'!V26,Y89)</f>
        <v>165866.93640557441</v>
      </c>
      <c r="Z89" s="102">
        <f ca="1">IF(AND(Energy!$F$11=$A$3,Main!$B$43=$A89),Summary!Z26,Z89)</f>
        <v>124186.97606225312</v>
      </c>
      <c r="AA89" s="102">
        <f ca="1">IF(AND(Energy!$F$11=$A$3,Main!$B$43=$A89),Summary!AA26,AA89)</f>
        <v>124186.97606225312</v>
      </c>
      <c r="AB89" s="103">
        <f ca="1">IF(AND(Energy!$F$11=$A$3,Main!$B$43=$A89),Summary!AB26,AB89)</f>
        <v>5.6249941734104736</v>
      </c>
      <c r="AC89" s="103">
        <f ca="1">IF(AND(Energy!$F$11=$A$3,Main!$B$43=$A89),Summary!AC26,AC89)</f>
        <v>2.0822705847598666</v>
      </c>
      <c r="AD89" s="103">
        <f ca="1">IF(AND(Energy!$F$11=$A$3,Main!$B$43=$A89),Summary!AD26,AD89)</f>
        <v>0.44126390316633618</v>
      </c>
      <c r="AE89" s="103">
        <f ca="1">IF(AND(Energy!$F$11=$A$3,Main!$B$43=$A89),Summary!AE26,AE89)</f>
        <v>1.5280701754385964</v>
      </c>
      <c r="AF89" s="103">
        <f ca="1">IF(AND(Energy!$F$11=$A$3,Main!$B$43=$A89),Summary!AF26,AF89)</f>
        <v>18.309716599190285</v>
      </c>
      <c r="AG89" s="103">
        <f ca="1">IF(AND(Energy!$F$11=$A$3,Main!$B$43=$A89),Summary!AG26,AG89)</f>
        <v>12.024567476623117</v>
      </c>
      <c r="AH89" s="103">
        <f ca="1">IF(AND(Energy!$F$11=$A$3,Main!$B$43=$A89),Summary!AH26,AH89)</f>
        <v>47</v>
      </c>
      <c r="AI89" s="103">
        <f ca="1">IF(AND(Energy!$F$11=$A$3,Main!$B$43=$A89),Summary!AI26,AI89)</f>
        <v>2.7445360849885096</v>
      </c>
      <c r="AJ89" s="103">
        <f ca="1">IF(AND(Energy!$F$11=$A$3,Main!$B$43=$A89),Summary!AJ26,AJ89)</f>
        <v>0.22718245080004904</v>
      </c>
      <c r="AK89" s="103">
        <f ca="1">IF(AND(Energy!$F$11=$A$3,Main!$B$43=$A89),Summary!AK26,AK89)</f>
        <v>0.01</v>
      </c>
      <c r="AL89" s="103">
        <f ca="1">IF(AND(Energy!$F$11=$A$3,Main!$B$43=$A89),Summary!AL26,AL89)</f>
        <v>-0.55021810948590066</v>
      </c>
      <c r="AM89" s="103">
        <f ca="1">IF(AND(Energy!$F$11=$A$3,Main!$B$43=$A89),Summary!AJ106,AM89)</f>
        <v>0</v>
      </c>
    </row>
    <row r="90" spans="1:39">
      <c r="A90">
        <f t="shared" si="6"/>
        <v>5</v>
      </c>
      <c r="D90" s="1">
        <f ca="1">IF(AND(Energy!$F$11=$A$3,Main!$B$43=A90),Main!C27,D90)</f>
        <v>5.4473684210526319</v>
      </c>
      <c r="E90" s="103">
        <f ca="1">IF(AND(Energy!$F$11=$A$3,Main!$B$43=A90),Main!B27,E90)</f>
        <v>0.28888888888888886</v>
      </c>
      <c r="F90" s="103">
        <f ca="1">IF(Main!$D$6=1,U90,IF(Main!$D$6=2,N90,IF(Main!$D$6=3,K90,IF(Main!$D$6=4,V90,J90))))</f>
        <v>576.85693738925397</v>
      </c>
      <c r="G90" s="103">
        <f ca="1">IF(AND(Energy!$F$11=$A$3,Main!$B$43=A90),Weight!H27,G90)</f>
        <v>15</v>
      </c>
      <c r="H90" s="103">
        <f ca="1">IF(AND(Energy!$F$11=$A$3,Main!$B$43=A90),Weight!U27,H90)</f>
        <v>19.328183227584951</v>
      </c>
      <c r="I90" s="103">
        <f ca="1">IF(AND(Energy!$F$11=$A$3,Main!$B$43=A90),Weight!V27,I90)</f>
        <v>53.668764002688675</v>
      </c>
      <c r="J90" s="103">
        <f ca="1">IF(AND(Energy!$F$11=$A$3,Main!$B$43=A90),Weight!I27,J90)</f>
        <v>29.402932500103724</v>
      </c>
      <c r="K90" s="103">
        <f ca="1">IF(AND(Energy!$F$11=$A$3,Main!$B$43=A90),Weight!W27,K90)</f>
        <v>68.668764186671112</v>
      </c>
      <c r="L90" s="103">
        <f ca="1">IF(AND(Energy!$F$11=$A$3,Main!$B$43=A90),'Aerodynamics-Cruise'!BI27,L90)</f>
        <v>68.668763817345436</v>
      </c>
      <c r="M90" s="103">
        <f ca="1">IF(AND(Energy!$F$11=$A$3,Main!$B$43=A90),'Aerodynamics-Cruise'!BJ27,M90)</f>
        <v>3.1228815118917423</v>
      </c>
      <c r="N90" s="103">
        <f ca="1">IF(AND(Energy!$F$11=$A$3,Main!$B$43=A90),'Aerodynamics-Cruise'!BK27,N90)</f>
        <v>21.988911060460978</v>
      </c>
      <c r="O90" s="103">
        <f t="shared" ca="1" si="5"/>
        <v>182.21466934781216</v>
      </c>
      <c r="P90" s="103">
        <f ca="1">IF(AND(Energy!$F$11=$A$3,Main!$B$43=A90),'Aerodynamics-Cruise'!H27,P90)</f>
        <v>8.9512881945494254</v>
      </c>
      <c r="Q90" s="103">
        <f ca="1">IF(AND(Energy!$F$11=$A$3,Main!$B$43=A90),'Aerodynamics-Cruise'!I27,Q90)</f>
        <v>7.5679782071711292</v>
      </c>
      <c r="R90" s="103">
        <f ca="1">IF(AND(Energy!$F$11=$A$3,Main!$B$43=$A90),Summary!R27,R90)</f>
        <v>5.5399556299326189</v>
      </c>
      <c r="S90" s="103">
        <f ca="1">IF(AND(Energy!$F$11=$A$3,Main!$B$43=A90),'Aerodynamics-Cruise'!W27,S90)</f>
        <v>1</v>
      </c>
      <c r="T90" s="103">
        <f ca="1">IF(AND(Energy!$F$11=$A$3,Main!$B$43=A90),'Aerodynamics-Cruise'!BL27,T90)</f>
        <v>27.953812410373214</v>
      </c>
      <c r="U90" s="103">
        <f ca="1">IF(AND(Energy!$F$11=$A$3,Main!$B$43=A90),'Propulsion-Cruise'!M27,U90)</f>
        <v>60.000133783373521</v>
      </c>
      <c r="V90" s="103">
        <f ca="1">IF(AND(Energy!$F$11=$A$3,Main!$B$43=A90),Endurance!AP27,V90)</f>
        <v>576.85693738925397</v>
      </c>
      <c r="W90" s="103">
        <f ca="1">IF(AND(Energy!$F$11=$A$3,Main!$B$43=$A90),Summary!W27,W90)</f>
        <v>1.5736842105263158</v>
      </c>
      <c r="X90" s="13">
        <f ca="1">IF(AND(Energy!$F$11=$A$3,Main!$B$43=A90),Energy!D27,X90)</f>
        <v>405.47159698817842</v>
      </c>
      <c r="Y90" s="102">
        <f ca="1">IF(AND(Energy!$F$11=$A$3,Main!$B$43=A90),'Aerodynamics-Cruise'!V27,Y90)</f>
        <v>164006.72474469934</v>
      </c>
      <c r="Z90" s="102">
        <f ca="1">IF(AND(Energy!$F$11=$A$3,Main!$B$43=$A90),Summary!Z27,Z90)</f>
        <v>122848.77305172732</v>
      </c>
      <c r="AA90" s="102">
        <f ca="1">IF(AND(Energy!$F$11=$A$3,Main!$B$43=$A90),Summary!AA27,AA90)</f>
        <v>122848.77305172732</v>
      </c>
      <c r="AB90" s="103">
        <f ca="1">IF(AND(Energy!$F$11=$A$3,Main!$B$43=$A90),Summary!AB27,AB90)</f>
        <v>5.5399556299326189</v>
      </c>
      <c r="AC90" s="103">
        <f ca="1">IF(AND(Energy!$F$11=$A$3,Main!$B$43=$A90),Summary!AC27,AC90)</f>
        <v>2.050221744328053</v>
      </c>
      <c r="AD90" s="103">
        <f ca="1">IF(AND(Energy!$F$11=$A$3,Main!$B$43=$A90),Summary!AD27,AD90)</f>
        <v>0.4389837698276694</v>
      </c>
      <c r="AE90" s="103">
        <f ca="1">IF(AND(Energy!$F$11=$A$3,Main!$B$43=$A90),Summary!AE27,AE90)</f>
        <v>1.5736842105263158</v>
      </c>
      <c r="AF90" s="103">
        <f ca="1">IF(AND(Energy!$F$11=$A$3,Main!$B$43=$A90),Summary!AF27,AF90)</f>
        <v>18.856275303643727</v>
      </c>
      <c r="AG90" s="103">
        <f ca="1">IF(AND(Energy!$F$11=$A$3,Main!$B$43=$A90),Summary!AG27,AG90)</f>
        <v>11.990193317039676</v>
      </c>
      <c r="AH90" s="103">
        <f ca="1">IF(AND(Energy!$F$11=$A$3,Main!$B$43=$A90),Summary!AH27,AH90)</f>
        <v>47</v>
      </c>
      <c r="AI90" s="103">
        <f ca="1">IF(AND(Energy!$F$11=$A$3,Main!$B$43=$A90),Summary!AI27,AI90)</f>
        <v>2.7419996931929549</v>
      </c>
      <c r="AJ90" s="103">
        <f ca="1">IF(AND(Energy!$F$11=$A$3,Main!$B$43=$A90),Summary!AJ27,AJ90)</f>
        <v>0.22785489441844223</v>
      </c>
      <c r="AK90" s="103">
        <f ca="1">IF(AND(Energy!$F$11=$A$3,Main!$B$43=$A90),Summary!AK27,AK90)</f>
        <v>0.01</v>
      </c>
      <c r="AL90" s="103">
        <f ca="1">IF(AND(Energy!$F$11=$A$3,Main!$B$43=$A90),Summary!AL27,AL90)</f>
        <v>-0.54859429988188102</v>
      </c>
      <c r="AM90" s="103">
        <f ca="1">IF(AND(Energy!$F$11=$A$3,Main!$B$43=$A90),Summary!AJ107,AM90)</f>
        <v>0</v>
      </c>
    </row>
    <row r="91" spans="1:39">
      <c r="A91">
        <f t="shared" si="6"/>
        <v>5</v>
      </c>
      <c r="D91" s="1">
        <f ca="1">IF(AND(Energy!$F$11=$A$3,Main!$B$43=A91),Main!C28,D91)</f>
        <v>5.6052631578947372</v>
      </c>
      <c r="E91" s="103">
        <f ca="1">IF(AND(Energy!$F$11=$A$3,Main!$B$43=A91),Main!B28,E91)</f>
        <v>0.28888888888888886</v>
      </c>
      <c r="F91" s="103">
        <f ca="1">IF(Main!$D$6=1,U91,IF(Main!$D$6=2,N91,IF(Main!$D$6=3,K91,IF(Main!$D$6=4,V91,J91))))</f>
        <v>575.58849785378902</v>
      </c>
      <c r="G91" s="103">
        <f ca="1">IF(AND(Energy!$F$11=$A$3,Main!$B$43=A91),Weight!H28,G91)</f>
        <v>15</v>
      </c>
      <c r="H91" s="103">
        <f ca="1">IF(AND(Energy!$F$11=$A$3,Main!$B$43=A91),Weight!U28,H91)</f>
        <v>19.924796661885573</v>
      </c>
      <c r="I91" s="103">
        <f ca="1">IF(AND(Energy!$F$11=$A$3,Main!$B$43=A91),Weight!V28,I91)</f>
        <v>54.199404573258548</v>
      </c>
      <c r="J91" s="103">
        <f ca="1">IF(AND(Energy!$F$11=$A$3,Main!$B$43=A91),Weight!I28,J91)</f>
        <v>29.336959636372974</v>
      </c>
      <c r="K91" s="103">
        <f ca="1">IF(AND(Energy!$F$11=$A$3,Main!$B$43=A91),Weight!W28,K91)</f>
        <v>69.199404756645023</v>
      </c>
      <c r="L91" s="103">
        <f ca="1">IF(AND(Energy!$F$11=$A$3,Main!$B$43=A91),'Aerodynamics-Cruise'!BI28,L91)</f>
        <v>69.199404388516143</v>
      </c>
      <c r="M91" s="103">
        <f ca="1">IF(AND(Energy!$F$11=$A$3,Main!$B$43=A91),'Aerodynamics-Cruise'!BJ28,M91)</f>
        <v>3.1296650384376012</v>
      </c>
      <c r="N91" s="103">
        <f ca="1">IF(AND(Energy!$F$11=$A$3,Main!$B$43=A91),'Aerodynamics-Cruise'!BK28,N91)</f>
        <v>22.110802126946478</v>
      </c>
      <c r="O91" s="103">
        <f t="shared" ca="1" si="5"/>
        <v>183.93131518362966</v>
      </c>
      <c r="P91" s="103">
        <f ca="1">IF(AND(Energy!$F$11=$A$3,Main!$B$43=A91),'Aerodynamics-Cruise'!H28,P91)</f>
        <v>8.858306879797647</v>
      </c>
      <c r="Q91" s="103">
        <f ca="1">IF(AND(Energy!$F$11=$A$3,Main!$B$43=A91),'Aerodynamics-Cruise'!I28,Q91)</f>
        <v>7.4925718348645738</v>
      </c>
      <c r="R91" s="103">
        <f ca="1">IF(AND(Energy!$F$11=$A$3,Main!$B$43=$A91),Summary!R28,R91)</f>
        <v>5.4700056608195702</v>
      </c>
      <c r="S91" s="103">
        <f ca="1">IF(AND(Energy!$F$11=$A$3,Main!$B$43=A91),'Aerodynamics-Cruise'!W28,S91)</f>
        <v>1</v>
      </c>
      <c r="T91" s="103">
        <f ca="1">IF(AND(Energy!$F$11=$A$3,Main!$B$43=A91),'Aerodynamics-Cruise'!BL28,T91)</f>
        <v>27.723533341453969</v>
      </c>
      <c r="U91" s="103">
        <f ca="1">IF(AND(Energy!$F$11=$A$3,Main!$B$43=A91),'Propulsion-Cruise'!M28,U91)</f>
        <v>59.707729155678763</v>
      </c>
      <c r="V91" s="103">
        <f ca="1">IF(AND(Energy!$F$11=$A$3,Main!$B$43=A91),Endurance!AP28,V91)</f>
        <v>575.58849785378902</v>
      </c>
      <c r="W91" s="103">
        <f ca="1">IF(AND(Energy!$F$11=$A$3,Main!$B$43=$A91),Summary!W28,W91)</f>
        <v>1.619298245614035</v>
      </c>
      <c r="X91" s="13">
        <f ca="1">IF(AND(Energy!$F$11=$A$3,Main!$B$43=A91),Energy!D28,X91)</f>
        <v>405.43499800763999</v>
      </c>
      <c r="Y91" s="102">
        <f ca="1">IF(AND(Energy!$F$11=$A$3,Main!$B$43=A91),'Aerodynamics-Cruise'!V28,Y91)</f>
        <v>162303.10839770461</v>
      </c>
      <c r="Z91" s="102">
        <f ca="1">IF(AND(Energy!$F$11=$A$3,Main!$B$43=$A91),Summary!Z28,Z91)</f>
        <v>121622.69277469971</v>
      </c>
      <c r="AA91" s="102">
        <f ca="1">IF(AND(Energy!$F$11=$A$3,Main!$B$43=$A91),Summary!AA28,AA91)</f>
        <v>121622.69277469971</v>
      </c>
      <c r="AB91" s="103">
        <f ca="1">IF(AND(Energy!$F$11=$A$3,Main!$B$43=$A91),Summary!AB28,AB91)</f>
        <v>5.4700056608195702</v>
      </c>
      <c r="AC91" s="103">
        <f ca="1">IF(AND(Energy!$F$11=$A$3,Main!$B$43=$A91),Summary!AC28,AC91)</f>
        <v>2.0177446432153192</v>
      </c>
      <c r="AD91" s="103">
        <f ca="1">IF(AND(Energy!$F$11=$A$3,Main!$B$43=$A91),Summary!AD28,AD91)</f>
        <v>0.43705365828274456</v>
      </c>
      <c r="AE91" s="103">
        <f ca="1">IF(AND(Energy!$F$11=$A$3,Main!$B$43=$A91),Summary!AE28,AE91)</f>
        <v>1.619298245614035</v>
      </c>
      <c r="AF91" s="103">
        <f ca="1">IF(AND(Energy!$F$11=$A$3,Main!$B$43=$A91),Summary!AF28,AF91)</f>
        <v>19.40283400809717</v>
      </c>
      <c r="AG91" s="103">
        <f ca="1">IF(AND(Energy!$F$11=$A$3,Main!$B$43=$A91),Summary!AG28,AG91)</f>
        <v>11.967723851477027</v>
      </c>
      <c r="AH91" s="103">
        <f ca="1">IF(AND(Energy!$F$11=$A$3,Main!$B$43=$A91),Summary!AH28,AH91)</f>
        <v>47</v>
      </c>
      <c r="AI91" s="103">
        <f ca="1">IF(AND(Energy!$F$11=$A$3,Main!$B$43=$A91),Summary!AI28,AI91)</f>
        <v>2.7396537618648815</v>
      </c>
      <c r="AJ91" s="103">
        <f ca="1">IF(AND(Energy!$F$11=$A$3,Main!$B$43=$A91),Summary!AJ28,AJ91)</f>
        <v>0.22848131353411413</v>
      </c>
      <c r="AK91" s="103">
        <f ca="1">IF(AND(Energy!$F$11=$A$3,Main!$B$43=$A91),Summary!AK28,AK91)</f>
        <v>0.01</v>
      </c>
      <c r="AL91" s="103">
        <f ca="1">IF(AND(Energy!$F$11=$A$3,Main!$B$43=$A91),Summary!AL28,AL91)</f>
        <v>-0.5470902279086054</v>
      </c>
      <c r="AM91" s="103">
        <f ca="1">IF(AND(Energy!$F$11=$A$3,Main!$B$43=$A91),Summary!AJ108,AM91)</f>
        <v>0</v>
      </c>
    </row>
    <row r="92" spans="1:39">
      <c r="A92">
        <f t="shared" si="6"/>
        <v>5</v>
      </c>
      <c r="D92" s="1">
        <f ca="1">IF(AND(Energy!$F$11=$A$3,Main!$B$43=A92),Main!C29,D92)</f>
        <v>5.7631578947368425</v>
      </c>
      <c r="E92" s="103">
        <f ca="1">IF(AND(Energy!$F$11=$A$3,Main!$B$43=A92),Main!B29,E92)</f>
        <v>0.28888888888888886</v>
      </c>
      <c r="F92" s="103">
        <f ca="1">IF(Main!$D$6=1,U92,IF(Main!$D$6=2,N92,IF(Main!$D$6=3,K92,IF(Main!$D$6=4,V92,J92))))</f>
        <v>575.1740932419392</v>
      </c>
      <c r="G92" s="103">
        <f ca="1">IF(AND(Energy!$F$11=$A$3,Main!$B$43=A92),Weight!H29,G92)</f>
        <v>15</v>
      </c>
      <c r="H92" s="103">
        <f ca="1">IF(AND(Energy!$F$11=$A$3,Main!$B$43=A92),Weight!U29,H92)</f>
        <v>20.538746238234737</v>
      </c>
      <c r="I92" s="103">
        <f ca="1">IF(AND(Energy!$F$11=$A$3,Main!$B$43=A92),Weight!V29,I92)</f>
        <v>54.786007818599273</v>
      </c>
      <c r="J92" s="103">
        <f ca="1">IF(AND(Energy!$F$11=$A$3,Main!$B$43=A92),Weight!I29,J92)</f>
        <v>29.309613305364532</v>
      </c>
      <c r="K92" s="103">
        <f ca="1">IF(AND(Energy!$F$11=$A$3,Main!$B$43=A92),Weight!W29,K92)</f>
        <v>69.786008002150936</v>
      </c>
      <c r="L92" s="103">
        <f ca="1">IF(AND(Energy!$F$11=$A$3,Main!$B$43=A92),'Aerodynamics-Cruise'!BI29,L92)</f>
        <v>69.786007633690701</v>
      </c>
      <c r="M92" s="103">
        <f ca="1">IF(AND(Energy!$F$11=$A$3,Main!$B$43=A92),'Aerodynamics-Cruise'!BJ29,M92)</f>
        <v>3.1395071511916779</v>
      </c>
      <c r="N92" s="103">
        <f ca="1">IF(AND(Energy!$F$11=$A$3,Main!$B$43=A92),'Aerodynamics-Cruise'!BK29,N92)</f>
        <v>22.228332114867676</v>
      </c>
      <c r="O92" s="103">
        <f t="shared" ca="1" si="5"/>
        <v>185.6910849831375</v>
      </c>
      <c r="P92" s="103">
        <f ca="1">IF(AND(Energy!$F$11=$A$3,Main!$B$43=A92),'Aerodynamics-Cruise'!H29,P92)</f>
        <v>8.7730348306514454</v>
      </c>
      <c r="Q92" s="103">
        <f ca="1">IF(AND(Energy!$F$11=$A$3,Main!$B$43=A92),'Aerodynamics-Cruise'!I29,Q92)</f>
        <v>7.4233888181147414</v>
      </c>
      <c r="R92" s="103">
        <f ca="1">IF(AND(Energy!$F$11=$A$3,Main!$B$43=$A92),Summary!R29,R92)</f>
        <v>5.4133734938020268</v>
      </c>
      <c r="S92" s="103">
        <f ca="1">IF(AND(Energy!$F$11=$A$3,Main!$B$43=A92),'Aerodynamics-Cruise'!W29,S92)</f>
        <v>1</v>
      </c>
      <c r="T92" s="103">
        <f ca="1">IF(AND(Energy!$F$11=$A$3,Main!$B$43=A92),'Aerodynamics-Cruise'!BL29,T92)</f>
        <v>27.543005588483883</v>
      </c>
      <c r="U92" s="103">
        <f ca="1">IF(AND(Energy!$F$11=$A$3,Main!$B$43=A92),'Propulsion-Cruise'!M29,U92)</f>
        <v>59.508518356031587</v>
      </c>
      <c r="V92" s="103">
        <f ca="1">IF(AND(Energy!$F$11=$A$3,Main!$B$43=A92),Endurance!AP29,V92)</f>
        <v>575.1740932419392</v>
      </c>
      <c r="W92" s="103">
        <f ca="1">IF(AND(Energy!$F$11=$A$3,Main!$B$43=$A92),Summary!W29,W92)</f>
        <v>1.6649122807017542</v>
      </c>
      <c r="X92" s="13">
        <f ca="1">IF(AND(Energy!$F$11=$A$3,Main!$B$43=A92),Energy!D29,X92)</f>
        <v>405.41982740900744</v>
      </c>
      <c r="Y92" s="102">
        <f ca="1">IF(AND(Energy!$F$11=$A$3,Main!$B$43=A92),'Aerodynamics-Cruise'!V29,Y92)</f>
        <v>160740.74226796106</v>
      </c>
      <c r="Z92" s="102">
        <f ca="1">IF(AND(Energy!$F$11=$A$3,Main!$B$43=$A92),Summary!Z29,Z92)</f>
        <v>120497.82024185448</v>
      </c>
      <c r="AA92" s="102">
        <f ca="1">IF(AND(Energy!$F$11=$A$3,Main!$B$43=$A92),Summary!AA29,AA92)</f>
        <v>120497.82024185448</v>
      </c>
      <c r="AB92" s="103">
        <f ca="1">IF(AND(Energy!$F$11=$A$3,Main!$B$43=$A92),Summary!AB29,AB92)</f>
        <v>5.4133734938020268</v>
      </c>
      <c r="AC92" s="103">
        <f ca="1">IF(AND(Energy!$F$11=$A$3,Main!$B$43=$A92),Summary!AC29,AC92)</f>
        <v>1.9850132053552239</v>
      </c>
      <c r="AD92" s="103">
        <f ca="1">IF(AND(Energy!$F$11=$A$3,Main!$B$43=$A92),Summary!AD29,AD92)</f>
        <v>0.43543863960294071</v>
      </c>
      <c r="AE92" s="103">
        <f ca="1">IF(AND(Energy!$F$11=$A$3,Main!$B$43=$A92),Summary!AE29,AE92)</f>
        <v>1.6649122807017542</v>
      </c>
      <c r="AF92" s="103">
        <f ca="1">IF(AND(Energy!$F$11=$A$3,Main!$B$43=$A92),Summary!AF29,AF92)</f>
        <v>19.949392712550612</v>
      </c>
      <c r="AG92" s="103">
        <f ca="1">IF(AND(Energy!$F$11=$A$3,Main!$B$43=$A92),Summary!AG29,AG92)</f>
        <v>11.955896233077015</v>
      </c>
      <c r="AH92" s="103">
        <f ca="1">IF(AND(Energy!$F$11=$A$3,Main!$B$43=$A92),Summary!AH29,AH92)</f>
        <v>47</v>
      </c>
      <c r="AI92" s="103">
        <f ca="1">IF(AND(Energy!$F$11=$A$3,Main!$B$43=$A92),Summary!AI29,AI92)</f>
        <v>2.7374825424160503</v>
      </c>
      <c r="AJ92" s="103">
        <f ca="1">IF(AND(Energy!$F$11=$A$3,Main!$B$43=$A92),Summary!AJ29,AJ92)</f>
        <v>0.22906524135511241</v>
      </c>
      <c r="AK92" s="103">
        <f ca="1">IF(AND(Energy!$F$11=$A$3,Main!$B$43=$A92),Summary!AK29,AK92)</f>
        <v>0.01</v>
      </c>
      <c r="AL92" s="103">
        <f ca="1">IF(AND(Energy!$F$11=$A$3,Main!$B$43=$A92),Summary!AL29,AL92)</f>
        <v>-0.54569558746250835</v>
      </c>
      <c r="AM92" s="103">
        <f ca="1">IF(AND(Energy!$F$11=$A$3,Main!$B$43=$A92),Summary!AJ109,AM92)</f>
        <v>0</v>
      </c>
    </row>
    <row r="93" spans="1:39">
      <c r="A93">
        <f t="shared" si="6"/>
        <v>5</v>
      </c>
      <c r="D93" s="1">
        <f ca="1">IF(AND(Energy!$F$11=$A$3,Main!$B$43=A93),Main!C30,D93)</f>
        <v>5.9210526315789478</v>
      </c>
      <c r="E93" s="103">
        <f ca="1">IF(AND(Energy!$F$11=$A$3,Main!$B$43=A93),Main!B30,E93)</f>
        <v>0.28888888888888886</v>
      </c>
      <c r="F93" s="103">
        <f ca="1">IF(Main!$D$6=1,U93,IF(Main!$D$6=2,N93,IF(Main!$D$6=3,K93,IF(Main!$D$6=4,V93,J93))))</f>
        <v>575.52892202930889</v>
      </c>
      <c r="G93" s="103">
        <f ca="1">IF(AND(Energy!$F$11=$A$3,Main!$B$43=A93),Weight!H30,G93)</f>
        <v>15</v>
      </c>
      <c r="H93" s="103">
        <f ca="1">IF(AND(Energy!$F$11=$A$3,Main!$B$43=A93),Weight!U30,H93)</f>
        <v>21.169911893335666</v>
      </c>
      <c r="I93" s="103">
        <f ca="1">IF(AND(Energy!$F$11=$A$3,Main!$B$43=A93),Weight!V30,I93)</f>
        <v>55.424595731003166</v>
      </c>
      <c r="J93" s="103">
        <f ca="1">IF(AND(Energy!$F$11=$A$3,Main!$B$43=A93),Weight!I30,J93)</f>
        <v>29.317035562667499</v>
      </c>
      <c r="K93" s="103">
        <f ca="1">IF(AND(Energy!$F$11=$A$3,Main!$B$43=A93),Weight!W30,K93)</f>
        <v>70.4245959153982</v>
      </c>
      <c r="L93" s="103">
        <f ca="1">IF(AND(Energy!$F$11=$A$3,Main!$B$43=A93),'Aerodynamics-Cruise'!BI30,L93)</f>
        <v>70.424595545245296</v>
      </c>
      <c r="M93" s="103">
        <f ca="1">IF(AND(Energy!$F$11=$A$3,Main!$B$43=A93),'Aerodynamics-Cruise'!BJ30,M93)</f>
        <v>3.1521146912257341</v>
      </c>
      <c r="N93" s="103">
        <f ca="1">IF(AND(Energy!$F$11=$A$3,Main!$B$43=A93),'Aerodynamics-Cruise'!BK30,N93)</f>
        <v>22.34201558124775</v>
      </c>
      <c r="O93" s="103">
        <f t="shared" ca="1" si="5"/>
        <v>187.49277247927316</v>
      </c>
      <c r="P93" s="103">
        <f ca="1">IF(AND(Energy!$F$11=$A$3,Main!$B$43=A93),'Aerodynamics-Cruise'!H30,P93)</f>
        <v>8.6947514593450865</v>
      </c>
      <c r="Q93" s="103">
        <f ca="1">IF(AND(Energy!$F$11=$A$3,Main!$B$43=A93),'Aerodynamics-Cruise'!I30,Q93)</f>
        <v>7.3598514507386463</v>
      </c>
      <c r="R93" s="103">
        <f ca="1">IF(AND(Energy!$F$11=$A$3,Main!$B$43=$A93),Summary!R30,R93)</f>
        <v>5.3686056777453084</v>
      </c>
      <c r="S93" s="103">
        <f ca="1">IF(AND(Energy!$F$11=$A$3,Main!$B$43=A93),'Aerodynamics-Cruise'!W30,S93)</f>
        <v>1</v>
      </c>
      <c r="T93" s="103">
        <f ca="1">IF(AND(Energy!$F$11=$A$3,Main!$B$43=A93),'Aerodynamics-Cruise'!BL30,T93)</f>
        <v>27.406853811558037</v>
      </c>
      <c r="U93" s="103">
        <f ca="1">IF(AND(Energy!$F$11=$A$3,Main!$B$43=A93),'Propulsion-Cruise'!M30,U93)</f>
        <v>59.392877045546236</v>
      </c>
      <c r="V93" s="103">
        <f ca="1">IF(AND(Energy!$F$11=$A$3,Main!$B$43=A93),Endurance!AP30,V93)</f>
        <v>575.52892202930889</v>
      </c>
      <c r="W93" s="103">
        <f ca="1">IF(AND(Energy!$F$11=$A$3,Main!$B$43=$A93),Summary!W30,W93)</f>
        <v>1.7105263157894737</v>
      </c>
      <c r="X93" s="13">
        <f ca="1">IF(AND(Energy!$F$11=$A$3,Main!$B$43=A93),Energy!D30,X93)</f>
        <v>405.42394496636246</v>
      </c>
      <c r="Y93" s="102">
        <f ca="1">IF(AND(Energy!$F$11=$A$3,Main!$B$43=A93),'Aerodynamics-Cruise'!V30,Y93)</f>
        <v>159306.42364801682</v>
      </c>
      <c r="Z93" s="102">
        <f ca="1">IF(AND(Energy!$F$11=$A$3,Main!$B$43=$A93),Summary!Z30,Z93)</f>
        <v>119464.75792591734</v>
      </c>
      <c r="AA93" s="102">
        <f ca="1">IF(AND(Energy!$F$11=$A$3,Main!$B$43=$A93),Summary!AA30,AA93)</f>
        <v>119464.75792591734</v>
      </c>
      <c r="AB93" s="103">
        <f ca="1">IF(AND(Energy!$F$11=$A$3,Main!$B$43=$A93),Summary!AB30,AB93)</f>
        <v>5.3686056777453084</v>
      </c>
      <c r="AC93" s="103">
        <f ca="1">IF(AND(Energy!$F$11=$A$3,Main!$B$43=$A93),Summary!AC30,AC93)</f>
        <v>1.9521682187834799</v>
      </c>
      <c r="AD93" s="103">
        <f ca="1">IF(AND(Energy!$F$11=$A$3,Main!$B$43=$A93),Summary!AD30,AD93)</f>
        <v>0.43410881349998059</v>
      </c>
      <c r="AE93" s="103">
        <f ca="1">IF(AND(Energy!$F$11=$A$3,Main!$B$43=$A93),Summary!AE30,AE93)</f>
        <v>1.7105263157894737</v>
      </c>
      <c r="AF93" s="103">
        <f ca="1">IF(AND(Energy!$F$11=$A$3,Main!$B$43=$A93),Summary!AF30,AF93)</f>
        <v>20.495951417004051</v>
      </c>
      <c r="AG93" s="103">
        <f ca="1">IF(AND(Energy!$F$11=$A$3,Main!$B$43=$A93),Summary!AG30,AG93)</f>
        <v>11.953646333997744</v>
      </c>
      <c r="AH93" s="103">
        <f ca="1">IF(AND(Energy!$F$11=$A$3,Main!$B$43=$A93),Summary!AH30,AH93)</f>
        <v>47</v>
      </c>
      <c r="AI93" s="103">
        <f ca="1">IF(AND(Energy!$F$11=$A$3,Main!$B$43=$A93),Summary!AI30,AI93)</f>
        <v>2.7354722577083868</v>
      </c>
      <c r="AJ93" s="103">
        <f ca="1">IF(AND(Energy!$F$11=$A$3,Main!$B$43=$A93),Summary!AJ30,AJ93)</f>
        <v>0.22960981445074086</v>
      </c>
      <c r="AK93" s="103">
        <f ca="1">IF(AND(Energy!$F$11=$A$3,Main!$B$43=$A93),Summary!AK30,AK93)</f>
        <v>0.01</v>
      </c>
      <c r="AL93" s="103">
        <f ca="1">IF(AND(Energy!$F$11=$A$3,Main!$B$43=$A93),Summary!AL30,AL93)</f>
        <v>-0.54440133254009027</v>
      </c>
      <c r="AM93" s="103">
        <f ca="1">IF(AND(Energy!$F$11=$A$3,Main!$B$43=$A93),Summary!AJ110,AM93)</f>
        <v>0</v>
      </c>
    </row>
    <row r="94" spans="1:39">
      <c r="A94">
        <f t="shared" si="6"/>
        <v>5</v>
      </c>
      <c r="D94" s="1">
        <f ca="1">IF(AND(Energy!$F$11=$A$3,Main!$B$43=A94),Main!C31,D94)</f>
        <v>6.0789473684210531</v>
      </c>
      <c r="E94" s="103">
        <f ca="1">IF(AND(Energy!$F$11=$A$3,Main!$B$43=A94),Main!B31,E94)</f>
        <v>0.28888888888888886</v>
      </c>
      <c r="F94" s="103">
        <f ca="1">IF(Main!$D$6=1,U94,IF(Main!$D$6=2,N94,IF(Main!$D$6=3,K94,IF(Main!$D$6=4,V94,J94))))</f>
        <v>576.58198933023539</v>
      </c>
      <c r="G94" s="103">
        <f ca="1">IF(AND(Energy!$F$11=$A$3,Main!$B$43=A94),Weight!H31,G94)</f>
        <v>15</v>
      </c>
      <c r="H94" s="103">
        <f ca="1">IF(AND(Energy!$F$11=$A$3,Main!$B$43=A94),Weight!U31,H94)</f>
        <v>21.818226564493258</v>
      </c>
      <c r="I94" s="103">
        <f ca="1">IF(AND(Energy!$F$11=$A$3,Main!$B$43=A94),Weight!V31,I94)</f>
        <v>56.111871342555503</v>
      </c>
      <c r="J94" s="103">
        <f ca="1">IF(AND(Energy!$F$11=$A$3,Main!$B$43=A94),Weight!I31,J94)</f>
        <v>29.355996503062247</v>
      </c>
      <c r="K94" s="103">
        <f ca="1">IF(AND(Energy!$F$11=$A$3,Main!$B$43=A94),Weight!W31,K94)</f>
        <v>71.111871528408969</v>
      </c>
      <c r="L94" s="103">
        <f ca="1">IF(AND(Energy!$F$11=$A$3,Main!$B$43=A94),'Aerodynamics-Cruise'!BI31,L94)</f>
        <v>71.111871155328615</v>
      </c>
      <c r="M94" s="103">
        <f ca="1">IF(AND(Energy!$F$11=$A$3,Main!$B$43=A94),'Aerodynamics-Cruise'!BJ31,M94)</f>
        <v>3.1672390682832985</v>
      </c>
      <c r="N94" s="103">
        <f ca="1">IF(AND(Energy!$F$11=$A$3,Main!$B$43=A94),'Aerodynamics-Cruise'!BK31,N94)</f>
        <v>22.452321918936342</v>
      </c>
      <c r="O94" s="103">
        <f t="shared" ca="1" si="5"/>
        <v>189.33561454137472</v>
      </c>
      <c r="P94" s="103">
        <f ca="1">IF(AND(Energy!$F$11=$A$3,Main!$B$43=A94),'Aerodynamics-Cruise'!H31,P94)</f>
        <v>8.6228323824705093</v>
      </c>
      <c r="Q94" s="103">
        <f ca="1">IF(AND(Energy!$F$11=$A$3,Main!$B$43=A94),'Aerodynamics-Cruise'!I31,Q94)</f>
        <v>7.3014588055877327</v>
      </c>
      <c r="R94" s="103">
        <f ca="1">IF(AND(Energy!$F$11=$A$3,Main!$B$43=$A94),Summary!R31,R94)</f>
        <v>5.3345000448379061</v>
      </c>
      <c r="S94" s="103">
        <f ca="1">IF(AND(Energy!$F$11=$A$3,Main!$B$43=A94),'Aerodynamics-Cruise'!W31,S94)</f>
        <v>1</v>
      </c>
      <c r="T94" s="103">
        <f ca="1">IF(AND(Energy!$F$11=$A$3,Main!$B$43=A94),'Aerodynamics-Cruise'!BL31,T94)</f>
        <v>27.31057160101895</v>
      </c>
      <c r="U94" s="103">
        <f ca="1">IF(AND(Energy!$F$11=$A$3,Main!$B$43=A94),'Propulsion-Cruise'!M31,U94)</f>
        <v>59.352735907038443</v>
      </c>
      <c r="V94" s="103">
        <f ca="1">IF(AND(Energy!$F$11=$A$3,Main!$B$43=A94),Endurance!AP31,V94)</f>
        <v>576.58198933023539</v>
      </c>
      <c r="W94" s="103">
        <f ca="1">IF(AND(Energy!$F$11=$A$3,Main!$B$43=$A94),Summary!W31,W94)</f>
        <v>1.7561403508771929</v>
      </c>
      <c r="X94" s="13">
        <f ca="1">IF(AND(Energy!$F$11=$A$3,Main!$B$43=A94),Energy!D31,X94)</f>
        <v>405.44555886361945</v>
      </c>
      <c r="Y94" s="102">
        <f ca="1">IF(AND(Energy!$F$11=$A$3,Main!$B$43=A94),'Aerodynamics-Cruise'!V31,Y94)</f>
        <v>157988.71249979976</v>
      </c>
      <c r="Z94" s="102">
        <f ca="1">IF(AND(Energy!$F$11=$A$3,Main!$B$43=$A94),Summary!Z31,Z94)</f>
        <v>118515.35748413694</v>
      </c>
      <c r="AA94" s="102">
        <f ca="1">IF(AND(Energy!$F$11=$A$3,Main!$B$43=$A94),Summary!AA31,AA94)</f>
        <v>118515.35748413694</v>
      </c>
      <c r="AB94" s="103">
        <f ca="1">IF(AND(Energy!$F$11=$A$3,Main!$B$43=$A94),Summary!AB31,AB94)</f>
        <v>5.3345000448379061</v>
      </c>
      <c r="AC94" s="103">
        <f ca="1">IF(AND(Energy!$F$11=$A$3,Main!$B$43=$A94),Summary!AC31,AC94)</f>
        <v>1.9193239382229963</v>
      </c>
      <c r="AD94" s="103">
        <f ca="1">IF(AND(Energy!$F$11=$A$3,Main!$B$43=$A94),Summary!AD31,AD94)</f>
        <v>0.43303840198650223</v>
      </c>
      <c r="AE94" s="103">
        <f ca="1">IF(AND(Energy!$F$11=$A$3,Main!$B$43=$A94),Summary!AE31,AE94)</f>
        <v>1.7561403508771929</v>
      </c>
      <c r="AF94" s="103">
        <f ca="1">IF(AND(Energy!$F$11=$A$3,Main!$B$43=$A94),Summary!AF31,AF94)</f>
        <v>21.042510121457493</v>
      </c>
      <c r="AG94" s="103">
        <f ca="1">IF(AND(Energy!$F$11=$A$3,Main!$B$43=$A94),Summary!AG31,AG94)</f>
        <v>11.960070891721401</v>
      </c>
      <c r="AH94" s="103">
        <f ca="1">IF(AND(Energy!$F$11=$A$3,Main!$B$43=$A94),Summary!AH31,AH94)</f>
        <v>47</v>
      </c>
      <c r="AI94" s="103">
        <f ca="1">IF(AND(Energy!$F$11=$A$3,Main!$B$43=$A94),Summary!AI31,AI94)</f>
        <v>2.7336107729414647</v>
      </c>
      <c r="AJ94" s="103">
        <f ca="1">IF(AND(Energy!$F$11=$A$3,Main!$B$43=$A94),Summary!AJ31,AJ94)</f>
        <v>0.23011783193253044</v>
      </c>
      <c r="AK94" s="103">
        <f ca="1">IF(AND(Energy!$F$11=$A$3,Main!$B$43=$A94),Summary!AK31,AK94)</f>
        <v>0.01</v>
      </c>
      <c r="AL94" s="103">
        <f ca="1">IF(AND(Energy!$F$11=$A$3,Main!$B$43=$A94),Summary!AL31,AL94)</f>
        <v>-0.54319947898544163</v>
      </c>
      <c r="AM94" s="103">
        <f ca="1">IF(AND(Energy!$F$11=$A$3,Main!$B$43=$A94),Summary!AJ111,AM94)</f>
        <v>0</v>
      </c>
    </row>
    <row r="95" spans="1:39">
      <c r="A95">
        <f t="shared" si="6"/>
        <v>5</v>
      </c>
      <c r="D95" s="1">
        <f ca="1">IF(AND(Energy!$F$11=$A$3,Main!$B$43=A95),Main!C32,D95)</f>
        <v>6.2368421052631584</v>
      </c>
      <c r="E95" s="103">
        <f ca="1">IF(AND(Energy!$F$11=$A$3,Main!$B$43=A95),Main!B32,E95)</f>
        <v>0.28888888888888886</v>
      </c>
      <c r="F95" s="103">
        <f ca="1">IF(Main!$D$6=1,U95,IF(Main!$D$6=2,N95,IF(Main!$D$6=3,K95,IF(Main!$D$6=4,V95,J95))))</f>
        <v>578.27347541936797</v>
      </c>
      <c r="G95" s="103">
        <f ca="1">IF(AND(Energy!$F$11=$A$3,Main!$B$43=A95),Weight!H32,G95)</f>
        <v>15</v>
      </c>
      <c r="H95" s="103">
        <f ca="1">IF(AND(Energy!$F$11=$A$3,Main!$B$43=A95),Weight!U32,H95)</f>
        <v>22.483666861226865</v>
      </c>
      <c r="I95" s="103">
        <f ca="1">IF(AND(Energy!$F$11=$A$3,Main!$B$43=A95),Weight!V32,I95)</f>
        <v>56.845089646835049</v>
      </c>
      <c r="J95" s="103">
        <f ca="1">IF(AND(Energy!$F$11=$A$3,Main!$B$43=A95),Weight!I32,J95)</f>
        <v>29.423774510608187</v>
      </c>
      <c r="K95" s="103">
        <f ca="1">IF(AND(Energy!$F$11=$A$3,Main!$B$43=A95),Weight!W32,K95)</f>
        <v>71.84508983471423</v>
      </c>
      <c r="L95" s="103">
        <f ca="1">IF(AND(Energy!$F$11=$A$3,Main!$B$43=A95),'Aerodynamics-Cruise'!BI32,L95)</f>
        <v>71.845089457567724</v>
      </c>
      <c r="M95" s="103">
        <f ca="1">IF(AND(Energy!$F$11=$A$3,Main!$B$43=A95),'Aerodynamics-Cruise'!BJ32,M95)</f>
        <v>3.1846681188580517</v>
      </c>
      <c r="N95" s="103">
        <f ca="1">IF(AND(Energy!$F$11=$A$3,Main!$B$43=A95),'Aerodynamics-Cruise'!BK32,N95)</f>
        <v>22.559678678018642</v>
      </c>
      <c r="O95" s="103">
        <f t="shared" ca="1" si="5"/>
        <v>191.21918134859786</v>
      </c>
      <c r="P95" s="103">
        <f ca="1">IF(AND(Energy!$F$11=$A$3,Main!$B$43=A95),'Aerodynamics-Cruise'!H32,P95)</f>
        <v>8.5567330997936484</v>
      </c>
      <c r="Q95" s="103">
        <f ca="1">IF(AND(Energy!$F$11=$A$3,Main!$B$43=A95),'Aerodynamics-Cruise'!I32,Q95)</f>
        <v>7.2477737443712451</v>
      </c>
      <c r="R95" s="103">
        <f ca="1">IF(AND(Energy!$F$11=$A$3,Main!$B$43=$A95),Summary!R32,R95)</f>
        <v>5.3100556538755477</v>
      </c>
      <c r="S95" s="103">
        <f ca="1">IF(AND(Energy!$F$11=$A$3,Main!$B$43=A95),'Aerodynamics-Cruise'!W32,S95)</f>
        <v>1</v>
      </c>
      <c r="T95" s="103">
        <f ca="1">IF(AND(Energy!$F$11=$A$3,Main!$B$43=A95),'Aerodynamics-Cruise'!BL32,T95)</f>
        <v>27.250355104490264</v>
      </c>
      <c r="U95" s="103">
        <f ca="1">IF(AND(Energy!$F$11=$A$3,Main!$B$43=A95),'Propulsion-Cruise'!M32,U95)</f>
        <v>59.381284068296672</v>
      </c>
      <c r="V95" s="103">
        <f ca="1">IF(AND(Energy!$F$11=$A$3,Main!$B$43=A95),Endurance!AP32,V95)</f>
        <v>578.27347541936797</v>
      </c>
      <c r="W95" s="103">
        <f ca="1">IF(AND(Energy!$F$11=$A$3,Main!$B$43=$A95),Summary!W32,W95)</f>
        <v>1.8017543859649123</v>
      </c>
      <c r="X95" s="13">
        <f ca="1">IF(AND(Energy!$F$11=$A$3,Main!$B$43=A95),Energy!D32,X95)</f>
        <v>405.48315926229026</v>
      </c>
      <c r="Y95" s="102">
        <f ca="1">IF(AND(Energy!$F$11=$A$3,Main!$B$43=A95),'Aerodynamics-Cruise'!V32,Y95)</f>
        <v>156777.63241566089</v>
      </c>
      <c r="Z95" s="102">
        <f ca="1">IF(AND(Energy!$F$11=$A$3,Main!$B$43=$A95),Summary!Z32,Z95)</f>
        <v>117642.50838735976</v>
      </c>
      <c r="AA95" s="102">
        <f ca="1">IF(AND(Energy!$F$11=$A$3,Main!$B$43=$A95),Summary!AA32,AA95)</f>
        <v>117642.50838735976</v>
      </c>
      <c r="AB95" s="103">
        <f ca="1">IF(AND(Energy!$F$11=$A$3,Main!$B$43=$A95),Summary!AB32,AB95)</f>
        <v>5.3100556538755477</v>
      </c>
      <c r="AC95" s="103">
        <f ca="1">IF(AND(Energy!$F$11=$A$3,Main!$B$43=$A95),Summary!AC32,AC95)</f>
        <v>1.8865732288428783</v>
      </c>
      <c r="AD95" s="103">
        <f ca="1">IF(AND(Energy!$F$11=$A$3,Main!$B$43=$A95),Summary!AD32,AD95)</f>
        <v>0.4322050377126691</v>
      </c>
      <c r="AE95" s="103">
        <f ca="1">IF(AND(Energy!$F$11=$A$3,Main!$B$43=$A95),Summary!AE32,AE95)</f>
        <v>1.8017543859649123</v>
      </c>
      <c r="AF95" s="103">
        <f ca="1">IF(AND(Energy!$F$11=$A$3,Main!$B$43=$A95),Summary!AF32,AF95)</f>
        <v>21.589068825910935</v>
      </c>
      <c r="AG95" s="103">
        <f ca="1">IF(AND(Energy!$F$11=$A$3,Main!$B$43=$A95),Summary!AG32,AG95)</f>
        <v>11.974398110543211</v>
      </c>
      <c r="AH95" s="103">
        <f ca="1">IF(AND(Energy!$F$11=$A$3,Main!$B$43=$A95),Summary!AH32,AH95)</f>
        <v>47</v>
      </c>
      <c r="AI95" s="103">
        <f ca="1">IF(AND(Energy!$F$11=$A$3,Main!$B$43=$A95),Summary!AI32,AI95)</f>
        <v>2.7318873338200396</v>
      </c>
      <c r="AJ95" s="103">
        <f ca="1">IF(AND(Energy!$F$11=$A$3,Main!$B$43=$A95),Summary!AJ32,AJ95)</f>
        <v>0.23059180372779456</v>
      </c>
      <c r="AK95" s="103">
        <f ca="1">IF(AND(Energy!$F$11=$A$3,Main!$B$43=$A95),Summary!AK32,AK95)</f>
        <v>0.01</v>
      </c>
      <c r="AL95" s="103">
        <f ca="1">IF(AND(Energy!$F$11=$A$3,Main!$B$43=$A95),Summary!AL32,AL95)</f>
        <v>-0.54208294403434065</v>
      </c>
      <c r="AM95" s="103">
        <f ca="1">IF(AND(Energy!$F$11=$A$3,Main!$B$43=$A95),Summary!AJ112,AM95)</f>
        <v>0</v>
      </c>
    </row>
    <row r="96" spans="1:39">
      <c r="A96">
        <f t="shared" si="6"/>
        <v>5</v>
      </c>
      <c r="D96" s="1">
        <f ca="1">IF(AND(Energy!$F$11=$A$3,Main!$B$43=A96),Main!C33,D96)</f>
        <v>6.3947368421052637</v>
      </c>
      <c r="E96" s="103">
        <f ca="1">IF(AND(Energy!$F$11=$A$3,Main!$B$43=A96),Main!B33,E96)</f>
        <v>0.28888888888888886</v>
      </c>
      <c r="F96" s="103">
        <f ca="1">IF(Main!$D$6=1,U96,IF(Main!$D$6=2,N96,IF(Main!$D$6=3,K96,IF(Main!$D$6=4,V96,J96))))</f>
        <v>580.55268985871021</v>
      </c>
      <c r="G96" s="103">
        <f ca="1">IF(AND(Energy!$F$11=$A$3,Main!$B$43=A96),Weight!H33,G96)</f>
        <v>15</v>
      </c>
      <c r="H96" s="103">
        <f ca="1">IF(AND(Energy!$F$11=$A$3,Main!$B$43=A96),Weight!U33,H96)</f>
        <v>23.166245745816667</v>
      </c>
      <c r="I96" s="103">
        <f ca="1">IF(AND(Energy!$F$11=$A$3,Main!$B$43=A96),Weight!V33,I96)</f>
        <v>57.621957184630389</v>
      </c>
      <c r="J96" s="103">
        <f ca="1">IF(AND(Energy!$F$11=$A$3,Main!$B$43=A96),Weight!I33,J96)</f>
        <v>29.518063163813725</v>
      </c>
      <c r="K96" s="103">
        <f ca="1">IF(AND(Energy!$F$11=$A$3,Main!$B$43=A96),Weight!W33,K96)</f>
        <v>72.621957375066472</v>
      </c>
      <c r="L96" s="103">
        <f ca="1">IF(AND(Energy!$F$11=$A$3,Main!$B$43=A96),'Aerodynamics-Cruise'!BI33,L96)</f>
        <v>72.621956992787318</v>
      </c>
      <c r="M96" s="103">
        <f ca="1">IF(AND(Energy!$F$11=$A$3,Main!$B$43=A96),'Aerodynamics-Cruise'!BJ33,M96)</f>
        <v>3.2042197105131058</v>
      </c>
      <c r="N96" s="103">
        <f ca="1">IF(AND(Energy!$F$11=$A$3,Main!$B$43=A96),'Aerodynamics-Cruise'!BK33,N96)</f>
        <v>22.664474834392067</v>
      </c>
      <c r="O96" s="103">
        <f t="shared" ca="1" si="5"/>
        <v>193.1432941896162</v>
      </c>
      <c r="P96" s="103">
        <f ca="1">IF(AND(Energy!$F$11=$A$3,Main!$B$43=A96),'Aerodynamics-Cruise'!H33,P96)</f>
        <v>8.4959759955850984</v>
      </c>
      <c r="Q96" s="103">
        <f ca="1">IF(AND(Energy!$F$11=$A$3,Main!$B$43=A96),'Aerodynamics-Cruise'!I33,Q96)</f>
        <v>7.1984125670779164</v>
      </c>
      <c r="R96" s="103">
        <f ca="1">IF(AND(Energy!$F$11=$A$3,Main!$B$43=$A96),Summary!R33,R96)</f>
        <v>5.2944343643287688</v>
      </c>
      <c r="S96" s="103">
        <f ca="1">IF(AND(Energy!$F$11=$A$3,Main!$B$43=A96),'Aerodynamics-Cruise'!W33,S96)</f>
        <v>1</v>
      </c>
      <c r="T96" s="103">
        <f ca="1">IF(AND(Energy!$F$11=$A$3,Main!$B$43=A96),'Aerodynamics-Cruise'!BL33,T96)</f>
        <v>27.222973745099981</v>
      </c>
      <c r="U96" s="103">
        <f ca="1">IF(AND(Energy!$F$11=$A$3,Main!$B$43=A96),'Propulsion-Cruise'!M33,U96)</f>
        <v>59.47273852994384</v>
      </c>
      <c r="V96" s="103">
        <f ca="1">IF(AND(Energy!$F$11=$A$3,Main!$B$43=A96),Endurance!AP33,V96)</f>
        <v>580.55268985871021</v>
      </c>
      <c r="W96" s="103">
        <f ca="1">IF(AND(Energy!$F$11=$A$3,Main!$B$43=$A96),Summary!W33,W96)</f>
        <v>1.8473684210526315</v>
      </c>
      <c r="X96" s="13">
        <f ca="1">IF(AND(Energy!$F$11=$A$3,Main!$B$43=A96),Energy!D33,X96)</f>
        <v>405.53546665637231</v>
      </c>
      <c r="Y96" s="102">
        <f ca="1">IF(AND(Energy!$F$11=$A$3,Main!$B$43=A96),'Aerodynamics-Cruise'!V33,Y96)</f>
        <v>155664.43245497992</v>
      </c>
      <c r="Z96" s="102">
        <f ca="1">IF(AND(Energy!$F$11=$A$3,Main!$B$43=$A96),Summary!Z33,Z96)</f>
        <v>116839.96950263435</v>
      </c>
      <c r="AA96" s="102">
        <f ca="1">IF(AND(Energy!$F$11=$A$3,Main!$B$43=$A96),Summary!AA33,AA96)</f>
        <v>116839.96950263435</v>
      </c>
      <c r="AB96" s="103">
        <f ca="1">IF(AND(Energy!$F$11=$A$3,Main!$B$43=$A96),Summary!AB33,AB96)</f>
        <v>5.2944343643287688</v>
      </c>
      <c r="AC96" s="103">
        <f ca="1">IF(AND(Energy!$F$11=$A$3,Main!$B$43=$A96),Summary!AC33,AC96)</f>
        <v>1.8539916090750814</v>
      </c>
      <c r="AD96" s="103">
        <f ca="1">IF(AND(Energy!$F$11=$A$3,Main!$B$43=$A96),Summary!AD33,AD96)</f>
        <v>0.43158919881706009</v>
      </c>
      <c r="AE96" s="103">
        <f ca="1">IF(AND(Energy!$F$11=$A$3,Main!$B$43=$A96),Summary!AE33,AE96)</f>
        <v>1.8473684210526315</v>
      </c>
      <c r="AF96" s="103">
        <f ca="1">IF(AND(Energy!$F$11=$A$3,Main!$B$43=$A96),Summary!AF33,AF96)</f>
        <v>22.135627530364378</v>
      </c>
      <c r="AG96" s="103">
        <f ca="1">IF(AND(Energy!$F$11=$A$3,Main!$B$43=$A96),Summary!AG33,AG96)</f>
        <v>11.995964566302234</v>
      </c>
      <c r="AH96" s="103">
        <f ca="1">IF(AND(Energy!$F$11=$A$3,Main!$B$43=$A96),Summary!AH33,AH96)</f>
        <v>47</v>
      </c>
      <c r="AI96" s="103">
        <f ca="1">IF(AND(Energy!$F$11=$A$3,Main!$B$43=$A96),Summary!AI33,AI96)</f>
        <v>2.7302923559241665</v>
      </c>
      <c r="AJ96" s="103">
        <f ca="1">IF(AND(Energy!$F$11=$A$3,Main!$B$43=$A96),Summary!AJ33,AJ96)</f>
        <v>0.23103399034688635</v>
      </c>
      <c r="AK96" s="103">
        <f ca="1">IF(AND(Energy!$F$11=$A$3,Main!$B$43=$A96),Summary!AK33,AK96)</f>
        <v>0.01</v>
      </c>
      <c r="AL96" s="103">
        <f ca="1">IF(AND(Energy!$F$11=$A$3,Main!$B$43=$A96),Summary!AL33,AL96)</f>
        <v>-0.54104541518534111</v>
      </c>
      <c r="AM96" s="103">
        <f ca="1">IF(AND(Energy!$F$11=$A$3,Main!$B$43=$A96),Summary!AJ113,AM96)</f>
        <v>0</v>
      </c>
    </row>
    <row r="97" spans="1:39">
      <c r="A97">
        <f t="shared" si="6"/>
        <v>5</v>
      </c>
      <c r="D97" s="1">
        <f ca="1">IF(AND(Energy!$F$11=$A$3,Main!$B$43=A97),Main!C34,D97)</f>
        <v>6.552631578947369</v>
      </c>
      <c r="E97" s="103">
        <f ca="1">IF(AND(Energy!$F$11=$A$3,Main!$B$43=A97),Main!B34,E97)</f>
        <v>0.28888888888888886</v>
      </c>
      <c r="F97" s="103">
        <f ca="1">IF(Main!$D$6=1,U97,IF(Main!$D$6=2,N97,IF(Main!$D$6=3,K97,IF(Main!$D$6=4,V97,J97))))</f>
        <v>583.37646357594679</v>
      </c>
      <c r="G97" s="103">
        <f ca="1">IF(AND(Energy!$F$11=$A$3,Main!$B$43=A97),Weight!H34,G97)</f>
        <v>15</v>
      </c>
      <c r="H97" s="103">
        <f ca="1">IF(AND(Energy!$F$11=$A$3,Main!$B$43=A97),Weight!U34,H97)</f>
        <v>23.866006726007953</v>
      </c>
      <c r="I97" s="103">
        <f ca="1">IF(AND(Energy!$F$11=$A$3,Main!$B$43=A97),Weight!V34,I97)</f>
        <v>58.440553075203709</v>
      </c>
      <c r="J97" s="103">
        <f ca="1">IF(AND(Energy!$F$11=$A$3,Main!$B$43=A97),Weight!I34,J97)</f>
        <v>29.636898074195752</v>
      </c>
      <c r="K97" s="103">
        <f ca="1">IF(AND(Energy!$F$11=$A$3,Main!$B$43=A97),Weight!W34,K97)</f>
        <v>73.440553268701379</v>
      </c>
      <c r="L97" s="103">
        <f ca="1">IF(AND(Energy!$F$11=$A$3,Main!$B$43=A97),'Aerodynamics-Cruise'!BI34,L97)</f>
        <v>73.440552880276528</v>
      </c>
      <c r="M97" s="103">
        <f ca="1">IF(AND(Energy!$F$11=$A$3,Main!$B$43=A97),'Aerodynamics-Cruise'!BJ34,M97)</f>
        <v>3.2257366651288235</v>
      </c>
      <c r="N97" s="103">
        <f ca="1">IF(AND(Energy!$F$11=$A$3,Main!$B$43=A97),'Aerodynamics-Cruise'!BK34,N97)</f>
        <v>22.767063931222541</v>
      </c>
      <c r="O97" s="103">
        <f t="shared" ca="1" si="5"/>
        <v>195.10796352551284</v>
      </c>
      <c r="P97" s="103">
        <f ca="1">IF(AND(Energy!$F$11=$A$3,Main!$B$43=A97),'Aerodynamics-Cruise'!H34,P97)</f>
        <v>8.4401398801111256</v>
      </c>
      <c r="Q97" s="103">
        <f ca="1">IF(AND(Energy!$F$11=$A$3,Main!$B$43=A97),'Aerodynamics-Cruise'!I34,Q97)</f>
        <v>7.1530366802381167</v>
      </c>
      <c r="R97" s="103">
        <f ca="1">IF(AND(Energy!$F$11=$A$3,Main!$B$43=$A97),Summary!R34,R97)</f>
        <v>5.2869309976807894</v>
      </c>
      <c r="S97" s="103">
        <f ca="1">IF(AND(Energy!$F$11=$A$3,Main!$B$43=A97),'Aerodynamics-Cruise'!W34,S97)</f>
        <v>1</v>
      </c>
      <c r="T97" s="103">
        <f ca="1">IF(AND(Energy!$F$11=$A$3,Main!$B$43=A97),'Aerodynamics-Cruise'!BL34,T97)</f>
        <v>27.22566867009045</v>
      </c>
      <c r="U97" s="103">
        <f ca="1">IF(AND(Energy!$F$11=$A$3,Main!$B$43=A97),'Propulsion-Cruise'!M34,U97)</f>
        <v>59.622162955448786</v>
      </c>
      <c r="V97" s="103">
        <f ca="1">IF(AND(Energy!$F$11=$A$3,Main!$B$43=A97),Endurance!AP34,V97)</f>
        <v>583.37646357594679</v>
      </c>
      <c r="W97" s="103">
        <f ca="1">IF(AND(Energy!$F$11=$A$3,Main!$B$43=$A97),Summary!W34,W97)</f>
        <v>1.8929824561403508</v>
      </c>
      <c r="X97" s="13">
        <f ca="1">IF(AND(Energy!$F$11=$A$3,Main!$B$43=A97),Energy!D34,X97)</f>
        <v>405.60139128544648</v>
      </c>
      <c r="Y97" s="102">
        <f ca="1">IF(AND(Energy!$F$11=$A$3,Main!$B$43=A97),'Aerodynamics-Cruise'!V34,Y97)</f>
        <v>154641.39552193496</v>
      </c>
      <c r="Z97" s="102">
        <f ca="1">IF(AND(Energy!$F$11=$A$3,Main!$B$43=$A97),Summary!Z34,Z97)</f>
        <v>116102.23352740835</v>
      </c>
      <c r="AA97" s="102">
        <f ca="1">IF(AND(Energy!$F$11=$A$3,Main!$B$43=$A97),Summary!AA34,AA97)</f>
        <v>116102.23352740835</v>
      </c>
      <c r="AB97" s="103">
        <f ca="1">IF(AND(Energy!$F$11=$A$3,Main!$B$43=$A97),Summary!AB34,AB97)</f>
        <v>5.2869309976807894</v>
      </c>
      <c r="AC97" s="103">
        <f ca="1">IF(AND(Energy!$F$11=$A$3,Main!$B$43=$A97),Summary!AC34,AC97)</f>
        <v>1.8216404540043327</v>
      </c>
      <c r="AD97" s="103">
        <f ca="1">IF(AND(Energy!$F$11=$A$3,Main!$B$43=$A97),Summary!AD34,AD97)</f>
        <v>0.43117375551294479</v>
      </c>
      <c r="AE97" s="103">
        <f ca="1">IF(AND(Energy!$F$11=$A$3,Main!$B$43=$A97),Summary!AE34,AE97)</f>
        <v>1.8929824561403508</v>
      </c>
      <c r="AF97" s="103">
        <f ca="1">IF(AND(Energy!$F$11=$A$3,Main!$B$43=$A97),Summary!AF34,AF97)</f>
        <v>22.68218623481782</v>
      </c>
      <c r="AG97" s="103">
        <f ca="1">IF(AND(Energy!$F$11=$A$3,Main!$B$43=$A97),Summary!AG34,AG97)</f>
        <v>12.024196873170094</v>
      </c>
      <c r="AH97" s="103">
        <f ca="1">IF(AND(Energy!$F$11=$A$3,Main!$B$43=$A97),Summary!AH34,AH97)</f>
        <v>47</v>
      </c>
      <c r="AI97" s="103">
        <f ca="1">IF(AND(Energy!$F$11=$A$3,Main!$B$43=$A97),Summary!AI34,AI97)</f>
        <v>2.7288172535606483</v>
      </c>
      <c r="AJ97" s="103">
        <f ca="1">IF(AND(Energy!$F$11=$A$3,Main!$B$43=$A97),Summary!AJ34,AJ97)</f>
        <v>0.23144643588324812</v>
      </c>
      <c r="AK97" s="103">
        <f ca="1">IF(AND(Energy!$F$11=$A$3,Main!$B$43=$A97),Summary!AK34,AK97)</f>
        <v>0.01</v>
      </c>
      <c r="AL97" s="103">
        <f ca="1">IF(AND(Energy!$F$11=$A$3,Main!$B$43=$A97),Summary!AL34,AL97)</f>
        <v>-0.5400812422181458</v>
      </c>
      <c r="AM97" s="103">
        <f ca="1">IF(AND(Energy!$F$11=$A$3,Main!$B$43=$A97),Summary!AJ114,AM97)</f>
        <v>0</v>
      </c>
    </row>
    <row r="98" spans="1:39">
      <c r="A98">
        <f t="shared" si="6"/>
        <v>5</v>
      </c>
      <c r="D98" s="1">
        <f ca="1">IF(AND(Energy!$F$11=$A$3,Main!$B$43=A98),Main!C35,D98)</f>
        <v>6.7105263157894743</v>
      </c>
      <c r="E98" s="103">
        <f ca="1">IF(AND(Energy!$F$11=$A$3,Main!$B$43=A98),Main!B35,E98)</f>
        <v>0.28888888888888886</v>
      </c>
      <c r="F98" s="103">
        <f ca="1">IF(Main!$D$6=1,U98,IF(Main!$D$6=2,N98,IF(Main!$D$6=3,K98,IF(Main!$D$6=4,V98,J98))))</f>
        <v>586.70787257398672</v>
      </c>
      <c r="G98" s="103">
        <f ca="1">IF(AND(Energy!$F$11=$A$3,Main!$B$43=A98),Weight!H35,G98)</f>
        <v>15</v>
      </c>
      <c r="H98" s="103">
        <f ca="1">IF(AND(Energy!$F$11=$A$3,Main!$B$43=A98),Weight!U35,H98)</f>
        <v>24.583019200132014</v>
      </c>
      <c r="I98" s="103">
        <f ca="1">IF(AND(Energy!$F$11=$A$3,Main!$B$43=A98),Weight!V35,I98)</f>
        <v>59.299266293475512</v>
      </c>
      <c r="J98" s="103">
        <f ca="1">IF(AND(Energy!$F$11=$A$3,Main!$B$43=A98),Weight!I35,J98)</f>
        <v>29.778598818343497</v>
      </c>
      <c r="K98" s="103">
        <f ca="1">IF(AND(Energy!$F$11=$A$3,Main!$B$43=A98),Weight!W35,K98)</f>
        <v>74.29926649052021</v>
      </c>
      <c r="L98" s="103">
        <f ca="1">IF(AND(Energy!$F$11=$A$3,Main!$B$43=A98),'Aerodynamics-Cruise'!BI35,L98)</f>
        <v>74.299266094975152</v>
      </c>
      <c r="M98" s="103">
        <f ca="1">IF(AND(Energy!$F$11=$A$3,Main!$B$43=A98),'Aerodynamics-Cruise'!BJ35,M98)</f>
        <v>3.249082690493343</v>
      </c>
      <c r="N98" s="103">
        <f ca="1">IF(AND(Energy!$F$11=$A$3,Main!$B$43=A98),'Aerodynamics-Cruise'!BK35,N98)</f>
        <v>22.867767050795958</v>
      </c>
      <c r="O98" s="103">
        <f t="shared" ca="1" si="5"/>
        <v>197.11334206068426</v>
      </c>
      <c r="P98" s="103">
        <f ca="1">IF(AND(Energy!$F$11=$A$3,Main!$B$43=A98),'Aerodynamics-Cruise'!H35,P98)</f>
        <v>8.3888514965002443</v>
      </c>
      <c r="Q98" s="103">
        <f ca="1">IF(AND(Energy!$F$11=$A$3,Main!$B$43=A98),'Aerodynamics-Cruise'!I35,Q98)</f>
        <v>7.1113458278144943</v>
      </c>
      <c r="R98" s="103">
        <f ca="1">IF(AND(Energy!$F$11=$A$3,Main!$B$43=$A98),Summary!R35,R98)</f>
        <v>5.2869499227222239</v>
      </c>
      <c r="S98" s="103">
        <f ca="1">IF(AND(Energy!$F$11=$A$3,Main!$B$43=A98),'Aerodynamics-Cruise'!W35,S98)</f>
        <v>1</v>
      </c>
      <c r="T98" s="103">
        <f ca="1">IF(AND(Energy!$F$11=$A$3,Main!$B$43=A98),'Aerodynamics-Cruise'!BL35,T98)</f>
        <v>27.256072190398122</v>
      </c>
      <c r="U98" s="103">
        <f ca="1">IF(AND(Energy!$F$11=$A$3,Main!$B$43=A98),'Propulsion-Cruise'!M35,U98)</f>
        <v>59.825323839535521</v>
      </c>
      <c r="V98" s="103">
        <f ca="1">IF(AND(Energy!$F$11=$A$3,Main!$B$43=A98),Endurance!AP35,V98)</f>
        <v>586.70787257398672</v>
      </c>
      <c r="W98" s="103">
        <f ca="1">IF(AND(Energy!$F$11=$A$3,Main!$B$43=$A98),Summary!W35,W98)</f>
        <v>1.9385964912280702</v>
      </c>
      <c r="X98" s="13">
        <f ca="1">IF(AND(Energy!$F$11=$A$3,Main!$B$43=A98),Energy!D35,X98)</f>
        <v>405.68000092101863</v>
      </c>
      <c r="Y98" s="102">
        <f ca="1">IF(AND(Energy!$F$11=$A$3,Main!$B$43=A98),'Aerodynamics-Cruise'!V35,Y98)</f>
        <v>153701.68275315248</v>
      </c>
      <c r="Z98" s="102">
        <f ca="1">IF(AND(Energy!$F$11=$A$3,Main!$B$43=$A98),Summary!Z35,Z98)</f>
        <v>115424.41685122118</v>
      </c>
      <c r="AA98" s="102">
        <f ca="1">IF(AND(Energy!$F$11=$A$3,Main!$B$43=$A98),Summary!AA35,AA98)</f>
        <v>115424.41685122118</v>
      </c>
      <c r="AB98" s="103">
        <f ca="1">IF(AND(Energy!$F$11=$A$3,Main!$B$43=$A98),Summary!AB35,AB98)</f>
        <v>5.2869499227222239</v>
      </c>
      <c r="AC98" s="103">
        <f ca="1">IF(AND(Energy!$F$11=$A$3,Main!$B$43=$A98),Summary!AC35,AC98)</f>
        <v>1.7895695519798389</v>
      </c>
      <c r="AD98" s="103">
        <f ca="1">IF(AND(Energy!$F$11=$A$3,Main!$B$43=$A98),Summary!AD35,AD98)</f>
        <v>0.43094360291495043</v>
      </c>
      <c r="AE98" s="103">
        <f ca="1">IF(AND(Energy!$F$11=$A$3,Main!$B$43=$A98),Summary!AE35,AE98)</f>
        <v>1.9385964912280702</v>
      </c>
      <c r="AF98" s="103">
        <f ca="1">IF(AND(Energy!$F$11=$A$3,Main!$B$43=$A98),Summary!AF35,AF98)</f>
        <v>23.228744939271259</v>
      </c>
      <c r="AG98" s="103">
        <f ca="1">IF(AND(Energy!$F$11=$A$3,Main!$B$43=$A98),Summary!AG35,AG98)</f>
        <v>12.058596991937598</v>
      </c>
      <c r="AH98" s="103">
        <f ca="1">IF(AND(Energy!$F$11=$A$3,Main!$B$43=$A98),Summary!AH35,AH98)</f>
        <v>47</v>
      </c>
      <c r="AI98" s="103">
        <f ca="1">IF(AND(Energy!$F$11=$A$3,Main!$B$43=$A98),Summary!AI35,AI98)</f>
        <v>2.7274542994212596</v>
      </c>
      <c r="AJ98" s="103">
        <f ca="1">IF(AND(Energy!$F$11=$A$3,Main!$B$43=$A98),Summary!AJ35,AJ98)</f>
        <v>0.23183099562903059</v>
      </c>
      <c r="AK98" s="103">
        <f ca="1">IF(AND(Energy!$F$11=$A$3,Main!$B$43=$A98),Summary!AK35,AK98)</f>
        <v>0.01</v>
      </c>
      <c r="AL98" s="103">
        <f ca="1">IF(AND(Energy!$F$11=$A$3,Main!$B$43=$A98),Summary!AL35,AL98)</f>
        <v>-0.53918534753780722</v>
      </c>
      <c r="AM98" s="103">
        <f ca="1">IF(AND(Energy!$F$11=$A$3,Main!$B$43=$A98),Summary!AJ115,AM98)</f>
        <v>0</v>
      </c>
    </row>
    <row r="99" spans="1:39">
      <c r="A99">
        <f t="shared" si="6"/>
        <v>5</v>
      </c>
      <c r="D99" s="1">
        <f ca="1">IF(AND(Energy!$F$11=$A$3,Main!$B$43=A99),Main!C36,D99)</f>
        <v>6.8684210526315796</v>
      </c>
      <c r="E99" s="103">
        <f ca="1">IF(AND(Energy!$F$11=$A$3,Main!$B$43=A99),Main!B36,E99)</f>
        <v>0.28888888888888886</v>
      </c>
      <c r="F99" s="103">
        <f ca="1">IF(Main!$D$6=1,U99,IF(Main!$D$6=2,N99,IF(Main!$D$6=3,K99,IF(Main!$D$6=4,V99,J99))))</f>
        <v>590.51521563756262</v>
      </c>
      <c r="G99" s="103">
        <f ca="1">IF(AND(Energy!$F$11=$A$3,Main!$B$43=A99),Weight!H36,G99)</f>
        <v>15</v>
      </c>
      <c r="H99" s="103">
        <f ca="1">IF(AND(Energy!$F$11=$A$3,Main!$B$43=A99),Weight!U36,H99)</f>
        <v>25.317374690501659</v>
      </c>
      <c r="I99" s="103">
        <f ca="1">IF(AND(Energy!$F$11=$A$3,Main!$B$43=A99),Weight!V36,I99)</f>
        <v>60.196745395053668</v>
      </c>
      <c r="J99" s="103">
        <f ca="1">IF(AND(Energy!$F$11=$A$3,Main!$B$43=A99),Weight!I36,J99)</f>
        <v>29.941722429552009</v>
      </c>
      <c r="K99" s="103">
        <f ca="1">IF(AND(Energy!$F$11=$A$3,Main!$B$43=A99),Weight!W36,K99)</f>
        <v>75.196745596117694</v>
      </c>
      <c r="L99" s="103">
        <f ca="1">IF(AND(Energy!$F$11=$A$3,Main!$B$43=A99),'Aerodynamics-Cruise'!BI36,L99)</f>
        <v>75.196745192504238</v>
      </c>
      <c r="M99" s="103">
        <f ca="1">IF(AND(Energy!$F$11=$A$3,Main!$B$43=A99),'Aerodynamics-Cruise'!BJ36,M99)</f>
        <v>3.2741390913756616</v>
      </c>
      <c r="N99" s="103">
        <f ca="1">IF(AND(Energy!$F$11=$A$3,Main!$B$43=A99),'Aerodynamics-Cruise'!BK36,N99)</f>
        <v>22.966875595046755</v>
      </c>
      <c r="O99" s="103">
        <f t="shared" ca="1" si="5"/>
        <v>199.15968902487143</v>
      </c>
      <c r="P99" s="103">
        <f ca="1">IF(AND(Energy!$F$11=$A$3,Main!$B$43=A99),'Aerodynamics-Cruise'!H36,P99)</f>
        <v>8.3417785649212597</v>
      </c>
      <c r="Q99" s="103">
        <f ca="1">IF(AND(Energy!$F$11=$A$3,Main!$B$43=A99),'Aerodynamics-Cruise'!I36,Q99)</f>
        <v>7.0730725448508673</v>
      </c>
      <c r="R99" s="103">
        <f ca="1">IF(AND(Energy!$F$11=$A$3,Main!$B$43=$A99),Summary!R36,R99)</f>
        <v>5.2939865044322136</v>
      </c>
      <c r="S99" s="103">
        <f ca="1">IF(AND(Energy!$F$11=$A$3,Main!$B$43=A99),'Aerodynamics-Cruise'!W36,S99)</f>
        <v>1</v>
      </c>
      <c r="T99" s="103">
        <f ca="1">IF(AND(Energy!$F$11=$A$3,Main!$B$43=A99),'Aerodynamics-Cruise'!BL36,T99)</f>
        <v>27.312143291008265</v>
      </c>
      <c r="U99" s="103">
        <f ca="1">IF(AND(Energy!$F$11=$A$3,Main!$B$43=A99),'Propulsion-Cruise'!M36,U99)</f>
        <v>60.078575304448862</v>
      </c>
      <c r="V99" s="103">
        <f ca="1">IF(AND(Energy!$F$11=$A$3,Main!$B$43=A99),Endurance!AP36,V99)</f>
        <v>590.51521563756262</v>
      </c>
      <c r="W99" s="103">
        <f ca="1">IF(AND(Energy!$F$11=$A$3,Main!$B$43=$A99),Summary!W36,W99)</f>
        <v>1.9842105263157894</v>
      </c>
      <c r="X99" s="13">
        <f ca="1">IF(AND(Energy!$F$11=$A$3,Main!$B$43=A99),Energy!D36,X99)</f>
        <v>405.77049506562639</v>
      </c>
      <c r="Y99" s="102">
        <f ca="1">IF(AND(Energy!$F$11=$A$3,Main!$B$43=A99),'Aerodynamics-Cruise'!V36,Y99)</f>
        <v>152839.20607218696</v>
      </c>
      <c r="Z99" s="102">
        <f ca="1">IF(AND(Energy!$F$11=$A$3,Main!$B$43=$A99),Summary!Z36,Z99)</f>
        <v>114802.1693141382</v>
      </c>
      <c r="AA99" s="102">
        <f ca="1">IF(AND(Energy!$F$11=$A$3,Main!$B$43=$A99),Summary!AA36,AA99)</f>
        <v>114802.1693141382</v>
      </c>
      <c r="AB99" s="103">
        <f ca="1">IF(AND(Energy!$F$11=$A$3,Main!$B$43=$A99),Summary!AB36,AB99)</f>
        <v>5.2939865044322136</v>
      </c>
      <c r="AC99" s="103">
        <f ca="1">IF(AND(Energy!$F$11=$A$3,Main!$B$43=$A99),Summary!AC36,AC99)</f>
        <v>1.7578191585379608</v>
      </c>
      <c r="AD99" s="103">
        <f ca="1">IF(AND(Energy!$F$11=$A$3,Main!$B$43=$A99),Summary!AD36,AD99)</f>
        <v>0.43088536116046094</v>
      </c>
      <c r="AE99" s="103">
        <f ca="1">IF(AND(Energy!$F$11=$A$3,Main!$B$43=$A99),Summary!AE36,AE99)</f>
        <v>1.9842105263157894</v>
      </c>
      <c r="AF99" s="103">
        <f ca="1">IF(AND(Energy!$F$11=$A$3,Main!$B$43=$A99),Summary!AF36,AF99)</f>
        <v>23.775303643724701</v>
      </c>
      <c r="AG99" s="103">
        <f ca="1">IF(AND(Energy!$F$11=$A$3,Main!$B$43=$A99),Summary!AG36,AG99)</f>
        <v>12.098730353834512</v>
      </c>
      <c r="AH99" s="103">
        <f ca="1">IF(AND(Energy!$F$11=$A$3,Main!$B$43=$A99),Summary!AH36,AH99)</f>
        <v>47</v>
      </c>
      <c r="AI99" s="103">
        <f ca="1">IF(AND(Energy!$F$11=$A$3,Main!$B$43=$A99),Summary!AI36,AI99)</f>
        <v>2.726196508540645</v>
      </c>
      <c r="AJ99" s="103">
        <f ca="1">IF(AND(Energy!$F$11=$A$3,Main!$B$43=$A99),Summary!AJ36,AJ99)</f>
        <v>0.23218935936198595</v>
      </c>
      <c r="AK99" s="103">
        <f ca="1">IF(AND(Energy!$F$11=$A$3,Main!$B$43=$A99),Summary!AK36,AK99)</f>
        <v>0.01</v>
      </c>
      <c r="AL99" s="103">
        <f ca="1">IF(AND(Energy!$F$11=$A$3,Main!$B$43=$A99),Summary!AL36,AL99)</f>
        <v>-0.53835315117318294</v>
      </c>
      <c r="AM99" s="103">
        <f ca="1">IF(AND(Energy!$F$11=$A$3,Main!$B$43=$A99),Summary!AJ116,AM99)</f>
        <v>0</v>
      </c>
    </row>
    <row r="100" spans="1:39">
      <c r="A100">
        <f t="shared" si="6"/>
        <v>5</v>
      </c>
      <c r="D100" s="1">
        <f ca="1">IF(AND(Energy!$F$11=$A$3,Main!$B$43=A100),Main!C37,D100)</f>
        <v>7.026315789473685</v>
      </c>
      <c r="E100" s="103">
        <f ca="1">IF(AND(Energy!$F$11=$A$3,Main!$B$43=A100),Main!B37,E100)</f>
        <v>0.28888888888888886</v>
      </c>
      <c r="F100" s="103">
        <f ca="1">IF(Main!$D$6=1,U100,IF(Main!$D$6=2,N100,IF(Main!$D$6=3,K100,IF(Main!$D$6=4,V100,J100))))</f>
        <v>594.77118862001964</v>
      </c>
      <c r="G100" s="103">
        <f ca="1">IF(AND(Energy!$F$11=$A$3,Main!$B$43=A100),Weight!H37,G100)</f>
        <v>15</v>
      </c>
      <c r="H100" s="103">
        <f ca="1">IF(AND(Energy!$F$11=$A$3,Main!$B$43=A100),Weight!U37,H100)</f>
        <v>26.069183768669298</v>
      </c>
      <c r="I100" s="103">
        <f ca="1">IF(AND(Energy!$F$11=$A$3,Main!$B$43=A100),Weight!V37,I100)</f>
        <v>61.131857879151198</v>
      </c>
      <c r="J100" s="103">
        <f ca="1">IF(AND(Energy!$F$11=$A$3,Main!$B$43=A100),Weight!I37,J100)</f>
        <v>30.1250258354819</v>
      </c>
      <c r="K100" s="103">
        <f ca="1">IF(AND(Energy!$F$11=$A$3,Main!$B$43=A100),Weight!W37,K100)</f>
        <v>76.131858084698663</v>
      </c>
      <c r="L100" s="103">
        <f ca="1">IF(AND(Energy!$F$11=$A$3,Main!$B$43=A100),'Aerodynamics-Cruise'!BI37,L100)</f>
        <v>76.131857672085118</v>
      </c>
      <c r="M100" s="103">
        <f ca="1">IF(AND(Energy!$F$11=$A$3,Main!$B$43=A100),'Aerodynamics-Cruise'!BJ37,M100)</f>
        <v>3.3008020893184047</v>
      </c>
      <c r="N100" s="103">
        <f ca="1">IF(AND(Energy!$F$11=$A$3,Main!$B$43=A100),'Aerodynamics-Cruise'!BK37,N100)</f>
        <v>23.064653866541232</v>
      </c>
      <c r="O100" s="103">
        <f t="shared" ca="1" si="5"/>
        <v>201.24734289285064</v>
      </c>
      <c r="P100" s="103">
        <f ca="1">IF(AND(Energy!$F$11=$A$3,Main!$B$43=A100),'Aerodynamics-Cruise'!H37,P100)</f>
        <v>8.2986240412982397</v>
      </c>
      <c r="Q100" s="103">
        <f ca="1">IF(AND(Energy!$F$11=$A$3,Main!$B$43=A100),'Aerodynamics-Cruise'!I37,Q100)</f>
        <v>7.0379775775216897</v>
      </c>
      <c r="R100" s="103">
        <f ca="1">IF(AND(Energy!$F$11=$A$3,Main!$B$43=$A100),Summary!R37,R100)</f>
        <v>5.3076122758671058</v>
      </c>
      <c r="S100" s="103">
        <f ca="1">IF(AND(Energy!$F$11=$A$3,Main!$B$43=A100),'Aerodynamics-Cruise'!W37,S100)</f>
        <v>1</v>
      </c>
      <c r="T100" s="103">
        <f ca="1">IF(AND(Energy!$F$11=$A$3,Main!$B$43=A100),'Aerodynamics-Cruise'!BL37,T100)</f>
        <v>27.392115573985173</v>
      </c>
      <c r="U100" s="103">
        <f ca="1">IF(AND(Energy!$F$11=$A$3,Main!$B$43=A100),'Propulsion-Cruise'!M37,U100)</f>
        <v>60.378766052289834</v>
      </c>
      <c r="V100" s="103">
        <f ca="1">IF(AND(Energy!$F$11=$A$3,Main!$B$43=A100),Endurance!AP37,V100)</f>
        <v>594.77118862001964</v>
      </c>
      <c r="W100" s="103">
        <f ca="1">IF(AND(Energy!$F$11=$A$3,Main!$B$43=$A100),Summary!W37,W100)</f>
        <v>2.0298245614035086</v>
      </c>
      <c r="X100" s="13">
        <f ca="1">IF(AND(Energy!$F$11=$A$3,Main!$B$43=A100),Energy!D37,X100)</f>
        <v>405.87218411482621</v>
      </c>
      <c r="Y100" s="102">
        <f ca="1">IF(AND(Energy!$F$11=$A$3,Main!$B$43=A100),'Aerodynamics-Cruise'!V37,Y100)</f>
        <v>152048.52299691306</v>
      </c>
      <c r="Z100" s="102">
        <f ca="1">IF(AND(Energy!$F$11=$A$3,Main!$B$43=$A100),Summary!Z37,Z100)</f>
        <v>114231.59969023267</v>
      </c>
      <c r="AA100" s="102">
        <f ca="1">IF(AND(Energy!$F$11=$A$3,Main!$B$43=$A100),Summary!AA37,AA100)</f>
        <v>114231.59969023267</v>
      </c>
      <c r="AB100" s="103">
        <f ca="1">IF(AND(Energy!$F$11=$A$3,Main!$B$43=$A100),Summary!AB37,AB100)</f>
        <v>5.3076122758671058</v>
      </c>
      <c r="AC100" s="103">
        <f ca="1">IF(AND(Energy!$F$11=$A$3,Main!$B$43=$A100),Summary!AC37,AC100)</f>
        <v>1.7264216565771027</v>
      </c>
      <c r="AD100" s="103">
        <f ca="1">IF(AND(Energy!$F$11=$A$3,Main!$B$43=$A100),Summary!AD37,AD100)</f>
        <v>0.43098712857080734</v>
      </c>
      <c r="AE100" s="103">
        <f ca="1">IF(AND(Energy!$F$11=$A$3,Main!$B$43=$A100),Summary!AE37,AE100)</f>
        <v>2.0298245614035086</v>
      </c>
      <c r="AF100" s="103">
        <f ca="1">IF(AND(Energy!$F$11=$A$3,Main!$B$43=$A100),Summary!AF37,AF100)</f>
        <v>24.321862348178144</v>
      </c>
      <c r="AG100" s="103">
        <f ca="1">IF(AND(Energy!$F$11=$A$3,Main!$B$43=$A100),Summary!AG37,AG100)</f>
        <v>12.14421618340497</v>
      </c>
      <c r="AH100" s="103">
        <f ca="1">IF(AND(Energy!$F$11=$A$3,Main!$B$43=$A100),Summary!AH37,AH100)</f>
        <v>47</v>
      </c>
      <c r="AI100" s="103">
        <f ca="1">IF(AND(Energy!$F$11=$A$3,Main!$B$43=$A100),Summary!AI37,AI100)</f>
        <v>2.7250375416116173</v>
      </c>
      <c r="AJ100" s="103">
        <f ca="1">IF(AND(Energy!$F$11=$A$3,Main!$B$43=$A100),Summary!AJ37,AJ100)</f>
        <v>0.23252307106792752</v>
      </c>
      <c r="AK100" s="103">
        <f ca="1">IF(AND(Energy!$F$11=$A$3,Main!$B$43=$A100),Summary!AK37,AK100)</f>
        <v>0.01</v>
      </c>
      <c r="AL100" s="103">
        <f ca="1">IF(AND(Energy!$F$11=$A$3,Main!$B$43=$A100),Summary!AL37,AL100)</f>
        <v>-0.53758050772081489</v>
      </c>
      <c r="AM100" s="103">
        <f ca="1">IF(AND(Energy!$F$11=$A$3,Main!$B$43=$A100),Summary!AJ117,AM100)</f>
        <v>0</v>
      </c>
    </row>
    <row r="101" spans="1:39">
      <c r="A101">
        <f t="shared" si="6"/>
        <v>5</v>
      </c>
      <c r="D101" s="1">
        <f ca="1">IF(AND(Energy!$F$11=$A$3,Main!$B$43=A101),Main!C38,D101)</f>
        <v>7.1842105263157903</v>
      </c>
      <c r="E101" s="103">
        <f ca="1">IF(AND(Energy!$F$11=$A$3,Main!$B$43=A101),Main!B38,E101)</f>
        <v>0.28888888888888886</v>
      </c>
      <c r="F101" s="103">
        <f ca="1">IF(Main!$D$6=1,U101,IF(Main!$D$6=2,N101,IF(Main!$D$6=3,K101,IF(Main!$D$6=4,V101,J101))))</f>
        <v>599.45221234218025</v>
      </c>
      <c r="G101" s="103">
        <f ca="1">IF(AND(Energy!$F$11=$A$3,Main!$B$43=A101),Weight!H38,G101)</f>
        <v>15</v>
      </c>
      <c r="H101" s="103">
        <f ca="1">IF(AND(Energy!$F$11=$A$3,Main!$B$43=A101),Weight!U38,H101)</f>
        <v>26.838573524763738</v>
      </c>
      <c r="I101" s="103">
        <f ca="1">IF(AND(Energy!$F$11=$A$3,Main!$B$43=A101),Weight!V38,I101)</f>
        <v>62.103657085824494</v>
      </c>
      <c r="J101" s="103">
        <f ca="1">IF(AND(Energy!$F$11=$A$3,Main!$B$43=A101),Weight!I38,J101)</f>
        <v>30.327435286060755</v>
      </c>
      <c r="K101" s="103">
        <f ca="1">IF(AND(Energy!$F$11=$A$3,Main!$B$43=A101),Weight!W38,K101)</f>
        <v>77.103657296315461</v>
      </c>
      <c r="L101" s="103">
        <f ca="1">IF(AND(Energy!$F$11=$A$3,Main!$B$43=A101),'Aerodynamics-Cruise'!BI38,L101)</f>
        <v>77.103656873778178</v>
      </c>
      <c r="M101" s="103">
        <f ca="1">IF(AND(Energy!$F$11=$A$3,Main!$B$43=A101),'Aerodynamics-Cruise'!BJ38,M101)</f>
        <v>3.3289806222530038</v>
      </c>
      <c r="N101" s="103">
        <f ca="1">IF(AND(Energy!$F$11=$A$3,Main!$B$43=A101),'Aerodynamics-Cruise'!BK38,N101)</f>
        <v>23.161341450403395</v>
      </c>
      <c r="O101" s="103">
        <f t="shared" ca="1" si="5"/>
        <v>203.37670049607766</v>
      </c>
      <c r="P101" s="103">
        <f ca="1">IF(AND(Energy!$F$11=$A$3,Main!$B$43=A101),'Aerodynamics-Cruise'!H38,P101)</f>
        <v>8.2591213443887224</v>
      </c>
      <c r="Q101" s="103">
        <f ca="1">IF(AND(Energy!$F$11=$A$3,Main!$B$43=A101),'Aerodynamics-Cruise'!I38,Q101)</f>
        <v>7.0058460739986881</v>
      </c>
      <c r="R101" s="103">
        <f ca="1">IF(AND(Energy!$F$11=$A$3,Main!$B$43=$A101),Summary!R38,R101)</f>
        <v>5.327462989120626</v>
      </c>
      <c r="S101" s="103">
        <f ca="1">IF(AND(Energy!$F$11=$A$3,Main!$B$43=A101),'Aerodynamics-Cruise'!W38,S101)</f>
        <v>1</v>
      </c>
      <c r="T101" s="103">
        <f ca="1">IF(AND(Energy!$F$11=$A$3,Main!$B$43=A101),'Aerodynamics-Cruise'!BL38,T101)</f>
        <v>27.494454912306235</v>
      </c>
      <c r="U101" s="103">
        <f ca="1">IF(AND(Energy!$F$11=$A$3,Main!$B$43=A101),'Propulsion-Cruise'!M38,U101)</f>
        <v>60.723163630241217</v>
      </c>
      <c r="V101" s="103">
        <f ca="1">IF(AND(Energy!$F$11=$A$3,Main!$B$43=A101),Endurance!AP38,V101)</f>
        <v>599.45221234218025</v>
      </c>
      <c r="W101" s="103">
        <f ca="1">IF(AND(Energy!$F$11=$A$3,Main!$B$43=$A101),Summary!W38,W101)</f>
        <v>2.0754385964912281</v>
      </c>
      <c r="X101" s="13">
        <f ca="1">IF(AND(Energy!$F$11=$A$3,Main!$B$43=A101),Energy!D38,X101)</f>
        <v>405.98447239707411</v>
      </c>
      <c r="Y101" s="102">
        <f ca="1">IF(AND(Energy!$F$11=$A$3,Main!$B$43=A101),'Aerodynamics-Cruise'!V38,Y101)</f>
        <v>151324.74918940035</v>
      </c>
      <c r="Z101" s="102">
        <f ca="1">IF(AND(Energy!$F$11=$A$3,Main!$B$43=$A101),Summary!Z38,Z101)</f>
        <v>113709.21371344129</v>
      </c>
      <c r="AA101" s="102">
        <f ca="1">IF(AND(Energy!$F$11=$A$3,Main!$B$43=$A101),Summary!AA38,AA101)</f>
        <v>113709.21371344129</v>
      </c>
      <c r="AB101" s="103">
        <f ca="1">IF(AND(Energy!$F$11=$A$3,Main!$B$43=$A101),Summary!AB38,AB101)</f>
        <v>5.327462989120626</v>
      </c>
      <c r="AC101" s="103">
        <f ca="1">IF(AND(Energy!$F$11=$A$3,Main!$B$43=$A101),Summary!AC38,AC101)</f>
        <v>1.6954029055768154</v>
      </c>
      <c r="AD101" s="103">
        <f ca="1">IF(AND(Energy!$F$11=$A$3,Main!$B$43=$A101),Summary!AD38,AD101)</f>
        <v>0.43123827700300049</v>
      </c>
      <c r="AE101" s="103">
        <f ca="1">IF(AND(Energy!$F$11=$A$3,Main!$B$43=$A101),Summary!AE38,AE101)</f>
        <v>2.0754385964912281</v>
      </c>
      <c r="AF101" s="103">
        <f ca="1">IF(AND(Energy!$F$11=$A$3,Main!$B$43=$A101),Summary!AF38,AF101)</f>
        <v>24.868421052631582</v>
      </c>
      <c r="AG101" s="103">
        <f ca="1">IF(AND(Energy!$F$11=$A$3,Main!$B$43=$A101),Summary!AG38,AG101)</f>
        <v>12.194719554976734</v>
      </c>
      <c r="AH101" s="103">
        <f ca="1">IF(AND(Energy!$F$11=$A$3,Main!$B$43=$A101),Summary!AH38,AH101)</f>
        <v>47</v>
      </c>
      <c r="AI101" s="103">
        <f ca="1">IF(AND(Energy!$F$11=$A$3,Main!$B$43=$A101),Summary!AI38,AI101)</f>
        <v>2.7239716238612934</v>
      </c>
      <c r="AJ101" s="103">
        <f ca="1">IF(AND(Energy!$F$11=$A$3,Main!$B$43=$A101),Summary!AJ38,AJ101)</f>
        <v>0.23283354578821527</v>
      </c>
      <c r="AK101" s="103">
        <f ca="1">IF(AND(Energy!$F$11=$A$3,Main!$B$43=$A101),Summary!AK38,AK101)</f>
        <v>0.01</v>
      </c>
      <c r="AL101" s="103">
        <f ca="1">IF(AND(Energy!$F$11=$A$3,Main!$B$43=$A101),Summary!AL38,AL101)</f>
        <v>-0.53686365290824645</v>
      </c>
      <c r="AM101" s="103">
        <f ca="1">IF(AND(Energy!$F$11=$A$3,Main!$B$43=$A101),Summary!AJ118,AM101)</f>
        <v>0</v>
      </c>
    </row>
    <row r="102" spans="1:39">
      <c r="A102">
        <f t="shared" si="6"/>
        <v>5</v>
      </c>
      <c r="D102" s="1">
        <f ca="1">IF(AND(Energy!$F$11=$A$3,Main!$B$43=A102),Main!C39,D102)</f>
        <v>7.3421052631578956</v>
      </c>
      <c r="E102" s="103">
        <f ca="1">IF(AND(Energy!$F$11=$A$3,Main!$B$43=A102),Main!B39,E102)</f>
        <v>0.28888888888888886</v>
      </c>
      <c r="F102" s="103">
        <f ca="1">IF(Main!$D$6=1,U102,IF(Main!$D$6=2,N102,IF(Main!$D$6=3,K102,IF(Main!$D$6=4,V102,J102))))</f>
        <v>605.01516655456146</v>
      </c>
      <c r="G102" s="103">
        <f ca="1">IF(AND(Energy!$F$11=$A$3,Main!$B$43=A102),Weight!H39,G102)</f>
        <v>15</v>
      </c>
      <c r="H102" s="103">
        <f ca="1">IF(AND(Energy!$F$11=$A$3,Main!$B$43=A102),Weight!U39,H102)</f>
        <v>27.630288180963134</v>
      </c>
      <c r="I102" s="103">
        <f ca="1">IF(AND(Energy!$F$11=$A$3,Main!$B$43=A102),Weight!V39,I102)</f>
        <v>63.137204595382087</v>
      </c>
      <c r="J102" s="103">
        <f ca="1">IF(AND(Energy!$F$11=$A$3,Main!$B$43=A102),Weight!I39,J102)</f>
        <v>30.569268139418952</v>
      </c>
      <c r="K102" s="103">
        <f ca="1">IF(AND(Energy!$F$11=$A$3,Main!$B$43=A102),Weight!W39,K102)</f>
        <v>78.13720095178634</v>
      </c>
      <c r="L102" s="103">
        <f ca="1">IF(AND(Energy!$F$11=$A$3,Main!$B$43=A102),'Aerodynamics-Cruise'!BI39,L102)</f>
        <v>78.137208270685562</v>
      </c>
      <c r="M102" s="103">
        <f ca="1">IF(AND(Energy!$F$11=$A$3,Main!$B$43=A102),'Aerodynamics-Cruise'!BJ39,M102)</f>
        <v>3.3593175236935822</v>
      </c>
      <c r="N102" s="103">
        <f ca="1">IF(AND(Energy!$F$11=$A$3,Main!$B$43=A102),'Aerodynamics-Cruise'!BK39,N102)</f>
        <v>23.25984600133107</v>
      </c>
      <c r="O102" s="103">
        <f t="shared" ca="1" si="5"/>
        <v>205.60599817823783</v>
      </c>
      <c r="P102" s="103">
        <f ca="1">IF(AND(Energy!$F$11=$A$3,Main!$B$43=A102),'Aerodynamics-Cruise'!H39,P102)</f>
        <v>8.2243910864367624</v>
      </c>
      <c r="Q102" s="103">
        <f ca="1">IF(AND(Energy!$F$11=$A$3,Main!$B$43=A102),'Aerodynamics-Cruise'!I39,Q102)</f>
        <v>6.9775919507150395</v>
      </c>
      <c r="R102" s="103">
        <f ca="1">IF(AND(Energy!$F$11=$A$3,Main!$B$43=$A102),Summary!R39,R102)</f>
        <v>5.3567863506347582</v>
      </c>
      <c r="S102" s="103">
        <f ca="1">IF(AND(Energy!$F$11=$A$3,Main!$B$43=A102),'Aerodynamics-Cruise'!W39,S102)</f>
        <v>1</v>
      </c>
      <c r="T102" s="103">
        <f ca="1">IF(AND(Energy!$F$11=$A$3,Main!$B$43=A102),'Aerodynamics-Cruise'!BL39,T102)</f>
        <v>27.628341098376314</v>
      </c>
      <c r="U102" s="103">
        <f ca="1">IF(AND(Energy!$F$11=$A$3,Main!$B$43=A102),'Propulsion-Cruise'!M39,U102)</f>
        <v>61.129221254193837</v>
      </c>
      <c r="V102" s="103">
        <f ca="1">IF(AND(Energy!$F$11=$A$3,Main!$B$43=A102),Endurance!AP39,V102)</f>
        <v>605.01516655456146</v>
      </c>
      <c r="W102" s="103">
        <f ca="1">IF(AND(Energy!$F$11=$A$3,Main!$B$43=$A102),Summary!W39,W102)</f>
        <v>2.1210526315789475</v>
      </c>
      <c r="X102" s="13">
        <f ca="1">IF(AND(Energy!$F$11=$A$3,Main!$B$43=A102),Energy!D39,X102)</f>
        <v>406.11862941715987</v>
      </c>
      <c r="Y102" s="102">
        <f ca="1">IF(AND(Energy!$F$11=$A$3,Main!$B$43=A102),'Aerodynamics-Cruise'!V39,Y102)</f>
        <v>150688.41666022228</v>
      </c>
      <c r="Z102" s="102">
        <f ca="1">IF(AND(Energy!$F$11=$A$3,Main!$B$43=$A102),Summary!Z39,Z102)</f>
        <v>113249.86808296185</v>
      </c>
      <c r="AA102" s="102">
        <f ca="1">IF(AND(Energy!$F$11=$A$3,Main!$B$43=$A102),Summary!AA39,AA102)</f>
        <v>113249.86808296185</v>
      </c>
      <c r="AB102" s="103">
        <f ca="1">IF(AND(Energy!$F$11=$A$3,Main!$B$43=$A102),Summary!AB39,AB102)</f>
        <v>5.3567863506347582</v>
      </c>
      <c r="AC102" s="103">
        <f ca="1">IF(AND(Energy!$F$11=$A$3,Main!$B$43=$A102),Summary!AC39,AC102)</f>
        <v>1.6643684728742449</v>
      </c>
      <c r="AD102" s="103">
        <f ca="1">IF(AND(Energy!$F$11=$A$3,Main!$B$43=$A102),Summary!AD39,AD102)</f>
        <v>0.4316936011724179</v>
      </c>
      <c r="AE102" s="103">
        <f ca="1">IF(AND(Energy!$F$11=$A$3,Main!$B$43=$A102),Summary!AE39,AE102)</f>
        <v>2.1210526315789475</v>
      </c>
      <c r="AF102" s="103">
        <f ca="1">IF(AND(Energy!$F$11=$A$3,Main!$B$43=$A102),Summary!AF39,AF102)</f>
        <v>25.414979757085025</v>
      </c>
      <c r="AG102" s="103">
        <f ca="1">IF(AND(Energy!$F$11=$A$3,Main!$B$43=$A102),Summary!AG39,AG102)</f>
        <v>12.252297509246928</v>
      </c>
      <c r="AH102" s="103">
        <f ca="1">IF(AND(Energy!$F$11=$A$3,Main!$B$43=$A102),Summary!AH39,AH102)</f>
        <v>47</v>
      </c>
      <c r="AI102" s="103">
        <f ca="1">IF(AND(Energy!$F$11=$A$3,Main!$B$43=$A102),Summary!AI39,AI102)</f>
        <v>2.7230304938759096</v>
      </c>
      <c r="AJ102" s="103">
        <f ca="1">IF(AND(Energy!$F$11=$A$3,Main!$B$43=$A102),Summary!AJ39,AJ102)</f>
        <v>0.23311535931591093</v>
      </c>
      <c r="AK102" s="103">
        <f ca="1">IF(AND(Energy!$F$11=$A$3,Main!$B$43=$A102),Summary!AK39,AK102)</f>
        <v>0.01</v>
      </c>
      <c r="AL102" s="103">
        <f ca="1">IF(AND(Energy!$F$11=$A$3,Main!$B$43=$A102),Summary!AL39,AL102)</f>
        <v>-0.53621462690420696</v>
      </c>
      <c r="AM102" s="103">
        <f ca="1">IF(AND(Energy!$F$11=$A$3,Main!$B$43=$A102),Summary!AJ119,AM102)</f>
        <v>0</v>
      </c>
    </row>
    <row r="103" spans="1:39">
      <c r="A103">
        <f t="shared" si="6"/>
        <v>5</v>
      </c>
      <c r="D103" s="1">
        <f ca="1">IF(AND(Energy!$F$11=$A$3,Main!$B$43=A103),Main!C40,D103)</f>
        <v>7.5</v>
      </c>
      <c r="E103" s="103">
        <f ca="1">IF(AND(Energy!$F$11=$A$3,Main!$B$43=A103),Main!B40,E103)</f>
        <v>0.28888888888888886</v>
      </c>
      <c r="F103" s="103">
        <f ca="1">IF(Main!$D$6=1,U103,IF(Main!$D$6=2,N103,IF(Main!$D$6=3,K103,IF(Main!$D$6=4,V103,J103))))</f>
        <v>619.13561366978024</v>
      </c>
      <c r="G103" s="103">
        <f ca="1">IF(AND(Energy!$F$11=$A$3,Main!$B$43=A103),Weight!H40,G103)</f>
        <v>15</v>
      </c>
      <c r="H103" s="103">
        <f ca="1">IF(AND(Energy!$F$11=$A$3,Main!$B$43=A103),Weight!U40,H103)</f>
        <v>28.519348850240782</v>
      </c>
      <c r="I103" s="103">
        <f ca="1">IF(AND(Energy!$F$11=$A$3,Main!$B$43=A103),Weight!V40,I103)</f>
        <v>64.648746114074029</v>
      </c>
      <c r="J103" s="103">
        <f ca="1">IF(AND(Energy!$F$11=$A$3,Main!$B$43=A103),Weight!I40,J103)</f>
        <v>31.191748988833247</v>
      </c>
      <c r="K103" s="103">
        <f ca="1">IF(AND(Energy!$F$11=$A$3,Main!$B$43=A103),Weight!W40,K103)</f>
        <v>79.648900135848393</v>
      </c>
      <c r="L103" s="103">
        <f ca="1">IF(AND(Energy!$F$11=$A$3,Main!$B$43=A103),'Aerodynamics-Cruise'!BI40,L103)</f>
        <v>79.648591008184766</v>
      </c>
      <c r="M103" s="103">
        <f ca="1">IF(AND(Energy!$F$11=$A$3,Main!$B$43=A103),'Aerodynamics-Cruise'!BJ40,M103)</f>
        <v>3.4032718496961323</v>
      </c>
      <c r="N103" s="103">
        <f ca="1">IF(AND(Energy!$F$11=$A$3,Main!$B$43=A103),'Aerodynamics-Cruise'!BK40,N103)</f>
        <v>23.403534752974949</v>
      </c>
      <c r="O103" s="103">
        <f t="shared" ca="1" si="5"/>
        <v>208.86732504249983</v>
      </c>
      <c r="P103" s="103">
        <f ca="1">IF(AND(Energy!$F$11=$A$3,Main!$B$43=A103),'Aerodynamics-Cruise'!H40,P103)</f>
        <v>8.2156665647734517</v>
      </c>
      <c r="Q103" s="103">
        <f ca="1">IF(AND(Energy!$F$11=$A$3,Main!$B$43=A103),'Aerodynamics-Cruise'!I40,Q103)</f>
        <v>6.9705028793610557</v>
      </c>
      <c r="R103" s="103">
        <f ca="1">IF(AND(Energy!$F$11=$A$3,Main!$B$43=$A103),Summary!R40,R103)</f>
        <v>5.4524029816205868</v>
      </c>
      <c r="S103" s="103">
        <f ca="1">IF(AND(Energy!$F$11=$A$3,Main!$B$43=A103),'Aerodynamics-Cruise'!W40,S103)</f>
        <v>1</v>
      </c>
      <c r="T103" s="103">
        <f ca="1">IF(AND(Energy!$F$11=$A$3,Main!$B$43=A103),'Aerodynamics-Cruise'!BL40,T103)</f>
        <v>27.960146746383213</v>
      </c>
      <c r="U103" s="103">
        <f ca="1">IF(AND(Energy!$F$11=$A$3,Main!$B$43=A103),'Propulsion-Cruise'!M40,U103)</f>
        <v>61.90980434216813</v>
      </c>
      <c r="V103" s="103">
        <f ca="1">IF(AND(Energy!$F$11=$A$3,Main!$B$43=A103),Endurance!AP40,V103)</f>
        <v>619.13561366978024</v>
      </c>
      <c r="W103" s="103">
        <f ca="1">IF(AND(Energy!$F$11=$A$3,Main!$B$43=$A103),Summary!W40,W103)</f>
        <v>2.1666666666666665</v>
      </c>
      <c r="X103" s="13">
        <f ca="1">IF(AND(Energy!$F$11=$A$3,Main!$B$43=A103),Energy!D40,X103)</f>
        <v>406.46402587356516</v>
      </c>
      <c r="Y103" s="102">
        <f ca="1">IF(AND(Energy!$F$11=$A$3,Main!$B$43=A103),'Aerodynamics-Cruise'!V40,Y103)</f>
        <v>150528.56478283161</v>
      </c>
      <c r="Z103" s="102">
        <f ca="1">IF(AND(Energy!$F$11=$A$3,Main!$B$43=$A103),Summary!Z40,Z103)</f>
        <v>113134.61021490076</v>
      </c>
      <c r="AA103" s="102">
        <f ca="1">IF(AND(Energy!$F$11=$A$3,Main!$B$43=$A103),Summary!AA40,AA103)</f>
        <v>113134.61021490076</v>
      </c>
      <c r="AB103" s="103">
        <f ca="1">IF(AND(Energy!$F$11=$A$3,Main!$B$43=$A103),Summary!AB40,AB103)</f>
        <v>5.4524029816205868</v>
      </c>
      <c r="AC103" s="103">
        <f ca="1">IF(AND(Energy!$F$11=$A$3,Main!$B$43=$A103),Summary!AC40,AC103)</f>
        <v>1.6269077669453147</v>
      </c>
      <c r="AD103" s="103">
        <f ca="1">IF(AND(Energy!$F$11=$A$3,Main!$B$43=$A103),Summary!AD40,AD103)</f>
        <v>0.43336246825400926</v>
      </c>
      <c r="AE103" s="103">
        <f ca="1">IF(AND(Energy!$F$11=$A$3,Main!$B$43=$A103),Summary!AE40,AE103)</f>
        <v>2.1666666666666665</v>
      </c>
      <c r="AF103" s="103">
        <f ca="1">IF(AND(Energy!$F$11=$A$3,Main!$B$43=$A103),Summary!AF40,AF103)</f>
        <v>25.961538461538463</v>
      </c>
      <c r="AG103" s="103">
        <f ca="1">IF(AND(Energy!$F$11=$A$3,Main!$B$43=$A103),Summary!AG40,AG103)</f>
        <v>12.353800526799013</v>
      </c>
      <c r="AH103" s="103">
        <f ca="1">IF(AND(Energy!$F$11=$A$3,Main!$B$43=$A103),Summary!AH40,AH103)</f>
        <v>47</v>
      </c>
      <c r="AI103" s="103">
        <f ca="1">IF(AND(Energy!$F$11=$A$3,Main!$B$43=$A103),Summary!AI40,AI103)</f>
        <v>2.7227694495902957</v>
      </c>
      <c r="AJ103" s="103">
        <f ca="1">IF(AND(Energy!$F$11=$A$3,Main!$B$43=$A103),Summary!AJ40,AJ103)</f>
        <v>0.23328105538212532</v>
      </c>
      <c r="AK103" s="103">
        <f ca="1">IF(AND(Energy!$F$11=$A$3,Main!$B$43=$A103),Summary!AK40,AK103)</f>
        <v>0.01</v>
      </c>
      <c r="AL103" s="103">
        <f ca="1">IF(AND(Energy!$F$11=$A$3,Main!$B$43=$A103),Summary!AL40,AL103)</f>
        <v>-0.53583346293310274</v>
      </c>
      <c r="AM103" s="103">
        <f ca="1">IF(AND(Energy!$F$11=$A$3,Main!$B$43=$A103),Summary!AJ120,AM103)</f>
        <v>0</v>
      </c>
    </row>
    <row r="104" spans="1:39">
      <c r="A104" s="7">
        <f>A84+1</f>
        <v>6</v>
      </c>
      <c r="D104" s="1">
        <f ca="1">IF(AND(Energy!$F$11=$A$3,Main!$B$43=A104),Main!C21,D104)</f>
        <v>4.5</v>
      </c>
      <c r="E104" s="103">
        <f ca="1">IF(AND(Energy!$F$11=$A$3,Main!$B$43=A104),Main!B21,E104)</f>
        <v>0.31111111111111106</v>
      </c>
      <c r="F104" s="103">
        <f ca="1">IF(Main!$D$6=1,U104,IF(Main!$D$6=2,N104,IF(Main!$D$6=3,K104,IF(Main!$D$6=4,V104,J104))))</f>
        <v>623.0003096034585</v>
      </c>
      <c r="G104" s="103">
        <f ca="1">IF(AND(Energy!$F$11=$A$3,Main!$B$43=A104),Weight!H21,G104)</f>
        <v>15</v>
      </c>
      <c r="H104" s="103">
        <f ca="1">IF(AND(Energy!$F$11=$A$3,Main!$B$43=A104),Weight!U21,H104)</f>
        <v>17.176276804395243</v>
      </c>
      <c r="I104" s="103">
        <f ca="1">IF(AND(Energy!$F$11=$A$3,Main!$B$43=A104),Weight!V21,I104)</f>
        <v>53.611178675750949</v>
      </c>
      <c r="J104" s="103">
        <f ca="1">IF(AND(Energy!$F$11=$A$3,Main!$B$43=A104),Weight!I21,J104)</f>
        <v>31.497253596355709</v>
      </c>
      <c r="K104" s="103">
        <f ca="1">IF(AND(Energy!$F$11=$A$3,Main!$B$43=A104),Weight!W21,K104)</f>
        <v>68.611183476952164</v>
      </c>
      <c r="L104" s="103">
        <f ca="1">IF(AND(Energy!$F$11=$A$3,Main!$B$43=A104),'Aerodynamics-Cruise'!BI21,L104)</f>
        <v>68.611173951379527</v>
      </c>
      <c r="M104" s="103">
        <f ca="1">IF(AND(Energy!$F$11=$A$3,Main!$B$43=A104),'Aerodynamics-Cruise'!BJ21,M104)</f>
        <v>3.2852729785206916</v>
      </c>
      <c r="N104" s="103">
        <f ca="1">IF(AND(Energy!$F$11=$A$3,Main!$B$43=A104),'Aerodynamics-Cruise'!BK21,N104)</f>
        <v>20.884466648574847</v>
      </c>
      <c r="O104" s="103">
        <f t="shared" ca="1" si="5"/>
        <v>172.98992635071099</v>
      </c>
      <c r="P104" s="103">
        <f ca="1">IF(AND(Energy!$F$11=$A$3,Main!$B$43=A104),'Aerodynamics-Cruise'!H21,P104)</f>
        <v>9.4942904873400362</v>
      </c>
      <c r="Q104" s="103">
        <f ca="1">IF(AND(Energy!$F$11=$A$3,Main!$B$43=A104),'Aerodynamics-Cruise'!I21,Q104)</f>
        <v>7.9771435742369432</v>
      </c>
      <c r="R104" s="103">
        <f ca="1">IF(AND(Energy!$F$11=$A$3,Main!$B$43=$A104),Summary!R21,R104)</f>
        <v>6.1676744254850906</v>
      </c>
      <c r="S104" s="103">
        <f ca="1">IF(AND(Energy!$F$11=$A$3,Main!$B$43=A104),'Aerodynamics-Cruise'!W21,S104)</f>
        <v>1</v>
      </c>
      <c r="T104" s="103">
        <f ca="1">IF(AND(Energy!$F$11=$A$3,Main!$B$43=A104),'Aerodynamics-Cruise'!BL21,T104)</f>
        <v>31.191335988284269</v>
      </c>
      <c r="U104" s="103">
        <f ca="1">IF(AND(Energy!$F$11=$A$3,Main!$B$43=A104),'Propulsion-Cruise'!M21,U104)</f>
        <v>65.712079172481452</v>
      </c>
      <c r="V104" s="103">
        <f ca="1">IF(AND(Energy!$F$11=$A$3,Main!$B$43=A104),Endurance!AP21,V104)</f>
        <v>623.0003096034585</v>
      </c>
      <c r="W104" s="103">
        <f ca="1">IF(AND(Energy!$F$11=$A$3,Main!$B$43=$A104),Summary!W21,W104)</f>
        <v>1.3999999999999997</v>
      </c>
      <c r="X104" s="13">
        <f ca="1">IF(AND(Energy!$F$11=$A$3,Main!$B$43=A104),Energy!D21,X104)</f>
        <v>406.63344085636976</v>
      </c>
      <c r="Y104" s="102">
        <f ca="1">IF(AND(Energy!$F$11=$A$3,Main!$B$43=A104),'Aerodynamics-Cruise'!V21,Y104)</f>
        <v>187336.89359432296</v>
      </c>
      <c r="Z104" s="102">
        <f ca="1">IF(AND(Energy!$F$11=$A$3,Main!$B$43=$A104),Summary!Z21,Z104)</f>
        <v>139485.3995477522</v>
      </c>
      <c r="AA104" s="102">
        <f ca="1">IF(AND(Energy!$F$11=$A$3,Main!$B$43=$A104),Summary!AA21,AA104)</f>
        <v>139485.3995477522</v>
      </c>
      <c r="AB104" s="103">
        <f ca="1">IF(AND(Energy!$F$11=$A$3,Main!$B$43=$A104),Summary!AB21,AB104)</f>
        <v>6.1676744254850906</v>
      </c>
      <c r="AC104" s="103">
        <f ca="1">IF(AND(Energy!$F$11=$A$3,Main!$B$43=$A104),Summary!AC21,AC104)</f>
        <v>2.1208866615362374</v>
      </c>
      <c r="AD104" s="103">
        <f ca="1">IF(AND(Energy!$F$11=$A$3,Main!$B$43=$A104),Summary!AD21,AD104)</f>
        <v>0.46372756086660333</v>
      </c>
      <c r="AE104" s="103">
        <f ca="1">IF(AND(Energy!$F$11=$A$3,Main!$B$43=$A104),Summary!AE21,AE104)</f>
        <v>1.3999999999999997</v>
      </c>
      <c r="AF104" s="103">
        <f ca="1">IF(AND(Energy!$F$11=$A$3,Main!$B$43=$A104),Summary!AF21,AF104)</f>
        <v>14.464285714285717</v>
      </c>
      <c r="AG104" s="103">
        <f ca="1">IF(AND(Energy!$F$11=$A$3,Main!$B$43=$A104),Summary!AG21,AG104)</f>
        <v>12.62776899642941</v>
      </c>
      <c r="AH104" s="103">
        <f ca="1">IF(AND(Energy!$F$11=$A$3,Main!$B$43=$A104),Summary!AH21,AH104)</f>
        <v>47</v>
      </c>
      <c r="AI104" s="103">
        <f ca="1">IF(AND(Energy!$F$11=$A$3,Main!$B$43=$A104),Summary!AI21,AI104)</f>
        <v>2.7764265978402878</v>
      </c>
      <c r="AJ104" s="103">
        <f ca="1">IF(AND(Energy!$F$11=$A$3,Main!$B$43=$A104),Summary!AJ21,AJ104)</f>
        <v>0.22268053152760908</v>
      </c>
      <c r="AK104" s="103">
        <f ca="1">IF(AND(Energy!$F$11=$A$3,Main!$B$43=$A104),Summary!AK21,AK104)</f>
        <v>0.01</v>
      </c>
      <c r="AL104" s="103">
        <f ca="1">IF(AND(Energy!$F$11=$A$3,Main!$B$43=$A104),Summary!AL21,AL104)</f>
        <v>-0.56134044845337361</v>
      </c>
      <c r="AM104" s="103">
        <f ca="1">IF(AND(Energy!$F$11=$A$3,Main!$B$43=$A104),Summary!AJ121,AM104)</f>
        <v>0</v>
      </c>
    </row>
    <row r="105" spans="1:39">
      <c r="A105">
        <f>A104</f>
        <v>6</v>
      </c>
      <c r="D105" s="1">
        <f ca="1">IF(AND(Energy!$F$11=$A$3,Main!$B$43=A105),Main!C22,D105)</f>
        <v>4.6578947368421053</v>
      </c>
      <c r="E105" s="103">
        <f ca="1">IF(AND(Energy!$F$11=$A$3,Main!$B$43=A105),Main!B22,E105)</f>
        <v>0.31111111111111106</v>
      </c>
      <c r="F105" s="103">
        <f ca="1">IF(Main!$D$6=1,U105,IF(Main!$D$6=2,N105,IF(Main!$D$6=3,K105,IF(Main!$D$6=4,V105,J105))))</f>
        <v>612.59855493453836</v>
      </c>
      <c r="G105" s="103">
        <f ca="1">IF(AND(Energy!$F$11=$A$3,Main!$B$43=A105),Weight!H22,G105)</f>
        <v>15</v>
      </c>
      <c r="H105" s="103">
        <f ca="1">IF(AND(Energy!$F$11=$A$3,Main!$B$43=A105),Weight!U22,H105)</f>
        <v>17.70066430256837</v>
      </c>
      <c r="I105" s="103">
        <f ca="1">IF(AND(Energy!$F$11=$A$3,Main!$B$43=A105),Weight!V22,I105)</f>
        <v>53.655042309368326</v>
      </c>
      <c r="J105" s="103">
        <f ca="1">IF(AND(Energy!$F$11=$A$3,Main!$B$43=A105),Weight!I22,J105)</f>
        <v>31.016729731799959</v>
      </c>
      <c r="K105" s="103">
        <f ca="1">IF(AND(Energy!$F$11=$A$3,Main!$B$43=A105),Weight!W22,K105)</f>
        <v>68.655047340001232</v>
      </c>
      <c r="L105" s="103">
        <f ca="1">IF(AND(Energy!$F$11=$A$3,Main!$B$43=A105),'Aerodynamics-Cruise'!BI22,L105)</f>
        <v>68.655037372094895</v>
      </c>
      <c r="M105" s="103">
        <f ca="1">IF(AND(Energy!$F$11=$A$3,Main!$B$43=A105),'Aerodynamics-Cruise'!BJ22,M105)</f>
        <v>3.2574609090464142</v>
      </c>
      <c r="N105" s="103">
        <f ca="1">IF(AND(Energy!$F$11=$A$3,Main!$B$43=A105),'Aerodynamics-Cruise'!BK22,N105)</f>
        <v>21.076242904843607</v>
      </c>
      <c r="O105" s="103">
        <f t="shared" ca="1" si="5"/>
        <v>174.63424025576603</v>
      </c>
      <c r="P105" s="103">
        <f ca="1">IF(AND(Energy!$F$11=$A$3,Main!$B$43=A105),'Aerodynamics-Cruise'!H22,P105)</f>
        <v>9.3348885464589753</v>
      </c>
      <c r="Q105" s="103">
        <f ca="1">IF(AND(Energy!$F$11=$A$3,Main!$B$43=A105),'Aerodynamics-Cruise'!I22,Q105)</f>
        <v>7.8486714135845741</v>
      </c>
      <c r="R105" s="103">
        <f ca="1">IF(AND(Energy!$F$11=$A$3,Main!$B$43=$A105),Summary!R22,R105)</f>
        <v>5.9675931506571693</v>
      </c>
      <c r="S105" s="103">
        <f ca="1">IF(AND(Energy!$F$11=$A$3,Main!$B$43=A105),'Aerodynamics-Cruise'!W22,S105)</f>
        <v>1</v>
      </c>
      <c r="T105" s="103">
        <f ca="1">IF(AND(Energy!$F$11=$A$3,Main!$B$43=A105),'Aerodynamics-Cruise'!BL22,T105)</f>
        <v>30.408034530395213</v>
      </c>
      <c r="U105" s="103">
        <f ca="1">IF(AND(Energy!$F$11=$A$3,Main!$B$43=A105),'Propulsion-Cruise'!M22,U105)</f>
        <v>64.397217364687023</v>
      </c>
      <c r="V105" s="103">
        <f ca="1">IF(AND(Energy!$F$11=$A$3,Main!$B$43=A105),Endurance!AP22,V105)</f>
        <v>612.59855493453836</v>
      </c>
      <c r="W105" s="103">
        <f ca="1">IF(AND(Energy!$F$11=$A$3,Main!$B$43=$A105),Summary!W22,W105)</f>
        <v>1.4491228070175437</v>
      </c>
      <c r="X105" s="13">
        <f ca="1">IF(AND(Energy!$F$11=$A$3,Main!$B$43=A105),Energy!D22,X105)</f>
        <v>406.36686647405293</v>
      </c>
      <c r="Y105" s="102">
        <f ca="1">IF(AND(Energy!$F$11=$A$3,Main!$B$43=A105),'Aerodynamics-Cruise'!V22,Y105)</f>
        <v>184191.64914689606</v>
      </c>
      <c r="Z105" s="102">
        <f ca="1">IF(AND(Energy!$F$11=$A$3,Main!$B$43=$A105),Summary!Z22,Z105)</f>
        <v>137235.25787407812</v>
      </c>
      <c r="AA105" s="102">
        <f ca="1">IF(AND(Energy!$F$11=$A$3,Main!$B$43=$A105),Summary!AA22,AA105)</f>
        <v>137235.25787407812</v>
      </c>
      <c r="AB105" s="103">
        <f ca="1">IF(AND(Energy!$F$11=$A$3,Main!$B$43=$A105),Summary!AB22,AB105)</f>
        <v>5.9675931506571693</v>
      </c>
      <c r="AC105" s="103">
        <f ca="1">IF(AND(Energy!$F$11=$A$3,Main!$B$43=$A105),Summary!AC22,AC105)</f>
        <v>2.0972694322650272</v>
      </c>
      <c r="AD105" s="103">
        <f ca="1">IF(AND(Energy!$F$11=$A$3,Main!$B$43=$A105),Summary!AD22,AD105)</f>
        <v>0.45873311980049242</v>
      </c>
      <c r="AE105" s="103">
        <f ca="1">IF(AND(Energy!$F$11=$A$3,Main!$B$43=$A105),Summary!AE22,AE105)</f>
        <v>1.4491228070175437</v>
      </c>
      <c r="AF105" s="103">
        <f ca="1">IF(AND(Energy!$F$11=$A$3,Main!$B$43=$A105),Summary!AF22,AF105)</f>
        <v>14.971804511278197</v>
      </c>
      <c r="AG105" s="103">
        <f ca="1">IF(AND(Energy!$F$11=$A$3,Main!$B$43=$A105),Summary!AG22,AG105)</f>
        <v>12.489560529220892</v>
      </c>
      <c r="AH105" s="103">
        <f ca="1">IF(AND(Energy!$F$11=$A$3,Main!$B$43=$A105),Summary!AH22,AH105)</f>
        <v>47</v>
      </c>
      <c r="AI105" s="103">
        <f ca="1">IF(AND(Energy!$F$11=$A$3,Main!$B$43=$A105),Summary!AI22,AI105)</f>
        <v>2.7725664155821685</v>
      </c>
      <c r="AJ105" s="103">
        <f ca="1">IF(AND(Energy!$F$11=$A$3,Main!$B$43=$A105),Summary!AJ22,AJ105)</f>
        <v>0.2236433152768609</v>
      </c>
      <c r="AK105" s="103">
        <f ca="1">IF(AND(Energy!$F$11=$A$3,Main!$B$43=$A105),Summary!AK22,AK105)</f>
        <v>0.01</v>
      </c>
      <c r="AL105" s="103">
        <f ca="1">IF(AND(Energy!$F$11=$A$3,Main!$B$43=$A105),Summary!AL22,AL105)</f>
        <v>-0.5589238218540622</v>
      </c>
      <c r="AM105" s="103">
        <f ca="1">IF(AND(Energy!$F$11=$A$3,Main!$B$43=$A105),Summary!AJ122,AM105)</f>
        <v>0</v>
      </c>
    </row>
    <row r="106" spans="1:39">
      <c r="A106">
        <f t="shared" ref="A106:A123" si="7">A105</f>
        <v>6</v>
      </c>
      <c r="D106" s="1">
        <f ca="1">IF(AND(Energy!$F$11=$A$3,Main!$B$43=A106),Main!C23,D106)</f>
        <v>4.8157894736842106</v>
      </c>
      <c r="E106" s="103">
        <f ca="1">IF(AND(Energy!$F$11=$A$3,Main!$B$43=A106),Main!B23,E106)</f>
        <v>0.31111111111111106</v>
      </c>
      <c r="F106" s="103">
        <f ca="1">IF(Main!$D$6=1,U106,IF(Main!$D$6=2,N106,IF(Main!$D$6=3,K106,IF(Main!$D$6=4,V106,J106))))</f>
        <v>604.3163692298416</v>
      </c>
      <c r="G106" s="103">
        <f ca="1">IF(AND(Energy!$F$11=$A$3,Main!$B$43=A106),Weight!H23,G106)</f>
        <v>15</v>
      </c>
      <c r="H106" s="103">
        <f ca="1">IF(AND(Energy!$F$11=$A$3,Main!$B$43=A106),Weight!U23,H106)</f>
        <v>18.247610564713227</v>
      </c>
      <c r="I106" s="103">
        <f ca="1">IF(AND(Energy!$F$11=$A$3,Main!$B$43=A106),Weight!V23,I106)</f>
        <v>53.817590177909324</v>
      </c>
      <c r="J106" s="103">
        <f ca="1">IF(AND(Energy!$F$11=$A$3,Main!$B$43=A106),Weight!I23,J106)</f>
        <v>30.632331338196092</v>
      </c>
      <c r="K106" s="103">
        <f ca="1">IF(AND(Energy!$F$11=$A$3,Main!$B$43=A106),Weight!W23,K106)</f>
        <v>68.817595428547136</v>
      </c>
      <c r="L106" s="103">
        <f ca="1">IF(AND(Energy!$F$11=$A$3,Main!$B$43=A106),'Aerodynamics-Cruise'!BI23,L106)</f>
        <v>68.817585039170879</v>
      </c>
      <c r="M106" s="103">
        <f ca="1">IF(AND(Energy!$F$11=$A$3,Main!$B$43=A106),'Aerodynamics-Cruise'!BJ23,M106)</f>
        <v>3.2370919396835256</v>
      </c>
      <c r="N106" s="103">
        <f ca="1">IF(AND(Energy!$F$11=$A$3,Main!$B$43=A106),'Aerodynamics-Cruise'!BK23,N106)</f>
        <v>21.259076455486412</v>
      </c>
      <c r="O106" s="103">
        <f t="shared" ca="1" si="5"/>
        <v>176.35757072732588</v>
      </c>
      <c r="P106" s="103">
        <f ca="1">IF(AND(Energy!$F$11=$A$3,Main!$B$43=A106),'Aerodynamics-Cruise'!H23,P106)</f>
        <v>9.1913753660589652</v>
      </c>
      <c r="Q106" s="103">
        <f ca="1">IF(AND(Energy!$F$11=$A$3,Main!$B$43=A106),'Aerodynamics-Cruise'!I23,Q106)</f>
        <v>7.732927178541531</v>
      </c>
      <c r="R106" s="103">
        <f ca="1">IF(AND(Energy!$F$11=$A$3,Main!$B$43=$A106),Summary!R23,R106)</f>
        <v>5.8009478774938144</v>
      </c>
      <c r="S106" s="103">
        <f ca="1">IF(AND(Energy!$F$11=$A$3,Main!$B$43=A106),'Aerodynamics-Cruise'!W23,S106)</f>
        <v>1</v>
      </c>
      <c r="T106" s="103">
        <f ca="1">IF(AND(Energy!$F$11=$A$3,Main!$B$43=A106),'Aerodynamics-Cruise'!BL23,T106)</f>
        <v>29.753327112075191</v>
      </c>
      <c r="U106" s="103">
        <f ca="1">IF(AND(Energy!$F$11=$A$3,Main!$B$43=A106),'Propulsion-Cruise'!M23,U106)</f>
        <v>63.318011146664112</v>
      </c>
      <c r="V106" s="103">
        <f ca="1">IF(AND(Energy!$F$11=$A$3,Main!$B$43=A106),Endurance!AP23,V106)</f>
        <v>604.3163692298416</v>
      </c>
      <c r="W106" s="103">
        <f ca="1">IF(AND(Energy!$F$11=$A$3,Main!$B$43=$A106),Summary!W23,W106)</f>
        <v>1.4982456140350875</v>
      </c>
      <c r="X106" s="13">
        <f ca="1">IF(AND(Energy!$F$11=$A$3,Main!$B$43=A106),Energy!D23,X106)</f>
        <v>406.15361847205475</v>
      </c>
      <c r="Y106" s="102">
        <f ca="1">IF(AND(Energy!$F$11=$A$3,Main!$B$43=A106),'Aerodynamics-Cruise'!V23,Y106)</f>
        <v>181359.91428036452</v>
      </c>
      <c r="Z106" s="102">
        <f ca="1">IF(AND(Energy!$F$11=$A$3,Main!$B$43=$A106),Summary!Z23,Z106)</f>
        <v>135208.09426665038</v>
      </c>
      <c r="AA106" s="102">
        <f ca="1">IF(AND(Energy!$F$11=$A$3,Main!$B$43=$A106),Summary!AA23,AA106)</f>
        <v>135208.09426665038</v>
      </c>
      <c r="AB106" s="103">
        <f ca="1">IF(AND(Energy!$F$11=$A$3,Main!$B$43=$A106),Summary!AB23,AB106)</f>
        <v>5.8009478774938144</v>
      </c>
      <c r="AC106" s="103">
        <f ca="1">IF(AND(Energy!$F$11=$A$3,Main!$B$43=$A106),Summary!AC23,AC106)</f>
        <v>2.0713064475286824</v>
      </c>
      <c r="AD106" s="103">
        <f ca="1">IF(AND(Energy!$F$11=$A$3,Main!$B$43=$A106),Summary!AD23,AD106)</f>
        <v>0.45443187930739726</v>
      </c>
      <c r="AE106" s="103">
        <f ca="1">IF(AND(Energy!$F$11=$A$3,Main!$B$43=$A106),Summary!AE23,AE106)</f>
        <v>1.4982456140350875</v>
      </c>
      <c r="AF106" s="103">
        <f ca="1">IF(AND(Energy!$F$11=$A$3,Main!$B$43=$A106),Summary!AF23,AF106)</f>
        <v>15.479323308270679</v>
      </c>
      <c r="AG106" s="103">
        <f ca="1">IF(AND(Energy!$F$11=$A$3,Main!$B$43=$A106),Summary!AG23,AG106)</f>
        <v>12.377087894747477</v>
      </c>
      <c r="AH106" s="103">
        <f ca="1">IF(AND(Energy!$F$11=$A$3,Main!$B$43=$A106),Summary!AH23,AH106)</f>
        <v>47</v>
      </c>
      <c r="AI106" s="103">
        <f ca="1">IF(AND(Energy!$F$11=$A$3,Main!$B$43=$A106),Summary!AI23,AI106)</f>
        <v>2.7690394336477491</v>
      </c>
      <c r="AJ106" s="103">
        <f ca="1">IF(AND(Energy!$F$11=$A$3,Main!$B$43=$A106),Summary!AJ23,AJ106)</f>
        <v>0.22453182745819508</v>
      </c>
      <c r="AK106" s="103">
        <f ca="1">IF(AND(Energy!$F$11=$A$3,Main!$B$43=$A106),Summary!AK23,AK106)</f>
        <v>0.01</v>
      </c>
      <c r="AL106" s="103">
        <f ca="1">IF(AND(Energy!$F$11=$A$3,Main!$B$43=$A106),Summary!AL23,AL106)</f>
        <v>-0.5567119937680135</v>
      </c>
      <c r="AM106" s="103">
        <f ca="1">IF(AND(Energy!$F$11=$A$3,Main!$B$43=$A106),Summary!AJ123,AM106)</f>
        <v>0</v>
      </c>
    </row>
    <row r="107" spans="1:39">
      <c r="A107">
        <f t="shared" si="7"/>
        <v>6</v>
      </c>
      <c r="D107" s="1">
        <f ca="1">IF(AND(Energy!$F$11=$A$3,Main!$B$43=A107),Main!C24,D107)</f>
        <v>4.9736842105263159</v>
      </c>
      <c r="E107" s="103">
        <f ca="1">IF(AND(Energy!$F$11=$A$3,Main!$B$43=A107),Main!B24,E107)</f>
        <v>0.31111111111111106</v>
      </c>
      <c r="F107" s="103">
        <f ca="1">IF(Main!$D$6=1,U107,IF(Main!$D$6=2,N107,IF(Main!$D$6=3,K107,IF(Main!$D$6=4,V107,J107))))</f>
        <v>597.82259859680948</v>
      </c>
      <c r="G107" s="103">
        <f ca="1">IF(AND(Energy!$F$11=$A$3,Main!$B$43=A107),Weight!H24,G107)</f>
        <v>15</v>
      </c>
      <c r="H107" s="103">
        <f ca="1">IF(AND(Energy!$F$11=$A$3,Main!$B$43=A107),Weight!U24,H107)</f>
        <v>18.81609108509609</v>
      </c>
      <c r="I107" s="103">
        <f ca="1">IF(AND(Energy!$F$11=$A$3,Main!$B$43=A107),Weight!V24,I107)</f>
        <v>54.082737631535068</v>
      </c>
      <c r="J107" s="103">
        <f ca="1">IF(AND(Energy!$F$11=$A$3,Main!$B$43=A107),Weight!I24,J107)</f>
        <v>30.328998271438977</v>
      </c>
      <c r="K107" s="103">
        <f ca="1">IF(AND(Energy!$F$11=$A$3,Main!$B$43=A107),Weight!W24,K107)</f>
        <v>69.082743094977076</v>
      </c>
      <c r="L107" s="103">
        <f ca="1">IF(AND(Energy!$F$11=$A$3,Main!$B$43=A107),'Aerodynamics-Cruise'!BI24,L107)</f>
        <v>69.082732300113832</v>
      </c>
      <c r="M107" s="103">
        <f ca="1">IF(AND(Energy!$F$11=$A$3,Main!$B$43=A107),'Aerodynamics-Cruise'!BJ24,M107)</f>
        <v>3.2230797704424292</v>
      </c>
      <c r="N107" s="103">
        <f ca="1">IF(AND(Energy!$F$11=$A$3,Main!$B$43=A107),'Aerodynamics-Cruise'!BK24,N107)</f>
        <v>21.433764355956637</v>
      </c>
      <c r="O107" s="103">
        <f t="shared" ca="1" si="5"/>
        <v>178.14892448263456</v>
      </c>
      <c r="P107" s="103">
        <f ca="1">IF(AND(Energy!$F$11=$A$3,Main!$B$43=A107),'Aerodynamics-Cruise'!H24,P107)</f>
        <v>9.0616493816791017</v>
      </c>
      <c r="Q107" s="103">
        <f ca="1">IF(AND(Energy!$F$11=$A$3,Main!$B$43=A107),'Aerodynamics-Cruise'!I24,Q107)</f>
        <v>7.6282378935761024</v>
      </c>
      <c r="R107" s="103">
        <f ca="1">IF(AND(Energy!$F$11=$A$3,Main!$B$43=$A107),Summary!R24,R107)</f>
        <v>5.6620208593021202</v>
      </c>
      <c r="S107" s="103">
        <f ca="1">IF(AND(Energy!$F$11=$A$3,Main!$B$43=A107),'Aerodynamics-Cruise'!W24,S107)</f>
        <v>1</v>
      </c>
      <c r="T107" s="103">
        <f ca="1">IF(AND(Energy!$F$11=$A$3,Main!$B$43=A107),'Aerodynamics-Cruise'!BL24,T107)</f>
        <v>29.20641880893206</v>
      </c>
      <c r="U107" s="103">
        <f ca="1">IF(AND(Energy!$F$11=$A$3,Main!$B$43=A107),'Propulsion-Cruise'!M24,U107)</f>
        <v>62.437102156786175</v>
      </c>
      <c r="V107" s="103">
        <f ca="1">IF(AND(Energy!$F$11=$A$3,Main!$B$43=A107),Endurance!AP24,V107)</f>
        <v>597.82259859680948</v>
      </c>
      <c r="W107" s="103">
        <f ca="1">IF(AND(Energy!$F$11=$A$3,Main!$B$43=$A107),Summary!W24,W107)</f>
        <v>1.5473684210526313</v>
      </c>
      <c r="X107" s="13">
        <f ca="1">IF(AND(Energy!$F$11=$A$3,Main!$B$43=A107),Energy!D24,X107)</f>
        <v>405.98534211420764</v>
      </c>
      <c r="Y107" s="102">
        <f ca="1">IF(AND(Energy!$F$11=$A$3,Main!$B$43=A107),'Aerodynamics-Cruise'!V24,Y107)</f>
        <v>178800.22190897618</v>
      </c>
      <c r="Z107" s="102">
        <f ca="1">IF(AND(Energy!$F$11=$A$3,Main!$B$43=$A107),Summary!Z24,Z107)</f>
        <v>133374.59298507663</v>
      </c>
      <c r="AA107" s="102">
        <f ca="1">IF(AND(Energy!$F$11=$A$3,Main!$B$43=$A107),Summary!AA24,AA107)</f>
        <v>133374.59298507663</v>
      </c>
      <c r="AB107" s="103">
        <f ca="1">IF(AND(Energy!$F$11=$A$3,Main!$B$43=$A107),Summary!AB24,AB107)</f>
        <v>5.6620208593021202</v>
      </c>
      <c r="AC107" s="103">
        <f ca="1">IF(AND(Energy!$F$11=$A$3,Main!$B$43=$A107),Summary!AC24,AC107)</f>
        <v>2.0435629928247394</v>
      </c>
      <c r="AD107" s="103">
        <f ca="1">IF(AND(Energy!$F$11=$A$3,Main!$B$43=$A107),Summary!AD24,AD107)</f>
        <v>0.45072971487985514</v>
      </c>
      <c r="AE107" s="103">
        <f ca="1">IF(AND(Energy!$F$11=$A$3,Main!$B$43=$A107),Summary!AE24,AE107)</f>
        <v>1.5473684210526313</v>
      </c>
      <c r="AF107" s="103">
        <f ca="1">IF(AND(Energy!$F$11=$A$3,Main!$B$43=$A107),Summary!AF24,AF107)</f>
        <v>15.986842105263163</v>
      </c>
      <c r="AG107" s="103">
        <f ca="1">IF(AND(Energy!$F$11=$A$3,Main!$B$43=$A107),Summary!AG24,AG107)</f>
        <v>12.28653947504114</v>
      </c>
      <c r="AH107" s="103">
        <f ca="1">IF(AND(Energy!$F$11=$A$3,Main!$B$43=$A107),Summary!AH24,AH107)</f>
        <v>47</v>
      </c>
      <c r="AI107" s="103">
        <f ca="1">IF(AND(Energy!$F$11=$A$3,Main!$B$43=$A107),Summary!AI24,AI107)</f>
        <v>2.7658079770176083</v>
      </c>
      <c r="AJ107" s="103">
        <f ca="1">IF(AND(Energy!$F$11=$A$3,Main!$B$43=$A107),Summary!AJ24,AJ107)</f>
        <v>0.22535342103605296</v>
      </c>
      <c r="AK107" s="103">
        <f ca="1">IF(AND(Energy!$F$11=$A$3,Main!$B$43=$A107),Summary!AK24,AK107)</f>
        <v>0.01</v>
      </c>
      <c r="AL107" s="103">
        <f ca="1">IF(AND(Energy!$F$11=$A$3,Main!$B$43=$A107),Summary!AL24,AL107)</f>
        <v>-0.55468225776705415</v>
      </c>
      <c r="AM107" s="103">
        <f ca="1">IF(AND(Energy!$F$11=$A$3,Main!$B$43=$A107),Summary!AJ124,AM107)</f>
        <v>0</v>
      </c>
    </row>
    <row r="108" spans="1:39">
      <c r="A108">
        <f t="shared" si="7"/>
        <v>6</v>
      </c>
      <c r="D108" s="1">
        <f ca="1">IF(AND(Energy!$F$11=$A$3,Main!$B$43=A108),Main!C25,D108)</f>
        <v>5.1315789473684212</v>
      </c>
      <c r="E108" s="103">
        <f ca="1">IF(AND(Energy!$F$11=$A$3,Main!$B$43=A108),Main!B25,E108)</f>
        <v>0.31111111111111106</v>
      </c>
      <c r="F108" s="103">
        <f ca="1">IF(Main!$D$6=1,U108,IF(Main!$D$6=2,N108,IF(Main!$D$6=3,K108,IF(Main!$D$6=4,V108,J108))))</f>
        <v>592.85809338156082</v>
      </c>
      <c r="G108" s="103">
        <f ca="1">IF(AND(Energy!$F$11=$A$3,Main!$B$43=A108),Weight!H25,G108)</f>
        <v>15</v>
      </c>
      <c r="H108" s="103">
        <f ca="1">IF(AND(Energy!$F$11=$A$3,Main!$B$43=A108),Weight!U25,H108)</f>
        <v>19.405344509398518</v>
      </c>
      <c r="I108" s="103">
        <f ca="1">IF(AND(Energy!$F$11=$A$3,Main!$B$43=A108),Weight!V25,I108)</f>
        <v>54.437938380505074</v>
      </c>
      <c r="J108" s="103">
        <f ca="1">IF(AND(Energy!$F$11=$A$3,Main!$B$43=A108),Weight!I25,J108)</f>
        <v>30.094945596106559</v>
      </c>
      <c r="K108" s="103">
        <f ca="1">IF(AND(Energy!$F$11=$A$3,Main!$B$43=A108),Weight!W25,K108)</f>
        <v>69.437944050042063</v>
      </c>
      <c r="L108" s="103">
        <f ca="1">IF(AND(Energy!$F$11=$A$3,Main!$B$43=A108),'Aerodynamics-Cruise'!BI25,L108)</f>
        <v>69.437932864339487</v>
      </c>
      <c r="M108" s="103">
        <f ca="1">IF(AND(Energy!$F$11=$A$3,Main!$B$43=A108),'Aerodynamics-Cruise'!BJ25,M108)</f>
        <v>3.2145608841537747</v>
      </c>
      <c r="N108" s="103">
        <f ca="1">IF(AND(Energy!$F$11=$A$3,Main!$B$43=A108),'Aerodynamics-Cruise'!BK25,N108)</f>
        <v>21.601063214149963</v>
      </c>
      <c r="O108" s="103">
        <f t="shared" ca="1" si="5"/>
        <v>180.00042049686439</v>
      </c>
      <c r="P108" s="103">
        <f ca="1">IF(AND(Energy!$F$11=$A$3,Main!$B$43=A108),'Aerodynamics-Cruise'!H25,P108)</f>
        <v>8.9440007190620232</v>
      </c>
      <c r="Q108" s="103">
        <f ca="1">IF(AND(Energy!$F$11=$A$3,Main!$B$43=A108),'Aerodynamics-Cruise'!I25,Q108)</f>
        <v>7.5332413066349506</v>
      </c>
      <c r="R108" s="103">
        <f ca="1">IF(AND(Energy!$F$11=$A$3,Main!$B$43=$A108),Summary!R25,R108)</f>
        <v>5.546416888224031</v>
      </c>
      <c r="S108" s="103">
        <f ca="1">IF(AND(Energy!$F$11=$A$3,Main!$B$43=A108),'Aerodynamics-Cruise'!W25,S108)</f>
        <v>1</v>
      </c>
      <c r="T108" s="103">
        <f ca="1">IF(AND(Energy!$F$11=$A$3,Main!$B$43=A108),'Aerodynamics-Cruise'!BL25,T108)</f>
        <v>28.751034859340013</v>
      </c>
      <c r="U108" s="103">
        <f ca="1">IF(AND(Energy!$F$11=$A$3,Main!$B$43=A108),'Propulsion-Cruise'!M25,U108)</f>
        <v>61.725237823577238</v>
      </c>
      <c r="V108" s="103">
        <f ca="1">IF(AND(Energy!$F$11=$A$3,Main!$B$43=A108),Endurance!AP25,V108)</f>
        <v>592.85809338156082</v>
      </c>
      <c r="W108" s="103">
        <f ca="1">IF(AND(Energy!$F$11=$A$3,Main!$B$43=$A108),Summary!W25,W108)</f>
        <v>1.5964912280701753</v>
      </c>
      <c r="X108" s="13">
        <f ca="1">IF(AND(Energy!$F$11=$A$3,Main!$B$43=A108),Energy!D25,X108)</f>
        <v>405.85549961210774</v>
      </c>
      <c r="Y108" s="102">
        <f ca="1">IF(AND(Energy!$F$11=$A$3,Main!$B$43=A108),'Aerodynamics-Cruise'!V25,Y108)</f>
        <v>176478.8335946415</v>
      </c>
      <c r="Z108" s="102">
        <f ca="1">IF(AND(Energy!$F$11=$A$3,Main!$B$43=$A108),Summary!Z25,Z108)</f>
        <v>131710.88387469799</v>
      </c>
      <c r="AA108" s="102">
        <f ca="1">IF(AND(Energy!$F$11=$A$3,Main!$B$43=$A108),Summary!AA25,AA108)</f>
        <v>131710.88387469799</v>
      </c>
      <c r="AB108" s="103">
        <f ca="1">IF(AND(Energy!$F$11=$A$3,Main!$B$43=$A108),Summary!AB25,AB108)</f>
        <v>5.546416888224031</v>
      </c>
      <c r="AC108" s="103">
        <f ca="1">IF(AND(Energy!$F$11=$A$3,Main!$B$43=$A108),Summary!AC25,AC108)</f>
        <v>2.0144823832895677</v>
      </c>
      <c r="AD108" s="103">
        <f ca="1">IF(AND(Energy!$F$11=$A$3,Main!$B$43=$A108),Summary!AD25,AD108)</f>
        <v>0.44755045437780044</v>
      </c>
      <c r="AE108" s="103">
        <f ca="1">IF(AND(Energy!$F$11=$A$3,Main!$B$43=$A108),Summary!AE25,AE108)</f>
        <v>1.5964912280701753</v>
      </c>
      <c r="AF108" s="103">
        <f ca="1">IF(AND(Energy!$F$11=$A$3,Main!$B$43=$A108),Summary!AF25,AF108)</f>
        <v>16.494360902255643</v>
      </c>
      <c r="AG108" s="103">
        <f ca="1">IF(AND(Energy!$F$11=$A$3,Main!$B$43=$A108),Summary!AG25,AG108)</f>
        <v>12.214883570486286</v>
      </c>
      <c r="AH108" s="103">
        <f ca="1">IF(AND(Energy!$F$11=$A$3,Main!$B$43=$A108),Summary!AH25,AH108)</f>
        <v>47</v>
      </c>
      <c r="AI108" s="103">
        <f ca="1">IF(AND(Energy!$F$11=$A$3,Main!$B$43=$A108),Summary!AI25,AI108)</f>
        <v>2.7628408179570125</v>
      </c>
      <c r="AJ108" s="103">
        <f ca="1">IF(AND(Energy!$F$11=$A$3,Main!$B$43=$A108),Summary!AJ25,AJ108)</f>
        <v>0.22611436452292966</v>
      </c>
      <c r="AK108" s="103">
        <f ca="1">IF(AND(Energy!$F$11=$A$3,Main!$B$43=$A108),Summary!AK25,AK108)</f>
        <v>0.01</v>
      </c>
      <c r="AL108" s="103">
        <f ca="1">IF(AND(Energy!$F$11=$A$3,Main!$B$43=$A108),Summary!AL25,AL108)</f>
        <v>-0.55281550233931231</v>
      </c>
      <c r="AM108" s="103">
        <f ca="1">IF(AND(Energy!$F$11=$A$3,Main!$B$43=$A108),Summary!AJ125,AM108)</f>
        <v>0</v>
      </c>
    </row>
    <row r="109" spans="1:39">
      <c r="A109">
        <f t="shared" si="7"/>
        <v>6</v>
      </c>
      <c r="D109" s="1">
        <f ca="1">IF(AND(Energy!$F$11=$A$3,Main!$B$43=A109),Main!C26,D109)</f>
        <v>5.2894736842105265</v>
      </c>
      <c r="E109" s="103">
        <f ca="1">IF(AND(Energy!$F$11=$A$3,Main!$B$43=A109),Main!B26,E109)</f>
        <v>0.31111111111111106</v>
      </c>
      <c r="F109" s="103">
        <f ca="1">IF(Main!$D$6=1,U109,IF(Main!$D$6=2,N109,IF(Main!$D$6=3,K109,IF(Main!$D$6=4,V109,J109))))</f>
        <v>589.2170326753469</v>
      </c>
      <c r="G109" s="103">
        <f ca="1">IF(AND(Energy!$F$11=$A$3,Main!$B$43=A109),Weight!H26,G109)</f>
        <v>15</v>
      </c>
      <c r="H109" s="103">
        <f ca="1">IF(AND(Energy!$F$11=$A$3,Main!$B$43=A109),Weight!U26,H109)</f>
        <v>20.01480698037517</v>
      </c>
      <c r="I109" s="103">
        <f ca="1">IF(AND(Energy!$F$11=$A$3,Main!$B$43=A109),Weight!V26,I109)</f>
        <v>54.873269183359298</v>
      </c>
      <c r="J109" s="103">
        <f ca="1">IF(AND(Energy!$F$11=$A$3,Main!$B$43=A109),Weight!I26,J109)</f>
        <v>29.920813927984131</v>
      </c>
      <c r="K109" s="103">
        <f ca="1">IF(AND(Energy!$F$11=$A$3,Main!$B$43=A109),Weight!W26,K109)</f>
        <v>69.873275051398196</v>
      </c>
      <c r="L109" s="103">
        <f ca="1">IF(AND(Energy!$F$11=$A$3,Main!$B$43=A109),'Aerodynamics-Cruise'!BI26,L109)</f>
        <v>69.873263491022982</v>
      </c>
      <c r="M109" s="103">
        <f ca="1">IF(AND(Energy!$F$11=$A$3,Main!$B$43=A109),'Aerodynamics-Cruise'!BJ26,M109)</f>
        <v>3.2108391092417765</v>
      </c>
      <c r="N109" s="103">
        <f ca="1">IF(AND(Energy!$F$11=$A$3,Main!$B$43=A109),'Aerodynamics-Cruise'!BK26,N109)</f>
        <v>21.761683196740183</v>
      </c>
      <c r="O109" s="103">
        <f t="shared" ca="1" si="5"/>
        <v>181.90640772629098</v>
      </c>
      <c r="P109" s="103">
        <f ca="1">IF(AND(Energy!$F$11=$A$3,Main!$B$43=A109),'Aerodynamics-Cruise'!H26,P109)</f>
        <v>8.8370191374100546</v>
      </c>
      <c r="Q109" s="103">
        <f ca="1">IF(AND(Energy!$F$11=$A$3,Main!$B$43=A109),'Aerodynamics-Cruise'!I26,Q109)</f>
        <v>7.4468130057880355</v>
      </c>
      <c r="R109" s="103">
        <f ca="1">IF(AND(Energy!$F$11=$A$3,Main!$B$43=$A109),Summary!R26,R109)</f>
        <v>5.4507026307244493</v>
      </c>
      <c r="S109" s="103">
        <f ca="1">IF(AND(Energy!$F$11=$A$3,Main!$B$43=A109),'Aerodynamics-Cruise'!W26,S109)</f>
        <v>1</v>
      </c>
      <c r="T109" s="103">
        <f ca="1">IF(AND(Energy!$F$11=$A$3,Main!$B$43=A109),'Aerodynamics-Cruise'!BL26,T109)</f>
        <v>28.374246655514231</v>
      </c>
      <c r="U109" s="103">
        <f ca="1">IF(AND(Energy!$F$11=$A$3,Main!$B$43=A109),'Propulsion-Cruise'!M26,U109)</f>
        <v>61.159168800991132</v>
      </c>
      <c r="V109" s="103">
        <f ca="1">IF(AND(Energy!$F$11=$A$3,Main!$B$43=A109),Endurance!AP26,V109)</f>
        <v>589.2170326753469</v>
      </c>
      <c r="W109" s="103">
        <f ca="1">IF(AND(Energy!$F$11=$A$3,Main!$B$43=$A109),Summary!W26,W109)</f>
        <v>1.6456140350877191</v>
      </c>
      <c r="X109" s="13">
        <f ca="1">IF(AND(Energy!$F$11=$A$3,Main!$B$43=A109),Energy!D26,X109)</f>
        <v>405.75889877097705</v>
      </c>
      <c r="Y109" s="102">
        <f ca="1">IF(AND(Energy!$F$11=$A$3,Main!$B$43=A109),'Aerodynamics-Cruise'!V26,Y109)</f>
        <v>174367.92312637522</v>
      </c>
      <c r="Z109" s="102">
        <f ca="1">IF(AND(Energy!$F$11=$A$3,Main!$B$43=$A109),Summary!Z26,Z109)</f>
        <v>130197.26495086111</v>
      </c>
      <c r="AA109" s="102">
        <f ca="1">IF(AND(Energy!$F$11=$A$3,Main!$B$43=$A109),Summary!AA26,AA109)</f>
        <v>130197.26495086111</v>
      </c>
      <c r="AB109" s="103">
        <f ca="1">IF(AND(Energy!$F$11=$A$3,Main!$B$43=$A109),Summary!AB26,AB109)</f>
        <v>5.4507026307244493</v>
      </c>
      <c r="AC109" s="103">
        <f ca="1">IF(AND(Energy!$F$11=$A$3,Main!$B$43=$A109),Summary!AC26,AC109)</f>
        <v>1.9844154640620044</v>
      </c>
      <c r="AD109" s="103">
        <f ca="1">IF(AND(Energy!$F$11=$A$3,Main!$B$43=$A109),Summary!AD26,AD109)</f>
        <v>0.44483160360826568</v>
      </c>
      <c r="AE109" s="103">
        <f ca="1">IF(AND(Energy!$F$11=$A$3,Main!$B$43=$A109),Summary!AE26,AE109)</f>
        <v>1.6456140350877191</v>
      </c>
      <c r="AF109" s="103">
        <f ca="1">IF(AND(Energy!$F$11=$A$3,Main!$B$43=$A109),Summary!AF26,AF109)</f>
        <v>17.001879699248125</v>
      </c>
      <c r="AG109" s="103">
        <f ca="1">IF(AND(Energy!$F$11=$A$3,Main!$B$43=$A109),Summary!AG26,AG109)</f>
        <v>12.159674478376173</v>
      </c>
      <c r="AH109" s="103">
        <f ca="1">IF(AND(Energy!$F$11=$A$3,Main!$B$43=$A109),Summary!AH26,AH109)</f>
        <v>47</v>
      </c>
      <c r="AI109" s="103">
        <f ca="1">IF(AND(Energy!$F$11=$A$3,Main!$B$43=$A109),Summary!AI26,AI109)</f>
        <v>2.7601117285642278</v>
      </c>
      <c r="AJ109" s="103">
        <f ca="1">IF(AND(Energy!$F$11=$A$3,Main!$B$43=$A109),Summary!AJ26,AJ109)</f>
        <v>0.22682005609502229</v>
      </c>
      <c r="AK109" s="103">
        <f ca="1">IF(AND(Energy!$F$11=$A$3,Main!$B$43=$A109),Summary!AK26,AK109)</f>
        <v>0.01</v>
      </c>
      <c r="AL109" s="103">
        <f ca="1">IF(AND(Energy!$F$11=$A$3,Main!$B$43=$A109),Summary!AL26,AL109)</f>
        <v>-0.55109547480362664</v>
      </c>
      <c r="AM109" s="103">
        <f ca="1">IF(AND(Energy!$F$11=$A$3,Main!$B$43=$A109),Summary!AJ126,AM109)</f>
        <v>0</v>
      </c>
    </row>
    <row r="110" spans="1:39">
      <c r="A110">
        <f t="shared" si="7"/>
        <v>6</v>
      </c>
      <c r="D110" s="1">
        <f ca="1">IF(AND(Energy!$F$11=$A$3,Main!$B$43=A110),Main!C27,D110)</f>
        <v>5.4473684210526319</v>
      </c>
      <c r="E110" s="103">
        <f ca="1">IF(AND(Energy!$F$11=$A$3,Main!$B$43=A110),Main!B27,E110)</f>
        <v>0.31111111111111106</v>
      </c>
      <c r="F110" s="103">
        <f ca="1">IF(Main!$D$6=1,U110,IF(Main!$D$6=2,N110,IF(Main!$D$6=3,K110,IF(Main!$D$6=4,V110,J110))))</f>
        <v>586.73384735734044</v>
      </c>
      <c r="G110" s="103">
        <f ca="1">IF(AND(Energy!$F$11=$A$3,Main!$B$43=A110),Weight!H27,G110)</f>
        <v>15</v>
      </c>
      <c r="H110" s="103">
        <f ca="1">IF(AND(Energy!$F$11=$A$3,Main!$B$43=A110),Weight!U27,H110)</f>
        <v>20.644065772693601</v>
      </c>
      <c r="I110" s="103">
        <f ca="1">IF(AND(Energy!$F$11=$A$3,Main!$B$43=A110),Weight!V27,I110)</f>
        <v>55.380788559491378</v>
      </c>
      <c r="J110" s="103">
        <f ca="1">IF(AND(Energy!$F$11=$A$3,Main!$B$43=A110),Weight!I27,J110)</f>
        <v>29.799074511797777</v>
      </c>
      <c r="K110" s="103">
        <f ca="1">IF(AND(Energy!$F$11=$A$3,Main!$B$43=A110),Weight!W27,K110)</f>
        <v>70.380794616830514</v>
      </c>
      <c r="L110" s="103">
        <f ca="1">IF(AND(Energy!$F$11=$A$3,Main!$B$43=A110),'Aerodynamics-Cruise'!BI27,L110)</f>
        <v>70.380782701001365</v>
      </c>
      <c r="M110" s="103">
        <f ca="1">IF(AND(Energy!$F$11=$A$3,Main!$B$43=A110),'Aerodynamics-Cruise'!BJ27,M110)</f>
        <v>3.2113462791796685</v>
      </c>
      <c r="N110" s="103">
        <f ca="1">IF(AND(Energy!$F$11=$A$3,Main!$B$43=A110),'Aerodynamics-Cruise'!BK27,N110)</f>
        <v>21.916285751339149</v>
      </c>
      <c r="O110" s="103">
        <f t="shared" ca="1" si="5"/>
        <v>183.8628553840702</v>
      </c>
      <c r="P110" s="103">
        <f ca="1">IF(AND(Energy!$F$11=$A$3,Main!$B$43=A110),'Aerodynamics-Cruise'!H27,P110)</f>
        <v>8.7395276908106112</v>
      </c>
      <c r="Q110" s="103">
        <f ca="1">IF(AND(Energy!$F$11=$A$3,Main!$B$43=A110),'Aerodynamics-Cruise'!I27,Q110)</f>
        <v>7.3680138725551823</v>
      </c>
      <c r="R110" s="103">
        <f ca="1">IF(AND(Energy!$F$11=$A$3,Main!$B$43=$A110),Summary!R27,R110)</f>
        <v>5.3721587165838276</v>
      </c>
      <c r="S110" s="103">
        <f ca="1">IF(AND(Energy!$F$11=$A$3,Main!$B$43=A110),'Aerodynamics-Cruise'!W27,S110)</f>
        <v>1</v>
      </c>
      <c r="T110" s="103">
        <f ca="1">IF(AND(Energy!$F$11=$A$3,Main!$B$43=A110),'Aerodynamics-Cruise'!BL27,T110)</f>
        <v>28.065649731672337</v>
      </c>
      <c r="U110" s="103">
        <f ca="1">IF(AND(Energy!$F$11=$A$3,Main!$B$43=A110),'Propulsion-Cruise'!M27,U110)</f>
        <v>60.720176669340056</v>
      </c>
      <c r="V110" s="103">
        <f ca="1">IF(AND(Energy!$F$11=$A$3,Main!$B$43=A110),Endurance!AP27,V110)</f>
        <v>586.73384735734044</v>
      </c>
      <c r="W110" s="103">
        <f ca="1">IF(AND(Energy!$F$11=$A$3,Main!$B$43=$A110),Summary!W27,W110)</f>
        <v>1.6947368421052629</v>
      </c>
      <c r="X110" s="13">
        <f ca="1">IF(AND(Energy!$F$11=$A$3,Main!$B$43=A110),Energy!D27,X110)</f>
        <v>405.6913629520177</v>
      </c>
      <c r="Y110" s="102">
        <f ca="1">IF(AND(Energy!$F$11=$A$3,Main!$B$43=A110),'Aerodynamics-Cruise'!V27,Y110)</f>
        <v>172444.26755860951</v>
      </c>
      <c r="Z110" s="102">
        <f ca="1">IF(AND(Energy!$F$11=$A$3,Main!$B$43=$A110),Summary!Z27,Z110)</f>
        <v>128817.28143810084</v>
      </c>
      <c r="AA110" s="102">
        <f ca="1">IF(AND(Energy!$F$11=$A$3,Main!$B$43=$A110),Summary!AA27,AA110)</f>
        <v>128817.28143810084</v>
      </c>
      <c r="AB110" s="103">
        <f ca="1">IF(AND(Energy!$F$11=$A$3,Main!$B$43=$A110),Summary!AB27,AB110)</f>
        <v>5.3721587165838276</v>
      </c>
      <c r="AC110" s="103">
        <f ca="1">IF(AND(Energy!$F$11=$A$3,Main!$B$43=$A110),Summary!AC27,AC110)</f>
        <v>1.9536420031270409</v>
      </c>
      <c r="AD110" s="103">
        <f ca="1">IF(AND(Energy!$F$11=$A$3,Main!$B$43=$A110),Summary!AD27,AD110)</f>
        <v>0.44252127632738464</v>
      </c>
      <c r="AE110" s="103">
        <f ca="1">IF(AND(Energy!$F$11=$A$3,Main!$B$43=$A110),Summary!AE27,AE110)</f>
        <v>1.6947368421052629</v>
      </c>
      <c r="AF110" s="103">
        <f ca="1">IF(AND(Energy!$F$11=$A$3,Main!$B$43=$A110),Summary!AF27,AF110)</f>
        <v>17.509398496240607</v>
      </c>
      <c r="AG110" s="103">
        <f ca="1">IF(AND(Energy!$F$11=$A$3,Main!$B$43=$A110),Summary!AG27,AG110)</f>
        <v>12.118914828362717</v>
      </c>
      <c r="AH110" s="103">
        <f ca="1">IF(AND(Energy!$F$11=$A$3,Main!$B$43=$A110),Summary!AH27,AH110)</f>
        <v>47</v>
      </c>
      <c r="AI110" s="103">
        <f ca="1">IF(AND(Energy!$F$11=$A$3,Main!$B$43=$A110),Summary!AI27,AI110)</f>
        <v>2.7575984263572817</v>
      </c>
      <c r="AJ110" s="103">
        <f ca="1">IF(AND(Energy!$F$11=$A$3,Main!$B$43=$A110),Summary!AJ27,AJ110)</f>
        <v>0.22747518514898607</v>
      </c>
      <c r="AK110" s="103">
        <f ca="1">IF(AND(Energy!$F$11=$A$3,Main!$B$43=$A110),Summary!AK27,AK110)</f>
        <v>0.01</v>
      </c>
      <c r="AL110" s="103">
        <f ca="1">IF(AND(Energy!$F$11=$A$3,Main!$B$43=$A110),Summary!AL27,AL110)</f>
        <v>-0.54950822880684203</v>
      </c>
      <c r="AM110" s="103">
        <f ca="1">IF(AND(Energy!$F$11=$A$3,Main!$B$43=$A110),Summary!AJ127,AM110)</f>
        <v>0</v>
      </c>
    </row>
    <row r="111" spans="1:39">
      <c r="A111">
        <f t="shared" si="7"/>
        <v>6</v>
      </c>
      <c r="D111" s="1">
        <f ca="1">IF(AND(Energy!$F$11=$A$3,Main!$B$43=A111),Main!C28,D111)</f>
        <v>5.6052631578947372</v>
      </c>
      <c r="E111" s="103">
        <f ca="1">IF(AND(Energy!$F$11=$A$3,Main!$B$43=A111),Main!B28,E111)</f>
        <v>0.31111111111111106</v>
      </c>
      <c r="F111" s="103">
        <f ca="1">IF(Main!$D$6=1,U111,IF(Main!$D$6=2,N111,IF(Main!$D$6=3,K111,IF(Main!$D$6=4,V111,J111))))</f>
        <v>585.27385723776138</v>
      </c>
      <c r="G111" s="103">
        <f ca="1">IF(AND(Energy!$F$11=$A$3,Main!$B$43=A111),Weight!H28,G111)</f>
        <v>15</v>
      </c>
      <c r="H111" s="103">
        <f ca="1">IF(AND(Energy!$F$11=$A$3,Main!$B$43=A111),Weight!U28,H111)</f>
        <v>21.292825815456787</v>
      </c>
      <c r="I111" s="103">
        <f ca="1">IF(AND(Energy!$F$11=$A$3,Main!$B$43=A111),Weight!V28,I111)</f>
        <v>55.954077378333693</v>
      </c>
      <c r="J111" s="103">
        <f ca="1">IF(AND(Energy!$F$11=$A$3,Main!$B$43=A111),Weight!I28,J111)</f>
        <v>29.723603287876905</v>
      </c>
      <c r="K111" s="103">
        <f ca="1">IF(AND(Energy!$F$11=$A$3,Main!$B$43=A111),Weight!W28,K111)</f>
        <v>70.954083613927111</v>
      </c>
      <c r="L111" s="103">
        <f ca="1">IF(AND(Energy!$F$11=$A$3,Main!$B$43=A111),'Aerodynamics-Cruise'!BI28,L111)</f>
        <v>70.95407136544155</v>
      </c>
      <c r="M111" s="103">
        <f ca="1">IF(AND(Energy!$F$11=$A$3,Main!$B$43=A111),'Aerodynamics-Cruise'!BJ28,M111)</f>
        <v>3.2156137021908342</v>
      </c>
      <c r="N111" s="103">
        <f ca="1">IF(AND(Energy!$F$11=$A$3,Main!$B$43=A111),'Aerodynamics-Cruise'!BK28,N111)</f>
        <v>22.065483586259049</v>
      </c>
      <c r="O111" s="103">
        <f t="shared" ca="1" si="5"/>
        <v>185.86692333320198</v>
      </c>
      <c r="P111" s="103">
        <f ca="1">IF(AND(Energy!$F$11=$A$3,Main!$B$43=A111),'Aerodynamics-Cruise'!H28,P111)</f>
        <v>8.6505338887793748</v>
      </c>
      <c r="Q111" s="103">
        <f ca="1">IF(AND(Energy!$F$11=$A$3,Main!$B$43=A111),'Aerodynamics-Cruise'!I28,Q111)</f>
        <v>7.2960513779114144</v>
      </c>
      <c r="R111" s="103">
        <f ca="1">IF(AND(Energy!$F$11=$A$3,Main!$B$43=$A111),Summary!R28,R111)</f>
        <v>5.3086052924461793</v>
      </c>
      <c r="S111" s="103">
        <f ca="1">IF(AND(Energy!$F$11=$A$3,Main!$B$43=A111),'Aerodynamics-Cruise'!W28,S111)</f>
        <v>1</v>
      </c>
      <c r="T111" s="103">
        <f ca="1">IF(AND(Energy!$F$11=$A$3,Main!$B$43=A111),'Aerodynamics-Cruise'!BL28,T111)</f>
        <v>27.816775304025118</v>
      </c>
      <c r="U111" s="103">
        <f ca="1">IF(AND(Energy!$F$11=$A$3,Main!$B$43=A111),'Propulsion-Cruise'!M28,U111)</f>
        <v>60.393019775168518</v>
      </c>
      <c r="V111" s="103">
        <f ca="1">IF(AND(Energy!$F$11=$A$3,Main!$B$43=A111),Endurance!AP28,V111)</f>
        <v>585.27385723776138</v>
      </c>
      <c r="W111" s="103">
        <f ca="1">IF(AND(Energy!$F$11=$A$3,Main!$B$43=$A111),Summary!W28,W111)</f>
        <v>1.7438596491228069</v>
      </c>
      <c r="X111" s="13">
        <f ca="1">IF(AND(Energy!$F$11=$A$3,Main!$B$43=A111),Energy!D28,X111)</f>
        <v>405.6494947826493</v>
      </c>
      <c r="Y111" s="102">
        <f ca="1">IF(AND(Energy!$F$11=$A$3,Main!$B$43=A111),'Aerodynamics-Cruise'!V28,Y111)</f>
        <v>170688.28353390426</v>
      </c>
      <c r="Z111" s="102">
        <f ca="1">IF(AND(Energy!$F$11=$A$3,Main!$B$43=$A111),Summary!Z28,Z111)</f>
        <v>127557.04743588215</v>
      </c>
      <c r="AA111" s="102">
        <f ca="1">IF(AND(Energy!$F$11=$A$3,Main!$B$43=$A111),Summary!AA28,AA111)</f>
        <v>127557.04743588215</v>
      </c>
      <c r="AB111" s="103">
        <f ca="1">IF(AND(Energy!$F$11=$A$3,Main!$B$43=$A111),Summary!AB28,AB111)</f>
        <v>5.3086052924461793</v>
      </c>
      <c r="AC111" s="103">
        <f ca="1">IF(AND(Energy!$F$11=$A$3,Main!$B$43=$A111),Summary!AC28,AC111)</f>
        <v>1.9223864825022567</v>
      </c>
      <c r="AD111" s="103">
        <f ca="1">IF(AND(Energy!$F$11=$A$3,Main!$B$43=$A111),Summary!AD28,AD111)</f>
        <v>0.4405759413970109</v>
      </c>
      <c r="AE111" s="103">
        <f ca="1">IF(AND(Energy!$F$11=$A$3,Main!$B$43=$A111),Summary!AE28,AE111)</f>
        <v>1.7438596491228069</v>
      </c>
      <c r="AF111" s="103">
        <f ca="1">IF(AND(Energy!$F$11=$A$3,Main!$B$43=$A111),Summary!AF28,AF111)</f>
        <v>18.016917293233085</v>
      </c>
      <c r="AG111" s="103">
        <f ca="1">IF(AND(Energy!$F$11=$A$3,Main!$B$43=$A111),Summary!AG28,AG111)</f>
        <v>12.090955713965968</v>
      </c>
      <c r="AH111" s="103">
        <f ca="1">IF(AND(Energy!$F$11=$A$3,Main!$B$43=$A111),Summary!AH28,AH111)</f>
        <v>47</v>
      </c>
      <c r="AI111" s="103">
        <f ca="1">IF(AND(Energy!$F$11=$A$3,Main!$B$43=$A111),Summary!AI28,AI111)</f>
        <v>2.7552817896733139</v>
      </c>
      <c r="AJ111" s="103">
        <f ca="1">IF(AND(Energy!$F$11=$A$3,Main!$B$43=$A111),Summary!AJ28,AJ111)</f>
        <v>0.22808385607071799</v>
      </c>
      <c r="AK111" s="103">
        <f ca="1">IF(AND(Energy!$F$11=$A$3,Main!$B$43=$A111),Summary!AK28,AK111)</f>
        <v>0.01</v>
      </c>
      <c r="AL111" s="103">
        <f ca="1">IF(AND(Energy!$F$11=$A$3,Main!$B$43=$A111),Summary!AL28,AL111)</f>
        <v>-0.54804170306491506</v>
      </c>
      <c r="AM111" s="103">
        <f ca="1">IF(AND(Energy!$F$11=$A$3,Main!$B$43=$A111),Summary!AJ128,AM111)</f>
        <v>0</v>
      </c>
    </row>
    <row r="112" spans="1:39">
      <c r="A112">
        <f t="shared" si="7"/>
        <v>6</v>
      </c>
      <c r="D112" s="1">
        <f ca="1">IF(AND(Energy!$F$11=$A$3,Main!$B$43=A112),Main!C29,D112)</f>
        <v>5.7631578947368425</v>
      </c>
      <c r="E112" s="103">
        <f ca="1">IF(AND(Energy!$F$11=$A$3,Main!$B$43=A112),Main!B29,E112)</f>
        <v>0.31111111111111106</v>
      </c>
      <c r="F112" s="103">
        <f ca="1">IF(Main!$D$6=1,U112,IF(Main!$D$6=2,N112,IF(Main!$D$6=3,K112,IF(Main!$D$6=4,V112,J112))))</f>
        <v>584.72643545111907</v>
      </c>
      <c r="G112" s="103">
        <f ca="1">IF(AND(Energy!$F$11=$A$3,Main!$B$43=A112),Weight!H29,G112)</f>
        <v>15</v>
      </c>
      <c r="H112" s="103">
        <f ca="1">IF(AND(Energy!$F$11=$A$3,Main!$B$43=A112),Weight!U29,H112)</f>
        <v>21.96088504434114</v>
      </c>
      <c r="I112" s="103">
        <f ca="1">IF(AND(Energy!$F$11=$A$3,Main!$B$43=A112),Weight!V29,I112)</f>
        <v>56.587903263072832</v>
      </c>
      <c r="J112" s="103">
        <f ca="1">IF(AND(Energy!$F$11=$A$3,Main!$B$43=A112),Weight!I29,J112)</f>
        <v>29.689369943731691</v>
      </c>
      <c r="K112" s="103">
        <f ca="1">IF(AND(Energy!$F$11=$A$3,Main!$B$43=A112),Weight!W29,K112)</f>
        <v>71.587909664094042</v>
      </c>
      <c r="L112" s="103">
        <f ca="1">IF(AND(Energy!$F$11=$A$3,Main!$B$43=A112),'Aerodynamics-Cruise'!BI29,L112)</f>
        <v>71.587897109234063</v>
      </c>
      <c r="M112" s="103">
        <f ca="1">IF(AND(Energy!$F$11=$A$3,Main!$B$43=A112),'Aerodynamics-Cruise'!BJ29,M112)</f>
        <v>3.2232510742709279</v>
      </c>
      <c r="N112" s="103">
        <f ca="1">IF(AND(Energy!$F$11=$A$3,Main!$B$43=A112),'Aerodynamics-Cruise'!BK29,N112)</f>
        <v>22.20984200724315</v>
      </c>
      <c r="O112" s="103">
        <f t="shared" ca="1" si="5"/>
        <v>187.91665437530338</v>
      </c>
      <c r="P112" s="103">
        <f ca="1">IF(AND(Energy!$F$11=$A$3,Main!$B$43=A112),'Aerodynamics-Cruise'!H29,P112)</f>
        <v>8.5691930620942482</v>
      </c>
      <c r="Q112" s="103">
        <f ca="1">IF(AND(Energy!$F$11=$A$3,Main!$B$43=A112),'Aerodynamics-Cruise'!I29,Q112)</f>
        <v>7.2302505369496917</v>
      </c>
      <c r="R112" s="103">
        <f ca="1">IF(AND(Energy!$F$11=$A$3,Main!$B$43=$A112),Summary!R29,R112)</f>
        <v>5.2582767210083672</v>
      </c>
      <c r="S112" s="103">
        <f ca="1">IF(AND(Energy!$F$11=$A$3,Main!$B$43=A112),'Aerodynamics-Cruise'!W29,S112)</f>
        <v>1</v>
      </c>
      <c r="T112" s="103">
        <f ca="1">IF(AND(Energy!$F$11=$A$3,Main!$B$43=A112),'Aerodynamics-Cruise'!BL29,T112)</f>
        <v>27.620660743030268</v>
      </c>
      <c r="U112" s="103">
        <f ca="1">IF(AND(Energy!$F$11=$A$3,Main!$B$43=A112),'Propulsion-Cruise'!M29,U112)</f>
        <v>60.16516360284681</v>
      </c>
      <c r="V112" s="103">
        <f ca="1">IF(AND(Energy!$F$11=$A$3,Main!$B$43=A112),Endurance!AP29,V112)</f>
        <v>584.72643545111907</v>
      </c>
      <c r="W112" s="103">
        <f ca="1">IF(AND(Energy!$F$11=$A$3,Main!$B$43=$A112),Summary!W29,W112)</f>
        <v>1.7929824561403507</v>
      </c>
      <c r="X112" s="13">
        <f ca="1">IF(AND(Energy!$F$11=$A$3,Main!$B$43=A112),Energy!D29,X112)</f>
        <v>405.63050365546957</v>
      </c>
      <c r="Y112" s="102">
        <f ca="1">IF(AND(Energy!$F$11=$A$3,Main!$B$43=A112),'Aerodynamics-Cruise'!V29,Y112)</f>
        <v>169083.30443473888</v>
      </c>
      <c r="Z112" s="102">
        <f ca="1">IF(AND(Energy!$F$11=$A$3,Main!$B$43=$A112),Summary!Z29,Z112)</f>
        <v>126404.73687329236</v>
      </c>
      <c r="AA112" s="102">
        <f ca="1">IF(AND(Energy!$F$11=$A$3,Main!$B$43=$A112),Summary!AA29,AA112)</f>
        <v>126404.73687329236</v>
      </c>
      <c r="AB112" s="103">
        <f ca="1">IF(AND(Energy!$F$11=$A$3,Main!$B$43=$A112),Summary!AB29,AB112)</f>
        <v>5.2582767210083672</v>
      </c>
      <c r="AC112" s="103">
        <f ca="1">IF(AND(Energy!$F$11=$A$3,Main!$B$43=$A112),Summary!AC29,AC112)</f>
        <v>1.8908299346196005</v>
      </c>
      <c r="AD112" s="103">
        <f ca="1">IF(AND(Energy!$F$11=$A$3,Main!$B$43=$A112),Summary!AD29,AD112)</f>
        <v>0.43895873828798765</v>
      </c>
      <c r="AE112" s="103">
        <f ca="1">IF(AND(Energy!$F$11=$A$3,Main!$B$43=$A112),Summary!AE29,AE112)</f>
        <v>1.7929824561403507</v>
      </c>
      <c r="AF112" s="103">
        <f ca="1">IF(AND(Energy!$F$11=$A$3,Main!$B$43=$A112),Summary!AF29,AF112)</f>
        <v>18.524436090225567</v>
      </c>
      <c r="AG112" s="103">
        <f ca="1">IF(AND(Energy!$F$11=$A$3,Main!$B$43=$A112),Summary!AG29,AG112)</f>
        <v>12.074422857929127</v>
      </c>
      <c r="AH112" s="103">
        <f ca="1">IF(AND(Energy!$F$11=$A$3,Main!$B$43=$A112),Summary!AH29,AH112)</f>
        <v>47</v>
      </c>
      <c r="AI112" s="103">
        <f ca="1">IF(AND(Energy!$F$11=$A$3,Main!$B$43=$A112),Summary!AI29,AI112)</f>
        <v>2.7531452629090163</v>
      </c>
      <c r="AJ112" s="103">
        <f ca="1">IF(AND(Energy!$F$11=$A$3,Main!$B$43=$A112),Summary!AJ29,AJ112)</f>
        <v>0.22864968571424682</v>
      </c>
      <c r="AK112" s="103">
        <f ca="1">IF(AND(Energy!$F$11=$A$3,Main!$B$43=$A112),Summary!AK29,AK112)</f>
        <v>0.01</v>
      </c>
      <c r="AL112" s="103">
        <f ca="1">IF(AND(Energy!$F$11=$A$3,Main!$B$43=$A112),Summary!AL29,AL112)</f>
        <v>-0.54668539236346636</v>
      </c>
      <c r="AM112" s="103">
        <f ca="1">IF(AND(Energy!$F$11=$A$3,Main!$B$43=$A112),Summary!AJ129,AM112)</f>
        <v>0</v>
      </c>
    </row>
    <row r="113" spans="1:39">
      <c r="A113">
        <f t="shared" si="7"/>
        <v>6</v>
      </c>
      <c r="D113" s="1">
        <f ca="1">IF(AND(Energy!$F$11=$A$3,Main!$B$43=A113),Main!C30,D113)</f>
        <v>5.9210526315789478</v>
      </c>
      <c r="E113" s="103">
        <f ca="1">IF(AND(Energy!$F$11=$A$3,Main!$B$43=A113),Main!B30,E113)</f>
        <v>0.31111111111111106</v>
      </c>
      <c r="F113" s="103">
        <f ca="1">IF(Main!$D$6=1,U113,IF(Main!$D$6=2,N113,IF(Main!$D$6=3,K113,IF(Main!$D$6=4,V113,J113))))</f>
        <v>584.99993126108404</v>
      </c>
      <c r="G113" s="103">
        <f ca="1">IF(AND(Energy!$F$11=$A$3,Main!$B$43=A113),Weight!H30,G113)</f>
        <v>15</v>
      </c>
      <c r="H113" s="103">
        <f ca="1">IF(AND(Energy!$F$11=$A$3,Main!$B$43=A113),Weight!U30,H113)</f>
        <v>22.648115938438266</v>
      </c>
      <c r="I113" s="103">
        <f ca="1">IF(AND(Energy!$F$11=$A$3,Main!$B$43=A113),Weight!V30,I113)</f>
        <v>57.277971180892976</v>
      </c>
      <c r="J113" s="103">
        <f ca="1">IF(AND(Energy!$F$11=$A$3,Main!$B$43=A113),Weight!I30,J113)</f>
        <v>29.692206967454705</v>
      </c>
      <c r="K113" s="103">
        <f ca="1">IF(AND(Energy!$F$11=$A$3,Main!$B$43=A113),Weight!W30,K113)</f>
        <v>72.27797773294985</v>
      </c>
      <c r="L113" s="103">
        <f ca="1">IF(AND(Energy!$F$11=$A$3,Main!$B$43=A113),'Aerodynamics-Cruise'!BI30,L113)</f>
        <v>72.277964901069282</v>
      </c>
      <c r="M113" s="103">
        <f ca="1">IF(AND(Energy!$F$11=$A$3,Main!$B$43=A113),'Aerodynamics-Cruise'!BJ30,M113)</f>
        <v>3.2339306307155598</v>
      </c>
      <c r="N113" s="103">
        <f ca="1">IF(AND(Energy!$F$11=$A$3,Main!$B$43=A113),'Aerodynamics-Cruise'!BK30,N113)</f>
        <v>22.349881044008853</v>
      </c>
      <c r="O113" s="103">
        <f t="shared" ca="1" si="5"/>
        <v>190.01075074143412</v>
      </c>
      <c r="P113" s="103">
        <f ca="1">IF(AND(Energy!$F$11=$A$3,Main!$B$43=A113),'Aerodynamics-Cruise'!H30,P113)</f>
        <v>8.4947804283104187</v>
      </c>
      <c r="Q113" s="103">
        <f ca="1">IF(AND(Energy!$F$11=$A$3,Main!$B$43=A113),'Aerodynamics-Cruise'!I30,Q113)</f>
        <v>7.1700317506592972</v>
      </c>
      <c r="R113" s="103">
        <f ca="1">IF(AND(Energy!$F$11=$A$3,Main!$B$43=$A113),Summary!R30,R113)</f>
        <v>5.2197299292084649</v>
      </c>
      <c r="S113" s="103">
        <f ca="1">IF(AND(Energy!$F$11=$A$3,Main!$B$43=A113),'Aerodynamics-Cruise'!W30,S113)</f>
        <v>1</v>
      </c>
      <c r="T113" s="103">
        <f ca="1">IF(AND(Energy!$F$11=$A$3,Main!$B$43=A113),'Aerodynamics-Cruise'!BL30,T113)</f>
        <v>27.471530628316106</v>
      </c>
      <c r="U113" s="103">
        <f ca="1">IF(AND(Energy!$F$11=$A$3,Main!$B$43=A113),'Propulsion-Cruise'!M30,U113)</f>
        <v>60.026209123551432</v>
      </c>
      <c r="V113" s="103">
        <f ca="1">IF(AND(Energy!$F$11=$A$3,Main!$B$43=A113),Endurance!AP30,V113)</f>
        <v>584.99993126108404</v>
      </c>
      <c r="W113" s="103">
        <f ca="1">IF(AND(Energy!$F$11=$A$3,Main!$B$43=$A113),Summary!W30,W113)</f>
        <v>1.8421052631578945</v>
      </c>
      <c r="X113" s="13">
        <f ca="1">IF(AND(Energy!$F$11=$A$3,Main!$B$43=A113),Energy!D30,X113)</f>
        <v>405.63207760881028</v>
      </c>
      <c r="Y113" s="102">
        <f ca="1">IF(AND(Energy!$F$11=$A$3,Main!$B$43=A113),'Aerodynamics-Cruise'!V30,Y113)</f>
        <v>167615.02919333742</v>
      </c>
      <c r="Z113" s="102">
        <f ca="1">IF(AND(Energy!$F$11=$A$3,Main!$B$43=$A113),Summary!Z30,Z113)</f>
        <v>125350.19517361974</v>
      </c>
      <c r="AA113" s="102">
        <f ca="1">IF(AND(Energy!$F$11=$A$3,Main!$B$43=$A113),Summary!AA30,AA113)</f>
        <v>125350.19517361974</v>
      </c>
      <c r="AB113" s="103">
        <f ca="1">IF(AND(Energy!$F$11=$A$3,Main!$B$43=$A113),Summary!AB30,AB113)</f>
        <v>5.2197299292084649</v>
      </c>
      <c r="AC113" s="103">
        <f ca="1">IF(AND(Energy!$F$11=$A$3,Main!$B$43=$A113),Summary!AC30,AC113)</f>
        <v>1.8591189337314522</v>
      </c>
      <c r="AD113" s="103">
        <f ca="1">IF(AND(Energy!$F$11=$A$3,Main!$B$43=$A113),Summary!AD30,AD113)</f>
        <v>0.43763819658047182</v>
      </c>
      <c r="AE113" s="103">
        <f ca="1">IF(AND(Energy!$F$11=$A$3,Main!$B$43=$A113),Summary!AE30,AE113)</f>
        <v>1.8421052631578945</v>
      </c>
      <c r="AF113" s="103">
        <f ca="1">IF(AND(Energy!$F$11=$A$3,Main!$B$43=$A113),Summary!AF30,AF113)</f>
        <v>19.031954887218049</v>
      </c>
      <c r="AG113" s="103">
        <f ca="1">IF(AND(Energy!$F$11=$A$3,Main!$B$43=$A113),Summary!AG30,AG113)</f>
        <v>12.068161106114804</v>
      </c>
      <c r="AH113" s="103">
        <f ca="1">IF(AND(Energy!$F$11=$A$3,Main!$B$43=$A113),Summary!AH30,AH113)</f>
        <v>47</v>
      </c>
      <c r="AI113" s="103">
        <f ca="1">IF(AND(Energy!$F$11=$A$3,Main!$B$43=$A113),Summary!AI30,AI113)</f>
        <v>2.7511743982570285</v>
      </c>
      <c r="AJ113" s="103">
        <f ca="1">IF(AND(Energy!$F$11=$A$3,Main!$B$43=$A113),Summary!AJ30,AJ113)</f>
        <v>0.22917588039096409</v>
      </c>
      <c r="AK113" s="103">
        <f ca="1">IF(AND(Energy!$F$11=$A$3,Main!$B$43=$A113),Summary!AK30,AK113)</f>
        <v>0.01</v>
      </c>
      <c r="AL113" s="103">
        <f ca="1">IF(AND(Energy!$F$11=$A$3,Main!$B$43=$A113),Summary!AL30,AL113)</f>
        <v>-0.54543008917521163</v>
      </c>
      <c r="AM113" s="103">
        <f ca="1">IF(AND(Energy!$F$11=$A$3,Main!$B$43=$A113),Summary!AJ130,AM113)</f>
        <v>0</v>
      </c>
    </row>
    <row r="114" spans="1:39">
      <c r="A114">
        <f t="shared" si="7"/>
        <v>6</v>
      </c>
      <c r="D114" s="1">
        <f ca="1">IF(AND(Energy!$F$11=$A$3,Main!$B$43=A114),Main!C31,D114)</f>
        <v>6.0789473684210531</v>
      </c>
      <c r="E114" s="103">
        <f ca="1">IF(AND(Energy!$F$11=$A$3,Main!$B$43=A114),Main!B31,E114)</f>
        <v>0.31111111111111106</v>
      </c>
      <c r="F114" s="103">
        <f ca="1">IF(Main!$D$6=1,U114,IF(Main!$D$6=2,N114,IF(Main!$D$6=3,K114,IF(Main!$D$6=4,V114,J114))))</f>
        <v>586.01784065836682</v>
      </c>
      <c r="G114" s="103">
        <f ca="1">IF(AND(Energy!$F$11=$A$3,Main!$B$43=A114),Weight!H31,G114)</f>
        <v>15</v>
      </c>
      <c r="H114" s="103">
        <f ca="1">IF(AND(Energy!$F$11=$A$3,Main!$B$43=A114),Weight!U31,H114)</f>
        <v>23.354451474514121</v>
      </c>
      <c r="I114" s="103">
        <f ca="1">IF(AND(Energy!$F$11=$A$3,Main!$B$43=A114),Weight!V31,I114)</f>
        <v>58.020735219073529</v>
      </c>
      <c r="J114" s="103">
        <f ca="1">IF(AND(Energy!$F$11=$A$3,Main!$B$43=A114),Weight!I31,J114)</f>
        <v>29.728635469559407</v>
      </c>
      <c r="K114" s="103">
        <f ca="1">IF(AND(Energy!$F$11=$A$3,Main!$B$43=A114),Weight!W31,K114)</f>
        <v>73.020741906485085</v>
      </c>
      <c r="L114" s="103">
        <f ca="1">IF(AND(Energy!$F$11=$A$3,Main!$B$43=A114),'Aerodynamics-Cruise'!BI31,L114)</f>
        <v>73.0207288294623</v>
      </c>
      <c r="M114" s="103">
        <f ca="1">IF(AND(Energy!$F$11=$A$3,Main!$B$43=A114),'Aerodynamics-Cruise'!BJ31,M114)</f>
        <v>3.2473750562686621</v>
      </c>
      <c r="N114" s="103">
        <f ca="1">IF(AND(Energy!$F$11=$A$3,Main!$B$43=A114),'Aerodynamics-Cruise'!BK31,N114)</f>
        <v>22.486078005835722</v>
      </c>
      <c r="O114" s="103">
        <f t="shared" ca="1" si="5"/>
        <v>192.14840979228723</v>
      </c>
      <c r="P114" s="103">
        <f ca="1">IF(AND(Energy!$F$11=$A$3,Main!$B$43=A114),'Aerodynamics-Cruise'!H31,P114)</f>
        <v>8.4266694779825908</v>
      </c>
      <c r="Q114" s="103">
        <f ca="1">IF(AND(Energy!$F$11=$A$3,Main!$B$43=A114),'Aerodynamics-Cruise'!I31,Q114)</f>
        <v>7.1148936534120955</v>
      </c>
      <c r="R114" s="103">
        <f ca="1">IF(AND(Energy!$F$11=$A$3,Main!$B$43=$A114),Summary!R31,R114)</f>
        <v>5.19177627375388</v>
      </c>
      <c r="S114" s="103">
        <f ca="1">IF(AND(Energy!$F$11=$A$3,Main!$B$43=A114),'Aerodynamics-Cruise'!W31,S114)</f>
        <v>1</v>
      </c>
      <c r="T114" s="103">
        <f ca="1">IF(AND(Energy!$F$11=$A$3,Main!$B$43=A114),'Aerodynamics-Cruise'!BL31,T114)</f>
        <v>27.364556270221133</v>
      </c>
      <c r="U114" s="103">
        <f ca="1">IF(AND(Energy!$F$11=$A$3,Main!$B$43=A114),'Propulsion-Cruise'!M31,U114)</f>
        <v>59.967461635000056</v>
      </c>
      <c r="V114" s="103">
        <f ca="1">IF(AND(Energy!$F$11=$A$3,Main!$B$43=A114),Endurance!AP31,V114)</f>
        <v>586.01784065836682</v>
      </c>
      <c r="W114" s="103">
        <f ca="1">IF(AND(Energy!$F$11=$A$3,Main!$B$43=$A114),Summary!W31,W114)</f>
        <v>1.8912280701754385</v>
      </c>
      <c r="X114" s="13">
        <f ca="1">IF(AND(Energy!$F$11=$A$3,Main!$B$43=A114),Energy!D31,X114)</f>
        <v>405.65228670000653</v>
      </c>
      <c r="Y114" s="102">
        <f ca="1">IF(AND(Energy!$F$11=$A$3,Main!$B$43=A114),'Aerodynamics-Cruise'!V31,Y114)</f>
        <v>166271.09581872803</v>
      </c>
      <c r="Z114" s="102">
        <f ca="1">IF(AND(Energy!$F$11=$A$3,Main!$B$43=$A114),Summary!Z31,Z114)</f>
        <v>124384.63865225212</v>
      </c>
      <c r="AA114" s="102">
        <f ca="1">IF(AND(Energy!$F$11=$A$3,Main!$B$43=$A114),Summary!AA31,AA114)</f>
        <v>124384.63865225212</v>
      </c>
      <c r="AB114" s="103">
        <f ca="1">IF(AND(Energy!$F$11=$A$3,Main!$B$43=$A114),Summary!AB31,AB114)</f>
        <v>5.19177627375388</v>
      </c>
      <c r="AC114" s="103">
        <f ca="1">IF(AND(Energy!$F$11=$A$3,Main!$B$43=$A114),Summary!AC31,AC114)</f>
        <v>1.8273725071402811</v>
      </c>
      <c r="AD114" s="103">
        <f ca="1">IF(AND(Energy!$F$11=$A$3,Main!$B$43=$A114),Summary!AD31,AD114)</f>
        <v>0.43658724819800904</v>
      </c>
      <c r="AE114" s="103">
        <f ca="1">IF(AND(Energy!$F$11=$A$3,Main!$B$43=$A114),Summary!AE31,AE114)</f>
        <v>1.8912280701754385</v>
      </c>
      <c r="AF114" s="103">
        <f ca="1">IF(AND(Energy!$F$11=$A$3,Main!$B$43=$A114),Summary!AF31,AF114)</f>
        <v>19.539473684210531</v>
      </c>
      <c r="AG114" s="103">
        <f ca="1">IF(AND(Energy!$F$11=$A$3,Main!$B$43=$A114),Summary!AG31,AG114)</f>
        <v>12.071192076368712</v>
      </c>
      <c r="AH114" s="103">
        <f ca="1">IF(AND(Energy!$F$11=$A$3,Main!$B$43=$A114),Summary!AH31,AH114)</f>
        <v>47</v>
      </c>
      <c r="AI114" s="103">
        <f ca="1">IF(AND(Energy!$F$11=$A$3,Main!$B$43=$A114),Summary!AI31,AI114)</f>
        <v>2.7493564974712275</v>
      </c>
      <c r="AJ114" s="103">
        <f ca="1">IF(AND(Energy!$F$11=$A$3,Main!$B$43=$A114),Summary!AJ31,AJ114)</f>
        <v>0.22966529784880335</v>
      </c>
      <c r="AK114" s="103">
        <f ca="1">IF(AND(Energy!$F$11=$A$3,Main!$B$43=$A114),Summary!AK31,AK114)</f>
        <v>0.01</v>
      </c>
      <c r="AL114" s="103">
        <f ca="1">IF(AND(Energy!$F$11=$A$3,Main!$B$43=$A114),Summary!AL31,AL114)</f>
        <v>-0.54426767724722436</v>
      </c>
      <c r="AM114" s="103">
        <f ca="1">IF(AND(Energy!$F$11=$A$3,Main!$B$43=$A114),Summary!AJ131,AM114)</f>
        <v>0</v>
      </c>
    </row>
    <row r="115" spans="1:39">
      <c r="A115">
        <f t="shared" si="7"/>
        <v>6</v>
      </c>
      <c r="D115" s="1">
        <f ca="1">IF(AND(Energy!$F$11=$A$3,Main!$B$43=A115),Main!C32,D115)</f>
        <v>6.2368421052631584</v>
      </c>
      <c r="E115" s="103">
        <f ca="1">IF(AND(Energy!$F$11=$A$3,Main!$B$43=A115),Main!B32,E115)</f>
        <v>0.31111111111111106</v>
      </c>
      <c r="F115" s="103">
        <f ca="1">IF(Main!$D$6=1,U115,IF(Main!$D$6=2,N115,IF(Main!$D$6=3,K115,IF(Main!$D$6=4,V115,J115))))</f>
        <v>587.71587811029929</v>
      </c>
      <c r="G115" s="103">
        <f ca="1">IF(AND(Energy!$F$11=$A$3,Main!$B$43=A115),Weight!H32,G115)</f>
        <v>15</v>
      </c>
      <c r="H115" s="103">
        <f ca="1">IF(AND(Energy!$F$11=$A$3,Main!$B$43=A115),Weight!U32,H115)</f>
        <v>24.079874291998649</v>
      </c>
      <c r="I115" s="103">
        <f ca="1">IF(AND(Energy!$F$11=$A$3,Main!$B$43=A115),Weight!V32,I115)</f>
        <v>58.813254568260888</v>
      </c>
      <c r="J115" s="103">
        <f ca="1">IF(AND(Energy!$F$11=$A$3,Main!$B$43=A115),Weight!I32,J115)</f>
        <v>29.795732001262234</v>
      </c>
      <c r="K115" s="103">
        <f ca="1">IF(AND(Energy!$F$11=$A$3,Main!$B$43=A115),Weight!W32,K115)</f>
        <v>73.813261374346965</v>
      </c>
      <c r="L115" s="103">
        <f ca="1">IF(AND(Energy!$F$11=$A$3,Main!$B$43=A115),'Aerodynamics-Cruise'!BI32,L115)</f>
        <v>73.81324808600634</v>
      </c>
      <c r="M115" s="103">
        <f ca="1">IF(AND(Energy!$F$11=$A$3,Main!$B$43=A115),'Aerodynamics-Cruise'!BJ32,M115)</f>
        <v>3.2633481389099153</v>
      </c>
      <c r="N115" s="103">
        <f ca="1">IF(AND(Energy!$F$11=$A$3,Main!$B$43=A115),'Aerodynamics-Cruise'!BK32,N115)</f>
        <v>22.61887023511467</v>
      </c>
      <c r="O115" s="103">
        <f t="shared" ca="1" si="5"/>
        <v>194.32920200395375</v>
      </c>
      <c r="P115" s="103">
        <f ca="1">IF(AND(Energy!$F$11=$A$3,Main!$B$43=A115),'Aerodynamics-Cruise'!H32,P115)</f>
        <v>8.3643150320326249</v>
      </c>
      <c r="Q115" s="103">
        <f ca="1">IF(AND(Energy!$F$11=$A$3,Main!$B$43=A115),'Aerodynamics-Cruise'!I32,Q115)</f>
        <v>7.0643996611953792</v>
      </c>
      <c r="R115" s="103">
        <f ca="1">IF(AND(Energy!$F$11=$A$3,Main!$B$43=$A115),Summary!R32,R115)</f>
        <v>5.17343014778836</v>
      </c>
      <c r="S115" s="103">
        <f ca="1">IF(AND(Energy!$F$11=$A$3,Main!$B$43=A115),'Aerodynamics-Cruise'!W32,S115)</f>
        <v>1</v>
      </c>
      <c r="T115" s="103">
        <f ca="1">IF(AND(Energy!$F$11=$A$3,Main!$B$43=A115),'Aerodynamics-Cruise'!BL32,T115)</f>
        <v>27.295671893039895</v>
      </c>
      <c r="U115" s="103">
        <f ca="1">IF(AND(Energy!$F$11=$A$3,Main!$B$43=A115),'Propulsion-Cruise'!M32,U115)</f>
        <v>59.981601064864812</v>
      </c>
      <c r="V115" s="103">
        <f ca="1">IF(AND(Energy!$F$11=$A$3,Main!$B$43=A115),Endurance!AP32,V115)</f>
        <v>587.71587811029929</v>
      </c>
      <c r="W115" s="103">
        <f ca="1">IF(AND(Energy!$F$11=$A$3,Main!$B$43=$A115),Summary!W32,W115)</f>
        <v>1.9403508771929823</v>
      </c>
      <c r="X115" s="13">
        <f ca="1">IF(AND(Energy!$F$11=$A$3,Main!$B$43=A115),Energy!D32,X115)</f>
        <v>405.68950912175637</v>
      </c>
      <c r="Y115" s="102">
        <f ca="1">IF(AND(Energy!$F$11=$A$3,Main!$B$43=A115),'Aerodynamics-Cruise'!V32,Y115)</f>
        <v>165040.74709265545</v>
      </c>
      <c r="Z115" s="102">
        <f ca="1">IF(AND(Energy!$F$11=$A$3,Main!$B$43=$A115),Summary!Z32,Z115)</f>
        <v>123500.41877532827</v>
      </c>
      <c r="AA115" s="102">
        <f ca="1">IF(AND(Energy!$F$11=$A$3,Main!$B$43=$A115),Summary!AA32,AA115)</f>
        <v>123500.41877532827</v>
      </c>
      <c r="AB115" s="103">
        <f ca="1">IF(AND(Energy!$F$11=$A$3,Main!$B$43=$A115),Summary!AB32,AB115)</f>
        <v>5.17343014778836</v>
      </c>
      <c r="AC115" s="103">
        <f ca="1">IF(AND(Energy!$F$11=$A$3,Main!$B$43=$A115),Summary!AC32,AC115)</f>
        <v>1.795687503335528</v>
      </c>
      <c r="AD115" s="103">
        <f ca="1">IF(AND(Energy!$F$11=$A$3,Main!$B$43=$A115),Summary!AD32,AD115)</f>
        <v>0.43578245541082866</v>
      </c>
      <c r="AE115" s="103">
        <f ca="1">IF(AND(Energy!$F$11=$A$3,Main!$B$43=$A115),Summary!AE32,AE115)</f>
        <v>1.9403508771929823</v>
      </c>
      <c r="AF115" s="103">
        <f ca="1">IF(AND(Energy!$F$11=$A$3,Main!$B$43=$A115),Summary!AF32,AF115)</f>
        <v>20.046992481203013</v>
      </c>
      <c r="AG115" s="103">
        <f ca="1">IF(AND(Energy!$F$11=$A$3,Main!$B$43=$A115),Summary!AG32,AG115)</f>
        <v>12.082681412852889</v>
      </c>
      <c r="AH115" s="103">
        <f ca="1">IF(AND(Energy!$F$11=$A$3,Main!$B$43=$A115),Summary!AH32,AH115)</f>
        <v>47</v>
      </c>
      <c r="AI115" s="103">
        <f ca="1">IF(AND(Energy!$F$11=$A$3,Main!$B$43=$A115),Summary!AI32,AI115)</f>
        <v>2.7476803281925668</v>
      </c>
      <c r="AJ115" s="103">
        <f ca="1">IF(AND(Energy!$F$11=$A$3,Main!$B$43=$A115),Summary!AJ32,AJ115)</f>
        <v>0.23012049767731246</v>
      </c>
      <c r="AK115" s="103">
        <f ca="1">IF(AND(Energy!$F$11=$A$3,Main!$B$43=$A115),Summary!AK32,AK115)</f>
        <v>0.01</v>
      </c>
      <c r="AL115" s="103">
        <f ca="1">IF(AND(Energy!$F$11=$A$3,Main!$B$43=$A115),Summary!AL32,AL115)</f>
        <v>-0.54319096501276232</v>
      </c>
      <c r="AM115" s="103">
        <f ca="1">IF(AND(Energy!$F$11=$A$3,Main!$B$43=$A115),Summary!AJ132,AM115)</f>
        <v>0</v>
      </c>
    </row>
    <row r="116" spans="1:39">
      <c r="A116">
        <f t="shared" si="7"/>
        <v>6</v>
      </c>
      <c r="D116" s="1">
        <f ca="1">IF(AND(Energy!$F$11=$A$3,Main!$B$43=A116),Main!C33,D116)</f>
        <v>6.3947368421052637</v>
      </c>
      <c r="E116" s="103">
        <f ca="1">IF(AND(Energy!$F$11=$A$3,Main!$B$43=A116),Main!B33,E116)</f>
        <v>0.31111111111111106</v>
      </c>
      <c r="F116" s="103">
        <f ca="1">IF(Main!$D$6=1,U116,IF(Main!$D$6=2,N116,IF(Main!$D$6=3,K116,IF(Main!$D$6=4,V116,J116))))</f>
        <v>590.03970946195898</v>
      </c>
      <c r="G116" s="103">
        <f ca="1">IF(AND(Energy!$F$11=$A$3,Main!$B$43=A116),Weight!H33,G116)</f>
        <v>15</v>
      </c>
      <c r="H116" s="103">
        <f ca="1">IF(AND(Energy!$F$11=$A$3,Main!$B$43=A116),Weight!U33,H116)</f>
        <v>24.824408228496836</v>
      </c>
      <c r="I116" s="103">
        <f ca="1">IF(AND(Energy!$F$11=$A$3,Main!$B$43=A116),Weight!V33,I116)</f>
        <v>59.653081953085348</v>
      </c>
      <c r="J116" s="103">
        <f ca="1">IF(AND(Energy!$F$11=$A$3,Main!$B$43=A116),Weight!I33,J116)</f>
        <v>29.891025449588515</v>
      </c>
      <c r="K116" s="103">
        <f ca="1">IF(AND(Energy!$F$11=$A$3,Main!$B$43=A116),Weight!W33,K116)</f>
        <v>74.653088860442963</v>
      </c>
      <c r="L116" s="103">
        <f ca="1">IF(AND(Energy!$F$11=$A$3,Main!$B$43=A116),'Aerodynamics-Cruise'!BI33,L116)</f>
        <v>74.653075395999039</v>
      </c>
      <c r="M116" s="103">
        <f ca="1">IF(AND(Energy!$F$11=$A$3,Main!$B$43=A116),'Aerodynamics-Cruise'!BJ33,M116)</f>
        <v>3.2816474575068022</v>
      </c>
      <c r="N116" s="103">
        <f ca="1">IF(AND(Energy!$F$11=$A$3,Main!$B$43=A116),'Aerodynamics-Cruise'!BK33,N116)</f>
        <v>22.748657911205349</v>
      </c>
      <c r="O116" s="103">
        <f t="shared" ca="1" si="5"/>
        <v>196.55297956546008</v>
      </c>
      <c r="P116" s="103">
        <f ca="1">IF(AND(Energy!$F$11=$A$3,Main!$B$43=A116),'Aerodynamics-Cruise'!H33,P116)</f>
        <v>8.3072398042086419</v>
      </c>
      <c r="Q116" s="103">
        <f ca="1">IF(AND(Energy!$F$11=$A$3,Main!$B$43=A116),'Aerodynamics-Cruise'!I33,Q116)</f>
        <v>7.0181672978402627</v>
      </c>
      <c r="R116" s="103">
        <f ca="1">IF(AND(Energy!$F$11=$A$3,Main!$B$43=$A116),Summary!R33,R116)</f>
        <v>5.1638697034444982</v>
      </c>
      <c r="S116" s="103">
        <f ca="1">IF(AND(Energy!$F$11=$A$3,Main!$B$43=A116),'Aerodynamics-Cruise'!W33,S116)</f>
        <v>1</v>
      </c>
      <c r="T116" s="103">
        <f ca="1">IF(AND(Energy!$F$11=$A$3,Main!$B$43=A116),'Aerodynamics-Cruise'!BL33,T116)</f>
        <v>27.261432382380594</v>
      </c>
      <c r="U116" s="103">
        <f ca="1">IF(AND(Energy!$F$11=$A$3,Main!$B$43=A116),'Propulsion-Cruise'!M33,U116)</f>
        <v>60.062426716321816</v>
      </c>
      <c r="V116" s="103">
        <f ca="1">IF(AND(Energy!$F$11=$A$3,Main!$B$43=A116),Endurance!AP33,V116)</f>
        <v>590.03970946195898</v>
      </c>
      <c r="W116" s="103">
        <f ca="1">IF(AND(Energy!$F$11=$A$3,Main!$B$43=$A116),Summary!W33,W116)</f>
        <v>1.9894736842105261</v>
      </c>
      <c r="X116" s="13">
        <f ca="1">IF(AND(Energy!$F$11=$A$3,Main!$B$43=A116),Energy!D33,X116)</f>
        <v>405.74237400383339</v>
      </c>
      <c r="Y116" s="102">
        <f ca="1">IF(AND(Energy!$F$11=$A$3,Main!$B$43=A116),'Aerodynamics-Cruise'!V33,Y116)</f>
        <v>163914.5654263171</v>
      </c>
      <c r="Z116" s="102">
        <f ca="1">IF(AND(Energy!$F$11=$A$3,Main!$B$43=$A116),Summary!Z33,Z116)</f>
        <v>122690.83510592055</v>
      </c>
      <c r="AA116" s="102">
        <f ca="1">IF(AND(Energy!$F$11=$A$3,Main!$B$43=$A116),Summary!AA33,AA116)</f>
        <v>122690.83510592055</v>
      </c>
      <c r="AB116" s="103">
        <f ca="1">IF(AND(Energy!$F$11=$A$3,Main!$B$43=$A116),Summary!AB33,AB116)</f>
        <v>5.1638697034444982</v>
      </c>
      <c r="AC116" s="103">
        <f ca="1">IF(AND(Energy!$F$11=$A$3,Main!$B$43=$A116),Summary!AC33,AC116)</f>
        <v>1.7641428006761224</v>
      </c>
      <c r="AD116" s="103">
        <f ca="1">IF(AND(Energy!$F$11=$A$3,Main!$B$43=$A116),Summary!AD33,AD116)</f>
        <v>0.43520340032986077</v>
      </c>
      <c r="AE116" s="103">
        <f ca="1">IF(AND(Energy!$F$11=$A$3,Main!$B$43=$A116),Summary!AE33,AE116)</f>
        <v>1.9894736842105261</v>
      </c>
      <c r="AF116" s="103">
        <f ca="1">IF(AND(Energy!$F$11=$A$3,Main!$B$43=$A116),Summary!AF33,AF116)</f>
        <v>20.554511278195495</v>
      </c>
      <c r="AG116" s="103">
        <f ca="1">IF(AND(Energy!$F$11=$A$3,Main!$B$43=$A116),Summary!AG33,AG116)</f>
        <v>12.101913162901599</v>
      </c>
      <c r="AH116" s="103">
        <f ca="1">IF(AND(Energy!$F$11=$A$3,Main!$B$43=$A116),Summary!AH33,AH116)</f>
        <v>47</v>
      </c>
      <c r="AI116" s="103">
        <f ca="1">IF(AND(Energy!$F$11=$A$3,Main!$B$43=$A116),Summary!AI33,AI116)</f>
        <v>2.7461358967019645</v>
      </c>
      <c r="AJ116" s="103">
        <f ca="1">IF(AND(Energy!$F$11=$A$3,Main!$B$43=$A116),Summary!AJ33,AJ116)</f>
        <v>0.23054378271138576</v>
      </c>
      <c r="AK116" s="103">
        <f ca="1">IF(AND(Energy!$F$11=$A$3,Main!$B$43=$A116),Summary!AK33,AK116)</f>
        <v>0.01</v>
      </c>
      <c r="AL116" s="103">
        <f ca="1">IF(AND(Energy!$F$11=$A$3,Main!$B$43=$A116),Summary!AL33,AL116)</f>
        <v>-0.5421935498154099</v>
      </c>
      <c r="AM116" s="103">
        <f ca="1">IF(AND(Energy!$F$11=$A$3,Main!$B$43=$A116),Summary!AJ133,AM116)</f>
        <v>0</v>
      </c>
    </row>
    <row r="117" spans="1:39">
      <c r="A117">
        <f t="shared" si="7"/>
        <v>6</v>
      </c>
      <c r="D117" s="1">
        <f ca="1">IF(AND(Energy!$F$11=$A$3,Main!$B$43=A117),Main!C34,D117)</f>
        <v>6.552631578947369</v>
      </c>
      <c r="E117" s="103">
        <f ca="1">IF(AND(Energy!$F$11=$A$3,Main!$B$43=A117),Main!B34,E117)</f>
        <v>0.31111111111111106</v>
      </c>
      <c r="F117" s="103">
        <f ca="1">IF(Main!$D$6=1,U117,IF(Main!$D$6=2,N117,IF(Main!$D$6=3,K117,IF(Main!$D$6=4,V117,J117))))</f>
        <v>592.9431768629189</v>
      </c>
      <c r="G117" s="103">
        <f ca="1">IF(AND(Energy!$F$11=$A$3,Main!$B$43=A117),Weight!H34,G117)</f>
        <v>15</v>
      </c>
      <c r="H117" s="103">
        <f ca="1">IF(AND(Energy!$F$11=$A$3,Main!$B$43=A117),Weight!U34,H117)</f>
        <v>25.588111630451124</v>
      </c>
      <c r="I117" s="103">
        <f ca="1">IF(AND(Energy!$F$11=$A$3,Main!$B$43=A117),Weight!V34,I117)</f>
        <v>60.538176219998277</v>
      </c>
      <c r="J117" s="103">
        <f ca="1">IF(AND(Energy!$F$11=$A$3,Main!$B$43=A117),Weight!I34,J117)</f>
        <v>30.012416314547149</v>
      </c>
      <c r="K117" s="103">
        <f ca="1">IF(AND(Energy!$F$11=$A$3,Main!$B$43=A117),Weight!W34,K117)</f>
        <v>75.538183210754653</v>
      </c>
      <c r="L117" s="103">
        <f ca="1">IF(AND(Energy!$F$11=$A$3,Main!$B$43=A117),'Aerodynamics-Cruise'!BI34,L117)</f>
        <v>75.538169606301366</v>
      </c>
      <c r="M117" s="103">
        <f ca="1">IF(AND(Energy!$F$11=$A$3,Main!$B$43=A117),'Aerodynamics-Cruise'!BJ34,M117)</f>
        <v>3.3020985982880249</v>
      </c>
      <c r="N117" s="103">
        <f ca="1">IF(AND(Energy!$F$11=$A$3,Main!$B$43=A117),'Aerodynamics-Cruise'!BK34,N117)</f>
        <v>22.875806811299995</v>
      </c>
      <c r="O117" s="103">
        <f t="shared" ca="1" si="5"/>
        <v>198.81980740246161</v>
      </c>
      <c r="P117" s="103">
        <f ca="1">IF(AND(Energy!$F$11=$A$3,Main!$B$43=A117),'Aerodynamics-Cruise'!H34,P117)</f>
        <v>8.25502363001217</v>
      </c>
      <c r="Q117" s="103">
        <f ca="1">IF(AND(Energy!$F$11=$A$3,Main!$B$43=A117),'Aerodynamics-Cruise'!I34,Q117)</f>
        <v>6.9758596353948876</v>
      </c>
      <c r="R117" s="103">
        <f ca="1">IF(AND(Energy!$F$11=$A$3,Main!$B$43=$A117),Summary!R34,R117)</f>
        <v>5.1624064748116414</v>
      </c>
      <c r="S117" s="103">
        <f ca="1">IF(AND(Energy!$F$11=$A$3,Main!$B$43=A117),'Aerodynamics-Cruise'!W34,S117)</f>
        <v>1</v>
      </c>
      <c r="T117" s="103">
        <f ca="1">IF(AND(Energy!$F$11=$A$3,Main!$B$43=A117),'Aerodynamics-Cruise'!BL34,T117)</f>
        <v>27.258901957497709</v>
      </c>
      <c r="U117" s="103">
        <f ca="1">IF(AND(Energy!$F$11=$A$3,Main!$B$43=A117),'Propulsion-Cruise'!M34,U117)</f>
        <v>60.204657413425785</v>
      </c>
      <c r="V117" s="103">
        <f ca="1">IF(AND(Energy!$F$11=$A$3,Main!$B$43=A117),Endurance!AP34,V117)</f>
        <v>592.9431768629189</v>
      </c>
      <c r="W117" s="103">
        <f ca="1">IF(AND(Energy!$F$11=$A$3,Main!$B$43=$A117),Summary!W34,W117)</f>
        <v>2.0385964912280699</v>
      </c>
      <c r="X117" s="13">
        <f ca="1">IF(AND(Energy!$F$11=$A$3,Main!$B$43=A117),Energy!D34,X117)</f>
        <v>405.80971663143072</v>
      </c>
      <c r="Y117" s="102">
        <f ca="1">IF(AND(Energy!$F$11=$A$3,Main!$B$43=A117),'Aerodynamics-Cruise'!V34,Y117)</f>
        <v>162884.26033059764</v>
      </c>
      <c r="Z117" s="102">
        <f ca="1">IF(AND(Energy!$F$11=$A$3,Main!$B$43=$A117),Summary!Z34,Z117)</f>
        <v>121949.98530246082</v>
      </c>
      <c r="AA117" s="102">
        <f ca="1">IF(AND(Energy!$F$11=$A$3,Main!$B$43=$A117),Summary!AA34,AA117)</f>
        <v>121949.98530246082</v>
      </c>
      <c r="AB117" s="103">
        <f ca="1">IF(AND(Energy!$F$11=$A$3,Main!$B$43=$A117),Summary!AB34,AB117)</f>
        <v>5.1624064748116414</v>
      </c>
      <c r="AC117" s="103">
        <f ca="1">IF(AND(Energy!$F$11=$A$3,Main!$B$43=$A117),Summary!AC34,AC117)</f>
        <v>1.732802634995005</v>
      </c>
      <c r="AD117" s="103">
        <f ca="1">IF(AND(Energy!$F$11=$A$3,Main!$B$43=$A117),Summary!AD34,AD117)</f>
        <v>0.43483219694386843</v>
      </c>
      <c r="AE117" s="103">
        <f ca="1">IF(AND(Energy!$F$11=$A$3,Main!$B$43=$A117),Summary!AE34,AE117)</f>
        <v>2.0385964912280699</v>
      </c>
      <c r="AF117" s="103">
        <f ca="1">IF(AND(Energy!$F$11=$A$3,Main!$B$43=$A117),Summary!AF34,AF117)</f>
        <v>21.062030075187977</v>
      </c>
      <c r="AG117" s="103">
        <f ca="1">IF(AND(Energy!$F$11=$A$3,Main!$B$43=$A117),Summary!AG34,AG117)</f>
        <v>12.128269509100962</v>
      </c>
      <c r="AH117" s="103">
        <f ca="1">IF(AND(Energy!$F$11=$A$3,Main!$B$43=$A117),Summary!AH34,AH117)</f>
        <v>47</v>
      </c>
      <c r="AI117" s="103">
        <f ca="1">IF(AND(Energy!$F$11=$A$3,Main!$B$43=$A117),Summary!AI34,AI117)</f>
        <v>2.7447142639646236</v>
      </c>
      <c r="AJ117" s="103">
        <f ca="1">IF(AND(Energy!$F$11=$A$3,Main!$B$43=$A117),Summary!AJ34,AJ117)</f>
        <v>0.23093723333381774</v>
      </c>
      <c r="AK117" s="103">
        <f ca="1">IF(AND(Energy!$F$11=$A$3,Main!$B$43=$A117),Summary!AK34,AK117)</f>
        <v>0.01</v>
      </c>
      <c r="AL117" s="103">
        <f ca="1">IF(AND(Energy!$F$11=$A$3,Main!$B$43=$A117),Summary!AL34,AL117)</f>
        <v>-0.54126970629227522</v>
      </c>
      <c r="AM117" s="103">
        <f ca="1">IF(AND(Energy!$F$11=$A$3,Main!$B$43=$A117),Summary!AJ134,AM117)</f>
        <v>0</v>
      </c>
    </row>
    <row r="118" spans="1:39">
      <c r="A118">
        <f t="shared" si="7"/>
        <v>6</v>
      </c>
      <c r="D118" s="1">
        <f ca="1">IF(AND(Energy!$F$11=$A$3,Main!$B$43=A118),Main!C35,D118)</f>
        <v>6.7105263157894743</v>
      </c>
      <c r="E118" s="103">
        <f ca="1">IF(AND(Energy!$F$11=$A$3,Main!$B$43=A118),Main!B35,E118)</f>
        <v>0.31111111111111106</v>
      </c>
      <c r="F118" s="103">
        <f ca="1">IF(Main!$D$6=1,U118,IF(Main!$D$6=2,N118,IF(Main!$D$6=3,K118,IF(Main!$D$6=4,V118,J118))))</f>
        <v>596.38689461970239</v>
      </c>
      <c r="G118" s="103">
        <f ca="1">IF(AND(Energy!$F$11=$A$3,Main!$B$43=A118),Weight!H35,G118)</f>
        <v>15</v>
      </c>
      <c r="H118" s="103">
        <f ca="1">IF(AND(Energy!$F$11=$A$3,Main!$B$43=A118),Weight!U35,H118)</f>
        <v>26.371072010335396</v>
      </c>
      <c r="I118" s="103">
        <f ca="1">IF(AND(Energy!$F$11=$A$3,Main!$B$43=A118),Weight!V35,I118)</f>
        <v>61.466833144158514</v>
      </c>
      <c r="J118" s="103">
        <f ca="1">IF(AND(Energy!$F$11=$A$3,Main!$B$43=A118),Weight!I35,J118)</f>
        <v>30.15811285882312</v>
      </c>
      <c r="K118" s="103">
        <f ca="1">IF(AND(Energy!$F$11=$A$3,Main!$B$43=A118),Weight!W35,K118)</f>
        <v>76.46684020019724</v>
      </c>
      <c r="L118" s="103">
        <f ca="1">IF(AND(Energy!$F$11=$A$3,Main!$B$43=A118),'Aerodynamics-Cruise'!BI35,L118)</f>
        <v>76.466826492249851</v>
      </c>
      <c r="M118" s="103">
        <f ca="1">IF(AND(Energy!$F$11=$A$3,Main!$B$43=A118),'Aerodynamics-Cruise'!BJ35,M118)</f>
        <v>3.3245505350842102</v>
      </c>
      <c r="N118" s="103">
        <f ca="1">IF(AND(Energy!$F$11=$A$3,Main!$B$43=A118),'Aerodynamics-Cruise'!BK35,N118)</f>
        <v>23.000650970797459</v>
      </c>
      <c r="O118" s="103">
        <f t="shared" ca="1" si="5"/>
        <v>201.1299108031198</v>
      </c>
      <c r="P118" s="103">
        <f ca="1">IF(AND(Energy!$F$11=$A$3,Main!$B$43=A118),'Aerodynamics-Cruise'!H35,P118)</f>
        <v>8.2072947494843334</v>
      </c>
      <c r="Q118" s="103">
        <f ca="1">IF(AND(Energy!$F$11=$A$3,Main!$B$43=A118),'Aerodynamics-Cruise'!I35,Q118)</f>
        <v>6.9371783635492523</v>
      </c>
      <c r="R118" s="103">
        <f ca="1">IF(AND(Energy!$F$11=$A$3,Main!$B$43=$A118),Summary!R35,R118)</f>
        <v>5.1684616286260088</v>
      </c>
      <c r="S118" s="103">
        <f ca="1">IF(AND(Energy!$F$11=$A$3,Main!$B$43=A118),'Aerodynamics-Cruise'!W35,S118)</f>
        <v>1</v>
      </c>
      <c r="T118" s="103">
        <f ca="1">IF(AND(Energy!$F$11=$A$3,Main!$B$43=A118),'Aerodynamics-Cruise'!BL35,T118)</f>
        <v>27.285566150991968</v>
      </c>
      <c r="U118" s="103">
        <f ca="1">IF(AND(Energy!$F$11=$A$3,Main!$B$43=A118),'Propulsion-Cruise'!M35,U118)</f>
        <v>60.403773411094548</v>
      </c>
      <c r="V118" s="103">
        <f ca="1">IF(AND(Energy!$F$11=$A$3,Main!$B$43=A118),Endurance!AP35,V118)</f>
        <v>596.38689461970239</v>
      </c>
      <c r="W118" s="103">
        <f ca="1">IF(AND(Energy!$F$11=$A$3,Main!$B$43=$A118),Summary!W35,W118)</f>
        <v>2.0877192982456139</v>
      </c>
      <c r="X118" s="13">
        <f ca="1">IF(AND(Energy!$F$11=$A$3,Main!$B$43=A118),Energy!D35,X118)</f>
        <v>405.89054302367134</v>
      </c>
      <c r="Y118" s="102">
        <f ca="1">IF(AND(Energy!$F$11=$A$3,Main!$B$43=A118),'Aerodynamics-Cruise'!V35,Y118)</f>
        <v>161942.49641208872</v>
      </c>
      <c r="Z118" s="102">
        <f ca="1">IF(AND(Energy!$F$11=$A$3,Main!$B$43=$A118),Summary!Z35,Z118)</f>
        <v>121272.64366730352</v>
      </c>
      <c r="AA118" s="102">
        <f ca="1">IF(AND(Energy!$F$11=$A$3,Main!$B$43=$A118),Summary!AA35,AA118)</f>
        <v>121272.64366730352</v>
      </c>
      <c r="AB118" s="103">
        <f ca="1">IF(AND(Energy!$F$11=$A$3,Main!$B$43=$A118),Summary!AB35,AB118)</f>
        <v>5.1684616286260088</v>
      </c>
      <c r="AC118" s="103">
        <f ca="1">IF(AND(Energy!$F$11=$A$3,Main!$B$43=$A118),Summary!AC35,AC118)</f>
        <v>1.7017192506229883</v>
      </c>
      <c r="AD118" s="103">
        <f ca="1">IF(AND(Energy!$F$11=$A$3,Main!$B$43=$A118),Summary!AD35,AD118)</f>
        <v>0.43465309731260177</v>
      </c>
      <c r="AE118" s="103">
        <f ca="1">IF(AND(Energy!$F$11=$A$3,Main!$B$43=$A118),Summary!AE35,AE118)</f>
        <v>2.0877192982456139</v>
      </c>
      <c r="AF118" s="103">
        <f ca="1">IF(AND(Energy!$F$11=$A$3,Main!$B$43=$A118),Summary!AF35,AF118)</f>
        <v>21.569548872180459</v>
      </c>
      <c r="AG118" s="103">
        <f ca="1">IF(AND(Energy!$F$11=$A$3,Main!$B$43=$A118),Summary!AG35,AG118)</f>
        <v>12.161214578778708</v>
      </c>
      <c r="AH118" s="103">
        <f ca="1">IF(AND(Energy!$F$11=$A$3,Main!$B$43=$A118),Summary!AH35,AH118)</f>
        <v>47</v>
      </c>
      <c r="AI118" s="103">
        <f ca="1">IF(AND(Energy!$F$11=$A$3,Main!$B$43=$A118),Summary!AI35,AI118)</f>
        <v>2.7434073953010807</v>
      </c>
      <c r="AJ118" s="103">
        <f ca="1">IF(AND(Energy!$F$11=$A$3,Main!$B$43=$A118),Summary!AJ35,AJ118)</f>
        <v>0.23130273612551674</v>
      </c>
      <c r="AK118" s="103">
        <f ca="1">IF(AND(Energy!$F$11=$A$3,Main!$B$43=$A118),Summary!AK35,AK118)</f>
        <v>0.01</v>
      </c>
      <c r="AL118" s="103">
        <f ca="1">IF(AND(Energy!$F$11=$A$3,Main!$B$43=$A118),Summary!AL35,AL118)</f>
        <v>-0.5404142938757045</v>
      </c>
      <c r="AM118" s="103">
        <f ca="1">IF(AND(Energy!$F$11=$A$3,Main!$B$43=$A118),Summary!AJ135,AM118)</f>
        <v>0</v>
      </c>
    </row>
    <row r="119" spans="1:39">
      <c r="A119">
        <f t="shared" si="7"/>
        <v>6</v>
      </c>
      <c r="D119" s="1">
        <f ca="1">IF(AND(Energy!$F$11=$A$3,Main!$B$43=A119),Main!C36,D119)</f>
        <v>6.8684210526315796</v>
      </c>
      <c r="E119" s="103">
        <f ca="1">IF(AND(Energy!$F$11=$A$3,Main!$B$43=A119),Main!B36,E119)</f>
        <v>0.31111111111111106</v>
      </c>
      <c r="F119" s="103">
        <f ca="1">IF(Main!$D$6=1,U119,IF(Main!$D$6=2,N119,IF(Main!$D$6=3,K119,IF(Main!$D$6=4,V119,J119))))</f>
        <v>600.34045587721573</v>
      </c>
      <c r="G119" s="103">
        <f ca="1">IF(AND(Energy!$F$11=$A$3,Main!$B$43=A119),Weight!H36,G119)</f>
        <v>15</v>
      </c>
      <c r="H119" s="103">
        <f ca="1">IF(AND(Energy!$F$11=$A$3,Main!$B$43=A119),Weight!U36,H119)</f>
        <v>27.173479874516133</v>
      </c>
      <c r="I119" s="103">
        <f ca="1">IF(AND(Energy!$F$11=$A$3,Main!$B$43=A119),Weight!V36,I119)</f>
        <v>62.437882398686256</v>
      </c>
      <c r="J119" s="103">
        <f ca="1">IF(AND(Energy!$F$11=$A$3,Main!$B$43=A119),Weight!I36,J119)</f>
        <v>30.326754249170122</v>
      </c>
      <c r="K119" s="103">
        <f ca="1">IF(AND(Energy!$F$11=$A$3,Main!$B$43=A119),Weight!W36,K119)</f>
        <v>77.437876105747819</v>
      </c>
      <c r="L119" s="103">
        <f ca="1">IF(AND(Energy!$F$11=$A$3,Main!$B$43=A119),'Aerodynamics-Cruise'!BI36,L119)</f>
        <v>77.437888305794331</v>
      </c>
      <c r="M119" s="103">
        <f ca="1">IF(AND(Energy!$F$11=$A$3,Main!$B$43=A119),'Aerodynamics-Cruise'!BJ36,M119)</f>
        <v>3.3488794196299625</v>
      </c>
      <c r="N119" s="103">
        <f ca="1">IF(AND(Energy!$F$11=$A$3,Main!$B$43=A119),'Aerodynamics-Cruise'!BK36,N119)</f>
        <v>23.123522409281282</v>
      </c>
      <c r="O119" s="103">
        <f t="shared" ca="1" si="5"/>
        <v>203.48422276183572</v>
      </c>
      <c r="P119" s="103">
        <f ca="1">IF(AND(Energy!$F$11=$A$3,Main!$B$43=A119),'Aerodynamics-Cruise'!H36,P119)</f>
        <v>8.1637366499875839</v>
      </c>
      <c r="Q119" s="103">
        <f ca="1">IF(AND(Energy!$F$11=$A$3,Main!$B$43=A119),'Aerodynamics-Cruise'!I36,Q119)</f>
        <v>6.9018693953719943</v>
      </c>
      <c r="R119" s="103">
        <f ca="1">IF(AND(Energy!$F$11=$A$3,Main!$B$43=$A119),Summary!R36,R119)</f>
        <v>5.1815808761141744</v>
      </c>
      <c r="S119" s="103">
        <f ca="1">IF(AND(Energy!$F$11=$A$3,Main!$B$43=A119),'Aerodynamics-Cruise'!W36,S119)</f>
        <v>1</v>
      </c>
      <c r="T119" s="103">
        <f ca="1">IF(AND(Energy!$F$11=$A$3,Main!$B$43=A119),'Aerodynamics-Cruise'!BL36,T119)</f>
        <v>27.339369654422274</v>
      </c>
      <c r="U119" s="103">
        <f ca="1">IF(AND(Energy!$F$11=$A$3,Main!$B$43=A119),'Propulsion-Cruise'!M36,U119)</f>
        <v>60.656642927355684</v>
      </c>
      <c r="V119" s="103">
        <f ca="1">IF(AND(Energy!$F$11=$A$3,Main!$B$43=A119),Endurance!AP36,V119)</f>
        <v>600.34045587721573</v>
      </c>
      <c r="W119" s="103">
        <f ca="1">IF(AND(Energy!$F$11=$A$3,Main!$B$43=$A119),Summary!W36,W119)</f>
        <v>2.1368421052631579</v>
      </c>
      <c r="X119" s="13">
        <f ca="1">IF(AND(Energy!$F$11=$A$3,Main!$B$43=A119),Energy!D36,X119)</f>
        <v>405.9840911819212</v>
      </c>
      <c r="Y119" s="102">
        <f ca="1">IF(AND(Energy!$F$11=$A$3,Main!$B$43=A119),'Aerodynamics-Cruise'!V36,Y119)</f>
        <v>161083.02839165324</v>
      </c>
      <c r="Z119" s="102">
        <f ca="1">IF(AND(Energy!$F$11=$A$3,Main!$B$43=$A119),Summary!Z36,Z119)</f>
        <v>120654.35928997883</v>
      </c>
      <c r="AA119" s="102">
        <f ca="1">IF(AND(Energy!$F$11=$A$3,Main!$B$43=$A119),Summary!AA36,AA119)</f>
        <v>120654.35928997883</v>
      </c>
      <c r="AB119" s="103">
        <f ca="1">IF(AND(Energy!$F$11=$A$3,Main!$B$43=$A119),Summary!AB36,AB119)</f>
        <v>5.1815808761141744</v>
      </c>
      <c r="AC119" s="103">
        <f ca="1">IF(AND(Energy!$F$11=$A$3,Main!$B$43=$A119),Summary!AC36,AC119)</f>
        <v>1.6709313837153099</v>
      </c>
      <c r="AD119" s="103">
        <f ca="1">IF(AND(Energy!$F$11=$A$3,Main!$B$43=$A119),Summary!AD36,AD119)</f>
        <v>0.43465493509241793</v>
      </c>
      <c r="AE119" s="103">
        <f ca="1">IF(AND(Energy!$F$11=$A$3,Main!$B$43=$A119),Summary!AE36,AE119)</f>
        <v>2.1368421052631579</v>
      </c>
      <c r="AF119" s="103">
        <f ca="1">IF(AND(Energy!$F$11=$A$3,Main!$B$43=$A119),Summary!AF36,AF119)</f>
        <v>22.077067669172937</v>
      </c>
      <c r="AG119" s="103">
        <f ca="1">IF(AND(Energy!$F$11=$A$3,Main!$B$43=$A119),Summary!AG36,AG119)</f>
        <v>12.20038110048589</v>
      </c>
      <c r="AH119" s="103">
        <f ca="1">IF(AND(Energy!$F$11=$A$3,Main!$B$43=$A119),Summary!AH36,AH119)</f>
        <v>47</v>
      </c>
      <c r="AI119" s="103">
        <f ca="1">IF(AND(Energy!$F$11=$A$3,Main!$B$43=$A119),Summary!AI36,AI119)</f>
        <v>2.7422096981387303</v>
      </c>
      <c r="AJ119" s="103">
        <f ca="1">IF(AND(Energy!$F$11=$A$3,Main!$B$43=$A119),Summary!AJ36,AJ119)</f>
        <v>0.23164137407031474</v>
      </c>
      <c r="AK119" s="103">
        <f ca="1">IF(AND(Energy!$F$11=$A$3,Main!$B$43=$A119),Summary!AK36,AK119)</f>
        <v>0.01</v>
      </c>
      <c r="AL119" s="103">
        <f ca="1">IF(AND(Energy!$F$11=$A$3,Main!$B$43=$A119),Summary!AL36,AL119)</f>
        <v>-0.5396241658969424</v>
      </c>
      <c r="AM119" s="103">
        <f ca="1">IF(AND(Energy!$F$11=$A$3,Main!$B$43=$A119),Summary!AJ136,AM119)</f>
        <v>0</v>
      </c>
    </row>
    <row r="120" spans="1:39">
      <c r="A120">
        <f t="shared" si="7"/>
        <v>6</v>
      </c>
      <c r="D120" s="1">
        <f ca="1">IF(AND(Energy!$F$11=$A$3,Main!$B$43=A120),Main!C37,D120)</f>
        <v>7.026315789473685</v>
      </c>
      <c r="E120" s="103">
        <f ca="1">IF(AND(Energy!$F$11=$A$3,Main!$B$43=A120),Main!B37,E120)</f>
        <v>0.31111111111111106</v>
      </c>
      <c r="F120" s="103">
        <f ca="1">IF(Main!$D$6=1,U120,IF(Main!$D$6=2,N120,IF(Main!$D$6=3,K120,IF(Main!$D$6=4,V120,J120))))</f>
        <v>609.96199913113082</v>
      </c>
      <c r="G120" s="103">
        <f ca="1">IF(AND(Energy!$F$11=$A$3,Main!$B$43=A120),Weight!H37,G120)</f>
        <v>15</v>
      </c>
      <c r="H120" s="103">
        <f ca="1">IF(AND(Energy!$F$11=$A$3,Main!$B$43=A120),Weight!U37,H120)</f>
        <v>28.042017872753448</v>
      </c>
      <c r="I120" s="103">
        <f ca="1">IF(AND(Energy!$F$11=$A$3,Main!$B$43=A120),Weight!V37,I120)</f>
        <v>63.725459253985221</v>
      </c>
      <c r="J120" s="103">
        <f ca="1">IF(AND(Energy!$F$11=$A$3,Main!$B$43=A120),Weight!I37,J120)</f>
        <v>30.745793106231769</v>
      </c>
      <c r="K120" s="103">
        <f ca="1">IF(AND(Energy!$F$11=$A$3,Main!$B$43=A120),Weight!W37,K120)</f>
        <v>78.726508332369448</v>
      </c>
      <c r="L120" s="103">
        <f ca="1">IF(AND(Energy!$F$11=$A$3,Main!$B$43=A120),'Aerodynamics-Cruise'!BI37,L120)</f>
        <v>78.724402555255708</v>
      </c>
      <c r="M120" s="103">
        <f ca="1">IF(AND(Energy!$F$11=$A$3,Main!$B$43=A120),'Aerodynamics-Cruise'!BJ37,M120)</f>
        <v>3.3829618238655152</v>
      </c>
      <c r="N120" s="103">
        <f ca="1">IF(AND(Energy!$F$11=$A$3,Main!$B$43=A120),'Aerodynamics-Cruise'!BK37,N120)</f>
        <v>23.270851595156895</v>
      </c>
      <c r="O120" s="103">
        <f t="shared" ca="1" si="5"/>
        <v>206.47475681190471</v>
      </c>
      <c r="P120" s="103">
        <f ca="1">IF(AND(Energy!$F$11=$A$3,Main!$B$43=A120),'Aerodynamics-Cruise'!H37,P120)</f>
        <v>8.1382405155125213</v>
      </c>
      <c r="Q120" s="103">
        <f ca="1">IF(AND(Energy!$F$11=$A$3,Main!$B$43=A120),'Aerodynamics-Cruise'!I37,Q120)</f>
        <v>6.8812099667200748</v>
      </c>
      <c r="R120" s="103">
        <f ca="1">IF(AND(Energy!$F$11=$A$3,Main!$B$43=$A120),Summary!R37,R120)</f>
        <v>5.238074172965554</v>
      </c>
      <c r="S120" s="103">
        <f ca="1">IF(AND(Energy!$F$11=$A$3,Main!$B$43=A120),'Aerodynamics-Cruise'!W37,S120)</f>
        <v>1</v>
      </c>
      <c r="T120" s="103">
        <f ca="1">IF(AND(Energy!$F$11=$A$3,Main!$B$43=A120),'Aerodynamics-Cruise'!BL37,T120)</f>
        <v>27.531356977414468</v>
      </c>
      <c r="U120" s="103">
        <f ca="1">IF(AND(Energy!$F$11=$A$3,Main!$B$43=A120),'Propulsion-Cruise'!M37,U120)</f>
        <v>61.166392168784959</v>
      </c>
      <c r="V120" s="103">
        <f ca="1">IF(AND(Energy!$F$11=$A$3,Main!$B$43=A120),Endurance!AP37,V120)</f>
        <v>609.96199913113082</v>
      </c>
      <c r="W120" s="103">
        <f ca="1">IF(AND(Energy!$F$11=$A$3,Main!$B$43=$A120),Summary!W37,W120)</f>
        <v>2.1859649122807014</v>
      </c>
      <c r="X120" s="13">
        <f ca="1">IF(AND(Energy!$F$11=$A$3,Main!$B$43=A120),Energy!D37,X120)</f>
        <v>406.21702682839936</v>
      </c>
      <c r="Y120" s="102">
        <f ca="1">IF(AND(Energy!$F$11=$A$3,Main!$B$43=A120),'Aerodynamics-Cruise'!V37,Y120)</f>
        <v>160579.95060636848</v>
      </c>
      <c r="Z120" s="102">
        <f ca="1">IF(AND(Energy!$F$11=$A$3,Main!$B$43=$A120),Summary!Z37,Z120)</f>
        <v>120292.58868053382</v>
      </c>
      <c r="AA120" s="102">
        <f ca="1">IF(AND(Energy!$F$11=$A$3,Main!$B$43=$A120),Summary!AA37,AA120)</f>
        <v>120292.58868053382</v>
      </c>
      <c r="AB120" s="103">
        <f ca="1">IF(AND(Energy!$F$11=$A$3,Main!$B$43=$A120),Summary!AB37,AB120)</f>
        <v>5.238074172965554</v>
      </c>
      <c r="AC120" s="103">
        <f ca="1">IF(AND(Energy!$F$11=$A$3,Main!$B$43=$A120),Summary!AC37,AC120)</f>
        <v>1.6360840377023247</v>
      </c>
      <c r="AD120" s="103">
        <f ca="1">IF(AND(Energy!$F$11=$A$3,Main!$B$43=$A120),Summary!AD37,AD120)</f>
        <v>0.43551242727524347</v>
      </c>
      <c r="AE120" s="103">
        <f ca="1">IF(AND(Energy!$F$11=$A$3,Main!$B$43=$A120),Summary!AE37,AE120)</f>
        <v>2.1859649122807014</v>
      </c>
      <c r="AF120" s="103">
        <f ca="1">IF(AND(Energy!$F$11=$A$3,Main!$B$43=$A120),Summary!AF37,AF120)</f>
        <v>22.584586466165423</v>
      </c>
      <c r="AG120" s="103">
        <f ca="1">IF(AND(Energy!$F$11=$A$3,Main!$B$43=$A120),Summary!AG37,AG120)</f>
        <v>12.269278601316486</v>
      </c>
      <c r="AH120" s="103">
        <f ca="1">IF(AND(Energy!$F$11=$A$3,Main!$B$43=$A120),Summary!AH37,AH120)</f>
        <v>47</v>
      </c>
      <c r="AI120" s="103">
        <f ca="1">IF(AND(Energy!$F$11=$A$3,Main!$B$43=$A120),Summary!AI37,AI120)</f>
        <v>2.7413824867693859</v>
      </c>
      <c r="AJ120" s="103">
        <f ca="1">IF(AND(Energy!$F$11=$A$3,Main!$B$43=$A120),Summary!AJ37,AJ120)</f>
        <v>0.2319279536117349</v>
      </c>
      <c r="AK120" s="103">
        <f ca="1">IF(AND(Energy!$F$11=$A$3,Main!$B$43=$A120),Summary!AK37,AK120)</f>
        <v>0.01</v>
      </c>
      <c r="AL120" s="103">
        <f ca="1">IF(AND(Energy!$F$11=$A$3,Main!$B$43=$A120),Summary!AL37,AL120)</f>
        <v>-0.53895658573050198</v>
      </c>
      <c r="AM120" s="103">
        <f ca="1">IF(AND(Energy!$F$11=$A$3,Main!$B$43=$A120),Summary!AJ137,AM120)</f>
        <v>0</v>
      </c>
    </row>
    <row r="121" spans="1:39">
      <c r="A121">
        <f t="shared" si="7"/>
        <v>6</v>
      </c>
      <c r="D121" s="1">
        <f ca="1">IF(AND(Energy!$F$11=$A$3,Main!$B$43=A121),Main!C38,D121)</f>
        <v>7.1842105263157903</v>
      </c>
      <c r="E121" s="103">
        <f ca="1">IF(AND(Energy!$F$11=$A$3,Main!$B$43=A121),Main!B38,E121)</f>
        <v>0.31111111111111106</v>
      </c>
      <c r="F121" s="103">
        <f ca="1">IF(Main!$D$6=1,U121,IF(Main!$D$6=2,N121,IF(Main!$D$6=3,K121,IF(Main!$D$6=4,V121,J121))))</f>
        <v>616.82823285734082</v>
      </c>
      <c r="G121" s="103">
        <f ca="1">IF(AND(Energy!$F$11=$A$3,Main!$B$43=A121),Weight!H38,G121)</f>
        <v>15</v>
      </c>
      <c r="H121" s="103">
        <f ca="1">IF(AND(Energy!$F$11=$A$3,Main!$B$43=A121),Weight!U38,H121)</f>
        <v>28.907786606785329</v>
      </c>
      <c r="I121" s="103">
        <f ca="1">IF(AND(Energy!$F$11=$A$3,Main!$B$43=A121),Weight!V38,I121)</f>
        <v>64.891393857656254</v>
      </c>
      <c r="J121" s="103">
        <f ca="1">IF(AND(Energy!$F$11=$A$3,Main!$B$43=A121),Weight!I38,J121)</f>
        <v>31.045958975870924</v>
      </c>
      <c r="K121" s="103">
        <f ca="1">IF(AND(Energy!$F$11=$A$3,Main!$B$43=A121),Weight!W38,K121)</f>
        <v>79.891377145040224</v>
      </c>
      <c r="L121" s="103">
        <f ca="1">IF(AND(Energy!$F$11=$A$3,Main!$B$43=A121),'Aerodynamics-Cruise'!BI38,L121)</f>
        <v>79.8914126892507</v>
      </c>
      <c r="M121" s="103">
        <f ca="1">IF(AND(Energy!$F$11=$A$3,Main!$B$43=A121),'Aerodynamics-Cruise'!BJ38,M121)</f>
        <v>3.4138958135136073</v>
      </c>
      <c r="N121" s="103">
        <f ca="1">IF(AND(Energy!$F$11=$A$3,Main!$B$43=A121),'Aerodynamics-Cruise'!BK38,N121)</f>
        <v>23.401830944285866</v>
      </c>
      <c r="O121" s="103">
        <f t="shared" ca="1" si="5"/>
        <v>209.17023677068994</v>
      </c>
      <c r="P121" s="103">
        <f ca="1">IF(AND(Energy!$F$11=$A$3,Main!$B$43=A121),'Aerodynamics-Cruise'!H38,P121)</f>
        <v>8.1077291775579283</v>
      </c>
      <c r="Q121" s="103">
        <f ca="1">IF(AND(Energy!$F$11=$A$3,Main!$B$43=A121),'Aerodynamics-Cruise'!I38,Q121)</f>
        <v>6.8564662214084242</v>
      </c>
      <c r="R121" s="103">
        <f ca="1">IF(AND(Energy!$F$11=$A$3,Main!$B$43=$A121),Summary!R38,R121)</f>
        <v>5.278863991120998</v>
      </c>
      <c r="S121" s="103">
        <f ca="1">IF(AND(Energy!$F$11=$A$3,Main!$B$43=A121),'Aerodynamics-Cruise'!W38,S121)</f>
        <v>1</v>
      </c>
      <c r="T121" s="103">
        <f ca="1">IF(AND(Energy!$F$11=$A$3,Main!$B$43=A121),'Aerodynamics-Cruise'!BL38,T121)</f>
        <v>27.678942696367134</v>
      </c>
      <c r="U121" s="103">
        <f ca="1">IF(AND(Energy!$F$11=$A$3,Main!$B$43=A121),'Propulsion-Cruise'!M38,U121)</f>
        <v>61.607410039079959</v>
      </c>
      <c r="V121" s="103">
        <f ca="1">IF(AND(Energy!$F$11=$A$3,Main!$B$43=A121),Endurance!AP38,V121)</f>
        <v>616.82823285734082</v>
      </c>
      <c r="W121" s="103">
        <f ca="1">IF(AND(Energy!$F$11=$A$3,Main!$B$43=$A121),Summary!W38,W121)</f>
        <v>2.2350877192982455</v>
      </c>
      <c r="X121" s="13">
        <f ca="1">IF(AND(Energy!$F$11=$A$3,Main!$B$43=A121),Energy!D38,X121)</f>
        <v>406.38307439975301</v>
      </c>
      <c r="Y121" s="102">
        <f ca="1">IF(AND(Energy!$F$11=$A$3,Main!$B$43=A121),'Aerodynamics-Cruise'!V38,Y121)</f>
        <v>159977.91517471173</v>
      </c>
      <c r="Z121" s="102">
        <f ca="1">IF(AND(Energy!$F$11=$A$3,Main!$B$43=$A121),Summary!Z38,Z121)</f>
        <v>119859.31995111931</v>
      </c>
      <c r="AA121" s="102">
        <f ca="1">IF(AND(Energy!$F$11=$A$3,Main!$B$43=$A121),Summary!AA38,AA121)</f>
        <v>119859.31995111931</v>
      </c>
      <c r="AB121" s="103">
        <f ca="1">IF(AND(Energy!$F$11=$A$3,Main!$B$43=$A121),Summary!AB38,AB121)</f>
        <v>5.278863991120998</v>
      </c>
      <c r="AC121" s="103">
        <f ca="1">IF(AND(Energy!$F$11=$A$3,Main!$B$43=$A121),Summary!AC38,AC121)</f>
        <v>1.6044143154737043</v>
      </c>
      <c r="AD121" s="103">
        <f ca="1">IF(AND(Energy!$F$11=$A$3,Main!$B$43=$A121),Summary!AD38,AD121)</f>
        <v>0.43610592587966873</v>
      </c>
      <c r="AE121" s="103">
        <f ca="1">IF(AND(Energy!$F$11=$A$3,Main!$B$43=$A121),Summary!AE38,AE121)</f>
        <v>2.2350877192982455</v>
      </c>
      <c r="AF121" s="103">
        <f ca="1">IF(AND(Energy!$F$11=$A$3,Main!$B$43=$A121),Summary!AF38,AF121)</f>
        <v>23.092105263157901</v>
      </c>
      <c r="AG121" s="103">
        <f ca="1">IF(AND(Energy!$F$11=$A$3,Main!$B$43=$A121),Summary!AG38,AG121)</f>
        <v>12.33101232907452</v>
      </c>
      <c r="AH121" s="103">
        <f ca="1">IF(AND(Energy!$F$11=$A$3,Main!$B$43=$A121),Summary!AH38,AH121)</f>
        <v>47</v>
      </c>
      <c r="AI121" s="103">
        <f ca="1">IF(AND(Energy!$F$11=$A$3,Main!$B$43=$A121),Summary!AI38,AI121)</f>
        <v>2.7406539791099687</v>
      </c>
      <c r="AJ121" s="103">
        <f ca="1">IF(AND(Energy!$F$11=$A$3,Main!$B$43=$A121),Summary!AJ38,AJ121)</f>
        <v>0.23219734116762158</v>
      </c>
      <c r="AK121" s="103">
        <f ca="1">IF(AND(Energy!$F$11=$A$3,Main!$B$43=$A121),Summary!AK38,AK121)</f>
        <v>0.01</v>
      </c>
      <c r="AL121" s="103">
        <f ca="1">IF(AND(Energy!$F$11=$A$3,Main!$B$43=$A121),Summary!AL38,AL121)</f>
        <v>-0.53833108031829136</v>
      </c>
      <c r="AM121" s="103">
        <f ca="1">IF(AND(Energy!$F$11=$A$3,Main!$B$43=$A121),Summary!AJ138,AM121)</f>
        <v>0</v>
      </c>
    </row>
    <row r="122" spans="1:39">
      <c r="A122">
        <f t="shared" si="7"/>
        <v>6</v>
      </c>
      <c r="D122" s="1">
        <f ca="1">IF(AND(Energy!$F$11=$A$3,Main!$B$43=A122),Main!C39,D122)</f>
        <v>7.3421052631578956</v>
      </c>
      <c r="E122" s="103">
        <f ca="1">IF(AND(Energy!$F$11=$A$3,Main!$B$43=A122),Main!B39,E122)</f>
        <v>0.31111111111111106</v>
      </c>
      <c r="F122" s="103">
        <f ca="1">IF(Main!$D$6=1,U122,IF(Main!$D$6=2,N122,IF(Main!$D$6=3,K122,IF(Main!$D$6=4,V122,J122))))</f>
        <v>619.02806157467126</v>
      </c>
      <c r="G122" s="103">
        <f ca="1">IF(AND(Energy!$F$11=$A$3,Main!$B$43=A122),Weight!H39,G122)</f>
        <v>15</v>
      </c>
      <c r="H122" s="103">
        <f ca="1">IF(AND(Energy!$F$11=$A$3,Main!$B$43=A122),Weight!U39,H122)</f>
        <v>29.739075938357047</v>
      </c>
      <c r="I122" s="103">
        <f ca="1">IF(AND(Energy!$F$11=$A$3,Main!$B$43=A122),Weight!V39,I122)</f>
        <v>65.813919126593049</v>
      </c>
      <c r="J122" s="103">
        <f ca="1">IF(AND(Energy!$F$11=$A$3,Main!$B$43=A122),Weight!I39,J122)</f>
        <v>31.137194913235998</v>
      </c>
      <c r="K122" s="103">
        <f ca="1">IF(AND(Energy!$F$11=$A$3,Main!$B$43=A122),Weight!W39,K122)</f>
        <v>80.813921688451813</v>
      </c>
      <c r="L122" s="103">
        <f ca="1">IF(AND(Energy!$F$11=$A$3,Main!$B$43=A122),'Aerodynamics-Cruise'!BI39,L122)</f>
        <v>80.813916352978694</v>
      </c>
      <c r="M122" s="103">
        <f ca="1">IF(AND(Energy!$F$11=$A$3,Main!$B$43=A122),'Aerodynamics-Cruise'!BJ39,M122)</f>
        <v>3.438292022367083</v>
      </c>
      <c r="N122" s="103">
        <f ca="1">IF(AND(Energy!$F$11=$A$3,Main!$B$43=A122),'Aerodynamics-Cruise'!BK39,N122)</f>
        <v>23.504087444365055</v>
      </c>
      <c r="O122" s="103">
        <f t="shared" ca="1" si="5"/>
        <v>211.29366248966528</v>
      </c>
      <c r="P122" s="103">
        <f ca="1">IF(AND(Energy!$F$11=$A$3,Main!$B$43=A122),'Aerodynamics-Cruise'!H39,P122)</f>
        <v>8.0662296988659588</v>
      </c>
      <c r="Q122" s="103">
        <f ca="1">IF(AND(Energy!$F$11=$A$3,Main!$B$43=A122),'Aerodynamics-Cruise'!I39,Q122)</f>
        <v>6.822806875221719</v>
      </c>
      <c r="R122" s="103">
        <f ca="1">IF(AND(Energy!$F$11=$A$3,Main!$B$43=$A122),Summary!R39,R122)</f>
        <v>5.2882895565165926</v>
      </c>
      <c r="S122" s="103">
        <f ca="1">IF(AND(Energy!$F$11=$A$3,Main!$B$43=A122),'Aerodynamics-Cruise'!W39,S122)</f>
        <v>1</v>
      </c>
      <c r="T122" s="103">
        <f ca="1">IF(AND(Energy!$F$11=$A$3,Main!$B$43=A122),'Aerodynamics-Cruise'!BL39,T122)</f>
        <v>27.734053224191264</v>
      </c>
      <c r="U122" s="103">
        <f ca="1">IF(AND(Energy!$F$11=$A$3,Main!$B$43=A122),'Propulsion-Cruise'!M39,U122)</f>
        <v>61.868642089486769</v>
      </c>
      <c r="V122" s="103">
        <f ca="1">IF(AND(Energy!$F$11=$A$3,Main!$B$43=A122),Endurance!AP39,V122)</f>
        <v>619.02806157467126</v>
      </c>
      <c r="W122" s="103">
        <f ca="1">IF(AND(Energy!$F$11=$A$3,Main!$B$43=$A122),Summary!W39,W122)</f>
        <v>2.2842105263157895</v>
      </c>
      <c r="X122" s="13">
        <f ca="1">IF(AND(Energy!$F$11=$A$3,Main!$B$43=A122),Energy!D39,X122)</f>
        <v>406.43369388286538</v>
      </c>
      <c r="Y122" s="102">
        <f ca="1">IF(AND(Energy!$F$11=$A$3,Main!$B$43=A122),'Aerodynamics-Cruise'!V39,Y122)</f>
        <v>159159.06689591683</v>
      </c>
      <c r="Z122" s="102">
        <f ca="1">IF(AND(Energy!$F$11=$A$3,Main!$B$43=$A122),Summary!Z39,Z122)</f>
        <v>119269.93459292392</v>
      </c>
      <c r="AA122" s="102">
        <f ca="1">IF(AND(Energy!$F$11=$A$3,Main!$B$43=$A122),Summary!AA39,AA122)</f>
        <v>119269.93459292392</v>
      </c>
      <c r="AB122" s="103">
        <f ca="1">IF(AND(Energy!$F$11=$A$3,Main!$B$43=$A122),Summary!AB39,AB122)</f>
        <v>5.2882895565165926</v>
      </c>
      <c r="AC122" s="103">
        <f ca="1">IF(AND(Energy!$F$11=$A$3,Main!$B$43=$A122),Summary!AC39,AC122)</f>
        <v>1.5773886002600428</v>
      </c>
      <c r="AD122" s="103">
        <f ca="1">IF(AND(Energy!$F$11=$A$3,Main!$B$43=$A122),Summary!AD39,AD122)</f>
        <v>0.43614619970158758</v>
      </c>
      <c r="AE122" s="103">
        <f ca="1">IF(AND(Energy!$F$11=$A$3,Main!$B$43=$A122),Summary!AE39,AE122)</f>
        <v>2.2842105263157895</v>
      </c>
      <c r="AF122" s="103">
        <f ca="1">IF(AND(Energy!$F$11=$A$3,Main!$B$43=$A122),Summary!AF39,AF122)</f>
        <v>23.599624060150383</v>
      </c>
      <c r="AG122" s="103">
        <f ca="1">IF(AND(Energy!$F$11=$A$3,Main!$B$43=$A122),Summary!AG39,AG122)</f>
        <v>12.370511424157922</v>
      </c>
      <c r="AH122" s="103">
        <f ca="1">IF(AND(Energy!$F$11=$A$3,Main!$B$43=$A122),Summary!AH39,AH122)</f>
        <v>47</v>
      </c>
      <c r="AI122" s="103">
        <f ca="1">IF(AND(Energy!$F$11=$A$3,Main!$B$43=$A122),Summary!AI39,AI122)</f>
        <v>2.7394983010454919</v>
      </c>
      <c r="AJ122" s="103">
        <f ca="1">IF(AND(Energy!$F$11=$A$3,Main!$B$43=$A122),Summary!AJ39,AJ122)</f>
        <v>0.23248333376976646</v>
      </c>
      <c r="AK122" s="103">
        <f ca="1">IF(AND(Energy!$F$11=$A$3,Main!$B$43=$A122),Summary!AK39,AK122)</f>
        <v>0.01</v>
      </c>
      <c r="AL122" s="103">
        <f ca="1">IF(AND(Energy!$F$11=$A$3,Main!$B$43=$A122),Summary!AL39,AL122)</f>
        <v>-0.5376691914605396</v>
      </c>
      <c r="AM122" s="103">
        <f ca="1">IF(AND(Energy!$F$11=$A$3,Main!$B$43=$A122),Summary!AJ139,AM122)</f>
        <v>0</v>
      </c>
    </row>
    <row r="123" spans="1:39">
      <c r="A123">
        <f t="shared" si="7"/>
        <v>6</v>
      </c>
      <c r="D123" s="1">
        <f ca="1">IF(AND(Energy!$F$11=$A$3,Main!$B$43=A123),Main!C40,D123)</f>
        <v>7.5</v>
      </c>
      <c r="E123" s="103">
        <f ca="1">IF(AND(Energy!$F$11=$A$3,Main!$B$43=A123),Main!B40,E123)</f>
        <v>0.31111111111111106</v>
      </c>
      <c r="F123" s="103">
        <f ca="1">IF(Main!$D$6=1,U123,IF(Main!$D$6=2,N123,IF(Main!$D$6=3,K123,IF(Main!$D$6=4,V123,J123))))</f>
        <v>621.57512341978043</v>
      </c>
      <c r="G123" s="103">
        <f ca="1">IF(AND(Energy!$F$11=$A$3,Main!$B$43=A123),Weight!H40,G123)</f>
        <v>15</v>
      </c>
      <c r="H123" s="103">
        <f ca="1">IF(AND(Energy!$F$11=$A$3,Main!$B$43=A123),Weight!U40,H123)</f>
        <v>30.588564062582932</v>
      </c>
      <c r="I123" s="103">
        <f ca="1">IF(AND(Energy!$F$11=$A$3,Main!$B$43=A123),Weight!V40,I123)</f>
        <v>66.770324145355332</v>
      </c>
      <c r="J123" s="103">
        <f ca="1">IF(AND(Energy!$F$11=$A$3,Main!$B$43=A123),Weight!I40,J123)</f>
        <v>31.244111807772402</v>
      </c>
      <c r="K123" s="103">
        <f ca="1">IF(AND(Energy!$F$11=$A$3,Main!$B$43=A123),Weight!W40,K123)</f>
        <v>81.77032507439371</v>
      </c>
      <c r="L123" s="103">
        <f ca="1">IF(AND(Energy!$F$11=$A$3,Main!$B$43=A123),'Aerodynamics-Cruise'!BI40,L123)</f>
        <v>81.770323210377782</v>
      </c>
      <c r="M123" s="103">
        <f ca="1">IF(AND(Energy!$F$11=$A$3,Main!$B$43=A123),'Aerodynamics-Cruise'!BJ40,M123)</f>
        <v>3.4641404452290931</v>
      </c>
      <c r="N123" s="103">
        <f ca="1">IF(AND(Energy!$F$11=$A$3,Main!$B$43=A123),'Aerodynamics-Cruise'!BK40,N123)</f>
        <v>23.604794465823133</v>
      </c>
      <c r="O123" s="103">
        <f t="shared" ca="1" si="5"/>
        <v>213.45094429362786</v>
      </c>
      <c r="P123" s="103">
        <f ca="1">IF(AND(Energy!$F$11=$A$3,Main!$B$43=A123),'Aerodynamics-Cruise'!H40,P123)</f>
        <v>8.0279414458443252</v>
      </c>
      <c r="Q123" s="103">
        <f ca="1">IF(AND(Energy!$F$11=$A$3,Main!$B$43=A123),'Aerodynamics-Cruise'!I40,Q123)</f>
        <v>6.7917457933269327</v>
      </c>
      <c r="R123" s="103">
        <f ca="1">IF(AND(Energy!$F$11=$A$3,Main!$B$43=$A123),Summary!R40,R123)</f>
        <v>5.3032282789301526</v>
      </c>
      <c r="S123" s="103">
        <f ca="1">IF(AND(Energy!$F$11=$A$3,Main!$B$43=A123),'Aerodynamics-Cruise'!W40,S123)</f>
        <v>1</v>
      </c>
      <c r="T123" s="103">
        <f ca="1">IF(AND(Energy!$F$11=$A$3,Main!$B$43=A123),'Aerodynamics-Cruise'!BL40,T123)</f>
        <v>27.809916654480251</v>
      </c>
      <c r="U123" s="103">
        <f ca="1">IF(AND(Energy!$F$11=$A$3,Main!$B$43=A123),'Propulsion-Cruise'!M40,U123)</f>
        <v>62.171060200471018</v>
      </c>
      <c r="V123" s="103">
        <f ca="1">IF(AND(Energy!$F$11=$A$3,Main!$B$43=A123),Endurance!AP40,V123)</f>
        <v>621.57512341978043</v>
      </c>
      <c r="W123" s="103">
        <f ca="1">IF(AND(Energy!$F$11=$A$3,Main!$B$43=$A123),Summary!W40,W123)</f>
        <v>2.333333333333333</v>
      </c>
      <c r="X123" s="13">
        <f ca="1">IF(AND(Energy!$F$11=$A$3,Main!$B$43=A123),Energy!D40,X123)</f>
        <v>406.49300643074412</v>
      </c>
      <c r="Y123" s="102">
        <f ca="1">IF(AND(Energy!$F$11=$A$3,Main!$B$43=A123),'Aerodynamics-Cruise'!V40,Y123)</f>
        <v>158403.58101818949</v>
      </c>
      <c r="Z123" s="102">
        <f ca="1">IF(AND(Energy!$F$11=$A$3,Main!$B$43=$A123),Summary!Z40,Z123)</f>
        <v>118726.05004946169</v>
      </c>
      <c r="AA123" s="102">
        <f ca="1">IF(AND(Energy!$F$11=$A$3,Main!$B$43=$A123),Summary!AA40,AA123)</f>
        <v>118726.05004946169</v>
      </c>
      <c r="AB123" s="103">
        <f ca="1">IF(AND(Energy!$F$11=$A$3,Main!$B$43=$A123),Summary!AB40,AB123)</f>
        <v>5.3032282789301526</v>
      </c>
      <c r="AC123" s="103">
        <f ca="1">IF(AND(Energy!$F$11=$A$3,Main!$B$43=$A123),Summary!AC40,AC123)</f>
        <v>1.5506809699531734</v>
      </c>
      <c r="AD123" s="103">
        <f ca="1">IF(AND(Energy!$F$11=$A$3,Main!$B$43=$A123),Summary!AD40,AD123)</f>
        <v>0.43632138478668114</v>
      </c>
      <c r="AE123" s="103">
        <f ca="1">IF(AND(Energy!$F$11=$A$3,Main!$B$43=$A123),Summary!AE40,AE123)</f>
        <v>2.333333333333333</v>
      </c>
      <c r="AF123" s="103">
        <f ca="1">IF(AND(Energy!$F$11=$A$3,Main!$B$43=$A123),Summary!AF40,AF123)</f>
        <v>24.107142857142861</v>
      </c>
      <c r="AG123" s="103">
        <f ca="1">IF(AND(Energy!$F$11=$A$3,Main!$B$43=$A123),Summary!AG40,AG123)</f>
        <v>12.414722455854628</v>
      </c>
      <c r="AH123" s="103">
        <f ca="1">IF(AND(Energy!$F$11=$A$3,Main!$B$43=$A123),Summary!AH40,AH123)</f>
        <v>47</v>
      </c>
      <c r="AI123" s="103">
        <f ca="1">IF(AND(Energy!$F$11=$A$3,Main!$B$43=$A123),Summary!AI40,AI123)</f>
        <v>2.7384297458271245</v>
      </c>
      <c r="AJ123" s="103">
        <f ca="1">IF(AND(Energy!$F$11=$A$3,Main!$B$43=$A123),Summary!AJ40,AJ123)</f>
        <v>0.23272588683898665</v>
      </c>
      <c r="AK123" s="103">
        <f ca="1">IF(AND(Energy!$F$11=$A$3,Main!$B$43=$A123),Summary!AK40,AK123)</f>
        <v>0.01</v>
      </c>
      <c r="AL123" s="103">
        <f ca="1">IF(AND(Energy!$F$11=$A$3,Main!$B$43=$A123),Summary!AL40,AL123)</f>
        <v>-0.53710955790966286</v>
      </c>
      <c r="AM123" s="103">
        <f ca="1">IF(AND(Energy!$F$11=$A$3,Main!$B$43=$A123),Summary!AJ140,AM123)</f>
        <v>0</v>
      </c>
    </row>
    <row r="124" spans="1:39">
      <c r="A124" s="7">
        <f>A104+1</f>
        <v>7</v>
      </c>
      <c r="D124" s="1">
        <f ca="1">IF(AND(Energy!$F$11=$A$3,Main!$B$43=A124),Main!C21,D124)</f>
        <v>4.5</v>
      </c>
      <c r="E124" s="103">
        <f ca="1">IF(AND(Energy!$F$11=$A$3,Main!$B$43=A124),Main!B21,E124)</f>
        <v>0.33333333333333326</v>
      </c>
      <c r="F124" s="103">
        <f ca="1">IF(Main!$D$6=1,U124,IF(Main!$D$6=2,N124,IF(Main!$D$6=3,K124,IF(Main!$D$6=4,V124,J124))))</f>
        <v>642.49065788744292</v>
      </c>
      <c r="G124" s="103">
        <f ca="1">IF(AND(Energy!$F$11=$A$3,Main!$B$43=A124),Weight!H21,G124)</f>
        <v>15</v>
      </c>
      <c r="H124" s="103">
        <f ca="1">IF(AND(Energy!$F$11=$A$3,Main!$B$43=A124),Weight!U21,H124)</f>
        <v>18.287195531495527</v>
      </c>
      <c r="I124" s="103">
        <f ca="1">IF(AND(Energy!$F$11=$A$3,Main!$B$43=A124),Weight!V21,I124)</f>
        <v>55.557386033412925</v>
      </c>
      <c r="J124" s="103">
        <f ca="1">IF(AND(Energy!$F$11=$A$3,Main!$B$43=A124),Weight!I21,J124)</f>
        <v>32.332542226917397</v>
      </c>
      <c r="K124" s="103">
        <f ca="1">IF(AND(Energy!$F$11=$A$3,Main!$B$43=A124),Weight!W21,K124)</f>
        <v>70.557386514522278</v>
      </c>
      <c r="L124" s="103">
        <f ca="1">IF(AND(Energy!$F$11=$A$3,Main!$B$43=A124),'Aerodynamics-Cruise'!BI21,L124)</f>
        <v>70.557385541450842</v>
      </c>
      <c r="M124" s="103">
        <f ca="1">IF(AND(Energy!$F$11=$A$3,Main!$B$43=A124),'Aerodynamics-Cruise'!BJ21,M124)</f>
        <v>3.4236932057388461</v>
      </c>
      <c r="N124" s="103">
        <f ca="1">IF(AND(Energy!$F$11=$A$3,Main!$B$43=A124),'Aerodynamics-Cruise'!BK21,N124)</f>
        <v>20.60855961719394</v>
      </c>
      <c r="O124" s="103">
        <f t="shared" ca="1" si="5"/>
        <v>173.10869359847729</v>
      </c>
      <c r="P124" s="103">
        <f ca="1">IF(AND(Energy!$F$11=$A$3,Main!$B$43=A124),'Aerodynamics-Cruise'!H21,P124)</f>
        <v>9.3090536790341059</v>
      </c>
      <c r="Q124" s="103">
        <f ca="1">IF(AND(Energy!$F$11=$A$3,Main!$B$43=A124),'Aerodynamics-Cruise'!I21,Q124)</f>
        <v>7.7995678994566306</v>
      </c>
      <c r="R124" s="103">
        <f ca="1">IF(AND(Energy!$F$11=$A$3,Main!$B$43=$A124),Summary!R21,R124)</f>
        <v>6.0564183766959578</v>
      </c>
      <c r="S124" s="103">
        <f ca="1">IF(AND(Energy!$F$11=$A$3,Main!$B$43=A124),'Aerodynamics-Cruise'!W21,S124)</f>
        <v>1</v>
      </c>
      <c r="T124" s="103">
        <f ca="1">IF(AND(Energy!$F$11=$A$3,Main!$B$43=A124),'Aerodynamics-Cruise'!BL21,T124)</f>
        <v>31.871343832767277</v>
      </c>
      <c r="U124" s="103">
        <f ca="1">IF(AND(Energy!$F$11=$A$3,Main!$B$43=A124),'Propulsion-Cruise'!M21,U124)</f>
        <v>67.565742343968111</v>
      </c>
      <c r="V124" s="103">
        <f ca="1">IF(AND(Energy!$F$11=$A$3,Main!$B$43=A124),Endurance!AP21,V124)</f>
        <v>642.49065788744292</v>
      </c>
      <c r="W124" s="103">
        <f ca="1">IF(AND(Energy!$F$11=$A$3,Main!$B$43=$A124),Summary!W21,W124)</f>
        <v>1.4999999999999996</v>
      </c>
      <c r="X124" s="13">
        <f ca="1">IF(AND(Energy!$F$11=$A$3,Main!$B$43=A124),Energy!D21,X124)</f>
        <v>407.09682181897853</v>
      </c>
      <c r="Y124" s="102">
        <f ca="1">IF(AND(Energy!$F$11=$A$3,Main!$B$43=A124),'Aerodynamics-Cruise'!V21,Y124)</f>
        <v>196802.02247322735</v>
      </c>
      <c r="Z124" s="102">
        <f ca="1">IF(AND(Energy!$F$11=$A$3,Main!$B$43=$A124),Summary!Z21,Z124)</f>
        <v>146137.84619023319</v>
      </c>
      <c r="AA124" s="102">
        <f ca="1">IF(AND(Energy!$F$11=$A$3,Main!$B$43=$A124),Summary!AA21,AA124)</f>
        <v>146137.84619023319</v>
      </c>
      <c r="AB124" s="103">
        <f ca="1">IF(AND(Energy!$F$11=$A$3,Main!$B$43=$A124),Summary!AB21,AB124)</f>
        <v>6.0564183766959578</v>
      </c>
      <c r="AC124" s="103">
        <f ca="1">IF(AND(Energy!$F$11=$A$3,Main!$B$43=$A124),Summary!AC21,AC124)</f>
        <v>2.0145084940951747</v>
      </c>
      <c r="AD124" s="103">
        <f ca="1">IF(AND(Energy!$F$11=$A$3,Main!$B$43=$A124),Summary!AD21,AD124)</f>
        <v>0.46978393047380179</v>
      </c>
      <c r="AE124" s="103">
        <f ca="1">IF(AND(Energy!$F$11=$A$3,Main!$B$43=$A124),Summary!AE21,AE124)</f>
        <v>1.4999999999999996</v>
      </c>
      <c r="AF124" s="103">
        <f ca="1">IF(AND(Energy!$F$11=$A$3,Main!$B$43=$A124),Summary!AF21,AF124)</f>
        <v>13.500000000000004</v>
      </c>
      <c r="AG124" s="103">
        <f ca="1">IF(AND(Energy!$F$11=$A$3,Main!$B$43=$A124),Summary!AG21,AG124)</f>
        <v>12.89293767115762</v>
      </c>
      <c r="AH124" s="103">
        <f ca="1">IF(AND(Energy!$F$11=$A$3,Main!$B$43=$A124),Summary!AH21,AH124)</f>
        <v>47</v>
      </c>
      <c r="AI124" s="103">
        <f ca="1">IF(AND(Energy!$F$11=$A$3,Main!$B$43=$A124),Summary!AI21,AI124)</f>
        <v>2.7920683442369905</v>
      </c>
      <c r="AJ124" s="103">
        <f ca="1">IF(AND(Energy!$F$11=$A$3,Main!$B$43=$A124),Summary!AJ21,AJ124)</f>
        <v>0.22243935862702088</v>
      </c>
      <c r="AK124" s="103">
        <f ca="1">IF(AND(Energy!$F$11=$A$3,Main!$B$43=$A124),Summary!AK21,AK124)</f>
        <v>0.01</v>
      </c>
      <c r="AL124" s="103">
        <f ca="1">IF(AND(Energy!$F$11=$A$3,Main!$B$43=$A124),Summary!AL21,AL124)</f>
        <v>-0.56195019666731649</v>
      </c>
      <c r="AM124" s="103">
        <f ca="1">IF(AND(Energy!$F$11=$A$3,Main!$B$43=$A124),Summary!AJ141,AM124)</f>
        <v>0</v>
      </c>
    </row>
    <row r="125" spans="1:39">
      <c r="A125">
        <f>A124</f>
        <v>7</v>
      </c>
      <c r="D125" s="1">
        <f ca="1">IF(AND(Energy!$F$11=$A$3,Main!$B$43=A125),Main!C22,D125)</f>
        <v>4.6578947368421053</v>
      </c>
      <c r="E125" s="103">
        <f ca="1">IF(AND(Energy!$F$11=$A$3,Main!$B$43=A125),Main!B22,E125)</f>
        <v>0.33333333333333326</v>
      </c>
      <c r="F125" s="103">
        <f ca="1">IF(Main!$D$6=1,U125,IF(Main!$D$6=2,N125,IF(Main!$D$6=3,K125,IF(Main!$D$6=4,V125,J125))))</f>
        <v>630.98880641893857</v>
      </c>
      <c r="G125" s="103">
        <f ca="1">IF(AND(Energy!$F$11=$A$3,Main!$B$43=A125),Weight!H22,G125)</f>
        <v>15</v>
      </c>
      <c r="H125" s="103">
        <f ca="1">IF(AND(Energy!$F$11=$A$3,Main!$B$43=A125),Weight!U22,H125)</f>
        <v>18.85146557635089</v>
      </c>
      <c r="I125" s="103">
        <f ca="1">IF(AND(Energy!$F$11=$A$3,Main!$B$43=A125),Weight!V22,I125)</f>
        <v>55.590672023462389</v>
      </c>
      <c r="J125" s="103">
        <f ca="1">IF(AND(Energy!$F$11=$A$3,Main!$B$43=A125),Weight!I22,J125)</f>
        <v>31.801558172111495</v>
      </c>
      <c r="K125" s="103">
        <f ca="1">IF(AND(Energy!$F$11=$A$3,Main!$B$43=A125),Weight!W22,K125)</f>
        <v>70.59067250309559</v>
      </c>
      <c r="L125" s="103">
        <f ca="1">IF(AND(Energy!$F$11=$A$3,Main!$B$43=A125),'Aerodynamics-Cruise'!BI22,L125)</f>
        <v>70.590671532424196</v>
      </c>
      <c r="M125" s="103">
        <f ca="1">IF(AND(Energy!$F$11=$A$3,Main!$B$43=A125),'Aerodynamics-Cruise'!BJ22,M125)</f>
        <v>3.3893747229991025</v>
      </c>
      <c r="N125" s="103">
        <f ca="1">IF(AND(Energy!$F$11=$A$3,Main!$B$43=A125),'Aerodynamics-Cruise'!BK22,N125)</f>
        <v>20.82704843858685</v>
      </c>
      <c r="O125" s="103">
        <f t="shared" ca="1" si="5"/>
        <v>174.98522641313468</v>
      </c>
      <c r="P125" s="103">
        <f ca="1">IF(AND(Energy!$F$11=$A$3,Main!$B$43=A125),'Aerodynamics-Cruise'!H22,P125)</f>
        <v>9.151984138245508</v>
      </c>
      <c r="Q125" s="103">
        <f ca="1">IF(AND(Energy!$F$11=$A$3,Main!$B$43=A125),'Aerodynamics-Cruise'!I22,Q125)</f>
        <v>7.6733395783400438</v>
      </c>
      <c r="R125" s="103">
        <f ca="1">IF(AND(Energy!$F$11=$A$3,Main!$B$43=$A125),Summary!R22,R125)</f>
        <v>5.8577525399560484</v>
      </c>
      <c r="S125" s="103">
        <f ca="1">IF(AND(Energy!$F$11=$A$3,Main!$B$43=A125),'Aerodynamics-Cruise'!W22,S125)</f>
        <v>1</v>
      </c>
      <c r="T125" s="103">
        <f ca="1">IF(AND(Energy!$F$11=$A$3,Main!$B$43=A125),'Aerodynamics-Cruise'!BL22,T125)</f>
        <v>31.019503703458049</v>
      </c>
      <c r="U125" s="103">
        <f ca="1">IF(AND(Energy!$F$11=$A$3,Main!$B$43=A125),'Propulsion-Cruise'!M22,U125)</f>
        <v>66.116598872122438</v>
      </c>
      <c r="V125" s="103">
        <f ca="1">IF(AND(Energy!$F$11=$A$3,Main!$B$43=A125),Endurance!AP22,V125)</f>
        <v>630.98880641893857</v>
      </c>
      <c r="W125" s="103">
        <f ca="1">IF(AND(Energy!$F$11=$A$3,Main!$B$43=$A125),Summary!W22,W125)</f>
        <v>1.5526315789473681</v>
      </c>
      <c r="X125" s="13">
        <f ca="1">IF(AND(Energy!$F$11=$A$3,Main!$B$43=A125),Energy!D22,X125)</f>
        <v>406.80225411590078</v>
      </c>
      <c r="Y125" s="102">
        <f ca="1">IF(AND(Energy!$F$11=$A$3,Main!$B$43=A125),'Aerodynamics-Cruise'!V22,Y125)</f>
        <v>193481.4268077671</v>
      </c>
      <c r="Z125" s="102">
        <f ca="1">IF(AND(Energy!$F$11=$A$3,Main!$B$43=$A125),Summary!Z22,Z125)</f>
        <v>143768.8208470337</v>
      </c>
      <c r="AA125" s="102">
        <f ca="1">IF(AND(Energy!$F$11=$A$3,Main!$B$43=$A125),Summary!AA22,AA125)</f>
        <v>143768.8208470337</v>
      </c>
      <c r="AB125" s="103">
        <f ca="1">IF(AND(Energy!$F$11=$A$3,Main!$B$43=$A125),Summary!AB22,AB125)</f>
        <v>5.8577525399560484</v>
      </c>
      <c r="AC125" s="103">
        <f ca="1">IF(AND(Energy!$F$11=$A$3,Main!$B$43=$A125),Summary!AC22,AC125)</f>
        <v>1.9930017183791495</v>
      </c>
      <c r="AD125" s="103">
        <f ca="1">IF(AND(Energy!$F$11=$A$3,Main!$B$43=$A125),Summary!AD22,AD125)</f>
        <v>0.46456785319082655</v>
      </c>
      <c r="AE125" s="103">
        <f ca="1">IF(AND(Energy!$F$11=$A$3,Main!$B$43=$A125),Summary!AE22,AE125)</f>
        <v>1.5526315789473681</v>
      </c>
      <c r="AF125" s="103">
        <f ca="1">IF(AND(Energy!$F$11=$A$3,Main!$B$43=$A125),Summary!AF22,AF125)</f>
        <v>13.973684210526319</v>
      </c>
      <c r="AG125" s="103">
        <f ca="1">IF(AND(Energy!$F$11=$A$3,Main!$B$43=$A125),Summary!AG22,AG125)</f>
        <v>12.738457209034852</v>
      </c>
      <c r="AH125" s="103">
        <f ca="1">IF(AND(Energy!$F$11=$A$3,Main!$B$43=$A125),Summary!AH22,AH125)</f>
        <v>47</v>
      </c>
      <c r="AI125" s="103">
        <f ca="1">IF(AND(Energy!$F$11=$A$3,Main!$B$43=$A125),Summary!AI22,AI125)</f>
        <v>2.7881603276972404</v>
      </c>
      <c r="AJ125" s="103">
        <f ca="1">IF(AND(Energy!$F$11=$A$3,Main!$B$43=$A125),Summary!AJ22,AJ125)</f>
        <v>0.22338443258474452</v>
      </c>
      <c r="AK125" s="103">
        <f ca="1">IF(AND(Energy!$F$11=$A$3,Main!$B$43=$A125),Summary!AK22,AK125)</f>
        <v>0.01</v>
      </c>
      <c r="AL125" s="103">
        <f ca="1">IF(AND(Energy!$F$11=$A$3,Main!$B$43=$A125),Summary!AL22,AL125)</f>
        <v>-0.55957271863948232</v>
      </c>
      <c r="AM125" s="103">
        <f ca="1">IF(AND(Energy!$F$11=$A$3,Main!$B$43=$A125),Summary!AJ142,AM125)</f>
        <v>0</v>
      </c>
    </row>
    <row r="126" spans="1:39">
      <c r="A126">
        <f t="shared" ref="A126:A143" si="8">A125</f>
        <v>7</v>
      </c>
      <c r="D126" s="1">
        <f ca="1">IF(AND(Energy!$F$11=$A$3,Main!$B$43=A126),Main!C23,D126)</f>
        <v>4.8157894736842106</v>
      </c>
      <c r="E126" s="103">
        <f ca="1">IF(AND(Energy!$F$11=$A$3,Main!$B$43=A126),Main!B23,E126)</f>
        <v>0.33333333333333326</v>
      </c>
      <c r="F126" s="103">
        <f ca="1">IF(Main!$D$6=1,U126,IF(Main!$D$6=2,N126,IF(Main!$D$6=3,K126,IF(Main!$D$6=4,V126,J126))))</f>
        <v>621.82837244787572</v>
      </c>
      <c r="G126" s="103">
        <f ca="1">IF(AND(Energy!$F$11=$A$3,Main!$B$43=A126),Weight!H23,G126)</f>
        <v>15</v>
      </c>
      <c r="H126" s="103">
        <f ca="1">IF(AND(Energy!$F$11=$A$3,Main!$B$43=A126),Weight!U23,H126)</f>
        <v>19.44101916925608</v>
      </c>
      <c r="I126" s="103">
        <f ca="1">IF(AND(Energy!$F$11=$A$3,Main!$B$43=A126),Weight!V23,I126)</f>
        <v>55.755369311696143</v>
      </c>
      <c r="J126" s="103">
        <f ca="1">IF(AND(Energy!$F$11=$A$3,Main!$B$43=A126),Weight!I23,J126)</f>
        <v>31.376701867440058</v>
      </c>
      <c r="K126" s="103">
        <f ca="1">IF(AND(Energy!$F$11=$A$3,Main!$B$43=A126),Weight!W23,K126)</f>
        <v>70.755369797132701</v>
      </c>
      <c r="L126" s="103">
        <f ca="1">IF(AND(Energy!$F$11=$A$3,Main!$B$43=A126),'Aerodynamics-Cruise'!BI23,L126)</f>
        <v>70.755368814274135</v>
      </c>
      <c r="M126" s="103">
        <f ca="1">IF(AND(Energy!$F$11=$A$3,Main!$B$43=A126),'Aerodynamics-Cruise'!BJ23,M126)</f>
        <v>3.3634679669940311</v>
      </c>
      <c r="N126" s="103">
        <f ca="1">IF(AND(Energy!$F$11=$A$3,Main!$B$43=A126),'Aerodynamics-Cruise'!BK23,N126)</f>
        <v>21.036433082937609</v>
      </c>
      <c r="O126" s="103">
        <f t="shared" ca="1" si="5"/>
        <v>176.95050349424824</v>
      </c>
      <c r="P126" s="103">
        <f ca="1">IF(AND(Energy!$F$11=$A$3,Main!$B$43=A126),'Aerodynamics-Cruise'!H23,P126)</f>
        <v>9.0111179246810291</v>
      </c>
      <c r="Q126" s="103">
        <f ca="1">IF(AND(Energy!$F$11=$A$3,Main!$B$43=A126),'Aerodynamics-Cruise'!I23,Q126)</f>
        <v>7.5600565880692852</v>
      </c>
      <c r="R126" s="103">
        <f ca="1">IF(AND(Energy!$F$11=$A$3,Main!$B$43=$A126),Summary!R23,R126)</f>
        <v>5.6935793176738345</v>
      </c>
      <c r="S126" s="103">
        <f ca="1">IF(AND(Energy!$F$11=$A$3,Main!$B$43=A126),'Aerodynamics-Cruise'!W23,S126)</f>
        <v>1</v>
      </c>
      <c r="T126" s="103">
        <f ca="1">IF(AND(Energy!$F$11=$A$3,Main!$B$43=A126),'Aerodynamics-Cruise'!BL23,T126)</f>
        <v>30.308606486470374</v>
      </c>
      <c r="U126" s="103">
        <f ca="1">IF(AND(Energy!$F$11=$A$3,Main!$B$43=A126),'Propulsion-Cruise'!M23,U126)</f>
        <v>64.927459740834877</v>
      </c>
      <c r="V126" s="103">
        <f ca="1">IF(AND(Energy!$F$11=$A$3,Main!$B$43=A126),Endurance!AP23,V126)</f>
        <v>621.82837244787572</v>
      </c>
      <c r="W126" s="103">
        <f ca="1">IF(AND(Energy!$F$11=$A$3,Main!$B$43=$A126),Summary!W23,W126)</f>
        <v>1.6052631578947365</v>
      </c>
      <c r="X126" s="13">
        <f ca="1">IF(AND(Energy!$F$11=$A$3,Main!$B$43=A126),Energy!D23,X126)</f>
        <v>406.56656164432877</v>
      </c>
      <c r="Y126" s="102">
        <f ca="1">IF(AND(Energy!$F$11=$A$3,Main!$B$43=A126),'Aerodynamics-Cruise'!V23,Y126)</f>
        <v>190503.38449718591</v>
      </c>
      <c r="Z126" s="102">
        <f ca="1">IF(AND(Energy!$F$11=$A$3,Main!$B$43=$A126),Summary!Z23,Z126)</f>
        <v>141642.80660789699</v>
      </c>
      <c r="AA126" s="102">
        <f ca="1">IF(AND(Energy!$F$11=$A$3,Main!$B$43=$A126),Summary!AA23,AA126)</f>
        <v>141642.80660789699</v>
      </c>
      <c r="AB126" s="103">
        <f ca="1">IF(AND(Energy!$F$11=$A$3,Main!$B$43=$A126),Summary!AB23,AB126)</f>
        <v>5.6935793176738345</v>
      </c>
      <c r="AC126" s="103">
        <f ca="1">IF(AND(Energy!$F$11=$A$3,Main!$B$43=$A126),Summary!AC23,AC126)</f>
        <v>1.9689586573676674</v>
      </c>
      <c r="AD126" s="103">
        <f ca="1">IF(AND(Energy!$F$11=$A$3,Main!$B$43=$A126),Summary!AD23,AD126)</f>
        <v>0.46009211617587426</v>
      </c>
      <c r="AE126" s="103">
        <f ca="1">IF(AND(Energy!$F$11=$A$3,Main!$B$43=$A126),Summary!AE23,AE126)</f>
        <v>1.6052631578947365</v>
      </c>
      <c r="AF126" s="103">
        <f ca="1">IF(AND(Energy!$F$11=$A$3,Main!$B$43=$A126),Summary!AF23,AF126)</f>
        <v>14.447368421052635</v>
      </c>
      <c r="AG126" s="103">
        <f ca="1">IF(AND(Energy!$F$11=$A$3,Main!$B$43=$A126),Summary!AG23,AG126)</f>
        <v>12.612328443875139</v>
      </c>
      <c r="AH126" s="103">
        <f ca="1">IF(AND(Energy!$F$11=$A$3,Main!$B$43=$A126),Summary!AH23,AH126)</f>
        <v>47</v>
      </c>
      <c r="AI126" s="103">
        <f ca="1">IF(AND(Energy!$F$11=$A$3,Main!$B$43=$A126),Summary!AI23,AI126)</f>
        <v>2.7846031854544973</v>
      </c>
      <c r="AJ126" s="103">
        <f ca="1">IF(AND(Energy!$F$11=$A$3,Main!$B$43=$A126),Summary!AJ23,AJ126)</f>
        <v>0.22425298963151341</v>
      </c>
      <c r="AK126" s="103">
        <f ca="1">IF(AND(Energy!$F$11=$A$3,Main!$B$43=$A126),Summary!AK23,AK126)</f>
        <v>0.01</v>
      </c>
      <c r="AL126" s="103">
        <f ca="1">IF(AND(Energy!$F$11=$A$3,Main!$B$43=$A126),Summary!AL23,AL126)</f>
        <v>-0.55740539197589756</v>
      </c>
      <c r="AM126" s="103">
        <f ca="1">IF(AND(Energy!$F$11=$A$3,Main!$B$43=$A126),Summary!AJ143,AM126)</f>
        <v>0</v>
      </c>
    </row>
    <row r="127" spans="1:39">
      <c r="A127">
        <f t="shared" si="8"/>
        <v>7</v>
      </c>
      <c r="D127" s="1">
        <f ca="1">IF(AND(Energy!$F$11=$A$3,Main!$B$43=A127),Main!C24,D127)</f>
        <v>4.9736842105263159</v>
      </c>
      <c r="E127" s="103">
        <f ca="1">IF(AND(Energy!$F$11=$A$3,Main!$B$43=A127),Main!B24,E127)</f>
        <v>0.33333333333333326</v>
      </c>
      <c r="F127" s="103">
        <f ca="1">IF(Main!$D$6=1,U127,IF(Main!$D$6=2,N127,IF(Main!$D$6=3,K127,IF(Main!$D$6=4,V127,J127))))</f>
        <v>614.6335678901238</v>
      </c>
      <c r="G127" s="103">
        <f ca="1">IF(AND(Energy!$F$11=$A$3,Main!$B$43=A127),Weight!H24,G127)</f>
        <v>15</v>
      </c>
      <c r="H127" s="103">
        <f ca="1">IF(AND(Energy!$F$11=$A$3,Main!$B$43=A127),Weight!U24,H127)</f>
        <v>20.054641281006496</v>
      </c>
      <c r="I127" s="103">
        <f ca="1">IF(AND(Energy!$F$11=$A$3,Main!$B$43=A127),Weight!V24,I127)</f>
        <v>56.033181631311351</v>
      </c>
      <c r="J127" s="103">
        <f ca="1">IF(AND(Energy!$F$11=$A$3,Main!$B$43=A127),Weight!I24,J127)</f>
        <v>31.04089207530485</v>
      </c>
      <c r="K127" s="103">
        <f ca="1">IF(AND(Energy!$F$11=$A$3,Main!$B$43=A127),Weight!W24,K127)</f>
        <v>71.033182127741824</v>
      </c>
      <c r="L127" s="103">
        <f ca="1">IF(AND(Energy!$F$11=$A$3,Main!$B$43=A127),'Aerodynamics-Cruise'!BI24,L127)</f>
        <v>71.033181122305379</v>
      </c>
      <c r="M127" s="103">
        <f ca="1">IF(AND(Energy!$F$11=$A$3,Main!$B$43=A127),'Aerodynamics-Cruise'!BJ24,M127)</f>
        <v>3.3447119285352827</v>
      </c>
      <c r="N127" s="103">
        <f ca="1">IF(AND(Energy!$F$11=$A$3,Main!$B$43=A127),'Aerodynamics-Cruise'!BK24,N127)</f>
        <v>21.237458603322008</v>
      </c>
      <c r="O127" s="103">
        <f t="shared" ca="1" si="5"/>
        <v>178.99181733472128</v>
      </c>
      <c r="P127" s="103">
        <f ca="1">IF(AND(Energy!$F$11=$A$3,Main!$B$43=A127),'Aerodynamics-Cruise'!H24,P127)</f>
        <v>8.8842522300561466</v>
      </c>
      <c r="Q127" s="103">
        <f ca="1">IF(AND(Energy!$F$11=$A$3,Main!$B$43=A127),'Aerodynamics-Cruise'!I24,Q127)</f>
        <v>7.4579698017262936</v>
      </c>
      <c r="R127" s="103">
        <f ca="1">IF(AND(Energy!$F$11=$A$3,Main!$B$43=$A127),Summary!R24,R127)</f>
        <v>5.5578548999323942</v>
      </c>
      <c r="S127" s="103">
        <f ca="1">IF(AND(Energy!$F$11=$A$3,Main!$B$43=A127),'Aerodynamics-Cruise'!W24,S127)</f>
        <v>1</v>
      </c>
      <c r="T127" s="103">
        <f ca="1">IF(AND(Energy!$F$11=$A$3,Main!$B$43=A127),'Aerodynamics-Cruise'!BL24,T127)</f>
        <v>29.715264409984979</v>
      </c>
      <c r="U127" s="103">
        <f ca="1">IF(AND(Energy!$F$11=$A$3,Main!$B$43=A127),'Propulsion-Cruise'!M24,U127)</f>
        <v>63.955972798747368</v>
      </c>
      <c r="V127" s="103">
        <f ca="1">IF(AND(Energy!$F$11=$A$3,Main!$B$43=A127),Endurance!AP24,V127)</f>
        <v>614.6335678901238</v>
      </c>
      <c r="W127" s="103">
        <f ca="1">IF(AND(Energy!$F$11=$A$3,Main!$B$43=$A127),Summary!W24,W127)</f>
        <v>1.6578947368421049</v>
      </c>
      <c r="X127" s="13">
        <f ca="1">IF(AND(Energy!$F$11=$A$3,Main!$B$43=A127),Energy!D24,X127)</f>
        <v>406.38026844848781</v>
      </c>
      <c r="Y127" s="102">
        <f ca="1">IF(AND(Energy!$F$11=$A$3,Main!$B$43=A127),'Aerodynamics-Cruise'!V24,Y127)</f>
        <v>187821.32613277025</v>
      </c>
      <c r="Z127" s="102">
        <f ca="1">IF(AND(Energy!$F$11=$A$3,Main!$B$43=$A127),Summary!Z24,Z127)</f>
        <v>139726.96077537918</v>
      </c>
      <c r="AA127" s="102">
        <f ca="1">IF(AND(Energy!$F$11=$A$3,Main!$B$43=$A127),Summary!AA24,AA127)</f>
        <v>139726.96077537918</v>
      </c>
      <c r="AB127" s="103">
        <f ca="1">IF(AND(Energy!$F$11=$A$3,Main!$B$43=$A127),Summary!AB24,AB127)</f>
        <v>5.5578548999323942</v>
      </c>
      <c r="AC127" s="103">
        <f ca="1">IF(AND(Energy!$F$11=$A$3,Main!$B$43=$A127),Summary!AC24,AC127)</f>
        <v>1.9429818713607401</v>
      </c>
      <c r="AD127" s="103">
        <f ca="1">IF(AND(Energy!$F$11=$A$3,Main!$B$43=$A127),Summary!AD24,AD127)</f>
        <v>0.45625353290771098</v>
      </c>
      <c r="AE127" s="103">
        <f ca="1">IF(AND(Energy!$F$11=$A$3,Main!$B$43=$A127),Summary!AE24,AE127)</f>
        <v>1.6578947368421049</v>
      </c>
      <c r="AF127" s="103">
        <f ca="1">IF(AND(Energy!$F$11=$A$3,Main!$B$43=$A127),Summary!AF24,AF127)</f>
        <v>14.921052631578952</v>
      </c>
      <c r="AG127" s="103">
        <f ca="1">IF(AND(Energy!$F$11=$A$3,Main!$B$43=$A127),Summary!AG24,AG127)</f>
        <v>12.510246621657398</v>
      </c>
      <c r="AH127" s="103">
        <f ca="1">IF(AND(Energy!$F$11=$A$3,Main!$B$43=$A127),Summary!AH24,AH127)</f>
        <v>47</v>
      </c>
      <c r="AI127" s="103">
        <f ca="1">IF(AND(Energy!$F$11=$A$3,Main!$B$43=$A127),Summary!AI24,AI127)</f>
        <v>2.781356003644587</v>
      </c>
      <c r="AJ127" s="103">
        <f ca="1">IF(AND(Energy!$F$11=$A$3,Main!$B$43=$A127),Summary!AJ24,AJ127)</f>
        <v>0.22505284763072128</v>
      </c>
      <c r="AK127" s="103">
        <f ca="1">IF(AND(Energy!$F$11=$A$3,Main!$B$43=$A127),Summary!AK24,AK127)</f>
        <v>0.01</v>
      </c>
      <c r="AL127" s="103">
        <f ca="1">IF(AND(Energy!$F$11=$A$3,Main!$B$43=$A127),Summary!AL24,AL127)</f>
        <v>-0.55542427935305838</v>
      </c>
      <c r="AM127" s="103">
        <f ca="1">IF(AND(Energy!$F$11=$A$3,Main!$B$43=$A127),Summary!AJ144,AM127)</f>
        <v>0</v>
      </c>
    </row>
    <row r="128" spans="1:39">
      <c r="A128">
        <f t="shared" si="8"/>
        <v>7</v>
      </c>
      <c r="D128" s="1">
        <f ca="1">IF(AND(Energy!$F$11=$A$3,Main!$B$43=A128),Main!C25,D128)</f>
        <v>5.1315789473684212</v>
      </c>
      <c r="E128" s="103">
        <f ca="1">IF(AND(Energy!$F$11=$A$3,Main!$B$43=A128),Main!B25,E128)</f>
        <v>0.33333333333333326</v>
      </c>
      <c r="F128" s="103">
        <f ca="1">IF(Main!$D$6=1,U128,IF(Main!$D$6=2,N128,IF(Main!$D$6=3,K128,IF(Main!$D$6=4,V128,J128))))</f>
        <v>609.11242269633465</v>
      </c>
      <c r="G128" s="103">
        <f ca="1">IF(AND(Energy!$F$11=$A$3,Main!$B$43=A128),Weight!H25,G128)</f>
        <v>15</v>
      </c>
      <c r="H128" s="103">
        <f ca="1">IF(AND(Energy!$F$11=$A$3,Main!$B$43=A128),Weight!U25,H128)</f>
        <v>20.691435939275621</v>
      </c>
      <c r="I128" s="103">
        <f ca="1">IF(AND(Energy!$F$11=$A$3,Main!$B$43=A128),Weight!V25,I128)</f>
        <v>56.40994227856909</v>
      </c>
      <c r="J128" s="103">
        <f ca="1">IF(AND(Energy!$F$11=$A$3,Main!$B$43=A128),Weight!I25,J128)</f>
        <v>30.780858064293469</v>
      </c>
      <c r="K128" s="103">
        <f ca="1">IF(AND(Energy!$F$11=$A$3,Main!$B$43=A128),Weight!W25,K128)</f>
        <v>71.409942789813854</v>
      </c>
      <c r="L128" s="103">
        <f ca="1">IF(AND(Energy!$F$11=$A$3,Main!$B$43=A128),'Aerodynamics-Cruise'!BI25,L128)</f>
        <v>71.409941754163839</v>
      </c>
      <c r="M128" s="103">
        <f ca="1">IF(AND(Energy!$F$11=$A$3,Main!$B$43=A128),'Aerodynamics-Cruise'!BJ25,M128)</f>
        <v>3.3321108382415794</v>
      </c>
      <c r="N128" s="103">
        <f ca="1">IF(AND(Energy!$F$11=$A$3,Main!$B$43=A128),'Aerodynamics-Cruise'!BK25,N128)</f>
        <v>21.430842256090219</v>
      </c>
      <c r="O128" s="103">
        <f t="shared" ca="1" si="5"/>
        <v>181.10005368552305</v>
      </c>
      <c r="P128" s="103">
        <f ca="1">IF(AND(Energy!$F$11=$A$3,Main!$B$43=A128),'Aerodynamics-Cruise'!H25,P128)</f>
        <v>8.769606789967975</v>
      </c>
      <c r="Q128" s="103">
        <f ca="1">IF(AND(Energy!$F$11=$A$3,Main!$B$43=A128),'Aerodynamics-Cruise'!I25,Q128)</f>
        <v>7.3656644797471582</v>
      </c>
      <c r="R128" s="103">
        <f ca="1">IF(AND(Energy!$F$11=$A$3,Main!$B$43=$A128),Summary!R25,R128)</f>
        <v>5.4459708261352873</v>
      </c>
      <c r="S128" s="103">
        <f ca="1">IF(AND(Energy!$F$11=$A$3,Main!$B$43=A128),'Aerodynamics-Cruise'!W25,S128)</f>
        <v>1</v>
      </c>
      <c r="T128" s="103">
        <f ca="1">IF(AND(Energy!$F$11=$A$3,Main!$B$43=A128),'Aerodynamics-Cruise'!BL25,T128)</f>
        <v>29.221301831969235</v>
      </c>
      <c r="U128" s="103">
        <f ca="1">IF(AND(Energy!$F$11=$A$3,Main!$B$43=A128),'Propulsion-Cruise'!M25,U128)</f>
        <v>63.169211398473621</v>
      </c>
      <c r="V128" s="103">
        <f ca="1">IF(AND(Energy!$F$11=$A$3,Main!$B$43=A128),Endurance!AP25,V128)</f>
        <v>609.11242269633465</v>
      </c>
      <c r="W128" s="103">
        <f ca="1">IF(AND(Energy!$F$11=$A$3,Main!$B$43=$A128),Summary!W25,W128)</f>
        <v>1.7105263157894735</v>
      </c>
      <c r="X128" s="13">
        <f ca="1">IF(AND(Energy!$F$11=$A$3,Main!$B$43=A128),Energy!D25,X128)</f>
        <v>406.23601248209383</v>
      </c>
      <c r="Y128" s="102">
        <f ca="1">IF(AND(Energy!$F$11=$A$3,Main!$B$43=A128),'Aerodynamics-Cruise'!V25,Y128)</f>
        <v>185397.61527508116</v>
      </c>
      <c r="Z128" s="102">
        <f ca="1">IF(AND(Energy!$F$11=$A$3,Main!$B$43=$A128),Summary!Z25,Z128)</f>
        <v>137994.72014620379</v>
      </c>
      <c r="AA128" s="102">
        <f ca="1">IF(AND(Energy!$F$11=$A$3,Main!$B$43=$A128),Summary!AA25,AA128)</f>
        <v>137994.72014620379</v>
      </c>
      <c r="AB128" s="103">
        <f ca="1">IF(AND(Energy!$F$11=$A$3,Main!$B$43=$A128),Summary!AB25,AB128)</f>
        <v>5.4459708261352873</v>
      </c>
      <c r="AC128" s="103">
        <f ca="1">IF(AND(Energy!$F$11=$A$3,Main!$B$43=$A128),Summary!AC25,AC128)</f>
        <v>1.9155424217938588</v>
      </c>
      <c r="AD128" s="103">
        <f ca="1">IF(AND(Energy!$F$11=$A$3,Main!$B$43=$A128),Summary!AD25,AD128)</f>
        <v>0.45296915694456591</v>
      </c>
      <c r="AE128" s="103">
        <f ca="1">IF(AND(Energy!$F$11=$A$3,Main!$B$43=$A128),Summary!AE25,AE128)</f>
        <v>1.7105263157894735</v>
      </c>
      <c r="AF128" s="103">
        <f ca="1">IF(AND(Energy!$F$11=$A$3,Main!$B$43=$A128),Summary!AF25,AF128)</f>
        <v>15.394736842105265</v>
      </c>
      <c r="AG128" s="103">
        <f ca="1">IF(AND(Energy!$F$11=$A$3,Main!$B$43=$A128),Summary!AG25,AG128)</f>
        <v>12.428810292422771</v>
      </c>
      <c r="AH128" s="103">
        <f ca="1">IF(AND(Energy!$F$11=$A$3,Main!$B$43=$A128),Summary!AH25,AH128)</f>
        <v>47</v>
      </c>
      <c r="AI128" s="103">
        <f ca="1">IF(AND(Energy!$F$11=$A$3,Main!$B$43=$A128),Summary!AI25,AI128)</f>
        <v>2.7783850877467517</v>
      </c>
      <c r="AJ128" s="103">
        <f ca="1">IF(AND(Energy!$F$11=$A$3,Main!$B$43=$A128),Summary!AJ25,AJ128)</f>
        <v>0.22579063292383644</v>
      </c>
      <c r="AK128" s="103">
        <f ca="1">IF(AND(Energy!$F$11=$A$3,Main!$B$43=$A128),Summary!AK25,AK128)</f>
        <v>0.01</v>
      </c>
      <c r="AL128" s="103">
        <f ca="1">IF(AND(Energy!$F$11=$A$3,Main!$B$43=$A128),Summary!AL25,AL128)</f>
        <v>-0.55360934711560317</v>
      </c>
      <c r="AM128" s="103">
        <f ca="1">IF(AND(Energy!$F$11=$A$3,Main!$B$43=$A128),Summary!AJ145,AM128)</f>
        <v>0</v>
      </c>
    </row>
    <row r="129" spans="1:39">
      <c r="A129">
        <f t="shared" si="8"/>
        <v>7</v>
      </c>
      <c r="D129" s="1">
        <f ca="1">IF(AND(Energy!$F$11=$A$3,Main!$B$43=A129),Main!C26,D129)</f>
        <v>5.2894736842105265</v>
      </c>
      <c r="E129" s="103">
        <f ca="1">IF(AND(Energy!$F$11=$A$3,Main!$B$43=A129),Main!B26,E129)</f>
        <v>0.33333333333333326</v>
      </c>
      <c r="F129" s="103">
        <f ca="1">IF(Main!$D$6=1,U129,IF(Main!$D$6=2,N129,IF(Main!$D$6=3,K129,IF(Main!$D$6=4,V129,J129))))</f>
        <v>605.03448270572812</v>
      </c>
      <c r="G129" s="103">
        <f ca="1">IF(AND(Energy!$F$11=$A$3,Main!$B$43=A129),Weight!H26,G129)</f>
        <v>15</v>
      </c>
      <c r="H129" s="103">
        <f ca="1">IF(AND(Energy!$F$11=$A$3,Main!$B$43=A129),Weight!U26,H129)</f>
        <v>21.350744336397966</v>
      </c>
      <c r="I129" s="103">
        <f ca="1">IF(AND(Energy!$F$11=$A$3,Main!$B$43=A129),Weight!V26,I129)</f>
        <v>56.874518135236229</v>
      </c>
      <c r="J129" s="103">
        <f ca="1">IF(AND(Energy!$F$11=$A$3,Main!$B$43=A129),Weight!I26,J129)</f>
        <v>30.586125523838266</v>
      </c>
      <c r="K129" s="103">
        <f ca="1">IF(AND(Energy!$F$11=$A$3,Main!$B$43=A129),Weight!W26,K129)</f>
        <v>71.874518664207315</v>
      </c>
      <c r="L129" s="103">
        <f ca="1">IF(AND(Energy!$F$11=$A$3,Main!$B$43=A129),'Aerodynamics-Cruise'!BI26,L129)</f>
        <v>71.874517592534659</v>
      </c>
      <c r="M129" s="103">
        <f ca="1">IF(AND(Energy!$F$11=$A$3,Main!$B$43=A129),'Aerodynamics-Cruise'!BJ26,M129)</f>
        <v>3.3248664177708669</v>
      </c>
      <c r="N129" s="103">
        <f ca="1">IF(AND(Energy!$F$11=$A$3,Main!$B$43=A129),'Aerodynamics-Cruise'!BK26,N129)</f>
        <v>21.617264744344954</v>
      </c>
      <c r="O129" s="103">
        <f t="shared" ca="1" si="5"/>
        <v>183.26866350553408</v>
      </c>
      <c r="P129" s="103">
        <f ca="1">IF(AND(Energy!$F$11=$A$3,Main!$B$43=A129),'Aerodynamics-Cruise'!H26,P129)</f>
        <v>8.6657216962269494</v>
      </c>
      <c r="Q129" s="103">
        <f ca="1">IF(AND(Energy!$F$11=$A$3,Main!$B$43=A129),'Aerodynamics-Cruise'!I26,Q129)</f>
        <v>7.2819795534293004</v>
      </c>
      <c r="R129" s="103">
        <f ca="1">IF(AND(Energy!$F$11=$A$3,Main!$B$43=$A129),Summary!R26,R129)</f>
        <v>5.3543526059948219</v>
      </c>
      <c r="S129" s="103">
        <f ca="1">IF(AND(Energy!$F$11=$A$3,Main!$B$43=A129),'Aerodynamics-Cruise'!W26,S129)</f>
        <v>1</v>
      </c>
      <c r="T129" s="103">
        <f ca="1">IF(AND(Energy!$F$11=$A$3,Main!$B$43=A129),'Aerodynamics-Cruise'!BL26,T129)</f>
        <v>28.812367053533379</v>
      </c>
      <c r="U129" s="103">
        <f ca="1">IF(AND(Energy!$F$11=$A$3,Main!$B$43=A129),'Propulsion-Cruise'!M26,U129)</f>
        <v>62.541166341974701</v>
      </c>
      <c r="V129" s="103">
        <f ca="1">IF(AND(Energy!$F$11=$A$3,Main!$B$43=A129),Endurance!AP26,V129)</f>
        <v>605.03448270572812</v>
      </c>
      <c r="W129" s="103">
        <f ca="1">IF(AND(Energy!$F$11=$A$3,Main!$B$43=$A129),Summary!W26,W129)</f>
        <v>1.7631578947368418</v>
      </c>
      <c r="X129" s="13">
        <f ca="1">IF(AND(Energy!$F$11=$A$3,Main!$B$43=A129),Energy!D26,X129)</f>
        <v>406.12798303617677</v>
      </c>
      <c r="Y129" s="102">
        <f ca="1">IF(AND(Energy!$F$11=$A$3,Main!$B$43=A129),'Aerodynamics-Cruise'!V26,Y129)</f>
        <v>183201.38811193782</v>
      </c>
      <c r="Z129" s="102">
        <f ca="1">IF(AND(Energy!$F$11=$A$3,Main!$B$43=$A129),Summary!Z26,Z129)</f>
        <v>136424.28511764339</v>
      </c>
      <c r="AA129" s="102">
        <f ca="1">IF(AND(Energy!$F$11=$A$3,Main!$B$43=$A129),Summary!AA26,AA129)</f>
        <v>136424.28511764339</v>
      </c>
      <c r="AB129" s="103">
        <f ca="1">IF(AND(Energy!$F$11=$A$3,Main!$B$43=$A129),Summary!AB26,AB129)</f>
        <v>5.3543526059948219</v>
      </c>
      <c r="AC129" s="103">
        <f ca="1">IF(AND(Energy!$F$11=$A$3,Main!$B$43=$A129),Summary!AC26,AC129)</f>
        <v>1.8870122720727109</v>
      </c>
      <c r="AD129" s="103">
        <f ca="1">IF(AND(Energy!$F$11=$A$3,Main!$B$43=$A129),Summary!AD26,AD129)</f>
        <v>0.45017132494539386</v>
      </c>
      <c r="AE129" s="103">
        <f ca="1">IF(AND(Energy!$F$11=$A$3,Main!$B$43=$A129),Summary!AE26,AE129)</f>
        <v>1.7631578947368418</v>
      </c>
      <c r="AF129" s="103">
        <f ca="1">IF(AND(Energy!$F$11=$A$3,Main!$B$43=$A129),Summary!AF26,AF129)</f>
        <v>15.868421052631582</v>
      </c>
      <c r="AG129" s="103">
        <f ca="1">IF(AND(Energy!$F$11=$A$3,Main!$B$43=$A129),Summary!AG26,AG129)</f>
        <v>12.365290787810093</v>
      </c>
      <c r="AH129" s="103">
        <f ca="1">IF(AND(Energy!$F$11=$A$3,Main!$B$43=$A129),Summary!AH26,AH129)</f>
        <v>47</v>
      </c>
      <c r="AI129" s="103">
        <f ca="1">IF(AND(Energy!$F$11=$A$3,Main!$B$43=$A129),Summary!AI26,AI129)</f>
        <v>2.7756622921268801</v>
      </c>
      <c r="AJ129" s="103">
        <f ca="1">IF(AND(Energy!$F$11=$A$3,Main!$B$43=$A129),Summary!AJ26,AJ129)</f>
        <v>0.22647202416200143</v>
      </c>
      <c r="AK129" s="103">
        <f ca="1">IF(AND(Energy!$F$11=$A$3,Main!$B$43=$A129),Summary!AK26,AK129)</f>
        <v>0.01</v>
      </c>
      <c r="AL129" s="103">
        <f ca="1">IF(AND(Energy!$F$11=$A$3,Main!$B$43=$A129),Summary!AL26,AL129)</f>
        <v>-0.55194363960296944</v>
      </c>
      <c r="AM129" s="103">
        <f ca="1">IF(AND(Energy!$F$11=$A$3,Main!$B$43=$A129),Summary!AJ146,AM129)</f>
        <v>0</v>
      </c>
    </row>
    <row r="130" spans="1:39">
      <c r="A130">
        <f t="shared" si="8"/>
        <v>7</v>
      </c>
      <c r="D130" s="1">
        <f ca="1">IF(AND(Energy!$F$11=$A$3,Main!$B$43=A130),Main!C27,D130)</f>
        <v>5.4473684210526319</v>
      </c>
      <c r="E130" s="103">
        <f ca="1">IF(AND(Energy!$F$11=$A$3,Main!$B$43=A130),Main!B27,E130)</f>
        <v>0.33333333333333326</v>
      </c>
      <c r="F130" s="103">
        <f ca="1">IF(Main!$D$6=1,U130,IF(Main!$D$6=2,N130,IF(Main!$D$6=3,K130,IF(Main!$D$6=4,V130,J130))))</f>
        <v>602.21536307716974</v>
      </c>
      <c r="G130" s="103">
        <f ca="1">IF(AND(Energy!$F$11=$A$3,Main!$B$43=A130),Weight!H27,G130)</f>
        <v>15</v>
      </c>
      <c r="H130" s="103">
        <f ca="1">IF(AND(Energy!$F$11=$A$3,Main!$B$43=A130),Weight!U27,H130)</f>
        <v>22.032087645507048</v>
      </c>
      <c r="I130" s="103">
        <f ca="1">IF(AND(Energy!$F$11=$A$3,Main!$B$43=A130),Weight!V27,I130)</f>
        <v>57.418050151959264</v>
      </c>
      <c r="J130" s="103">
        <f ca="1">IF(AND(Energy!$F$11=$A$3,Main!$B$43=A130),Weight!I27,J130)</f>
        <v>30.448314231452212</v>
      </c>
      <c r="K130" s="103">
        <f ca="1">IF(AND(Energy!$F$11=$A$3,Main!$B$43=A130),Weight!W27,K130)</f>
        <v>72.418050700961984</v>
      </c>
      <c r="L130" s="103">
        <f ca="1">IF(AND(Energy!$F$11=$A$3,Main!$B$43=A130),'Aerodynamics-Cruise'!BI27,L130)</f>
        <v>72.418049588677903</v>
      </c>
      <c r="M130" s="103">
        <f ca="1">IF(AND(Energy!$F$11=$A$3,Main!$B$43=A130),'Aerodynamics-Cruise'!BJ27,M130)</f>
        <v>3.3223303177045262</v>
      </c>
      <c r="N130" s="103">
        <f ca="1">IF(AND(Energy!$F$11=$A$3,Main!$B$43=A130),'Aerodynamics-Cruise'!BK27,N130)</f>
        <v>21.797365903915654</v>
      </c>
      <c r="O130" s="103">
        <f t="shared" ca="1" si="5"/>
        <v>185.49295787979594</v>
      </c>
      <c r="P130" s="103">
        <f ca="1">IF(AND(Energy!$F$11=$A$3,Main!$B$43=A130),'Aerodynamics-Cruise'!H27,P130)</f>
        <v>8.5713845617151279</v>
      </c>
      <c r="Q130" s="103">
        <f ca="1">IF(AND(Energy!$F$11=$A$3,Main!$B$43=A130),'Aerodynamics-Cruise'!I27,Q130)</f>
        <v>7.2059500669897893</v>
      </c>
      <c r="R130" s="103">
        <f ca="1">IF(AND(Energy!$F$11=$A$3,Main!$B$43=$A130),Summary!R27,R130)</f>
        <v>5.2801869181531202</v>
      </c>
      <c r="S130" s="103">
        <f ca="1">IF(AND(Energy!$F$11=$A$3,Main!$B$43=A130),'Aerodynamics-Cruise'!W27,S130)</f>
        <v>1</v>
      </c>
      <c r="T130" s="103">
        <f ca="1">IF(AND(Energy!$F$11=$A$3,Main!$B$43=A130),'Aerodynamics-Cruise'!BL27,T130)</f>
        <v>28.476970794090693</v>
      </c>
      <c r="U130" s="103">
        <f ca="1">IF(AND(Energy!$F$11=$A$3,Main!$B$43=A130),'Propulsion-Cruise'!M27,U130)</f>
        <v>62.051008723961559</v>
      </c>
      <c r="V130" s="103">
        <f ca="1">IF(AND(Energy!$F$11=$A$3,Main!$B$43=A130),Endurance!AP27,V130)</f>
        <v>602.21536307716974</v>
      </c>
      <c r="W130" s="103">
        <f ca="1">IF(AND(Energy!$F$11=$A$3,Main!$B$43=$A130),Summary!W27,W130)</f>
        <v>1.8157894736842102</v>
      </c>
      <c r="X130" s="13">
        <f ca="1">IF(AND(Energy!$F$11=$A$3,Main!$B$43=A130),Energy!D27,X130)</f>
        <v>406.05153111421725</v>
      </c>
      <c r="Y130" s="102">
        <f ca="1">IF(AND(Energy!$F$11=$A$3,Main!$B$43=A130),'Aerodynamics-Cruise'!V27,Y130)</f>
        <v>181207.01365601763</v>
      </c>
      <c r="Z130" s="102">
        <f ca="1">IF(AND(Energy!$F$11=$A$3,Main!$B$43=$A130),Summary!Z27,Z130)</f>
        <v>134997.53874163696</v>
      </c>
      <c r="AA130" s="102">
        <f ca="1">IF(AND(Energy!$F$11=$A$3,Main!$B$43=$A130),Summary!AA27,AA130)</f>
        <v>134997.53874163696</v>
      </c>
      <c r="AB130" s="103">
        <f ca="1">IF(AND(Energy!$F$11=$A$3,Main!$B$43=$A130),Summary!AB27,AB130)</f>
        <v>5.2801869181531202</v>
      </c>
      <c r="AC130" s="103">
        <f ca="1">IF(AND(Energy!$F$11=$A$3,Main!$B$43=$A130),Summary!AC27,AC130)</f>
        <v>1.8576875810086833</v>
      </c>
      <c r="AD130" s="103">
        <f ca="1">IF(AND(Energy!$F$11=$A$3,Main!$B$43=$A130),Summary!AD27,AD130)</f>
        <v>0.4478041354103644</v>
      </c>
      <c r="AE130" s="103">
        <f ca="1">IF(AND(Energy!$F$11=$A$3,Main!$B$43=$A130),Summary!AE27,AE130)</f>
        <v>1.8157894736842102</v>
      </c>
      <c r="AF130" s="103">
        <f ca="1">IF(AND(Energy!$F$11=$A$3,Main!$B$43=$A130),Summary!AF27,AF130)</f>
        <v>16.342105263157897</v>
      </c>
      <c r="AG130" s="103">
        <f ca="1">IF(AND(Energy!$F$11=$A$3,Main!$B$43=$A130),Summary!AG27,AG130)</f>
        <v>12.317470327580915</v>
      </c>
      <c r="AH130" s="103">
        <f ca="1">IF(AND(Energy!$F$11=$A$3,Main!$B$43=$A130),Summary!AH27,AH130)</f>
        <v>47</v>
      </c>
      <c r="AI130" s="103">
        <f ca="1">IF(AND(Energy!$F$11=$A$3,Main!$B$43=$A130),Summary!AI27,AI130)</f>
        <v>2.7731638166177492</v>
      </c>
      <c r="AJ130" s="103">
        <f ca="1">IF(AND(Energy!$F$11=$A$3,Main!$B$43=$A130),Summary!AJ27,AJ130)</f>
        <v>0.22710193387765501</v>
      </c>
      <c r="AK130" s="103">
        <f ca="1">IF(AND(Energy!$F$11=$A$3,Main!$B$43=$A130),Summary!AK27,AK130)</f>
        <v>0.01</v>
      </c>
      <c r="AL130" s="103">
        <f ca="1">IF(AND(Energy!$F$11=$A$3,Main!$B$43=$A130),Summary!AL27,AL130)</f>
        <v>-0.55041266690219259</v>
      </c>
      <c r="AM130" s="103">
        <f ca="1">IF(AND(Energy!$F$11=$A$3,Main!$B$43=$A130),Summary!AJ147,AM130)</f>
        <v>0</v>
      </c>
    </row>
    <row r="131" spans="1:39">
      <c r="A131">
        <f t="shared" si="8"/>
        <v>7</v>
      </c>
      <c r="D131" s="1">
        <f ca="1">IF(AND(Energy!$F$11=$A$3,Main!$B$43=A131),Main!C28,D131)</f>
        <v>5.6052631578947372</v>
      </c>
      <c r="E131" s="103">
        <f ca="1">IF(AND(Energy!$F$11=$A$3,Main!$B$43=A131),Main!B28,E131)</f>
        <v>0.33333333333333326</v>
      </c>
      <c r="F131" s="103">
        <f ca="1">IF(Main!$D$6=1,U131,IF(Main!$D$6=2,N131,IF(Main!$D$6=3,K131,IF(Main!$D$6=4,V131,J131))))</f>
        <v>600.50579266628108</v>
      </c>
      <c r="G131" s="103">
        <f ca="1">IF(AND(Energy!$F$11=$A$3,Main!$B$43=A131),Weight!H28,G131)</f>
        <v>15</v>
      </c>
      <c r="H131" s="103">
        <f ca="1">IF(AND(Energy!$F$11=$A$3,Main!$B$43=A131),Weight!U28,H131)</f>
        <v>22.735126131526371</v>
      </c>
      <c r="I131" s="103">
        <f ca="1">IF(AND(Energy!$F$11=$A$3,Main!$B$43=A131),Weight!V28,I131)</f>
        <v>58.033414344459914</v>
      </c>
      <c r="J131" s="103">
        <f ca="1">IF(AND(Energy!$F$11=$A$3,Main!$B$43=A131),Weight!I28,J131)</f>
        <v>30.360639937933541</v>
      </c>
      <c r="K131" s="103">
        <f ca="1">IF(AND(Energy!$F$11=$A$3,Main!$B$43=A131),Weight!W28,K131)</f>
        <v>73.033414915391702</v>
      </c>
      <c r="L131" s="103">
        <f ca="1">IF(AND(Energy!$F$11=$A$3,Main!$B$43=A131),'Aerodynamics-Cruise'!BI28,L131)</f>
        <v>73.033413758727036</v>
      </c>
      <c r="M131" s="103">
        <f ca="1">IF(AND(Energy!$F$11=$A$3,Main!$B$43=A131),'Aerodynamics-Cruise'!BJ28,M131)</f>
        <v>3.323969943092731</v>
      </c>
      <c r="N131" s="103">
        <f ca="1">IF(AND(Energy!$F$11=$A$3,Main!$B$43=A131),'Aerodynamics-Cruise'!BK28,N131)</f>
        <v>21.971743129173529</v>
      </c>
      <c r="O131" s="103">
        <f t="shared" ca="1" si="5"/>
        <v>187.76961404953047</v>
      </c>
      <c r="P131" s="103">
        <f ca="1">IF(AND(Energy!$F$11=$A$3,Main!$B$43=A131),'Aerodynamics-Cruise'!H28,P131)</f>
        <v>8.4855774030734352</v>
      </c>
      <c r="Q131" s="103">
        <f ca="1">IF(AND(Energy!$F$11=$A$3,Main!$B$43=A131),'Aerodynamics-Cruise'!I28,Q131)</f>
        <v>7.136765182248153</v>
      </c>
      <c r="R131" s="103">
        <f ca="1">IF(AND(Energy!$F$11=$A$3,Main!$B$43=$A131),Summary!R28,R131)</f>
        <v>5.2212315153118034</v>
      </c>
      <c r="S131" s="103">
        <f ca="1">IF(AND(Energy!$F$11=$A$3,Main!$B$43=A131),'Aerodynamics-Cruise'!W28,S131)</f>
        <v>1</v>
      </c>
      <c r="T131" s="103">
        <f ca="1">IF(AND(Energy!$F$11=$A$3,Main!$B$43=A131),'Aerodynamics-Cruise'!BL28,T131)</f>
        <v>28.205804237602969</v>
      </c>
      <c r="U131" s="103">
        <f ca="1">IF(AND(Energy!$F$11=$A$3,Main!$B$43=A131),'Propulsion-Cruise'!M28,U131)</f>
        <v>61.68185779947845</v>
      </c>
      <c r="V131" s="103">
        <f ca="1">IF(AND(Energy!$F$11=$A$3,Main!$B$43=A131),Endurance!AP28,V131)</f>
        <v>600.50579266628108</v>
      </c>
      <c r="W131" s="103">
        <f ca="1">IF(AND(Energy!$F$11=$A$3,Main!$B$43=$A131),Summary!W28,W131)</f>
        <v>1.8684210526315785</v>
      </c>
      <c r="X131" s="13">
        <f ca="1">IF(AND(Energy!$F$11=$A$3,Main!$B$43=A131),Energy!D28,X131)</f>
        <v>406.00289309888376</v>
      </c>
      <c r="Y131" s="102">
        <f ca="1">IF(AND(Energy!$F$11=$A$3,Main!$B$43=A131),'Aerodynamics-Cruise'!V28,Y131)</f>
        <v>179392.97079563545</v>
      </c>
      <c r="Z131" s="102">
        <f ca="1">IF(AND(Energy!$F$11=$A$3,Main!$B$43=$A131),Summary!Z28,Z131)</f>
        <v>133699.25806116193</v>
      </c>
      <c r="AA131" s="102">
        <f ca="1">IF(AND(Energy!$F$11=$A$3,Main!$B$43=$A131),Summary!AA28,AA131)</f>
        <v>133699.25806116193</v>
      </c>
      <c r="AB131" s="103">
        <f ca="1">IF(AND(Energy!$F$11=$A$3,Main!$B$43=$A131),Summary!AB28,AB131)</f>
        <v>5.2212315153118034</v>
      </c>
      <c r="AC131" s="103">
        <f ca="1">IF(AND(Energy!$F$11=$A$3,Main!$B$43=$A131),Summary!AC28,AC131)</f>
        <v>1.8278057740960938</v>
      </c>
      <c r="AD131" s="103">
        <f ca="1">IF(AND(Energy!$F$11=$A$3,Main!$B$43=$A131),Summary!AD28,AD131)</f>
        <v>0.44582088910040496</v>
      </c>
      <c r="AE131" s="103">
        <f ca="1">IF(AND(Energy!$F$11=$A$3,Main!$B$43=$A131),Summary!AE28,AE131)</f>
        <v>1.8684210526315785</v>
      </c>
      <c r="AF131" s="103">
        <f ca="1">IF(AND(Energy!$F$11=$A$3,Main!$B$43=$A131),Summary!AF28,AF131)</f>
        <v>16.815789473684216</v>
      </c>
      <c r="AG131" s="103">
        <f ca="1">IF(AND(Energy!$F$11=$A$3,Main!$B$43=$A131),Summary!AG28,AG131)</f>
        <v>12.283525657064999</v>
      </c>
      <c r="AH131" s="103">
        <f ca="1">IF(AND(Energy!$F$11=$A$3,Main!$B$43=$A131),Summary!AH28,AH131)</f>
        <v>47</v>
      </c>
      <c r="AI131" s="103">
        <f ca="1">IF(AND(Energy!$F$11=$A$3,Main!$B$43=$A131),Summary!AI28,AI131)</f>
        <v>2.770869319523614</v>
      </c>
      <c r="AJ131" s="103">
        <f ca="1">IF(AND(Energy!$F$11=$A$3,Main!$B$43=$A131),Summary!AJ28,AJ131)</f>
        <v>0.22768464662265986</v>
      </c>
      <c r="AK131" s="103">
        <f ca="1">IF(AND(Energy!$F$11=$A$3,Main!$B$43=$A131),Summary!AK28,AK131)</f>
        <v>0.01</v>
      </c>
      <c r="AL131" s="103">
        <f ca="1">IF(AND(Energy!$F$11=$A$3,Main!$B$43=$A131),Summary!AL28,AL131)</f>
        <v>-0.54900394142659614</v>
      </c>
      <c r="AM131" s="103">
        <f ca="1">IF(AND(Energy!$F$11=$A$3,Main!$B$43=$A131),Summary!AJ148,AM131)</f>
        <v>0</v>
      </c>
    </row>
    <row r="132" spans="1:39">
      <c r="A132">
        <f t="shared" si="8"/>
        <v>7</v>
      </c>
      <c r="D132" s="1">
        <f ca="1">IF(AND(Energy!$F$11=$A$3,Main!$B$43=A132),Main!C29,D132)</f>
        <v>5.7631578947368425</v>
      </c>
      <c r="E132" s="103">
        <f ca="1">IF(AND(Energy!$F$11=$A$3,Main!$B$43=A132),Main!B29,E132)</f>
        <v>0.33333333333333326</v>
      </c>
      <c r="F132" s="103">
        <f ca="1">IF(Main!$D$6=1,U132,IF(Main!$D$6=2,N132,IF(Main!$D$6=3,K132,IF(Main!$D$6=4,V132,J132))))</f>
        <v>599.78368108471739</v>
      </c>
      <c r="G132" s="103">
        <f ca="1">IF(AND(Energy!$F$11=$A$3,Main!$B$43=A132),Weight!H29,G132)</f>
        <v>15</v>
      </c>
      <c r="H132" s="103">
        <f ca="1">IF(AND(Energy!$F$11=$A$3,Main!$B$43=A132),Weight!U29,H132)</f>
        <v>23.459629301592059</v>
      </c>
      <c r="I132" s="103">
        <f ca="1">IF(AND(Energy!$F$11=$A$3,Main!$B$43=A132),Weight!V29,I132)</f>
        <v>58.714831276904533</v>
      </c>
      <c r="J132" s="103">
        <f ca="1">IF(AND(Energy!$F$11=$A$3,Main!$B$43=A132),Weight!I29,J132)</f>
        <v>30.317553700312473</v>
      </c>
      <c r="K132" s="103">
        <f ca="1">IF(AND(Energy!$F$11=$A$3,Main!$B$43=A132),Weight!W29,K132)</f>
        <v>73.714831871389677</v>
      </c>
      <c r="L132" s="103">
        <f ca="1">IF(AND(Energy!$F$11=$A$3,Main!$B$43=A132),'Aerodynamics-Cruise'!BI29,L132)</f>
        <v>73.714830667123863</v>
      </c>
      <c r="M132" s="103">
        <f ca="1">IF(AND(Energy!$F$11=$A$3,Main!$B$43=A132),'Aerodynamics-Cruise'!BJ29,M132)</f>
        <v>3.3293433975936026</v>
      </c>
      <c r="N132" s="103">
        <f ca="1">IF(AND(Energy!$F$11=$A$3,Main!$B$43=A132),'Aerodynamics-Cruise'!BK29,N132)</f>
        <v>22.140951492238315</v>
      </c>
      <c r="O132" s="103">
        <f t="shared" ca="1" si="5"/>
        <v>190.09632304725497</v>
      </c>
      <c r="P132" s="103">
        <f ca="1">IF(AND(Energy!$F$11=$A$3,Main!$B$43=A132),'Aerodynamics-Cruise'!H29,P132)</f>
        <v>8.4074371247501265</v>
      </c>
      <c r="Q132" s="103">
        <f ca="1">IF(AND(Energy!$F$11=$A$3,Main!$B$43=A132),'Aerodynamics-Cruise'!I29,Q132)</f>
        <v>7.0737369223383659</v>
      </c>
      <c r="R132" s="103">
        <f ca="1">IF(AND(Energy!$F$11=$A$3,Main!$B$43=$A132),Summary!R29,R132)</f>
        <v>5.1756798455903761</v>
      </c>
      <c r="S132" s="103">
        <f ca="1">IF(AND(Energy!$F$11=$A$3,Main!$B$43=A132),'Aerodynamics-Cruise'!W29,S132)</f>
        <v>1</v>
      </c>
      <c r="T132" s="103">
        <f ca="1">IF(AND(Energy!$F$11=$A$3,Main!$B$43=A132),'Aerodynamics-Cruise'!BL29,T132)</f>
        <v>27.991245281970176</v>
      </c>
      <c r="U132" s="103">
        <f ca="1">IF(AND(Energy!$F$11=$A$3,Main!$B$43=A132),'Propulsion-Cruise'!M29,U132)</f>
        <v>61.419888778227651</v>
      </c>
      <c r="V132" s="103">
        <f ca="1">IF(AND(Energy!$F$11=$A$3,Main!$B$43=A132),Endurance!AP29,V132)</f>
        <v>599.78368108471739</v>
      </c>
      <c r="W132" s="103">
        <f ca="1">IF(AND(Energy!$F$11=$A$3,Main!$B$43=$A132),Summary!W29,W132)</f>
        <v>1.9210526315789471</v>
      </c>
      <c r="X132" s="13">
        <f ca="1">IF(AND(Energy!$F$11=$A$3,Main!$B$43=A132),Energy!D29,X132)</f>
        <v>405.97899066903523</v>
      </c>
      <c r="Y132" s="102">
        <f ca="1">IF(AND(Energy!$F$11=$A$3,Main!$B$43=A132),'Aerodynamics-Cruise'!V29,Y132)</f>
        <v>177741.01289090415</v>
      </c>
      <c r="Z132" s="102">
        <f ca="1">IF(AND(Energy!$F$11=$A$3,Main!$B$43=$A132),Summary!Z29,Z132)</f>
        <v>132516.52713388787</v>
      </c>
      <c r="AA132" s="102">
        <f ca="1">IF(AND(Energy!$F$11=$A$3,Main!$B$43=$A132),Summary!AA29,AA132)</f>
        <v>132516.52713388787</v>
      </c>
      <c r="AB132" s="103">
        <f ca="1">IF(AND(Energy!$F$11=$A$3,Main!$B$43=$A132),Summary!AB29,AB132)</f>
        <v>5.1756798455903761</v>
      </c>
      <c r="AC132" s="103">
        <f ca="1">IF(AND(Energy!$F$11=$A$3,Main!$B$43=$A132),Summary!AC29,AC132)</f>
        <v>1.7975582630352986</v>
      </c>
      <c r="AD132" s="103">
        <f ca="1">IF(AND(Energy!$F$11=$A$3,Main!$B$43=$A132),Summary!AD29,AD132)</f>
        <v>0.44418219095153938</v>
      </c>
      <c r="AE132" s="103">
        <f ca="1">IF(AND(Energy!$F$11=$A$3,Main!$B$43=$A132),Summary!AE29,AE132)</f>
        <v>1.9210526315789471</v>
      </c>
      <c r="AF132" s="103">
        <f ca="1">IF(AND(Energy!$F$11=$A$3,Main!$B$43=$A132),Summary!AF29,AF132)</f>
        <v>17.289473684210531</v>
      </c>
      <c r="AG132" s="103">
        <f ca="1">IF(AND(Energy!$F$11=$A$3,Main!$B$43=$A132),Summary!AG29,AG132)</f>
        <v>12.261942707440602</v>
      </c>
      <c r="AH132" s="103">
        <f ca="1">IF(AND(Energy!$F$11=$A$3,Main!$B$43=$A132),Summary!AH29,AH132)</f>
        <v>47</v>
      </c>
      <c r="AI132" s="103">
        <f ca="1">IF(AND(Energy!$F$11=$A$3,Main!$B$43=$A132),Summary!AI29,AI132)</f>
        <v>2.7687612507730743</v>
      </c>
      <c r="AJ132" s="103">
        <f ca="1">IF(AND(Energy!$F$11=$A$3,Main!$B$43=$A132),Summary!AJ29,AJ132)</f>
        <v>0.22822392614819875</v>
      </c>
      <c r="AK132" s="103">
        <f ca="1">IF(AND(Energy!$F$11=$A$3,Main!$B$43=$A132),Summary!AK29,AK132)</f>
        <v>0.01</v>
      </c>
      <c r="AL132" s="103">
        <f ca="1">IF(AND(Energy!$F$11=$A$3,Main!$B$43=$A132),Summary!AL29,AL132)</f>
        <v>-0.54770662056004382</v>
      </c>
      <c r="AM132" s="103">
        <f ca="1">IF(AND(Energy!$F$11=$A$3,Main!$B$43=$A132),Summary!AJ149,AM132)</f>
        <v>0</v>
      </c>
    </row>
    <row r="133" spans="1:39">
      <c r="A133">
        <f t="shared" si="8"/>
        <v>7</v>
      </c>
      <c r="D133" s="1">
        <f ca="1">IF(AND(Energy!$F$11=$A$3,Main!$B$43=A133),Main!C30,D133)</f>
        <v>5.9210526315789478</v>
      </c>
      <c r="E133" s="103">
        <f ca="1">IF(AND(Energy!$F$11=$A$3,Main!$B$43=A133),Main!B30,E133)</f>
        <v>0.33333333333333326</v>
      </c>
      <c r="F133" s="103">
        <f ca="1">IF(Main!$D$6=1,U133,IF(Main!$D$6=2,N133,IF(Main!$D$6=3,K133,IF(Main!$D$6=4,V133,J133))))</f>
        <v>599.94826888936711</v>
      </c>
      <c r="G133" s="103">
        <f ca="1">IF(AND(Energy!$F$11=$A$3,Main!$B$43=A133),Weight!H30,G133)</f>
        <v>15</v>
      </c>
      <c r="H133" s="103">
        <f ca="1">IF(AND(Energy!$F$11=$A$3,Main!$B$43=A133),Weight!U30,H133)</f>
        <v>24.205453712337849</v>
      </c>
      <c r="I133" s="103">
        <f ca="1">IF(AND(Energy!$F$11=$A$3,Main!$B$43=A133),Weight!V30,I133)</f>
        <v>59.457577923819414</v>
      </c>
      <c r="J133" s="103">
        <f ca="1">IF(AND(Energy!$F$11=$A$3,Main!$B$43=A133),Weight!I30,J133)</f>
        <v>30.314475936481564</v>
      </c>
      <c r="K133" s="103">
        <f ca="1">IF(AND(Energy!$F$11=$A$3,Main!$B$43=A133),Weight!W30,K133)</f>
        <v>74.457578543301764</v>
      </c>
      <c r="L133" s="103">
        <f ca="1">IF(AND(Energy!$F$11=$A$3,Main!$B$43=A133),'Aerodynamics-Cruise'!BI30,L133)</f>
        <v>74.457577288575763</v>
      </c>
      <c r="M133" s="103">
        <f ca="1">IF(AND(Energy!$F$11=$A$3,Main!$B$43=A133),'Aerodynamics-Cruise'!BJ30,M133)</f>
        <v>3.3380807845916749</v>
      </c>
      <c r="N133" s="103">
        <f ca="1">IF(AND(Energy!$F$11=$A$3,Main!$B$43=A133),'Aerodynamics-Cruise'!BK30,N133)</f>
        <v>22.305504897384818</v>
      </c>
      <c r="O133" s="103">
        <f t="shared" ref="O133:O196" ca="1" si="9">L133^(3/2)/M133</f>
        <v>192.47153444905513</v>
      </c>
      <c r="P133" s="103">
        <f ca="1">IF(AND(Energy!$F$11=$A$3,Main!$B$43=A133),'Aerodynamics-Cruise'!H30,P133)</f>
        <v>8.3362256043616902</v>
      </c>
      <c r="Q133" s="103">
        <f ca="1">IF(AND(Energy!$F$11=$A$3,Main!$B$43=A133),'Aerodynamics-Cruise'!I30,Q133)</f>
        <v>7.0162764989802291</v>
      </c>
      <c r="R133" s="103">
        <f ca="1">IF(AND(Energy!$F$11=$A$3,Main!$B$43=$A133),Summary!R30,R133)</f>
        <v>5.1420627734438176</v>
      </c>
      <c r="S133" s="103">
        <f ca="1">IF(AND(Energy!$F$11=$A$3,Main!$B$43=A133),'Aerodynamics-Cruise'!W30,S133)</f>
        <v>1</v>
      </c>
      <c r="T133" s="103">
        <f ca="1">IF(AND(Energy!$F$11=$A$3,Main!$B$43=A133),'Aerodynamics-Cruise'!BL30,T133)</f>
        <v>27.826994505940881</v>
      </c>
      <c r="U133" s="103">
        <f ca="1">IF(AND(Energy!$F$11=$A$3,Main!$B$43=A133),'Propulsion-Cruise'!M30,U133)</f>
        <v>61.253674893345043</v>
      </c>
      <c r="V133" s="103">
        <f ca="1">IF(AND(Energy!$F$11=$A$3,Main!$B$43=A133),Endurance!AP30,V133)</f>
        <v>599.94826888936711</v>
      </c>
      <c r="W133" s="103">
        <f ca="1">IF(AND(Energy!$F$11=$A$3,Main!$B$43=$A133),Summary!W30,W133)</f>
        <v>1.9736842105263155</v>
      </c>
      <c r="X133" s="13">
        <f ca="1">IF(AND(Energy!$F$11=$A$3,Main!$B$43=A133),Energy!D30,X133)</f>
        <v>405.97728326435555</v>
      </c>
      <c r="Y133" s="102">
        <f ca="1">IF(AND(Energy!$F$11=$A$3,Main!$B$43=A133),'Aerodynamics-Cruise'!V30,Y133)</f>
        <v>176235.5353505392</v>
      </c>
      <c r="Z133" s="102">
        <f ca="1">IF(AND(Energy!$F$11=$A$3,Main!$B$43=$A133),Summary!Z30,Z133)</f>
        <v>131438.29247892441</v>
      </c>
      <c r="AA133" s="102">
        <f ca="1">IF(AND(Energy!$F$11=$A$3,Main!$B$43=$A133),Summary!AA30,AA133)</f>
        <v>131438.29247892441</v>
      </c>
      <c r="AB133" s="103">
        <f ca="1">IF(AND(Energy!$F$11=$A$3,Main!$B$43=$A133),Summary!AB30,AB133)</f>
        <v>5.1420627734438176</v>
      </c>
      <c r="AC133" s="103">
        <f ca="1">IF(AND(Energy!$F$11=$A$3,Main!$B$43=$A133),Summary!AC30,AC133)</f>
        <v>1.7671000596810471</v>
      </c>
      <c r="AD133" s="103">
        <f ca="1">IF(AND(Energy!$F$11=$A$3,Main!$B$43=$A133),Summary!AD30,AD133)</f>
        <v>0.44285451765431855</v>
      </c>
      <c r="AE133" s="103">
        <f ca="1">IF(AND(Energy!$F$11=$A$3,Main!$B$43=$A133),Summary!AE30,AE133)</f>
        <v>1.9736842105263155</v>
      </c>
      <c r="AF133" s="103">
        <f ca="1">IF(AND(Energy!$F$11=$A$3,Main!$B$43=$A133),Summary!AF30,AF133)</f>
        <v>17.763157894736846</v>
      </c>
      <c r="AG133" s="103">
        <f ca="1">IF(AND(Energy!$F$11=$A$3,Main!$B$43=$A133),Summary!AG30,AG133)</f>
        <v>12.251452890625693</v>
      </c>
      <c r="AH133" s="103">
        <f ca="1">IF(AND(Energy!$F$11=$A$3,Main!$B$43=$A133),Summary!AH30,AH133)</f>
        <v>47</v>
      </c>
      <c r="AI133" s="103">
        <f ca="1">IF(AND(Energy!$F$11=$A$3,Main!$B$43=$A133),Summary!AI30,AI133)</f>
        <v>2.766824341816581</v>
      </c>
      <c r="AJ133" s="103">
        <f ca="1">IF(AND(Energy!$F$11=$A$3,Main!$B$43=$A133),Summary!AJ30,AJ133)</f>
        <v>0.22872309980325961</v>
      </c>
      <c r="AK133" s="103">
        <f ca="1">IF(AND(Energy!$F$11=$A$3,Main!$B$43=$A133),Summary!AK30,AK133)</f>
        <v>0.01</v>
      </c>
      <c r="AL133" s="103">
        <f ca="1">IF(AND(Energy!$F$11=$A$3,Main!$B$43=$A133),Summary!AL30,AL133)</f>
        <v>-0.54651122706397315</v>
      </c>
      <c r="AM133" s="103">
        <f ca="1">IF(AND(Energy!$F$11=$A$3,Main!$B$43=$A133),Summary!AJ150,AM133)</f>
        <v>0</v>
      </c>
    </row>
    <row r="134" spans="1:39">
      <c r="A134">
        <f t="shared" si="8"/>
        <v>7</v>
      </c>
      <c r="D134" s="1">
        <f ca="1">IF(AND(Energy!$F$11=$A$3,Main!$B$43=A134),Main!C31,D134)</f>
        <v>6.0789473684210531</v>
      </c>
      <c r="E134" s="103">
        <f ca="1">IF(AND(Energy!$F$11=$A$3,Main!$B$43=A134),Main!B31,E134)</f>
        <v>0.33333333333333326</v>
      </c>
      <c r="F134" s="103">
        <f ca="1">IF(Main!$D$6=1,U134,IF(Main!$D$6=2,N134,IF(Main!$D$6=3,K134,IF(Main!$D$6=4,V134,J134))))</f>
        <v>600.9157436176481</v>
      </c>
      <c r="G134" s="103">
        <f ca="1">IF(AND(Energy!$F$11=$A$3,Main!$B$43=A134),Weight!H31,G134)</f>
        <v>15</v>
      </c>
      <c r="H134" s="103">
        <f ca="1">IF(AND(Energy!$F$11=$A$3,Main!$B$43=A134),Weight!U31,H134)</f>
        <v>24.97252619902271</v>
      </c>
      <c r="I134" s="103">
        <f ca="1">IF(AND(Energy!$F$11=$A$3,Main!$B$43=A134),Weight!V31,I134)</f>
        <v>60.257771605081345</v>
      </c>
      <c r="J134" s="103">
        <f ca="1">IF(AND(Energy!$F$11=$A$3,Main!$B$43=A134),Weight!I31,J134)</f>
        <v>30.347597131058635</v>
      </c>
      <c r="K134" s="103">
        <f ca="1">IF(AND(Energy!$F$11=$A$3,Main!$B$43=A134),Weight!W31,K134)</f>
        <v>75.257772250890184</v>
      </c>
      <c r="L134" s="103">
        <f ca="1">IF(AND(Energy!$F$11=$A$3,Main!$B$43=A134),'Aerodynamics-Cruise'!BI31,L134)</f>
        <v>75.257770943073567</v>
      </c>
      <c r="M134" s="103">
        <f ca="1">IF(AND(Energy!$F$11=$A$3,Main!$B$43=A134),'Aerodynamics-Cruise'!BJ31,M134)</f>
        <v>3.349870031655044</v>
      </c>
      <c r="N134" s="103">
        <f ca="1">IF(AND(Energy!$F$11=$A$3,Main!$B$43=A134),'Aerodynamics-Cruise'!BK31,N134)</f>
        <v>22.465877849562883</v>
      </c>
      <c r="O134" s="103">
        <f t="shared" ca="1" si="9"/>
        <v>194.89426902802919</v>
      </c>
      <c r="P134" s="103">
        <f ca="1">IF(AND(Energy!$F$11=$A$3,Main!$B$43=A134),'Aerodynamics-Cruise'!H31,P134)</f>
        <v>8.2713066946107787</v>
      </c>
      <c r="Q134" s="103">
        <f ca="1">IF(AND(Energy!$F$11=$A$3,Main!$B$43=A134),'Aerodynamics-Cruise'!I31,Q134)</f>
        <v>6.9638761047870021</v>
      </c>
      <c r="R134" s="103">
        <f ca="1">IF(AND(Energy!$F$11=$A$3,Main!$B$43=$A134),Summary!R31,R134)</f>
        <v>5.1191760073208927</v>
      </c>
      <c r="S134" s="103">
        <f ca="1">IF(AND(Energy!$F$11=$A$3,Main!$B$43=A134),'Aerodynamics-Cruise'!W31,S134)</f>
        <v>1</v>
      </c>
      <c r="T134" s="103">
        <f ca="1">IF(AND(Energy!$F$11=$A$3,Main!$B$43=A134),'Aerodynamics-Cruise'!BL31,T134)</f>
        <v>27.707802418904386</v>
      </c>
      <c r="U134" s="103">
        <f ca="1">IF(AND(Energy!$F$11=$A$3,Main!$B$43=A134),'Propulsion-Cruise'!M31,U134)</f>
        <v>61.173694328210161</v>
      </c>
      <c r="V134" s="103">
        <f ca="1">IF(AND(Energy!$F$11=$A$3,Main!$B$43=A134),Endurance!AP31,V134)</f>
        <v>600.9157436176481</v>
      </c>
      <c r="W134" s="103">
        <f ca="1">IF(AND(Energy!$F$11=$A$3,Main!$B$43=$A134),Summary!W31,W134)</f>
        <v>2.0263157894736841</v>
      </c>
      <c r="X134" s="13">
        <f ca="1">IF(AND(Energy!$F$11=$A$3,Main!$B$43=A134),Energy!D31,X134)</f>
        <v>405.99565752530549</v>
      </c>
      <c r="Y134" s="102">
        <f ca="1">IF(AND(Energy!$F$11=$A$3,Main!$B$43=A134),'Aerodynamics-Cruise'!V31,Y134)</f>
        <v>174863.08943108868</v>
      </c>
      <c r="Z134" s="102">
        <f ca="1">IF(AND(Energy!$F$11=$A$3,Main!$B$43=$A134),Summary!Z31,Z134)</f>
        <v>130455.02115825993</v>
      </c>
      <c r="AA134" s="102">
        <f ca="1">IF(AND(Energy!$F$11=$A$3,Main!$B$43=$A134),Summary!AA31,AA134)</f>
        <v>130455.02115825993</v>
      </c>
      <c r="AB134" s="103">
        <f ca="1">IF(AND(Energy!$F$11=$A$3,Main!$B$43=$A134),Summary!AB31,AB134)</f>
        <v>5.1191760073208927</v>
      </c>
      <c r="AC134" s="103">
        <f ca="1">IF(AND(Energy!$F$11=$A$3,Main!$B$43=$A134),Summary!AC31,AC134)</f>
        <v>1.7365571345978132</v>
      </c>
      <c r="AD134" s="103">
        <f ca="1">IF(AND(Energy!$F$11=$A$3,Main!$B$43=$A134),Summary!AD31,AD134)</f>
        <v>0.44180911977986193</v>
      </c>
      <c r="AE134" s="103">
        <f ca="1">IF(AND(Energy!$F$11=$A$3,Main!$B$43=$A134),Summary!AE31,AE134)</f>
        <v>2.0263157894736841</v>
      </c>
      <c r="AF134" s="103">
        <f ca="1">IF(AND(Energy!$F$11=$A$3,Main!$B$43=$A134),Summary!AF31,AF134)</f>
        <v>18.236842105263161</v>
      </c>
      <c r="AG134" s="103">
        <f ca="1">IF(AND(Energy!$F$11=$A$3,Main!$B$43=$A134),Summary!AG31,AG134)</f>
        <v>12.250984793242473</v>
      </c>
      <c r="AH134" s="103">
        <f ca="1">IF(AND(Energy!$F$11=$A$3,Main!$B$43=$A134),Summary!AH31,AH134)</f>
        <v>47</v>
      </c>
      <c r="AI134" s="103">
        <f ca="1">IF(AND(Energy!$F$11=$A$3,Main!$B$43=$A134),Summary!AI31,AI134)</f>
        <v>2.7650452094119635</v>
      </c>
      <c r="AJ134" s="103">
        <f ca="1">IF(AND(Energy!$F$11=$A$3,Main!$B$43=$A134),Summary!AJ31,AJ134)</f>
        <v>0.22918512596116233</v>
      </c>
      <c r="AK134" s="103">
        <f ca="1">IF(AND(Energy!$F$11=$A$3,Main!$B$43=$A134),Summary!AK31,AK134)</f>
        <v>0.01</v>
      </c>
      <c r="AL134" s="103">
        <f ca="1">IF(AND(Energy!$F$11=$A$3,Main!$B$43=$A134),Summary!AL31,AL134)</f>
        <v>-0.54540942727293895</v>
      </c>
      <c r="AM134" s="103">
        <f ca="1">IF(AND(Energy!$F$11=$A$3,Main!$B$43=$A134),Summary!AJ151,AM134)</f>
        <v>0</v>
      </c>
    </row>
    <row r="135" spans="1:39">
      <c r="A135">
        <f t="shared" si="8"/>
        <v>7</v>
      </c>
      <c r="D135" s="1">
        <f ca="1">IF(AND(Energy!$F$11=$A$3,Main!$B$43=A135),Main!C32,D135)</f>
        <v>6.2368421052631584</v>
      </c>
      <c r="E135" s="103">
        <f ca="1">IF(AND(Energy!$F$11=$A$3,Main!$B$43=A135),Main!B32,E135)</f>
        <v>0.33333333333333326</v>
      </c>
      <c r="F135" s="103">
        <f ca="1">IF(Main!$D$6=1,U135,IF(Main!$D$6=2,N135,IF(Main!$D$6=3,K135,IF(Main!$D$6=4,V135,J135))))</f>
        <v>602.61590657346346</v>
      </c>
      <c r="G135" s="103">
        <f ca="1">IF(AND(Energy!$F$11=$A$3,Main!$B$43=A135),Weight!H32,G135)</f>
        <v>15</v>
      </c>
      <c r="H135" s="103">
        <f ca="1">IF(AND(Energy!$F$11=$A$3,Main!$B$43=A135),Weight!U32,H135)</f>
        <v>25.760831015190732</v>
      </c>
      <c r="I135" s="103">
        <f ca="1">IF(AND(Energy!$F$11=$A$3,Main!$B$43=A135),Weight!V32,I135)</f>
        <v>61.112205606924903</v>
      </c>
      <c r="J135" s="103">
        <f ca="1">IF(AND(Energy!$F$11=$A$3,Main!$B$43=A135),Weight!I32,J135)</f>
        <v>30.41372631673417</v>
      </c>
      <c r="K135" s="103">
        <f ca="1">IF(AND(Energy!$F$11=$A$3,Main!$B$43=A135),Weight!W32,K135)</f>
        <v>76.112206280323093</v>
      </c>
      <c r="L135" s="103">
        <f ca="1">IF(AND(Energy!$F$11=$A$3,Main!$B$43=A135),'Aerodynamics-Cruise'!BI32,L135)</f>
        <v>76.112204916917349</v>
      </c>
      <c r="M135" s="103">
        <f ca="1">IF(AND(Energy!$F$11=$A$3,Main!$B$43=A135),'Aerodynamics-Cruise'!BJ32,M135)</f>
        <v>3.3644459925593431</v>
      </c>
      <c r="N135" s="103">
        <f ca="1">IF(AND(Energy!$F$11=$A$3,Main!$B$43=A135),'Aerodynamics-Cruise'!BK32,N135)</f>
        <v>22.62250756446787</v>
      </c>
      <c r="O135" s="103">
        <f t="shared" ca="1" si="9"/>
        <v>197.36397968552009</v>
      </c>
      <c r="P135" s="103">
        <f ca="1">IF(AND(Energy!$F$11=$A$3,Main!$B$43=A135),'Aerodynamics-Cruise'!H32,P135)</f>
        <v>8.2121282981250889</v>
      </c>
      <c r="Q135" s="103">
        <f ca="1">IF(AND(Energy!$F$11=$A$3,Main!$B$43=A135),'Aerodynamics-Cruise'!I32,Q135)</f>
        <v>6.9160947153698844</v>
      </c>
      <c r="R135" s="103">
        <f ca="1">IF(AND(Energy!$F$11=$A$3,Main!$B$43=$A135),Summary!R32,R135)</f>
        <v>5.1060256872871923</v>
      </c>
      <c r="S135" s="103">
        <f ca="1">IF(AND(Energy!$F$11=$A$3,Main!$B$43=A135),'Aerodynamics-Cruise'!W32,S135)</f>
        <v>1</v>
      </c>
      <c r="T135" s="103">
        <f ca="1">IF(AND(Energy!$F$11=$A$3,Main!$B$43=A135),'Aerodynamics-Cruise'!BL32,T135)</f>
        <v>27.629262143010134</v>
      </c>
      <c r="U135" s="103">
        <f ca="1">IF(AND(Energy!$F$11=$A$3,Main!$B$43=A135),'Propulsion-Cruise'!M32,U135)</f>
        <v>61.171955320047111</v>
      </c>
      <c r="V135" s="103">
        <f ca="1">IF(AND(Energy!$F$11=$A$3,Main!$B$43=A135),Endurance!AP32,V135)</f>
        <v>602.61590657346346</v>
      </c>
      <c r="W135" s="103">
        <f ca="1">IF(AND(Energy!$F$11=$A$3,Main!$B$43=$A135),Summary!W32,W135)</f>
        <v>2.0789473684210522</v>
      </c>
      <c r="X135" s="13">
        <f ca="1">IF(AND(Energy!$F$11=$A$3,Main!$B$43=A135),Energy!D32,X135)</f>
        <v>406.03234323691601</v>
      </c>
      <c r="Y135" s="102">
        <f ca="1">IF(AND(Energy!$F$11=$A$3,Main!$B$43=A135),'Aerodynamics-Cruise'!V32,Y135)</f>
        <v>173612.00328241425</v>
      </c>
      <c r="Z135" s="102">
        <f ca="1">IF(AND(Energy!$F$11=$A$3,Main!$B$43=$A135),Summary!Z32,Z135)</f>
        <v>129558.43416206563</v>
      </c>
      <c r="AA135" s="102">
        <f ca="1">IF(AND(Energy!$F$11=$A$3,Main!$B$43=$A135),Summary!AA32,AA135)</f>
        <v>129558.43416206563</v>
      </c>
      <c r="AB135" s="103">
        <f ca="1">IF(AND(Energy!$F$11=$A$3,Main!$B$43=$A135),Summary!AB32,AB135)</f>
        <v>5.1060256872871923</v>
      </c>
      <c r="AC135" s="103">
        <f ca="1">IF(AND(Energy!$F$11=$A$3,Main!$B$43=$A135),Summary!AC32,AC135)</f>
        <v>1.7060321122889739</v>
      </c>
      <c r="AD135" s="103">
        <f ca="1">IF(AND(Energy!$F$11=$A$3,Main!$B$43=$A135),Summary!AD32,AD135)</f>
        <v>0.44102116862771956</v>
      </c>
      <c r="AE135" s="103">
        <f ca="1">IF(AND(Energy!$F$11=$A$3,Main!$B$43=$A135),Summary!AE32,AE135)</f>
        <v>2.0789473684210522</v>
      </c>
      <c r="AF135" s="103">
        <f ca="1">IF(AND(Energy!$F$11=$A$3,Main!$B$43=$A135),Summary!AF32,AF135)</f>
        <v>18.71052631578948</v>
      </c>
      <c r="AG135" s="103">
        <f ca="1">IF(AND(Energy!$F$11=$A$3,Main!$B$43=$A135),Summary!AG32,AG135)</f>
        <v>12.259627031912872</v>
      </c>
      <c r="AH135" s="103">
        <f ca="1">IF(AND(Energy!$F$11=$A$3,Main!$B$43=$A135),Summary!AH32,AH135)</f>
        <v>47</v>
      </c>
      <c r="AI135" s="103">
        <f ca="1">IF(AND(Energy!$F$11=$A$3,Main!$B$43=$A135),Summary!AI32,AI135)</f>
        <v>2.763412043658191</v>
      </c>
      <c r="AJ135" s="103">
        <f ca="1">IF(AND(Energy!$F$11=$A$3,Main!$B$43=$A135),Summary!AJ32,AJ135)</f>
        <v>0.22961264853535779</v>
      </c>
      <c r="AK135" s="103">
        <f ca="1">IF(AND(Energy!$F$11=$A$3,Main!$B$43=$A135),Summary!AK32,AK135)</f>
        <v>0.01</v>
      </c>
      <c r="AL135" s="103">
        <f ca="1">IF(AND(Energy!$F$11=$A$3,Main!$B$43=$A135),Summary!AL32,AL135)</f>
        <v>-0.54439385306479848</v>
      </c>
      <c r="AM135" s="103">
        <f ca="1">IF(AND(Energy!$F$11=$A$3,Main!$B$43=$A135),Summary!AJ152,AM135)</f>
        <v>0</v>
      </c>
    </row>
    <row r="136" spans="1:39">
      <c r="A136">
        <f t="shared" si="8"/>
        <v>7</v>
      </c>
      <c r="D136" s="1">
        <f ca="1">IF(AND(Energy!$F$11=$A$3,Main!$B$43=A136),Main!C33,D136)</f>
        <v>6.3947368421052637</v>
      </c>
      <c r="E136" s="103">
        <f ca="1">IF(AND(Energy!$F$11=$A$3,Main!$B$43=A136),Main!B33,E136)</f>
        <v>0.33333333333333326</v>
      </c>
      <c r="F136" s="103">
        <f ca="1">IF(Main!$D$6=1,U136,IF(Main!$D$6=2,N136,IF(Main!$D$6=3,K136,IF(Main!$D$6=4,V136,J136))))</f>
        <v>604.98959088848517</v>
      </c>
      <c r="G136" s="103">
        <f ca="1">IF(AND(Energy!$F$11=$A$3,Main!$B$43=A136),Weight!H33,G136)</f>
        <v>15</v>
      </c>
      <c r="H136" s="103">
        <f ca="1">IF(AND(Energy!$F$11=$A$3,Main!$B$43=A136),Weight!U33,H136)</f>
        <v>26.570399787958124</v>
      </c>
      <c r="I136" s="103">
        <f ca="1">IF(AND(Energy!$F$11=$A$3,Main!$B$43=A136),Weight!V33,I136)</f>
        <v>62.018221795443594</v>
      </c>
      <c r="J136" s="103">
        <f ca="1">IF(AND(Energy!$F$11=$A$3,Main!$B$43=A136),Weight!I33,J136)</f>
        <v>30.510173732485473</v>
      </c>
      <c r="K136" s="103">
        <f ca="1">IF(AND(Energy!$F$11=$A$3,Main!$B$43=A136),Weight!W33,K136)</f>
        <v>77.018222471293825</v>
      </c>
      <c r="L136" s="103">
        <f ca="1">IF(AND(Energy!$F$11=$A$3,Main!$B$43=A136),'Aerodynamics-Cruise'!BI33,L136)</f>
        <v>77.018221110395856</v>
      </c>
      <c r="M136" s="103">
        <f ca="1">IF(AND(Energy!$F$11=$A$3,Main!$B$43=A136),'Aerodynamics-Cruise'!BJ33,M136)</f>
        <v>3.381581944255772</v>
      </c>
      <c r="N136" s="103">
        <f ca="1">IF(AND(Energy!$F$11=$A$3,Main!$B$43=A136),'Aerodynamics-Cruise'!BK33,N136)</f>
        <v>22.775796174694278</v>
      </c>
      <c r="O136" s="103">
        <f t="shared" ca="1" si="9"/>
        <v>199.880445765183</v>
      </c>
      <c r="P136" s="103">
        <f ca="1">IF(AND(Energy!$F$11=$A$3,Main!$B$43=A136),'Aerodynamics-Cruise'!H33,P136)</f>
        <v>8.1582081883538482</v>
      </c>
      <c r="Q136" s="103">
        <f ca="1">IF(AND(Energy!$F$11=$A$3,Main!$B$43=A136),'Aerodynamics-Cruise'!I33,Q136)</f>
        <v>6.8725468526610491</v>
      </c>
      <c r="R136" s="103">
        <f ca="1">IF(AND(Energy!$F$11=$A$3,Main!$B$43=$A136),Summary!R33,R136)</f>
        <v>5.1017869295048408</v>
      </c>
      <c r="S136" s="103">
        <f ca="1">IF(AND(Energy!$F$11=$A$3,Main!$B$43=A136),'Aerodynamics-Cruise'!W33,S136)</f>
        <v>1</v>
      </c>
      <c r="T136" s="103">
        <f ca="1">IF(AND(Energy!$F$11=$A$3,Main!$B$43=A136),'Aerodynamics-Cruise'!BL33,T136)</f>
        <v>27.587649507216966</v>
      </c>
      <c r="U136" s="103">
        <f ca="1">IF(AND(Energy!$F$11=$A$3,Main!$B$43=A136),'Propulsion-Cruise'!M33,U136)</f>
        <v>61.241705990733784</v>
      </c>
      <c r="V136" s="103">
        <f ca="1">IF(AND(Energy!$F$11=$A$3,Main!$B$43=A136),Endurance!AP33,V136)</f>
        <v>604.98959088848517</v>
      </c>
      <c r="W136" s="103">
        <f ca="1">IF(AND(Energy!$F$11=$A$3,Main!$B$43=$A136),Summary!W33,W136)</f>
        <v>2.1315789473684208</v>
      </c>
      <c r="X136" s="13">
        <f ca="1">IF(AND(Energy!$F$11=$A$3,Main!$B$43=A136),Energy!D33,X136)</f>
        <v>406.08584823080179</v>
      </c>
      <c r="Y136" s="102">
        <f ca="1">IF(AND(Energy!$F$11=$A$3,Main!$B$43=A136),'Aerodynamics-Cruise'!V33,Y136)</f>
        <v>172472.08218830155</v>
      </c>
      <c r="Z136" s="102">
        <f ca="1">IF(AND(Energy!$F$11=$A$3,Main!$B$43=$A136),Summary!Z33,Z136)</f>
        <v>128741.29540575785</v>
      </c>
      <c r="AA136" s="102">
        <f ca="1">IF(AND(Energy!$F$11=$A$3,Main!$B$43=$A136),Summary!AA33,AA136)</f>
        <v>128741.29540575785</v>
      </c>
      <c r="AB136" s="103">
        <f ca="1">IF(AND(Energy!$F$11=$A$3,Main!$B$43=$A136),Summary!AB33,AB136)</f>
        <v>5.1017869295048408</v>
      </c>
      <c r="AC136" s="103">
        <f ca="1">IF(AND(Energy!$F$11=$A$3,Main!$B$43=$A136),Summary!AC33,AC136)</f>
        <v>1.6756087482630295</v>
      </c>
      <c r="AD136" s="103">
        <f ca="1">IF(AND(Energy!$F$11=$A$3,Main!$B$43=$A136),Summary!AD33,AD136)</f>
        <v>0.44046907086601755</v>
      </c>
      <c r="AE136" s="103">
        <f ca="1">IF(AND(Energy!$F$11=$A$3,Main!$B$43=$A136),Summary!AE33,AE136)</f>
        <v>2.1315789473684208</v>
      </c>
      <c r="AF136" s="103">
        <f ca="1">IF(AND(Energy!$F$11=$A$3,Main!$B$43=$A136),Summary!AF33,AF136)</f>
        <v>19.184210526315795</v>
      </c>
      <c r="AG136" s="103">
        <f ca="1">IF(AND(Energy!$F$11=$A$3,Main!$B$43=$A136),Summary!AG33,AG136)</f>
        <v>12.27659934116345</v>
      </c>
      <c r="AH136" s="103">
        <f ca="1">IF(AND(Energy!$F$11=$A$3,Main!$B$43=$A136),Summary!AH33,AH136)</f>
        <v>47</v>
      </c>
      <c r="AI136" s="103">
        <f ca="1">IF(AND(Energy!$F$11=$A$3,Main!$B$43=$A136),Summary!AI33,AI136)</f>
        <v>2.7619143632843128</v>
      </c>
      <c r="AJ136" s="103">
        <f ca="1">IF(AND(Energy!$F$11=$A$3,Main!$B$43=$A136),Summary!AJ33,AJ136)</f>
        <v>0.23000798470782274</v>
      </c>
      <c r="AK136" s="103">
        <f ca="1">IF(AND(Energy!$F$11=$A$3,Main!$B$43=$A136),Summary!AK33,AK136)</f>
        <v>0.01</v>
      </c>
      <c r="AL136" s="103">
        <f ca="1">IF(AND(Energy!$F$11=$A$3,Main!$B$43=$A136),Summary!AL33,AL136)</f>
        <v>-0.54345809271507961</v>
      </c>
      <c r="AM136" s="103">
        <f ca="1">IF(AND(Energy!$F$11=$A$3,Main!$B$43=$A136),Summary!AJ153,AM136)</f>
        <v>0</v>
      </c>
    </row>
    <row r="137" spans="1:39">
      <c r="A137">
        <f t="shared" si="8"/>
        <v>7</v>
      </c>
      <c r="D137" s="1">
        <f ca="1">IF(AND(Energy!$F$11=$A$3,Main!$B$43=A137),Main!C34,D137)</f>
        <v>6.552631578947369</v>
      </c>
      <c r="E137" s="103">
        <f ca="1">IF(AND(Energy!$F$11=$A$3,Main!$B$43=A137),Main!B34,E137)</f>
        <v>0.33333333333333326</v>
      </c>
      <c r="F137" s="103">
        <f ca="1">IF(Main!$D$6=1,U137,IF(Main!$D$6=2,N137,IF(Main!$D$6=3,K137,IF(Main!$D$6=4,V137,J137))))</f>
        <v>613.33385820307399</v>
      </c>
      <c r="G137" s="103">
        <f ca="1">IF(AND(Energy!$F$11=$A$3,Main!$B$43=A137),Weight!H34,G137)</f>
        <v>15</v>
      </c>
      <c r="H137" s="103">
        <f ca="1">IF(AND(Energy!$F$11=$A$3,Main!$B$43=A137),Weight!U34,H137)</f>
        <v>27.450729719022036</v>
      </c>
      <c r="I137" s="103">
        <f ca="1">IF(AND(Energy!$F$11=$A$3,Main!$B$43=A137),Weight!V34,I137)</f>
        <v>63.25989074766828</v>
      </c>
      <c r="J137" s="103">
        <f ca="1">IF(AND(Energy!$F$11=$A$3,Main!$B$43=A137),Weight!I34,J137)</f>
        <v>30.87151275364624</v>
      </c>
      <c r="K137" s="103">
        <f ca="1">IF(AND(Energy!$F$11=$A$3,Main!$B$43=A137),Weight!W34,K137)</f>
        <v>78.260309277464998</v>
      </c>
      <c r="L137" s="103">
        <f ca="1">IF(AND(Energy!$F$11=$A$3,Main!$B$43=A137),'Aerodynamics-Cruise'!BI34,L137)</f>
        <v>78.25946918507789</v>
      </c>
      <c r="M137" s="103">
        <f ca="1">IF(AND(Energy!$F$11=$A$3,Main!$B$43=A137),'Aerodynamics-Cruise'!BJ34,M137)</f>
        <v>3.4098675909334211</v>
      </c>
      <c r="N137" s="103">
        <f ca="1">IF(AND(Energy!$F$11=$A$3,Main!$B$43=A137),'Aerodynamics-Cruise'!BK34,N137)</f>
        <v>22.950882137817867</v>
      </c>
      <c r="O137" s="103">
        <f t="shared" ca="1" si="9"/>
        <v>203.03356093293527</v>
      </c>
      <c r="P137" s="103">
        <f ca="1">IF(AND(Energy!$F$11=$A$3,Main!$B$43=A137),'Aerodynamics-Cruise'!H34,P137)</f>
        <v>8.1239734987869188</v>
      </c>
      <c r="Q137" s="103">
        <f ca="1">IF(AND(Energy!$F$11=$A$3,Main!$B$43=A137),'Aerodynamics-Cruise'!I34,Q137)</f>
        <v>6.8449009649995185</v>
      </c>
      <c r="R137" s="103">
        <f ca="1">IF(AND(Energy!$F$11=$A$3,Main!$B$43=$A137),Summary!R34,R137)</f>
        <v>5.143466931605845</v>
      </c>
      <c r="S137" s="103">
        <f ca="1">IF(AND(Energy!$F$11=$A$3,Main!$B$43=A137),'Aerodynamics-Cruise'!W34,S137)</f>
        <v>1</v>
      </c>
      <c r="T137" s="103">
        <f ca="1">IF(AND(Energy!$F$11=$A$3,Main!$B$43=A137),'Aerodynamics-Cruise'!BL34,T137)</f>
        <v>27.701673943115505</v>
      </c>
      <c r="U137" s="103">
        <f ca="1">IF(AND(Energy!$F$11=$A$3,Main!$B$43=A137),'Propulsion-Cruise'!M34,U137)</f>
        <v>61.607316457691162</v>
      </c>
      <c r="V137" s="103">
        <f ca="1">IF(AND(Energy!$F$11=$A$3,Main!$B$43=A137),Endurance!AP34,V137)</f>
        <v>613.33385820307399</v>
      </c>
      <c r="W137" s="103">
        <f ca="1">IF(AND(Energy!$F$11=$A$3,Main!$B$43=$A137),Summary!W34,W137)</f>
        <v>2.1842105263157894</v>
      </c>
      <c r="X137" s="13">
        <f ca="1">IF(AND(Energy!$F$11=$A$3,Main!$B$43=A137),Energy!D34,X137)</f>
        <v>406.28649070331392</v>
      </c>
      <c r="Y137" s="102">
        <f ca="1">IF(AND(Energy!$F$11=$A$3,Main!$B$43=A137),'Aerodynamics-Cruise'!V34,Y137)</f>
        <v>171748.32912189813</v>
      </c>
      <c r="Z137" s="102">
        <f ca="1">IF(AND(Energy!$F$11=$A$3,Main!$B$43=$A137),Summary!Z34,Z137)</f>
        <v>128222.53940358743</v>
      </c>
      <c r="AA137" s="102">
        <f ca="1">IF(AND(Energy!$F$11=$A$3,Main!$B$43=$A137),Summary!AA34,AA137)</f>
        <v>128222.53940358743</v>
      </c>
      <c r="AB137" s="103">
        <f ca="1">IF(AND(Energy!$F$11=$A$3,Main!$B$43=$A137),Summary!AB34,AB137)</f>
        <v>5.143466931605845</v>
      </c>
      <c r="AC137" s="103">
        <f ca="1">IF(AND(Energy!$F$11=$A$3,Main!$B$43=$A137),Summary!AC34,AC137)</f>
        <v>1.6407281693364841</v>
      </c>
      <c r="AD137" s="103">
        <f ca="1">IF(AND(Energy!$F$11=$A$3,Main!$B$43=$A137),Summary!AD34,AD137)</f>
        <v>0.44087890616085385</v>
      </c>
      <c r="AE137" s="103">
        <f ca="1">IF(AND(Energy!$F$11=$A$3,Main!$B$43=$A137),Summary!AE34,AE137)</f>
        <v>2.1842105263157894</v>
      </c>
      <c r="AF137" s="103">
        <f ca="1">IF(AND(Energy!$F$11=$A$3,Main!$B$43=$A137),Summary!AF34,AF137)</f>
        <v>19.65789473684211</v>
      </c>
      <c r="AG137" s="103">
        <f ca="1">IF(AND(Energy!$F$11=$A$3,Main!$B$43=$A137),Summary!AG34,AG137)</f>
        <v>12.328370441863385</v>
      </c>
      <c r="AH137" s="103">
        <f ca="1">IF(AND(Energy!$F$11=$A$3,Main!$B$43=$A137),Summary!AH34,AH137)</f>
        <v>47</v>
      </c>
      <c r="AI137" s="103">
        <f ca="1">IF(AND(Energy!$F$11=$A$3,Main!$B$43=$A137),Summary!AI34,AI137)</f>
        <v>2.7609056305839741</v>
      </c>
      <c r="AJ137" s="103">
        <f ca="1">IF(AND(Energy!$F$11=$A$3,Main!$B$43=$A137),Summary!AJ34,AJ137)</f>
        <v>0.23032864332906586</v>
      </c>
      <c r="AK137" s="103">
        <f ca="1">IF(AND(Energy!$F$11=$A$3,Main!$B$43=$A137),Summary!AK34,AK137)</f>
        <v>0.01</v>
      </c>
      <c r="AL137" s="103">
        <f ca="1">IF(AND(Energy!$F$11=$A$3,Main!$B$43=$A137),Summary!AL34,AL137)</f>
        <v>-0.54270098327322713</v>
      </c>
      <c r="AM137" s="103">
        <f ca="1">IF(AND(Energy!$F$11=$A$3,Main!$B$43=$A137),Summary!AJ154,AM137)</f>
        <v>0</v>
      </c>
    </row>
    <row r="138" spans="1:39">
      <c r="A138">
        <f t="shared" si="8"/>
        <v>7</v>
      </c>
      <c r="D138" s="1">
        <f ca="1">IF(AND(Energy!$F$11=$A$3,Main!$B$43=A138),Main!C35,D138)</f>
        <v>6.7105263157894743</v>
      </c>
      <c r="E138" s="103">
        <f ca="1">IF(AND(Energy!$F$11=$A$3,Main!$B$43=A138),Main!B35,E138)</f>
        <v>0.33333333333333326</v>
      </c>
      <c r="F138" s="103">
        <f ca="1">IF(Main!$D$6=1,U138,IF(Main!$D$6=2,N138,IF(Main!$D$6=3,K138,IF(Main!$D$6=4,V138,J138))))</f>
        <v>619.42432592082912</v>
      </c>
      <c r="G138" s="103">
        <f ca="1">IF(AND(Energy!$F$11=$A$3,Main!$B$43=A138),Weight!H35,G138)</f>
        <v>15</v>
      </c>
      <c r="H138" s="103">
        <f ca="1">IF(AND(Energy!$F$11=$A$3,Main!$B$43=A138),Weight!U35,H138)</f>
        <v>28.329964796994787</v>
      </c>
      <c r="I138" s="103">
        <f ca="1">IF(AND(Energy!$F$11=$A$3,Main!$B$43=A138),Weight!V35,I138)</f>
        <v>64.401915449981431</v>
      </c>
      <c r="J138" s="103">
        <f ca="1">IF(AND(Energy!$F$11=$A$3,Main!$B$43=A138),Weight!I35,J138)</f>
        <v>31.134302377986639</v>
      </c>
      <c r="K138" s="103">
        <f ca="1">IF(AND(Energy!$F$11=$A$3,Main!$B$43=A138),Weight!W35,K138)</f>
        <v>79.401916015703648</v>
      </c>
      <c r="L138" s="103">
        <f ca="1">IF(AND(Energy!$F$11=$A$3,Main!$B$43=A138),'Aerodynamics-Cruise'!BI35,L138)</f>
        <v>79.401914877833349</v>
      </c>
      <c r="M138" s="103">
        <f ca="1">IF(AND(Energy!$F$11=$A$3,Main!$B$43=A138),'Aerodynamics-Cruise'!BJ35,M138)</f>
        <v>3.4356820855058965</v>
      </c>
      <c r="N138" s="103">
        <f ca="1">IF(AND(Energy!$F$11=$A$3,Main!$B$43=A138),'Aerodynamics-Cruise'!BK35,N138)</f>
        <v>23.110961055682658</v>
      </c>
      <c r="O138" s="103">
        <f t="shared" ca="1" si="9"/>
        <v>205.93657889922906</v>
      </c>
      <c r="P138" s="103">
        <f ca="1">IF(AND(Energy!$F$11=$A$3,Main!$B$43=A138),'Aerodynamics-Cruise'!H35,P138)</f>
        <v>8.0861867253223654</v>
      </c>
      <c r="Q138" s="103">
        <f ca="1">IF(AND(Energy!$F$11=$A$3,Main!$B$43=A138),'Aerodynamics-Cruise'!I35,Q138)</f>
        <v>6.8143721641984669</v>
      </c>
      <c r="R138" s="103">
        <f ca="1">IF(AND(Energy!$F$11=$A$3,Main!$B$43=$A138),Summary!R35,R138)</f>
        <v>5.1728686356418274</v>
      </c>
      <c r="S138" s="103">
        <f ca="1">IF(AND(Energy!$F$11=$A$3,Main!$B$43=A138),'Aerodynamics-Cruise'!W35,S138)</f>
        <v>1</v>
      </c>
      <c r="T138" s="103">
        <f ca="1">IF(AND(Energy!$F$11=$A$3,Main!$B$43=A138),'Aerodynamics-Cruise'!BL35,T138)</f>
        <v>27.781566872245641</v>
      </c>
      <c r="U138" s="103">
        <f ca="1">IF(AND(Energy!$F$11=$A$3,Main!$B$43=A138),'Propulsion-Cruise'!M35,U138)</f>
        <v>61.915141211746615</v>
      </c>
      <c r="V138" s="103">
        <f ca="1">IF(AND(Energy!$F$11=$A$3,Main!$B$43=A138),Endurance!AP35,V138)</f>
        <v>619.42432592082912</v>
      </c>
      <c r="W138" s="103">
        <f ca="1">IF(AND(Energy!$F$11=$A$3,Main!$B$43=$A138),Summary!W35,W138)</f>
        <v>2.2368421052631575</v>
      </c>
      <c r="X138" s="13">
        <f ca="1">IF(AND(Energy!$F$11=$A$3,Main!$B$43=A138),Energy!D35,X138)</f>
        <v>406.43208859994974</v>
      </c>
      <c r="Y138" s="102">
        <f ca="1">IF(AND(Energy!$F$11=$A$3,Main!$B$43=A138),'Aerodynamics-Cruise'!V35,Y138)</f>
        <v>170949.48170980185</v>
      </c>
      <c r="Z138" s="102">
        <f ca="1">IF(AND(Energy!$F$11=$A$3,Main!$B$43=$A138),Summary!Z35,Z138)</f>
        <v>127649.7018173971</v>
      </c>
      <c r="AA138" s="102">
        <f ca="1">IF(AND(Energy!$F$11=$A$3,Main!$B$43=$A138),Summary!AA35,AA138)</f>
        <v>127649.7018173971</v>
      </c>
      <c r="AB138" s="103">
        <f ca="1">IF(AND(Energy!$F$11=$A$3,Main!$B$43=$A138),Summary!AB35,AB138)</f>
        <v>5.1728686356418274</v>
      </c>
      <c r="AC138" s="103">
        <f ca="1">IF(AND(Energy!$F$11=$A$3,Main!$B$43=$A138),Summary!AC35,AC138)</f>
        <v>1.6086939682053374</v>
      </c>
      <c r="AD138" s="103">
        <f ca="1">IF(AND(Energy!$F$11=$A$3,Main!$B$43=$A138),Summary!AD35,AD138)</f>
        <v>0.44108996291040703</v>
      </c>
      <c r="AE138" s="103">
        <f ca="1">IF(AND(Energy!$F$11=$A$3,Main!$B$43=$A138),Summary!AE35,AE138)</f>
        <v>2.2368421052631575</v>
      </c>
      <c r="AF138" s="103">
        <f ca="1">IF(AND(Energy!$F$11=$A$3,Main!$B$43=$A138),Summary!AF35,AF138)</f>
        <v>20.131578947368428</v>
      </c>
      <c r="AG138" s="103">
        <f ca="1">IF(AND(Energy!$F$11=$A$3,Main!$B$43=$A138),Summary!AG35,AG138)</f>
        <v>12.373578253276046</v>
      </c>
      <c r="AH138" s="103">
        <f ca="1">IF(AND(Energy!$F$11=$A$3,Main!$B$43=$A138),Summary!AH35,AH138)</f>
        <v>47</v>
      </c>
      <c r="AI138" s="103">
        <f ca="1">IF(AND(Energy!$F$11=$A$3,Main!$B$43=$A138),Summary!AI35,AI138)</f>
        <v>2.7598907817345593</v>
      </c>
      <c r="AJ138" s="103">
        <f ca="1">IF(AND(Energy!$F$11=$A$3,Main!$B$43=$A138),Summary!AJ35,AJ138)</f>
        <v>0.23063157476411014</v>
      </c>
      <c r="AK138" s="103">
        <f ca="1">IF(AND(Energy!$F$11=$A$3,Main!$B$43=$A138),Summary!AK35,AK138)</f>
        <v>0.01</v>
      </c>
      <c r="AL138" s="103">
        <f ca="1">IF(AND(Energy!$F$11=$A$3,Main!$B$43=$A138),Summary!AL35,AL138)</f>
        <v>-0.5419880955658144</v>
      </c>
      <c r="AM138" s="103">
        <f ca="1">IF(AND(Energy!$F$11=$A$3,Main!$B$43=$A138),Summary!AJ155,AM138)</f>
        <v>0</v>
      </c>
    </row>
    <row r="139" spans="1:39">
      <c r="A139">
        <f t="shared" si="8"/>
        <v>7</v>
      </c>
      <c r="D139" s="1">
        <f ca="1">IF(AND(Energy!$F$11=$A$3,Main!$B$43=A139),Main!C36,D139)</f>
        <v>6.8684210526315796</v>
      </c>
      <c r="E139" s="103">
        <f ca="1">IF(AND(Energy!$F$11=$A$3,Main!$B$43=A139),Main!B36,E139)</f>
        <v>0.33333333333333326</v>
      </c>
      <c r="F139" s="103">
        <f ca="1">IF(Main!$D$6=1,U139,IF(Main!$D$6=2,N139,IF(Main!$D$6=3,K139,IF(Main!$D$6=4,V139,J139))))</f>
        <v>620.37912102752455</v>
      </c>
      <c r="G139" s="103">
        <f ca="1">IF(AND(Energy!$F$11=$A$3,Main!$B$43=A139),Weight!H36,G139)</f>
        <v>15</v>
      </c>
      <c r="H139" s="103">
        <f ca="1">IF(AND(Energy!$F$11=$A$3,Main!$B$43=A139),Weight!U36,H139)</f>
        <v>29.174097417307387</v>
      </c>
      <c r="I139" s="103">
        <f ca="1">IF(AND(Energy!$F$11=$A$3,Main!$B$43=A139),Weight!V36,I139)</f>
        <v>65.280349800733475</v>
      </c>
      <c r="J139" s="103">
        <f ca="1">IF(AND(Energy!$F$11=$A$3,Main!$B$43=A139),Weight!I36,J139)</f>
        <v>31.168604108426088</v>
      </c>
      <c r="K139" s="103">
        <f ca="1">IF(AND(Energy!$F$11=$A$3,Main!$B$43=A139),Weight!W36,K139)</f>
        <v>80.280350411557805</v>
      </c>
      <c r="L139" s="103">
        <f ca="1">IF(AND(Energy!$F$11=$A$3,Main!$B$43=A139),'Aerodynamics-Cruise'!BI36,L139)</f>
        <v>80.280349185039029</v>
      </c>
      <c r="M139" s="103">
        <f ca="1">IF(AND(Energy!$F$11=$A$3,Main!$B$43=A139),'Aerodynamics-Cruise'!BJ36,M139)</f>
        <v>3.4541711539887379</v>
      </c>
      <c r="N139" s="103">
        <f ca="1">IF(AND(Energy!$F$11=$A$3,Main!$B$43=A139),'Aerodynamics-Cruise'!BK36,N139)</f>
        <v>23.241566675795585</v>
      </c>
      <c r="O139" s="103">
        <f t="shared" ca="1" si="9"/>
        <v>208.24281514880295</v>
      </c>
      <c r="P139" s="103">
        <f ca="1">IF(AND(Energy!$F$11=$A$3,Main!$B$43=A139),'Aerodynamics-Cruise'!H36,P139)</f>
        <v>8.0367688649005231</v>
      </c>
      <c r="Q139" s="103">
        <f ca="1">IF(AND(Energy!$F$11=$A$3,Main!$B$43=A139),'Aerodynamics-Cruise'!I36,Q139)</f>
        <v>6.7744323337920793</v>
      </c>
      <c r="R139" s="103">
        <f ca="1">IF(AND(Energy!$F$11=$A$3,Main!$B$43=$A139),Summary!R36,R139)</f>
        <v>5.169085722729208</v>
      </c>
      <c r="S139" s="103">
        <f ca="1">IF(AND(Energy!$F$11=$A$3,Main!$B$43=A139),'Aerodynamics-Cruise'!W36,S139)</f>
        <v>1</v>
      </c>
      <c r="T139" s="103">
        <f ca="1">IF(AND(Energy!$F$11=$A$3,Main!$B$43=A139),'Aerodynamics-Cruise'!BL36,T139)</f>
        <v>27.760375184414197</v>
      </c>
      <c r="U139" s="103">
        <f ca="1">IF(AND(Energy!$F$11=$A$3,Main!$B$43=A139),'Propulsion-Cruise'!M36,U139)</f>
        <v>62.028590324386563</v>
      </c>
      <c r="V139" s="103">
        <f ca="1">IF(AND(Energy!$F$11=$A$3,Main!$B$43=A139),Endurance!AP36,V139)</f>
        <v>620.37912102752455</v>
      </c>
      <c r="W139" s="103">
        <f ca="1">IF(AND(Energy!$F$11=$A$3,Main!$B$43=$A139),Summary!W36,W139)</f>
        <v>2.2894736842105261</v>
      </c>
      <c r="X139" s="13">
        <f ca="1">IF(AND(Energy!$F$11=$A$3,Main!$B$43=A139),Energy!D36,X139)</f>
        <v>406.45111778299389</v>
      </c>
      <c r="Y139" s="102">
        <f ca="1">IF(AND(Energy!$F$11=$A$3,Main!$B$43=A139),'Aerodynamics-Cruise'!V36,Y139)</f>
        <v>169904.74233965279</v>
      </c>
      <c r="Z139" s="102">
        <f ca="1">IF(AND(Energy!$F$11=$A$3,Main!$B$43=$A139),Summary!Z36,Z139)</f>
        <v>126900.28543842056</v>
      </c>
      <c r="AA139" s="102">
        <f ca="1">IF(AND(Energy!$F$11=$A$3,Main!$B$43=$A139),Summary!AA36,AA139)</f>
        <v>126900.28543842056</v>
      </c>
      <c r="AB139" s="103">
        <f ca="1">IF(AND(Energy!$F$11=$A$3,Main!$B$43=$A139),Summary!AB36,AB139)</f>
        <v>5.169085722729208</v>
      </c>
      <c r="AC139" s="103">
        <f ca="1">IF(AND(Energy!$F$11=$A$3,Main!$B$43=$A139),Summary!AC36,AC139)</f>
        <v>1.581716229019267</v>
      </c>
      <c r="AD139" s="103">
        <f ca="1">IF(AND(Energy!$F$11=$A$3,Main!$B$43=$A139),Summary!AD36,AD139)</f>
        <v>0.44069426900047254</v>
      </c>
      <c r="AE139" s="103">
        <f ca="1">IF(AND(Energy!$F$11=$A$3,Main!$B$43=$A139),Summary!AE36,AE139)</f>
        <v>2.2894736842105261</v>
      </c>
      <c r="AF139" s="103">
        <f ca="1">IF(AND(Energy!$F$11=$A$3,Main!$B$43=$A139),Summary!AF36,AF139)</f>
        <v>20.605263157894743</v>
      </c>
      <c r="AG139" s="103">
        <f ca="1">IF(AND(Energy!$F$11=$A$3,Main!$B$43=$A139),Summary!AG36,AG139)</f>
        <v>12.395236250416859</v>
      </c>
      <c r="AH139" s="103">
        <f ca="1">IF(AND(Energy!$F$11=$A$3,Main!$B$43=$A139),Summary!AH36,AH139)</f>
        <v>47</v>
      </c>
      <c r="AI139" s="103">
        <f ca="1">IF(AND(Energy!$F$11=$A$3,Main!$B$43=$A139),Summary!AI36,AI139)</f>
        <v>2.7585013409301853</v>
      </c>
      <c r="AJ139" s="103">
        <f ca="1">IF(AND(Energy!$F$11=$A$3,Main!$B$43=$A139),Summary!AJ36,AJ139)</f>
        <v>0.23097231984872652</v>
      </c>
      <c r="AK139" s="103">
        <f ca="1">IF(AND(Energy!$F$11=$A$3,Main!$B$43=$A139),Summary!AK36,AK139)</f>
        <v>0.01</v>
      </c>
      <c r="AL139" s="103">
        <f ca="1">IF(AND(Energy!$F$11=$A$3,Main!$B$43=$A139),Summary!AL36,AL139)</f>
        <v>-0.54118868486654403</v>
      </c>
      <c r="AM139" s="103">
        <f ca="1">IF(AND(Energy!$F$11=$A$3,Main!$B$43=$A139),Summary!AJ156,AM139)</f>
        <v>0</v>
      </c>
    </row>
    <row r="140" spans="1:39">
      <c r="A140">
        <f t="shared" si="8"/>
        <v>7</v>
      </c>
      <c r="D140" s="1">
        <f ca="1">IF(AND(Energy!$F$11=$A$3,Main!$B$43=A140),Main!C37,D140)</f>
        <v>7.026315789473685</v>
      </c>
      <c r="E140" s="103">
        <f ca="1">IF(AND(Energy!$F$11=$A$3,Main!$B$43=A140),Main!B37,E140)</f>
        <v>0.33333333333333326</v>
      </c>
      <c r="F140" s="103">
        <f ca="1">IF(Main!$D$6=1,U140,IF(Main!$D$6=2,N140,IF(Main!$D$6=3,K140,IF(Main!$D$6=4,V140,J140))))</f>
        <v>621.77903360788309</v>
      </c>
      <c r="G140" s="103">
        <f ca="1">IF(AND(Energy!$F$11=$A$3,Main!$B$43=A140),Weight!H37,G140)</f>
        <v>15</v>
      </c>
      <c r="H140" s="103">
        <f ca="1">IF(AND(Energy!$F$11=$A$3,Main!$B$43=A140),Weight!U37,H140)</f>
        <v>30.037957239185914</v>
      </c>
      <c r="I140" s="103">
        <f ca="1">IF(AND(Energy!$F$11=$A$3,Main!$B$43=A140),Weight!V37,I140)</f>
        <v>66.198606026147104</v>
      </c>
      <c r="J140" s="103">
        <f ca="1">IF(AND(Energy!$F$11=$A$3,Main!$B$43=A140),Weight!I37,J140)</f>
        <v>31.223000511961185</v>
      </c>
      <c r="K140" s="103">
        <f ca="1">IF(AND(Energy!$F$11=$A$3,Main!$B$43=A140),Weight!W37,K140)</f>
        <v>81.198606553561817</v>
      </c>
      <c r="L140" s="103">
        <f ca="1">IF(AND(Energy!$F$11=$A$3,Main!$B$43=A140),'Aerodynamics-Cruise'!BI37,L140)</f>
        <v>81.198605494890259</v>
      </c>
      <c r="M140" s="103">
        <f ca="1">IF(AND(Energy!$F$11=$A$3,Main!$B$43=A140),'Aerodynamics-Cruise'!BJ37,M140)</f>
        <v>3.4745543474986529</v>
      </c>
      <c r="N140" s="103">
        <f ca="1">IF(AND(Energy!$F$11=$A$3,Main!$B$43=A140),'Aerodynamics-Cruise'!BK37,N140)</f>
        <v>23.369502207771049</v>
      </c>
      <c r="O140" s="103">
        <f t="shared" ca="1" si="9"/>
        <v>210.5832126478881</v>
      </c>
      <c r="P140" s="103">
        <f ca="1">IF(AND(Energy!$F$11=$A$3,Main!$B$43=A140),'Aerodynamics-Cruise'!H37,P140)</f>
        <v>7.9912475083370147</v>
      </c>
      <c r="Q140" s="103">
        <f ca="1">IF(AND(Energy!$F$11=$A$3,Main!$B$43=A140),'Aerodynamics-Cruise'!I37,Q140)</f>
        <v>6.7376328892689132</v>
      </c>
      <c r="R140" s="103">
        <f ca="1">IF(AND(Energy!$F$11=$A$3,Main!$B$43=$A140),Summary!R37,R140)</f>
        <v>5.1719158625153057</v>
      </c>
      <c r="S140" s="103">
        <f ca="1">IF(AND(Energy!$F$11=$A$3,Main!$B$43=A140),'Aerodynamics-Cruise'!W37,S140)</f>
        <v>1</v>
      </c>
      <c r="T140" s="103">
        <f ca="1">IF(AND(Energy!$F$11=$A$3,Main!$B$43=A140),'Aerodynamics-Cruise'!BL37,T140)</f>
        <v>27.766023772030152</v>
      </c>
      <c r="U140" s="103">
        <f ca="1">IF(AND(Energy!$F$11=$A$3,Main!$B$43=A140),'Propulsion-Cruise'!M37,U140)</f>
        <v>62.194861565202281</v>
      </c>
      <c r="V140" s="103">
        <f ca="1">IF(AND(Energy!$F$11=$A$3,Main!$B$43=A140),Endurance!AP37,V140)</f>
        <v>621.77903360788309</v>
      </c>
      <c r="W140" s="103">
        <f ca="1">IF(AND(Energy!$F$11=$A$3,Main!$B$43=$A140),Summary!W37,W140)</f>
        <v>2.3421052631578942</v>
      </c>
      <c r="X140" s="13">
        <f ca="1">IF(AND(Energy!$F$11=$A$3,Main!$B$43=A140),Energy!D37,X140)</f>
        <v>406.48129459063153</v>
      </c>
      <c r="Y140" s="102">
        <f ca="1">IF(AND(Energy!$F$11=$A$3,Main!$B$43=A140),'Aerodynamics-Cruise'!V37,Y140)</f>
        <v>168942.37867237689</v>
      </c>
      <c r="Z140" s="102">
        <f ca="1">IF(AND(Energy!$F$11=$A$3,Main!$B$43=$A140),Summary!Z37,Z140)</f>
        <v>126209.800546739</v>
      </c>
      <c r="AA140" s="102">
        <f ca="1">IF(AND(Energy!$F$11=$A$3,Main!$B$43=$A140),Summary!AA37,AA140)</f>
        <v>126209.800546739</v>
      </c>
      <c r="AB140" s="103">
        <f ca="1">IF(AND(Energy!$F$11=$A$3,Main!$B$43=$A140),Summary!AB37,AB140)</f>
        <v>5.1719158625153057</v>
      </c>
      <c r="AC140" s="103">
        <f ca="1">IF(AND(Energy!$F$11=$A$3,Main!$B$43=$A140),Summary!AC37,AC140)</f>
        <v>1.5549592328996162</v>
      </c>
      <c r="AD140" s="103">
        <f ca="1">IF(AND(Energy!$F$11=$A$3,Main!$B$43=$A140),Summary!AD37,AD140)</f>
        <v>0.44047206197470595</v>
      </c>
      <c r="AE140" s="103">
        <f ca="1">IF(AND(Energy!$F$11=$A$3,Main!$B$43=$A140),Summary!AE37,AE140)</f>
        <v>2.3421052631578942</v>
      </c>
      <c r="AF140" s="103">
        <f ca="1">IF(AND(Energy!$F$11=$A$3,Main!$B$43=$A140),Summary!AF37,AF140)</f>
        <v>21.078947368421062</v>
      </c>
      <c r="AG140" s="103">
        <f ca="1">IF(AND(Energy!$F$11=$A$3,Main!$B$43=$A140),Summary!AG37,AG140)</f>
        <v>12.423006657770607</v>
      </c>
      <c r="AH140" s="103">
        <f ca="1">IF(AND(Energy!$F$11=$A$3,Main!$B$43=$A140),Summary!AH37,AH140)</f>
        <v>47</v>
      </c>
      <c r="AI140" s="103">
        <f ca="1">IF(AND(Energy!$F$11=$A$3,Main!$B$43=$A140),Summary!AI37,AI140)</f>
        <v>2.7572144037527315</v>
      </c>
      <c r="AJ140" s="103">
        <f ca="1">IF(AND(Energy!$F$11=$A$3,Main!$B$43=$A140),Summary!AJ37,AJ140)</f>
        <v>0.23128646746122902</v>
      </c>
      <c r="AK140" s="103">
        <f ca="1">IF(AND(Energy!$F$11=$A$3,Main!$B$43=$A140),Summary!AK37,AK140)</f>
        <v>0.01</v>
      </c>
      <c r="AL140" s="103">
        <f ca="1">IF(AND(Energy!$F$11=$A$3,Main!$B$43=$A140),Summary!AL37,AL140)</f>
        <v>-0.54045381398263359</v>
      </c>
      <c r="AM140" s="103">
        <f ca="1">IF(AND(Energy!$F$11=$A$3,Main!$B$43=$A140),Summary!AJ157,AM140)</f>
        <v>0</v>
      </c>
    </row>
    <row r="141" spans="1:39">
      <c r="A141">
        <f t="shared" si="8"/>
        <v>7</v>
      </c>
      <c r="D141" s="1">
        <f ca="1">IF(AND(Energy!$F$11=$A$3,Main!$B$43=A141),Main!C38,D141)</f>
        <v>7.1842105263157903</v>
      </c>
      <c r="E141" s="103">
        <f ca="1">IF(AND(Energy!$F$11=$A$3,Main!$B$43=A141),Main!B38,E141)</f>
        <v>0.33333333333333326</v>
      </c>
      <c r="F141" s="103">
        <f ca="1">IF(Main!$D$6=1,U141,IF(Main!$D$6=2,N141,IF(Main!$D$6=3,K141,IF(Main!$D$6=4,V141,J141))))</f>
        <v>623.59494244827283</v>
      </c>
      <c r="G141" s="103">
        <f ca="1">IF(AND(Energy!$F$11=$A$3,Main!$B$43=A141),Weight!H38,G141)</f>
        <v>15</v>
      </c>
      <c r="H141" s="103">
        <f ca="1">IF(AND(Energy!$F$11=$A$3,Main!$B$43=A141),Weight!U38,H141)</f>
        <v>30.921668674646931</v>
      </c>
      <c r="I141" s="103">
        <f ca="1">IF(AND(Energy!$F$11=$A$3,Main!$B$43=A141),Weight!V38,I141)</f>
        <v>67.155480525977396</v>
      </c>
      <c r="J141" s="103">
        <f ca="1">IF(AND(Energy!$F$11=$A$3,Main!$B$43=A141),Weight!I38,J141)</f>
        <v>31.296163576330464</v>
      </c>
      <c r="K141" s="103">
        <f ca="1">IF(AND(Energy!$F$11=$A$3,Main!$B$43=A141),Weight!W38,K141)</f>
        <v>82.155481019929141</v>
      </c>
      <c r="L141" s="103">
        <f ca="1">IF(AND(Energy!$F$11=$A$3,Main!$B$43=A141),'Aerodynamics-Cruise'!BI38,L141)</f>
        <v>82.155480028436855</v>
      </c>
      <c r="M141" s="103">
        <f ca="1">IF(AND(Energy!$F$11=$A$3,Main!$B$43=A141),'Aerodynamics-Cruise'!BJ38,M141)</f>
        <v>3.4967125043833867</v>
      </c>
      <c r="N141" s="103">
        <f ca="1">IF(AND(Energy!$F$11=$A$3,Main!$B$43=A141),'Aerodynamics-Cruise'!BK38,N141)</f>
        <v>23.495062841297049</v>
      </c>
      <c r="O141" s="103">
        <f t="shared" ca="1" si="9"/>
        <v>212.95845125295415</v>
      </c>
      <c r="P141" s="103">
        <f ca="1">IF(AND(Energy!$F$11=$A$3,Main!$B$43=A141),'Aerodynamics-Cruise'!H38,P141)</f>
        <v>7.9493527879832637</v>
      </c>
      <c r="Q141" s="103">
        <f ca="1">IF(AND(Energy!$F$11=$A$3,Main!$B$43=A141),'Aerodynamics-Cruise'!I38,Q141)</f>
        <v>6.7037577789480336</v>
      </c>
      <c r="R141" s="103">
        <f ca="1">IF(AND(Energy!$F$11=$A$3,Main!$B$43=$A141),Summary!R38,R141)</f>
        <v>5.1809493884664013</v>
      </c>
      <c r="S141" s="103">
        <f ca="1">IF(AND(Energy!$F$11=$A$3,Main!$B$43=A141),'Aerodynamics-Cruise'!W38,S141)</f>
        <v>1</v>
      </c>
      <c r="T141" s="103">
        <f ca="1">IF(AND(Energy!$F$11=$A$3,Main!$B$43=A141),'Aerodynamics-Cruise'!BL38,T141)</f>
        <v>27.796601295496014</v>
      </c>
      <c r="U141" s="103">
        <f ca="1">IF(AND(Energy!$F$11=$A$3,Main!$B$43=A141),'Propulsion-Cruise'!M38,U141)</f>
        <v>62.410499868704996</v>
      </c>
      <c r="V141" s="103">
        <f ca="1">IF(AND(Energy!$F$11=$A$3,Main!$B$43=A141),Endurance!AP38,V141)</f>
        <v>623.59494244827283</v>
      </c>
      <c r="W141" s="103">
        <f ca="1">IF(AND(Energy!$F$11=$A$3,Main!$B$43=$A141),Summary!W38,W141)</f>
        <v>2.3947368421052628</v>
      </c>
      <c r="X141" s="13">
        <f ca="1">IF(AND(Energy!$F$11=$A$3,Main!$B$43=A141),Energy!D38,X141)</f>
        <v>406.5218823768821</v>
      </c>
      <c r="Y141" s="102">
        <f ca="1">IF(AND(Energy!$F$11=$A$3,Main!$B$43=A141),'Aerodynamics-Cruise'!V38,Y141)</f>
        <v>168056.68545576799</v>
      </c>
      <c r="Z141" s="102">
        <f ca="1">IF(AND(Energy!$F$11=$A$3,Main!$B$43=$A141),Summary!Z38,Z141)</f>
        <v>125574.19172122657</v>
      </c>
      <c r="AA141" s="102">
        <f ca="1">IF(AND(Energy!$F$11=$A$3,Main!$B$43=$A141),Summary!AA38,AA141)</f>
        <v>125574.19172122657</v>
      </c>
      <c r="AB141" s="103">
        <f ca="1">IF(AND(Energy!$F$11=$A$3,Main!$B$43=$A141),Summary!AB38,AB141)</f>
        <v>5.1809493884664013</v>
      </c>
      <c r="AC141" s="103">
        <f ca="1">IF(AND(Energy!$F$11=$A$3,Main!$B$43=$A141),Summary!AC38,AC141)</f>
        <v>1.5284518548669486</v>
      </c>
      <c r="AD141" s="103">
        <f ca="1">IF(AND(Energy!$F$11=$A$3,Main!$B$43=$A141),Summary!AD38,AD141)</f>
        <v>0.44041147879580544</v>
      </c>
      <c r="AE141" s="103">
        <f ca="1">IF(AND(Energy!$F$11=$A$3,Main!$B$43=$A141),Summary!AE38,AE141)</f>
        <v>2.3947368421052628</v>
      </c>
      <c r="AF141" s="103">
        <f ca="1">IF(AND(Energy!$F$11=$A$3,Main!$B$43=$A141),Summary!AF38,AF141)</f>
        <v>21.552631578947373</v>
      </c>
      <c r="AG141" s="103">
        <f ca="1">IF(AND(Energy!$F$11=$A$3,Main!$B$43=$A141),Summary!AG38,AG141)</f>
        <v>12.456476650545401</v>
      </c>
      <c r="AH141" s="103">
        <f ca="1">IF(AND(Energy!$F$11=$A$3,Main!$B$43=$A141),Summary!AH38,AH141)</f>
        <v>47</v>
      </c>
      <c r="AI141" s="103">
        <f ca="1">IF(AND(Energy!$F$11=$A$3,Main!$B$43=$A141),Summary!AI38,AI141)</f>
        <v>2.7560238896763942</v>
      </c>
      <c r="AJ141" s="103">
        <f ca="1">IF(AND(Energy!$F$11=$A$3,Main!$B$43=$A141),Summary!AJ38,AJ141)</f>
        <v>0.23158414229970711</v>
      </c>
      <c r="AK141" s="103">
        <f ca="1">IF(AND(Energy!$F$11=$A$3,Main!$B$43=$A141),Summary!AK38,AK141)</f>
        <v>0.01</v>
      </c>
      <c r="AL141" s="103">
        <f ca="1">IF(AND(Energy!$F$11=$A$3,Main!$B$43=$A141),Summary!AL38,AL141)</f>
        <v>-0.53975921781222214</v>
      </c>
      <c r="AM141" s="103">
        <f ca="1">IF(AND(Energy!$F$11=$A$3,Main!$B$43=$A141),Summary!AJ158,AM141)</f>
        <v>0</v>
      </c>
    </row>
    <row r="142" spans="1:39">
      <c r="A142">
        <f t="shared" si="8"/>
        <v>7</v>
      </c>
      <c r="D142" s="1">
        <f ca="1">IF(AND(Energy!$F$11=$A$3,Main!$B$43=A142),Main!C39,D142)</f>
        <v>7.3421052631578956</v>
      </c>
      <c r="E142" s="103">
        <f ca="1">IF(AND(Energy!$F$11=$A$3,Main!$B$43=A142),Main!B39,E142)</f>
        <v>0.33333333333333326</v>
      </c>
      <c r="F142" s="103">
        <f ca="1">IF(Main!$D$6=1,U142,IF(Main!$D$6=2,N142,IF(Main!$D$6=3,K142,IF(Main!$D$6=4,V142,J142))))</f>
        <v>625.80161187342435</v>
      </c>
      <c r="G142" s="103">
        <f ca="1">IF(AND(Energy!$F$11=$A$3,Main!$B$43=A142),Weight!H39,G142)</f>
        <v>15</v>
      </c>
      <c r="H142" s="103">
        <f ca="1">IF(AND(Energy!$F$11=$A$3,Main!$B$43=A142),Weight!U39,H142)</f>
        <v>31.825375721200402</v>
      </c>
      <c r="I142" s="103">
        <f ca="1">IF(AND(Energy!$F$11=$A$3,Main!$B$43=A142),Weight!V39,I142)</f>
        <v>68.149966567083922</v>
      </c>
      <c r="J142" s="103">
        <f ca="1">IF(AND(Energy!$F$11=$A$3,Main!$B$43=A142),Weight!I39,J142)</f>
        <v>31.386942570883519</v>
      </c>
      <c r="K142" s="103">
        <f ca="1">IF(AND(Energy!$F$11=$A$3,Main!$B$43=A142),Weight!W39,K142)</f>
        <v>83.14996706505012</v>
      </c>
      <c r="L142" s="103">
        <f ca="1">IF(AND(Energy!$F$11=$A$3,Main!$B$43=A142),'Aerodynamics-Cruise'!BI39,L142)</f>
        <v>83.149966065509233</v>
      </c>
      <c r="M142" s="103">
        <f ca="1">IF(AND(Energy!$F$11=$A$3,Main!$B$43=A142),'Aerodynamics-Cruise'!BJ39,M142)</f>
        <v>3.5205412426484264</v>
      </c>
      <c r="N142" s="103">
        <f ca="1">IF(AND(Energy!$F$11=$A$3,Main!$B$43=A142),'Aerodynamics-Cruise'!BK39,N142)</f>
        <v>23.618517817151698</v>
      </c>
      <c r="O142" s="103">
        <f t="shared" ca="1" si="9"/>
        <v>215.36924128046337</v>
      </c>
      <c r="P142" s="103">
        <f ca="1">IF(AND(Energy!$F$11=$A$3,Main!$B$43=A142),'Aerodynamics-Cruise'!H39,P142)</f>
        <v>7.9108423764521847</v>
      </c>
      <c r="Q142" s="103">
        <f ca="1">IF(AND(Energy!$F$11=$A$3,Main!$B$43=A142),'Aerodynamics-Cruise'!I39,Q142)</f>
        <v>6.6726128825590614</v>
      </c>
      <c r="R142" s="103">
        <f ca="1">IF(AND(Energy!$F$11=$A$3,Main!$B$43=$A142),Summary!R39,R142)</f>
        <v>5.1958365517949172</v>
      </c>
      <c r="S142" s="103">
        <f ca="1">IF(AND(Energy!$F$11=$A$3,Main!$B$43=A142),'Aerodynamics-Cruise'!W39,S142)</f>
        <v>1</v>
      </c>
      <c r="T142" s="103">
        <f ca="1">IF(AND(Energy!$F$11=$A$3,Main!$B$43=A142),'Aerodynamics-Cruise'!BL39,T142)</f>
        <v>27.850446850390806</v>
      </c>
      <c r="U142" s="103">
        <f ca="1">IF(AND(Energy!$F$11=$A$3,Main!$B$43=A142),'Propulsion-Cruise'!M39,U142)</f>
        <v>62.672510803845512</v>
      </c>
      <c r="V142" s="103">
        <f ca="1">IF(AND(Energy!$F$11=$A$3,Main!$B$43=A142),Endurance!AP39,V142)</f>
        <v>625.80161187342435</v>
      </c>
      <c r="W142" s="103">
        <f ca="1">IF(AND(Energy!$F$11=$A$3,Main!$B$43=$A142),Summary!W39,W142)</f>
        <v>2.4473684210526314</v>
      </c>
      <c r="X142" s="13">
        <f ca="1">IF(AND(Energy!$F$11=$A$3,Main!$B$43=A142),Energy!D39,X142)</f>
        <v>406.57224275947397</v>
      </c>
      <c r="Y142" s="102">
        <f ca="1">IF(AND(Energy!$F$11=$A$3,Main!$B$43=A142),'Aerodynamics-Cruise'!V39,Y142)</f>
        <v>167242.53966427234</v>
      </c>
      <c r="Z142" s="102">
        <f ca="1">IF(AND(Energy!$F$11=$A$3,Main!$B$43=$A142),Summary!Z39,Z142)</f>
        <v>124989.81529326575</v>
      </c>
      <c r="AA142" s="102">
        <f ca="1">IF(AND(Energy!$F$11=$A$3,Main!$B$43=$A142),Summary!AA39,AA142)</f>
        <v>124989.81529326575</v>
      </c>
      <c r="AB142" s="103">
        <f ca="1">IF(AND(Energy!$F$11=$A$3,Main!$B$43=$A142),Summary!AB39,AB142)</f>
        <v>5.1958365517949172</v>
      </c>
      <c r="AC142" s="103">
        <f ca="1">IF(AND(Energy!$F$11=$A$3,Main!$B$43=$A142),Summary!AC39,AC142)</f>
        <v>1.50221918711761</v>
      </c>
      <c r="AD142" s="103">
        <f ca="1">IF(AND(Energy!$F$11=$A$3,Main!$B$43=$A142),Summary!AD39,AD142)</f>
        <v>0.44050193516826891</v>
      </c>
      <c r="AE142" s="103">
        <f ca="1">IF(AND(Energy!$F$11=$A$3,Main!$B$43=$A142),Summary!AE39,AE142)</f>
        <v>2.4473684210526314</v>
      </c>
      <c r="AF142" s="103">
        <f ca="1">IF(AND(Energy!$F$11=$A$3,Main!$B$43=$A142),Summary!AF39,AF142)</f>
        <v>22.026315789473692</v>
      </c>
      <c r="AG142" s="103">
        <f ca="1">IF(AND(Energy!$F$11=$A$3,Main!$B$43=$A142),Summary!AG39,AG142)</f>
        <v>12.495283875138007</v>
      </c>
      <c r="AH142" s="103">
        <f ca="1">IF(AND(Energy!$F$11=$A$3,Main!$B$43=$A142),Summary!AH39,AH142)</f>
        <v>47</v>
      </c>
      <c r="AI142" s="103">
        <f ca="1">IF(AND(Energy!$F$11=$A$3,Main!$B$43=$A142),Summary!AI39,AI142)</f>
        <v>2.7549242803086336</v>
      </c>
      <c r="AJ142" s="103">
        <f ca="1">IF(AND(Energy!$F$11=$A$3,Main!$B$43=$A142),Summary!AJ39,AJ142)</f>
        <v>0.23186637696805337</v>
      </c>
      <c r="AK142" s="103">
        <f ca="1">IF(AND(Energy!$F$11=$A$3,Main!$B$43=$A142),Summary!AK39,AK142)</f>
        <v>0.01</v>
      </c>
      <c r="AL142" s="103">
        <f ca="1">IF(AND(Energy!$F$11=$A$3,Main!$B$43=$A142),Summary!AL39,AL142)</f>
        <v>-0.53910219736357423</v>
      </c>
      <c r="AM142" s="103">
        <f ca="1">IF(AND(Energy!$F$11=$A$3,Main!$B$43=$A142),Summary!AJ159,AM142)</f>
        <v>0</v>
      </c>
    </row>
    <row r="143" spans="1:39">
      <c r="A143">
        <f t="shared" si="8"/>
        <v>7</v>
      </c>
      <c r="D143" s="1">
        <f ca="1">IF(AND(Energy!$F$11=$A$3,Main!$B$43=A143),Main!C40,D143)</f>
        <v>7.5</v>
      </c>
      <c r="E143" s="103">
        <f ca="1">IF(AND(Energy!$F$11=$A$3,Main!$B$43=A143),Main!B40,E143)</f>
        <v>0.33333333333333326</v>
      </c>
      <c r="F143" s="103">
        <f ca="1">IF(Main!$D$6=1,U143,IF(Main!$D$6=2,N143,IF(Main!$D$6=3,K143,IF(Main!$D$6=4,V143,J143))))</f>
        <v>628.37710585461764</v>
      </c>
      <c r="G143" s="103">
        <f ca="1">IF(AND(Energy!$F$11=$A$3,Main!$B$43=A143),Weight!H40,G143)</f>
        <v>15</v>
      </c>
      <c r="H143" s="103">
        <f ca="1">IF(AND(Energy!$F$11=$A$3,Main!$B$43=A143),Weight!U40,H143)</f>
        <v>32.749238976041617</v>
      </c>
      <c r="I143" s="103">
        <f ca="1">IF(AND(Energy!$F$11=$A$3,Main!$B$43=A143),Weight!V40,I143)</f>
        <v>69.181224399932816</v>
      </c>
      <c r="J143" s="103">
        <f ca="1">IF(AND(Energy!$F$11=$A$3,Main!$B$43=A143),Weight!I40,J143)</f>
        <v>31.494337148891198</v>
      </c>
      <c r="K143" s="103">
        <f ca="1">IF(AND(Energy!$F$11=$A$3,Main!$B$43=A143),Weight!W40,K143)</f>
        <v>84.181224887522617</v>
      </c>
      <c r="L143" s="103">
        <f ca="1">IF(AND(Energy!$F$11=$A$3,Main!$B$43=A143),'Aerodynamics-Cruise'!BI40,L143)</f>
        <v>84.181223908821664</v>
      </c>
      <c r="M143" s="103">
        <f ca="1">IF(AND(Energy!$F$11=$A$3,Main!$B$43=A143),'Aerodynamics-Cruise'!BJ40,M143)</f>
        <v>3.5459488610611594</v>
      </c>
      <c r="N143" s="103">
        <f ca="1">IF(AND(Energy!$F$11=$A$3,Main!$B$43=A143),'Aerodynamics-Cruise'!BK40,N143)</f>
        <v>23.740112225879543</v>
      </c>
      <c r="O143" s="103">
        <f t="shared" ca="1" si="9"/>
        <v>217.81630450281821</v>
      </c>
      <c r="P143" s="103">
        <f ca="1">IF(AND(Energy!$F$11=$A$3,Main!$B$43=A143),'Aerodynamics-Cruise'!H40,P143)</f>
        <v>7.8754978241570388</v>
      </c>
      <c r="Q143" s="103">
        <f ca="1">IF(AND(Energy!$F$11=$A$3,Main!$B$43=A143),'Aerodynamics-Cruise'!I40,Q143)</f>
        <v>6.6440231032914783</v>
      </c>
      <c r="R143" s="103">
        <f ca="1">IF(AND(Energy!$F$11=$A$3,Main!$B$43=$A143),Summary!R40,R143)</f>
        <v>5.2162781974592658</v>
      </c>
      <c r="S143" s="103">
        <f ca="1">IF(AND(Energy!$F$11=$A$3,Main!$B$43=A143),'Aerodynamics-Cruise'!W40,S143)</f>
        <v>1</v>
      </c>
      <c r="T143" s="103">
        <f ca="1">IF(AND(Energy!$F$11=$A$3,Main!$B$43=A143),'Aerodynamics-Cruise'!BL40,T143)</f>
        <v>27.92611253985929</v>
      </c>
      <c r="U143" s="103">
        <f ca="1">IF(AND(Energy!$F$11=$A$3,Main!$B$43=A143),'Propulsion-Cruise'!M40,U143)</f>
        <v>62.978291354515441</v>
      </c>
      <c r="V143" s="103">
        <f ca="1">IF(AND(Energy!$F$11=$A$3,Main!$B$43=A143),Endurance!AP40,V143)</f>
        <v>628.37710585461764</v>
      </c>
      <c r="W143" s="103">
        <f ca="1">IF(AND(Energy!$F$11=$A$3,Main!$B$43=$A143),Summary!W40,W143)</f>
        <v>2.4999999999999996</v>
      </c>
      <c r="X143" s="13">
        <f ca="1">IF(AND(Energy!$F$11=$A$3,Main!$B$43=A143),Energy!D40,X143)</f>
        <v>406.63182076514522</v>
      </c>
      <c r="Y143" s="102">
        <f ca="1">IF(AND(Energy!$F$11=$A$3,Main!$B$43=A143),'Aerodynamics-Cruise'!V40,Y143)</f>
        <v>166495.32307116562</v>
      </c>
      <c r="Z143" s="102">
        <f ca="1">IF(AND(Energy!$F$11=$A$3,Main!$B$43=$A143),Summary!Z40,Z143)</f>
        <v>124453.38474449041</v>
      </c>
      <c r="AA143" s="102">
        <f ca="1">IF(AND(Energy!$F$11=$A$3,Main!$B$43=$A143),Summary!AA40,AA143)</f>
        <v>124453.38474449041</v>
      </c>
      <c r="AB143" s="103">
        <f ca="1">IF(AND(Energy!$F$11=$A$3,Main!$B$43=$A143),Summary!AB40,AB143)</f>
        <v>5.2162781974592658</v>
      </c>
      <c r="AC143" s="103">
        <f ca="1">IF(AND(Energy!$F$11=$A$3,Main!$B$43=$A143),Summary!AC40,AC143)</f>
        <v>1.4762835550551652</v>
      </c>
      <c r="AD143" s="103">
        <f ca="1">IF(AND(Energy!$F$11=$A$3,Main!$B$43=$A143),Summary!AD40,AD143)</f>
        <v>0.44073395328823273</v>
      </c>
      <c r="AE143" s="103">
        <f ca="1">IF(AND(Energy!$F$11=$A$3,Main!$B$43=$A143),Summary!AE40,AE143)</f>
        <v>2.4999999999999996</v>
      </c>
      <c r="AF143" s="103">
        <f ca="1">IF(AND(Energy!$F$11=$A$3,Main!$B$43=$A143),Summary!AF40,AF143)</f>
        <v>22.500000000000004</v>
      </c>
      <c r="AG143" s="103">
        <f ca="1">IF(AND(Energy!$F$11=$A$3,Main!$B$43=$A143),Summary!AG40,AG143)</f>
        <v>12.539108933117147</v>
      </c>
      <c r="AH143" s="103">
        <f ca="1">IF(AND(Energy!$F$11=$A$3,Main!$B$43=$A143),Summary!AH40,AH143)</f>
        <v>47</v>
      </c>
      <c r="AI143" s="103">
        <f ca="1">IF(AND(Energy!$F$11=$A$3,Main!$B$43=$A143),Summary!AI40,AI143)</f>
        <v>2.7539105347328992</v>
      </c>
      <c r="AJ143" s="103">
        <f ca="1">IF(AND(Energy!$F$11=$A$3,Main!$B$43=$A143),Summary!AJ40,AJ143)</f>
        <v>0.23212579496633201</v>
      </c>
      <c r="AK143" s="103">
        <f ca="1">IF(AND(Energy!$F$11=$A$3,Main!$B$43=$A143),Summary!AK40,AK143)</f>
        <v>0.01</v>
      </c>
      <c r="AL143" s="103">
        <f ca="1">IF(AND(Energy!$F$11=$A$3,Main!$B$43=$A143),Summary!AL40,AL143)</f>
        <v>-0.53849974391160116</v>
      </c>
      <c r="AM143" s="103">
        <f ca="1">IF(AND(Energy!$F$11=$A$3,Main!$B$43=$A143),Summary!AJ160,AM143)</f>
        <v>0</v>
      </c>
    </row>
    <row r="144" spans="1:39">
      <c r="A144" s="7">
        <f>A124+1</f>
        <v>8</v>
      </c>
      <c r="D144" s="1">
        <f ca="1">IF(AND(Energy!$F$11=$A$3,Main!$B$43=A144),Main!C21,D144)</f>
        <v>4.5</v>
      </c>
      <c r="E144" s="103">
        <f ca="1">IF(AND(Energy!$F$11=$A$3,Main!$B$43=A144),Main!B21,E144)</f>
        <v>0.35555555555555546</v>
      </c>
      <c r="F144" s="103">
        <f ca="1">IF(Main!$D$6=1,U144,IF(Main!$D$6=2,N144,IF(Main!$D$6=3,K144,IF(Main!$D$6=4,V144,J144))))</f>
        <v>668.46217005853157</v>
      </c>
      <c r="G144" s="103">
        <f ca="1">IF(AND(Energy!$F$11=$A$3,Main!$B$43=A144),Weight!H21,G144)</f>
        <v>15</v>
      </c>
      <c r="H144" s="103">
        <f ca="1">IF(AND(Energy!$F$11=$A$3,Main!$B$43=A144),Weight!U21,H144)</f>
        <v>19.467809999317232</v>
      </c>
      <c r="I144" s="103">
        <f ca="1">IF(AND(Energy!$F$11=$A$3,Main!$B$43=A144),Weight!V21,I144)</f>
        <v>57.865842285039662</v>
      </c>
      <c r="J144" s="103">
        <f ca="1">IF(AND(Energy!$F$11=$A$3,Main!$B$43=A144),Weight!I21,J144)</f>
        <v>33.460384010722429</v>
      </c>
      <c r="K144" s="103">
        <f ca="1">IF(AND(Energy!$F$11=$A$3,Main!$B$43=A144),Weight!W21,K144)</f>
        <v>72.865842536294707</v>
      </c>
      <c r="L144" s="103">
        <f ca="1">IF(AND(Energy!$F$11=$A$3,Main!$B$43=A144),'Aerodynamics-Cruise'!BI21,L144)</f>
        <v>72.865842025656008</v>
      </c>
      <c r="M144" s="103">
        <f ca="1">IF(AND(Energy!$F$11=$A$3,Main!$B$43=A144),'Aerodynamics-Cruise'!BJ21,M144)</f>
        <v>3.5877635849409724</v>
      </c>
      <c r="N144" s="103">
        <f ca="1">IF(AND(Energy!$F$11=$A$3,Main!$B$43=A144),'Aerodynamics-Cruise'!BK21,N144)</f>
        <v>20.309543898460308</v>
      </c>
      <c r="O144" s="103">
        <f t="shared" ca="1" si="9"/>
        <v>173.3652955462245</v>
      </c>
      <c r="P144" s="103">
        <f ca="1">IF(AND(Energy!$F$11=$A$3,Main!$B$43=A144),'Aerodynamics-Cruise'!H21,P144)</f>
        <v>9.1671398957429631</v>
      </c>
      <c r="Q144" s="103">
        <f ca="1">IF(AND(Energy!$F$11=$A$3,Main!$B$43=A144),'Aerodynamics-Cruise'!I21,Q144)</f>
        <v>7.6591374866099429</v>
      </c>
      <c r="R144" s="103">
        <f ca="1">IF(AND(Energy!$F$11=$A$3,Main!$B$43=$A144),Summary!R21,R144)</f>
        <v>6.0273677774928878</v>
      </c>
      <c r="S144" s="103">
        <f ca="1">IF(AND(Energy!$F$11=$A$3,Main!$B$43=A144),'Aerodynamics-Cruise'!W21,S144)</f>
        <v>1</v>
      </c>
      <c r="T144" s="103">
        <f ca="1">IF(AND(Energy!$F$11=$A$3,Main!$B$43=A144),'Aerodynamics-Cruise'!BL21,T144)</f>
        <v>32.889530696006183</v>
      </c>
      <c r="U144" s="103">
        <f ca="1">IF(AND(Energy!$F$11=$A$3,Main!$B$43=A144),'Propulsion-Cruise'!M21,U144)</f>
        <v>70.12787132376296</v>
      </c>
      <c r="V144" s="103">
        <f ca="1">IF(AND(Energy!$F$11=$A$3,Main!$B$43=A144),Endurance!AP21,V144)</f>
        <v>668.46217005853157</v>
      </c>
      <c r="W144" s="103">
        <f ca="1">IF(AND(Energy!$F$11=$A$3,Main!$B$43=$A144),Summary!W21,W144)</f>
        <v>1.5999999999999996</v>
      </c>
      <c r="X144" s="13">
        <f ca="1">IF(AND(Energy!$F$11=$A$3,Main!$B$43=A144),Energy!D21,X144)</f>
        <v>407.72250106567537</v>
      </c>
      <c r="Y144" s="102">
        <f ca="1">IF(AND(Energy!$F$11=$A$3,Main!$B$43=A144),'Aerodynamics-Cruise'!V21,Y144)</f>
        <v>206721.95580557783</v>
      </c>
      <c r="Z144" s="102">
        <f ca="1">IF(AND(Energy!$F$11=$A$3,Main!$B$43=$A144),Summary!Z21,Z144)</f>
        <v>153090.52322166762</v>
      </c>
      <c r="AA144" s="102">
        <f ca="1">IF(AND(Energy!$F$11=$A$3,Main!$B$43=$A144),Summary!AA21,AA144)</f>
        <v>153090.52322166762</v>
      </c>
      <c r="AB144" s="103">
        <f ca="1">IF(AND(Energy!$F$11=$A$3,Main!$B$43=$A144),Summary!AB21,AB144)</f>
        <v>6.0273677774928878</v>
      </c>
      <c r="AC144" s="103">
        <f ca="1">IF(AND(Energy!$F$11=$A$3,Main!$B$43=$A144),Summary!AC21,AC144)</f>
        <v>1.9080833591406463</v>
      </c>
      <c r="AD144" s="103">
        <f ca="1">IF(AND(Energy!$F$11=$A$3,Main!$B$43=$A144),Summary!AD21,AD144)</f>
        <v>0.47769891742008064</v>
      </c>
      <c r="AE144" s="103">
        <f ca="1">IF(AND(Energy!$F$11=$A$3,Main!$B$43=$A144),Summary!AE21,AE144)</f>
        <v>1.5999999999999996</v>
      </c>
      <c r="AF144" s="103">
        <f ca="1">IF(AND(Energy!$F$11=$A$3,Main!$B$43=$A144),Summary!AF21,AF144)</f>
        <v>12.656250000000004</v>
      </c>
      <c r="AG144" s="103">
        <f ca="1">IF(AND(Energy!$F$11=$A$3,Main!$B$43=$A144),Summary!AG21,AG144)</f>
        <v>13.234344557143901</v>
      </c>
      <c r="AH144" s="103">
        <f ca="1">IF(AND(Energy!$F$11=$A$3,Main!$B$43=$A144),Summary!AH21,AH144)</f>
        <v>47</v>
      </c>
      <c r="AI144" s="103">
        <f ca="1">IF(AND(Energy!$F$11=$A$3,Main!$B$43=$A144),Summary!AI21,AI144)</f>
        <v>2.8077863185637937</v>
      </c>
      <c r="AJ144" s="103">
        <f ca="1">IF(AND(Energy!$F$11=$A$3,Main!$B$43=$A144),Summary!AJ21,AJ144)</f>
        <v>0.2224091540331174</v>
      </c>
      <c r="AK144" s="103">
        <f ca="1">IF(AND(Energy!$F$11=$A$3,Main!$B$43=$A144),Summary!AK21,AK144)</f>
        <v>0.01</v>
      </c>
      <c r="AL144" s="103">
        <f ca="1">IF(AND(Energy!$F$11=$A$3,Main!$B$43=$A144),Summary!AL21,AL144)</f>
        <v>-0.56202694716596258</v>
      </c>
      <c r="AM144" s="103">
        <f ca="1">IF(AND(Energy!$F$11=$A$3,Main!$B$43=$A144),Summary!AJ161,AM144)</f>
        <v>0</v>
      </c>
    </row>
    <row r="145" spans="1:39">
      <c r="A145">
        <f>A144</f>
        <v>8</v>
      </c>
      <c r="D145" s="1">
        <f ca="1">IF(AND(Energy!$F$11=$A$3,Main!$B$43=A145),Main!C22,D145)</f>
        <v>4.6578947368421053</v>
      </c>
      <c r="E145" s="103">
        <f ca="1">IF(AND(Energy!$F$11=$A$3,Main!$B$43=A145),Main!B22,E145)</f>
        <v>0.35555555555555546</v>
      </c>
      <c r="F145" s="103">
        <f ca="1">IF(Main!$D$6=1,U145,IF(Main!$D$6=2,N145,IF(Main!$D$6=3,K145,IF(Main!$D$6=4,V145,J145))))</f>
        <v>655.5511707627312</v>
      </c>
      <c r="G145" s="103">
        <f ca="1">IF(AND(Energy!$F$11=$A$3,Main!$B$43=A145),Weight!H22,G145)</f>
        <v>15</v>
      </c>
      <c r="H145" s="103">
        <f ca="1">IF(AND(Energy!$F$11=$A$3,Main!$B$43=A145),Weight!U22,H145)</f>
        <v>20.072153059990619</v>
      </c>
      <c r="I145" s="103">
        <f ca="1">IF(AND(Energy!$F$11=$A$3,Main!$B$43=A145),Weight!V22,I145)</f>
        <v>57.874680907491523</v>
      </c>
      <c r="J145" s="103">
        <f ca="1">IF(AND(Energy!$F$11=$A$3,Main!$B$43=A145),Weight!I22,J145)</f>
        <v>32.864879572500904</v>
      </c>
      <c r="K145" s="103">
        <f ca="1">IF(AND(Energy!$F$11=$A$3,Main!$B$43=A145),Weight!W22,K145)</f>
        <v>72.874681170474119</v>
      </c>
      <c r="L145" s="103">
        <f ca="1">IF(AND(Energy!$F$11=$A$3,Main!$B$43=A145),'Aerodynamics-Cruise'!BI22,L145)</f>
        <v>72.874680635890087</v>
      </c>
      <c r="M145" s="103">
        <f ca="1">IF(AND(Energy!$F$11=$A$3,Main!$B$43=A145),'Aerodynamics-Cruise'!BJ22,M145)</f>
        <v>3.5459508104116999</v>
      </c>
      <c r="N145" s="103">
        <f ca="1">IF(AND(Energy!$F$11=$A$3,Main!$B$43=A145),'Aerodynamics-Cruise'!BK22,N145)</f>
        <v>20.551520461568114</v>
      </c>
      <c r="O145" s="103">
        <f t="shared" ca="1" si="9"/>
        <v>175.44148311395466</v>
      </c>
      <c r="P145" s="103">
        <f ca="1">IF(AND(Energy!$F$11=$A$3,Main!$B$43=A145),'Aerodynamics-Cruise'!H22,P145)</f>
        <v>9.0108742913237734</v>
      </c>
      <c r="Q145" s="103">
        <f ca="1">IF(AND(Energy!$F$11=$A$3,Main!$B$43=A145),'Aerodynamics-Cruise'!I22,Q145)</f>
        <v>7.5339160031585726</v>
      </c>
      <c r="R145" s="103">
        <f ca="1">IF(AND(Energy!$F$11=$A$3,Main!$B$43=$A145),Summary!R22,R145)</f>
        <v>5.8252979485949803</v>
      </c>
      <c r="S145" s="103">
        <f ca="1">IF(AND(Energy!$F$11=$A$3,Main!$B$43=A145),'Aerodynamics-Cruise'!W22,S145)</f>
        <v>1</v>
      </c>
      <c r="T145" s="103">
        <f ca="1">IF(AND(Energy!$F$11=$A$3,Main!$B$43=A145),'Aerodynamics-Cruise'!BL22,T145)</f>
        <v>31.952116995837486</v>
      </c>
      <c r="U145" s="103">
        <f ca="1">IF(AND(Energy!$F$11=$A$3,Main!$B$43=A145),'Propulsion-Cruise'!M22,U145)</f>
        <v>68.50951030095645</v>
      </c>
      <c r="V145" s="103">
        <f ca="1">IF(AND(Energy!$F$11=$A$3,Main!$B$43=A145),Endurance!AP22,V145)</f>
        <v>655.5511707627312</v>
      </c>
      <c r="W145" s="103">
        <f ca="1">IF(AND(Energy!$F$11=$A$3,Main!$B$43=$A145),Summary!W22,W145)</f>
        <v>1.6561403508771926</v>
      </c>
      <c r="X145" s="13">
        <f ca="1">IF(AND(Energy!$F$11=$A$3,Main!$B$43=A145),Energy!D22,X145)</f>
        <v>407.39214016474216</v>
      </c>
      <c r="Y145" s="102">
        <f ca="1">IF(AND(Energy!$F$11=$A$3,Main!$B$43=A145),'Aerodynamics-Cruise'!V22,Y145)</f>
        <v>203198.11611969318</v>
      </c>
      <c r="Z145" s="102">
        <f ca="1">IF(AND(Energy!$F$11=$A$3,Main!$B$43=$A145),Summary!Z22,Z145)</f>
        <v>150583.43702943623</v>
      </c>
      <c r="AA145" s="102">
        <f ca="1">IF(AND(Energy!$F$11=$A$3,Main!$B$43=$A145),Summary!AA22,AA145)</f>
        <v>150583.43702943623</v>
      </c>
      <c r="AB145" s="103">
        <f ca="1">IF(AND(Energy!$F$11=$A$3,Main!$B$43=$A145),Summary!AB22,AB145)</f>
        <v>5.8252979485949803</v>
      </c>
      <c r="AC145" s="103">
        <f ca="1">IF(AND(Energy!$F$11=$A$3,Main!$B$43=$A145),Summary!AC22,AC145)</f>
        <v>1.8890117046606625</v>
      </c>
      <c r="AD145" s="103">
        <f ca="1">IF(AND(Energy!$F$11=$A$3,Main!$B$43=$A145),Summary!AD22,AD145)</f>
        <v>0.47219160512597297</v>
      </c>
      <c r="AE145" s="103">
        <f ca="1">IF(AND(Energy!$F$11=$A$3,Main!$B$43=$A145),Summary!AE22,AE145)</f>
        <v>1.6561403508771926</v>
      </c>
      <c r="AF145" s="103">
        <f ca="1">IF(AND(Energy!$F$11=$A$3,Main!$B$43=$A145),Summary!AF22,AF145)</f>
        <v>13.100328947368425</v>
      </c>
      <c r="AG145" s="103">
        <f ca="1">IF(AND(Energy!$F$11=$A$3,Main!$B$43=$A145),Summary!AG22,AG145)</f>
        <v>13.060653107599411</v>
      </c>
      <c r="AH145" s="103">
        <f ca="1">IF(AND(Energy!$F$11=$A$3,Main!$B$43=$A145),Summary!AH22,AH145)</f>
        <v>47</v>
      </c>
      <c r="AI145" s="103">
        <f ca="1">IF(AND(Energy!$F$11=$A$3,Main!$B$43=$A145),Summary!AI22,AI145)</f>
        <v>2.8038087097447604</v>
      </c>
      <c r="AJ145" s="103">
        <f ca="1">IF(AND(Energy!$F$11=$A$3,Main!$B$43=$A145),Summary!AJ22,AJ145)</f>
        <v>0.22333814029652913</v>
      </c>
      <c r="AK145" s="103">
        <f ca="1">IF(AND(Energy!$F$11=$A$3,Main!$B$43=$A145),Summary!AK22,AK145)</f>
        <v>0.01</v>
      </c>
      <c r="AL145" s="103">
        <f ca="1">IF(AND(Energy!$F$11=$A$3,Main!$B$43=$A145),Summary!AL22,AL145)</f>
        <v>-0.55968914149676063</v>
      </c>
      <c r="AM145" s="103">
        <f ca="1">IF(AND(Energy!$F$11=$A$3,Main!$B$43=$A145),Summary!AJ162,AM145)</f>
        <v>0</v>
      </c>
    </row>
    <row r="146" spans="1:39">
      <c r="A146">
        <f t="shared" ref="A146:A163" si="10">A145</f>
        <v>8</v>
      </c>
      <c r="D146" s="1">
        <f ca="1">IF(AND(Energy!$F$11=$A$3,Main!$B$43=A146),Main!C23,D146)</f>
        <v>4.8157894736842106</v>
      </c>
      <c r="E146" s="103">
        <f ca="1">IF(AND(Energy!$F$11=$A$3,Main!$B$43=A146),Main!B23,E146)</f>
        <v>0.35555555555555546</v>
      </c>
      <c r="F146" s="103">
        <f ca="1">IF(Main!$D$6=1,U146,IF(Main!$D$6=2,N146,IF(Main!$D$6=3,K146,IF(Main!$D$6=4,V146,J146))))</f>
        <v>645.27041728931044</v>
      </c>
      <c r="G146" s="103">
        <f ca="1">IF(AND(Energy!$F$11=$A$3,Main!$B$43=A146),Weight!H23,G146)</f>
        <v>15</v>
      </c>
      <c r="H146" s="103">
        <f ca="1">IF(AND(Energy!$F$11=$A$3,Main!$B$43=A146),Weight!U23,H146)</f>
        <v>20.704959988134092</v>
      </c>
      <c r="I146" s="103">
        <f ca="1">IF(AND(Energy!$F$11=$A$3,Main!$B$43=A146),Weight!V23,I146)</f>
        <v>58.031144760823238</v>
      </c>
      <c r="J146" s="103">
        <f ca="1">IF(AND(Energy!$F$11=$A$3,Main!$B$43=A146),Weight!I23,J146)</f>
        <v>32.388536497689145</v>
      </c>
      <c r="K146" s="103">
        <f ca="1">IF(AND(Energy!$F$11=$A$3,Main!$B$43=A146),Weight!W23,K146)</f>
        <v>73.031145040966777</v>
      </c>
      <c r="L146" s="103">
        <f ca="1">IF(AND(Energy!$F$11=$A$3,Main!$B$43=A146),'Aerodynamics-Cruise'!BI23,L146)</f>
        <v>73.03114447155815</v>
      </c>
      <c r="M146" s="103">
        <f ca="1">IF(AND(Energy!$F$11=$A$3,Main!$B$43=A146),'Aerodynamics-Cruise'!BJ23,M146)</f>
        <v>3.5137417602601331</v>
      </c>
      <c r="N146" s="103">
        <f ca="1">IF(AND(Energy!$F$11=$A$3,Main!$B$43=A146),'Aerodynamics-Cruise'!BK23,N146)</f>
        <v>20.784437062942107</v>
      </c>
      <c r="O146" s="103">
        <f t="shared" ca="1" si="9"/>
        <v>177.62018562632306</v>
      </c>
      <c r="P146" s="103">
        <f ca="1">IF(AND(Energy!$F$11=$A$3,Main!$B$43=A146),'Aerodynamics-Cruise'!H23,P146)</f>
        <v>8.8713457410676213</v>
      </c>
      <c r="Q146" s="103">
        <f ca="1">IF(AND(Energy!$F$11=$A$3,Main!$B$43=A146),'Aerodynamics-Cruise'!I23,Q146)</f>
        <v>7.4220305619678975</v>
      </c>
      <c r="R146" s="103">
        <f ca="1">IF(AND(Energy!$F$11=$A$3,Main!$B$43=$A146),Summary!R23,R146)</f>
        <v>5.6596962672621896</v>
      </c>
      <c r="S146" s="103">
        <f ca="1">IF(AND(Energy!$F$11=$A$3,Main!$B$43=A146),'Aerodynamics-Cruise'!W23,S146)</f>
        <v>1</v>
      </c>
      <c r="T146" s="103">
        <f ca="1">IF(AND(Energy!$F$11=$A$3,Main!$B$43=A146),'Aerodynamics-Cruise'!BL23,T146)</f>
        <v>31.171618000095179</v>
      </c>
      <c r="U146" s="103">
        <f ca="1">IF(AND(Energy!$F$11=$A$3,Main!$B$43=A146),'Propulsion-Cruise'!M23,U146)</f>
        <v>67.182912739223184</v>
      </c>
      <c r="V146" s="103">
        <f ca="1">IF(AND(Energy!$F$11=$A$3,Main!$B$43=A146),Endurance!AP23,V146)</f>
        <v>645.27041728931044</v>
      </c>
      <c r="W146" s="103">
        <f ca="1">IF(AND(Energy!$F$11=$A$3,Main!$B$43=$A146),Summary!W23,W146)</f>
        <v>1.7122807017543855</v>
      </c>
      <c r="X146" s="13">
        <f ca="1">IF(AND(Energy!$F$11=$A$3,Main!$B$43=A146),Energy!D23,X146)</f>
        <v>407.12788499679112</v>
      </c>
      <c r="Y146" s="102">
        <f ca="1">IF(AND(Energy!$F$11=$A$3,Main!$B$43=A146),'Aerodynamics-Cruise'!V23,Y146)</f>
        <v>200051.70239330694</v>
      </c>
      <c r="Z146" s="102">
        <f ca="1">IF(AND(Energy!$F$11=$A$3,Main!$B$43=$A146),Summary!Z23,Z146)</f>
        <v>148343.41398621959</v>
      </c>
      <c r="AA146" s="102">
        <f ca="1">IF(AND(Energy!$F$11=$A$3,Main!$B$43=$A146),Summary!AA23,AA146)</f>
        <v>148343.41398621959</v>
      </c>
      <c r="AB146" s="103">
        <f ca="1">IF(AND(Energy!$F$11=$A$3,Main!$B$43=$A146),Summary!AB23,AB146)</f>
        <v>5.6596962672621896</v>
      </c>
      <c r="AC146" s="103">
        <f ca="1">IF(AND(Energy!$F$11=$A$3,Main!$B$43=$A146),Summary!AC23,AC146)</f>
        <v>1.8671575887961929</v>
      </c>
      <c r="AD146" s="103">
        <f ca="1">IF(AND(Energy!$F$11=$A$3,Main!$B$43=$A146),Summary!AD23,AD146)</f>
        <v>0.46748460903915529</v>
      </c>
      <c r="AE146" s="103">
        <f ca="1">IF(AND(Energy!$F$11=$A$3,Main!$B$43=$A146),Summary!AE23,AE146)</f>
        <v>1.7122807017543855</v>
      </c>
      <c r="AF146" s="103">
        <f ca="1">IF(AND(Energy!$F$11=$A$3,Main!$B$43=$A146),Summary!AF23,AF146)</f>
        <v>13.544407894736846</v>
      </c>
      <c r="AG146" s="103">
        <f ca="1">IF(AND(Energy!$F$11=$A$3,Main!$B$43=$A146),Summary!AG23,AG146)</f>
        <v>12.918572262460506</v>
      </c>
      <c r="AH146" s="103">
        <f ca="1">IF(AND(Energy!$F$11=$A$3,Main!$B$43=$A146),Summary!AH23,AH146)</f>
        <v>47</v>
      </c>
      <c r="AI146" s="103">
        <f ca="1">IF(AND(Energy!$F$11=$A$3,Main!$B$43=$A146),Summary!AI23,AI146)</f>
        <v>2.8002035367023161</v>
      </c>
      <c r="AJ146" s="103">
        <f ca="1">IF(AND(Energy!$F$11=$A$3,Main!$B$43=$A146),Summary!AJ23,AJ146)</f>
        <v>0.22418816959655921</v>
      </c>
      <c r="AK146" s="103">
        <f ca="1">IF(AND(Energy!$F$11=$A$3,Main!$B$43=$A146),Summary!AK23,AK146)</f>
        <v>0.01</v>
      </c>
      <c r="AL146" s="103">
        <f ca="1">IF(AND(Energy!$F$11=$A$3,Main!$B$43=$A146),Summary!AL23,AL146)</f>
        <v>-0.5575669962297003</v>
      </c>
      <c r="AM146" s="103">
        <f ca="1">IF(AND(Energy!$F$11=$A$3,Main!$B$43=$A146),Summary!AJ163,AM146)</f>
        <v>0</v>
      </c>
    </row>
    <row r="147" spans="1:39">
      <c r="A147">
        <f t="shared" si="10"/>
        <v>8</v>
      </c>
      <c r="D147" s="1">
        <f ca="1">IF(AND(Energy!$F$11=$A$3,Main!$B$43=A147),Main!C24,D147)</f>
        <v>4.9736842105263159</v>
      </c>
      <c r="E147" s="103">
        <f ca="1">IF(AND(Energy!$F$11=$A$3,Main!$B$43=A147),Main!B24,E147)</f>
        <v>0.35555555555555546</v>
      </c>
      <c r="F147" s="103">
        <f ca="1">IF(Main!$D$6=1,U147,IF(Main!$D$6=2,N147,IF(Main!$D$6=3,K147,IF(Main!$D$6=4,V147,J147))))</f>
        <v>637.18386289082014</v>
      </c>
      <c r="G147" s="103">
        <f ca="1">IF(AND(Energy!$F$11=$A$3,Main!$B$43=A147),Weight!H24,G147)</f>
        <v>15</v>
      </c>
      <c r="H147" s="103">
        <f ca="1">IF(AND(Energy!$F$11=$A$3,Main!$B$43=A147),Weight!U24,H147)</f>
        <v>21.364750082632014</v>
      </c>
      <c r="I147" s="103">
        <f ca="1">IF(AND(Energy!$F$11=$A$3,Main!$B$43=A147),Weight!V24,I147)</f>
        <v>58.313942845268386</v>
      </c>
      <c r="J147" s="103">
        <f ca="1">IF(AND(Energy!$F$11=$A$3,Main!$B$43=A147),Weight!I24,J147)</f>
        <v>32.011544487636371</v>
      </c>
      <c r="K147" s="103">
        <f ca="1">IF(AND(Energy!$F$11=$A$3,Main!$B$43=A147),Weight!W24,K147)</f>
        <v>73.31394314614937</v>
      </c>
      <c r="L147" s="103">
        <f ca="1">IF(AND(Energy!$F$11=$A$3,Main!$B$43=A147),'Aerodynamics-Cruise'!BI24,L147)</f>
        <v>73.313942534757743</v>
      </c>
      <c r="M147" s="103">
        <f ca="1">IF(AND(Energy!$F$11=$A$3,Main!$B$43=A147),'Aerodynamics-Cruise'!BJ24,M147)</f>
        <v>3.4896495278973978</v>
      </c>
      <c r="N147" s="103">
        <f ca="1">IF(AND(Energy!$F$11=$A$3,Main!$B$43=A147),'Aerodynamics-Cruise'!BK24,N147)</f>
        <v>21.008970083861474</v>
      </c>
      <c r="O147" s="103">
        <f t="shared" ca="1" si="9"/>
        <v>179.88628382892318</v>
      </c>
      <c r="P147" s="103">
        <f ca="1">IF(AND(Energy!$F$11=$A$3,Main!$B$43=A147),'Aerodynamics-Cruise'!H24,P147)</f>
        <v>8.746202811227004</v>
      </c>
      <c r="Q147" s="103">
        <f ca="1">IF(AND(Energy!$F$11=$A$3,Main!$B$43=A147),'Aerodynamics-Cruise'!I24,Q147)</f>
        <v>7.3216187068279455</v>
      </c>
      <c r="R147" s="103">
        <f ca="1">IF(AND(Energy!$F$11=$A$3,Main!$B$43=$A147),Summary!R24,R147)</f>
        <v>5.5239772625315577</v>
      </c>
      <c r="S147" s="103">
        <f ca="1">IF(AND(Energy!$F$11=$A$3,Main!$B$43=A147),'Aerodynamics-Cruise'!W24,S147)</f>
        <v>1</v>
      </c>
      <c r="T147" s="103">
        <f ca="1">IF(AND(Energy!$F$11=$A$3,Main!$B$43=A147),'Aerodynamics-Cruise'!BL24,T147)</f>
        <v>30.521182511093208</v>
      </c>
      <c r="U147" s="103">
        <f ca="1">IF(AND(Energy!$F$11=$A$3,Main!$B$43=A147),'Propulsion-Cruise'!M24,U147)</f>
        <v>66.098990859746621</v>
      </c>
      <c r="V147" s="103">
        <f ca="1">IF(AND(Energy!$F$11=$A$3,Main!$B$43=A147),Endurance!AP24,V147)</f>
        <v>637.18386289082014</v>
      </c>
      <c r="W147" s="103">
        <f ca="1">IF(AND(Energy!$F$11=$A$3,Main!$B$43=$A147),Summary!W24,W147)</f>
        <v>1.7684210526315784</v>
      </c>
      <c r="X147" s="13">
        <f ca="1">IF(AND(Energy!$F$11=$A$3,Main!$B$43=A147),Energy!D24,X147)</f>
        <v>406.91874563746177</v>
      </c>
      <c r="Y147" s="102">
        <f ca="1">IF(AND(Energy!$F$11=$A$3,Main!$B$43=A147),'Aerodynamics-Cruise'!V24,Y147)</f>
        <v>197229.68903842117</v>
      </c>
      <c r="Z147" s="102">
        <f ca="1">IF(AND(Energy!$F$11=$A$3,Main!$B$43=$A147),Summary!Z24,Z147)</f>
        <v>146333.14842176464</v>
      </c>
      <c r="AA147" s="102">
        <f ca="1">IF(AND(Energy!$F$11=$A$3,Main!$B$43=$A147),Summary!AA24,AA147)</f>
        <v>146333.14842176464</v>
      </c>
      <c r="AB147" s="103">
        <f ca="1">IF(AND(Energy!$F$11=$A$3,Main!$B$43=$A147),Summary!AB24,AB147)</f>
        <v>5.5239772625315577</v>
      </c>
      <c r="AC147" s="103">
        <f ca="1">IF(AND(Energy!$F$11=$A$3,Main!$B$43=$A147),Summary!AC24,AC147)</f>
        <v>1.8431732022476293</v>
      </c>
      <c r="AD147" s="103">
        <f ca="1">IF(AND(Energy!$F$11=$A$3,Main!$B$43=$A147),Summary!AD24,AD147)</f>
        <v>0.4634627795815795</v>
      </c>
      <c r="AE147" s="103">
        <f ca="1">IF(AND(Energy!$F$11=$A$3,Main!$B$43=$A147),Summary!AE24,AE147)</f>
        <v>1.7684210526315784</v>
      </c>
      <c r="AF147" s="103">
        <f ca="1">IF(AND(Energy!$F$11=$A$3,Main!$B$43=$A147),Summary!AF24,AF147)</f>
        <v>13.988486842105269</v>
      </c>
      <c r="AG147" s="103">
        <f ca="1">IF(AND(Energy!$F$11=$A$3,Main!$B$43=$A147),Summary!AG24,AG147)</f>
        <v>12.803153878915555</v>
      </c>
      <c r="AH147" s="103">
        <f ca="1">IF(AND(Energy!$F$11=$A$3,Main!$B$43=$A147),Summary!AH24,AH147)</f>
        <v>47</v>
      </c>
      <c r="AI147" s="103">
        <f ca="1">IF(AND(Energy!$F$11=$A$3,Main!$B$43=$A147),Summary!AI24,AI147)</f>
        <v>2.7969257478030198</v>
      </c>
      <c r="AJ147" s="103">
        <f ca="1">IF(AND(Energy!$F$11=$A$3,Main!$B$43=$A147),Summary!AJ24,AJ147)</f>
        <v>0.2249675898560356</v>
      </c>
      <c r="AK147" s="103">
        <f ca="1">IF(AND(Energy!$F$11=$A$3,Main!$B$43=$A147),Summary!AK24,AK147)</f>
        <v>0.01</v>
      </c>
      <c r="AL147" s="103">
        <f ca="1">IF(AND(Energy!$F$11=$A$3,Main!$B$43=$A147),Summary!AL24,AL147)</f>
        <v>-0.5556352152595565</v>
      </c>
      <c r="AM147" s="103">
        <f ca="1">IF(AND(Energy!$F$11=$A$3,Main!$B$43=$A147),Summary!AJ164,AM147)</f>
        <v>0</v>
      </c>
    </row>
    <row r="148" spans="1:39">
      <c r="A148">
        <f t="shared" si="10"/>
        <v>8</v>
      </c>
      <c r="D148" s="1">
        <f ca="1">IF(AND(Energy!$F$11=$A$3,Main!$B$43=A148),Main!C25,D148)</f>
        <v>5.1315789473684212</v>
      </c>
      <c r="E148" s="103">
        <f ca="1">IF(AND(Energy!$F$11=$A$3,Main!$B$43=A148),Main!B25,E148)</f>
        <v>0.35555555555555546</v>
      </c>
      <c r="F148" s="103">
        <f ca="1">IF(Main!$D$6=1,U148,IF(Main!$D$6=2,N148,IF(Main!$D$6=3,K148,IF(Main!$D$6=4,V148,J148))))</f>
        <v>630.95568151384134</v>
      </c>
      <c r="G148" s="103">
        <f ca="1">IF(AND(Energy!$F$11=$A$3,Main!$B$43=A148),Weight!H25,G148)</f>
        <v>15</v>
      </c>
      <c r="H148" s="103">
        <f ca="1">IF(AND(Energy!$F$11=$A$3,Main!$B$43=A148),Weight!U25,H148)</f>
        <v>22.0504396845256</v>
      </c>
      <c r="I148" s="103">
        <f ca="1">IF(AND(Energy!$F$11=$A$3,Main!$B$43=A148),Weight!V25,I148)</f>
        <v>58.706734972531407</v>
      </c>
      <c r="J148" s="103">
        <f ca="1">IF(AND(Energy!$F$11=$A$3,Main!$B$43=A148),Weight!I25,J148)</f>
        <v>31.718647013005803</v>
      </c>
      <c r="K148" s="103">
        <f ca="1">IF(AND(Energy!$F$11=$A$3,Main!$B$43=A148),Weight!W25,K148)</f>
        <v>73.706735296523931</v>
      </c>
      <c r="L148" s="103">
        <f ca="1">IF(AND(Energy!$F$11=$A$3,Main!$B$43=A148),'Aerodynamics-Cruise'!BI25,L148)</f>
        <v>73.706734638406076</v>
      </c>
      <c r="M148" s="103">
        <f ca="1">IF(AND(Energy!$F$11=$A$3,Main!$B$43=A148),'Aerodynamics-Cruise'!BJ25,M148)</f>
        <v>3.4725095713224263</v>
      </c>
      <c r="N148" s="103">
        <f ca="1">IF(AND(Energy!$F$11=$A$3,Main!$B$43=A148),'Aerodynamics-Cruise'!BK25,N148)</f>
        <v>21.225783003482562</v>
      </c>
      <c r="O148" s="103">
        <f t="shared" ca="1" si="9"/>
        <v>182.228921874767</v>
      </c>
      <c r="P148" s="103">
        <f ca="1">IF(AND(Energy!$F$11=$A$3,Main!$B$43=A148),'Aerodynamics-Cruise'!H25,P148)</f>
        <v>8.6335607400971757</v>
      </c>
      <c r="Q148" s="103">
        <f ca="1">IF(AND(Energy!$F$11=$A$3,Main!$B$43=A148),'Aerodynamics-Cruise'!I25,Q148)</f>
        <v>7.2311864143334361</v>
      </c>
      <c r="R148" s="103">
        <f ca="1">IF(AND(Energy!$F$11=$A$3,Main!$B$43=$A148),Summary!R25,R148)</f>
        <v>5.4131682505361205</v>
      </c>
      <c r="S148" s="103">
        <f ca="1">IF(AND(Energy!$F$11=$A$3,Main!$B$43=A148),'Aerodynamics-Cruise'!W25,S148)</f>
        <v>1</v>
      </c>
      <c r="T148" s="103">
        <f ca="1">IF(AND(Energy!$F$11=$A$3,Main!$B$43=A148),'Aerodynamics-Cruise'!BL25,T148)</f>
        <v>29.980122304580973</v>
      </c>
      <c r="U148" s="103">
        <f ca="1">IF(AND(Energy!$F$11=$A$3,Main!$B$43=A148),'Propulsion-Cruise'!M25,U148)</f>
        <v>65.219913753226379</v>
      </c>
      <c r="V148" s="103">
        <f ca="1">IF(AND(Energy!$F$11=$A$3,Main!$B$43=A148),Endurance!AP25,V148)</f>
        <v>630.95568151384134</v>
      </c>
      <c r="W148" s="103">
        <f ca="1">IF(AND(Energy!$F$11=$A$3,Main!$B$43=$A148),Summary!W25,W148)</f>
        <v>1.8245614035087716</v>
      </c>
      <c r="X148" s="13">
        <f ca="1">IF(AND(Energy!$F$11=$A$3,Main!$B$43=A148),Energy!D25,X148)</f>
        <v>406.7562584030934</v>
      </c>
      <c r="Y148" s="102">
        <f ca="1">IF(AND(Energy!$F$11=$A$3,Main!$B$43=A148),'Aerodynamics-Cruise'!V25,Y148)</f>
        <v>194689.57407183683</v>
      </c>
      <c r="Z148" s="102">
        <f ca="1">IF(AND(Energy!$F$11=$A$3,Main!$B$43=$A148),Summary!Z25,Z148)</f>
        <v>144522.71544187862</v>
      </c>
      <c r="AA148" s="102">
        <f ca="1">IF(AND(Energy!$F$11=$A$3,Main!$B$43=$A148),Summary!AA25,AA148)</f>
        <v>144522.71544187862</v>
      </c>
      <c r="AB148" s="103">
        <f ca="1">IF(AND(Energy!$F$11=$A$3,Main!$B$43=$A148),Summary!AB25,AB148)</f>
        <v>5.4131682505361205</v>
      </c>
      <c r="AC148" s="103">
        <f ca="1">IF(AND(Energy!$F$11=$A$3,Main!$B$43=$A148),Summary!AC25,AC148)</f>
        <v>1.8175663124968775</v>
      </c>
      <c r="AD148" s="103">
        <f ca="1">IF(AND(Energy!$F$11=$A$3,Main!$B$43=$A148),Summary!AD25,AD148)</f>
        <v>0.46003431735686456</v>
      </c>
      <c r="AE148" s="103">
        <f ca="1">IF(AND(Energy!$F$11=$A$3,Main!$B$43=$A148),Summary!AE25,AE148)</f>
        <v>1.8245614035087716</v>
      </c>
      <c r="AF148" s="103">
        <f ca="1">IF(AND(Energy!$F$11=$A$3,Main!$B$43=$A148),Summary!AF25,AF148)</f>
        <v>14.432565789473687</v>
      </c>
      <c r="AG148" s="103">
        <f ca="1">IF(AND(Energy!$F$11=$A$3,Main!$B$43=$A148),Summary!AG25,AG148)</f>
        <v>12.710520022857862</v>
      </c>
      <c r="AH148" s="103">
        <f ca="1">IF(AND(Energy!$F$11=$A$3,Main!$B$43=$A148),Summary!AH25,AH148)</f>
        <v>47</v>
      </c>
      <c r="AI148" s="103">
        <f ca="1">IF(AND(Energy!$F$11=$A$3,Main!$B$43=$A148),Summary!AI25,AI148)</f>
        <v>2.7939385360396978</v>
      </c>
      <c r="AJ148" s="103">
        <f ca="1">IF(AND(Energy!$F$11=$A$3,Main!$B$43=$A148),Summary!AJ25,AJ148)</f>
        <v>0.22568343036587002</v>
      </c>
      <c r="AK148" s="103">
        <f ca="1">IF(AND(Energy!$F$11=$A$3,Main!$B$43=$A148),Summary!AK25,AK148)</f>
        <v>0.01</v>
      </c>
      <c r="AL148" s="103">
        <f ca="1">IF(AND(Energy!$F$11=$A$3,Main!$B$43=$A148),Summary!AL25,AL148)</f>
        <v>-0.55387276253447948</v>
      </c>
      <c r="AM148" s="103">
        <f ca="1">IF(AND(Energy!$F$11=$A$3,Main!$B$43=$A148),Summary!AJ165,AM148)</f>
        <v>0</v>
      </c>
    </row>
    <row r="149" spans="1:39">
      <c r="A149">
        <f t="shared" si="10"/>
        <v>8</v>
      </c>
      <c r="D149" s="1">
        <f ca="1">IF(AND(Energy!$F$11=$A$3,Main!$B$43=A149),Main!C26,D149)</f>
        <v>5.2894736842105265</v>
      </c>
      <c r="E149" s="103">
        <f ca="1">IF(AND(Energy!$F$11=$A$3,Main!$B$43=A149),Main!B26,E149)</f>
        <v>0.35555555555555546</v>
      </c>
      <c r="F149" s="103">
        <f ca="1">IF(Main!$D$6=1,U149,IF(Main!$D$6=2,N149,IF(Main!$D$6=3,K149,IF(Main!$D$6=4,V149,J149))))</f>
        <v>626.32278629066514</v>
      </c>
      <c r="G149" s="103">
        <f ca="1">IF(AND(Energy!$F$11=$A$3,Main!$B$43=A149),Weight!H26,G149)</f>
        <v>15</v>
      </c>
      <c r="H149" s="103">
        <f ca="1">IF(AND(Energy!$F$11=$A$3,Main!$B$43=A149),Weight!U26,H149)</f>
        <v>22.76123682270142</v>
      </c>
      <c r="I149" s="103">
        <f ca="1">IF(AND(Energy!$F$11=$A$3,Main!$B$43=A149),Weight!V26,I149)</f>
        <v>59.196777511855771</v>
      </c>
      <c r="J149" s="103">
        <f ca="1">IF(AND(Energy!$F$11=$A$3,Main!$B$43=A149),Weight!I26,J149)</f>
        <v>31.497892414154347</v>
      </c>
      <c r="K149" s="103">
        <f ca="1">IF(AND(Energy!$F$11=$A$3,Main!$B$43=A149),Weight!W26,K149)</f>
        <v>74.196777860569256</v>
      </c>
      <c r="L149" s="103">
        <f ca="1">IF(AND(Energy!$F$11=$A$3,Main!$B$43=A149),'Aerodynamics-Cruise'!BI26,L149)</f>
        <v>74.196777152520625</v>
      </c>
      <c r="M149" s="103">
        <f ca="1">IF(AND(Energy!$F$11=$A$3,Main!$B$43=A149),'Aerodynamics-Cruise'!BJ26,M149)</f>
        <v>3.4613947858822276</v>
      </c>
      <c r="N149" s="103">
        <f ca="1">IF(AND(Energy!$F$11=$A$3,Main!$B$43=A149),'Aerodynamics-Cruise'!BK26,N149)</f>
        <v>21.435514219626821</v>
      </c>
      <c r="O149" s="103">
        <f t="shared" ca="1" si="9"/>
        <v>184.64027021629525</v>
      </c>
      <c r="P149" s="103">
        <f ca="1">IF(AND(Energy!$F$11=$A$3,Main!$B$43=A149),'Aerodynamics-Cruise'!H26,P149)</f>
        <v>8.5318847176180093</v>
      </c>
      <c r="Q149" s="103">
        <f ca="1">IF(AND(Energy!$F$11=$A$3,Main!$B$43=A149),'Aerodynamics-Cruise'!I26,Q149)</f>
        <v>7.1495161062886972</v>
      </c>
      <c r="R149" s="103">
        <f ca="1">IF(AND(Energy!$F$11=$A$3,Main!$B$43=$A149),Summary!R26,R149)</f>
        <v>5.3234448150513574</v>
      </c>
      <c r="S149" s="103">
        <f ca="1">IF(AND(Energy!$F$11=$A$3,Main!$B$43=A149),'Aerodynamics-Cruise'!W26,S149)</f>
        <v>1</v>
      </c>
      <c r="T149" s="103">
        <f ca="1">IF(AND(Energy!$F$11=$A$3,Main!$B$43=A149),'Aerodynamics-Cruise'!BL26,T149)</f>
        <v>29.53222127531124</v>
      </c>
      <c r="U149" s="103">
        <f ca="1">IF(AND(Energy!$F$11=$A$3,Main!$B$43=A149),'Propulsion-Cruise'!M26,U149)</f>
        <v>64.516020590607354</v>
      </c>
      <c r="V149" s="103">
        <f ca="1">IF(AND(Energy!$F$11=$A$3,Main!$B$43=A149),Endurance!AP26,V149)</f>
        <v>626.32278629066514</v>
      </c>
      <c r="W149" s="103">
        <f ca="1">IF(AND(Energy!$F$11=$A$3,Main!$B$43=$A149),Summary!W26,W149)</f>
        <v>1.8807017543859645</v>
      </c>
      <c r="X149" s="13">
        <f ca="1">IF(AND(Energy!$F$11=$A$3,Main!$B$43=A149),Energy!D26,X149)</f>
        <v>406.63379301344224</v>
      </c>
      <c r="Y149" s="102">
        <f ca="1">IF(AND(Energy!$F$11=$A$3,Main!$B$43=A149),'Aerodynamics-Cruise'!V26,Y149)</f>
        <v>192396.74703260013</v>
      </c>
      <c r="Z149" s="102">
        <f ca="1">IF(AND(Energy!$F$11=$A$3,Main!$B$43=$A149),Summary!Z26,Z149)</f>
        <v>142887.72802469565</v>
      </c>
      <c r="AA149" s="102">
        <f ca="1">IF(AND(Energy!$F$11=$A$3,Main!$B$43=$A149),Summary!AA26,AA149)</f>
        <v>142887.72802469565</v>
      </c>
      <c r="AB149" s="103">
        <f ca="1">IF(AND(Energy!$F$11=$A$3,Main!$B$43=$A149),Summary!AB26,AB149)</f>
        <v>5.3234448150513574</v>
      </c>
      <c r="AC149" s="103">
        <f ca="1">IF(AND(Energy!$F$11=$A$3,Main!$B$43=$A149),Summary!AC26,AC149)</f>
        <v>1.7907366649423488</v>
      </c>
      <c r="AD149" s="103">
        <f ca="1">IF(AND(Energy!$F$11=$A$3,Main!$B$43=$A149),Summary!AD26,AD149)</f>
        <v>0.45712486141875031</v>
      </c>
      <c r="AE149" s="103">
        <f ca="1">IF(AND(Energy!$F$11=$A$3,Main!$B$43=$A149),Summary!AE26,AE149)</f>
        <v>1.8807017543859645</v>
      </c>
      <c r="AF149" s="103">
        <f ca="1">IF(AND(Energy!$F$11=$A$3,Main!$B$43=$A149),Summary!AF26,AF149)</f>
        <v>14.87664473684211</v>
      </c>
      <c r="AG149" s="103">
        <f ca="1">IF(AND(Energy!$F$11=$A$3,Main!$B$43=$A149),Summary!AG26,AG149)</f>
        <v>12.637581285994534</v>
      </c>
      <c r="AH149" s="103">
        <f ca="1">IF(AND(Energy!$F$11=$A$3,Main!$B$43=$A149),Summary!AH26,AH149)</f>
        <v>47</v>
      </c>
      <c r="AI149" s="103">
        <f ca="1">IF(AND(Energy!$F$11=$A$3,Main!$B$43=$A149),Summary!AI26,AI149)</f>
        <v>2.7912113623025085</v>
      </c>
      <c r="AJ149" s="103">
        <f ca="1">IF(AND(Energy!$F$11=$A$3,Main!$B$43=$A149),Summary!AJ26,AJ149)</f>
        <v>0.22634168210676495</v>
      </c>
      <c r="AK149" s="103">
        <f ca="1">IF(AND(Energy!$F$11=$A$3,Main!$B$43=$A149),Summary!AK26,AK149)</f>
        <v>0.01</v>
      </c>
      <c r="AL149" s="103">
        <f ca="1">IF(AND(Energy!$F$11=$A$3,Main!$B$43=$A149),Summary!AL26,AL149)</f>
        <v>-0.55226192914404126</v>
      </c>
      <c r="AM149" s="103">
        <f ca="1">IF(AND(Energy!$F$11=$A$3,Main!$B$43=$A149),Summary!AJ166,AM149)</f>
        <v>0</v>
      </c>
    </row>
    <row r="150" spans="1:39">
      <c r="A150">
        <f t="shared" si="10"/>
        <v>8</v>
      </c>
      <c r="D150" s="1">
        <f ca="1">IF(AND(Energy!$F$11=$A$3,Main!$B$43=A150),Main!C27,D150)</f>
        <v>5.4473684210526319</v>
      </c>
      <c r="E150" s="103">
        <f ca="1">IF(AND(Energy!$F$11=$A$3,Main!$B$43=A150),Main!B27,E150)</f>
        <v>0.35555555555555546</v>
      </c>
      <c r="F150" s="103">
        <f ca="1">IF(Main!$D$6=1,U150,IF(Main!$D$6=2,N150,IF(Main!$D$6=3,K150,IF(Main!$D$6=4,V150,J150))))</f>
        <v>623.07604816928631</v>
      </c>
      <c r="G150" s="103">
        <f ca="1">IF(AND(Energy!$F$11=$A$3,Main!$B$43=A150),Weight!H27,G150)</f>
        <v>15</v>
      </c>
      <c r="H150" s="103">
        <f ca="1">IF(AND(Energy!$F$11=$A$3,Main!$B$43=A150),Weight!U27,H150)</f>
        <v>23.496568647567614</v>
      </c>
      <c r="I150" s="103">
        <f ca="1">IF(AND(Energy!$F$11=$A$3,Main!$B$43=A150),Weight!V27,I150)</f>
        <v>59.773997332530413</v>
      </c>
      <c r="J150" s="103">
        <f ca="1">IF(AND(Energy!$F$11=$A$3,Main!$B$43=A150),Weight!I27,J150)</f>
        <v>31.339780409962799</v>
      </c>
      <c r="K150" s="103">
        <f ca="1">IF(AND(Energy!$F$11=$A$3,Main!$B$43=A150),Weight!W27,K150)</f>
        <v>74.773997707103533</v>
      </c>
      <c r="L150" s="103">
        <f ca="1">IF(AND(Energy!$F$11=$A$3,Main!$B$43=A150),'Aerodynamics-Cruise'!BI27,L150)</f>
        <v>74.773996946868223</v>
      </c>
      <c r="M150" s="103">
        <f ca="1">IF(AND(Energy!$F$11=$A$3,Main!$B$43=A150),'Aerodynamics-Cruise'!BJ27,M150)</f>
        <v>3.4555566643065028</v>
      </c>
      <c r="N150" s="103">
        <f ca="1">IF(AND(Energy!$F$11=$A$3,Main!$B$43=A150),'Aerodynamics-Cruise'!BK27,N150)</f>
        <v>21.638770308480719</v>
      </c>
      <c r="O150" s="103">
        <f t="shared" ca="1" si="9"/>
        <v>187.11468590991734</v>
      </c>
      <c r="P150" s="103">
        <f ca="1">IF(AND(Energy!$F$11=$A$3,Main!$B$43=A150),'Aerodynamics-Cruise'!H27,P150)</f>
        <v>8.4399078006025512</v>
      </c>
      <c r="Q150" s="103">
        <f ca="1">IF(AND(Energy!$F$11=$A$3,Main!$B$43=A150),'Aerodynamics-Cruise'!I27,Q150)</f>
        <v>7.07560192961685</v>
      </c>
      <c r="R150" s="103">
        <f ca="1">IF(AND(Energy!$F$11=$A$3,Main!$B$43=$A150),Summary!R27,R150)</f>
        <v>5.2518194060077121</v>
      </c>
      <c r="S150" s="103">
        <f ca="1">IF(AND(Energy!$F$11=$A$3,Main!$B$43=A150),'Aerodynamics-Cruise'!W27,S150)</f>
        <v>1</v>
      </c>
      <c r="T150" s="103">
        <f ca="1">IF(AND(Energy!$F$11=$A$3,Main!$B$43=A150),'Aerodynamics-Cruise'!BL27,T150)</f>
        <v>29.164579646504585</v>
      </c>
      <c r="U150" s="103">
        <f ca="1">IF(AND(Energy!$F$11=$A$3,Main!$B$43=A150),'Propulsion-Cruise'!M27,U150)</f>
        <v>63.963710949957644</v>
      </c>
      <c r="V150" s="103">
        <f ca="1">IF(AND(Energy!$F$11=$A$3,Main!$B$43=A150),Endurance!AP27,V150)</f>
        <v>623.07604816928631</v>
      </c>
      <c r="W150" s="103">
        <f ca="1">IF(AND(Energy!$F$11=$A$3,Main!$B$43=$A150),Summary!W27,W150)</f>
        <v>1.9368421052631575</v>
      </c>
      <c r="X150" s="13">
        <f ca="1">IF(AND(Energy!$F$11=$A$3,Main!$B$43=A150),Energy!D27,X150)</f>
        <v>406.54607911047475</v>
      </c>
      <c r="Y150" s="102">
        <f ca="1">IF(AND(Energy!$F$11=$A$3,Main!$B$43=A150),'Aerodynamics-Cruise'!V27,Y150)</f>
        <v>190322.63794398107</v>
      </c>
      <c r="Z150" s="102">
        <f ca="1">IF(AND(Energy!$F$11=$A$3,Main!$B$43=$A150),Summary!Z27,Z150)</f>
        <v>141408.04042366412</v>
      </c>
      <c r="AA150" s="102">
        <f ca="1">IF(AND(Energy!$F$11=$A$3,Main!$B$43=$A150),Summary!AA27,AA150)</f>
        <v>141408.04042366412</v>
      </c>
      <c r="AB150" s="103">
        <f ca="1">IF(AND(Energy!$F$11=$A$3,Main!$B$43=$A150),Summary!AB27,AB150)</f>
        <v>5.2518194060077121</v>
      </c>
      <c r="AC150" s="103">
        <f ca="1">IF(AND(Energy!$F$11=$A$3,Main!$B$43=$A150),Summary!AC27,AC150)</f>
        <v>1.7630018721347824</v>
      </c>
      <c r="AD150" s="103">
        <f ca="1">IF(AND(Energy!$F$11=$A$3,Main!$B$43=$A150),Summary!AD27,AD150)</f>
        <v>0.45467334588087244</v>
      </c>
      <c r="AE150" s="103">
        <f ca="1">IF(AND(Energy!$F$11=$A$3,Main!$B$43=$A150),Summary!AE27,AE150)</f>
        <v>1.9368421052631575</v>
      </c>
      <c r="AF150" s="103">
        <f ca="1">IF(AND(Energy!$F$11=$A$3,Main!$B$43=$A150),Summary!AF27,AF150)</f>
        <v>15.320723684210531</v>
      </c>
      <c r="AG150" s="103">
        <f ca="1">IF(AND(Energy!$F$11=$A$3,Main!$B$43=$A150),Summary!AG27,AG150)</f>
        <v>12.581841557357617</v>
      </c>
      <c r="AH150" s="103">
        <f ca="1">IF(AND(Energy!$F$11=$A$3,Main!$B$43=$A150),Summary!AH27,AH150)</f>
        <v>47</v>
      </c>
      <c r="AI150" s="103">
        <f ca="1">IF(AND(Energy!$F$11=$A$3,Main!$B$43=$A150),Summary!AI27,AI150)</f>
        <v>2.7887185504478778</v>
      </c>
      <c r="AJ150" s="103">
        <f ca="1">IF(AND(Energy!$F$11=$A$3,Main!$B$43=$A150),Summary!AJ27,AJ150)</f>
        <v>0.22694750367719774</v>
      </c>
      <c r="AK150" s="103">
        <f ca="1">IF(AND(Energy!$F$11=$A$3,Main!$B$43=$A150),Summary!AK27,AK150)</f>
        <v>0.01</v>
      </c>
      <c r="AL150" s="103">
        <f ca="1">IF(AND(Energy!$F$11=$A$3,Main!$B$43=$A150),Summary!AL27,AL150)</f>
        <v>-0.55078765037847544</v>
      </c>
      <c r="AM150" s="103">
        <f ca="1">IF(AND(Energy!$F$11=$A$3,Main!$B$43=$A150),Summary!AJ167,AM150)</f>
        <v>0</v>
      </c>
    </row>
    <row r="151" spans="1:39">
      <c r="A151">
        <f t="shared" si="10"/>
        <v>8</v>
      </c>
      <c r="D151" s="1">
        <f ca="1">IF(AND(Energy!$F$11=$A$3,Main!$B$43=A151),Main!C28,D151)</f>
        <v>5.6052631578947372</v>
      </c>
      <c r="E151" s="103">
        <f ca="1">IF(AND(Energy!$F$11=$A$3,Main!$B$43=A151),Main!B28,E151)</f>
        <v>0.35555555555555546</v>
      </c>
      <c r="F151" s="103">
        <f ca="1">IF(Main!$D$6=1,U151,IF(Main!$D$6=2,N151,IF(Main!$D$6=3,K151,IF(Main!$D$6=4,V151,J151))))</f>
        <v>621.0471268435972</v>
      </c>
      <c r="G151" s="103">
        <f ca="1">IF(AND(Energy!$F$11=$A$3,Main!$B$43=A151),Weight!H28,G151)</f>
        <v>15</v>
      </c>
      <c r="H151" s="103">
        <f ca="1">IF(AND(Energy!$F$11=$A$3,Main!$B$43=A151),Weight!U28,H151)</f>
        <v>24.256030151398193</v>
      </c>
      <c r="I151" s="103">
        <f ca="1">IF(AND(Energy!$F$11=$A$3,Main!$B$43=A151),Weight!V28,I151)</f>
        <v>60.430342098654748</v>
      </c>
      <c r="J151" s="103">
        <f ca="1">IF(AND(Energy!$F$11=$A$3,Main!$B$43=A151),Weight!I28,J151)</f>
        <v>31.236663672256554</v>
      </c>
      <c r="K151" s="103">
        <f ca="1">IF(AND(Energy!$F$11=$A$3,Main!$B$43=A151),Weight!W28,K151)</f>
        <v>75.430342499950157</v>
      </c>
      <c r="L151" s="103">
        <f ca="1">IF(AND(Energy!$F$11=$A$3,Main!$B$43=A151),'Aerodynamics-Cruise'!BI28,L151)</f>
        <v>75.430341685828594</v>
      </c>
      <c r="M151" s="103">
        <f ca="1">IF(AND(Energy!$F$11=$A$3,Main!$B$43=A151),'Aerodynamics-Cruise'!BJ28,M151)</f>
        <v>3.4543834943279212</v>
      </c>
      <c r="N151" s="103">
        <f ca="1">IF(AND(Energy!$F$11=$A$3,Main!$B$43=A151),'Aerodynamics-Cruise'!BK28,N151)</f>
        <v>21.836122656816997</v>
      </c>
      <c r="O151" s="103">
        <f t="shared" ca="1" si="9"/>
        <v>189.64812907402236</v>
      </c>
      <c r="P151" s="103">
        <f ca="1">IF(AND(Energy!$F$11=$A$3,Main!$B$43=A151),'Aerodynamics-Cruise'!H28,P151)</f>
        <v>8.3565717348751107</v>
      </c>
      <c r="Q151" s="103">
        <f ca="1">IF(AND(Energy!$F$11=$A$3,Main!$B$43=A151),'Aerodynamics-Cruise'!I28,Q151)</f>
        <v>7.0086030764281206</v>
      </c>
      <c r="R151" s="103">
        <f ca="1">IF(AND(Energy!$F$11=$A$3,Main!$B$43=$A151),Summary!R28,R151)</f>
        <v>5.195926902875744</v>
      </c>
      <c r="S151" s="103">
        <f ca="1">IF(AND(Energy!$F$11=$A$3,Main!$B$43=A151),'Aerodynamics-Cruise'!W28,S151)</f>
        <v>1</v>
      </c>
      <c r="T151" s="103">
        <f ca="1">IF(AND(Energy!$F$11=$A$3,Main!$B$43=A151),'Aerodynamics-Cruise'!BL28,T151)</f>
        <v>28.866803470119823</v>
      </c>
      <c r="U151" s="103">
        <f ca="1">IF(AND(Energy!$F$11=$A$3,Main!$B$43=A151),'Propulsion-Cruise'!M28,U151)</f>
        <v>63.543965499309316</v>
      </c>
      <c r="V151" s="103">
        <f ca="1">IF(AND(Energy!$F$11=$A$3,Main!$B$43=A151),Endurance!AP28,V151)</f>
        <v>621.0471268435972</v>
      </c>
      <c r="W151" s="103">
        <f ca="1">IF(AND(Energy!$F$11=$A$3,Main!$B$43=$A151),Summary!W28,W151)</f>
        <v>1.9929824561403504</v>
      </c>
      <c r="X151" s="13">
        <f ca="1">IF(AND(Energy!$F$11=$A$3,Main!$B$43=A151),Energy!D28,X151)</f>
        <v>406.48887427688675</v>
      </c>
      <c r="Y151" s="102">
        <f ca="1">IF(AND(Energy!$F$11=$A$3,Main!$B$43=A151),'Aerodynamics-Cruise'!V28,Y151)</f>
        <v>188443.38283363648</v>
      </c>
      <c r="Z151" s="102">
        <f ca="1">IF(AND(Energy!$F$11=$A$3,Main!$B$43=$A151),Summary!Z28,Z151)</f>
        <v>140066.81300177742</v>
      </c>
      <c r="AA151" s="102">
        <f ca="1">IF(AND(Energy!$F$11=$A$3,Main!$B$43=$A151),Summary!AA28,AA151)</f>
        <v>140066.81300177742</v>
      </c>
      <c r="AB151" s="103">
        <f ca="1">IF(AND(Energy!$F$11=$A$3,Main!$B$43=$A151),Summary!AB28,AB151)</f>
        <v>5.195926902875744</v>
      </c>
      <c r="AC151" s="103">
        <f ca="1">IF(AND(Energy!$F$11=$A$3,Main!$B$43=$A151),Summary!AC28,AC151)</f>
        <v>1.7346162200653703</v>
      </c>
      <c r="AD151" s="103">
        <f ca="1">IF(AND(Energy!$F$11=$A$3,Main!$B$43=$A151),Summary!AD28,AD151)</f>
        <v>0.45262902266571536</v>
      </c>
      <c r="AE151" s="103">
        <f ca="1">IF(AND(Energy!$F$11=$A$3,Main!$B$43=$A151),Summary!AE28,AE151)</f>
        <v>1.9929824561403504</v>
      </c>
      <c r="AF151" s="103">
        <f ca="1">IF(AND(Energy!$F$11=$A$3,Main!$B$43=$A151),Summary!AF28,AF151)</f>
        <v>15.764802631578952</v>
      </c>
      <c r="AG151" s="103">
        <f ca="1">IF(AND(Energy!$F$11=$A$3,Main!$B$43=$A151),Summary!AG28,AG151)</f>
        <v>12.54125927805126</v>
      </c>
      <c r="AH151" s="103">
        <f ca="1">IF(AND(Energy!$F$11=$A$3,Main!$B$43=$A151),Summary!AH28,AH151)</f>
        <v>47</v>
      </c>
      <c r="AI151" s="103">
        <f ca="1">IF(AND(Energy!$F$11=$A$3,Main!$B$43=$A151),Summary!AI28,AI151)</f>
        <v>2.7864382637132894</v>
      </c>
      <c r="AJ151" s="103">
        <f ca="1">IF(AND(Energy!$F$11=$A$3,Main!$B$43=$A151),Summary!AJ28,AJ151)</f>
        <v>0.22750537623842762</v>
      </c>
      <c r="AK151" s="103">
        <f ca="1">IF(AND(Energy!$F$11=$A$3,Main!$B$43=$A151),Summary!AK28,AK151)</f>
        <v>0.01</v>
      </c>
      <c r="AL151" s="103">
        <f ca="1">IF(AND(Energy!$F$11=$A$3,Main!$B$43=$A151),Summary!AL28,AL151)</f>
        <v>-0.54943699420443215</v>
      </c>
      <c r="AM151" s="103">
        <f ca="1">IF(AND(Energy!$F$11=$A$3,Main!$B$43=$A151),Summary!AJ168,AM151)</f>
        <v>0</v>
      </c>
    </row>
    <row r="152" spans="1:39">
      <c r="A152">
        <f t="shared" si="10"/>
        <v>8</v>
      </c>
      <c r="D152" s="1">
        <f ca="1">IF(AND(Energy!$F$11=$A$3,Main!$B$43=A152),Main!C29,D152)</f>
        <v>5.7631578947368425</v>
      </c>
      <c r="E152" s="103">
        <f ca="1">IF(AND(Energy!$F$11=$A$3,Main!$B$43=A152),Main!B29,E152)</f>
        <v>0.35555555555555546</v>
      </c>
      <c r="F152" s="103">
        <f ca="1">IF(Main!$D$6=1,U152,IF(Main!$D$6=2,N152,IF(Main!$D$6=3,K152,IF(Main!$D$6=4,V152,J152))))</f>
        <v>620.09902940729455</v>
      </c>
      <c r="G152" s="103">
        <f ca="1">IF(AND(Energy!$F$11=$A$3,Main!$B$43=A152),Weight!H29,G152)</f>
        <v>15</v>
      </c>
      <c r="H152" s="103">
        <f ca="1">IF(AND(Energy!$F$11=$A$3,Main!$B$43=A152),Weight!U29,H152)</f>
        <v>25.039347116014468</v>
      </c>
      <c r="I152" s="103">
        <f ca="1">IF(AND(Energy!$F$11=$A$3,Main!$B$43=A152),Weight!V29,I152)</f>
        <v>61.159314203539267</v>
      </c>
      <c r="J152" s="103">
        <f ca="1">IF(AND(Energy!$F$11=$A$3,Main!$B$43=A152),Weight!I29,J152)</f>
        <v>31.182318812524798</v>
      </c>
      <c r="K152" s="103">
        <f ca="1">IF(AND(Energy!$F$11=$A$3,Main!$B$43=A152),Weight!W29,K152)</f>
        <v>76.159314632271617</v>
      </c>
      <c r="L152" s="103">
        <f ca="1">IF(AND(Energy!$F$11=$A$3,Main!$B$43=A152),'Aerodynamics-Cruise'!BI29,L152)</f>
        <v>76.159313762862354</v>
      </c>
      <c r="M152" s="103">
        <f ca="1">IF(AND(Energy!$F$11=$A$3,Main!$B$43=A152),'Aerodynamics-Cruise'!BJ29,M152)</f>
        <v>3.4573700088262083</v>
      </c>
      <c r="N152" s="103">
        <f ca="1">IF(AND(Energy!$F$11=$A$3,Main!$B$43=A152),'Aerodynamics-Cruise'!BK29,N152)</f>
        <v>22.028106210338407</v>
      </c>
      <c r="O152" s="103">
        <f t="shared" ca="1" si="9"/>
        <v>192.23774918159694</v>
      </c>
      <c r="P152" s="103">
        <f ca="1">IF(AND(Energy!$F$11=$A$3,Main!$B$43=A152),'Aerodynamics-Cruise'!H29,P152)</f>
        <v>8.280983367769263</v>
      </c>
      <c r="Q152" s="103">
        <f ca="1">IF(AND(Energy!$F$11=$A$3,Main!$B$43=A152),'Aerodynamics-Cruise'!I29,Q152)</f>
        <v>6.9478093864742458</v>
      </c>
      <c r="R152" s="103">
        <f ca="1">IF(AND(Energy!$F$11=$A$3,Main!$B$43=$A152),Summary!R29,R152)</f>
        <v>5.1538734679639928</v>
      </c>
      <c r="S152" s="103">
        <f ca="1">IF(AND(Energy!$F$11=$A$3,Main!$B$43=A152),'Aerodynamics-Cruise'!W29,S152)</f>
        <v>1</v>
      </c>
      <c r="T152" s="103">
        <f ca="1">IF(AND(Energy!$F$11=$A$3,Main!$B$43=A152),'Aerodynamics-Cruise'!BL29,T152)</f>
        <v>28.630423539314101</v>
      </c>
      <c r="U152" s="103">
        <f ca="1">IF(AND(Energy!$F$11=$A$3,Main!$B$43=A152),'Propulsion-Cruise'!M29,U152)</f>
        <v>63.24128538700856</v>
      </c>
      <c r="V152" s="103">
        <f ca="1">IF(AND(Energy!$F$11=$A$3,Main!$B$43=A152),Endurance!AP29,V152)</f>
        <v>620.09902940729455</v>
      </c>
      <c r="W152" s="103">
        <f ca="1">IF(AND(Energy!$F$11=$A$3,Main!$B$43=$A152),Summary!W29,W152)</f>
        <v>2.0491228070175436</v>
      </c>
      <c r="X152" s="13">
        <f ca="1">IF(AND(Energy!$F$11=$A$3,Main!$B$43=A152),Energy!D29,X152)</f>
        <v>406.45872603748171</v>
      </c>
      <c r="Y152" s="102">
        <f ca="1">IF(AND(Energy!$F$11=$A$3,Main!$B$43=A152),'Aerodynamics-Cruise'!V29,Y152)</f>
        <v>186738.84082140788</v>
      </c>
      <c r="Z152" s="102">
        <f ca="1">IF(AND(Energy!$F$11=$A$3,Main!$B$43=$A152),Summary!Z29,Z152)</f>
        <v>138849.82313780123</v>
      </c>
      <c r="AA152" s="102">
        <f ca="1">IF(AND(Energy!$F$11=$A$3,Main!$B$43=$A152),Summary!AA29,AA152)</f>
        <v>138849.82313780123</v>
      </c>
      <c r="AB152" s="103">
        <f ca="1">IF(AND(Energy!$F$11=$A$3,Main!$B$43=$A152),Summary!AB29,AB152)</f>
        <v>5.1538734679639928</v>
      </c>
      <c r="AC152" s="103">
        <f ca="1">IF(AND(Energy!$F$11=$A$3,Main!$B$43=$A152),Summary!AC29,AC152)</f>
        <v>1.7057845776578697</v>
      </c>
      <c r="AD152" s="103">
        <f ca="1">IF(AND(Energy!$F$11=$A$3,Main!$B$43=$A152),Summary!AD29,AD152)</f>
        <v>0.45094927567211179</v>
      </c>
      <c r="AE152" s="103">
        <f ca="1">IF(AND(Energy!$F$11=$A$3,Main!$B$43=$A152),Summary!AE29,AE152)</f>
        <v>2.0491228070175436</v>
      </c>
      <c r="AF152" s="103">
        <f ca="1">IF(AND(Energy!$F$11=$A$3,Main!$B$43=$A152),Summary!AF29,AF152)</f>
        <v>16.208881578947373</v>
      </c>
      <c r="AG152" s="103">
        <f ca="1">IF(AND(Energy!$F$11=$A$3,Main!$B$43=$A152),Summary!AG29,AG152)</f>
        <v>12.514146676425106</v>
      </c>
      <c r="AH152" s="103">
        <f ca="1">IF(AND(Energy!$F$11=$A$3,Main!$B$43=$A152),Summary!AH29,AH152)</f>
        <v>47</v>
      </c>
      <c r="AI152" s="103">
        <f ca="1">IF(AND(Energy!$F$11=$A$3,Main!$B$43=$A152),Summary!AI29,AI152)</f>
        <v>2.7843517428710385</v>
      </c>
      <c r="AJ152" s="103">
        <f ca="1">IF(AND(Energy!$F$11=$A$3,Main!$B$43=$A152),Summary!AJ29,AJ152)</f>
        <v>0.22801922250169307</v>
      </c>
      <c r="AK152" s="103">
        <f ca="1">IF(AND(Energy!$F$11=$A$3,Main!$B$43=$A152),Summary!AK29,AK152)</f>
        <v>0.01</v>
      </c>
      <c r="AL152" s="103">
        <f ca="1">IF(AND(Energy!$F$11=$A$3,Main!$B$43=$A152),Summary!AL29,AL152)</f>
        <v>-0.54819877058153099</v>
      </c>
      <c r="AM152" s="103">
        <f ca="1">IF(AND(Energy!$F$11=$A$3,Main!$B$43=$A152),Summary!AJ169,AM152)</f>
        <v>0</v>
      </c>
    </row>
    <row r="153" spans="1:39">
      <c r="A153">
        <f t="shared" si="10"/>
        <v>8</v>
      </c>
      <c r="D153" s="1">
        <f ca="1">IF(AND(Energy!$F$11=$A$3,Main!$B$43=A153),Main!C30,D153)</f>
        <v>5.9210526315789478</v>
      </c>
      <c r="E153" s="103">
        <f ca="1">IF(AND(Energy!$F$11=$A$3,Main!$B$43=A153),Main!B30,E153)</f>
        <v>0.35555555555555546</v>
      </c>
      <c r="F153" s="103">
        <f ca="1">IF(Main!$D$6=1,U153,IF(Main!$D$6=2,N153,IF(Main!$D$6=3,K153,IF(Main!$D$6=4,V153,J153))))</f>
        <v>620.11920562627449</v>
      </c>
      <c r="G153" s="103">
        <f ca="1">IF(AND(Energy!$F$11=$A$3,Main!$B$43=A153),Weight!H30,G153)</f>
        <v>15</v>
      </c>
      <c r="H153" s="103">
        <f ca="1">IF(AND(Energy!$F$11=$A$3,Main!$B$43=A153),Weight!U30,H153)</f>
        <v>25.846348814523431</v>
      </c>
      <c r="I153" s="103">
        <f ca="1">IF(AND(Energy!$F$11=$A$3,Main!$B$43=A153),Weight!V30,I153)</f>
        <v>61.955629745105398</v>
      </c>
      <c r="J153" s="103">
        <f ca="1">IF(AND(Energy!$F$11=$A$3,Main!$B$43=A153),Weight!I30,J153)</f>
        <v>31.171632655581966</v>
      </c>
      <c r="K153" s="103">
        <f ca="1">IF(AND(Energy!$F$11=$A$3,Main!$B$43=A153),Weight!W30,K153)</f>
        <v>76.95563019296273</v>
      </c>
      <c r="L153" s="103">
        <f ca="1">IF(AND(Energy!$F$11=$A$3,Main!$B$43=A153),'Aerodynamics-Cruise'!BI30,L153)</f>
        <v>76.955629286656958</v>
      </c>
      <c r="M153" s="103">
        <f ca="1">IF(AND(Energy!$F$11=$A$3,Main!$B$43=A153),'Aerodynamics-Cruise'!BJ30,M153)</f>
        <v>3.4640949255944498</v>
      </c>
      <c r="N153" s="103">
        <f ca="1">IF(AND(Energy!$F$11=$A$3,Main!$B$43=A153),'Aerodynamics-Cruise'!BK30,N153)</f>
        <v>22.215219542071623</v>
      </c>
      <c r="O153" s="103">
        <f t="shared" ca="1" si="9"/>
        <v>194.88158648327973</v>
      </c>
      <c r="P153" s="103">
        <f ca="1">IF(AND(Energy!$F$11=$A$3,Main!$B$43=A153),'Aerodynamics-Cruise'!H30,P153)</f>
        <v>8.2123819320265206</v>
      </c>
      <c r="Q153" s="103">
        <f ca="1">IF(AND(Energy!$F$11=$A$3,Main!$B$43=A153),'Aerodynamics-Cruise'!I30,Q153)</f>
        <v>6.8926155171555745</v>
      </c>
      <c r="R153" s="103">
        <f ca="1">IF(AND(Energy!$F$11=$A$3,Main!$B$43=$A153),Summary!R30,R153)</f>
        <v>5.1241277933636127</v>
      </c>
      <c r="S153" s="103">
        <f ca="1">IF(AND(Energy!$F$11=$A$3,Main!$B$43=A153),'Aerodynamics-Cruise'!W30,S153)</f>
        <v>1</v>
      </c>
      <c r="T153" s="103">
        <f ca="1">IF(AND(Energy!$F$11=$A$3,Main!$B$43=A153),'Aerodynamics-Cruise'!BL30,T153)</f>
        <v>28.448470577776614</v>
      </c>
      <c r="U153" s="103">
        <f ca="1">IF(AND(Energy!$F$11=$A$3,Main!$B$43=A153),'Propulsion-Cruise'!M30,U153)</f>
        <v>63.04291670160579</v>
      </c>
      <c r="V153" s="103">
        <f ca="1">IF(AND(Energy!$F$11=$A$3,Main!$B$43=A153),Endurance!AP30,V153)</f>
        <v>620.11920562627449</v>
      </c>
      <c r="W153" s="103">
        <f ca="1">IF(AND(Energy!$F$11=$A$3,Main!$B$43=$A153),Summary!W30,W153)</f>
        <v>2.1052631578947363</v>
      </c>
      <c r="X153" s="13">
        <f ca="1">IF(AND(Energy!$F$11=$A$3,Main!$B$43=A153),Energy!D30,X153)</f>
        <v>406.45279781513125</v>
      </c>
      <c r="Y153" s="102">
        <f ca="1">IF(AND(Energy!$F$11=$A$3,Main!$B$43=A153),'Aerodynamics-Cruise'!V30,Y153)</f>
        <v>185191.85636070426</v>
      </c>
      <c r="Z153" s="102">
        <f ca="1">IF(AND(Energy!$F$11=$A$3,Main!$B$43=$A153),Summary!Z30,Z153)</f>
        <v>137744.94777739162</v>
      </c>
      <c r="AA153" s="102">
        <f ca="1">IF(AND(Energy!$F$11=$A$3,Main!$B$43=$A153),Summary!AA30,AA153)</f>
        <v>137744.94777739162</v>
      </c>
      <c r="AB153" s="103">
        <f ca="1">IF(AND(Energy!$F$11=$A$3,Main!$B$43=$A153),Summary!AB30,AB153)</f>
        <v>5.1241277933636127</v>
      </c>
      <c r="AC153" s="103">
        <f ca="1">IF(AND(Energy!$F$11=$A$3,Main!$B$43=$A153),Summary!AC30,AC153)</f>
        <v>1.6766728510029674</v>
      </c>
      <c r="AD153" s="103">
        <f ca="1">IF(AND(Energy!$F$11=$A$3,Main!$B$43=$A153),Summary!AD30,AD153)</f>
        <v>0.44959798253829331</v>
      </c>
      <c r="AE153" s="103">
        <f ca="1">IF(AND(Energy!$F$11=$A$3,Main!$B$43=$A153),Summary!AE30,AE153)</f>
        <v>2.1052631578947363</v>
      </c>
      <c r="AF153" s="103">
        <f ca="1">IF(AND(Energy!$F$11=$A$3,Main!$B$43=$A153),Summary!AF30,AF153)</f>
        <v>16.652960526315795</v>
      </c>
      <c r="AG153" s="103">
        <f ca="1">IF(AND(Energy!$F$11=$A$3,Main!$B$43=$A153),Summary!AG30,AG153)</f>
        <v>12.499095212368148</v>
      </c>
      <c r="AH153" s="103">
        <f ca="1">IF(AND(Energy!$F$11=$A$3,Main!$B$43=$A153),Summary!AH30,AH153)</f>
        <v>47</v>
      </c>
      <c r="AI153" s="103">
        <f ca="1">IF(AND(Energy!$F$11=$A$3,Main!$B$43=$A153),Summary!AI30,AI153)</f>
        <v>2.7824427298309744</v>
      </c>
      <c r="AJ153" s="103">
        <f ca="1">IF(AND(Energy!$F$11=$A$3,Main!$B$43=$A153),Summary!AJ30,AJ153)</f>
        <v>0.2284924872405831</v>
      </c>
      <c r="AK153" s="103">
        <f ca="1">IF(AND(Energy!$F$11=$A$3,Main!$B$43=$A153),Summary!AK30,AK153)</f>
        <v>0.01</v>
      </c>
      <c r="AL153" s="103">
        <f ca="1">IF(AND(Energy!$F$11=$A$3,Main!$B$43=$A153),Summary!AL30,AL153)</f>
        <v>-0.54706325810862932</v>
      </c>
      <c r="AM153" s="103">
        <f ca="1">IF(AND(Energy!$F$11=$A$3,Main!$B$43=$A153),Summary!AJ170,AM153)</f>
        <v>0</v>
      </c>
    </row>
    <row r="154" spans="1:39">
      <c r="A154">
        <f t="shared" si="10"/>
        <v>8</v>
      </c>
      <c r="D154" s="1">
        <f ca="1">IF(AND(Energy!$F$11=$A$3,Main!$B$43=A154),Main!C31,D154)</f>
        <v>6.0789473684210531</v>
      </c>
      <c r="E154" s="103">
        <f ca="1">IF(AND(Energy!$F$11=$A$3,Main!$B$43=A154),Main!B31,E154)</f>
        <v>0.35555555555555546</v>
      </c>
      <c r="F154" s="103">
        <f ca="1">IF(Main!$D$6=1,U154,IF(Main!$D$6=2,N154,IF(Main!$D$6=3,K154,IF(Main!$D$6=4,V154,J154))))</f>
        <v>625.91725024323932</v>
      </c>
      <c r="G154" s="103">
        <f ca="1">IF(AND(Energy!$F$11=$A$3,Main!$B$43=A154),Weight!H31,G154)</f>
        <v>15</v>
      </c>
      <c r="H154" s="103">
        <f ca="1">IF(AND(Energy!$F$11=$A$3,Main!$B$43=A154),Weight!U31,H154)</f>
        <v>26.720883016219901</v>
      </c>
      <c r="I154" s="103">
        <f ca="1">IF(AND(Energy!$F$11=$A$3,Main!$B$43=A154),Weight!V31,I154)</f>
        <v>63.076048484805455</v>
      </c>
      <c r="J154" s="103">
        <f ca="1">IF(AND(Energy!$F$11=$A$3,Main!$B$43=A154),Weight!I31,J154)</f>
        <v>31.41751719358555</v>
      </c>
      <c r="K154" s="103">
        <f ca="1">IF(AND(Energy!$F$11=$A$3,Main!$B$43=A154),Weight!W31,K154)</f>
        <v>78.076441973302508</v>
      </c>
      <c r="L154" s="103">
        <f ca="1">IF(AND(Energy!$F$11=$A$3,Main!$B$43=A154),'Aerodynamics-Cruise'!BI31,L154)</f>
        <v>78.075652146991914</v>
      </c>
      <c r="M154" s="103">
        <f ca="1">IF(AND(Energy!$F$11=$A$3,Main!$B$43=A154),'Aerodynamics-Cruise'!BJ31,M154)</f>
        <v>3.4827453572782536</v>
      </c>
      <c r="N154" s="103">
        <f ca="1">IF(AND(Energy!$F$11=$A$3,Main!$B$43=A154),'Aerodynamics-Cruise'!BK31,N154)</f>
        <v>22.417846881578392</v>
      </c>
      <c r="O154" s="103">
        <f t="shared" ca="1" si="9"/>
        <v>198.08505425490944</v>
      </c>
      <c r="P154" s="103">
        <f ca="1">IF(AND(Energy!$F$11=$A$3,Main!$B$43=A154),'Aerodynamics-Cruise'!H31,P154)</f>
        <v>8.1637545170015748</v>
      </c>
      <c r="Q154" s="103">
        <f ca="1">IF(AND(Energy!$F$11=$A$3,Main!$B$43=A154),'Aerodynamics-Cruise'!I31,Q154)</f>
        <v>6.8534900136354642</v>
      </c>
      <c r="R154" s="103">
        <f ca="1">IF(AND(Energy!$F$11=$A$3,Main!$B$43=$A154),Summary!R31,R154)</f>
        <v>5.1398818546429119</v>
      </c>
      <c r="S154" s="103">
        <f ca="1">IF(AND(Energy!$F$11=$A$3,Main!$B$43=A154),'Aerodynamics-Cruise'!W31,S154)</f>
        <v>1</v>
      </c>
      <c r="T154" s="103">
        <f ca="1">IF(AND(Energy!$F$11=$A$3,Main!$B$43=A154),'Aerodynamics-Cruise'!BL31,T154)</f>
        <v>28.432278142046606</v>
      </c>
      <c r="U154" s="103">
        <f ca="1">IF(AND(Energy!$F$11=$A$3,Main!$B$43=A154),'Propulsion-Cruise'!M31,U154)</f>
        <v>63.160604164248909</v>
      </c>
      <c r="V154" s="103">
        <f ca="1">IF(AND(Energy!$F$11=$A$3,Main!$B$43=A154),Endurance!AP31,V154)</f>
        <v>625.91725024323932</v>
      </c>
      <c r="W154" s="103">
        <f ca="1">IF(AND(Energy!$F$11=$A$3,Main!$B$43=$A154),Summary!W31,W154)</f>
        <v>2.1614035087719294</v>
      </c>
      <c r="X154" s="13">
        <f ca="1">IF(AND(Energy!$F$11=$A$3,Main!$B$43=A154),Energy!D31,X154)</f>
        <v>406.58938084674054</v>
      </c>
      <c r="Y154" s="102">
        <f ca="1">IF(AND(Energy!$F$11=$A$3,Main!$B$43=A154),'Aerodynamics-Cruise'!V31,Y154)</f>
        <v>184095.29249737819</v>
      </c>
      <c r="Z154" s="102">
        <f ca="1">IF(AND(Energy!$F$11=$A$3,Main!$B$43=$A154),Summary!Z31,Z154)</f>
        <v>136961.72980155068</v>
      </c>
      <c r="AA154" s="102">
        <f ca="1">IF(AND(Energy!$F$11=$A$3,Main!$B$43=$A154),Summary!AA31,AA154)</f>
        <v>136961.72980155068</v>
      </c>
      <c r="AB154" s="103">
        <f ca="1">IF(AND(Energy!$F$11=$A$3,Main!$B$43=$A154),Summary!AB31,AB154)</f>
        <v>5.1398818546429119</v>
      </c>
      <c r="AC154" s="103">
        <f ca="1">IF(AND(Energy!$F$11=$A$3,Main!$B$43=$A154),Summary!AC31,AC154)</f>
        <v>1.6431155099478942</v>
      </c>
      <c r="AD154" s="103">
        <f ca="1">IF(AND(Energy!$F$11=$A$3,Main!$B$43=$A154),Summary!AD31,AD154)</f>
        <v>0.44924851985664471</v>
      </c>
      <c r="AE154" s="103">
        <f ca="1">IF(AND(Energy!$F$11=$A$3,Main!$B$43=$A154),Summary!AE31,AE154)</f>
        <v>2.1614035087719294</v>
      </c>
      <c r="AF154" s="103">
        <f ca="1">IF(AND(Energy!$F$11=$A$3,Main!$B$43=$A154),Summary!AF31,AF154)</f>
        <v>17.097039473684216</v>
      </c>
      <c r="AG154" s="103">
        <f ca="1">IF(AND(Energy!$F$11=$A$3,Main!$B$43=$A154),Summary!AG31,AG154)</f>
        <v>12.520980249093013</v>
      </c>
      <c r="AH154" s="103">
        <f ca="1">IF(AND(Energy!$F$11=$A$3,Main!$B$43=$A154),Summary!AH31,AH154)</f>
        <v>47</v>
      </c>
      <c r="AI154" s="103">
        <f ca="1">IF(AND(Energy!$F$11=$A$3,Main!$B$43=$A154),Summary!AI31,AI154)</f>
        <v>2.7810296739971294</v>
      </c>
      <c r="AJ154" s="103">
        <f ca="1">IF(AND(Energy!$F$11=$A$3,Main!$B$43=$A154),Summary!AJ31,AJ154)</f>
        <v>0.22888852866863441</v>
      </c>
      <c r="AK154" s="103">
        <f ca="1">IF(AND(Energy!$F$11=$A$3,Main!$B$43=$A154),Summary!AK31,AK154)</f>
        <v>0.01</v>
      </c>
      <c r="AL154" s="103">
        <f ca="1">IF(AND(Energy!$F$11=$A$3,Main!$B$43=$A154),Summary!AL31,AL154)</f>
        <v>-0.54611620632252555</v>
      </c>
      <c r="AM154" s="103">
        <f ca="1">IF(AND(Energy!$F$11=$A$3,Main!$B$43=$A154),Summary!AJ171,AM154)</f>
        <v>0</v>
      </c>
    </row>
    <row r="155" spans="1:39">
      <c r="A155">
        <f t="shared" si="10"/>
        <v>8</v>
      </c>
      <c r="D155" s="1">
        <f ca="1">IF(AND(Energy!$F$11=$A$3,Main!$B$43=A155),Main!C32,D155)</f>
        <v>6.2368421052631584</v>
      </c>
      <c r="E155" s="103">
        <f ca="1">IF(AND(Energy!$F$11=$A$3,Main!$B$43=A155),Main!B32,E155)</f>
        <v>0.35555555555555546</v>
      </c>
      <c r="F155" s="103">
        <f ca="1">IF(Main!$D$6=1,U155,IF(Main!$D$6=2,N155,IF(Main!$D$6=3,K155,IF(Main!$D$6=4,V155,J155))))</f>
        <v>631.12064592174943</v>
      </c>
      <c r="G155" s="103">
        <f ca="1">IF(AND(Energy!$F$11=$A$3,Main!$B$43=A155),Weight!H32,G155)</f>
        <v>15</v>
      </c>
      <c r="H155" s="103">
        <f ca="1">IF(AND(Energy!$F$11=$A$3,Main!$B$43=A155),Weight!U32,H155)</f>
        <v>27.610578756002127</v>
      </c>
      <c r="I155" s="103">
        <f ca="1">IF(AND(Energy!$F$11=$A$3,Main!$B$43=A155),Weight!V32,I155)</f>
        <v>64.186842637962314</v>
      </c>
      <c r="J155" s="103">
        <f ca="1">IF(AND(Energy!$F$11=$A$3,Main!$B$43=A155),Weight!I32,J155)</f>
        <v>31.638615606960183</v>
      </c>
      <c r="K155" s="103">
        <f ca="1">IF(AND(Energy!$F$11=$A$3,Main!$B$43=A155),Weight!W32,K155)</f>
        <v>79.18684335219794</v>
      </c>
      <c r="L155" s="103">
        <f ca="1">IF(AND(Energy!$F$11=$A$3,Main!$B$43=A155),'Aerodynamics-Cruise'!BI32,L155)</f>
        <v>79.186841889693113</v>
      </c>
      <c r="M155" s="103">
        <f ca="1">IF(AND(Energy!$F$11=$A$3,Main!$B$43=A155),'Aerodynamics-Cruise'!BJ32,M155)</f>
        <v>3.5020213354860834</v>
      </c>
      <c r="N155" s="103">
        <f ca="1">IF(AND(Energy!$F$11=$A$3,Main!$B$43=A155),'Aerodynamics-Cruise'!BK32,N155)</f>
        <v>22.611753128768964</v>
      </c>
      <c r="O155" s="103">
        <f t="shared" ca="1" si="9"/>
        <v>201.21518241051101</v>
      </c>
      <c r="P155" s="103">
        <f ca="1">IF(AND(Energy!$F$11=$A$3,Main!$B$43=A155),'Aerodynamics-Cruise'!H32,P155)</f>
        <v>8.1168688206224235</v>
      </c>
      <c r="Q155" s="103">
        <f ca="1">IF(AND(Energy!$F$11=$A$3,Main!$B$43=A155),'Aerodynamics-Cruise'!I32,Q155)</f>
        <v>6.81575107374338</v>
      </c>
      <c r="R155" s="103">
        <f ca="1">IF(AND(Energy!$F$11=$A$3,Main!$B$43=$A155),Summary!R32,R155)</f>
        <v>5.1558172207212936</v>
      </c>
      <c r="S155" s="103">
        <f ca="1">IF(AND(Energy!$F$11=$A$3,Main!$B$43=A155),'Aerodynamics-Cruise'!W32,S155)</f>
        <v>1</v>
      </c>
      <c r="T155" s="103">
        <f ca="1">IF(AND(Energy!$F$11=$A$3,Main!$B$43=A155),'Aerodynamics-Cruise'!BL32,T155)</f>
        <v>28.425447787161492</v>
      </c>
      <c r="U155" s="103">
        <f ca="1">IF(AND(Energy!$F$11=$A$3,Main!$B$43=A155),'Propulsion-Cruise'!M32,U155)</f>
        <v>63.302947972637639</v>
      </c>
      <c r="V155" s="103">
        <f ca="1">IF(AND(Energy!$F$11=$A$3,Main!$B$43=A155),Endurance!AP32,V155)</f>
        <v>631.12064592174943</v>
      </c>
      <c r="W155" s="103">
        <f ca="1">IF(AND(Energy!$F$11=$A$3,Main!$B$43=$A155),Summary!W32,W155)</f>
        <v>2.2175438596491226</v>
      </c>
      <c r="X155" s="13">
        <f ca="1">IF(AND(Energy!$F$11=$A$3,Main!$B$43=A155),Energy!D32,X155)</f>
        <v>406.71186047610001</v>
      </c>
      <c r="Y155" s="102">
        <f ca="1">IF(AND(Energy!$F$11=$A$3,Main!$B$43=A155),'Aerodynamics-Cruise'!V32,Y155)</f>
        <v>183038.00495022236</v>
      </c>
      <c r="Z155" s="102">
        <f ca="1">IF(AND(Energy!$F$11=$A$3,Main!$B$43=$A155),Summary!Z32,Z155)</f>
        <v>136206.28317035569</v>
      </c>
      <c r="AA155" s="102">
        <f ca="1">IF(AND(Energy!$F$11=$A$3,Main!$B$43=$A155),Summary!AA32,AA155)</f>
        <v>136206.28317035569</v>
      </c>
      <c r="AB155" s="103">
        <f ca="1">IF(AND(Energy!$F$11=$A$3,Main!$B$43=$A155),Summary!AB32,AB155)</f>
        <v>5.1558172207212936</v>
      </c>
      <c r="AC155" s="103">
        <f ca="1">IF(AND(Energy!$F$11=$A$3,Main!$B$43=$A155),Summary!AC32,AC155)</f>
        <v>1.610923677650677</v>
      </c>
      <c r="AD155" s="103">
        <f ca="1">IF(AND(Energy!$F$11=$A$3,Main!$B$43=$A155),Summary!AD32,AD155)</f>
        <v>0.44896480458802257</v>
      </c>
      <c r="AE155" s="103">
        <f ca="1">IF(AND(Energy!$F$11=$A$3,Main!$B$43=$A155),Summary!AE32,AE155)</f>
        <v>2.2175438596491226</v>
      </c>
      <c r="AF155" s="103">
        <f ca="1">IF(AND(Energy!$F$11=$A$3,Main!$B$43=$A155),Summary!AF32,AF155)</f>
        <v>17.541118421052637</v>
      </c>
      <c r="AG155" s="103">
        <f ca="1">IF(AND(Energy!$F$11=$A$3,Main!$B$43=$A155),Summary!AG32,AG155)</f>
        <v>12.546133670046276</v>
      </c>
      <c r="AH155" s="103">
        <f ca="1">IF(AND(Energy!$F$11=$A$3,Main!$B$43=$A155),Summary!AH32,AH155)</f>
        <v>47</v>
      </c>
      <c r="AI155" s="103">
        <f ca="1">IF(AND(Energy!$F$11=$A$3,Main!$B$43=$A155),Summary!AI32,AI155)</f>
        <v>2.7797495680712605</v>
      </c>
      <c r="AJ155" s="103">
        <f ca="1">IF(AND(Energy!$F$11=$A$3,Main!$B$43=$A155),Summary!AJ32,AJ155)</f>
        <v>0.22924803598105939</v>
      </c>
      <c r="AK155" s="103">
        <f ca="1">IF(AND(Energy!$F$11=$A$3,Main!$B$43=$A155),Summary!AK32,AK155)</f>
        <v>0.01</v>
      </c>
      <c r="AL155" s="103">
        <f ca="1">IF(AND(Energy!$F$11=$A$3,Main!$B$43=$A155),Summary!AL32,AL155)</f>
        <v>-0.54525963662567034</v>
      </c>
      <c r="AM155" s="103">
        <f ca="1">IF(AND(Energy!$F$11=$A$3,Main!$B$43=$A155),Summary!AJ172,AM155)</f>
        <v>0</v>
      </c>
    </row>
    <row r="156" spans="1:39">
      <c r="A156">
        <f t="shared" si="10"/>
        <v>8</v>
      </c>
      <c r="D156" s="1">
        <f ca="1">IF(AND(Energy!$F$11=$A$3,Main!$B$43=A156),Main!C33,D156)</f>
        <v>6.3947368421052637</v>
      </c>
      <c r="E156" s="103">
        <f ca="1">IF(AND(Energy!$F$11=$A$3,Main!$B$43=A156),Main!B33,E156)</f>
        <v>0.35555555555555546</v>
      </c>
      <c r="F156" s="103">
        <f ca="1">IF(Main!$D$6=1,U156,IF(Main!$D$6=2,N156,IF(Main!$D$6=3,K156,IF(Main!$D$6=4,V156,J156))))</f>
        <v>630.35106949809096</v>
      </c>
      <c r="G156" s="103">
        <f ca="1">IF(AND(Energy!$F$11=$A$3,Main!$B$43=A156),Weight!H33,G156)</f>
        <v>15</v>
      </c>
      <c r="H156" s="103">
        <f ca="1">IF(AND(Energy!$F$11=$A$3,Main!$B$43=A156),Weight!U33,H156)</f>
        <v>28.459355992501571</v>
      </c>
      <c r="I156" s="103">
        <f ca="1">IF(AND(Energy!$F$11=$A$3,Main!$B$43=A156),Weight!V33,I156)</f>
        <v>64.991240603239234</v>
      </c>
      <c r="J156" s="103">
        <f ca="1">IF(AND(Energy!$F$11=$A$3,Main!$B$43=A156),Weight!I33,J156)</f>
        <v>31.594236335737659</v>
      </c>
      <c r="K156" s="103">
        <f ca="1">IF(AND(Energy!$F$11=$A$3,Main!$B$43=A156),Weight!W33,K156)</f>
        <v>79.991241025807682</v>
      </c>
      <c r="L156" s="103">
        <f ca="1">IF(AND(Energy!$F$11=$A$3,Main!$B$43=A156),'Aerodynamics-Cruise'!BI33,L156)</f>
        <v>79.991240177827436</v>
      </c>
      <c r="M156" s="103">
        <f ca="1">IF(AND(Energy!$F$11=$A$3,Main!$B$43=A156),'Aerodynamics-Cruise'!BJ33,M156)</f>
        <v>3.5124064535145867</v>
      </c>
      <c r="N156" s="103">
        <f ca="1">IF(AND(Energy!$F$11=$A$3,Main!$B$43=A156),'Aerodynamics-Cruise'!BK33,N156)</f>
        <v>22.773913337332171</v>
      </c>
      <c r="O156" s="103">
        <f t="shared" ca="1" si="9"/>
        <v>203.68492090493166</v>
      </c>
      <c r="P156" s="103">
        <f ca="1">IF(AND(Energy!$F$11=$A$3,Main!$B$43=A156),'Aerodynamics-Cruise'!H33,P156)</f>
        <v>8.0566125792383634</v>
      </c>
      <c r="Q156" s="103">
        <f ca="1">IF(AND(Energy!$F$11=$A$3,Main!$B$43=A156),'Aerodynamics-Cruise'!I33,Q156)</f>
        <v>6.7672284827347315</v>
      </c>
      <c r="R156" s="103">
        <f ca="1">IF(AND(Energy!$F$11=$A$3,Main!$B$43=$A156),Summary!R33,R156)</f>
        <v>5.1335969813998519</v>
      </c>
      <c r="S156" s="103">
        <f ca="1">IF(AND(Energy!$F$11=$A$3,Main!$B$43=A156),'Aerodynamics-Cruise'!W33,S156)</f>
        <v>1</v>
      </c>
      <c r="T156" s="103">
        <f ca="1">IF(AND(Energy!$F$11=$A$3,Main!$B$43=A156),'Aerodynamics-Cruise'!BL33,T156)</f>
        <v>28.298098016783626</v>
      </c>
      <c r="U156" s="103">
        <f ca="1">IF(AND(Energy!$F$11=$A$3,Main!$B$43=A156),'Propulsion-Cruise'!M33,U156)</f>
        <v>63.211752136196566</v>
      </c>
      <c r="V156" s="103">
        <f ca="1">IF(AND(Energy!$F$11=$A$3,Main!$B$43=A156),Endurance!AP33,V156)</f>
        <v>630.35106949809096</v>
      </c>
      <c r="W156" s="103">
        <f ca="1">IF(AND(Energy!$F$11=$A$3,Main!$B$43=$A156),Summary!W33,W156)</f>
        <v>2.2736842105263153</v>
      </c>
      <c r="X156" s="13">
        <f ca="1">IF(AND(Energy!$F$11=$A$3,Main!$B$43=A156),Energy!D33,X156)</f>
        <v>406.68724062312486</v>
      </c>
      <c r="Y156" s="102">
        <f ca="1">IF(AND(Energy!$F$11=$A$3,Main!$B$43=A156),'Aerodynamics-Cruise'!V33,Y156)</f>
        <v>181679.20730885657</v>
      </c>
      <c r="Z156" s="102">
        <f ca="1">IF(AND(Energy!$F$11=$A$3,Main!$B$43=$A156),Summary!Z33,Z156)</f>
        <v>135234.98765567128</v>
      </c>
      <c r="AA156" s="102">
        <f ca="1">IF(AND(Energy!$F$11=$A$3,Main!$B$43=$A156),Summary!AA33,AA156)</f>
        <v>135234.98765567128</v>
      </c>
      <c r="AB156" s="103">
        <f ca="1">IF(AND(Energy!$F$11=$A$3,Main!$B$43=$A156),Summary!AB33,AB156)</f>
        <v>5.1335969813998519</v>
      </c>
      <c r="AC156" s="103">
        <f ca="1">IF(AND(Energy!$F$11=$A$3,Main!$B$43=$A156),Summary!AC33,AC156)</f>
        <v>1.5845366678966886</v>
      </c>
      <c r="AD156" s="103">
        <f ca="1">IF(AND(Energy!$F$11=$A$3,Main!$B$43=$A156),Summary!AD33,AD156)</f>
        <v>0.44796463501425665</v>
      </c>
      <c r="AE156" s="103">
        <f ca="1">IF(AND(Energy!$F$11=$A$3,Main!$B$43=$A156),Summary!AE33,AE156)</f>
        <v>2.2736842105263153</v>
      </c>
      <c r="AF156" s="103">
        <f ca="1">IF(AND(Energy!$F$11=$A$3,Main!$B$43=$A156),Summary!AF33,AF156)</f>
        <v>17.985197368421058</v>
      </c>
      <c r="AG156" s="103">
        <f ca="1">IF(AND(Energy!$F$11=$A$3,Main!$B$43=$A156),Summary!AG33,AG156)</f>
        <v>12.543234925020929</v>
      </c>
      <c r="AH156" s="103">
        <f ca="1">IF(AND(Energy!$F$11=$A$3,Main!$B$43=$A156),Summary!AH33,AH156)</f>
        <v>47</v>
      </c>
      <c r="AI156" s="103">
        <f ca="1">IF(AND(Energy!$F$11=$A$3,Main!$B$43=$A156),Summary!AI33,AI156)</f>
        <v>2.7780454374839758</v>
      </c>
      <c r="AJ156" s="103">
        <f ca="1">IF(AND(Energy!$F$11=$A$3,Main!$B$43=$A156),Summary!AJ33,AJ156)</f>
        <v>0.22964426947868713</v>
      </c>
      <c r="AK156" s="103">
        <f ca="1">IF(AND(Energy!$F$11=$A$3,Main!$B$43=$A156),Summary!AK33,AK156)</f>
        <v>0.01</v>
      </c>
      <c r="AL156" s="103">
        <f ca="1">IF(AND(Energy!$F$11=$A$3,Main!$B$43=$A156),Summary!AL33,AL156)</f>
        <v>-0.54431902936967402</v>
      </c>
      <c r="AM156" s="103">
        <f ca="1">IF(AND(Energy!$F$11=$A$3,Main!$B$43=$A156),Summary!AJ173,AM156)</f>
        <v>0</v>
      </c>
    </row>
    <row r="157" spans="1:39">
      <c r="A157">
        <f t="shared" si="10"/>
        <v>8</v>
      </c>
      <c r="D157" s="1">
        <f ca="1">IF(AND(Energy!$F$11=$A$3,Main!$B$43=A157),Main!C34,D157)</f>
        <v>6.552631578947369</v>
      </c>
      <c r="E157" s="103">
        <f ca="1">IF(AND(Energy!$F$11=$A$3,Main!$B$43=A157),Main!B34,E157)</f>
        <v>0.35555555555555546</v>
      </c>
      <c r="F157" s="103">
        <f ca="1">IF(Main!$D$6=1,U157,IF(Main!$D$6=2,N157,IF(Main!$D$6=3,K157,IF(Main!$D$6=4,V157,J157))))</f>
        <v>630.18349651668257</v>
      </c>
      <c r="G157" s="103">
        <f ca="1">IF(AND(Energy!$F$11=$A$3,Main!$B$43=A157),Weight!H34,G157)</f>
        <v>15</v>
      </c>
      <c r="H157" s="103">
        <f ca="1">IF(AND(Energy!$F$11=$A$3,Main!$B$43=A157),Weight!U34,H157)</f>
        <v>29.329674821275965</v>
      </c>
      <c r="I157" s="103">
        <f ca="1">IF(AND(Energy!$F$11=$A$3,Main!$B$43=A157),Weight!V34,I157)</f>
        <v>65.84439137026088</v>
      </c>
      <c r="J157" s="103">
        <f ca="1">IF(AND(Energy!$F$11=$A$3,Main!$B$43=A157),Weight!I34,J157)</f>
        <v>31.577068273984914</v>
      </c>
      <c r="K157" s="103">
        <f ca="1">IF(AND(Energy!$F$11=$A$3,Main!$B$43=A157),Weight!W34,K157)</f>
        <v>80.844391686901673</v>
      </c>
      <c r="L157" s="103">
        <f ca="1">IF(AND(Energy!$F$11=$A$3,Main!$B$43=A157),'Aerodynamics-Cruise'!BI34,L157)</f>
        <v>80.8443910512798</v>
      </c>
      <c r="M157" s="103">
        <f ca="1">IF(AND(Energy!$F$11=$A$3,Main!$B$43=A157),'Aerodynamics-Cruise'!BJ34,M157)</f>
        <v>3.5253794629407378</v>
      </c>
      <c r="N157" s="103">
        <f ca="1">IF(AND(Energy!$F$11=$A$3,Main!$B$43=A157),'Aerodynamics-Cruise'!BK34,N157)</f>
        <v>22.932110401483556</v>
      </c>
      <c r="O157" s="103">
        <f t="shared" ca="1" si="9"/>
        <v>206.19065155383382</v>
      </c>
      <c r="P157" s="103">
        <f ca="1">IF(AND(Energy!$F$11=$A$3,Main!$B$43=A157),'Aerodynamics-Cruise'!H34,P157)</f>
        <v>8.0012532380502375</v>
      </c>
      <c r="Q157" s="103">
        <f ca="1">IF(AND(Energy!$F$11=$A$3,Main!$B$43=A157),'Aerodynamics-Cruise'!I34,Q157)</f>
        <v>6.7226361518889108</v>
      </c>
      <c r="R157" s="103">
        <f ca="1">IF(AND(Energy!$F$11=$A$3,Main!$B$43=$A157),Summary!R34,R157)</f>
        <v>5.1197935022836214</v>
      </c>
      <c r="S157" s="103">
        <f ca="1">IF(AND(Energy!$F$11=$A$3,Main!$B$43=A157),'Aerodynamics-Cruise'!W34,S157)</f>
        <v>1</v>
      </c>
      <c r="T157" s="103">
        <f ca="1">IF(AND(Energy!$F$11=$A$3,Main!$B$43=A157),'Aerodynamics-Cruise'!BL34,T157)</f>
        <v>28.207453843210384</v>
      </c>
      <c r="U157" s="103">
        <f ca="1">IF(AND(Energy!$F$11=$A$3,Main!$B$43=A157),'Propulsion-Cruise'!M34,U157)</f>
        <v>63.191995617576943</v>
      </c>
      <c r="V157" s="103">
        <f ca="1">IF(AND(Energy!$F$11=$A$3,Main!$B$43=A157),Endurance!AP34,V157)</f>
        <v>630.18349651668257</v>
      </c>
      <c r="W157" s="103">
        <f ca="1">IF(AND(Energy!$F$11=$A$3,Main!$B$43=$A157),Summary!W34,W157)</f>
        <v>2.3298245614035085</v>
      </c>
      <c r="X157" s="13">
        <f ca="1">IF(AND(Energy!$F$11=$A$3,Main!$B$43=A157),Energy!D34,X157)</f>
        <v>406.67771645386341</v>
      </c>
      <c r="Y157" s="102">
        <f ca="1">IF(AND(Energy!$F$11=$A$3,Main!$B$43=A157),'Aerodynamics-Cruise'!V34,Y157)</f>
        <v>180430.83634335705</v>
      </c>
      <c r="Z157" s="102">
        <f ca="1">IF(AND(Energy!$F$11=$A$3,Main!$B$43=$A157),Summary!Z34,Z157)</f>
        <v>134342.37588707393</v>
      </c>
      <c r="AA157" s="102">
        <f ca="1">IF(AND(Energy!$F$11=$A$3,Main!$B$43=$A157),Summary!AA34,AA157)</f>
        <v>134342.37588707393</v>
      </c>
      <c r="AB157" s="103">
        <f ca="1">IF(AND(Energy!$F$11=$A$3,Main!$B$43=$A157),Summary!AB34,AB157)</f>
        <v>5.1197935022836214</v>
      </c>
      <c r="AC157" s="103">
        <f ca="1">IF(AND(Energy!$F$11=$A$3,Main!$B$43=$A157),Summary!AC34,AC157)</f>
        <v>1.5581964288525125</v>
      </c>
      <c r="AD157" s="103">
        <f ca="1">IF(AND(Energy!$F$11=$A$3,Main!$B$43=$A157),Summary!AD34,AD157)</f>
        <v>0.44719268829261938</v>
      </c>
      <c r="AE157" s="103">
        <f ca="1">IF(AND(Energy!$F$11=$A$3,Main!$B$43=$A157),Summary!AE34,AE157)</f>
        <v>2.3298245614035085</v>
      </c>
      <c r="AF157" s="103">
        <f ca="1">IF(AND(Energy!$F$11=$A$3,Main!$B$43=$A157),Summary!AF34,AF157)</f>
        <v>18.42927631578948</v>
      </c>
      <c r="AG157" s="103">
        <f ca="1">IF(AND(Energy!$F$11=$A$3,Main!$B$43=$A157),Summary!AG34,AG157)</f>
        <v>12.548621656798536</v>
      </c>
      <c r="AH157" s="103">
        <f ca="1">IF(AND(Energy!$F$11=$A$3,Main!$B$43=$A157),Summary!AH34,AH157)</f>
        <v>47</v>
      </c>
      <c r="AI157" s="103">
        <f ca="1">IF(AND(Energy!$F$11=$A$3,Main!$B$43=$A157),Summary!AI34,AI157)</f>
        <v>2.7764693574634469</v>
      </c>
      <c r="AJ157" s="103">
        <f ca="1">IF(AND(Energy!$F$11=$A$3,Main!$B$43=$A157),Summary!AJ34,AJ157)</f>
        <v>0.23000766464640626</v>
      </c>
      <c r="AK157" s="103">
        <f ca="1">IF(AND(Energy!$F$11=$A$3,Main!$B$43=$A157),Summary!AK34,AK157)</f>
        <v>0.01</v>
      </c>
      <c r="AL157" s="103">
        <f ca="1">IF(AND(Energy!$F$11=$A$3,Main!$B$43=$A157),Summary!AL34,AL157)</f>
        <v>-0.54345929996950104</v>
      </c>
      <c r="AM157" s="103">
        <f ca="1">IF(AND(Energy!$F$11=$A$3,Main!$B$43=$A157),Summary!AJ174,AM157)</f>
        <v>0</v>
      </c>
    </row>
    <row r="158" spans="1:39">
      <c r="A158">
        <f t="shared" si="10"/>
        <v>8</v>
      </c>
      <c r="D158" s="1">
        <f ca="1">IF(AND(Energy!$F$11=$A$3,Main!$B$43=A158),Main!C35,D158)</f>
        <v>6.7105263157894743</v>
      </c>
      <c r="E158" s="103">
        <f ca="1">IF(AND(Energy!$F$11=$A$3,Main!$B$43=A158),Main!B35,E158)</f>
        <v>0.35555555555555546</v>
      </c>
      <c r="F158" s="103">
        <f ca="1">IF(Main!$D$6=1,U158,IF(Main!$D$6=2,N158,IF(Main!$D$6=3,K158,IF(Main!$D$6=4,V158,J158))))</f>
        <v>630.56914606255941</v>
      </c>
      <c r="G158" s="103">
        <f ca="1">IF(AND(Energy!$F$11=$A$3,Main!$B$43=A158),Weight!H35,G158)</f>
        <v>15</v>
      </c>
      <c r="H158" s="103">
        <f ca="1">IF(AND(Energy!$F$11=$A$3,Main!$B$43=A158),Weight!U35,H158)</f>
        <v>30.221600908716297</v>
      </c>
      <c r="I158" s="103">
        <f ca="1">IF(AND(Energy!$F$11=$A$3,Main!$B$43=A158),Weight!V35,I158)</f>
        <v>66.744138862672543</v>
      </c>
      <c r="J158" s="103">
        <f ca="1">IF(AND(Energy!$F$11=$A$3,Main!$B$43=A158),Weight!I35,J158)</f>
        <v>31.584889678956241</v>
      </c>
      <c r="K158" s="103">
        <f ca="1">IF(AND(Energy!$F$11=$A$3,Main!$B$43=A158),Weight!W35,K158)</f>
        <v>81.744139128726346</v>
      </c>
      <c r="L158" s="103">
        <f ca="1">IF(AND(Energy!$F$11=$A$3,Main!$B$43=A158),'Aerodynamics-Cruise'!BI35,L158)</f>
        <v>81.744138594713576</v>
      </c>
      <c r="M158" s="103">
        <f ca="1">IF(AND(Energy!$F$11=$A$3,Main!$B$43=A158),'Aerodynamics-Cruise'!BJ35,M158)</f>
        <v>3.5407426231549564</v>
      </c>
      <c r="N158" s="103">
        <f ca="1">IF(AND(Energy!$F$11=$A$3,Main!$B$43=A158),'Aerodynamics-Cruise'!BK35,N158)</f>
        <v>23.086721429606758</v>
      </c>
      <c r="O158" s="103">
        <f t="shared" ca="1" si="9"/>
        <v>208.73273973167994</v>
      </c>
      <c r="P158" s="103">
        <f ca="1">IF(AND(Energy!$F$11=$A$3,Main!$B$43=A158),'Aerodynamics-Cruise'!H35,P158)</f>
        <v>7.9504080544784967</v>
      </c>
      <c r="Q158" s="103">
        <f ca="1">IF(AND(Energy!$F$11=$A$3,Main!$B$43=A158),'Aerodynamics-Cruise'!I35,Q158)</f>
        <v>6.6816689662968241</v>
      </c>
      <c r="R158" s="103">
        <f ca="1">IF(AND(Energy!$F$11=$A$3,Main!$B$43=$A158),Summary!R35,R158)</f>
        <v>5.1137422694197703</v>
      </c>
      <c r="S158" s="103">
        <f ca="1">IF(AND(Energy!$F$11=$A$3,Main!$B$43=A158),'Aerodynamics-Cruise'!W35,S158)</f>
        <v>1</v>
      </c>
      <c r="T158" s="103">
        <f ca="1">IF(AND(Energy!$F$11=$A$3,Main!$B$43=A158),'Aerodynamics-Cruise'!BL35,T158)</f>
        <v>28.150348669966487</v>
      </c>
      <c r="U158" s="103">
        <f ca="1">IF(AND(Energy!$F$11=$A$3,Main!$B$43=A158),'Propulsion-Cruise'!M35,U158)</f>
        <v>63.23789019394524</v>
      </c>
      <c r="V158" s="103">
        <f ca="1">IF(AND(Energy!$F$11=$A$3,Main!$B$43=A158),Endurance!AP35,V158)</f>
        <v>630.56914606255941</v>
      </c>
      <c r="W158" s="103">
        <f ca="1">IF(AND(Energy!$F$11=$A$3,Main!$B$43=$A158),Summary!W35,W158)</f>
        <v>2.3859649122807012</v>
      </c>
      <c r="X158" s="13">
        <f ca="1">IF(AND(Energy!$F$11=$A$3,Main!$B$43=A158),Energy!D35,X158)</f>
        <v>406.68205541868934</v>
      </c>
      <c r="Y158" s="102">
        <f ca="1">IF(AND(Energy!$F$11=$A$3,Main!$B$43=A158),'Aerodynamics-Cruise'!V35,Y158)</f>
        <v>179284.26108533956</v>
      </c>
      <c r="Z158" s="102">
        <f ca="1">IF(AND(Energy!$F$11=$A$3,Main!$B$43=$A158),Summary!Z35,Z158)</f>
        <v>133522.33784469755</v>
      </c>
      <c r="AA158" s="102">
        <f ca="1">IF(AND(Energy!$F$11=$A$3,Main!$B$43=$A158),Summary!AA35,AA158)</f>
        <v>133522.33784469755</v>
      </c>
      <c r="AB158" s="103">
        <f ca="1">IF(AND(Energy!$F$11=$A$3,Main!$B$43=$A158),Summary!AB35,AB158)</f>
        <v>5.1137422694197703</v>
      </c>
      <c r="AC158" s="103">
        <f ca="1">IF(AND(Energy!$F$11=$A$3,Main!$B$43=$A158),Summary!AC35,AC158)</f>
        <v>1.5319598502260829</v>
      </c>
      <c r="AD158" s="103">
        <f ca="1">IF(AND(Energy!$F$11=$A$3,Main!$B$43=$A158),Summary!AD35,AD158)</f>
        <v>0.44663112456592896</v>
      </c>
      <c r="AE158" s="103">
        <f ca="1">IF(AND(Energy!$F$11=$A$3,Main!$B$43=$A158),Summary!AE35,AE158)</f>
        <v>2.3859649122807012</v>
      </c>
      <c r="AF158" s="103">
        <f ca="1">IF(AND(Energy!$F$11=$A$3,Main!$B$43=$A158),Summary!AF35,AF158)</f>
        <v>18.873355263157904</v>
      </c>
      <c r="AG158" s="103">
        <f ca="1">IF(AND(Energy!$F$11=$A$3,Main!$B$43=$A158),Summary!AG35,AG158)</f>
        <v>12.561629195923379</v>
      </c>
      <c r="AH158" s="103">
        <f ca="1">IF(AND(Energy!$F$11=$A$3,Main!$B$43=$A158),Summary!AH35,AH158)</f>
        <v>47</v>
      </c>
      <c r="AI158" s="103">
        <f ca="1">IF(AND(Energy!$F$11=$A$3,Main!$B$43=$A158),Summary!AI35,AI158)</f>
        <v>2.7750128280837223</v>
      </c>
      <c r="AJ158" s="103">
        <f ca="1">IF(AND(Energy!$F$11=$A$3,Main!$B$43=$A158),Summary!AJ35,AJ158)</f>
        <v>0.23035066065521859</v>
      </c>
      <c r="AK158" s="103">
        <f ca="1">IF(AND(Energy!$F$11=$A$3,Main!$B$43=$A158),Summary!AK35,AK158)</f>
        <v>0.01</v>
      </c>
      <c r="AL158" s="103">
        <f ca="1">IF(AND(Energy!$F$11=$A$3,Main!$B$43=$A158),Summary!AL35,AL158)</f>
        <v>-0.54265020940855646</v>
      </c>
      <c r="AM158" s="103">
        <f ca="1">IF(AND(Energy!$F$11=$A$3,Main!$B$43=$A158),Summary!AJ175,AM158)</f>
        <v>0</v>
      </c>
    </row>
    <row r="159" spans="1:39">
      <c r="A159">
        <f t="shared" si="10"/>
        <v>8</v>
      </c>
      <c r="D159" s="1">
        <f ca="1">IF(AND(Energy!$F$11=$A$3,Main!$B$43=A159),Main!C36,D159)</f>
        <v>6.8684210526315796</v>
      </c>
      <c r="E159" s="103">
        <f ca="1">IF(AND(Energy!$F$11=$A$3,Main!$B$43=A159),Main!B36,E159)</f>
        <v>0.35555555555555546</v>
      </c>
      <c r="F159" s="103">
        <f ca="1">IF(Main!$D$6=1,U159,IF(Main!$D$6=2,N159,IF(Main!$D$6=3,K159,IF(Main!$D$6=4,V159,J159))))</f>
        <v>631.46621958092351</v>
      </c>
      <c r="G159" s="103">
        <f ca="1">IF(AND(Energy!$F$11=$A$3,Main!$B$43=A159),Weight!H36,G159)</f>
        <v>15</v>
      </c>
      <c r="H159" s="103">
        <f ca="1">IF(AND(Energy!$F$11=$A$3,Main!$B$43=A159),Weight!U36,H159)</f>
        <v>31.135231779851601</v>
      </c>
      <c r="I159" s="103">
        <f ca="1">IF(AND(Energy!$F$11=$A$3,Main!$B$43=A159),Weight!V36,I159)</f>
        <v>67.688676577749732</v>
      </c>
      <c r="J159" s="103">
        <f ca="1">IF(AND(Energy!$F$11=$A$3,Main!$B$43=A159),Weight!I36,J159)</f>
        <v>31.61579652289813</v>
      </c>
      <c r="K159" s="103">
        <f ca="1">IF(AND(Energy!$F$11=$A$3,Main!$B$43=A159),Weight!W36,K159)</f>
        <v>82.688676854541455</v>
      </c>
      <c r="L159" s="103">
        <f ca="1">IF(AND(Energy!$F$11=$A$3,Main!$B$43=A159),'Aerodynamics-Cruise'!BI36,L159)</f>
        <v>82.688676298989165</v>
      </c>
      <c r="M159" s="103">
        <f ca="1">IF(AND(Energy!$F$11=$A$3,Main!$B$43=A159),'Aerodynamics-Cruise'!BJ36,M159)</f>
        <v>3.5583245541922222</v>
      </c>
      <c r="N159" s="103">
        <f ca="1">IF(AND(Energy!$F$11=$A$3,Main!$B$43=A159),'Aerodynamics-Cruise'!BK36,N159)</f>
        <v>23.238092827021614</v>
      </c>
      <c r="O159" s="103">
        <f t="shared" ca="1" si="9"/>
        <v>211.31167962570407</v>
      </c>
      <c r="P159" s="103">
        <f ca="1">IF(AND(Energy!$F$11=$A$3,Main!$B$43=A159),'Aerodynamics-Cruise'!H36,P159)</f>
        <v>7.9037378363864974</v>
      </c>
      <c r="Q159" s="103">
        <f ca="1">IF(AND(Energy!$F$11=$A$3,Main!$B$43=A159),'Aerodynamics-Cruise'!I36,Q159)</f>
        <v>6.6440563566917996</v>
      </c>
      <c r="R159" s="103">
        <f ca="1">IF(AND(Energy!$F$11=$A$3,Main!$B$43=$A159),Summary!R36,R159)</f>
        <v>5.1148819659237263</v>
      </c>
      <c r="S159" s="103">
        <f ca="1">IF(AND(Energy!$F$11=$A$3,Main!$B$43=A159),'Aerodynamics-Cruise'!W36,S159)</f>
        <v>1</v>
      </c>
      <c r="T159" s="103">
        <f ca="1">IF(AND(Energy!$F$11=$A$3,Main!$B$43=A159),'Aerodynamics-Cruise'!BL36,T159)</f>
        <v>28.124064413112183</v>
      </c>
      <c r="U159" s="103">
        <f ca="1">IF(AND(Energy!$F$11=$A$3,Main!$B$43=A159),'Propulsion-Cruise'!M36,U159)</f>
        <v>63.344476127245031</v>
      </c>
      <c r="V159" s="103">
        <f ca="1">IF(AND(Energy!$F$11=$A$3,Main!$B$43=A159),Endurance!AP36,V159)</f>
        <v>631.46621958092351</v>
      </c>
      <c r="W159" s="103">
        <f ca="1">IF(AND(Energy!$F$11=$A$3,Main!$B$43=$A159),Summary!W36,W159)</f>
        <v>2.4421052631578943</v>
      </c>
      <c r="X159" s="13">
        <f ca="1">IF(AND(Energy!$F$11=$A$3,Main!$B$43=A159),Energy!D36,X159)</f>
        <v>406.6992012446583</v>
      </c>
      <c r="Y159" s="102">
        <f ca="1">IF(AND(Energy!$F$11=$A$3,Main!$B$43=A159),'Aerodynamics-Cruise'!V36,Y159)</f>
        <v>178231.83264292742</v>
      </c>
      <c r="Z159" s="102">
        <f ca="1">IF(AND(Energy!$F$11=$A$3,Main!$B$43=$A159),Summary!Z36,Z159)</f>
        <v>132769.45542942424</v>
      </c>
      <c r="AA159" s="102">
        <f ca="1">IF(AND(Energy!$F$11=$A$3,Main!$B$43=$A159),Summary!AA36,AA159)</f>
        <v>132769.45542942424</v>
      </c>
      <c r="AB159" s="103">
        <f ca="1">IF(AND(Energy!$F$11=$A$3,Main!$B$43=$A159),Summary!AB36,AB159)</f>
        <v>5.1148819659237263</v>
      </c>
      <c r="AC159" s="103">
        <f ca="1">IF(AND(Energy!$F$11=$A$3,Main!$B$43=$A159),Summary!AC36,AC159)</f>
        <v>1.5058753153477789</v>
      </c>
      <c r="AD159" s="103">
        <f ca="1">IF(AND(Energy!$F$11=$A$3,Main!$B$43=$A159),Summary!AD36,AD159)</f>
        <v>0.44626423587043956</v>
      </c>
      <c r="AE159" s="103">
        <f ca="1">IF(AND(Energy!$F$11=$A$3,Main!$B$43=$A159),Summary!AE36,AE159)</f>
        <v>2.4421052631578943</v>
      </c>
      <c r="AF159" s="103">
        <f ca="1">IF(AND(Energy!$F$11=$A$3,Main!$B$43=$A159),Summary!AF36,AF159)</f>
        <v>19.317434210526322</v>
      </c>
      <c r="AG159" s="103">
        <f ca="1">IF(AND(Energy!$F$11=$A$3,Main!$B$43=$A159),Summary!AG36,AG159)</f>
        <v>12.581680610609972</v>
      </c>
      <c r="AH159" s="103">
        <f ca="1">IF(AND(Energy!$F$11=$A$3,Main!$B$43=$A159),Summary!AH36,AH159)</f>
        <v>47</v>
      </c>
      <c r="AI159" s="103">
        <f ca="1">IF(AND(Energy!$F$11=$A$3,Main!$B$43=$A159),Summary!AI36,AI159)</f>
        <v>2.7736681821769111</v>
      </c>
      <c r="AJ159" s="103">
        <f ca="1">IF(AND(Energy!$F$11=$A$3,Main!$B$43=$A159),Summary!AJ36,AJ159)</f>
        <v>0.23067716056119697</v>
      </c>
      <c r="AK159" s="103">
        <f ca="1">IF(AND(Energy!$F$11=$A$3,Main!$B$43=$A159),Summary!AK36,AK159)</f>
        <v>0.01</v>
      </c>
      <c r="AL159" s="103">
        <f ca="1">IF(AND(Energy!$F$11=$A$3,Main!$B$43=$A159),Summary!AL36,AL159)</f>
        <v>-0.5418821114020056</v>
      </c>
      <c r="AM159" s="103">
        <f ca="1">IF(AND(Energy!$F$11=$A$3,Main!$B$43=$A159),Summary!AJ176,AM159)</f>
        <v>0</v>
      </c>
    </row>
    <row r="160" spans="1:39">
      <c r="A160">
        <f t="shared" si="10"/>
        <v>8</v>
      </c>
      <c r="D160" s="1">
        <f ca="1">IF(AND(Energy!$F$11=$A$3,Main!$B$43=A160),Main!C37,D160)</f>
        <v>7.026315789473685</v>
      </c>
      <c r="E160" s="103">
        <f ca="1">IF(AND(Energy!$F$11=$A$3,Main!$B$43=A160),Main!B37,E160)</f>
        <v>0.35555555555555546</v>
      </c>
      <c r="F160" s="103">
        <f ca="1">IF(Main!$D$6=1,U160,IF(Main!$D$6=2,N160,IF(Main!$D$6=3,K160,IF(Main!$D$6=4,V160,J160))))</f>
        <v>632.83879627389615</v>
      </c>
      <c r="G160" s="103">
        <f ca="1">IF(AND(Energy!$F$11=$A$3,Main!$B$43=A160),Weight!H37,G160)</f>
        <v>15</v>
      </c>
      <c r="H160" s="103">
        <f ca="1">IF(AND(Energy!$F$11=$A$3,Main!$B$43=A160),Weight!U37,H160)</f>
        <v>32.070693310953786</v>
      </c>
      <c r="I160" s="103">
        <f ca="1">IF(AND(Energy!$F$11=$A$3,Main!$B$43=A160),Weight!V37,I160)</f>
        <v>68.676494097181248</v>
      </c>
      <c r="J160" s="103">
        <f ca="1">IF(AND(Energy!$F$11=$A$3,Main!$B$43=A160),Weight!I37,J160)</f>
        <v>31.668152511227465</v>
      </c>
      <c r="K160" s="103">
        <f ca="1">IF(AND(Energy!$F$11=$A$3,Main!$B$43=A160),Weight!W37,K160)</f>
        <v>83.67649438369304</v>
      </c>
      <c r="L160" s="103">
        <f ca="1">IF(AND(Energy!$F$11=$A$3,Main!$B$43=A160),'Aerodynamics-Cruise'!BI37,L160)</f>
        <v>83.676493808645645</v>
      </c>
      <c r="M160" s="103">
        <f ca="1">IF(AND(Energy!$F$11=$A$3,Main!$B$43=A160),'Aerodynamics-Cruise'!BJ37,M160)</f>
        <v>3.5779764283747464</v>
      </c>
      <c r="N160" s="103">
        <f ca="1">IF(AND(Energy!$F$11=$A$3,Main!$B$43=A160),'Aerodynamics-Cruise'!BK37,N160)</f>
        <v>23.38654138273759</v>
      </c>
      <c r="O160" s="103">
        <f t="shared" ca="1" si="9"/>
        <v>213.92805181893067</v>
      </c>
      <c r="P160" s="103">
        <f ca="1">IF(AND(Energy!$F$11=$A$3,Main!$B$43=A160),'Aerodynamics-Cruise'!H37,P160)</f>
        <v>7.8609407713165629</v>
      </c>
      <c r="Q160" s="103">
        <f ca="1">IF(AND(Energy!$F$11=$A$3,Main!$B$43=A160),'Aerodynamics-Cruise'!I37,Q160)</f>
        <v>6.6095574200050891</v>
      </c>
      <c r="R160" s="103">
        <f ca="1">IF(AND(Energy!$F$11=$A$3,Main!$B$43=$A160),Summary!R37,R160)</f>
        <v>5.1227370298778476</v>
      </c>
      <c r="S160" s="103">
        <f ca="1">IF(AND(Energy!$F$11=$A$3,Main!$B$43=A160),'Aerodynamics-Cruise'!W37,S160)</f>
        <v>1</v>
      </c>
      <c r="T160" s="103">
        <f ca="1">IF(AND(Energy!$F$11=$A$3,Main!$B$43=A160),'Aerodynamics-Cruise'!BL37,T160)</f>
        <v>28.126260784620658</v>
      </c>
      <c r="U160" s="103">
        <f ca="1">IF(AND(Energy!$F$11=$A$3,Main!$B$43=A160),'Propulsion-Cruise'!M37,U160)</f>
        <v>63.507490943117283</v>
      </c>
      <c r="V160" s="103">
        <f ca="1">IF(AND(Energy!$F$11=$A$3,Main!$B$43=A160),Endurance!AP37,V160)</f>
        <v>632.83879627389615</v>
      </c>
      <c r="W160" s="103">
        <f ca="1">IF(AND(Energy!$F$11=$A$3,Main!$B$43=$A160),Summary!W37,W160)</f>
        <v>2.4982456140350875</v>
      </c>
      <c r="X160" s="13">
        <f ca="1">IF(AND(Energy!$F$11=$A$3,Main!$B$43=A160),Energy!D37,X160)</f>
        <v>406.72824615653968</v>
      </c>
      <c r="Y160" s="102">
        <f ca="1">IF(AND(Energy!$F$11=$A$3,Main!$B$43=A160),'Aerodynamics-Cruise'!V37,Y160)</f>
        <v>177266.7450480382</v>
      </c>
      <c r="Z160" s="102">
        <f ca="1">IF(AND(Energy!$F$11=$A$3,Main!$B$43=$A160),Summary!Z37,Z160)</f>
        <v>132078.90472109351</v>
      </c>
      <c r="AA160" s="102">
        <f ca="1">IF(AND(Energy!$F$11=$A$3,Main!$B$43=$A160),Summary!AA37,AA160)</f>
        <v>132078.90472109351</v>
      </c>
      <c r="AB160" s="103">
        <f ca="1">IF(AND(Energy!$F$11=$A$3,Main!$B$43=$A160),Summary!AB37,AB160)</f>
        <v>5.1227370298778476</v>
      </c>
      <c r="AC160" s="103">
        <f ca="1">IF(AND(Energy!$F$11=$A$3,Main!$B$43=$A160),Summary!AC37,AC160)</f>
        <v>1.4799853004114936</v>
      </c>
      <c r="AD160" s="103">
        <f ca="1">IF(AND(Energy!$F$11=$A$3,Main!$B$43=$A160),Summary!AD37,AD160)</f>
        <v>0.44607813454201645</v>
      </c>
      <c r="AE160" s="103">
        <f ca="1">IF(AND(Energy!$F$11=$A$3,Main!$B$43=$A160),Summary!AE37,AE160)</f>
        <v>2.4982456140350875</v>
      </c>
      <c r="AF160" s="103">
        <f ca="1">IF(AND(Energy!$F$11=$A$3,Main!$B$43=$A160),Summary!AF37,AF160)</f>
        <v>19.761513157894743</v>
      </c>
      <c r="AG160" s="103">
        <f ca="1">IF(AND(Energy!$F$11=$A$3,Main!$B$43=$A160),Summary!AG37,AG160)</f>
        <v>12.608273657393354</v>
      </c>
      <c r="AH160" s="103">
        <f ca="1">IF(AND(Energy!$F$11=$A$3,Main!$B$43=$A160),Summary!AH37,AH160)</f>
        <v>47</v>
      </c>
      <c r="AI160" s="103">
        <f ca="1">IF(AND(Energy!$F$11=$A$3,Main!$B$43=$A160),Summary!AI37,AI160)</f>
        <v>2.7724285037434759</v>
      </c>
      <c r="AJ160" s="103">
        <f ca="1">IF(AND(Energy!$F$11=$A$3,Main!$B$43=$A160),Summary!AJ37,AJ160)</f>
        <v>0.23097920849164025</v>
      </c>
      <c r="AK160" s="103">
        <f ca="1">IF(AND(Energy!$F$11=$A$3,Main!$B$43=$A160),Summary!AK37,AK160)</f>
        <v>0.01</v>
      </c>
      <c r="AL160" s="103">
        <f ca="1">IF(AND(Energy!$F$11=$A$3,Main!$B$43=$A160),Summary!AL37,AL160)</f>
        <v>-0.54117347285767436</v>
      </c>
      <c r="AM160" s="103">
        <f ca="1">IF(AND(Energy!$F$11=$A$3,Main!$B$43=$A160),Summary!AJ177,AM160)</f>
        <v>0</v>
      </c>
    </row>
    <row r="161" spans="1:39">
      <c r="A161">
        <f t="shared" si="10"/>
        <v>8</v>
      </c>
      <c r="D161" s="1">
        <f ca="1">IF(AND(Energy!$F$11=$A$3,Main!$B$43=A161),Main!C38,D161)</f>
        <v>7.1842105263157903</v>
      </c>
      <c r="E161" s="103">
        <f ca="1">IF(AND(Energy!$F$11=$A$3,Main!$B$43=A161),Main!B38,E161)</f>
        <v>0.35555555555555546</v>
      </c>
      <c r="F161" s="103">
        <f ca="1">IF(Main!$D$6=1,U161,IF(Main!$D$6=2,N161,IF(Main!$D$6=3,K161,IF(Main!$D$6=4,V161,J161))))</f>
        <v>634.65560891524444</v>
      </c>
      <c r="G161" s="103">
        <f ca="1">IF(AND(Energy!$F$11=$A$3,Main!$B$43=A161),Weight!H38,G161)</f>
        <v>15</v>
      </c>
      <c r="H161" s="103">
        <f ca="1">IF(AND(Energy!$F$11=$A$3,Main!$B$43=A161),Weight!U38,H161)</f>
        <v>33.02813206864441</v>
      </c>
      <c r="I161" s="103">
        <f ca="1">IF(AND(Energy!$F$11=$A$3,Main!$B$43=A161),Weight!V38,I161)</f>
        <v>69.706313050126823</v>
      </c>
      <c r="J161" s="103">
        <f ca="1">IF(AND(Energy!$F$11=$A$3,Main!$B$43=A161),Weight!I38,J161)</f>
        <v>31.740532706482409</v>
      </c>
      <c r="K161" s="103">
        <f ca="1">IF(AND(Energy!$F$11=$A$3,Main!$B$43=A161),Weight!W38,K161)</f>
        <v>84.706313351521089</v>
      </c>
      <c r="L161" s="103">
        <f ca="1">IF(AND(Energy!$F$11=$A$3,Main!$B$43=A161),'Aerodynamics-Cruise'!BI38,L161)</f>
        <v>84.706312746617158</v>
      </c>
      <c r="M161" s="103">
        <f ca="1">IF(AND(Energy!$F$11=$A$3,Main!$B$43=A161),'Aerodynamics-Cruise'!BJ38,M161)</f>
        <v>3.5995669782887938</v>
      </c>
      <c r="N161" s="103">
        <f ca="1">IF(AND(Energy!$F$11=$A$3,Main!$B$43=A161),'Aerodynamics-Cruise'!BK38,N161)</f>
        <v>23.53236188061873</v>
      </c>
      <c r="O161" s="103">
        <f t="shared" ca="1" si="9"/>
        <v>216.58252223760087</v>
      </c>
      <c r="P161" s="103">
        <f ca="1">IF(AND(Energy!$F$11=$A$3,Main!$B$43=A161),'Aerodynamics-Cruise'!H38,P161)</f>
        <v>7.8217463415259516</v>
      </c>
      <c r="Q161" s="103">
        <f ca="1">IF(AND(Energy!$F$11=$A$3,Main!$B$43=A161),'Aerodynamics-Cruise'!I38,Q161)</f>
        <v>6.5779560921819389</v>
      </c>
      <c r="R161" s="103">
        <f ca="1">IF(AND(Energy!$F$11=$A$3,Main!$B$43=$A161),Summary!R38,R161)</f>
        <v>5.1369029180907324</v>
      </c>
      <c r="S161" s="103">
        <f ca="1">IF(AND(Energy!$F$11=$A$3,Main!$B$43=A161),'Aerodynamics-Cruise'!W38,S161)</f>
        <v>1</v>
      </c>
      <c r="T161" s="103">
        <f ca="1">IF(AND(Energy!$F$11=$A$3,Main!$B$43=A161),'Aerodynamics-Cruise'!BL38,T161)</f>
        <v>28.154899843507998</v>
      </c>
      <c r="U161" s="103">
        <f ca="1">IF(AND(Energy!$F$11=$A$3,Main!$B$43=A161),'Propulsion-Cruise'!M38,U161)</f>
        <v>63.7232245007595</v>
      </c>
      <c r="V161" s="103">
        <f ca="1">IF(AND(Energy!$F$11=$A$3,Main!$B$43=A161),Endurance!AP38,V161)</f>
        <v>634.65560891524444</v>
      </c>
      <c r="W161" s="103">
        <f ca="1">IF(AND(Energy!$F$11=$A$3,Main!$B$43=$A161),Summary!W38,W161)</f>
        <v>2.5543859649122802</v>
      </c>
      <c r="X161" s="13">
        <f ca="1">IF(AND(Energy!$F$11=$A$3,Main!$B$43=A161),Energy!D38,X161)</f>
        <v>406.76839966144735</v>
      </c>
      <c r="Y161" s="102">
        <f ca="1">IF(AND(Energy!$F$11=$A$3,Main!$B$43=A161),'Aerodynamics-Cruise'!V38,Y161)</f>
        <v>176382.89803848599</v>
      </c>
      <c r="Z161" s="102">
        <f ca="1">IF(AND(Energy!$F$11=$A$3,Main!$B$43=$A161),Summary!Z38,Z161)</f>
        <v>131446.35929363014</v>
      </c>
      <c r="AA161" s="102">
        <f ca="1">IF(AND(Energy!$F$11=$A$3,Main!$B$43=$A161),Summary!AA38,AA161)</f>
        <v>131446.35929363014</v>
      </c>
      <c r="AB161" s="103">
        <f ca="1">IF(AND(Energy!$F$11=$A$3,Main!$B$43=$A161),Summary!AB38,AB161)</f>
        <v>5.1369029180907324</v>
      </c>
      <c r="AC161" s="103">
        <f ca="1">IF(AND(Energy!$F$11=$A$3,Main!$B$43=$A161),Summary!AC38,AC161)</f>
        <v>1.4543226255710118</v>
      </c>
      <c r="AD161" s="103">
        <f ca="1">IF(AND(Energy!$F$11=$A$3,Main!$B$43=$A161),Summary!AD38,AD161)</f>
        <v>0.44606040790946588</v>
      </c>
      <c r="AE161" s="103">
        <f ca="1">IF(AND(Energy!$F$11=$A$3,Main!$B$43=$A161),Summary!AE38,AE161)</f>
        <v>2.5543859649122802</v>
      </c>
      <c r="AF161" s="103">
        <f ca="1">IF(AND(Energy!$F$11=$A$3,Main!$B$43=$A161),Summary!AF38,AF161)</f>
        <v>20.205592105263165</v>
      </c>
      <c r="AG161" s="103">
        <f ca="1">IF(AND(Energy!$F$11=$A$3,Main!$B$43=$A161),Summary!AG38,AG161)</f>
        <v>12.640964996168071</v>
      </c>
      <c r="AH161" s="103">
        <f ca="1">IF(AND(Energy!$F$11=$A$3,Main!$B$43=$A161),Summary!AH38,AH161)</f>
        <v>47</v>
      </c>
      <c r="AI161" s="103">
        <f ca="1">IF(AND(Energy!$F$11=$A$3,Main!$B$43=$A161),Summary!AI38,AI161)</f>
        <v>2.7712874915027608</v>
      </c>
      <c r="AJ161" s="103">
        <f ca="1">IF(AND(Energy!$F$11=$A$3,Main!$B$43=$A161),Summary!AJ38,AJ161)</f>
        <v>0.23125920134213357</v>
      </c>
      <c r="AK161" s="103">
        <f ca="1">IF(AND(Energy!$F$11=$A$3,Main!$B$43=$A161),Summary!AK38,AK161)</f>
        <v>0.01</v>
      </c>
      <c r="AL161" s="103">
        <f ca="1">IF(AND(Energy!$F$11=$A$3,Main!$B$43=$A161),Summary!AL38,AL161)</f>
        <v>-0.54051821727422877</v>
      </c>
      <c r="AM161" s="103">
        <f ca="1">IF(AND(Energy!$F$11=$A$3,Main!$B$43=$A161),Summary!AJ178,AM161)</f>
        <v>0</v>
      </c>
    </row>
    <row r="162" spans="1:39">
      <c r="A162">
        <f t="shared" si="10"/>
        <v>8</v>
      </c>
      <c r="D162" s="1">
        <f ca="1">IF(AND(Energy!$F$11=$A$3,Main!$B$43=A162),Main!C39,D162)</f>
        <v>7.3421052631578956</v>
      </c>
      <c r="E162" s="103">
        <f ca="1">IF(AND(Energy!$F$11=$A$3,Main!$B$43=A162),Main!B39,E162)</f>
        <v>0.35555555555555546</v>
      </c>
      <c r="F162" s="103">
        <f ca="1">IF(Main!$D$6=1,U162,IF(Main!$D$6=2,N162,IF(Main!$D$6=3,K162,IF(Main!$D$6=4,V162,J162))))</f>
        <v>636.88948270968547</v>
      </c>
      <c r="G162" s="103">
        <f ca="1">IF(AND(Energy!$F$11=$A$3,Main!$B$43=A162),Weight!H39,G162)</f>
        <v>15</v>
      </c>
      <c r="H162" s="103">
        <f ca="1">IF(AND(Energy!$F$11=$A$3,Main!$B$43=A162),Weight!U39,H162)</f>
        <v>34.007714358014731</v>
      </c>
      <c r="I162" s="103">
        <f ca="1">IF(AND(Energy!$F$11=$A$3,Main!$B$43=A162),Weight!V39,I162)</f>
        <v>70.77706099380427</v>
      </c>
      <c r="J162" s="103">
        <f ca="1">IF(AND(Energy!$F$11=$A$3,Main!$B$43=A162),Weight!I39,J162)</f>
        <v>31.831698360789538</v>
      </c>
      <c r="K162" s="103">
        <f ca="1">IF(AND(Energy!$F$11=$A$3,Main!$B$43=A162),Weight!W39,K162)</f>
        <v>85.777061315085618</v>
      </c>
      <c r="L162" s="103">
        <f ca="1">IF(AND(Energy!$F$11=$A$3,Main!$B$43=A162),'Aerodynamics-Cruise'!BI39,L162)</f>
        <v>85.777060670280591</v>
      </c>
      <c r="M162" s="103">
        <f ca="1">IF(AND(Energy!$F$11=$A$3,Main!$B$43=A162),'Aerodynamics-Cruise'!BJ39,M162)</f>
        <v>3.622980714783143</v>
      </c>
      <c r="N162" s="103">
        <f ca="1">IF(AND(Energy!$F$11=$A$3,Main!$B$43=A162),'Aerodynamics-Cruise'!BK39,N162)</f>
        <v>23.67582590773323</v>
      </c>
      <c r="O162" s="103">
        <f t="shared" ca="1" si="9"/>
        <v>219.27580696606987</v>
      </c>
      <c r="P162" s="103">
        <f ca="1">IF(AND(Energy!$F$11=$A$3,Main!$B$43=A162),'Aerodynamics-Cruise'!H39,P162)</f>
        <v>7.7859115545313724</v>
      </c>
      <c r="Q162" s="103">
        <f ca="1">IF(AND(Energy!$F$11=$A$3,Main!$B$43=A162),'Aerodynamics-Cruise'!I39,Q162)</f>
        <v>6.5490581723377685</v>
      </c>
      <c r="R162" s="103">
        <f ca="1">IF(AND(Energy!$F$11=$A$3,Main!$B$43=$A162),Summary!R39,R162)</f>
        <v>5.1570354413548296</v>
      </c>
      <c r="S162" s="103">
        <f ca="1">IF(AND(Energy!$F$11=$A$3,Main!$B$43=A162),'Aerodynamics-Cruise'!W39,S162)</f>
        <v>1</v>
      </c>
      <c r="T162" s="103">
        <f ca="1">IF(AND(Energy!$F$11=$A$3,Main!$B$43=A162),'Aerodynamics-Cruise'!BL39,T162)</f>
        <v>28.208207409074404</v>
      </c>
      <c r="U162" s="103">
        <f ca="1">IF(AND(Energy!$F$11=$A$3,Main!$B$43=A162),'Propulsion-Cruise'!M39,U162)</f>
        <v>63.988452235856634</v>
      </c>
      <c r="V162" s="103">
        <f ca="1">IF(AND(Energy!$F$11=$A$3,Main!$B$43=A162),Endurance!AP39,V162)</f>
        <v>636.88948270968547</v>
      </c>
      <c r="W162" s="103">
        <f ca="1">IF(AND(Energy!$F$11=$A$3,Main!$B$43=$A162),Summary!W39,W162)</f>
        <v>2.6105263157894734</v>
      </c>
      <c r="X162" s="13">
        <f ca="1">IF(AND(Energy!$F$11=$A$3,Main!$B$43=A162),Energy!D39,X162)</f>
        <v>406.81897455388003</v>
      </c>
      <c r="Y162" s="102">
        <f ca="1">IF(AND(Energy!$F$11=$A$3,Main!$B$43=A162),'Aerodynamics-Cruise'!V39,Y162)</f>
        <v>175574.81205554644</v>
      </c>
      <c r="Z162" s="102">
        <f ca="1">IF(AND(Energy!$F$11=$A$3,Main!$B$43=$A162),Summary!Z39,Z162)</f>
        <v>130867.93060032905</v>
      </c>
      <c r="AA162" s="102">
        <f ca="1">IF(AND(Energy!$F$11=$A$3,Main!$B$43=$A162),Summary!AA39,AA162)</f>
        <v>130867.93060032905</v>
      </c>
      <c r="AB162" s="103">
        <f ca="1">IF(AND(Energy!$F$11=$A$3,Main!$B$43=$A162),Summary!AB39,AB162)</f>
        <v>5.1570354413548296</v>
      </c>
      <c r="AC162" s="103">
        <f ca="1">IF(AND(Energy!$F$11=$A$3,Main!$B$43=$A162),Summary!AC39,AC162)</f>
        <v>1.4289144263228912</v>
      </c>
      <c r="AD162" s="103">
        <f ca="1">IF(AND(Energy!$F$11=$A$3,Main!$B$43=$A162),Summary!AD39,AD162)</f>
        <v>0.44619995974103066</v>
      </c>
      <c r="AE162" s="103">
        <f ca="1">IF(AND(Energy!$F$11=$A$3,Main!$B$43=$A162),Summary!AE39,AE162)</f>
        <v>2.6105263157894734</v>
      </c>
      <c r="AF162" s="103">
        <f ca="1">IF(AND(Energy!$F$11=$A$3,Main!$B$43=$A162),Summary!AF39,AF162)</f>
        <v>20.649671052631586</v>
      </c>
      <c r="AG162" s="103">
        <f ca="1">IF(AND(Energy!$F$11=$A$3,Main!$B$43=$A162),Summary!AG39,AG162)</f>
        <v>12.679363834984317</v>
      </c>
      <c r="AH162" s="103">
        <f ca="1">IF(AND(Energy!$F$11=$A$3,Main!$B$43=$A162),Summary!AH39,AH162)</f>
        <v>47</v>
      </c>
      <c r="AI162" s="103">
        <f ca="1">IF(AND(Energy!$F$11=$A$3,Main!$B$43=$A162),Summary!AI39,AI162)</f>
        <v>2.7702394020124834</v>
      </c>
      <c r="AJ162" s="103">
        <f ca="1">IF(AND(Energy!$F$11=$A$3,Main!$B$43=$A162),Summary!AJ39,AJ162)</f>
        <v>0.23151842983738566</v>
      </c>
      <c r="AK162" s="103">
        <f ca="1">IF(AND(Energy!$F$11=$A$3,Main!$B$43=$A162),Summary!AK39,AK162)</f>
        <v>0.01</v>
      </c>
      <c r="AL162" s="103">
        <f ca="1">IF(AND(Energy!$F$11=$A$3,Main!$B$43=$A162),Summary!AL39,AL162)</f>
        <v>-0.53991295425477404</v>
      </c>
      <c r="AM162" s="103">
        <f ca="1">IF(AND(Energy!$F$11=$A$3,Main!$B$43=$A162),Summary!AJ179,AM162)</f>
        <v>0</v>
      </c>
    </row>
    <row r="163" spans="1:39">
      <c r="A163">
        <f t="shared" si="10"/>
        <v>8</v>
      </c>
      <c r="D163" s="1">
        <f ca="1">IF(AND(Energy!$F$11=$A$3,Main!$B$43=A163),Main!C40,D163)</f>
        <v>7.5</v>
      </c>
      <c r="E163" s="103">
        <f ca="1">IF(AND(Energy!$F$11=$A$3,Main!$B$43=A163),Main!B40,E163)</f>
        <v>0.35555555555555546</v>
      </c>
      <c r="F163" s="103">
        <f ca="1">IF(Main!$D$6=1,U163,IF(Main!$D$6=2,N163,IF(Main!$D$6=3,K163,IF(Main!$D$6=4,V163,J163))))</f>
        <v>639.51673244542337</v>
      </c>
      <c r="G163" s="103">
        <f ca="1">IF(AND(Energy!$F$11=$A$3,Main!$B$43=A163),Weight!H40,G163)</f>
        <v>15</v>
      </c>
      <c r="H163" s="103">
        <f ca="1">IF(AND(Energy!$F$11=$A$3,Main!$B$43=A163),Weight!U40,H163)</f>
        <v>35.009623710787622</v>
      </c>
      <c r="I163" s="103">
        <f ca="1">IF(AND(Energy!$F$11=$A$3,Main!$B$43=A163),Weight!V40,I163)</f>
        <v>71.887841472441352</v>
      </c>
      <c r="J163" s="103">
        <f ca="1">IF(AND(Energy!$F$11=$A$3,Main!$B$43=A163),Weight!I40,J163)</f>
        <v>31.940569486653732</v>
      </c>
      <c r="K163" s="103">
        <f ca="1">IF(AND(Energy!$F$11=$A$3,Main!$B$43=A163),Weight!W40,K163)</f>
        <v>86.887841812604236</v>
      </c>
      <c r="L163" s="103">
        <f ca="1">IF(AND(Energy!$F$11=$A$3,Main!$B$43=A163),'Aerodynamics-Cruise'!BI40,L163)</f>
        <v>86.887841129917987</v>
      </c>
      <c r="M163" s="103">
        <f ca="1">IF(AND(Energy!$F$11=$A$3,Main!$B$43=A163),'Aerodynamics-Cruise'!BJ40,M163)</f>
        <v>3.6481156962276828</v>
      </c>
      <c r="N163" s="103">
        <f ca="1">IF(AND(Energy!$F$11=$A$3,Main!$B$43=A163),'Aerodynamics-Cruise'!BK40,N163)</f>
        <v>23.817183544854117</v>
      </c>
      <c r="O163" s="103">
        <f t="shared" ca="1" si="9"/>
        <v>222.00865555752458</v>
      </c>
      <c r="P163" s="103">
        <f ca="1">IF(AND(Energy!$F$11=$A$3,Main!$B$43=A163),'Aerodynamics-Cruise'!H40,P163)</f>
        <v>7.7532173546679699</v>
      </c>
      <c r="Q163" s="103">
        <f ca="1">IF(AND(Energy!$F$11=$A$3,Main!$B$43=A163),'Aerodynamics-Cruise'!I40,Q163)</f>
        <v>6.5226884817880926</v>
      </c>
      <c r="R163" s="103">
        <f ca="1">IF(AND(Energy!$F$11=$A$3,Main!$B$43=$A163),Summary!R40,R163)</f>
        <v>5.1828416675794431</v>
      </c>
      <c r="S163" s="103">
        <f ca="1">IF(AND(Energy!$F$11=$A$3,Main!$B$43=A163),'Aerodynamics-Cruise'!W40,S163)</f>
        <v>1</v>
      </c>
      <c r="T163" s="103">
        <f ca="1">IF(AND(Energy!$F$11=$A$3,Main!$B$43=A163),'Aerodynamics-Cruise'!BL40,T163)</f>
        <v>28.284633927829095</v>
      </c>
      <c r="U163" s="103">
        <f ca="1">IF(AND(Energy!$F$11=$A$3,Main!$B$43=A163),'Propulsion-Cruise'!M40,U163)</f>
        <v>64.300363631754536</v>
      </c>
      <c r="V163" s="103">
        <f ca="1">IF(AND(Energy!$F$11=$A$3,Main!$B$43=A163),Endurance!AP40,V163)</f>
        <v>639.51673244542337</v>
      </c>
      <c r="W163" s="103">
        <f ca="1">IF(AND(Energy!$F$11=$A$3,Main!$B$43=$A163),Summary!W40,W163)</f>
        <v>2.6666666666666661</v>
      </c>
      <c r="X163" s="13">
        <f ca="1">IF(AND(Energy!$F$11=$A$3,Main!$B$43=A163),Energy!D40,X163)</f>
        <v>406.87937169941387</v>
      </c>
      <c r="Y163" s="102">
        <f ca="1">IF(AND(Energy!$F$11=$A$3,Main!$B$43=A163),'Aerodynamics-Cruise'!V40,Y163)</f>
        <v>174837.54732345705</v>
      </c>
      <c r="Z163" s="102">
        <f ca="1">IF(AND(Energy!$F$11=$A$3,Main!$B$43=$A163),Summary!Z40,Z163)</f>
        <v>130340.11106712067</v>
      </c>
      <c r="AA163" s="102">
        <f ca="1">IF(AND(Energy!$F$11=$A$3,Main!$B$43=$A163),Summary!AA40,AA163)</f>
        <v>130340.11106712067</v>
      </c>
      <c r="AB163" s="103">
        <f ca="1">IF(AND(Energy!$F$11=$A$3,Main!$B$43=$A163),Summary!AB40,AB163)</f>
        <v>5.1828416675794431</v>
      </c>
      <c r="AC163" s="103">
        <f ca="1">IF(AND(Energy!$F$11=$A$3,Main!$B$43=$A163),Summary!AC40,AC163)</f>
        <v>1.4037831313343385</v>
      </c>
      <c r="AD163" s="103">
        <f ca="1">IF(AND(Energy!$F$11=$A$3,Main!$B$43=$A163),Summary!AD40,AD163)</f>
        <v>0.44648683505373821</v>
      </c>
      <c r="AE163" s="103">
        <f ca="1">IF(AND(Energy!$F$11=$A$3,Main!$B$43=$A163),Summary!AE40,AE163)</f>
        <v>2.6666666666666661</v>
      </c>
      <c r="AF163" s="103">
        <f ca="1">IF(AND(Energy!$F$11=$A$3,Main!$B$43=$A163),Summary!AF40,AF163)</f>
        <v>21.093750000000004</v>
      </c>
      <c r="AG163" s="103">
        <f ca="1">IF(AND(Energy!$F$11=$A$3,Main!$B$43=$A163),Summary!AG40,AG163)</f>
        <v>12.723124499744952</v>
      </c>
      <c r="AH163" s="103">
        <f ca="1">IF(AND(Energy!$F$11=$A$3,Main!$B$43=$A163),Summary!AH40,AH163)</f>
        <v>47</v>
      </c>
      <c r="AI163" s="103">
        <f ca="1">IF(AND(Energy!$F$11=$A$3,Main!$B$43=$A163),Summary!AI40,AI163)</f>
        <v>2.7692789823005395</v>
      </c>
      <c r="AJ163" s="103">
        <f ca="1">IF(AND(Energy!$F$11=$A$3,Main!$B$43=$A163),Summary!AJ40,AJ163)</f>
        <v>0.23175716624847642</v>
      </c>
      <c r="AK163" s="103">
        <f ca="1">IF(AND(Energy!$F$11=$A$3,Main!$B$43=$A163),Summary!AK40,AK163)</f>
        <v>0.01</v>
      </c>
      <c r="AL163" s="103">
        <f ca="1">IF(AND(Energy!$F$11=$A$3,Main!$B$43=$A163),Summary!AL40,AL163)</f>
        <v>-0.53935673596260392</v>
      </c>
      <c r="AM163" s="103">
        <f ca="1">IF(AND(Energy!$F$11=$A$3,Main!$B$43=$A163),Summary!AJ180,AM163)</f>
        <v>0</v>
      </c>
    </row>
    <row r="164" spans="1:39">
      <c r="A164" s="7">
        <f>A144+1</f>
        <v>9</v>
      </c>
      <c r="D164" s="1">
        <f ca="1">IF(AND(Energy!$F$11=$A$3,Main!$B$43=A164),Main!C21,D164)</f>
        <v>4.5</v>
      </c>
      <c r="E164" s="103">
        <f ca="1">IF(AND(Energy!$F$11=$A$3,Main!$B$43=A164),Main!B21,E164)</f>
        <v>0.37777777777777766</v>
      </c>
      <c r="F164" s="103">
        <f ca="1">IF(Main!$D$6=1,U164,IF(Main!$D$6=2,N164,IF(Main!$D$6=3,K164,IF(Main!$D$6=4,V164,J164))))</f>
        <v>701.25274954724057</v>
      </c>
      <c r="G164" s="103">
        <f ca="1">IF(AND(Energy!$F$11=$A$3,Main!$B$43=A164),Weight!H21,G164)</f>
        <v>15</v>
      </c>
      <c r="H164" s="103">
        <f ca="1">IF(AND(Energy!$F$11=$A$3,Main!$B$43=A164),Weight!U21,H164)</f>
        <v>20.725463919447549</v>
      </c>
      <c r="I164" s="103">
        <f ca="1">IF(AND(Energy!$F$11=$A$3,Main!$B$43=A164),Weight!V21,I164)</f>
        <v>60.558655039344472</v>
      </c>
      <c r="J164" s="103">
        <f ca="1">IF(AND(Energy!$F$11=$A$3,Main!$B$43=A164),Weight!I21,J164)</f>
        <v>34.895542844896923</v>
      </c>
      <c r="K164" s="103">
        <f ca="1">IF(AND(Energy!$F$11=$A$3,Main!$B$43=A164),Weight!W21,K164)</f>
        <v>75.558655085909692</v>
      </c>
      <c r="L164" s="103">
        <f ca="1">IF(AND(Energy!$F$11=$A$3,Main!$B$43=A164),'Aerodynamics-Cruise'!BI21,L164)</f>
        <v>75.558655258869038</v>
      </c>
      <c r="M164" s="103">
        <f ca="1">IF(AND(Energy!$F$11=$A$3,Main!$B$43=A164),'Aerodynamics-Cruise'!BJ21,M164)</f>
        <v>3.7792098735374537</v>
      </c>
      <c r="N164" s="103">
        <f ca="1">IF(AND(Energy!$F$11=$A$3,Main!$B$43=A164),'Aerodynamics-Cruise'!BK21,N164)</f>
        <v>19.993241388349748</v>
      </c>
      <c r="O164" s="103">
        <f t="shared" ca="1" si="9"/>
        <v>173.79021459987393</v>
      </c>
      <c r="P164" s="103">
        <f ca="1">IF(AND(Energy!$F$11=$A$3,Main!$B$43=A164),'Aerodynamics-Cruise'!H21,P164)</f>
        <v>9.0636381369932444</v>
      </c>
      <c r="Q164" s="103">
        <f ca="1">IF(AND(Energy!$F$11=$A$3,Main!$B$43=A164),'Aerodynamics-Cruise'!I21,Q164)</f>
        <v>7.5513881496389601</v>
      </c>
      <c r="R164" s="103">
        <f ca="1">IF(AND(Energy!$F$11=$A$3,Main!$B$43=$A164),Summary!R21,R164)</f>
        <v>6.0741806859549206</v>
      </c>
      <c r="S164" s="103">
        <f ca="1">IF(AND(Energy!$F$11=$A$3,Main!$B$43=A164),'Aerodynamics-Cruise'!W21,S164)</f>
        <v>1</v>
      </c>
      <c r="T164" s="103">
        <f ca="1">IF(AND(Energy!$F$11=$A$3,Main!$B$43=A164),'Aerodynamics-Cruise'!BL21,T164)</f>
        <v>34.253390737495479</v>
      </c>
      <c r="U164" s="103">
        <f ca="1">IF(AND(Energy!$F$11=$A$3,Main!$B$43=A164),'Propulsion-Cruise'!M21,U164)</f>
        <v>73.43270936235551</v>
      </c>
      <c r="V164" s="103">
        <f ca="1">IF(AND(Energy!$F$11=$A$3,Main!$B$43=A164),Endurance!AP21,V164)</f>
        <v>701.25274954724057</v>
      </c>
      <c r="W164" s="103">
        <f ca="1">IF(AND(Energy!$F$11=$A$3,Main!$B$43=$A164),Summary!W21,W164)</f>
        <v>1.6999999999999995</v>
      </c>
      <c r="X164" s="13">
        <f ca="1">IF(AND(Energy!$F$11=$A$3,Main!$B$43=A164),Energy!D21,X164)</f>
        <v>408.51866726750626</v>
      </c>
      <c r="Y164" s="102">
        <f ca="1">IF(AND(Energy!$F$11=$A$3,Main!$B$43=A164),'Aerodynamics-Cruise'!V21,Y164)</f>
        <v>217162.20518979031</v>
      </c>
      <c r="Z164" s="102">
        <f ca="1">IF(AND(Energy!$F$11=$A$3,Main!$B$43=$A164),Summary!Z21,Z164)</f>
        <v>160387.98890998162</v>
      </c>
      <c r="AA164" s="102">
        <f ca="1">IF(AND(Energy!$F$11=$A$3,Main!$B$43=$A164),Summary!AA21,AA164)</f>
        <v>160387.98890998162</v>
      </c>
      <c r="AB164" s="103">
        <f ca="1">IF(AND(Energy!$F$11=$A$3,Main!$B$43=$A164),Summary!AB21,AB164)</f>
        <v>6.0741806859549206</v>
      </c>
      <c r="AC164" s="103">
        <f ca="1">IF(AND(Energy!$F$11=$A$3,Main!$B$43=$A164),Summary!AC21,AC164)</f>
        <v>1.8017611905865973</v>
      </c>
      <c r="AD164" s="103">
        <f ca="1">IF(AND(Energy!$F$11=$A$3,Main!$B$43=$A164),Summary!AD21,AD164)</f>
        <v>0.48742864478650344</v>
      </c>
      <c r="AE164" s="103">
        <f ca="1">IF(AND(Energy!$F$11=$A$3,Main!$B$43=$A164),Summary!AE21,AE164)</f>
        <v>1.6999999999999995</v>
      </c>
      <c r="AF164" s="103">
        <f ca="1">IF(AND(Energy!$F$11=$A$3,Main!$B$43=$A164),Summary!AF21,AF164)</f>
        <v>11.911764705882357</v>
      </c>
      <c r="AG164" s="103">
        <f ca="1">IF(AND(Energy!$F$11=$A$3,Main!$B$43=$A164),Summary!AG21,AG164)</f>
        <v>13.65396342771383</v>
      </c>
      <c r="AH164" s="103">
        <f ca="1">IF(AND(Energy!$F$11=$A$3,Main!$B$43=$A164),Summary!AH21,AH164)</f>
        <v>47</v>
      </c>
      <c r="AI164" s="103">
        <f ca="1">IF(AND(Energy!$F$11=$A$3,Main!$B$43=$A164),Summary!AI21,AI164)</f>
        <v>2.8236288396125246</v>
      </c>
      <c r="AJ164" s="103">
        <f ca="1">IF(AND(Energy!$F$11=$A$3,Main!$B$43=$A164),Summary!AJ21,AJ164)</f>
        <v>0.22285311646956171</v>
      </c>
      <c r="AK164" s="103">
        <f ca="1">IF(AND(Energy!$F$11=$A$3,Main!$B$43=$A164),Summary!AK21,AK164)</f>
        <v>0.01</v>
      </c>
      <c r="AL164" s="103">
        <f ca="1">IF(AND(Energy!$F$11=$A$3,Main!$B$43=$A164),Summary!AL21,AL164)</f>
        <v>-0.56090943800161863</v>
      </c>
      <c r="AM164" s="103">
        <f ca="1">IF(AND(Energy!$F$11=$A$3,Main!$B$43=$A164),Summary!AJ181,AM164)</f>
        <v>0</v>
      </c>
    </row>
    <row r="165" spans="1:39">
      <c r="A165">
        <f>A164</f>
        <v>9</v>
      </c>
      <c r="D165" s="1">
        <f ca="1">IF(AND(Energy!$F$11=$A$3,Main!$B$43=A165),Main!C22,D165)</f>
        <v>4.6578947368421053</v>
      </c>
      <c r="E165" s="103">
        <f ca="1">IF(AND(Energy!$F$11=$A$3,Main!$B$43=A165),Main!B22,E165)</f>
        <v>0.37777777777777766</v>
      </c>
      <c r="F165" s="103">
        <f ca="1">IF(Main!$D$6=1,U165,IF(Main!$D$6=2,N165,IF(Main!$D$6=3,K165,IF(Main!$D$6=4,V165,J165))))</f>
        <v>686.53141139726938</v>
      </c>
      <c r="G165" s="103">
        <f ca="1">IF(AND(Energy!$F$11=$A$3,Main!$B$43=A165),Weight!H22,G165)</f>
        <v>15</v>
      </c>
      <c r="H165" s="103">
        <f ca="1">IF(AND(Energy!$F$11=$A$3,Main!$B$43=A165),Weight!U22,H165)</f>
        <v>21.369527223681509</v>
      </c>
      <c r="I165" s="103">
        <f ca="1">IF(AND(Energy!$F$11=$A$3,Main!$B$43=A165),Weight!V22,I165)</f>
        <v>60.524433066288779</v>
      </c>
      <c r="J165" s="103">
        <f ca="1">IF(AND(Energy!$F$11=$A$3,Main!$B$43=A165),Weight!I22,J165)</f>
        <v>34.21725756760727</v>
      </c>
      <c r="K165" s="103">
        <f ca="1">IF(AND(Energy!$F$11=$A$3,Main!$B$43=A165),Weight!W22,K165)</f>
        <v>75.524434846372785</v>
      </c>
      <c r="L165" s="103">
        <f ca="1">IF(AND(Energy!$F$11=$A$3,Main!$B$43=A165),'Aerodynamics-Cruise'!BI22,L165)</f>
        <v>75.52443154786117</v>
      </c>
      <c r="M165" s="103">
        <f ca="1">IF(AND(Energy!$F$11=$A$3,Main!$B$43=A165),'Aerodynamics-Cruise'!BJ22,M165)</f>
        <v>3.7285478112228558</v>
      </c>
      <c r="N165" s="103">
        <f ca="1">IF(AND(Energy!$F$11=$A$3,Main!$B$43=A165),'Aerodynamics-Cruise'!BK22,N165)</f>
        <v>20.255722970893416</v>
      </c>
      <c r="O165" s="103">
        <f t="shared" ca="1" si="9"/>
        <v>176.03194244852918</v>
      </c>
      <c r="P165" s="103">
        <f ca="1">IF(AND(Energy!$F$11=$A$3,Main!$B$43=A165),'Aerodynamics-Cruise'!H22,P165)</f>
        <v>8.9065662424966092</v>
      </c>
      <c r="Q165" s="103">
        <f ca="1">IF(AND(Energy!$F$11=$A$3,Main!$B$43=A165),'Aerodynamics-Cruise'!I22,Q165)</f>
        <v>7.4258825404875459</v>
      </c>
      <c r="R165" s="103">
        <f ca="1">IF(AND(Energy!$F$11=$A$3,Main!$B$43=$A165),Summary!R22,R165)</f>
        <v>5.8634785028371441</v>
      </c>
      <c r="S165" s="103">
        <f ca="1">IF(AND(Energy!$F$11=$A$3,Main!$B$43=A165),'Aerodynamics-Cruise'!W22,S165)</f>
        <v>1</v>
      </c>
      <c r="T165" s="103">
        <f ca="1">IF(AND(Energy!$F$11=$A$3,Main!$B$43=A165),'Aerodynamics-Cruise'!BL22,T165)</f>
        <v>33.20855806897211</v>
      </c>
      <c r="U165" s="103">
        <f ca="1">IF(AND(Energy!$F$11=$A$3,Main!$B$43=A165),'Propulsion-Cruise'!M22,U165)</f>
        <v>71.600004789648139</v>
      </c>
      <c r="V165" s="103">
        <f ca="1">IF(AND(Energy!$F$11=$A$3,Main!$B$43=A165),Endurance!AP22,V165)</f>
        <v>686.53141139726938</v>
      </c>
      <c r="W165" s="103">
        <f ca="1">IF(AND(Energy!$F$11=$A$3,Main!$B$43=$A165),Summary!W22,W165)</f>
        <v>1.759649122807017</v>
      </c>
      <c r="X165" s="13">
        <f ca="1">IF(AND(Energy!$F$11=$A$3,Main!$B$43=A165),Energy!D22,X165)</f>
        <v>408.14238384051941</v>
      </c>
      <c r="Y165" s="102">
        <f ca="1">IF(AND(Energy!$F$11=$A$3,Main!$B$43=A165),'Aerodynamics-Cruise'!V22,Y165)</f>
        <v>213398.80704142348</v>
      </c>
      <c r="Z165" s="102">
        <f ca="1">IF(AND(Energy!$F$11=$A$3,Main!$B$43=$A165),Summary!Z22,Z165)</f>
        <v>157717.86541984609</v>
      </c>
      <c r="AA165" s="102">
        <f ca="1">IF(AND(Energy!$F$11=$A$3,Main!$B$43=$A165),Summary!AA22,AA165)</f>
        <v>157717.86541984609</v>
      </c>
      <c r="AB165" s="103">
        <f ca="1">IF(AND(Energy!$F$11=$A$3,Main!$B$43=$A165),Summary!AB22,AB165)</f>
        <v>5.8634785028371441</v>
      </c>
      <c r="AC165" s="103">
        <f ca="1">IF(AND(Energy!$F$11=$A$3,Main!$B$43=$A165),Summary!AC22,AC165)</f>
        <v>1.7854750022947929</v>
      </c>
      <c r="AD165" s="103">
        <f ca="1">IF(AND(Energy!$F$11=$A$3,Main!$B$43=$A165),Summary!AD22,AD165)</f>
        <v>0.48154578789526464</v>
      </c>
      <c r="AE165" s="103">
        <f ca="1">IF(AND(Energy!$F$11=$A$3,Main!$B$43=$A165),Summary!AE22,AE165)</f>
        <v>1.759649122807017</v>
      </c>
      <c r="AF165" s="103">
        <f ca="1">IF(AND(Energy!$F$11=$A$3,Main!$B$43=$A165),Summary!AF22,AF165)</f>
        <v>12.329721362229106</v>
      </c>
      <c r="AG165" s="103">
        <f ca="1">IF(AND(Energy!$F$11=$A$3,Main!$B$43=$A165),Summary!AG22,AG165)</f>
        <v>13.457172538283343</v>
      </c>
      <c r="AH165" s="103">
        <f ca="1">IF(AND(Energy!$F$11=$A$3,Main!$B$43=$A165),Summary!AH22,AH165)</f>
        <v>47</v>
      </c>
      <c r="AI165" s="103">
        <f ca="1">IF(AND(Energy!$F$11=$A$3,Main!$B$43=$A165),Summary!AI22,AI165)</f>
        <v>2.8195545683306564</v>
      </c>
      <c r="AJ165" s="103">
        <f ca="1">IF(AND(Energy!$F$11=$A$3,Main!$B$43=$A165),Summary!AJ22,AJ165)</f>
        <v>0.2234596027244638</v>
      </c>
      <c r="AK165" s="103">
        <f ca="1">IF(AND(Energy!$F$11=$A$3,Main!$B$43=$A165),Summary!AK22,AK165)</f>
        <v>0.01</v>
      </c>
      <c r="AL165" s="103">
        <f ca="1">IF(AND(Energy!$F$11=$A$3,Main!$B$43=$A165),Summary!AL22,AL165)</f>
        <v>-0.5593853008726819</v>
      </c>
      <c r="AM165" s="103">
        <f ca="1">IF(AND(Energy!$F$11=$A$3,Main!$B$43=$A165),Summary!AJ182,AM165)</f>
        <v>0</v>
      </c>
    </row>
    <row r="166" spans="1:39">
      <c r="A166">
        <f t="shared" ref="A166:A183" si="11">A165</f>
        <v>9</v>
      </c>
      <c r="D166" s="1">
        <f ca="1">IF(AND(Energy!$F$11=$A$3,Main!$B$43=A166),Main!C23,D166)</f>
        <v>4.8157894736842106</v>
      </c>
      <c r="E166" s="103">
        <f ca="1">IF(AND(Energy!$F$11=$A$3,Main!$B$43=A166),Main!B23,E166)</f>
        <v>0.37777777777777766</v>
      </c>
      <c r="F166" s="103">
        <f ca="1">IF(Main!$D$6=1,U166,IF(Main!$D$6=2,N166,IF(Main!$D$6=3,K166,IF(Main!$D$6=4,V166,J166))))</f>
        <v>674.82805106084254</v>
      </c>
      <c r="G166" s="103">
        <f ca="1">IF(AND(Energy!$F$11=$A$3,Main!$B$43=A166),Weight!H23,G166)</f>
        <v>15</v>
      </c>
      <c r="H166" s="103">
        <f ca="1">IF(AND(Energy!$F$11=$A$3,Main!$B$43=A166),Weight!U23,H166)</f>
        <v>22.045914894500143</v>
      </c>
      <c r="I166" s="103">
        <f ca="1">IF(AND(Energy!$F$11=$A$3,Main!$B$43=A166),Weight!V23,I166)</f>
        <v>60.659241929687042</v>
      </c>
      <c r="J166" s="103">
        <f ca="1">IF(AND(Energy!$F$11=$A$3,Main!$B$43=A166),Weight!I23,J166)</f>
        <v>33.675678760186898</v>
      </c>
      <c r="K166" s="103">
        <f ca="1">IF(AND(Energy!$F$11=$A$3,Main!$B$43=A166),Weight!W23,K166)</f>
        <v>75.659244136851129</v>
      </c>
      <c r="L166" s="103">
        <f ca="1">IF(AND(Energy!$F$11=$A$3,Main!$B$43=A166),'Aerodynamics-Cruise'!BI23,L166)</f>
        <v>75.65923998430587</v>
      </c>
      <c r="M166" s="103">
        <f ca="1">IF(AND(Energy!$F$11=$A$3,Main!$B$43=A166),'Aerodynamics-Cruise'!BJ23,M166)</f>
        <v>3.6890289596162673</v>
      </c>
      <c r="N166" s="103">
        <f ca="1">IF(AND(Energy!$F$11=$A$3,Main!$B$43=A166),'Aerodynamics-Cruise'!BK23,N166)</f>
        <v>20.509256178941989</v>
      </c>
      <c r="O166" s="103">
        <f t="shared" ca="1" si="9"/>
        <v>178.39426846081705</v>
      </c>
      <c r="P166" s="103">
        <f ca="1">IF(AND(Energy!$F$11=$A$3,Main!$B$43=A166),'Aerodynamics-Cruise'!H23,P166)</f>
        <v>8.7670575468830165</v>
      </c>
      <c r="Q166" s="103">
        <f ca="1">IF(AND(Energy!$F$11=$A$3,Main!$B$43=A166),'Aerodynamics-Cruise'!I23,Q166)</f>
        <v>7.3143338953110684</v>
      </c>
      <c r="R166" s="103">
        <f ca="1">IF(AND(Energy!$F$11=$A$3,Main!$B$43=$A166),Summary!R23,R166)</f>
        <v>5.6924018619104624</v>
      </c>
      <c r="S166" s="103">
        <f ca="1">IF(AND(Energy!$F$11=$A$3,Main!$B$43=A166),'Aerodynamics-Cruise'!W23,S166)</f>
        <v>1</v>
      </c>
      <c r="T166" s="103">
        <f ca="1">IF(AND(Energy!$F$11=$A$3,Main!$B$43=A166),'Aerodynamics-Cruise'!BL23,T166)</f>
        <v>32.341929181073802</v>
      </c>
      <c r="U166" s="103">
        <f ca="1">IF(AND(Energy!$F$11=$A$3,Main!$B$43=A166),'Propulsion-Cruise'!M23,U166)</f>
        <v>70.101748834646145</v>
      </c>
      <c r="V166" s="103">
        <f ca="1">IF(AND(Energy!$F$11=$A$3,Main!$B$43=A166),Endurance!AP23,V166)</f>
        <v>674.82805106084254</v>
      </c>
      <c r="W166" s="103">
        <f ca="1">IF(AND(Energy!$F$11=$A$3,Main!$B$43=$A166),Summary!W23,W166)</f>
        <v>1.8192982456140345</v>
      </c>
      <c r="X166" s="13">
        <f ca="1">IF(AND(Energy!$F$11=$A$3,Main!$B$43=A166),Energy!D23,X166)</f>
        <v>407.84193881426324</v>
      </c>
      <c r="Y166" s="102">
        <f ca="1">IF(AND(Energy!$F$11=$A$3,Main!$B$43=A166),'Aerodynamics-Cruise'!V23,Y166)</f>
        <v>210056.21816875594</v>
      </c>
      <c r="Z166" s="102">
        <f ca="1">IF(AND(Energy!$F$11=$A$3,Main!$B$43=$A166),Summary!Z23,Z166)</f>
        <v>155344.7390247366</v>
      </c>
      <c r="AA166" s="102">
        <f ca="1">IF(AND(Energy!$F$11=$A$3,Main!$B$43=$A166),Summary!AA23,AA166)</f>
        <v>155344.7390247366</v>
      </c>
      <c r="AB166" s="103">
        <f ca="1">IF(AND(Energy!$F$11=$A$3,Main!$B$43=$A166),Summary!AB23,AB166)</f>
        <v>5.6924018619104624</v>
      </c>
      <c r="AC166" s="103">
        <f ca="1">IF(AND(Energy!$F$11=$A$3,Main!$B$43=$A166),Summary!AC23,AC166)</f>
        <v>1.7660810990206304</v>
      </c>
      <c r="AD166" s="103">
        <f ca="1">IF(AND(Energy!$F$11=$A$3,Main!$B$43=$A166),Summary!AD23,AD166)</f>
        <v>0.47654241730104946</v>
      </c>
      <c r="AE166" s="103">
        <f ca="1">IF(AND(Energy!$F$11=$A$3,Main!$B$43=$A166),Summary!AE23,AE166)</f>
        <v>1.8192982456140345</v>
      </c>
      <c r="AF166" s="103">
        <f ca="1">IF(AND(Energy!$F$11=$A$3,Main!$B$43=$A166),Summary!AF23,AF166)</f>
        <v>12.747678018575856</v>
      </c>
      <c r="AG166" s="103">
        <f ca="1">IF(AND(Energy!$F$11=$A$3,Main!$B$43=$A166),Summary!AG23,AG166)</f>
        <v>13.296235261504417</v>
      </c>
      <c r="AH166" s="103">
        <f ca="1">IF(AND(Energy!$F$11=$A$3,Main!$B$43=$A166),Summary!AH23,AH166)</f>
        <v>47</v>
      </c>
      <c r="AI166" s="103">
        <f ca="1">IF(AND(Energy!$F$11=$A$3,Main!$B$43=$A166),Summary!AI23,AI166)</f>
        <v>2.8158803296644686</v>
      </c>
      <c r="AJ166" s="103">
        <f ca="1">IF(AND(Energy!$F$11=$A$3,Main!$B$43=$A166),Summary!AJ23,AJ166)</f>
        <v>0.22429328926587142</v>
      </c>
      <c r="AK166" s="103">
        <f ca="1">IF(AND(Energy!$F$11=$A$3,Main!$B$43=$A166),Summary!AK23,AK166)</f>
        <v>0.01</v>
      </c>
      <c r="AL166" s="103">
        <f ca="1">IF(AND(Energy!$F$11=$A$3,Main!$B$43=$A166),Summary!AL23,AL166)</f>
        <v>-0.5573060297191097</v>
      </c>
      <c r="AM166" s="103">
        <f ca="1">IF(AND(Energy!$F$11=$A$3,Main!$B$43=$A166),Summary!AJ183,AM166)</f>
        <v>0</v>
      </c>
    </row>
    <row r="167" spans="1:39">
      <c r="A167">
        <f t="shared" si="11"/>
        <v>9</v>
      </c>
      <c r="D167" s="1">
        <f ca="1">IF(AND(Energy!$F$11=$A$3,Main!$B$43=A167),Main!C24,D167)</f>
        <v>4.9736842105263159</v>
      </c>
      <c r="E167" s="103">
        <f ca="1">IF(AND(Energy!$F$11=$A$3,Main!$B$43=A167),Main!B24,E167)</f>
        <v>0.37777777777777766</v>
      </c>
      <c r="F167" s="103">
        <f ca="1">IF(Main!$D$6=1,U167,IF(Main!$D$6=2,N167,IF(Main!$D$6=3,K167,IF(Main!$D$6=4,V167,J167))))</f>
        <v>665.61277099894187</v>
      </c>
      <c r="G167" s="103">
        <f ca="1">IF(AND(Energy!$F$11=$A$3,Main!$B$43=A167),Weight!H24,G167)</f>
        <v>15</v>
      </c>
      <c r="H167" s="103">
        <f ca="1">IF(AND(Energy!$F$11=$A$3,Main!$B$43=A167),Weight!U24,H167)</f>
        <v>22.752675170086192</v>
      </c>
      <c r="I167" s="103">
        <f ca="1">IF(AND(Energy!$F$11=$A$3,Main!$B$43=A167),Weight!V24,I167)</f>
        <v>60.937032254122485</v>
      </c>
      <c r="J167" s="103">
        <f ca="1">IF(AND(Energy!$F$11=$A$3,Main!$B$43=A167),Weight!I24,J167)</f>
        <v>33.246708809036292</v>
      </c>
      <c r="K167" s="103">
        <f ca="1">IF(AND(Energy!$F$11=$A$3,Main!$B$43=A167),Weight!W24,K167)</f>
        <v>75.937034771013842</v>
      </c>
      <c r="L167" s="103">
        <f ca="1">IF(AND(Energy!$F$11=$A$3,Main!$B$43=A167),'Aerodynamics-Cruise'!BI24,L167)</f>
        <v>75.937030001416787</v>
      </c>
      <c r="M167" s="103">
        <f ca="1">IF(AND(Energy!$F$11=$A$3,Main!$B$43=A167),'Aerodynamics-Cruise'!BJ24,M167)</f>
        <v>3.6588150630067728</v>
      </c>
      <c r="N167" s="103">
        <f ca="1">IF(AND(Energy!$F$11=$A$3,Main!$B$43=A167),'Aerodynamics-Cruise'!BK24,N167)</f>
        <v>20.75454175566135</v>
      </c>
      <c r="O167" s="103">
        <f t="shared" ca="1" si="9"/>
        <v>180.85892810411642</v>
      </c>
      <c r="P167" s="103">
        <f ca="1">IF(AND(Energy!$F$11=$A$3,Main!$B$43=A167),'Aerodynamics-Cruise'!H24,P167)</f>
        <v>8.6425117158907394</v>
      </c>
      <c r="Q167" s="103">
        <f ca="1">IF(AND(Energy!$F$11=$A$3,Main!$B$43=A167),'Aerodynamics-Cruise'!I24,Q167)</f>
        <v>7.2146873730104666</v>
      </c>
      <c r="R167" s="103">
        <f ca="1">IF(AND(Energy!$F$11=$A$3,Main!$B$43=$A167),Summary!R24,R167)</f>
        <v>5.5534407171471116</v>
      </c>
      <c r="S167" s="103">
        <f ca="1">IF(AND(Energy!$F$11=$A$3,Main!$B$43=A167),'Aerodynamics-Cruise'!W24,S167)</f>
        <v>1</v>
      </c>
      <c r="T167" s="103">
        <f ca="1">IF(AND(Energy!$F$11=$A$3,Main!$B$43=A167),'Aerodynamics-Cruise'!BL24,T167)</f>
        <v>31.621352048313547</v>
      </c>
      <c r="U167" s="103">
        <f ca="1">IF(AND(Energy!$F$11=$A$3,Main!$B$43=A167),'Propulsion-Cruise'!M24,U167)</f>
        <v>68.878396375483533</v>
      </c>
      <c r="V167" s="103">
        <f ca="1">IF(AND(Energy!$F$11=$A$3,Main!$B$43=A167),Endurance!AP24,V167)</f>
        <v>665.61277099894187</v>
      </c>
      <c r="W167" s="103">
        <f ca="1">IF(AND(Energy!$F$11=$A$3,Main!$B$43=$A167),Summary!W24,W167)</f>
        <v>1.878947368421052</v>
      </c>
      <c r="X167" s="13">
        <f ca="1">IF(AND(Energy!$F$11=$A$3,Main!$B$43=A167),Energy!D24,X167)</f>
        <v>407.60396440839605</v>
      </c>
      <c r="Y167" s="102">
        <f ca="1">IF(AND(Energy!$F$11=$A$3,Main!$B$43=A167),'Aerodynamics-Cruise'!V24,Y167)</f>
        <v>207072.13529864588</v>
      </c>
      <c r="Z167" s="102">
        <f ca="1">IF(AND(Energy!$F$11=$A$3,Main!$B$43=$A167),Summary!Z24,Z167)</f>
        <v>153224.87412041222</v>
      </c>
      <c r="AA167" s="102">
        <f ca="1">IF(AND(Energy!$F$11=$A$3,Main!$B$43=$A167),Summary!AA24,AA167)</f>
        <v>153224.87412041222</v>
      </c>
      <c r="AB167" s="103">
        <f ca="1">IF(AND(Energy!$F$11=$A$3,Main!$B$43=$A167),Summary!AB24,AB167)</f>
        <v>5.5534407171471116</v>
      </c>
      <c r="AC167" s="103">
        <f ca="1">IF(AND(Energy!$F$11=$A$3,Main!$B$43=$A167),Summary!AC24,AC167)</f>
        <v>1.7443131276632522</v>
      </c>
      <c r="AD167" s="103">
        <f ca="1">IF(AND(Energy!$F$11=$A$3,Main!$B$43=$A167),Summary!AD24,AD167)</f>
        <v>0.47228431934326931</v>
      </c>
      <c r="AE167" s="103">
        <f ca="1">IF(AND(Energy!$F$11=$A$3,Main!$B$43=$A167),Summary!AE24,AE167)</f>
        <v>1.878947368421052</v>
      </c>
      <c r="AF167" s="103">
        <f ca="1">IF(AND(Energy!$F$11=$A$3,Main!$B$43=$A167),Summary!AF24,AF167)</f>
        <v>13.165634674922606</v>
      </c>
      <c r="AG167" s="103">
        <f ca="1">IF(AND(Energy!$F$11=$A$3,Main!$B$43=$A167),Summary!AG24,AG167)</f>
        <v>13.165200252102116</v>
      </c>
      <c r="AH167" s="103">
        <f ca="1">IF(AND(Energy!$F$11=$A$3,Main!$B$43=$A167),Summary!AH24,AH167)</f>
        <v>47</v>
      </c>
      <c r="AI167" s="103">
        <f ca="1">IF(AND(Energy!$F$11=$A$3,Main!$B$43=$A167),Summary!AI24,AI167)</f>
        <v>2.8125545718227785</v>
      </c>
      <c r="AJ167" s="103">
        <f ca="1">IF(AND(Energy!$F$11=$A$3,Main!$B$43=$A167),Summary!AJ24,AJ167)</f>
        <v>0.22505457904897999</v>
      </c>
      <c r="AK167" s="103">
        <f ca="1">IF(AND(Energy!$F$11=$A$3,Main!$B$43=$A167),Summary!AK24,AK167)</f>
        <v>0.01</v>
      </c>
      <c r="AL167" s="103">
        <f ca="1">IF(AND(Energy!$F$11=$A$3,Main!$B$43=$A167),Summary!AL24,AL167)</f>
        <v>-0.555420755497253</v>
      </c>
      <c r="AM167" s="103">
        <f ca="1">IF(AND(Energy!$F$11=$A$3,Main!$B$43=$A167),Summary!AJ184,AM167)</f>
        <v>0</v>
      </c>
    </row>
    <row r="168" spans="1:39">
      <c r="A168">
        <f t="shared" si="11"/>
        <v>9</v>
      </c>
      <c r="D168" s="1">
        <f ca="1">IF(AND(Energy!$F$11=$A$3,Main!$B$43=A168),Main!C25,D168)</f>
        <v>5.1315789473684212</v>
      </c>
      <c r="E168" s="103">
        <f ca="1">IF(AND(Energy!$F$11=$A$3,Main!$B$43=A168),Main!B25,E168)</f>
        <v>0.37777777777777766</v>
      </c>
      <c r="F168" s="103">
        <f ca="1">IF(Main!$D$6=1,U168,IF(Main!$D$6=2,N168,IF(Main!$D$6=3,K168,IF(Main!$D$6=4,V168,J168))))</f>
        <v>658.49102681853617</v>
      </c>
      <c r="G168" s="103">
        <f ca="1">IF(AND(Energy!$F$11=$A$3,Main!$B$43=A168),Weight!H25,G168)</f>
        <v>15</v>
      </c>
      <c r="H168" s="103">
        <f ca="1">IF(AND(Energy!$F$11=$A$3,Main!$B$43=A168),Weight!U25,H168)</f>
        <v>23.488461490437906</v>
      </c>
      <c r="I168" s="103">
        <f ca="1">IF(AND(Energy!$F$11=$A$3,Main!$B$43=A168),Weight!V25,I168)</f>
        <v>61.338542174640537</v>
      </c>
      <c r="J168" s="103">
        <f ca="1">IF(AND(Energy!$F$11=$A$3,Main!$B$43=A168),Weight!I25,J168)</f>
        <v>32.91243240920263</v>
      </c>
      <c r="K168" s="103">
        <f ca="1">IF(AND(Energy!$F$11=$A$3,Main!$B$43=A168),Weight!W25,K168)</f>
        <v>76.338544883678097</v>
      </c>
      <c r="L168" s="103">
        <f ca="1">IF(AND(Energy!$F$11=$A$3,Main!$B$43=A168),'Aerodynamics-Cruise'!BI25,L168)</f>
        <v>76.338539736601462</v>
      </c>
      <c r="M168" s="103">
        <f ca="1">IF(AND(Energy!$F$11=$A$3,Main!$B$43=A168),'Aerodynamics-Cruise'!BJ25,M168)</f>
        <v>3.6365232519184931</v>
      </c>
      <c r="N168" s="103">
        <f ca="1">IF(AND(Energy!$F$11=$A$3,Main!$B$43=A168),'Aerodynamics-Cruise'!BK25,N168)</f>
        <v>20.992176991121429</v>
      </c>
      <c r="O168" s="103">
        <f t="shared" ca="1" si="9"/>
        <v>183.41269972007274</v>
      </c>
      <c r="P168" s="103">
        <f ca="1">IF(AND(Energy!$F$11=$A$3,Main!$B$43=A168),'Aerodynamics-Cruise'!H25,P168)</f>
        <v>8.5308979811604644</v>
      </c>
      <c r="Q168" s="103">
        <f ca="1">IF(AND(Energy!$F$11=$A$3,Main!$B$43=A168),'Aerodynamics-Cruise'!I25,Q168)</f>
        <v>7.125337223703629</v>
      </c>
      <c r="R168" s="103">
        <f ca="1">IF(AND(Energy!$F$11=$A$3,Main!$B$43=$A168),Summary!R25,R168)</f>
        <v>5.4410721931954775</v>
      </c>
      <c r="S168" s="103">
        <f ca="1">IF(AND(Energy!$F$11=$A$3,Main!$B$43=A168),'Aerodynamics-Cruise'!W25,S168)</f>
        <v>1</v>
      </c>
      <c r="T168" s="103">
        <f ca="1">IF(AND(Energy!$F$11=$A$3,Main!$B$43=A168),'Aerodynamics-Cruise'!BL25,T168)</f>
        <v>31.022808868234559</v>
      </c>
      <c r="U168" s="103">
        <f ca="1">IF(AND(Energy!$F$11=$A$3,Main!$B$43=A168),'Propulsion-Cruise'!M25,U168)</f>
        <v>67.885558614449522</v>
      </c>
      <c r="V168" s="103">
        <f ca="1">IF(AND(Energy!$F$11=$A$3,Main!$B$43=A168),Endurance!AP25,V168)</f>
        <v>658.49102681853617</v>
      </c>
      <c r="W168" s="103">
        <f ca="1">IF(AND(Energy!$F$11=$A$3,Main!$B$43=$A168),Summary!W25,W168)</f>
        <v>1.9385964912280695</v>
      </c>
      <c r="X168" s="13">
        <f ca="1">IF(AND(Energy!$F$11=$A$3,Main!$B$43=A168),Energy!D25,X168)</f>
        <v>407.41852196596716</v>
      </c>
      <c r="Y168" s="102">
        <f ca="1">IF(AND(Energy!$F$11=$A$3,Main!$B$43=A168),'Aerodynamics-Cruise'!V25,Y168)</f>
        <v>204397.90179581367</v>
      </c>
      <c r="Z168" s="102">
        <f ca="1">IF(AND(Energy!$F$11=$A$3,Main!$B$43=$A168),Summary!Z25,Z168)</f>
        <v>151324.09446505425</v>
      </c>
      <c r="AA168" s="102">
        <f ca="1">IF(AND(Energy!$F$11=$A$3,Main!$B$43=$A168),Summary!AA25,AA168)</f>
        <v>151324.09446505425</v>
      </c>
      <c r="AB168" s="103">
        <f ca="1">IF(AND(Energy!$F$11=$A$3,Main!$B$43=$A168),Summary!AB25,AB168)</f>
        <v>5.4410721931954775</v>
      </c>
      <c r="AC168" s="103">
        <f ca="1">IF(AND(Energy!$F$11=$A$3,Main!$B$43=$A168),Summary!AC25,AC168)</f>
        <v>1.7207261230441866</v>
      </c>
      <c r="AD168" s="103">
        <f ca="1">IF(AND(Energy!$F$11=$A$3,Main!$B$43=$A168),Summary!AD25,AD168)</f>
        <v>0.46866814789135758</v>
      </c>
      <c r="AE168" s="103">
        <f ca="1">IF(AND(Energy!$F$11=$A$3,Main!$B$43=$A168),Summary!AE25,AE168)</f>
        <v>1.9385964912280695</v>
      </c>
      <c r="AF168" s="103">
        <f ca="1">IF(AND(Energy!$F$11=$A$3,Main!$B$43=$A168),Summary!AF25,AF168)</f>
        <v>13.583591331269355</v>
      </c>
      <c r="AG168" s="103">
        <f ca="1">IF(AND(Energy!$F$11=$A$3,Main!$B$43=$A168),Summary!AG25,AG168)</f>
        <v>13.059570812807383</v>
      </c>
      <c r="AH168" s="103">
        <f ca="1">IF(AND(Energy!$F$11=$A$3,Main!$B$43=$A168),Summary!AH25,AH168)</f>
        <v>47</v>
      </c>
      <c r="AI168" s="103">
        <f ca="1">IF(AND(Energy!$F$11=$A$3,Main!$B$43=$A168),Summary!AI25,AI168)</f>
        <v>2.8095365434207724</v>
      </c>
      <c r="AJ168" s="103">
        <f ca="1">IF(AND(Energy!$F$11=$A$3,Main!$B$43=$A168),Summary!AJ25,AJ168)</f>
        <v>0.22575089274796892</v>
      </c>
      <c r="AK168" s="103">
        <f ca="1">IF(AND(Energy!$F$11=$A$3,Main!$B$43=$A168),Summary!AK25,AK168)</f>
        <v>0.01</v>
      </c>
      <c r="AL168" s="103">
        <f ca="1">IF(AND(Energy!$F$11=$A$3,Main!$B$43=$A168),Summary!AL25,AL168)</f>
        <v>-0.55370750393998514</v>
      </c>
      <c r="AM168" s="103">
        <f ca="1">IF(AND(Energy!$F$11=$A$3,Main!$B$43=$A168),Summary!AJ185,AM168)</f>
        <v>0</v>
      </c>
    </row>
    <row r="169" spans="1:39">
      <c r="A169">
        <f t="shared" si="11"/>
        <v>9</v>
      </c>
      <c r="D169" s="1">
        <f ca="1">IF(AND(Energy!$F$11=$A$3,Main!$B$43=A169),Main!C26,D169)</f>
        <v>5.2894736842105265</v>
      </c>
      <c r="E169" s="103">
        <f ca="1">IF(AND(Energy!$F$11=$A$3,Main!$B$43=A169),Main!B26,E169)</f>
        <v>0.37777777777777766</v>
      </c>
      <c r="F169" s="103">
        <f ca="1">IF(Main!$D$6=1,U169,IF(Main!$D$6=2,N169,IF(Main!$D$6=3,K169,IF(Main!$D$6=4,V169,J169))))</f>
        <v>653.1565103665796</v>
      </c>
      <c r="G169" s="103">
        <f ca="1">IF(AND(Energy!$F$11=$A$3,Main!$B$43=A169),Weight!H26,G169)</f>
        <v>15</v>
      </c>
      <c r="H169" s="103">
        <f ca="1">IF(AND(Energy!$F$11=$A$3,Main!$B$43=A169),Weight!U26,H169)</f>
        <v>24.252295054856674</v>
      </c>
      <c r="I169" s="103">
        <f ca="1">IF(AND(Energy!$F$11=$A$3,Main!$B$43=A169),Weight!V26,I169)</f>
        <v>61.848884437694053</v>
      </c>
      <c r="J169" s="103">
        <f ca="1">IF(AND(Energy!$F$11=$A$3,Main!$B$43=A169),Weight!I26,J169)</f>
        <v>32.658941107837379</v>
      </c>
      <c r="K169" s="103">
        <f ca="1">IF(AND(Energy!$F$11=$A$3,Main!$B$43=A169),Weight!W26,K169)</f>
        <v>76.848887242411791</v>
      </c>
      <c r="L169" s="103">
        <f ca="1">IF(AND(Energy!$F$11=$A$3,Main!$B$43=A169),'Aerodynamics-Cruise'!BI26,L169)</f>
        <v>76.848881915281609</v>
      </c>
      <c r="M169" s="103">
        <f ca="1">IF(AND(Energy!$F$11=$A$3,Main!$B$43=A169),'Aerodynamics-Cruise'!BJ26,M169)</f>
        <v>3.6210619113901545</v>
      </c>
      <c r="N169" s="103">
        <f ca="1">IF(AND(Energy!$F$11=$A$3,Main!$B$43=A169),'Aerodynamics-Cruise'!BK26,N169)</f>
        <v>21.222747303367345</v>
      </c>
      <c r="O169" s="103">
        <f t="shared" ca="1" si="9"/>
        <v>186.04601822528397</v>
      </c>
      <c r="P169" s="103">
        <f ca="1">IF(AND(Energy!$F$11=$A$3,Main!$B$43=A169),'Aerodynamics-Cruise'!H26,P169)</f>
        <v>8.4305766302910232</v>
      </c>
      <c r="Q169" s="103">
        <f ca="1">IF(AND(Energy!$F$11=$A$3,Main!$B$43=A169),'Aerodynamics-Cruise'!I26,Q169)</f>
        <v>7.0449858897703868</v>
      </c>
      <c r="R169" s="103">
        <f ca="1">IF(AND(Energy!$F$11=$A$3,Main!$B$43=$A169),Summary!R26,R169)</f>
        <v>5.3510913224445753</v>
      </c>
      <c r="S169" s="103">
        <f ca="1">IF(AND(Energy!$F$11=$A$3,Main!$B$43=A169),'Aerodynamics-Cruise'!W26,S169)</f>
        <v>1</v>
      </c>
      <c r="T169" s="103">
        <f ca="1">IF(AND(Energy!$F$11=$A$3,Main!$B$43=A169),'Aerodynamics-Cruise'!BL26,T169)</f>
        <v>30.527639927002781</v>
      </c>
      <c r="U169" s="103">
        <f ca="1">IF(AND(Energy!$F$11=$A$3,Main!$B$43=A169),'Propulsion-Cruise'!M26,U169)</f>
        <v>67.088745112828619</v>
      </c>
      <c r="V169" s="103">
        <f ca="1">IF(AND(Energy!$F$11=$A$3,Main!$B$43=A169),Endurance!AP26,V169)</f>
        <v>653.1565103665796</v>
      </c>
      <c r="W169" s="103">
        <f ca="1">IF(AND(Energy!$F$11=$A$3,Main!$B$43=$A169),Summary!W26,W169)</f>
        <v>1.9982456140350873</v>
      </c>
      <c r="X169" s="13">
        <f ca="1">IF(AND(Energy!$F$11=$A$3,Main!$B$43=A169),Energy!D26,X169)</f>
        <v>407.27789567098137</v>
      </c>
      <c r="Y169" s="102">
        <f ca="1">IF(AND(Energy!$F$11=$A$3,Main!$B$43=A169),'Aerodynamics-Cruise'!V26,Y169)</f>
        <v>201994.23061508694</v>
      </c>
      <c r="Z169" s="102">
        <f ca="1">IF(AND(Energy!$F$11=$A$3,Main!$B$43=$A169),Summary!Z26,Z169)</f>
        <v>149614.7841243282</v>
      </c>
      <c r="AA169" s="102">
        <f ca="1">IF(AND(Energy!$F$11=$A$3,Main!$B$43=$A169),Summary!AA26,AA169)</f>
        <v>149614.7841243282</v>
      </c>
      <c r="AB169" s="103">
        <f ca="1">IF(AND(Energy!$F$11=$A$3,Main!$B$43=$A169),Summary!AB26,AB169)</f>
        <v>5.3510913224445753</v>
      </c>
      <c r="AC169" s="103">
        <f ca="1">IF(AND(Energy!$F$11=$A$3,Main!$B$43=$A169),Summary!AC26,AC169)</f>
        <v>1.6957552765468531</v>
      </c>
      <c r="AD169" s="103">
        <f ca="1">IF(AND(Energy!$F$11=$A$3,Main!$B$43=$A169),Summary!AD26,AD169)</f>
        <v>0.46561090118426418</v>
      </c>
      <c r="AE169" s="103">
        <f ca="1">IF(AND(Energy!$F$11=$A$3,Main!$B$43=$A169),Summary!AE26,AE169)</f>
        <v>1.9982456140350873</v>
      </c>
      <c r="AF169" s="103">
        <f ca="1">IF(AND(Energy!$F$11=$A$3,Main!$B$43=$A169),Summary!AF26,AF169)</f>
        <v>14.001547987616103</v>
      </c>
      <c r="AG169" s="103">
        <f ca="1">IF(AND(Energy!$F$11=$A$3,Main!$B$43=$A169),Summary!AG26,AG169)</f>
        <v>12.975794801832411</v>
      </c>
      <c r="AH169" s="103">
        <f ca="1">IF(AND(Energy!$F$11=$A$3,Main!$B$43=$A169),Summary!AH26,AH169)</f>
        <v>47</v>
      </c>
      <c r="AI169" s="103">
        <f ca="1">IF(AND(Energy!$F$11=$A$3,Main!$B$43=$A169),Summary!AI26,AI169)</f>
        <v>2.8067927064794365</v>
      </c>
      <c r="AJ169" s="103">
        <f ca="1">IF(AND(Energy!$F$11=$A$3,Main!$B$43=$A169),Summary!AJ26,AJ169)</f>
        <v>0.22638852289252531</v>
      </c>
      <c r="AK169" s="103">
        <f ca="1">IF(AND(Energy!$F$11=$A$3,Main!$B$43=$A169),Summary!AK26,AK169)</f>
        <v>0.01</v>
      </c>
      <c r="AL169" s="103">
        <f ca="1">IF(AND(Energy!$F$11=$A$3,Main!$B$43=$A169),Summary!AL26,AL169)</f>
        <v>-0.5521478677776237</v>
      </c>
      <c r="AM169" s="103">
        <f ca="1">IF(AND(Energy!$F$11=$A$3,Main!$B$43=$A169),Summary!AJ186,AM169)</f>
        <v>0</v>
      </c>
    </row>
    <row r="170" spans="1:39">
      <c r="A170">
        <f t="shared" si="11"/>
        <v>9</v>
      </c>
      <c r="D170" s="1">
        <f ca="1">IF(AND(Energy!$F$11=$A$3,Main!$B$43=A170),Main!C27,D170)</f>
        <v>5.4473684210526319</v>
      </c>
      <c r="E170" s="103">
        <f ca="1">IF(AND(Energy!$F$11=$A$3,Main!$B$43=A170),Main!B27,E170)</f>
        <v>0.37777777777777766</v>
      </c>
      <c r="F170" s="103">
        <f ca="1">IF(Main!$D$6=1,U170,IF(Main!$D$6=2,N170,IF(Main!$D$6=3,K170,IF(Main!$D$6=4,V170,J170))))</f>
        <v>649.36881060774192</v>
      </c>
      <c r="G170" s="103">
        <f ca="1">IF(AND(Energy!$F$11=$A$3,Main!$B$43=A170),Weight!H27,G170)</f>
        <v>15</v>
      </c>
      <c r="H170" s="103">
        <f ca="1">IF(AND(Energy!$F$11=$A$3,Main!$B$43=A170),Weight!U27,H170)</f>
        <v>25.043493430240702</v>
      </c>
      <c r="I170" s="103">
        <f ca="1">IF(AND(Energy!$F$11=$A$3,Main!$B$43=A170),Weight!V27,I170)</f>
        <v>62.456467989253468</v>
      </c>
      <c r="J170" s="103">
        <f ca="1">IF(AND(Energy!$F$11=$A$3,Main!$B$43=A170),Weight!I27,J170)</f>
        <v>32.475326284012766</v>
      </c>
      <c r="K170" s="103">
        <f ca="1">IF(AND(Energy!$F$11=$A$3,Main!$B$43=A170),Weight!W27,K170)</f>
        <v>77.456466933466558</v>
      </c>
      <c r="L170" s="103">
        <f ca="1">IF(AND(Energy!$F$11=$A$3,Main!$B$43=A170),'Aerodynamics-Cruise'!BI27,L170)</f>
        <v>77.456468910782363</v>
      </c>
      <c r="M170" s="103">
        <f ca="1">IF(AND(Energy!$F$11=$A$3,Main!$B$43=A170),'Aerodynamics-Cruise'!BJ27,M170)</f>
        <v>3.6115592004840993</v>
      </c>
      <c r="N170" s="103">
        <f ca="1">IF(AND(Energy!$F$11=$A$3,Main!$B$43=A170),'Aerodynamics-Cruise'!BK27,N170)</f>
        <v>21.446822441786352</v>
      </c>
      <c r="O170" s="103">
        <f t="shared" ca="1" si="9"/>
        <v>188.75210493252555</v>
      </c>
      <c r="P170" s="103">
        <f ca="1">IF(AND(Energy!$F$11=$A$3,Main!$B$43=A170),'Aerodynamics-Cruise'!H27,P170)</f>
        <v>8.3402086827623876</v>
      </c>
      <c r="Q170" s="103">
        <f ca="1">IF(AND(Energy!$F$11=$A$3,Main!$B$43=A170),'Aerodynamics-Cruise'!I27,Q170)</f>
        <v>6.9725730077763037</v>
      </c>
      <c r="R170" s="103">
        <f ca="1">IF(AND(Energy!$F$11=$A$3,Main!$B$43=$A170),Summary!R27,R170)</f>
        <v>5.2802536831406996</v>
      </c>
      <c r="S170" s="103">
        <f ca="1">IF(AND(Energy!$F$11=$A$3,Main!$B$43=A170),'Aerodynamics-Cruise'!W27,S170)</f>
        <v>1</v>
      </c>
      <c r="T170" s="103">
        <f ca="1">IF(AND(Energy!$F$11=$A$3,Main!$B$43=A170),'Aerodynamics-Cruise'!BL27,T170)</f>
        <v>30.121157402187873</v>
      </c>
      <c r="U170" s="103">
        <f ca="1">IF(AND(Energy!$F$11=$A$3,Main!$B$43=A170),'Propulsion-Cruise'!M27,U170)</f>
        <v>66.461094153982827</v>
      </c>
      <c r="V170" s="103">
        <f ca="1">IF(AND(Energy!$F$11=$A$3,Main!$B$43=A170),Endurance!AP27,V170)</f>
        <v>649.36881060774192</v>
      </c>
      <c r="W170" s="103">
        <f ca="1">IF(AND(Energy!$F$11=$A$3,Main!$B$43=$A170),Summary!W27,W170)</f>
        <v>2.0578947368421048</v>
      </c>
      <c r="X170" s="13">
        <f ca="1">IF(AND(Energy!$F$11=$A$3,Main!$B$43=A170),Energy!D27,X170)</f>
        <v>407.17603157354483</v>
      </c>
      <c r="Y170" s="102">
        <f ca="1">IF(AND(Energy!$F$11=$A$3,Main!$B$43=A170),'Aerodynamics-Cruise'!V27,Y170)</f>
        <v>199829.04016207266</v>
      </c>
      <c r="Z170" s="102">
        <f ca="1">IF(AND(Energy!$F$11=$A$3,Main!$B$43=$A170),Summary!Z27,Z170)</f>
        <v>148074.37602417872</v>
      </c>
      <c r="AA170" s="102">
        <f ca="1">IF(AND(Energy!$F$11=$A$3,Main!$B$43=$A170),Summary!AA27,AA170)</f>
        <v>148074.37602417872</v>
      </c>
      <c r="AB170" s="103">
        <f ca="1">IF(AND(Energy!$F$11=$A$3,Main!$B$43=$A170),Summary!AB27,AB170)</f>
        <v>5.2802536831406996</v>
      </c>
      <c r="AC170" s="103">
        <f ca="1">IF(AND(Energy!$F$11=$A$3,Main!$B$43=$A170),Summary!AC27,AC170)</f>
        <v>1.6697440504813055</v>
      </c>
      <c r="AD170" s="103">
        <f ca="1">IF(AND(Energy!$F$11=$A$3,Main!$B$43=$A170),Summary!AD27,AD170)</f>
        <v>0.46304647517184711</v>
      </c>
      <c r="AE170" s="103">
        <f ca="1">IF(AND(Energy!$F$11=$A$3,Main!$B$43=$A170),Summary!AE27,AE170)</f>
        <v>2.0578947368421048</v>
      </c>
      <c r="AF170" s="103">
        <f ca="1">IF(AND(Energy!$F$11=$A$3,Main!$B$43=$A170),Summary!AF27,AF170)</f>
        <v>14.419504643962853</v>
      </c>
      <c r="AG170" s="103">
        <f ca="1">IF(AND(Energy!$F$11=$A$3,Main!$B$43=$A170),Summary!AG27,AG170)</f>
        <v>12.911066955843514</v>
      </c>
      <c r="AH170" s="103">
        <f ca="1">IF(AND(Energy!$F$11=$A$3,Main!$B$43=$A170),Summary!AH27,AH170)</f>
        <v>47</v>
      </c>
      <c r="AI170" s="103">
        <f ca="1">IF(AND(Energy!$F$11=$A$3,Main!$B$43=$A170),Summary!AI27,AI170)</f>
        <v>2.8042955188118732</v>
      </c>
      <c r="AJ170" s="103">
        <f ca="1">IF(AND(Energy!$F$11=$A$3,Main!$B$43=$A170),Summary!AJ27,AJ170)</f>
        <v>0.22697257296759651</v>
      </c>
      <c r="AK170" s="103">
        <f ca="1">IF(AND(Energy!$F$11=$A$3,Main!$B$43=$A170),Summary!AK27,AK170)</f>
        <v>0.01</v>
      </c>
      <c r="AL170" s="103">
        <f ca="1">IF(AND(Energy!$F$11=$A$3,Main!$B$43=$A170),Summary!AL27,AL170)</f>
        <v>-0.55072696608381932</v>
      </c>
      <c r="AM170" s="103">
        <f ca="1">IF(AND(Energy!$F$11=$A$3,Main!$B$43=$A170),Summary!AJ187,AM170)</f>
        <v>0</v>
      </c>
    </row>
    <row r="171" spans="1:39">
      <c r="A171">
        <f t="shared" si="11"/>
        <v>9</v>
      </c>
      <c r="D171" s="1">
        <f ca="1">IF(AND(Energy!$F$11=$A$3,Main!$B$43=A171),Main!C28,D171)</f>
        <v>5.6052631578947372</v>
      </c>
      <c r="E171" s="103">
        <f ca="1">IF(AND(Energy!$F$11=$A$3,Main!$B$43=A171),Main!B28,E171)</f>
        <v>0.37777777777777766</v>
      </c>
      <c r="F171" s="103">
        <f ca="1">IF(Main!$D$6=1,U171,IF(Main!$D$6=2,N171,IF(Main!$D$6=3,K171,IF(Main!$D$6=4,V171,J171))))</f>
        <v>651.75072292212781</v>
      </c>
      <c r="G171" s="103">
        <f ca="1">IF(AND(Energy!$F$11=$A$3,Main!$B$43=A171),Weight!H28,G171)</f>
        <v>15</v>
      </c>
      <c r="H171" s="103">
        <f ca="1">IF(AND(Energy!$F$11=$A$3,Main!$B$43=A171),Weight!U28,H171)</f>
        <v>25.900477315973902</v>
      </c>
      <c r="I171" s="103">
        <f ca="1">IF(AND(Energy!$F$11=$A$3,Main!$B$43=A171),Weight!V28,I171)</f>
        <v>63.403139488888527</v>
      </c>
      <c r="J171" s="103">
        <f ca="1">IF(AND(Energy!$F$11=$A$3,Main!$B$43=A171),Weight!I28,J171)</f>
        <v>32.565013897914625</v>
      </c>
      <c r="K171" s="103">
        <f ca="1">IF(AND(Energy!$F$11=$A$3,Main!$B$43=A171),Weight!W28,K171)</f>
        <v>78.404248274456336</v>
      </c>
      <c r="L171" s="103">
        <f ca="1">IF(AND(Energy!$F$11=$A$3,Main!$B$43=A171),'Aerodynamics-Cruise'!BI28,L171)</f>
        <v>78.402022816849737</v>
      </c>
      <c r="M171" s="103">
        <f ca="1">IF(AND(Energy!$F$11=$A$3,Main!$B$43=A171),'Aerodynamics-Cruise'!BJ28,M171)</f>
        <v>3.6161306193641867</v>
      </c>
      <c r="N171" s="103">
        <f ca="1">IF(AND(Energy!$F$11=$A$3,Main!$B$43=A171),'Aerodynamics-Cruise'!BK28,N171)</f>
        <v>21.681192155231088</v>
      </c>
      <c r="O171" s="103">
        <f t="shared" ca="1" si="9"/>
        <v>191.97593543547475</v>
      </c>
      <c r="P171" s="103">
        <f ca="1">IF(AND(Energy!$F$11=$A$3,Main!$B$43=A171),'Aerodynamics-Cruise'!H28,P171)</f>
        <v>8.271876838644971</v>
      </c>
      <c r="Q171" s="103">
        <f ca="1">IF(AND(Energy!$F$11=$A$3,Main!$B$43=A171),'Aerodynamics-Cruise'!I28,Q171)</f>
        <v>6.9178105440038253</v>
      </c>
      <c r="R171" s="103">
        <f ca="1">IF(AND(Energy!$F$11=$A$3,Main!$B$43=$A171),Summary!R28,R171)</f>
        <v>5.2597829382720205</v>
      </c>
      <c r="S171" s="103">
        <f ca="1">IF(AND(Energy!$F$11=$A$3,Main!$B$43=A171),'Aerodynamics-Cruise'!W28,S171)</f>
        <v>1</v>
      </c>
      <c r="T171" s="103">
        <f ca="1">IF(AND(Energy!$F$11=$A$3,Main!$B$43=A171),'Aerodynamics-Cruise'!BL28,T171)</f>
        <v>29.912187115833511</v>
      </c>
      <c r="U171" s="103">
        <f ca="1">IF(AND(Energy!$F$11=$A$3,Main!$B$43=A171),'Propulsion-Cruise'!M28,U171)</f>
        <v>66.205001242402204</v>
      </c>
      <c r="V171" s="103">
        <f ca="1">IF(AND(Energy!$F$11=$A$3,Main!$B$43=A171),Endurance!AP28,V171)</f>
        <v>651.75072292212781</v>
      </c>
      <c r="W171" s="103">
        <f ca="1">IF(AND(Energy!$F$11=$A$3,Main!$B$43=$A171),Summary!W28,W171)</f>
        <v>2.1175438596491221</v>
      </c>
      <c r="X171" s="13">
        <f ca="1">IF(AND(Energy!$F$11=$A$3,Main!$B$43=A171),Energy!D28,X171)</f>
        <v>407.22628921859797</v>
      </c>
      <c r="Y171" s="102">
        <f ca="1">IF(AND(Energy!$F$11=$A$3,Main!$B$43=A171),'Aerodynamics-Cruise'!V28,Y171)</f>
        <v>198191.82851163647</v>
      </c>
      <c r="Z171" s="102">
        <f ca="1">IF(AND(Energy!$F$11=$A$3,Main!$B$43=$A171),Summary!Z28,Z171)</f>
        <v>146909.43835994319</v>
      </c>
      <c r="AA171" s="102">
        <f ca="1">IF(AND(Energy!$F$11=$A$3,Main!$B$43=$A171),Summary!AA28,AA171)</f>
        <v>146909.43835994319</v>
      </c>
      <c r="AB171" s="103">
        <f ca="1">IF(AND(Energy!$F$11=$A$3,Main!$B$43=$A171),Summary!AB28,AB171)</f>
        <v>5.2597829382720205</v>
      </c>
      <c r="AC171" s="103">
        <f ca="1">IF(AND(Energy!$F$11=$A$3,Main!$B$43=$A171),Summary!AC28,AC171)</f>
        <v>1.63874347835375</v>
      </c>
      <c r="AD171" s="103">
        <f ca="1">IF(AND(Energy!$F$11=$A$3,Main!$B$43=$A171),Summary!AD28,AD171)</f>
        <v>0.46161872491900796</v>
      </c>
      <c r="AE171" s="103">
        <f ca="1">IF(AND(Energy!$F$11=$A$3,Main!$B$43=$A171),Summary!AE28,AE171)</f>
        <v>2.1175438596491221</v>
      </c>
      <c r="AF171" s="103">
        <f ca="1">IF(AND(Energy!$F$11=$A$3,Main!$B$43=$A171),Summary!AF28,AF171)</f>
        <v>14.837461300309604</v>
      </c>
      <c r="AG171" s="103">
        <f ca="1">IF(AND(Energy!$F$11=$A$3,Main!$B$43=$A171),Summary!AG28,AG171)</f>
        <v>12.888467313768727</v>
      </c>
      <c r="AH171" s="103">
        <f ca="1">IF(AND(Energy!$F$11=$A$3,Main!$B$43=$A171),Summary!AH28,AH171)</f>
        <v>47</v>
      </c>
      <c r="AI171" s="103">
        <f ca="1">IF(AND(Energy!$F$11=$A$3,Main!$B$43=$A171),Summary!AI28,AI171)</f>
        <v>2.8022566904564647</v>
      </c>
      <c r="AJ171" s="103">
        <f ca="1">IF(AND(Energy!$F$11=$A$3,Main!$B$43=$A171),Summary!AJ28,AJ171)</f>
        <v>0.22748573287541035</v>
      </c>
      <c r="AK171" s="103">
        <f ca="1">IF(AND(Energy!$F$11=$A$3,Main!$B$43=$A171),Summary!AK28,AK171)</f>
        <v>0.01</v>
      </c>
      <c r="AL171" s="103">
        <f ca="1">IF(AND(Energy!$F$11=$A$3,Main!$B$43=$A171),Summary!AL28,AL171)</f>
        <v>-0.54948388169768847</v>
      </c>
      <c r="AM171" s="103">
        <f ca="1">IF(AND(Energy!$F$11=$A$3,Main!$B$43=$A171),Summary!AJ188,AM171)</f>
        <v>0</v>
      </c>
    </row>
    <row r="172" spans="1:39">
      <c r="A172">
        <f t="shared" si="11"/>
        <v>9</v>
      </c>
      <c r="D172" s="1">
        <f ca="1">IF(AND(Energy!$F$11=$A$3,Main!$B$43=A172),Main!C29,D172)</f>
        <v>5.7631578947368425</v>
      </c>
      <c r="E172" s="103">
        <f ca="1">IF(AND(Energy!$F$11=$A$3,Main!$B$43=A172),Main!B29,E172)</f>
        <v>0.37777777777777766</v>
      </c>
      <c r="F172" s="103">
        <f ca="1">IF(Main!$D$6=1,U172,IF(Main!$D$6=2,N172,IF(Main!$D$6=3,K172,IF(Main!$D$6=4,V172,J172))))</f>
        <v>654.2418613128807</v>
      </c>
      <c r="G172" s="103">
        <f ca="1">IF(AND(Energy!$F$11=$A$3,Main!$B$43=A172),Weight!H29,G172)</f>
        <v>15</v>
      </c>
      <c r="H172" s="103">
        <f ca="1">IF(AND(Energy!$F$11=$A$3,Main!$B$43=A172),Weight!U29,H172)</f>
        <v>26.783724145198363</v>
      </c>
      <c r="I172" s="103">
        <f ca="1">IF(AND(Energy!$F$11=$A$3,Main!$B$43=A172),Weight!V29,I172)</f>
        <v>64.385283902886741</v>
      </c>
      <c r="J172" s="103">
        <f ca="1">IF(AND(Energy!$F$11=$A$3,Main!$B$43=A172),Weight!I29,J172)</f>
        <v>32.663911482688377</v>
      </c>
      <c r="K172" s="103">
        <f ca="1">IF(AND(Energy!$F$11=$A$3,Main!$B$43=A172),Weight!W29,K172)</f>
        <v>79.385272795831497</v>
      </c>
      <c r="L172" s="103">
        <f ca="1">IF(AND(Energy!$F$11=$A$3,Main!$B$43=A172),'Aerodynamics-Cruise'!BI29,L172)</f>
        <v>79.385288353149235</v>
      </c>
      <c r="M172" s="103">
        <f ca="1">IF(AND(Energy!$F$11=$A$3,Main!$B$43=A172),'Aerodynamics-Cruise'!BJ29,M172)</f>
        <v>3.6235534100883759</v>
      </c>
      <c r="N172" s="103">
        <f ca="1">IF(AND(Energy!$F$11=$A$3,Main!$B$43=A172),'Aerodynamics-Cruise'!BK29,N172)</f>
        <v>21.908132534249876</v>
      </c>
      <c r="O172" s="103">
        <f t="shared" ca="1" si="9"/>
        <v>195.19800417549453</v>
      </c>
      <c r="P172" s="103">
        <f ca="1">IF(AND(Energy!$F$11=$A$3,Main!$B$43=A172),'Aerodynamics-Cruise'!H29,P172)</f>
        <v>8.2087194297262016</v>
      </c>
      <c r="Q172" s="103">
        <f ca="1">IF(AND(Energy!$F$11=$A$3,Main!$B$43=A172),'Aerodynamics-Cruise'!I29,Q172)</f>
        <v>6.8671660443868916</v>
      </c>
      <c r="R172" s="103">
        <f ca="1">IF(AND(Energy!$F$11=$A$3,Main!$B$43=$A172),Summary!R29,R172)</f>
        <v>5.2467739570691592</v>
      </c>
      <c r="S172" s="103">
        <f ca="1">IF(AND(Energy!$F$11=$A$3,Main!$B$43=A172),'Aerodynamics-Cruise'!W29,S172)</f>
        <v>1</v>
      </c>
      <c r="T172" s="103">
        <f ca="1">IF(AND(Energy!$F$11=$A$3,Main!$B$43=A172),'Aerodynamics-Cruise'!BL29,T172)</f>
        <v>29.744733282043086</v>
      </c>
      <c r="U172" s="103">
        <f ca="1">IF(AND(Energy!$F$11=$A$3,Main!$B$43=A172),'Propulsion-Cruise'!M29,U172)</f>
        <v>66.046618359452452</v>
      </c>
      <c r="V172" s="103">
        <f ca="1">IF(AND(Energy!$F$11=$A$3,Main!$B$43=A172),Endurance!AP29,V172)</f>
        <v>654.2418613128807</v>
      </c>
      <c r="W172" s="103">
        <f ca="1">IF(AND(Energy!$F$11=$A$3,Main!$B$43=$A172),Summary!W29,W172)</f>
        <v>2.1771929824561398</v>
      </c>
      <c r="X172" s="13">
        <f ca="1">IF(AND(Energy!$F$11=$A$3,Main!$B$43=A172),Energy!D29,X172)</f>
        <v>407.28063803889006</v>
      </c>
      <c r="Y172" s="102">
        <f ca="1">IF(AND(Energy!$F$11=$A$3,Main!$B$43=A172),'Aerodynamics-Cruise'!V29,Y172)</f>
        <v>196678.5948644442</v>
      </c>
      <c r="Z172" s="102">
        <f ca="1">IF(AND(Energy!$F$11=$A$3,Main!$B$43=$A172),Summary!Z29,Z172)</f>
        <v>145832.13410366257</v>
      </c>
      <c r="AA172" s="102">
        <f ca="1">IF(AND(Energy!$F$11=$A$3,Main!$B$43=$A172),Summary!AA29,AA172)</f>
        <v>145832.13410366257</v>
      </c>
      <c r="AB172" s="103">
        <f ca="1">IF(AND(Energy!$F$11=$A$3,Main!$B$43=$A172),Summary!AB29,AB172)</f>
        <v>5.2467739570691592</v>
      </c>
      <c r="AC172" s="103">
        <f ca="1">IF(AND(Energy!$F$11=$A$3,Main!$B$43=$A172),Summary!AC29,AC172)</f>
        <v>1.6082519835781284</v>
      </c>
      <c r="AD172" s="103">
        <f ca="1">IF(AND(Energy!$F$11=$A$3,Main!$B$43=$A172),Summary!AD29,AD172)</f>
        <v>0.46043946189853474</v>
      </c>
      <c r="AE172" s="103">
        <f ca="1">IF(AND(Energy!$F$11=$A$3,Main!$B$43=$A172),Summary!AE29,AE172)</f>
        <v>2.1771929824561398</v>
      </c>
      <c r="AF172" s="103">
        <f ca="1">IF(AND(Energy!$F$11=$A$3,Main!$B$43=$A172),Summary!AF29,AF172)</f>
        <v>15.255417956656352</v>
      </c>
      <c r="AG172" s="103">
        <f ca="1">IF(AND(Energy!$F$11=$A$3,Main!$B$43=$A172),Summary!AG29,AG172)</f>
        <v>12.878640284263208</v>
      </c>
      <c r="AH172" s="103">
        <f ca="1">IF(AND(Energy!$F$11=$A$3,Main!$B$43=$A172),Summary!AH29,AH172)</f>
        <v>47</v>
      </c>
      <c r="AI172" s="103">
        <f ca="1">IF(AND(Energy!$F$11=$A$3,Main!$B$43=$A172),Summary!AI29,AI172)</f>
        <v>2.8006041911651591</v>
      </c>
      <c r="AJ172" s="103">
        <f ca="1">IF(AND(Energy!$F$11=$A$3,Main!$B$43=$A172),Summary!AJ29,AJ172)</f>
        <v>0.22795067623704757</v>
      </c>
      <c r="AK172" s="103">
        <f ca="1">IF(AND(Energy!$F$11=$A$3,Main!$B$43=$A172),Summary!AK29,AK172)</f>
        <v>0.01</v>
      </c>
      <c r="AL172" s="103">
        <f ca="1">IF(AND(Energy!$F$11=$A$3,Main!$B$43=$A172),Summary!AL29,AL172)</f>
        <v>-0.54836257692812629</v>
      </c>
      <c r="AM172" s="103">
        <f ca="1">IF(AND(Energy!$F$11=$A$3,Main!$B$43=$A172),Summary!AJ189,AM172)</f>
        <v>0</v>
      </c>
    </row>
    <row r="173" spans="1:39">
      <c r="A173">
        <f t="shared" si="11"/>
        <v>9</v>
      </c>
      <c r="D173" s="1">
        <f ca="1">IF(AND(Energy!$F$11=$A$3,Main!$B$43=A173),Main!C30,D173)</f>
        <v>5.9210526315789478</v>
      </c>
      <c r="E173" s="103">
        <f ca="1">IF(AND(Energy!$F$11=$A$3,Main!$B$43=A173),Main!B30,E173)</f>
        <v>0.37777777777777766</v>
      </c>
      <c r="F173" s="103">
        <f ca="1">IF(Main!$D$6=1,U173,IF(Main!$D$6=2,N173,IF(Main!$D$6=3,K173,IF(Main!$D$6=4,V173,J173))))</f>
        <v>650.89241902289382</v>
      </c>
      <c r="G173" s="103">
        <f ca="1">IF(AND(Energy!$F$11=$A$3,Main!$B$43=A173),Weight!H30,G173)</f>
        <v>15</v>
      </c>
      <c r="H173" s="103">
        <f ca="1">IF(AND(Energy!$F$11=$A$3,Main!$B$43=A173),Weight!U30,H173)</f>
        <v>27.626882861090799</v>
      </c>
      <c r="I173" s="103">
        <f ca="1">IF(AND(Energy!$F$11=$A$3,Main!$B$43=A173),Weight!V30,I173)</f>
        <v>65.066546435764309</v>
      </c>
      <c r="J173" s="103">
        <f ca="1">IF(AND(Energy!$F$11=$A$3,Main!$B$43=A173),Weight!I30,J173)</f>
        <v>32.502015299673509</v>
      </c>
      <c r="K173" s="103">
        <f ca="1">IF(AND(Energy!$F$11=$A$3,Main!$B$43=A173),Weight!W30,K173)</f>
        <v>80.066549486138754</v>
      </c>
      <c r="L173" s="103">
        <f ca="1">IF(AND(Energy!$F$11=$A$3,Main!$B$43=A173),'Aerodynamics-Cruise'!BI30,L173)</f>
        <v>80.066543481586265</v>
      </c>
      <c r="M173" s="103">
        <f ca="1">IF(AND(Energy!$F$11=$A$3,Main!$B$43=A173),'Aerodynamics-Cruise'!BJ30,M173)</f>
        <v>3.6221214178129468</v>
      </c>
      <c r="N173" s="103">
        <f ca="1">IF(AND(Energy!$F$11=$A$3,Main!$B$43=A173),'Aerodynamics-Cruise'!BK30,N173)</f>
        <v>22.104875636645776</v>
      </c>
      <c r="O173" s="103">
        <f t="shared" ca="1" si="9"/>
        <v>197.7942289266264</v>
      </c>
      <c r="P173" s="103">
        <f ca="1">IF(AND(Energy!$F$11=$A$3,Main!$B$43=A173),'Aerodynamics-Cruise'!H30,P173)</f>
        <v>8.1331575351808905</v>
      </c>
      <c r="Q173" s="103">
        <f ca="1">IF(AND(Energy!$F$11=$A$3,Main!$B$43=A173),'Aerodynamics-Cruise'!I30,Q173)</f>
        <v>6.8065482021494033</v>
      </c>
      <c r="R173" s="103">
        <f ca="1">IF(AND(Energy!$F$11=$A$3,Main!$B$43=$A173),Summary!R30,R173)</f>
        <v>5.1969427794317875</v>
      </c>
      <c r="S173" s="103">
        <f ca="1">IF(AND(Energy!$F$11=$A$3,Main!$B$43=A173),'Aerodynamics-Cruise'!W30,S173)</f>
        <v>1</v>
      </c>
      <c r="T173" s="103">
        <f ca="1">IF(AND(Energy!$F$11=$A$3,Main!$B$43=A173),'Aerodynamics-Cruise'!BL30,T173)</f>
        <v>29.45928410262546</v>
      </c>
      <c r="U173" s="103">
        <f ca="1">IF(AND(Energy!$F$11=$A$3,Main!$B$43=A173),'Propulsion-Cruise'!M30,U173)</f>
        <v>65.649346852254368</v>
      </c>
      <c r="V173" s="103">
        <f ca="1">IF(AND(Energy!$F$11=$A$3,Main!$B$43=A173),Endurance!AP30,V173)</f>
        <v>650.89241902289382</v>
      </c>
      <c r="W173" s="103">
        <f ca="1">IF(AND(Energy!$F$11=$A$3,Main!$B$43=$A173),Summary!W30,W173)</f>
        <v>2.2368421052631575</v>
      </c>
      <c r="X173" s="13">
        <f ca="1">IF(AND(Energy!$F$11=$A$3,Main!$B$43=A173),Energy!D30,X173)</f>
        <v>407.19083965936949</v>
      </c>
      <c r="Y173" s="102">
        <f ca="1">IF(AND(Energy!$F$11=$A$3,Main!$B$43=A173),'Aerodynamics-Cruise'!V30,Y173)</f>
        <v>194868.15325151128</v>
      </c>
      <c r="Z173" s="102">
        <f ca="1">IF(AND(Energy!$F$11=$A$3,Main!$B$43=$A173),Summary!Z30,Z173)</f>
        <v>144542.69461046704</v>
      </c>
      <c r="AA173" s="102">
        <f ca="1">IF(AND(Energy!$F$11=$A$3,Main!$B$43=$A173),Summary!AA30,AA173)</f>
        <v>144542.69461046704</v>
      </c>
      <c r="AB173" s="103">
        <f ca="1">IF(AND(Energy!$F$11=$A$3,Main!$B$43=$A173),Summary!AB30,AB173)</f>
        <v>5.1969427794317875</v>
      </c>
      <c r="AC173" s="103">
        <f ca="1">IF(AND(Energy!$F$11=$A$3,Main!$B$43=$A173),Summary!AC30,AC173)</f>
        <v>1.5834437699155355</v>
      </c>
      <c r="AD173" s="103">
        <f ca="1">IF(AND(Energy!$F$11=$A$3,Main!$B$43=$A173),Summary!AD30,AD173)</f>
        <v>0.45856475247106471</v>
      </c>
      <c r="AE173" s="103">
        <f ca="1">IF(AND(Energy!$F$11=$A$3,Main!$B$43=$A173),Summary!AE30,AE173)</f>
        <v>2.2368421052631575</v>
      </c>
      <c r="AF173" s="103">
        <f ca="1">IF(AND(Energy!$F$11=$A$3,Main!$B$43=$A173),Summary!AF30,AF173)</f>
        <v>15.6733746130031</v>
      </c>
      <c r="AG173" s="103">
        <f ca="1">IF(AND(Energy!$F$11=$A$3,Main!$B$43=$A173),Summary!AG30,AG173)</f>
        <v>12.839794993350676</v>
      </c>
      <c r="AH173" s="103">
        <f ca="1">IF(AND(Energy!$F$11=$A$3,Main!$B$43=$A173),Summary!AH30,AH173)</f>
        <v>47</v>
      </c>
      <c r="AI173" s="103">
        <f ca="1">IF(AND(Energy!$F$11=$A$3,Main!$B$43=$A173),Summary!AI30,AI173)</f>
        <v>2.7984692880903705</v>
      </c>
      <c r="AJ173" s="103">
        <f ca="1">IF(AND(Energy!$F$11=$A$3,Main!$B$43=$A173),Summary!AJ30,AJ173)</f>
        <v>0.22841251118877909</v>
      </c>
      <c r="AK173" s="103">
        <f ca="1">IF(AND(Energy!$F$11=$A$3,Main!$B$43=$A173),Summary!AK30,AK173)</f>
        <v>0.01</v>
      </c>
      <c r="AL173" s="103">
        <f ca="1">IF(AND(Energy!$F$11=$A$3,Main!$B$43=$A173),Summary!AL30,AL173)</f>
        <v>-0.54725421476553182</v>
      </c>
      <c r="AM173" s="103">
        <f ca="1">IF(AND(Energy!$F$11=$A$3,Main!$B$43=$A173),Summary!AJ190,AM173)</f>
        <v>0</v>
      </c>
    </row>
    <row r="174" spans="1:39">
      <c r="A174">
        <f t="shared" si="11"/>
        <v>9</v>
      </c>
      <c r="D174" s="1">
        <f ca="1">IF(AND(Energy!$F$11=$A$3,Main!$B$43=A174),Main!C31,D174)</f>
        <v>6.0789473684210531</v>
      </c>
      <c r="E174" s="103">
        <f ca="1">IF(AND(Energy!$F$11=$A$3,Main!$B$43=A174),Main!B31,E174)</f>
        <v>0.37777777777777766</v>
      </c>
      <c r="F174" s="103">
        <f ca="1">IF(Main!$D$6=1,U174,IF(Main!$D$6=2,N174,IF(Main!$D$6=3,K174,IF(Main!$D$6=4,V174,J174))))</f>
        <v>648.43819337262892</v>
      </c>
      <c r="G174" s="103">
        <f ca="1">IF(AND(Energy!$F$11=$A$3,Main!$B$43=A174),Weight!H31,G174)</f>
        <v>15</v>
      </c>
      <c r="H174" s="103">
        <f ca="1">IF(AND(Energy!$F$11=$A$3,Main!$B$43=A174),Weight!U31,H174)</f>
        <v>28.494133090627678</v>
      </c>
      <c r="I174" s="103">
        <f ca="1">IF(AND(Energy!$F$11=$A$3,Main!$B$43=A174),Weight!V31,I174)</f>
        <v>65.812461647582168</v>
      </c>
      <c r="J174" s="103">
        <f ca="1">IF(AND(Energy!$F$11=$A$3,Main!$B$43=A174),Weight!I31,J174)</f>
        <v>32.38068028195449</v>
      </c>
      <c r="K174" s="103">
        <f ca="1">IF(AND(Energy!$F$11=$A$3,Main!$B$43=A174),Weight!W31,K174)</f>
        <v>80.812461467698853</v>
      </c>
      <c r="L174" s="103">
        <f ca="1">IF(AND(Energy!$F$11=$A$3,Main!$B$43=A174),'Aerodynamics-Cruise'!BI31,L174)</f>
        <v>80.812461816649858</v>
      </c>
      <c r="M174" s="103">
        <f ca="1">IF(AND(Energy!$F$11=$A$3,Main!$B$43=A174),'Aerodynamics-Cruise'!BJ31,M174)</f>
        <v>3.6244787863366077</v>
      </c>
      <c r="N174" s="103">
        <f ca="1">IF(AND(Energy!$F$11=$A$3,Main!$B$43=A174),'Aerodynamics-Cruise'!BK31,N174)</f>
        <v>22.296298745434221</v>
      </c>
      <c r="O174" s="103">
        <f t="shared" ca="1" si="9"/>
        <v>200.43425368353329</v>
      </c>
      <c r="P174" s="103">
        <f ca="1">IF(AND(Energy!$F$11=$A$3,Main!$B$43=A174),'Aerodynamics-Cruise'!H31,P174)</f>
        <v>8.0640966747905818</v>
      </c>
      <c r="Q174" s="103">
        <f ca="1">IF(AND(Energy!$F$11=$A$3,Main!$B$43=A174),'Aerodynamics-Cruise'!I31,Q174)</f>
        <v>6.7511254304282842</v>
      </c>
      <c r="R174" s="103">
        <f ca="1">IF(AND(Energy!$F$11=$A$3,Main!$B$43=$A174),Summary!R31,R174)</f>
        <v>5.158854085284565</v>
      </c>
      <c r="S174" s="103">
        <f ca="1">IF(AND(Energy!$F$11=$A$3,Main!$B$43=A174),'Aerodynamics-Cruise'!W31,S174)</f>
        <v>1</v>
      </c>
      <c r="T174" s="103">
        <f ca="1">IF(AND(Energy!$F$11=$A$3,Main!$B$43=A174),'Aerodynamics-Cruise'!BL31,T174)</f>
        <v>29.22814732874604</v>
      </c>
      <c r="U174" s="103">
        <f ca="1">IF(AND(Energy!$F$11=$A$3,Main!$B$43=A174),'Propulsion-Cruise'!M31,U174)</f>
        <v>65.358214869837596</v>
      </c>
      <c r="V174" s="103">
        <f ca="1">IF(AND(Energy!$F$11=$A$3,Main!$B$43=A174),Endurance!AP31,V174)</f>
        <v>648.43819337262892</v>
      </c>
      <c r="W174" s="103">
        <f ca="1">IF(AND(Energy!$F$11=$A$3,Main!$B$43=$A174),Summary!W31,W174)</f>
        <v>2.2964912280701748</v>
      </c>
      <c r="X174" s="13">
        <f ca="1">IF(AND(Energy!$F$11=$A$3,Main!$B$43=A174),Energy!D31,X174)</f>
        <v>407.12352648442436</v>
      </c>
      <c r="Y174" s="102">
        <f ca="1">IF(AND(Energy!$F$11=$A$3,Main!$B$43=A174),'Aerodynamics-Cruise'!V31,Y174)</f>
        <v>193213.47457745305</v>
      </c>
      <c r="Z174" s="102">
        <f ca="1">IF(AND(Energy!$F$11=$A$3,Main!$B$43=$A174),Summary!Z31,Z174)</f>
        <v>143363.77931400415</v>
      </c>
      <c r="AA174" s="102">
        <f ca="1">IF(AND(Energy!$F$11=$A$3,Main!$B$43=$A174),Summary!AA31,AA174)</f>
        <v>143363.77931400415</v>
      </c>
      <c r="AB174" s="103">
        <f ca="1">IF(AND(Energy!$F$11=$A$3,Main!$B$43=$A174),Summary!AB31,AB174)</f>
        <v>5.158854085284565</v>
      </c>
      <c r="AC174" s="103">
        <f ca="1">IF(AND(Energy!$F$11=$A$3,Main!$B$43=$A174),Summary!AC31,AC174)</f>
        <v>1.5583375153764711</v>
      </c>
      <c r="AD174" s="103">
        <f ca="1">IF(AND(Energy!$F$11=$A$3,Main!$B$43=$A174),Summary!AD31,AD174)</f>
        <v>0.45701089950605528</v>
      </c>
      <c r="AE174" s="103">
        <f ca="1">IF(AND(Energy!$F$11=$A$3,Main!$B$43=$A174),Summary!AE31,AE174)</f>
        <v>2.2964912280701748</v>
      </c>
      <c r="AF174" s="103">
        <f ca="1">IF(AND(Energy!$F$11=$A$3,Main!$B$43=$A174),Summary!AF31,AF174)</f>
        <v>16.091331269349851</v>
      </c>
      <c r="AG174" s="103">
        <f ca="1">IF(AND(Energy!$F$11=$A$3,Main!$B$43=$A174),Summary!AG31,AG174)</f>
        <v>12.813164579481503</v>
      </c>
      <c r="AH174" s="103">
        <f ca="1">IF(AND(Energy!$F$11=$A$3,Main!$B$43=$A174),Summary!AH31,AH174)</f>
        <v>47</v>
      </c>
      <c r="AI174" s="103">
        <f ca="1">IF(AND(Energy!$F$11=$A$3,Main!$B$43=$A174),Summary!AI31,AI174)</f>
        <v>2.7965022377575828</v>
      </c>
      <c r="AJ174" s="103">
        <f ca="1">IF(AND(Energy!$F$11=$A$3,Main!$B$43=$A174),Summary!AJ31,AJ174)</f>
        <v>0.22883020506404053</v>
      </c>
      <c r="AK174" s="103">
        <f ca="1">IF(AND(Energy!$F$11=$A$3,Main!$B$43=$A174),Summary!AK31,AK174)</f>
        <v>0.01</v>
      </c>
      <c r="AL174" s="103">
        <f ca="1">IF(AND(Energy!$F$11=$A$3,Main!$B$43=$A174),Summary!AL31,AL174)</f>
        <v>-0.5462557985596278</v>
      </c>
      <c r="AM174" s="103">
        <f ca="1">IF(AND(Energy!$F$11=$A$3,Main!$B$43=$A174),Summary!AJ191,AM174)</f>
        <v>0</v>
      </c>
    </row>
    <row r="175" spans="1:39">
      <c r="A175">
        <f t="shared" si="11"/>
        <v>9</v>
      </c>
      <c r="D175" s="1">
        <f ca="1">IF(AND(Energy!$F$11=$A$3,Main!$B$43=A175),Main!C32,D175)</f>
        <v>6.2368421052631584</v>
      </c>
      <c r="E175" s="103">
        <f ca="1">IF(AND(Energy!$F$11=$A$3,Main!$B$43=A175),Main!B32,E175)</f>
        <v>0.37777777777777766</v>
      </c>
      <c r="F175" s="103">
        <f ca="1">IF(Main!$D$6=1,U175,IF(Main!$D$6=2,N175,IF(Main!$D$6=3,K175,IF(Main!$D$6=4,V175,J175))))</f>
        <v>646.76887021698292</v>
      </c>
      <c r="G175" s="103">
        <f ca="1">IF(AND(Energy!$F$11=$A$3,Main!$B$43=A175),Weight!H32,G175)</f>
        <v>15</v>
      </c>
      <c r="H175" s="103">
        <f ca="1">IF(AND(Energy!$F$11=$A$3,Main!$B$43=A175),Weight!U32,H175)</f>
        <v>29.38511506767157</v>
      </c>
      <c r="I175" s="103">
        <f ca="1">IF(AND(Energy!$F$11=$A$3,Main!$B$43=A175),Weight!V32,I175)</f>
        <v>66.617605813439013</v>
      </c>
      <c r="J175" s="103">
        <f ca="1">IF(AND(Energy!$F$11=$A$3,Main!$B$43=A175),Weight!I32,J175)</f>
        <v>32.294842470767442</v>
      </c>
      <c r="K175" s="103">
        <f ca="1">IF(AND(Energy!$F$11=$A$3,Main!$B$43=A175),Weight!W32,K175)</f>
        <v>81.617605347950146</v>
      </c>
      <c r="L175" s="103">
        <f ca="1">IF(AND(Energy!$F$11=$A$3,Main!$B$43=A175),'Aerodynamics-Cruise'!BI32,L175)</f>
        <v>81.617606309164245</v>
      </c>
      <c r="M175" s="103">
        <f ca="1">IF(AND(Energy!$F$11=$A$3,Main!$B$43=A175),'Aerodynamics-Cruise'!BJ32,M175)</f>
        <v>3.6302289320214234</v>
      </c>
      <c r="N175" s="103">
        <f ca="1">IF(AND(Energy!$F$11=$A$3,Main!$B$43=A175),'Aerodynamics-Cruise'!BK32,N175)</f>
        <v>22.482771152318772</v>
      </c>
      <c r="O175" s="103">
        <f t="shared" ca="1" si="9"/>
        <v>203.11489222113855</v>
      </c>
      <c r="P175" s="103">
        <f ca="1">IF(AND(Energy!$F$11=$A$3,Main!$B$43=A175),'Aerodynamics-Cruise'!H32,P175)</f>
        <v>8.0008867107838615</v>
      </c>
      <c r="Q175" s="103">
        <f ca="1">IF(AND(Energy!$F$11=$A$3,Main!$B$43=A175),'Aerodynamics-Cruise'!I32,Q175)</f>
        <v>6.7003810628576472</v>
      </c>
      <c r="R175" s="103">
        <f ca="1">IF(AND(Energy!$F$11=$A$3,Main!$B$43=$A175),Summary!R32,R175)</f>
        <v>5.1311618066489935</v>
      </c>
      <c r="S175" s="103">
        <f ca="1">IF(AND(Energy!$F$11=$A$3,Main!$B$43=A175),'Aerodynamics-Cruise'!W32,S175)</f>
        <v>1</v>
      </c>
      <c r="T175" s="103">
        <f ca="1">IF(AND(Energy!$F$11=$A$3,Main!$B$43=A175),'Aerodynamics-Cruise'!BL32,T175)</f>
        <v>29.045050419313295</v>
      </c>
      <c r="U175" s="103">
        <f ca="1">IF(AND(Energy!$F$11=$A$3,Main!$B$43=A175),'Propulsion-Cruise'!M32,U175)</f>
        <v>65.160233209583922</v>
      </c>
      <c r="V175" s="103">
        <f ca="1">IF(AND(Energy!$F$11=$A$3,Main!$B$43=A175),Endurance!AP32,V175)</f>
        <v>646.76887021698292</v>
      </c>
      <c r="W175" s="103">
        <f ca="1">IF(AND(Energy!$F$11=$A$3,Main!$B$43=$A175),Summary!W32,W175)</f>
        <v>2.3561403508771925</v>
      </c>
      <c r="X175" s="13">
        <f ca="1">IF(AND(Energy!$F$11=$A$3,Main!$B$43=A175),Energy!D32,X175)</f>
        <v>407.07590718820359</v>
      </c>
      <c r="Y175" s="102">
        <f ca="1">IF(AND(Energy!$F$11=$A$3,Main!$B$43=A175),'Aerodynamics-Cruise'!V32,Y175)</f>
        <v>191698.98172522403</v>
      </c>
      <c r="Z175" s="102">
        <f ca="1">IF(AND(Energy!$F$11=$A$3,Main!$B$43=$A175),Summary!Z32,Z175)</f>
        <v>142284.39398410683</v>
      </c>
      <c r="AA175" s="102">
        <f ca="1">IF(AND(Energy!$F$11=$A$3,Main!$B$43=$A175),Summary!AA32,AA175)</f>
        <v>142284.39398410683</v>
      </c>
      <c r="AB175" s="103">
        <f ca="1">IF(AND(Energy!$F$11=$A$3,Main!$B$43=$A175),Summary!AB32,AB175)</f>
        <v>5.1311618066489935</v>
      </c>
      <c r="AC175" s="103">
        <f ca="1">IF(AND(Energy!$F$11=$A$3,Main!$B$43=$A175),Summary!AC32,AC175)</f>
        <v>1.5330642498157818</v>
      </c>
      <c r="AD175" s="103">
        <f ca="1">IF(AND(Energy!$F$11=$A$3,Main!$B$43=$A175),Summary!AD32,AD175)</f>
        <v>0.45574265565010347</v>
      </c>
      <c r="AE175" s="103">
        <f ca="1">IF(AND(Energy!$F$11=$A$3,Main!$B$43=$A175),Summary!AE32,AE175)</f>
        <v>2.3561403508771925</v>
      </c>
      <c r="AF175" s="103">
        <f ca="1">IF(AND(Energy!$F$11=$A$3,Main!$B$43=$A175),Summary!AF32,AF175)</f>
        <v>16.509287925696601</v>
      </c>
      <c r="AG175" s="103">
        <f ca="1">IF(AND(Energy!$F$11=$A$3,Main!$B$43=$A175),Summary!AG32,AG175)</f>
        <v>12.797245815063373</v>
      </c>
      <c r="AH175" s="103">
        <f ca="1">IF(AND(Energy!$F$11=$A$3,Main!$B$43=$A175),Summary!AH32,AH175)</f>
        <v>47</v>
      </c>
      <c r="AI175" s="103">
        <f ca="1">IF(AND(Energy!$F$11=$A$3,Main!$B$43=$A175),Summary!AI32,AI175)</f>
        <v>2.7946879146776538</v>
      </c>
      <c r="AJ175" s="103">
        <f ca="1">IF(AND(Energy!$F$11=$A$3,Main!$B$43=$A175),Summary!AJ32,AJ175)</f>
        <v>0.22922452273891855</v>
      </c>
      <c r="AK175" s="103">
        <f ca="1">IF(AND(Energy!$F$11=$A$3,Main!$B$43=$A175),Summary!AK32,AK175)</f>
        <v>0.01</v>
      </c>
      <c r="AL175" s="103">
        <f ca="1">IF(AND(Energy!$F$11=$A$3,Main!$B$43=$A175),Summary!AL32,AL175)</f>
        <v>-0.54531643566836563</v>
      </c>
      <c r="AM175" s="103">
        <f ca="1">IF(AND(Energy!$F$11=$A$3,Main!$B$43=$A175),Summary!AJ192,AM175)</f>
        <v>0</v>
      </c>
    </row>
    <row r="176" spans="1:39">
      <c r="A176">
        <f t="shared" si="11"/>
        <v>9</v>
      </c>
      <c r="D176" s="1">
        <f ca="1">IF(AND(Energy!$F$11=$A$3,Main!$B$43=A176),Main!C33,D176)</f>
        <v>6.3947368421052637</v>
      </c>
      <c r="E176" s="103">
        <f ca="1">IF(AND(Energy!$F$11=$A$3,Main!$B$43=A176),Main!B33,E176)</f>
        <v>0.37777777777777766</v>
      </c>
      <c r="F176" s="103">
        <f ca="1">IF(Main!$D$6=1,U176,IF(Main!$D$6=2,N176,IF(Main!$D$6=3,K176,IF(Main!$D$6=4,V176,J176))))</f>
        <v>645.81177692060737</v>
      </c>
      <c r="G176" s="103">
        <f ca="1">IF(AND(Energy!$F$11=$A$3,Main!$B$43=A176),Weight!H33,G176)</f>
        <v>15</v>
      </c>
      <c r="H176" s="103">
        <f ca="1">IF(AND(Energy!$F$11=$A$3,Main!$B$43=A176),Weight!U33,H176)</f>
        <v>30.299830044405866</v>
      </c>
      <c r="I176" s="103">
        <f ca="1">IF(AND(Energy!$F$11=$A$3,Main!$B$43=A176),Weight!V33,I176)</f>
        <v>67.478676841175286</v>
      </c>
      <c r="J176" s="103">
        <f ca="1">IF(AND(Energy!$F$11=$A$3,Main!$B$43=A176),Weight!I33,J176)</f>
        <v>32.241198521769419</v>
      </c>
      <c r="K176" s="103">
        <f ca="1">IF(AND(Energy!$F$11=$A$3,Main!$B$43=A176),Weight!W33,K176)</f>
        <v>82.478676332401534</v>
      </c>
      <c r="L176" s="103">
        <f ca="1">IF(AND(Energy!$F$11=$A$3,Main!$B$43=A176),'Aerodynamics-Cruise'!BI33,L176)</f>
        <v>82.478677387074086</v>
      </c>
      <c r="M176" s="103">
        <f ca="1">IF(AND(Energy!$F$11=$A$3,Main!$B$43=A176),'Aerodynamics-Cruise'!BJ33,M176)</f>
        <v>3.6390767545030003</v>
      </c>
      <c r="N176" s="103">
        <f ca="1">IF(AND(Energy!$F$11=$A$3,Main!$B$43=A176),'Aerodynamics-Cruise'!BK33,N176)</f>
        <v>22.664725959686017</v>
      </c>
      <c r="O176" s="103">
        <f t="shared" ca="1" si="9"/>
        <v>205.83599181011255</v>
      </c>
      <c r="P176" s="103">
        <f ca="1">IF(AND(Energy!$F$11=$A$3,Main!$B$43=A176),'Aerodynamics-Cruise'!H33,P176)</f>
        <v>7.9430272794831005</v>
      </c>
      <c r="Q176" s="103">
        <f ca="1">IF(AND(Energy!$F$11=$A$3,Main!$B$43=A176),'Aerodynamics-Cruise'!I33,Q176)</f>
        <v>6.6539177161119474</v>
      </c>
      <c r="R176" s="103">
        <f ca="1">IF(AND(Energy!$F$11=$A$3,Main!$B$43=$A176),Summary!R33,R176)</f>
        <v>5.1129079090600404</v>
      </c>
      <c r="S176" s="103">
        <f ca="1">IF(AND(Energy!$F$11=$A$3,Main!$B$43=A176),'Aerodynamics-Cruise'!W33,S176)</f>
        <v>1</v>
      </c>
      <c r="T176" s="103">
        <f ca="1">IF(AND(Energy!$F$11=$A$3,Main!$B$43=A176),'Aerodynamics-Cruise'!BL33,T176)</f>
        <v>28.905285933150157</v>
      </c>
      <c r="U176" s="103">
        <f ca="1">IF(AND(Energy!$F$11=$A$3,Main!$B$43=A176),'Propulsion-Cruise'!M33,U176)</f>
        <v>65.046771625792587</v>
      </c>
      <c r="V176" s="103">
        <f ca="1">IF(AND(Energy!$F$11=$A$3,Main!$B$43=A176),Endurance!AP33,V176)</f>
        <v>645.81177692060737</v>
      </c>
      <c r="W176" s="103">
        <f ca="1">IF(AND(Energy!$F$11=$A$3,Main!$B$43=$A176),Summary!W33,W176)</f>
        <v>2.4157894736842098</v>
      </c>
      <c r="X176" s="13">
        <f ca="1">IF(AND(Energy!$F$11=$A$3,Main!$B$43=A176),Energy!D33,X176)</f>
        <v>407.04614776436722</v>
      </c>
      <c r="Y176" s="102">
        <f ca="1">IF(AND(Energy!$F$11=$A$3,Main!$B$43=A176),'Aerodynamics-Cruise'!V33,Y176)</f>
        <v>190312.68612268701</v>
      </c>
      <c r="Z176" s="102">
        <f ca="1">IF(AND(Energy!$F$11=$A$3,Main!$B$43=$A176),Summary!Z33,Z176)</f>
        <v>141296.08229987801</v>
      </c>
      <c r="AA176" s="102">
        <f ca="1">IF(AND(Energy!$F$11=$A$3,Main!$B$43=$A176),Summary!AA33,AA176)</f>
        <v>141296.08229987801</v>
      </c>
      <c r="AB176" s="103">
        <f ca="1">IF(AND(Energy!$F$11=$A$3,Main!$B$43=$A176),Summary!AB33,AB176)</f>
        <v>5.1129079090600404</v>
      </c>
      <c r="AC176" s="103">
        <f ca="1">IF(AND(Energy!$F$11=$A$3,Main!$B$43=$A176),Summary!AC33,AC176)</f>
        <v>1.5077141334607456</v>
      </c>
      <c r="AD176" s="103">
        <f ca="1">IF(AND(Energy!$F$11=$A$3,Main!$B$43=$A176),Summary!AD33,AD176)</f>
        <v>0.45473529917189076</v>
      </c>
      <c r="AE176" s="103">
        <f ca="1">IF(AND(Energy!$F$11=$A$3,Main!$B$43=$A176),Summary!AE33,AE176)</f>
        <v>2.4157894736842098</v>
      </c>
      <c r="AF176" s="103">
        <f ca="1">IF(AND(Energy!$F$11=$A$3,Main!$B$43=$A176),Summary!AF33,AF176)</f>
        <v>16.92724458204335</v>
      </c>
      <c r="AG176" s="103">
        <f ca="1">IF(AND(Energy!$F$11=$A$3,Main!$B$43=$A176),Summary!AG33,AG176)</f>
        <v>12.791083521783786</v>
      </c>
      <c r="AH176" s="103">
        <f ca="1">IF(AND(Energy!$F$11=$A$3,Main!$B$43=$A176),Summary!AH33,AH176)</f>
        <v>47</v>
      </c>
      <c r="AI176" s="103">
        <f ca="1">IF(AND(Energy!$F$11=$A$3,Main!$B$43=$A176),Summary!AI33,AI176)</f>
        <v>2.7930154425847622</v>
      </c>
      <c r="AJ176" s="103">
        <f ca="1">IF(AND(Energy!$F$11=$A$3,Main!$B$43=$A176),Summary!AJ33,AJ176)</f>
        <v>0.22960904003510935</v>
      </c>
      <c r="AK176" s="103">
        <f ca="1">IF(AND(Energy!$F$11=$A$3,Main!$B$43=$A176),Summary!AK33,AK176)</f>
        <v>0.01</v>
      </c>
      <c r="AL176" s="103">
        <f ca="1">IF(AND(Energy!$F$11=$A$3,Main!$B$43=$A176),Summary!AL33,AL176)</f>
        <v>-0.5444031507160223</v>
      </c>
      <c r="AM176" s="103">
        <f ca="1">IF(AND(Energy!$F$11=$A$3,Main!$B$43=$A176),Summary!AJ193,AM176)</f>
        <v>0</v>
      </c>
    </row>
    <row r="177" spans="1:39">
      <c r="A177">
        <f t="shared" si="11"/>
        <v>9</v>
      </c>
      <c r="D177" s="1">
        <f ca="1">IF(AND(Energy!$F$11=$A$3,Main!$B$43=A177),Main!C34,D177)</f>
        <v>6.552631578947369</v>
      </c>
      <c r="E177" s="103">
        <f ca="1">IF(AND(Energy!$F$11=$A$3,Main!$B$43=A177),Main!B34,E177)</f>
        <v>0.37777777777777766</v>
      </c>
      <c r="F177" s="103">
        <f ca="1">IF(Main!$D$6=1,U177,IF(Main!$D$6=2,N177,IF(Main!$D$6=3,K177,IF(Main!$D$6=4,V177,J177))))</f>
        <v>645.50474927235234</v>
      </c>
      <c r="G177" s="103">
        <f ca="1">IF(AND(Energy!$F$11=$A$3,Main!$B$43=A177),Weight!H34,G177)</f>
        <v>15</v>
      </c>
      <c r="H177" s="103">
        <f ca="1">IF(AND(Energy!$F$11=$A$3,Main!$B$43=A177),Weight!U34,H177)</f>
        <v>31.238315442328954</v>
      </c>
      <c r="I177" s="103">
        <f ca="1">IF(AND(Energy!$F$11=$A$3,Main!$B$43=A177),Weight!V34,I177)</f>
        <v>68.392883548162203</v>
      </c>
      <c r="J177" s="103">
        <f ca="1">IF(AND(Energy!$F$11=$A$3,Main!$B$43=A177),Weight!I34,J177)</f>
        <v>32.216919830833248</v>
      </c>
      <c r="K177" s="103">
        <f ca="1">IF(AND(Energy!$F$11=$A$3,Main!$B$43=A177),Weight!W34,K177)</f>
        <v>83.392882992769714</v>
      </c>
      <c r="L177" s="103">
        <f ca="1">IF(AND(Energy!$F$11=$A$3,Main!$B$43=A177),'Aerodynamics-Cruise'!BI34,L177)</f>
        <v>83.392884147625594</v>
      </c>
      <c r="M177" s="103">
        <f ca="1">IF(AND(Energy!$F$11=$A$3,Main!$B$43=A177),'Aerodynamics-Cruise'!BJ34,M177)</f>
        <v>3.6507691752673193</v>
      </c>
      <c r="N177" s="103">
        <f ca="1">IF(AND(Energy!$F$11=$A$3,Main!$B$43=A177),'Aerodynamics-Cruise'!BK34,N177)</f>
        <v>22.842551841563452</v>
      </c>
      <c r="O177" s="103">
        <f t="shared" ca="1" si="9"/>
        <v>208.59750822958591</v>
      </c>
      <c r="P177" s="103">
        <f ca="1">IF(AND(Energy!$F$11=$A$3,Main!$B$43=A177),'Aerodynamics-Cruise'!H34,P177)</f>
        <v>7.8900779575442757</v>
      </c>
      <c r="Q177" s="103">
        <f ca="1">IF(AND(Energy!$F$11=$A$3,Main!$B$43=A177),'Aerodynamics-Cruise'!I34,Q177)</f>
        <v>6.6113853627604247</v>
      </c>
      <c r="R177" s="103">
        <f ca="1">IF(AND(Energy!$F$11=$A$3,Main!$B$43=$A177),Summary!R34,R177)</f>
        <v>5.1032861798363767</v>
      </c>
      <c r="S177" s="103">
        <f ca="1">IF(AND(Energy!$F$11=$A$3,Main!$B$43=A177),'Aerodynamics-Cruise'!W34,S177)</f>
        <v>1</v>
      </c>
      <c r="T177" s="103">
        <f ca="1">IF(AND(Energy!$F$11=$A$3,Main!$B$43=A177),'Aerodynamics-Cruise'!BL34,T177)</f>
        <v>28.804853397858771</v>
      </c>
      <c r="U177" s="103">
        <f ca="1">IF(AND(Energy!$F$11=$A$3,Main!$B$43=A177),'Propulsion-Cruise'!M34,U177)</f>
        <v>65.010453501629982</v>
      </c>
      <c r="V177" s="103">
        <f ca="1">IF(AND(Energy!$F$11=$A$3,Main!$B$43=A177),Endurance!AP34,V177)</f>
        <v>645.50474927235234</v>
      </c>
      <c r="W177" s="103">
        <f ca="1">IF(AND(Energy!$F$11=$A$3,Main!$B$43=$A177),Summary!W34,W177)</f>
        <v>2.4754385964912275</v>
      </c>
      <c r="X177" s="13">
        <f ca="1">IF(AND(Energy!$F$11=$A$3,Main!$B$43=A177),Energy!D34,X177)</f>
        <v>407.03267895384596</v>
      </c>
      <c r="Y177" s="102">
        <f ca="1">IF(AND(Energy!$F$11=$A$3,Main!$B$43=A177),'Aerodynamics-Cruise'!V34,Y177)</f>
        <v>189044.03535113783</v>
      </c>
      <c r="Z177" s="102">
        <f ca="1">IF(AND(Energy!$F$11=$A$3,Main!$B$43=$A177),Summary!Z34,Z177)</f>
        <v>140391.39587946297</v>
      </c>
      <c r="AA177" s="102">
        <f ca="1">IF(AND(Energy!$F$11=$A$3,Main!$B$43=$A177),Summary!AA34,AA177)</f>
        <v>140391.39587946297</v>
      </c>
      <c r="AB177" s="103">
        <f ca="1">IF(AND(Energy!$F$11=$A$3,Main!$B$43=$A177),Summary!AB34,AB177)</f>
        <v>5.1032861798363767</v>
      </c>
      <c r="AC177" s="103">
        <f ca="1">IF(AND(Energy!$F$11=$A$3,Main!$B$43=$A177),Summary!AC34,AC177)</f>
        <v>1.4823691566289787</v>
      </c>
      <c r="AD177" s="103">
        <f ca="1">IF(AND(Energy!$F$11=$A$3,Main!$B$43=$A177),Summary!AD34,AD177)</f>
        <v>0.453967395042363</v>
      </c>
      <c r="AE177" s="103">
        <f ca="1">IF(AND(Energy!$F$11=$A$3,Main!$B$43=$A177),Summary!AE34,AE177)</f>
        <v>2.4754385964912275</v>
      </c>
      <c r="AF177" s="103">
        <f ca="1">IF(AND(Energy!$F$11=$A$3,Main!$B$43=$A177),Summary!AF34,AF177)</f>
        <v>17.3452012383901</v>
      </c>
      <c r="AG177" s="103">
        <f ca="1">IF(AND(Energy!$F$11=$A$3,Main!$B$43=$A177),Summary!AG34,AG177)</f>
        <v>12.793846409853648</v>
      </c>
      <c r="AH177" s="103">
        <f ca="1">IF(AND(Energy!$F$11=$A$3,Main!$B$43=$A177),Summary!AH34,AH177)</f>
        <v>47</v>
      </c>
      <c r="AI177" s="103">
        <f ca="1">IF(AND(Energy!$F$11=$A$3,Main!$B$43=$A177),Summary!AI34,AI177)</f>
        <v>2.7914748936779246</v>
      </c>
      <c r="AJ177" s="103">
        <f ca="1">IF(AND(Energy!$F$11=$A$3,Main!$B$43=$A177),Summary!AJ34,AJ177)</f>
        <v>0.22996329438496046</v>
      </c>
      <c r="AK177" s="103">
        <f ca="1">IF(AND(Energy!$F$11=$A$3,Main!$B$43=$A177),Summary!AK34,AK177)</f>
        <v>0.01</v>
      </c>
      <c r="AL177" s="103">
        <f ca="1">IF(AND(Energy!$F$11=$A$3,Main!$B$43=$A177),Summary!AL34,AL177)</f>
        <v>-0.54356445558313737</v>
      </c>
      <c r="AM177" s="103">
        <f ca="1">IF(AND(Energy!$F$11=$A$3,Main!$B$43=$A177),Summary!AJ194,AM177)</f>
        <v>0</v>
      </c>
    </row>
    <row r="178" spans="1:39">
      <c r="A178">
        <f t="shared" si="11"/>
        <v>9</v>
      </c>
      <c r="D178" s="1">
        <f ca="1">IF(AND(Energy!$F$11=$A$3,Main!$B$43=A178),Main!C35,D178)</f>
        <v>6.7105263157894743</v>
      </c>
      <c r="E178" s="103">
        <f ca="1">IF(AND(Energy!$F$11=$A$3,Main!$B$43=A178),Main!B35,E178)</f>
        <v>0.37777777777777766</v>
      </c>
      <c r="F178" s="103">
        <f ca="1">IF(Main!$D$6=1,U178,IF(Main!$D$6=2,N178,IF(Main!$D$6=3,K178,IF(Main!$D$6=4,V178,J178))))</f>
        <v>645.79444532791274</v>
      </c>
      <c r="G178" s="103">
        <f ca="1">IF(AND(Energy!$F$11=$A$3,Main!$B$43=A178),Weight!H35,G178)</f>
        <v>15</v>
      </c>
      <c r="H178" s="103">
        <f ca="1">IF(AND(Energy!$F$11=$A$3,Main!$B$43=A178),Weight!U35,H178)</f>
        <v>32.200646085040603</v>
      </c>
      <c r="I178" s="103">
        <f ca="1">IF(AND(Energy!$F$11=$A$3,Main!$B$43=A178),Weight!V35,I178)</f>
        <v>69.357872375072915</v>
      </c>
      <c r="J178" s="103">
        <f ca="1">IF(AND(Energy!$F$11=$A$3,Main!$B$43=A178),Weight!I35,J178)</f>
        <v>32.219578015032312</v>
      </c>
      <c r="K178" s="103">
        <f ca="1">IF(AND(Energy!$F$11=$A$3,Main!$B$43=A178),Weight!W35,K178)</f>
        <v>84.357871785348209</v>
      </c>
      <c r="L178" s="103">
        <f ca="1">IF(AND(Energy!$F$11=$A$3,Main!$B$43=A178),'Aerodynamics-Cruise'!BI35,L178)</f>
        <v>84.357873015788797</v>
      </c>
      <c r="M178" s="103">
        <f ca="1">IF(AND(Energy!$F$11=$A$3,Main!$B$43=A178),'Aerodynamics-Cruise'!BJ35,M178)</f>
        <v>3.6650858528582897</v>
      </c>
      <c r="N178" s="103">
        <f ca="1">IF(AND(Energy!$F$11=$A$3,Main!$B$43=A178),'Aerodynamics-Cruise'!BK35,N178)</f>
        <v>23.016615818153522</v>
      </c>
      <c r="O178" s="103">
        <f t="shared" ca="1" si="9"/>
        <v>211.39965744747906</v>
      </c>
      <c r="P178" s="103">
        <f ca="1">IF(AND(Energy!$F$11=$A$3,Main!$B$43=A178),'Aerodynamics-Cruise'!H35,P178)</f>
        <v>7.8416498433483568</v>
      </c>
      <c r="Q178" s="103">
        <f ca="1">IF(AND(Energy!$F$11=$A$3,Main!$B$43=A178),'Aerodynamics-Cruise'!I35,Q178)</f>
        <v>6.5724747090582474</v>
      </c>
      <c r="R178" s="103">
        <f ca="1">IF(AND(Energy!$F$11=$A$3,Main!$B$43=$A178),Summary!R35,R178)</f>
        <v>5.1016196647133016</v>
      </c>
      <c r="S178" s="103">
        <f ca="1">IF(AND(Energy!$F$11=$A$3,Main!$B$43=A178),'Aerodynamics-Cruise'!W35,S178)</f>
        <v>1</v>
      </c>
      <c r="T178" s="103">
        <f ca="1">IF(AND(Energy!$F$11=$A$3,Main!$B$43=A178),'Aerodynamics-Cruise'!BL35,T178)</f>
        <v>28.740319903924487</v>
      </c>
      <c r="U178" s="103">
        <f ca="1">IF(AND(Energy!$F$11=$A$3,Main!$B$43=A178),'Propulsion-Cruise'!M35,U178)</f>
        <v>65.044949334851296</v>
      </c>
      <c r="V178" s="103">
        <f ca="1">IF(AND(Energy!$F$11=$A$3,Main!$B$43=A178),Endurance!AP35,V178)</f>
        <v>645.79444532791274</v>
      </c>
      <c r="W178" s="103">
        <f ca="1">IF(AND(Energy!$F$11=$A$3,Main!$B$43=$A178),Summary!W35,W178)</f>
        <v>2.5350877192982448</v>
      </c>
      <c r="X178" s="13">
        <f ca="1">IF(AND(Energy!$F$11=$A$3,Main!$B$43=A178),Energy!D35,X178)</f>
        <v>407.03415359847043</v>
      </c>
      <c r="Y178" s="102">
        <f ca="1">IF(AND(Energy!$F$11=$A$3,Main!$B$43=A178),'Aerodynamics-Cruise'!V35,Y178)</f>
        <v>187883.71143782485</v>
      </c>
      <c r="Z178" s="102">
        <f ca="1">IF(AND(Energy!$F$11=$A$3,Main!$B$43=$A178),Summary!Z35,Z178)</f>
        <v>139563.75330636089</v>
      </c>
      <c r="AA178" s="102">
        <f ca="1">IF(AND(Energy!$F$11=$A$3,Main!$B$43=$A178),Summary!AA35,AA178)</f>
        <v>139563.75330636089</v>
      </c>
      <c r="AB178" s="103">
        <f ca="1">IF(AND(Energy!$F$11=$A$3,Main!$B$43=$A178),Summary!AB35,AB178)</f>
        <v>5.1016196647133016</v>
      </c>
      <c r="AC178" s="103">
        <f ca="1">IF(AND(Energy!$F$11=$A$3,Main!$B$43=$A178),Summary!AC35,AC178)</f>
        <v>1.4570923638499274</v>
      </c>
      <c r="AD178" s="103">
        <f ca="1">IF(AND(Energy!$F$11=$A$3,Main!$B$43=$A178),Summary!AD35,AD178)</f>
        <v>0.45342004454290269</v>
      </c>
      <c r="AE178" s="103">
        <f ca="1">IF(AND(Energy!$F$11=$A$3,Main!$B$43=$A178),Summary!AE35,AE178)</f>
        <v>2.5350877192982448</v>
      </c>
      <c r="AF178" s="103">
        <f ca="1">IF(AND(Energy!$F$11=$A$3,Main!$B$43=$A178),Summary!AF35,AF178)</f>
        <v>17.763157894736853</v>
      </c>
      <c r="AG178" s="103">
        <f ca="1">IF(AND(Energy!$F$11=$A$3,Main!$B$43=$A178),Summary!AG35,AG178)</f>
        <v>12.804811081414725</v>
      </c>
      <c r="AH178" s="103">
        <f ca="1">IF(AND(Energy!$F$11=$A$3,Main!$B$43=$A178),Summary!AH35,AH178)</f>
        <v>47</v>
      </c>
      <c r="AI178" s="103">
        <f ca="1">IF(AND(Energy!$F$11=$A$3,Main!$B$43=$A178),Summary!AI35,AI178)</f>
        <v>2.7900573240113182</v>
      </c>
      <c r="AJ178" s="103">
        <f ca="1">IF(AND(Energy!$F$11=$A$3,Main!$B$43=$A178),Summary!AJ35,AJ178)</f>
        <v>0.23029166024103942</v>
      </c>
      <c r="AK178" s="103">
        <f ca="1">IF(AND(Energy!$F$11=$A$3,Main!$B$43=$A178),Summary!AK35,AK178)</f>
        <v>0.01</v>
      </c>
      <c r="AL178" s="103">
        <f ca="1">IF(AND(Energy!$F$11=$A$3,Main!$B$43=$A178),Summary!AL35,AL178)</f>
        <v>-0.54278932288374804</v>
      </c>
      <c r="AM178" s="103">
        <f ca="1">IF(AND(Energy!$F$11=$A$3,Main!$B$43=$A178),Summary!AJ195,AM178)</f>
        <v>0</v>
      </c>
    </row>
    <row r="179" spans="1:39">
      <c r="A179">
        <f t="shared" si="11"/>
        <v>9</v>
      </c>
      <c r="D179" s="1">
        <f ca="1">IF(AND(Energy!$F$11=$A$3,Main!$B$43=A179),Main!C36,D179)</f>
        <v>6.8684210526315796</v>
      </c>
      <c r="E179" s="103">
        <f ca="1">IF(AND(Energy!$F$11=$A$3,Main!$B$43=A179),Main!B36,E179)</f>
        <v>0.37777777777777766</v>
      </c>
      <c r="F179" s="103">
        <f ca="1">IF(Main!$D$6=1,U179,IF(Main!$D$6=2,N179,IF(Main!$D$6=3,K179,IF(Main!$D$6=4,V179,J179))))</f>
        <v>646.63515461360373</v>
      </c>
      <c r="G179" s="103">
        <f ca="1">IF(AND(Energy!$F$11=$A$3,Main!$B$43=A179),Weight!H36,G179)</f>
        <v>15</v>
      </c>
      <c r="H179" s="103">
        <f ca="1">IF(AND(Energy!$F$11=$A$3,Main!$B$43=A179),Weight!U36,H179)</f>
        <v>33.186932520319765</v>
      </c>
      <c r="I179" s="103">
        <f ca="1">IF(AND(Energy!$F$11=$A$3,Main!$B$43=A179),Weight!V36,I179)</f>
        <v>70.371672549138665</v>
      </c>
      <c r="J179" s="103">
        <f ca="1">IF(AND(Energy!$F$11=$A$3,Main!$B$43=A179),Weight!I36,J179)</f>
        <v>32.2470917538189</v>
      </c>
      <c r="K179" s="103">
        <f ca="1">IF(AND(Energy!$F$11=$A$3,Main!$B$43=A179),Weight!W36,K179)</f>
        <v>85.371671939583791</v>
      </c>
      <c r="L179" s="103">
        <f ca="1">IF(AND(Energy!$F$11=$A$3,Main!$B$43=A179),'Aerodynamics-Cruise'!BI36,L179)</f>
        <v>85.371673216597344</v>
      </c>
      <c r="M179" s="103">
        <f ca="1">IF(AND(Energy!$F$11=$A$3,Main!$B$43=A179),'Aerodynamics-Cruise'!BJ36,M179)</f>
        <v>3.6818356846857512</v>
      </c>
      <c r="N179" s="103">
        <f ca="1">IF(AND(Energy!$F$11=$A$3,Main!$B$43=A179),'Aerodynamics-Cruise'!BK36,N179)</f>
        <v>23.187257805038062</v>
      </c>
      <c r="O179" s="103">
        <f t="shared" ca="1" si="9"/>
        <v>214.24282552549062</v>
      </c>
      <c r="P179" s="103">
        <f ca="1">IF(AND(Energy!$F$11=$A$3,Main!$B$43=A179),'Aerodynamics-Cruise'!H36,P179)</f>
        <v>7.7973987118883299</v>
      </c>
      <c r="Q179" s="103">
        <f ca="1">IF(AND(Energy!$F$11=$A$3,Main!$B$43=A179),'Aerodynamics-Cruise'!I36,Q179)</f>
        <v>6.536911812402006</v>
      </c>
      <c r="R179" s="103">
        <f ca="1">IF(AND(Energy!$F$11=$A$3,Main!$B$43=$A179),Summary!R36,R179)</f>
        <v>5.1073387185195749</v>
      </c>
      <c r="S179" s="103">
        <f ca="1">IF(AND(Energy!$F$11=$A$3,Main!$B$43=A179),'Aerodynamics-Cruise'!W36,S179)</f>
        <v>1</v>
      </c>
      <c r="T179" s="103">
        <f ca="1">IF(AND(Energy!$F$11=$A$3,Main!$B$43=A179),'Aerodynamics-Cruise'!BL36,T179)</f>
        <v>28.708740825153164</v>
      </c>
      <c r="U179" s="103">
        <f ca="1">IF(AND(Energy!$F$11=$A$3,Main!$B$43=A179),'Propulsion-Cruise'!M36,U179)</f>
        <v>65.144835109716169</v>
      </c>
      <c r="V179" s="103">
        <f ca="1">IF(AND(Energy!$F$11=$A$3,Main!$B$43=A179),Endurance!AP36,V179)</f>
        <v>646.63515461360373</v>
      </c>
      <c r="W179" s="103">
        <f ca="1">IF(AND(Energy!$F$11=$A$3,Main!$B$43=$A179),Summary!W36,W179)</f>
        <v>2.5947368421052626</v>
      </c>
      <c r="X179" s="13">
        <f ca="1">IF(AND(Energy!$F$11=$A$3,Main!$B$43=A179),Energy!D36,X179)</f>
        <v>407.04941706976695</v>
      </c>
      <c r="Y179" s="102">
        <f ca="1">IF(AND(Energy!$F$11=$A$3,Main!$B$43=A179),'Aerodynamics-Cruise'!V36,Y179)</f>
        <v>186823.46684897912</v>
      </c>
      <c r="Z179" s="102">
        <f ca="1">IF(AND(Energy!$F$11=$A$3,Main!$B$43=$A179),Summary!Z36,Z179)</f>
        <v>138807.32554619326</v>
      </c>
      <c r="AA179" s="102">
        <f ca="1">IF(AND(Energy!$F$11=$A$3,Main!$B$43=$A179),Summary!AA36,AA179)</f>
        <v>138807.32554619326</v>
      </c>
      <c r="AB179" s="103">
        <f ca="1">IF(AND(Energy!$F$11=$A$3,Main!$B$43=$A179),Summary!AB36,AB179)</f>
        <v>5.1073387185195749</v>
      </c>
      <c r="AC179" s="103">
        <f ca="1">IF(AND(Energy!$F$11=$A$3,Main!$B$43=$A179),Summary!AC36,AC179)</f>
        <v>1.4319362994050724</v>
      </c>
      <c r="AD179" s="103">
        <f ca="1">IF(AND(Energy!$F$11=$A$3,Main!$B$43=$A179),Summary!AD36,AD179)</f>
        <v>0.45307660110870196</v>
      </c>
      <c r="AE179" s="103">
        <f ca="1">IF(AND(Energy!$F$11=$A$3,Main!$B$43=$A179),Summary!AE36,AE179)</f>
        <v>2.5947368421052626</v>
      </c>
      <c r="AF179" s="103">
        <f ca="1">IF(AND(Energy!$F$11=$A$3,Main!$B$43=$A179),Summary!AF36,AF179)</f>
        <v>18.181114551083599</v>
      </c>
      <c r="AG179" s="103">
        <f ca="1">IF(AND(Energy!$F$11=$A$3,Main!$B$43=$A179),Summary!AG36,AG179)</f>
        <v>12.823349254965194</v>
      </c>
      <c r="AH179" s="103">
        <f ca="1">IF(AND(Energy!$F$11=$A$3,Main!$B$43=$A179),Summary!AH36,AH179)</f>
        <v>47</v>
      </c>
      <c r="AI179" s="103">
        <f ca="1">IF(AND(Energy!$F$11=$A$3,Main!$B$43=$A179),Summary!AI36,AI179)</f>
        <v>2.7887546951183046</v>
      </c>
      <c r="AJ179" s="103">
        <f ca="1">IF(AND(Energy!$F$11=$A$3,Main!$B$43=$A179),Summary!AJ36,AJ179)</f>
        <v>0.23059640396062026</v>
      </c>
      <c r="AK179" s="103">
        <f ca="1">IF(AND(Energy!$F$11=$A$3,Main!$B$43=$A179),Summary!AK36,AK179)</f>
        <v>0.01</v>
      </c>
      <c r="AL179" s="103">
        <f ca="1">IF(AND(Energy!$F$11=$A$3,Main!$B$43=$A179),Summary!AL36,AL179)</f>
        <v>-0.54207188404748374</v>
      </c>
      <c r="AM179" s="103">
        <f ca="1">IF(AND(Energy!$F$11=$A$3,Main!$B$43=$A179),Summary!AJ196,AM179)</f>
        <v>0</v>
      </c>
    </row>
    <row r="180" spans="1:39">
      <c r="A180">
        <f t="shared" si="11"/>
        <v>9</v>
      </c>
      <c r="D180" s="1">
        <f ca="1">IF(AND(Energy!$F$11=$A$3,Main!$B$43=A180),Main!C37,D180)</f>
        <v>7.026315789473685</v>
      </c>
      <c r="E180" s="103">
        <f ca="1">IF(AND(Energy!$F$11=$A$3,Main!$B$43=A180),Main!B37,E180)</f>
        <v>0.37777777777777766</v>
      </c>
      <c r="F180" s="103">
        <f ca="1">IF(Main!$D$6=1,U180,IF(Main!$D$6=2,N180,IF(Main!$D$6=3,K180,IF(Main!$D$6=4,V180,J180))))</f>
        <v>647.98754972427389</v>
      </c>
      <c r="G180" s="103">
        <f ca="1">IF(AND(Energy!$F$11=$A$3,Main!$B$43=A180),Weight!H37,G180)</f>
        <v>15</v>
      </c>
      <c r="H180" s="103">
        <f ca="1">IF(AND(Energy!$F$11=$A$3,Main!$B$43=A180),Weight!U37,H180)</f>
        <v>34.197315905296335</v>
      </c>
      <c r="I180" s="103">
        <f ca="1">IF(AND(Energy!$F$11=$A$3,Main!$B$43=A180),Weight!V37,I180)</f>
        <v>71.432634223496052</v>
      </c>
      <c r="J180" s="103">
        <f ca="1">IF(AND(Energy!$F$11=$A$3,Main!$B$43=A180),Weight!I37,J180)</f>
        <v>32.297670043199716</v>
      </c>
      <c r="K180" s="103">
        <f ca="1">IF(AND(Energy!$F$11=$A$3,Main!$B$43=A180),Weight!W37,K180)</f>
        <v>86.432633592751259</v>
      </c>
      <c r="L180" s="103">
        <f ca="1">IF(AND(Energy!$F$11=$A$3,Main!$B$43=A180),'Aerodynamics-Cruise'!BI37,L180)</f>
        <v>86.432634919198904</v>
      </c>
      <c r="M180" s="103">
        <f ca="1">IF(AND(Energy!$F$11=$A$3,Main!$B$43=A180),'Aerodynamics-Cruise'!BJ37,M180)</f>
        <v>3.7008522552348575</v>
      </c>
      <c r="N180" s="103">
        <f ca="1">IF(AND(Energy!$F$11=$A$3,Main!$B$43=A180),'Aerodynamics-Cruise'!BK37,N180)</f>
        <v>23.354792074430936</v>
      </c>
      <c r="O180" s="103">
        <f t="shared" ca="1" si="9"/>
        <v>217.12752479986128</v>
      </c>
      <c r="P180" s="103">
        <f ca="1">IF(AND(Energy!$F$11=$A$3,Main!$B$43=A180),'Aerodynamics-Cruise'!H37,P180)</f>
        <v>7.7570184904560113</v>
      </c>
      <c r="Q180" s="103">
        <f ca="1">IF(AND(Energy!$F$11=$A$3,Main!$B$43=A180),'Aerodynamics-Cruise'!I37,Q180)</f>
        <v>6.5044529346973636</v>
      </c>
      <c r="R180" s="103">
        <f ca="1">IF(AND(Energy!$F$11=$A$3,Main!$B$43=$A180),Summary!R37,R180)</f>
        <v>5.1199626554372877</v>
      </c>
      <c r="S180" s="103">
        <f ca="1">IF(AND(Energy!$F$11=$A$3,Main!$B$43=A180),'Aerodynamics-Cruise'!W37,S180)</f>
        <v>1</v>
      </c>
      <c r="T180" s="103">
        <f ca="1">IF(AND(Energy!$F$11=$A$3,Main!$B$43=A180),'Aerodynamics-Cruise'!BL37,T180)</f>
        <v>28.707579374302618</v>
      </c>
      <c r="U180" s="103">
        <f ca="1">IF(AND(Energy!$F$11=$A$3,Main!$B$43=A180),'Propulsion-Cruise'!M37,U180)</f>
        <v>65.305444159392124</v>
      </c>
      <c r="V180" s="103">
        <f ca="1">IF(AND(Energy!$F$11=$A$3,Main!$B$43=A180),Endurance!AP37,V180)</f>
        <v>647.98754972427389</v>
      </c>
      <c r="W180" s="103">
        <f ca="1">IF(AND(Energy!$F$11=$A$3,Main!$B$43=$A180),Summary!W37,W180)</f>
        <v>2.6543859649122803</v>
      </c>
      <c r="X180" s="13">
        <f ca="1">IF(AND(Energy!$F$11=$A$3,Main!$B$43=A180),Energy!D37,X180)</f>
        <v>407.07747578685411</v>
      </c>
      <c r="Y180" s="102">
        <f ca="1">IF(AND(Energy!$F$11=$A$3,Main!$B$43=A180),'Aerodynamics-Cruise'!V37,Y180)</f>
        <v>185855.96816911639</v>
      </c>
      <c r="Z180" s="102">
        <f ca="1">IF(AND(Energy!$F$11=$A$3,Main!$B$43=$A180),Summary!Z37,Z180)</f>
        <v>138116.92639722774</v>
      </c>
      <c r="AA180" s="102">
        <f ca="1">IF(AND(Energy!$F$11=$A$3,Main!$B$43=$A180),Summary!AA37,AA180)</f>
        <v>138116.92639722774</v>
      </c>
      <c r="AB180" s="103">
        <f ca="1">IF(AND(Energy!$F$11=$A$3,Main!$B$43=$A180),Summary!AB37,AB180)</f>
        <v>5.1199626554372877</v>
      </c>
      <c r="AC180" s="103">
        <f ca="1">IF(AND(Energy!$F$11=$A$3,Main!$B$43=$A180),Summary!AC37,AC180)</f>
        <v>1.4069451222336684</v>
      </c>
      <c r="AD180" s="103">
        <f ca="1">IF(AND(Energy!$F$11=$A$3,Main!$B$43=$A180),Summary!AD37,AD180)</f>
        <v>0.45292233750705108</v>
      </c>
      <c r="AE180" s="103">
        <f ca="1">IF(AND(Energy!$F$11=$A$3,Main!$B$43=$A180),Summary!AE37,AE180)</f>
        <v>2.6543859649122803</v>
      </c>
      <c r="AF180" s="103">
        <f ca="1">IF(AND(Energy!$F$11=$A$3,Main!$B$43=$A180),Summary!AF37,AF180)</f>
        <v>18.599071207430349</v>
      </c>
      <c r="AG180" s="103">
        <f ca="1">IF(AND(Energy!$F$11=$A$3,Main!$B$43=$A180),Summary!AG37,AG180)</f>
        <v>12.848912928342132</v>
      </c>
      <c r="AH180" s="103">
        <f ca="1">IF(AND(Energy!$F$11=$A$3,Main!$B$43=$A180),Summary!AH37,AH180)</f>
        <v>47</v>
      </c>
      <c r="AI180" s="103">
        <f ca="1">IF(AND(Energy!$F$11=$A$3,Main!$B$43=$A180),Summary!AI37,AI180)</f>
        <v>2.7875597516124735</v>
      </c>
      <c r="AJ180" s="103">
        <f ca="1">IF(AND(Energy!$F$11=$A$3,Main!$B$43=$A180),Summary!AJ37,AJ180)</f>
        <v>0.23087693819305791</v>
      </c>
      <c r="AK180" s="103">
        <f ca="1">IF(AND(Energy!$F$11=$A$3,Main!$B$43=$A180),Summary!AK37,AK180)</f>
        <v>0.01</v>
      </c>
      <c r="AL180" s="103">
        <f ca="1">IF(AND(Energy!$F$11=$A$3,Main!$B$43=$A180),Summary!AL37,AL180)</f>
        <v>-0.541413106007675</v>
      </c>
      <c r="AM180" s="103">
        <f ca="1">IF(AND(Energy!$F$11=$A$3,Main!$B$43=$A180),Summary!AJ197,AM180)</f>
        <v>0</v>
      </c>
    </row>
    <row r="181" spans="1:39">
      <c r="A181">
        <f t="shared" si="11"/>
        <v>9</v>
      </c>
      <c r="D181" s="1">
        <f ca="1">IF(AND(Energy!$F$11=$A$3,Main!$B$43=A181),Main!C38,D181)</f>
        <v>7.1842105263157903</v>
      </c>
      <c r="E181" s="103">
        <f ca="1">IF(AND(Energy!$F$11=$A$3,Main!$B$43=A181),Main!B38,E181)</f>
        <v>0.37777777777777766</v>
      </c>
      <c r="F181" s="103">
        <f ca="1">IF(Main!$D$6=1,U181,IF(Main!$D$6=2,N181,IF(Main!$D$6=3,K181,IF(Main!$D$6=4,V181,J181))))</f>
        <v>649.81759356704788</v>
      </c>
      <c r="G181" s="103">
        <f ca="1">IF(AND(Energy!$F$11=$A$3,Main!$B$43=A181),Weight!H38,G181)</f>
        <v>15</v>
      </c>
      <c r="H181" s="103">
        <f ca="1">IF(AND(Energy!$F$11=$A$3,Main!$B$43=A181),Weight!U38,H181)</f>
        <v>35.231962690015131</v>
      </c>
      <c r="I181" s="103">
        <f ca="1">IF(AND(Energy!$F$11=$A$3,Main!$B$43=A181),Weight!V38,I181)</f>
        <v>72.539373298299324</v>
      </c>
      <c r="J181" s="103">
        <f ca="1">IF(AND(Energy!$F$11=$A$3,Main!$B$43=A181),Weight!I38,J181)</f>
        <v>32.369762333284193</v>
      </c>
      <c r="K181" s="103">
        <f ca="1">IF(AND(Energy!$F$11=$A$3,Main!$B$43=A181),Weight!W38,K181)</f>
        <v>87.539372645932559</v>
      </c>
      <c r="L181" s="103">
        <f ca="1">IF(AND(Energy!$F$11=$A$3,Main!$B$43=A181),'Aerodynamics-Cruise'!BI38,L181)</f>
        <v>87.539374022844115</v>
      </c>
      <c r="M181" s="103">
        <f ca="1">IF(AND(Energy!$F$11=$A$3,Main!$B$43=A181),'Aerodynamics-Cruise'!BJ38,M181)</f>
        <v>3.7219896727718522</v>
      </c>
      <c r="N181" s="103">
        <f ca="1">IF(AND(Energy!$F$11=$A$3,Main!$B$43=A181),'Aerodynamics-Cruise'!BK38,N181)</f>
        <v>23.519510186510406</v>
      </c>
      <c r="O181" s="103">
        <f t="shared" ca="1" si="9"/>
        <v>220.0543668571832</v>
      </c>
      <c r="P181" s="103">
        <f ca="1">IF(AND(Energy!$F$11=$A$3,Main!$B$43=A181),'Aerodynamics-Cruise'!H38,P181)</f>
        <v>7.7202356491366873</v>
      </c>
      <c r="Q181" s="103">
        <f ca="1">IF(AND(Energy!$F$11=$A$3,Main!$B$43=A181),'Aerodynamics-Cruise'!I38,Q181)</f>
        <v>6.474880111987571</v>
      </c>
      <c r="R181" s="103">
        <f ca="1">IF(AND(Energy!$F$11=$A$3,Main!$B$43=$A181),Summary!R38,R181)</f>
        <v>5.13908500124088</v>
      </c>
      <c r="S181" s="103">
        <f ca="1">IF(AND(Energy!$F$11=$A$3,Main!$B$43=A181),'Aerodynamics-Cruise'!W38,S181)</f>
        <v>1</v>
      </c>
      <c r="T181" s="103">
        <f ca="1">IF(AND(Energy!$F$11=$A$3,Main!$B$43=A181),'Aerodynamics-Cruise'!BL38,T181)</f>
        <v>28.734637357451845</v>
      </c>
      <c r="U181" s="103">
        <f ca="1">IF(AND(Energy!$F$11=$A$3,Main!$B$43=A181),'Propulsion-Cruise'!M38,U181)</f>
        <v>65.522737592580697</v>
      </c>
      <c r="V181" s="103">
        <f ca="1">IF(AND(Energy!$F$11=$A$3,Main!$B$43=A181),Endurance!AP38,V181)</f>
        <v>649.81759356704788</v>
      </c>
      <c r="W181" s="103">
        <f ca="1">IF(AND(Energy!$F$11=$A$3,Main!$B$43=$A181),Summary!W38,W181)</f>
        <v>2.7140350877192976</v>
      </c>
      <c r="X181" s="13">
        <f ca="1">IF(AND(Energy!$F$11=$A$3,Main!$B$43=A181),Energy!D38,X181)</f>
        <v>407.11746957008819</v>
      </c>
      <c r="Y181" s="102">
        <f ca="1">IF(AND(Energy!$F$11=$A$3,Main!$B$43=A181),'Aerodynamics-Cruise'!V38,Y181)</f>
        <v>184974.66169887595</v>
      </c>
      <c r="Z181" s="102">
        <f ca="1">IF(AND(Energy!$F$11=$A$3,Main!$B$43=$A181),Summary!Z38,Z181)</f>
        <v>137487.91819133883</v>
      </c>
      <c r="AA181" s="102">
        <f ca="1">IF(AND(Energy!$F$11=$A$3,Main!$B$43=$A181),Summary!AA38,AA181)</f>
        <v>137487.91819133883</v>
      </c>
      <c r="AB181" s="103">
        <f ca="1">IF(AND(Energy!$F$11=$A$3,Main!$B$43=$A181),Summary!AB38,AB181)</f>
        <v>5.13908500124088</v>
      </c>
      <c r="AC181" s="103">
        <f ca="1">IF(AND(Energy!$F$11=$A$3,Main!$B$43=$A181),Summary!AC38,AC181)</f>
        <v>1.3821547082708039</v>
      </c>
      <c r="AD181" s="103">
        <f ca="1">IF(AND(Energy!$F$11=$A$3,Main!$B$43=$A181),Summary!AD38,AD181)</f>
        <v>0.45294414731161975</v>
      </c>
      <c r="AE181" s="103">
        <f ca="1">IF(AND(Energy!$F$11=$A$3,Main!$B$43=$A181),Summary!AE38,AE181)</f>
        <v>2.7140350877192976</v>
      </c>
      <c r="AF181" s="103">
        <f ca="1">IF(AND(Energy!$F$11=$A$3,Main!$B$43=$A181),Summary!AF38,AF181)</f>
        <v>19.017027863777098</v>
      </c>
      <c r="AG181" s="103">
        <f ca="1">IF(AND(Energy!$F$11=$A$3,Main!$B$43=$A181),Summary!AG38,AG181)</f>
        <v>12.881021007926162</v>
      </c>
      <c r="AH181" s="103">
        <f ca="1">IF(AND(Energy!$F$11=$A$3,Main!$B$43=$A181),Summary!AH38,AH181)</f>
        <v>47</v>
      </c>
      <c r="AI181" s="103">
        <f ca="1">IF(AND(Energy!$F$11=$A$3,Main!$B$43=$A181),Summary!AI38,AI181)</f>
        <v>2.7864659084958352</v>
      </c>
      <c r="AJ181" s="103">
        <f ca="1">IF(AND(Energy!$F$11=$A$3,Main!$B$43=$A181),Summary!AJ38,AJ181)</f>
        <v>0.23113494903700846</v>
      </c>
      <c r="AK181" s="103">
        <f ca="1">IF(AND(Energy!$F$11=$A$3,Main!$B$43=$A181),Summary!AK38,AK181)</f>
        <v>0.01</v>
      </c>
      <c r="AL181" s="103">
        <f ca="1">IF(AND(Energy!$F$11=$A$3,Main!$B$43=$A181),Summary!AL38,AL181)</f>
        <v>-0.54080861935826441</v>
      </c>
      <c r="AM181" s="103">
        <f ca="1">IF(AND(Energy!$F$11=$A$3,Main!$B$43=$A181),Summary!AJ198,AM181)</f>
        <v>0</v>
      </c>
    </row>
    <row r="182" spans="1:39">
      <c r="A182">
        <f t="shared" si="11"/>
        <v>9</v>
      </c>
      <c r="D182" s="1">
        <f ca="1">IF(AND(Energy!$F$11=$A$3,Main!$B$43=A182),Main!C39,D182)</f>
        <v>7.3421052631578956</v>
      </c>
      <c r="E182" s="103">
        <f ca="1">IF(AND(Energy!$F$11=$A$3,Main!$B$43=A182),Main!B39,E182)</f>
        <v>0.37777777777777766</v>
      </c>
      <c r="F182" s="103">
        <f ca="1">IF(Main!$D$6=1,U182,IF(Main!$D$6=2,N182,IF(Main!$D$6=3,K182,IF(Main!$D$6=4,V182,J182))))</f>
        <v>652.09575767576382</v>
      </c>
      <c r="G182" s="103">
        <f ca="1">IF(AND(Energy!$F$11=$A$3,Main!$B$43=A182),Weight!H39,G182)</f>
        <v>15</v>
      </c>
      <c r="H182" s="103">
        <f ca="1">IF(AND(Energy!$F$11=$A$3,Main!$B$43=A182),Weight!U39,H182)</f>
        <v>36.29106160433119</v>
      </c>
      <c r="I182" s="103">
        <f ca="1">IF(AND(Energy!$F$11=$A$3,Main!$B$43=A182),Weight!V39,I182)</f>
        <v>73.690732952689942</v>
      </c>
      <c r="J182" s="103">
        <f ca="1">IF(AND(Energy!$F$11=$A$3,Main!$B$43=A182),Weight!I39,J182)</f>
        <v>32.46202307335875</v>
      </c>
      <c r="K182" s="103">
        <f ca="1">IF(AND(Energy!$F$11=$A$3,Main!$B$43=A182),Weight!W39,K182)</f>
        <v>88.690732277741972</v>
      </c>
      <c r="L182" s="103">
        <f ca="1">IF(AND(Energy!$F$11=$A$3,Main!$B$43=A182),'Aerodynamics-Cruise'!BI39,L182)</f>
        <v>88.690733707232937</v>
      </c>
      <c r="M182" s="103">
        <f ca="1">IF(AND(Energy!$F$11=$A$3,Main!$B$43=A182),'Aerodynamics-Cruise'!BJ39,M182)</f>
        <v>3.7451197174829813</v>
      </c>
      <c r="N182" s="103">
        <f ca="1">IF(AND(Energy!$F$11=$A$3,Main!$B$43=A182),'Aerodynamics-Cruise'!BK39,N182)</f>
        <v>23.681681868060593</v>
      </c>
      <c r="O182" s="103">
        <f t="shared" ca="1" si="9"/>
        <v>223.02403376028926</v>
      </c>
      <c r="P182" s="103">
        <f ca="1">IF(AND(Energy!$F$11=$A$3,Main!$B$43=A182),'Aerodynamics-Cruise'!H39,P182)</f>
        <v>7.686804851730102</v>
      </c>
      <c r="Q182" s="103">
        <f ca="1">IF(AND(Energy!$F$11=$A$3,Main!$B$43=A182),'Aerodynamics-Cruise'!I39,Q182)</f>
        <v>6.4479977222054146</v>
      </c>
      <c r="R182" s="103">
        <f ca="1">IF(AND(Energy!$F$11=$A$3,Main!$B$43=$A182),Summary!R39,R182)</f>
        <v>5.1643618234990756</v>
      </c>
      <c r="S182" s="103">
        <f ca="1">IF(AND(Energy!$F$11=$A$3,Main!$B$43=A182),'Aerodynamics-Cruise'!W39,S182)</f>
        <v>1</v>
      </c>
      <c r="T182" s="103">
        <f ca="1">IF(AND(Energy!$F$11=$A$3,Main!$B$43=A182),'Aerodynamics-Cruise'!BL39,T182)</f>
        <v>28.78800441465825</v>
      </c>
      <c r="U182" s="103">
        <f ca="1">IF(AND(Energy!$F$11=$A$3,Main!$B$43=A182),'Propulsion-Cruise'!M39,U182)</f>
        <v>65.793211498894578</v>
      </c>
      <c r="V182" s="103">
        <f ca="1">IF(AND(Energy!$F$11=$A$3,Main!$B$43=A182),Endurance!AP39,V182)</f>
        <v>652.09575767576382</v>
      </c>
      <c r="W182" s="103">
        <f ca="1">IF(AND(Energy!$F$11=$A$3,Main!$B$43=$A182),Summary!W39,W182)</f>
        <v>2.7736842105263153</v>
      </c>
      <c r="X182" s="13">
        <f ca="1">IF(AND(Energy!$F$11=$A$3,Main!$B$43=A182),Energy!D39,X182)</f>
        <v>407.16865196413966</v>
      </c>
      <c r="Y182" s="102">
        <f ca="1">IF(AND(Energy!$F$11=$A$3,Main!$B$43=A182),'Aerodynamics-Cruise'!V39,Y182)</f>
        <v>184173.66925231784</v>
      </c>
      <c r="Z182" s="102">
        <f ca="1">IF(AND(Energy!$F$11=$A$3,Main!$B$43=$A182),Summary!Z39,Z182)</f>
        <v>136916.13873764404</v>
      </c>
      <c r="AA182" s="102">
        <f ca="1">IF(AND(Energy!$F$11=$A$3,Main!$B$43=$A182),Summary!AA39,AA182)</f>
        <v>136916.13873764404</v>
      </c>
      <c r="AB182" s="103">
        <f ca="1">IF(AND(Energy!$F$11=$A$3,Main!$B$43=$A182),Summary!AB39,AB182)</f>
        <v>5.1643618234990756</v>
      </c>
      <c r="AC182" s="103">
        <f ca="1">IF(AND(Energy!$F$11=$A$3,Main!$B$43=$A182),Summary!AC39,AC182)</f>
        <v>1.3575946724555474</v>
      </c>
      <c r="AD182" s="103">
        <f ca="1">IF(AND(Energy!$F$11=$A$3,Main!$B$43=$A182),Summary!AD39,AD182)</f>
        <v>0.45313032914537332</v>
      </c>
      <c r="AE182" s="103">
        <f ca="1">IF(AND(Energy!$F$11=$A$3,Main!$B$43=$A182),Summary!AE39,AE182)</f>
        <v>2.7736842105263153</v>
      </c>
      <c r="AF182" s="103">
        <f ca="1">IF(AND(Energy!$F$11=$A$3,Main!$B$43=$A182),Summary!AF39,AF182)</f>
        <v>19.434984520123848</v>
      </c>
      <c r="AG182" s="103">
        <f ca="1">IF(AND(Energy!$F$11=$A$3,Main!$B$43=$A182),Summary!AG39,AG182)</f>
        <v>12.919249940822205</v>
      </c>
      <c r="AH182" s="103">
        <f ca="1">IF(AND(Energy!$F$11=$A$3,Main!$B$43=$A182),Summary!AH39,AH182)</f>
        <v>47</v>
      </c>
      <c r="AI182" s="103">
        <f ca="1">IF(AND(Energy!$F$11=$A$3,Main!$B$43=$A182),Summary!AI39,AI182)</f>
        <v>2.7854671706981167</v>
      </c>
      <c r="AJ182" s="103">
        <f ca="1">IF(AND(Energy!$F$11=$A$3,Main!$B$43=$A182),Summary!AJ39,AJ182)</f>
        <v>0.23137177138957976</v>
      </c>
      <c r="AK182" s="103">
        <f ca="1">IF(AND(Energy!$F$11=$A$3,Main!$B$43=$A182),Summary!AK39,AK182)</f>
        <v>0.01</v>
      </c>
      <c r="AL182" s="103">
        <f ca="1">IF(AND(Energy!$F$11=$A$3,Main!$B$43=$A182),Summary!AL39,AL182)</f>
        <v>-0.54025494917237993</v>
      </c>
      <c r="AM182" s="103">
        <f ca="1">IF(AND(Energy!$F$11=$A$3,Main!$B$43=$A182),Summary!AJ199,AM182)</f>
        <v>0</v>
      </c>
    </row>
    <row r="183" spans="1:39">
      <c r="A183">
        <f t="shared" si="11"/>
        <v>9</v>
      </c>
      <c r="D183" s="1">
        <f ca="1">IF(AND(Energy!$F$11=$A$3,Main!$B$43=A183),Main!C40,D183)</f>
        <v>7.5</v>
      </c>
      <c r="E183" s="103">
        <f ca="1">IF(AND(Energy!$F$11=$A$3,Main!$B$43=A183),Main!B40,E183)</f>
        <v>0.37777777777777766</v>
      </c>
      <c r="F183" s="103">
        <f ca="1">IF(Main!$D$6=1,U183,IF(Main!$D$6=2,N183,IF(Main!$D$6=3,K183,IF(Main!$D$6=4,V183,J183))))</f>
        <v>654.79634842301812</v>
      </c>
      <c r="G183" s="103">
        <f ca="1">IF(AND(Energy!$F$11=$A$3,Main!$B$43=A183),Weight!H40,G183)</f>
        <v>15</v>
      </c>
      <c r="H183" s="103">
        <f ca="1">IF(AND(Energy!$F$11=$A$3,Main!$B$43=A183),Weight!U40,H183)</f>
        <v>37.374820734153815</v>
      </c>
      <c r="I183" s="103">
        <f ca="1">IF(AND(Energy!$F$11=$A$3,Main!$B$43=A183),Weight!V40,I183)</f>
        <v>74.885750082019982</v>
      </c>
      <c r="J183" s="103">
        <f ca="1">IF(AND(Energy!$F$11=$A$3,Main!$B$43=A183),Weight!I40,J183)</f>
        <v>32.573281072866166</v>
      </c>
      <c r="K183" s="103">
        <f ca="1">IF(AND(Energy!$F$11=$A$3,Main!$B$43=A183),Weight!W40,K183)</f>
        <v>89.88574938164632</v>
      </c>
      <c r="L183" s="103">
        <f ca="1">IF(AND(Energy!$F$11=$A$3,Main!$B$43=A183),'Aerodynamics-Cruise'!BI40,L183)</f>
        <v>89.88575086964029</v>
      </c>
      <c r="M183" s="103">
        <f ca="1">IF(AND(Energy!$F$11=$A$3,Main!$B$43=A183),'Aerodynamics-Cruise'!BJ40,M183)</f>
        <v>3.7701293061582377</v>
      </c>
      <c r="N183" s="103">
        <f ca="1">IF(AND(Energy!$F$11=$A$3,Main!$B$43=A183),'Aerodynamics-Cruise'!BK40,N183)</f>
        <v>23.841556501210267</v>
      </c>
      <c r="O183" s="103">
        <f t="shared" ca="1" si="9"/>
        <v>226.0372580048101</v>
      </c>
      <c r="P183" s="103">
        <f ca="1">IF(AND(Energy!$F$11=$A$3,Main!$B$43=A183),'Aerodynamics-Cruise'!H40,P183)</f>
        <v>7.6565052244175549</v>
      </c>
      <c r="Q183" s="103">
        <f ca="1">IF(AND(Energy!$F$11=$A$3,Main!$B$43=A183),'Aerodynamics-Cruise'!I40,Q183)</f>
        <v>6.4236295378303145</v>
      </c>
      <c r="R183" s="103">
        <f ca="1">IF(AND(Energy!$F$11=$A$3,Main!$B$43=$A183),Summary!R40,R183)</f>
        <v>5.1955022115215614</v>
      </c>
      <c r="S183" s="103">
        <f ca="1">IF(AND(Energy!$F$11=$A$3,Main!$B$43=A183),'Aerodynamics-Cruise'!W40,S183)</f>
        <v>1</v>
      </c>
      <c r="T183" s="103">
        <f ca="1">IF(AND(Energy!$F$11=$A$3,Main!$B$43=A183),'Aerodynamics-Cruise'!BL40,T183)</f>
        <v>28.866014729330278</v>
      </c>
      <c r="U183" s="103">
        <f ca="1">IF(AND(Energy!$F$11=$A$3,Main!$B$43=A183),'Propulsion-Cruise'!M40,U183)</f>
        <v>66.11381700100867</v>
      </c>
      <c r="V183" s="103">
        <f ca="1">IF(AND(Energy!$F$11=$A$3,Main!$B$43=A183),Endurance!AP40,V183)</f>
        <v>654.79634842301812</v>
      </c>
      <c r="W183" s="103">
        <f ca="1">IF(AND(Energy!$F$11=$A$3,Main!$B$43=$A183),Summary!W40,W183)</f>
        <v>2.8333333333333326</v>
      </c>
      <c r="X183" s="13">
        <f ca="1">IF(AND(Energy!$F$11=$A$3,Main!$B$43=A183),Energy!D40,X183)</f>
        <v>407.23037324080354</v>
      </c>
      <c r="Y183" s="102">
        <f ca="1">IF(AND(Energy!$F$11=$A$3,Main!$B$43=A183),'Aerodynamics-Cruise'!V40,Y183)</f>
        <v>183447.6987552428</v>
      </c>
      <c r="Z183" s="102">
        <f ca="1">IF(AND(Energy!$F$11=$A$3,Main!$B$43=$A183),Summary!Z40,Z183)</f>
        <v>136397.83858960247</v>
      </c>
      <c r="AA183" s="102">
        <f ca="1">IF(AND(Energy!$F$11=$A$3,Main!$B$43=$A183),Summary!AA40,AA183)</f>
        <v>136397.83858960247</v>
      </c>
      <c r="AB183" s="103">
        <f ca="1">IF(AND(Energy!$F$11=$A$3,Main!$B$43=$A183),Summary!AB40,AB183)</f>
        <v>5.1955022115215614</v>
      </c>
      <c r="AC183" s="103">
        <f ca="1">IF(AND(Energy!$F$11=$A$3,Main!$B$43=$A183),Summary!AC40,AC183)</f>
        <v>1.3332893978923375</v>
      </c>
      <c r="AD183" s="103">
        <f ca="1">IF(AND(Energy!$F$11=$A$3,Main!$B$43=$A183),Summary!AD40,AD183)</f>
        <v>0.453470396840358</v>
      </c>
      <c r="AE183" s="103">
        <f ca="1">IF(AND(Energy!$F$11=$A$3,Main!$B$43=$A183),Summary!AE40,AE183)</f>
        <v>2.8333333333333326</v>
      </c>
      <c r="AF183" s="103">
        <f ca="1">IF(AND(Energy!$F$11=$A$3,Main!$B$43=$A183),Summary!AF40,AF183)</f>
        <v>19.852941176470594</v>
      </c>
      <c r="AG183" s="103">
        <f ca="1">IF(AND(Energy!$F$11=$A$3,Main!$B$43=$A183),Summary!AG40,AG183)</f>
        <v>12.963225465104335</v>
      </c>
      <c r="AH183" s="103">
        <f ca="1">IF(AND(Energy!$F$11=$A$3,Main!$B$43=$A183),Summary!AH40,AH183)</f>
        <v>47</v>
      </c>
      <c r="AI183" s="103">
        <f ca="1">IF(AND(Energy!$F$11=$A$3,Main!$B$43=$A183),Summary!AI40,AI183)</f>
        <v>2.7845580607376323</v>
      </c>
      <c r="AJ183" s="103">
        <f ca="1">IF(AND(Energy!$F$11=$A$3,Main!$B$43=$A183),Summary!AJ40,AJ183)</f>
        <v>0.23158842032667748</v>
      </c>
      <c r="AK183" s="103">
        <f ca="1">IF(AND(Energy!$F$11=$A$3,Main!$B$43=$A183),Summary!AK40,AK183)</f>
        <v>0.01</v>
      </c>
      <c r="AL183" s="103">
        <f ca="1">IF(AND(Energy!$F$11=$A$3,Main!$B$43=$A183),Summary!AL40,AL183)</f>
        <v>-0.53974942562596606</v>
      </c>
      <c r="AM183" s="103">
        <f ca="1">IF(AND(Energy!$F$11=$A$3,Main!$B$43=$A183),Summary!AJ200,AM183)</f>
        <v>0</v>
      </c>
    </row>
    <row r="184" spans="1:39">
      <c r="A184" s="7">
        <f>A164+1</f>
        <v>10</v>
      </c>
      <c r="D184" s="1">
        <f ca="1">IF(AND(Energy!$F$11=$A$3,Main!$B$43=A184),Main!C21,D184)</f>
        <v>4.5</v>
      </c>
      <c r="E184" s="103">
        <f ca="1">IF(AND(Energy!$F$11=$A$3,Main!$B$43=A184),Main!B21,E184)</f>
        <v>0.4</v>
      </c>
      <c r="F184" s="103">
        <f ca="1">IF(Main!$D$6=1,U184,IF(Main!$D$6=2,N184,IF(Main!$D$6=3,K184,IF(Main!$D$6=4,V184,J184))))</f>
        <v>741.77847577372563</v>
      </c>
      <c r="G184" s="103">
        <f ca="1">IF(AND(Energy!$F$11=$A$3,Main!$B$43=A184),Weight!H21,G184)</f>
        <v>15</v>
      </c>
      <c r="H184" s="103">
        <f ca="1">IF(AND(Energy!$F$11=$A$3,Main!$B$43=A184),Weight!U21,H184)</f>
        <v>22.07153617062766</v>
      </c>
      <c r="I184" s="103">
        <f ca="1">IF(AND(Energy!$F$11=$A$3,Main!$B$43=A184),Weight!V21,I184)</f>
        <v>63.68846507783401</v>
      </c>
      <c r="J184" s="103">
        <f ca="1">IF(AND(Energy!$F$11=$A$3,Main!$B$43=A184),Weight!I21,J184)</f>
        <v>36.67928063220635</v>
      </c>
      <c r="K184" s="103">
        <f ca="1">IF(AND(Energy!$F$11=$A$3,Main!$B$43=A184),Weight!W21,K184)</f>
        <v>78.688458334464769</v>
      </c>
      <c r="L184" s="103">
        <f ca="1">IF(AND(Energy!$F$11=$A$3,Main!$B$43=A184),'Aerodynamics-Cruise'!BI21,L184)</f>
        <v>78.688471867760299</v>
      </c>
      <c r="M184" s="103">
        <f ca="1">IF(AND(Energy!$F$11=$A$3,Main!$B$43=A184),'Aerodynamics-Cruise'!BJ21,M184)</f>
        <v>4.0018183512261194</v>
      </c>
      <c r="N184" s="103">
        <f ca="1">IF(AND(Energy!$F$11=$A$3,Main!$B$43=A184),'Aerodynamics-Cruise'!BK21,N184)</f>
        <v>19.663179325381147</v>
      </c>
      <c r="O184" s="103">
        <f t="shared" ca="1" si="9"/>
        <v>174.42522650930056</v>
      </c>
      <c r="P184" s="103">
        <f ca="1">IF(AND(Energy!$F$11=$A$3,Main!$B$43=A184),'Aerodynamics-Cruise'!H21,P184)</f>
        <v>8.9961852290142978</v>
      </c>
      <c r="Q184" s="103">
        <f ca="1">IF(AND(Energy!$F$11=$A$3,Main!$B$43=A184),'Aerodynamics-Cruise'!I21,Q184)</f>
        <v>7.4739871738624455</v>
      </c>
      <c r="R184" s="103">
        <f ca="1">IF(AND(Energy!$F$11=$A$3,Main!$B$43=$A184),Summary!R21,R184)</f>
        <v>6.198182927688956</v>
      </c>
      <c r="S184" s="103">
        <f ca="1">IF(AND(Energy!$F$11=$A$3,Main!$B$43=A184),'Aerodynamics-Cruise'!W21,S184)</f>
        <v>1</v>
      </c>
      <c r="T184" s="103">
        <f ca="1">IF(AND(Energy!$F$11=$A$3,Main!$B$43=A184),'Aerodynamics-Cruise'!BL21,T184)</f>
        <v>36.001099140498766</v>
      </c>
      <c r="U184" s="103">
        <f ca="1">IF(AND(Energy!$F$11=$A$3,Main!$B$43=A184),'Propulsion-Cruise'!M21,U184)</f>
        <v>77.578583372282026</v>
      </c>
      <c r="V184" s="103">
        <f ca="1">IF(AND(Energy!$F$11=$A$3,Main!$B$43=A184),Endurance!AP21,V184)</f>
        <v>741.77847577372563</v>
      </c>
      <c r="W184" s="103">
        <f ca="1">IF(AND(Energy!$F$11=$A$3,Main!$B$43=$A184),Summary!W21,W184)</f>
        <v>1.8</v>
      </c>
      <c r="X184" s="13">
        <f ca="1">IF(AND(Energy!$F$11=$A$3,Main!$B$43=A184),Energy!D21,X184)</f>
        <v>409.50820674971277</v>
      </c>
      <c r="Y184" s="102">
        <f ca="1">IF(AND(Energy!$F$11=$A$3,Main!$B$43=A184),'Aerodynamics-Cruise'!V21,Y184)</f>
        <v>228225.23216527278</v>
      </c>
      <c r="Z184" s="102">
        <f ca="1">IF(AND(Energy!$F$11=$A$3,Main!$B$43=$A184),Summary!Z21,Z184)</f>
        <v>168100.4897802464</v>
      </c>
      <c r="AA184" s="102">
        <f ca="1">IF(AND(Energy!$F$11=$A$3,Main!$B$43=$A184),Summary!AA21,AA184)</f>
        <v>168100.4897802464</v>
      </c>
      <c r="AB184" s="103">
        <f ca="1">IF(AND(Energy!$F$11=$A$3,Main!$B$43=$A184),Summary!AB21,AB184)</f>
        <v>6.198182927688956</v>
      </c>
      <c r="AC184" s="103">
        <f ca="1">IF(AND(Energy!$F$11=$A$3,Main!$B$43=$A184),Summary!AC21,AC184)</f>
        <v>1.6950822297256762</v>
      </c>
      <c r="AD184" s="103">
        <f ca="1">IF(AND(Energy!$F$11=$A$3,Main!$B$43=$A184),Summary!AD21,AD184)</f>
        <v>0.49906497259967303</v>
      </c>
      <c r="AE184" s="103">
        <f ca="1">IF(AND(Energy!$F$11=$A$3,Main!$B$43=$A184),Summary!AE21,AE184)</f>
        <v>1.8</v>
      </c>
      <c r="AF184" s="103">
        <f ca="1">IF(AND(Energy!$F$11=$A$3,Main!$B$43=$A184),Summary!AF21,AF184)</f>
        <v>11.25</v>
      </c>
      <c r="AG184" s="103">
        <f ca="1">IF(AND(Energy!$F$11=$A$3,Main!$B$43=$A184),Summary!AG21,AG184)</f>
        <v>14.159935910935468</v>
      </c>
      <c r="AH184" s="103">
        <f ca="1">IF(AND(Energy!$F$11=$A$3,Main!$B$43=$A184),Summary!AH21,AH184)</f>
        <v>47</v>
      </c>
      <c r="AI184" s="103">
        <f ca="1">IF(AND(Energy!$F$11=$A$3,Main!$B$43=$A184),Summary!AI21,AI184)</f>
        <v>2.8396725768245505</v>
      </c>
      <c r="AJ184" s="103">
        <f ca="1">IF(AND(Energy!$F$11=$A$3,Main!$B$43=$A184),Summary!AJ21,AJ184)</f>
        <v>0.22609184361501009</v>
      </c>
      <c r="AK184" s="103">
        <f ca="1">IF(AND(Energy!$F$11=$A$3,Main!$B$43=$A184),Summary!AK21,AK184)</f>
        <v>0.01</v>
      </c>
      <c r="AL184" s="103">
        <f ca="1">IF(AND(Energy!$F$11=$A$3,Main!$B$43=$A184),Summary!AL21,AL184)</f>
        <v>-0.55287981340661008</v>
      </c>
      <c r="AM184" s="103">
        <f ca="1">IF(AND(Energy!$F$11=$A$3,Main!$B$43=$A184),Summary!AJ201,AM184)</f>
        <v>0</v>
      </c>
    </row>
    <row r="185" spans="1:39">
      <c r="A185">
        <f>A184</f>
        <v>10</v>
      </c>
      <c r="D185" s="1">
        <f ca="1">IF(AND(Energy!$F$11=$A$3,Main!$B$43=A185),Main!C22,D185)</f>
        <v>4.6578947368421053</v>
      </c>
      <c r="E185" s="103">
        <f ca="1">IF(AND(Energy!$F$11=$A$3,Main!$B$43=A185),Main!B22,E185)</f>
        <v>0.4</v>
      </c>
      <c r="F185" s="103">
        <f ca="1">IF(Main!$D$6=1,U185,IF(Main!$D$6=2,N185,IF(Main!$D$6=3,K185,IF(Main!$D$6=4,V185,J185))))</f>
        <v>724.60989766874036</v>
      </c>
      <c r="G185" s="103">
        <f ca="1">IF(AND(Energy!$F$11=$A$3,Main!$B$43=A185),Weight!H22,G185)</f>
        <v>15</v>
      </c>
      <c r="H185" s="103">
        <f ca="1">IF(AND(Energy!$F$11=$A$3,Main!$B$43=A185),Weight!U22,H185)</f>
        <v>22.753427309111302</v>
      </c>
      <c r="I185" s="103">
        <f ca="1">IF(AND(Energy!$F$11=$A$3,Main!$B$43=A185),Weight!V22,I185)</f>
        <v>63.580229438595964</v>
      </c>
      <c r="J185" s="103">
        <f ca="1">IF(AND(Energy!$F$11=$A$3,Main!$B$43=A185),Weight!I22,J185)</f>
        <v>35.889153854484661</v>
      </c>
      <c r="K185" s="103">
        <f ca="1">IF(AND(Energy!$F$11=$A$3,Main!$B$43=A185),Weight!W22,K185)</f>
        <v>78.580226513390272</v>
      </c>
      <c r="L185" s="103">
        <f ca="1">IF(AND(Energy!$F$11=$A$3,Main!$B$43=A185),'Aerodynamics-Cruise'!BI22,L185)</f>
        <v>78.580232381403491</v>
      </c>
      <c r="M185" s="103">
        <f ca="1">IF(AND(Energy!$F$11=$A$3,Main!$B$43=A185),'Aerodynamics-Cruise'!BJ22,M185)</f>
        <v>3.9399975595036159</v>
      </c>
      <c r="N185" s="103">
        <f ca="1">IF(AND(Energy!$F$11=$A$3,Main!$B$43=A185),'Aerodynamics-Cruise'!BK22,N185)</f>
        <v>19.944233770363933</v>
      </c>
      <c r="O185" s="103">
        <f t="shared" ca="1" si="9"/>
        <v>176.79664135865599</v>
      </c>
      <c r="P185" s="103">
        <f ca="1">IF(AND(Energy!$F$11=$A$3,Main!$B$43=A185),'Aerodynamics-Cruise'!H22,P185)</f>
        <v>8.8361882292738994</v>
      </c>
      <c r="Q185" s="103">
        <f ca="1">IF(AND(Energy!$F$11=$A$3,Main!$B$43=A185),'Aerodynamics-Cruise'!I22,Q185)</f>
        <v>7.3465133801785445</v>
      </c>
      <c r="R185" s="103">
        <f ca="1">IF(AND(Energy!$F$11=$A$3,Main!$B$43=$A185),Summary!R22,R185)</f>
        <v>5.9717326394385539</v>
      </c>
      <c r="S185" s="103">
        <f ca="1">IF(AND(Energy!$F$11=$A$3,Main!$B$43=A185),'Aerodynamics-Cruise'!W22,S185)</f>
        <v>1</v>
      </c>
      <c r="T185" s="103">
        <f ca="1">IF(AND(Energy!$F$11=$A$3,Main!$B$43=A185),'Aerodynamics-Cruise'!BL22,T185)</f>
        <v>34.81456005865374</v>
      </c>
      <c r="U185" s="103">
        <f ca="1">IF(AND(Energy!$F$11=$A$3,Main!$B$43=A185),'Propulsion-Cruise'!M22,U185)</f>
        <v>75.460371497588397</v>
      </c>
      <c r="V185" s="103">
        <f ca="1">IF(AND(Energy!$F$11=$A$3,Main!$B$43=A185),Endurance!AP22,V185)</f>
        <v>724.60989766874036</v>
      </c>
      <c r="W185" s="103">
        <f ca="1">IF(AND(Energy!$F$11=$A$3,Main!$B$43=$A185),Summary!W22,W185)</f>
        <v>1.8631578947368421</v>
      </c>
      <c r="X185" s="13">
        <f ca="1">IF(AND(Energy!$F$11=$A$3,Main!$B$43=A185),Energy!D22,X185)</f>
        <v>409.06987931456723</v>
      </c>
      <c r="Y185" s="102">
        <f ca="1">IF(AND(Energy!$F$11=$A$3,Main!$B$43=A185),'Aerodynamics-Cruise'!V22,Y185)</f>
        <v>224166.25033220302</v>
      </c>
      <c r="Z185" s="102">
        <f ca="1">IF(AND(Energy!$F$11=$A$3,Main!$B$43=$A185),Summary!Z22,Z185)</f>
        <v>165228.63985036721</v>
      </c>
      <c r="AA185" s="102">
        <f ca="1">IF(AND(Energy!$F$11=$A$3,Main!$B$43=$A185),Summary!AA22,AA185)</f>
        <v>165228.63985036721</v>
      </c>
      <c r="AB185" s="103">
        <f ca="1">IF(AND(Energy!$F$11=$A$3,Main!$B$43=$A185),Summary!AB22,AB185)</f>
        <v>5.9717326394385539</v>
      </c>
      <c r="AC185" s="103">
        <f ca="1">IF(AND(Energy!$F$11=$A$3,Main!$B$43=$A185),Summary!AC22,AC185)</f>
        <v>1.6821098408220396</v>
      </c>
      <c r="AD185" s="103">
        <f ca="1">IF(AND(Energy!$F$11=$A$3,Main!$B$43=$A185),Summary!AD22,AD185)</f>
        <v>0.49267459330365032</v>
      </c>
      <c r="AE185" s="103">
        <f ca="1">IF(AND(Energy!$F$11=$A$3,Main!$B$43=$A185),Summary!AE22,AE185)</f>
        <v>1.8631578947368421</v>
      </c>
      <c r="AF185" s="103">
        <f ca="1">IF(AND(Energy!$F$11=$A$3,Main!$B$43=$A185),Summary!AF22,AF185)</f>
        <v>11.644736842105264</v>
      </c>
      <c r="AG185" s="103">
        <f ca="1">IF(AND(Energy!$F$11=$A$3,Main!$B$43=$A185),Summary!AG22,AG185)</f>
        <v>13.933589960762914</v>
      </c>
      <c r="AH185" s="103">
        <f ca="1">IF(AND(Energy!$F$11=$A$3,Main!$B$43=$A185),Summary!AH22,AH185)</f>
        <v>47</v>
      </c>
      <c r="AI185" s="103">
        <f ca="1">IF(AND(Energy!$F$11=$A$3,Main!$B$43=$A185),Summary!AI22,AI185)</f>
        <v>2.8354597754933137</v>
      </c>
      <c r="AJ185" s="103">
        <f ca="1">IF(AND(Energy!$F$11=$A$3,Main!$B$43=$A185),Summary!AJ22,AJ185)</f>
        <v>0.2252201089629022</v>
      </c>
      <c r="AK185" s="103">
        <f ca="1">IF(AND(Energy!$F$11=$A$3,Main!$B$43=$A185),Summary!AK22,AK185)</f>
        <v>0.01</v>
      </c>
      <c r="AL185" s="103">
        <f ca="1">IF(AND(Energy!$F$11=$A$3,Main!$B$43=$A185),Summary!AL22,AL185)</f>
        <v>-0.55501637492296696</v>
      </c>
      <c r="AM185" s="103">
        <f ca="1">IF(AND(Energy!$F$11=$A$3,Main!$B$43=$A185),Summary!AJ202,AM185)</f>
        <v>0</v>
      </c>
    </row>
    <row r="186" spans="1:39">
      <c r="A186">
        <f t="shared" ref="A186:A203" si="12">A185</f>
        <v>10</v>
      </c>
      <c r="D186" s="1">
        <f ca="1">IF(AND(Energy!$F$11=$A$3,Main!$B$43=A186),Main!C23,D186)</f>
        <v>4.8157894736842106</v>
      </c>
      <c r="E186" s="103">
        <f ca="1">IF(AND(Energy!$F$11=$A$3,Main!$B$43=A186),Main!B23,E186)</f>
        <v>0.4</v>
      </c>
      <c r="F186" s="103">
        <f ca="1">IF(Main!$D$6=1,U186,IF(Main!$D$6=2,N186,IF(Main!$D$6=3,K186,IF(Main!$D$6=4,V186,J186))))</f>
        <v>711.28412015073729</v>
      </c>
      <c r="G186" s="103">
        <f ca="1">IF(AND(Energy!$F$11=$A$3,Main!$B$43=A186),Weight!H23,G186)</f>
        <v>15</v>
      </c>
      <c r="H186" s="103">
        <f ca="1">IF(AND(Energy!$F$11=$A$3,Main!$B$43=A186),Weight!U23,H186)</f>
        <v>23.474686637316857</v>
      </c>
      <c r="I186" s="103">
        <f ca="1">IF(AND(Energy!$F$11=$A$3,Main!$B$43=A186),Weight!V23,I186)</f>
        <v>63.685160046875467</v>
      </c>
      <c r="J186" s="103">
        <f ca="1">IF(AND(Energy!$F$11=$A$3,Main!$B$43=A186),Weight!I23,J186)</f>
        <v>35.272825134558609</v>
      </c>
      <c r="K186" s="103">
        <f ca="1">IF(AND(Energy!$F$11=$A$3,Main!$B$43=A186),Weight!W23,K186)</f>
        <v>78.685171011119934</v>
      </c>
      <c r="L186" s="103">
        <f ca="1">IF(AND(Energy!$F$11=$A$3,Main!$B$43=A186),'Aerodynamics-Cruise'!BI23,L186)</f>
        <v>78.685148992609697</v>
      </c>
      <c r="M186" s="103">
        <f ca="1">IF(AND(Energy!$F$11=$A$3,Main!$B$43=A186),'Aerodynamics-Cruise'!BJ23,M186)</f>
        <v>3.8919809073214422</v>
      </c>
      <c r="N186" s="103">
        <f ca="1">IF(AND(Energy!$F$11=$A$3,Main!$B$43=A186),'Aerodynamics-Cruise'!BK23,N186)</f>
        <v>20.217249484598003</v>
      </c>
      <c r="O186" s="103">
        <f t="shared" ca="1" si="9"/>
        <v>179.33640358060853</v>
      </c>
      <c r="P186" s="103">
        <f ca="1">IF(AND(Energy!$F$11=$A$3,Main!$B$43=A186),'Aerodynamics-Cruise'!H23,P186)</f>
        <v>8.6958172213929128</v>
      </c>
      <c r="Q186" s="103">
        <f ca="1">IF(AND(Energy!$F$11=$A$3,Main!$B$43=A186),'Aerodynamics-Cruise'!I23,Q186)</f>
        <v>7.2345986794214809</v>
      </c>
      <c r="R186" s="103">
        <f ca="1">IF(AND(Energy!$F$11=$A$3,Main!$B$43=$A186),Summary!R23,R186)</f>
        <v>5.791973289171584</v>
      </c>
      <c r="S186" s="103">
        <f ca="1">IF(AND(Energy!$F$11=$A$3,Main!$B$43=A186),'Aerodynamics-Cruise'!W23,S186)</f>
        <v>1</v>
      </c>
      <c r="T186" s="103">
        <f ca="1">IF(AND(Energy!$F$11=$A$3,Main!$B$43=A186),'Aerodynamics-Cruise'!BL23,T186)</f>
        <v>33.843954599218208</v>
      </c>
      <c r="U186" s="103">
        <f ca="1">IF(AND(Energy!$F$11=$A$3,Main!$B$43=A186),'Propulsion-Cruise'!M23,U186)</f>
        <v>73.751906561565178</v>
      </c>
      <c r="V186" s="103">
        <f ca="1">IF(AND(Energy!$F$11=$A$3,Main!$B$43=A186),Endurance!AP23,V186)</f>
        <v>711.28412015073729</v>
      </c>
      <c r="W186" s="103">
        <f ca="1">IF(AND(Energy!$F$11=$A$3,Main!$B$43=$A186),Summary!W23,W186)</f>
        <v>1.9263157894736844</v>
      </c>
      <c r="X186" s="13">
        <f ca="1">IF(AND(Energy!$F$11=$A$3,Main!$B$43=A186),Energy!D23,X186)</f>
        <v>408.72797238108097</v>
      </c>
      <c r="Y186" s="102">
        <f ca="1">IF(AND(Energy!$F$11=$A$3,Main!$B$43=A186),'Aerodynamics-Cruise'!V23,Y186)</f>
        <v>220605.1624880367</v>
      </c>
      <c r="Z186" s="102">
        <f ca="1">IF(AND(Energy!$F$11=$A$3,Main!$B$43=$A186),Summary!Z23,Z186)</f>
        <v>162707.38785253419</v>
      </c>
      <c r="AA186" s="102">
        <f ca="1">IF(AND(Energy!$F$11=$A$3,Main!$B$43=$A186),Summary!AA23,AA186)</f>
        <v>162707.38785253419</v>
      </c>
      <c r="AB186" s="103">
        <f ca="1">IF(AND(Energy!$F$11=$A$3,Main!$B$43=$A186),Summary!AB23,AB186)</f>
        <v>5.791973289171584</v>
      </c>
      <c r="AC186" s="103">
        <f ca="1">IF(AND(Energy!$F$11=$A$3,Main!$B$43=$A186),Summary!AC23,AC186)</f>
        <v>1.6653273001373559</v>
      </c>
      <c r="AD186" s="103">
        <f ca="1">IF(AND(Energy!$F$11=$A$3,Main!$B$43=$A186),Summary!AD23,AD186)</f>
        <v>0.48731622149372533</v>
      </c>
      <c r="AE186" s="103">
        <f ca="1">IF(AND(Energy!$F$11=$A$3,Main!$B$43=$A186),Summary!AE23,AE186)</f>
        <v>1.9263157894736844</v>
      </c>
      <c r="AF186" s="103">
        <f ca="1">IF(AND(Energy!$F$11=$A$3,Main!$B$43=$A186),Summary!AF23,AF186)</f>
        <v>12.039473684210526</v>
      </c>
      <c r="AG186" s="103">
        <f ca="1">IF(AND(Energy!$F$11=$A$3,Main!$B$43=$A186),Summary!AG23,AG186)</f>
        <v>13.750618162681823</v>
      </c>
      <c r="AH186" s="103">
        <f ca="1">IF(AND(Energy!$F$11=$A$3,Main!$B$43=$A186),Summary!AH23,AH186)</f>
        <v>47</v>
      </c>
      <c r="AI186" s="103">
        <f ca="1">IF(AND(Energy!$F$11=$A$3,Main!$B$43=$A186),Summary!AI23,AI186)</f>
        <v>2.8317036465584002</v>
      </c>
      <c r="AJ186" s="103">
        <f ca="1">IF(AND(Energy!$F$11=$A$3,Main!$B$43=$A186),Summary!AJ23,AJ186)</f>
        <v>0.22455413251979955</v>
      </c>
      <c r="AK186" s="103">
        <f ca="1">IF(AND(Energy!$F$11=$A$3,Main!$B$43=$A186),Summary!AK23,AK186)</f>
        <v>0.01</v>
      </c>
      <c r="AL186" s="103">
        <f ca="1">IF(AND(Energy!$F$11=$A$3,Main!$B$43=$A186),Summary!AL23,AL186)</f>
        <v>-0.55665894625402579</v>
      </c>
      <c r="AM186" s="103">
        <f ca="1">IF(AND(Energy!$F$11=$A$3,Main!$B$43=$A186),Summary!AJ203,AM186)</f>
        <v>0</v>
      </c>
    </row>
    <row r="187" spans="1:39">
      <c r="A187">
        <f t="shared" si="12"/>
        <v>10</v>
      </c>
      <c r="D187" s="1">
        <f ca="1">IF(AND(Energy!$F$11=$A$3,Main!$B$43=A187),Main!C24,D187)</f>
        <v>4.9736842105263159</v>
      </c>
      <c r="E187" s="103">
        <f ca="1">IF(AND(Energy!$F$11=$A$3,Main!$B$43=A187),Main!B24,E187)</f>
        <v>0.4</v>
      </c>
      <c r="F187" s="103">
        <f ca="1">IF(Main!$D$6=1,U187,IF(Main!$D$6=2,N187,IF(Main!$D$6=3,K187,IF(Main!$D$6=4,V187,J187))))</f>
        <v>705.73799921032639</v>
      </c>
      <c r="G187" s="103">
        <f ca="1">IF(AND(Energy!$F$11=$A$3,Main!$B$43=A187),Weight!H24,G187)</f>
        <v>15</v>
      </c>
      <c r="H187" s="103">
        <f ca="1">IF(AND(Energy!$F$11=$A$3,Main!$B$43=A187),Weight!U24,H187)</f>
        <v>24.26881892913925</v>
      </c>
      <c r="I187" s="103">
        <f ca="1">IF(AND(Energy!$F$11=$A$3,Main!$B$43=A187),Weight!V24,I187)</f>
        <v>64.21095094755826</v>
      </c>
      <c r="J187" s="103">
        <f ca="1">IF(AND(Energy!$F$11=$A$3,Main!$B$43=A187),Weight!I24,J187)</f>
        <v>35.004483743419009</v>
      </c>
      <c r="K187" s="103">
        <f ca="1">IF(AND(Energy!$F$11=$A$3,Main!$B$43=A187),Weight!W24,K187)</f>
        <v>79.211449180812025</v>
      </c>
      <c r="L187" s="103">
        <f ca="1">IF(AND(Energy!$F$11=$A$3,Main!$B$43=A187),'Aerodynamics-Cruise'!BI24,L187)</f>
        <v>79.210449129552273</v>
      </c>
      <c r="M187" s="103">
        <f ca="1">IF(AND(Energy!$F$11=$A$3,Main!$B$43=A187),'Aerodynamics-Cruise'!BJ24,M187)</f>
        <v>3.8649695711258776</v>
      </c>
      <c r="N187" s="103">
        <f ca="1">IF(AND(Energy!$F$11=$A$3,Main!$B$43=A187),'Aerodynamics-Cruise'!BK24,N187)</f>
        <v>20.494456080925374</v>
      </c>
      <c r="O187" s="103">
        <f t="shared" ca="1" si="9"/>
        <v>182.40117623556358</v>
      </c>
      <c r="P187" s="103">
        <f ca="1">IF(AND(Energy!$F$11=$A$3,Main!$B$43=A187),'Aerodynamics-Cruise'!H24,P187)</f>
        <v>8.5850934197212805</v>
      </c>
      <c r="Q187" s="103">
        <f ca="1">IF(AND(Energy!$F$11=$A$3,Main!$B$43=A187),'Aerodynamics-Cruise'!I24,Q187)</f>
        <v>7.1462804105795676</v>
      </c>
      <c r="R187" s="103">
        <f ca="1">IF(AND(Energy!$F$11=$A$3,Main!$B$43=$A187),Summary!R24,R187)</f>
        <v>5.6844397210158464</v>
      </c>
      <c r="S187" s="103">
        <f ca="1">IF(AND(Energy!$F$11=$A$3,Main!$B$43=A187),'Aerodynamics-Cruise'!W24,S187)</f>
        <v>1</v>
      </c>
      <c r="T187" s="103">
        <f ca="1">IF(AND(Energy!$F$11=$A$3,Main!$B$43=A187),'Aerodynamics-Cruise'!BL24,T187)</f>
        <v>33.181124832495755</v>
      </c>
      <c r="U187" s="103">
        <f ca="1">IF(AND(Energy!$F$11=$A$3,Main!$B$43=A187),'Propulsion-Cruise'!M24,U187)</f>
        <v>72.630264389368506</v>
      </c>
      <c r="V187" s="103">
        <f ca="1">IF(AND(Energy!$F$11=$A$3,Main!$B$43=A187),Endurance!AP24,V187)</f>
        <v>705.73799921032639</v>
      </c>
      <c r="W187" s="103">
        <f ca="1">IF(AND(Energy!$F$11=$A$3,Main!$B$43=$A187),Summary!W24,W187)</f>
        <v>1.9894736842105265</v>
      </c>
      <c r="X187" s="13">
        <f ca="1">IF(AND(Energy!$F$11=$A$3,Main!$B$43=A187),Energy!D24,X187)</f>
        <v>408.57933169821297</v>
      </c>
      <c r="Y187" s="102">
        <f ca="1">IF(AND(Energy!$F$11=$A$3,Main!$B$43=A187),'Aerodynamics-Cruise'!V24,Y187)</f>
        <v>217796.19794368406</v>
      </c>
      <c r="Z187" s="102">
        <f ca="1">IF(AND(Energy!$F$11=$A$3,Main!$B$43=$A187),Summary!Z24,Z187)</f>
        <v>160717.75718217343</v>
      </c>
      <c r="AA187" s="102">
        <f ca="1">IF(AND(Energy!$F$11=$A$3,Main!$B$43=$A187),Summary!AA24,AA187)</f>
        <v>160717.75718217343</v>
      </c>
      <c r="AB187" s="103">
        <f ca="1">IF(AND(Energy!$F$11=$A$3,Main!$B$43=$A187),Summary!AB24,AB187)</f>
        <v>5.6844397210158464</v>
      </c>
      <c r="AC187" s="103">
        <f ca="1">IF(AND(Energy!$F$11=$A$3,Main!$B$43=$A187),Summary!AC24,AC187)</f>
        <v>1.6414143839790689</v>
      </c>
      <c r="AD187" s="103">
        <f ca="1">IF(AND(Energy!$F$11=$A$3,Main!$B$43=$A187),Summary!AD24,AD187)</f>
        <v>0.48354826542180601</v>
      </c>
      <c r="AE187" s="103">
        <f ca="1">IF(AND(Energy!$F$11=$A$3,Main!$B$43=$A187),Summary!AE24,AE187)</f>
        <v>1.9894736842105265</v>
      </c>
      <c r="AF187" s="103">
        <f ca="1">IF(AND(Energy!$F$11=$A$3,Main!$B$43=$A187),Summary!AF24,AF187)</f>
        <v>12.434210526315789</v>
      </c>
      <c r="AG187" s="103">
        <f ca="1">IF(AND(Energy!$F$11=$A$3,Main!$B$43=$A187),Summary!AG24,AG187)</f>
        <v>13.631875462683155</v>
      </c>
      <c r="AH187" s="103">
        <f ca="1">IF(AND(Energy!$F$11=$A$3,Main!$B$43=$A187),Summary!AH24,AH187)</f>
        <v>47</v>
      </c>
      <c r="AI187" s="103">
        <f ca="1">IF(AND(Energy!$F$11=$A$3,Main!$B$43=$A187),Summary!AI24,AI187)</f>
        <v>2.8286394026875041</v>
      </c>
      <c r="AJ187" s="103">
        <f ca="1">IF(AND(Energy!$F$11=$A$3,Main!$B$43=$A187),Summary!AJ24,AJ187)</f>
        <v>0.22525735952448256</v>
      </c>
      <c r="AK187" s="103">
        <f ca="1">IF(AND(Energy!$F$11=$A$3,Main!$B$43=$A187),Summary!AK24,AK187)</f>
        <v>0.01</v>
      </c>
      <c r="AL187" s="103">
        <f ca="1">IF(AND(Energy!$F$11=$A$3,Main!$B$43=$A187),Summary!AL24,AL187)</f>
        <v>-0.55492062972714729</v>
      </c>
      <c r="AM187" s="103">
        <f ca="1">IF(AND(Energy!$F$11=$A$3,Main!$B$43=$A187),Summary!AJ204,AM187)</f>
        <v>0</v>
      </c>
    </row>
    <row r="188" spans="1:39">
      <c r="A188">
        <f t="shared" si="12"/>
        <v>10</v>
      </c>
      <c r="D188" s="1">
        <f ca="1">IF(AND(Energy!$F$11=$A$3,Main!$B$43=A188),Main!C25,D188)</f>
        <v>5.1315789473684212</v>
      </c>
      <c r="E188" s="103">
        <f ca="1">IF(AND(Energy!$F$11=$A$3,Main!$B$43=A188),Main!B25,E188)</f>
        <v>0.4</v>
      </c>
      <c r="F188" s="103">
        <f ca="1">IF(Main!$D$6=1,U188,IF(Main!$D$6=2,N188,IF(Main!$D$6=3,K188,IF(Main!$D$6=4,V188,J188))))</f>
        <v>702.4263762955801</v>
      </c>
      <c r="G188" s="103">
        <f ca="1">IF(AND(Energy!$F$11=$A$3,Main!$B$43=A188),Weight!H25,G188)</f>
        <v>15</v>
      </c>
      <c r="H188" s="103">
        <f ca="1">IF(AND(Energy!$F$11=$A$3,Main!$B$43=A188),Weight!U25,H188)</f>
        <v>25.099993104660726</v>
      </c>
      <c r="I188" s="103">
        <f ca="1">IF(AND(Energy!$F$11=$A$3,Main!$B$43=A188),Weight!V25,I188)</f>
        <v>64.876302407745897</v>
      </c>
      <c r="J188" s="103">
        <f ca="1">IF(AND(Energy!$F$11=$A$3,Main!$B$43=A188),Weight!I25,J188)</f>
        <v>34.83866102808517</v>
      </c>
      <c r="K188" s="103">
        <f ca="1">IF(AND(Energy!$F$11=$A$3,Main!$B$43=A188),Weight!W25,K188)</f>
        <v>79.876291634478534</v>
      </c>
      <c r="L188" s="103">
        <f ca="1">IF(AND(Energy!$F$11=$A$3,Main!$B$43=A188),'Aerodynamics-Cruise'!BI25,L188)</f>
        <v>79.87631301502104</v>
      </c>
      <c r="M188" s="103">
        <f ca="1">IF(AND(Energy!$F$11=$A$3,Main!$B$43=A188),'Aerodynamics-Cruise'!BJ25,M188)</f>
        <v>3.8466422552155861</v>
      </c>
      <c r="N188" s="103">
        <f ca="1">IF(AND(Energy!$F$11=$A$3,Main!$B$43=A188),'Aerodynamics-Cruise'!BK25,N188)</f>
        <v>20.76520448625508</v>
      </c>
      <c r="O188" s="103">
        <f t="shared" ca="1" si="9"/>
        <v>185.58600253692995</v>
      </c>
      <c r="P188" s="103">
        <f ca="1">IF(AND(Energy!$F$11=$A$3,Main!$B$43=A188),'Aerodynamics-Cruise'!H25,P188)</f>
        <v>8.4873470156817383</v>
      </c>
      <c r="Q188" s="103">
        <f ca="1">IF(AND(Energy!$F$11=$A$3,Main!$B$43=A188),'Aerodynamics-Cruise'!I25,Q188)</f>
        <v>7.0682702169287026</v>
      </c>
      <c r="R188" s="103">
        <f ca="1">IF(AND(Energy!$F$11=$A$3,Main!$B$43=$A188),Summary!R25,R188)</f>
        <v>5.6038627460890602</v>
      </c>
      <c r="S188" s="103">
        <f ca="1">IF(AND(Energy!$F$11=$A$3,Main!$B$43=A188),'Aerodynamics-Cruise'!W25,S188)</f>
        <v>1</v>
      </c>
      <c r="T188" s="103">
        <f ca="1">IF(AND(Energy!$F$11=$A$3,Main!$B$43=A188),'Aerodynamics-Cruise'!BL25,T188)</f>
        <v>32.647787665199274</v>
      </c>
      <c r="U188" s="103">
        <f ca="1">IF(AND(Energy!$F$11=$A$3,Main!$B$43=A188),'Propulsion-Cruise'!M25,U188)</f>
        <v>71.764679163621636</v>
      </c>
      <c r="V188" s="103">
        <f ca="1">IF(AND(Energy!$F$11=$A$3,Main!$B$43=A188),Endurance!AP25,V188)</f>
        <v>702.4263762955801</v>
      </c>
      <c r="W188" s="103">
        <f ca="1">IF(AND(Energy!$F$11=$A$3,Main!$B$43=$A188),Summary!W25,W188)</f>
        <v>2.0526315789473686</v>
      </c>
      <c r="X188" s="13">
        <f ca="1">IF(AND(Energy!$F$11=$A$3,Main!$B$43=A188),Energy!D25,X188)</f>
        <v>408.48710612743702</v>
      </c>
      <c r="Y188" s="102">
        <f ca="1">IF(AND(Energy!$F$11=$A$3,Main!$B$43=A188),'Aerodynamics-Cruise'!V25,Y188)</f>
        <v>215316.45845551777</v>
      </c>
      <c r="Z188" s="102">
        <f ca="1">IF(AND(Energy!$F$11=$A$3,Main!$B$43=$A188),Summary!Z25,Z188)</f>
        <v>158960.38916502966</v>
      </c>
      <c r="AA188" s="102">
        <f ca="1">IF(AND(Energy!$F$11=$A$3,Main!$B$43=$A188),Summary!AA25,AA188)</f>
        <v>158960.38916502966</v>
      </c>
      <c r="AB188" s="103">
        <f ca="1">IF(AND(Energy!$F$11=$A$3,Main!$B$43=$A188),Summary!AB25,AB188)</f>
        <v>5.6038627460890602</v>
      </c>
      <c r="AC188" s="103">
        <f ca="1">IF(AND(Energy!$F$11=$A$3,Main!$B$43=$A188),Summary!AC25,AC188)</f>
        <v>1.6157472495562393</v>
      </c>
      <c r="AD188" s="103">
        <f ca="1">IF(AND(Energy!$F$11=$A$3,Main!$B$43=$A188),Summary!AD25,AD188)</f>
        <v>0.48045296232926749</v>
      </c>
      <c r="AE188" s="103">
        <f ca="1">IF(AND(Energy!$F$11=$A$3,Main!$B$43=$A188),Summary!AE25,AE188)</f>
        <v>2.0526315789473686</v>
      </c>
      <c r="AF188" s="103">
        <f ca="1">IF(AND(Energy!$F$11=$A$3,Main!$B$43=$A188),Summary!AF25,AF188)</f>
        <v>12.828947368421053</v>
      </c>
      <c r="AG188" s="103">
        <f ca="1">IF(AND(Energy!$F$11=$A$3,Main!$B$43=$A188),Summary!AG25,AG188)</f>
        <v>13.542047741136837</v>
      </c>
      <c r="AH188" s="103">
        <f ca="1">IF(AND(Energy!$F$11=$A$3,Main!$B$43=$A188),Summary!AH25,AH188)</f>
        <v>47</v>
      </c>
      <c r="AI188" s="103">
        <f ca="1">IF(AND(Energy!$F$11=$A$3,Main!$B$43=$A188),Summary!AI25,AI188)</f>
        <v>2.8260111553322851</v>
      </c>
      <c r="AJ188" s="103">
        <f ca="1">IF(AND(Energy!$F$11=$A$3,Main!$B$43=$A188),Summary!AJ25,AJ188)</f>
        <v>0.22588523159777604</v>
      </c>
      <c r="AK188" s="103">
        <f ca="1">IF(AND(Energy!$F$11=$A$3,Main!$B$43=$A188),Summary!AK25,AK188)</f>
        <v>0.01</v>
      </c>
      <c r="AL188" s="103">
        <f ca="1">IF(AND(Energy!$F$11=$A$3,Main!$B$43=$A188),Summary!AL25,AL188)</f>
        <v>-0.55337779910740836</v>
      </c>
      <c r="AM188" s="103">
        <f ca="1">IF(AND(Energy!$F$11=$A$3,Main!$B$43=$A188),Summary!AJ205,AM188)</f>
        <v>0</v>
      </c>
    </row>
    <row r="189" spans="1:39">
      <c r="A189">
        <f t="shared" si="12"/>
        <v>10</v>
      </c>
      <c r="D189" s="1">
        <f ca="1">IF(AND(Energy!$F$11=$A$3,Main!$B$43=A189),Main!C26,D189)</f>
        <v>5.2894736842105265</v>
      </c>
      <c r="E189" s="103">
        <f ca="1">IF(AND(Energy!$F$11=$A$3,Main!$B$43=A189),Main!B26,E189)</f>
        <v>0.4</v>
      </c>
      <c r="F189" s="103">
        <f ca="1">IF(Main!$D$6=1,U189,IF(Main!$D$6=2,N189,IF(Main!$D$6=3,K189,IF(Main!$D$6=4,V189,J189))))</f>
        <v>693.37816441319467</v>
      </c>
      <c r="G189" s="103">
        <f ca="1">IF(AND(Energy!$F$11=$A$3,Main!$B$43=A189),Weight!H26,G189)</f>
        <v>15</v>
      </c>
      <c r="H189" s="103">
        <f ca="1">IF(AND(Energy!$F$11=$A$3,Main!$B$43=A189),Weight!U26,H189)</f>
        <v>25.89648677236638</v>
      </c>
      <c r="I189" s="103">
        <f ca="1">IF(AND(Energy!$F$11=$A$3,Main!$B$43=A189),Weight!V26,I189)</f>
        <v>65.252016080288868</v>
      </c>
      <c r="J189" s="103">
        <f ca="1">IF(AND(Energy!$F$11=$A$3,Main!$B$43=A189),Weight!I26,J189)</f>
        <v>34.417881032922487</v>
      </c>
      <c r="K189" s="103">
        <f ca="1">IF(AND(Energy!$F$11=$A$3,Main!$B$43=A189),Weight!W26,K189)</f>
        <v>80.25201619384363</v>
      </c>
      <c r="L189" s="103">
        <f ca="1">IF(AND(Energy!$F$11=$A$3,Main!$B$43=A189),'Aerodynamics-Cruise'!BI26,L189)</f>
        <v>80.252015963589258</v>
      </c>
      <c r="M189" s="103">
        <f ca="1">IF(AND(Energy!$F$11=$A$3,Main!$B$43=A189),'Aerodynamics-Cruise'!BJ26,M189)</f>
        <v>3.8202583511014687</v>
      </c>
      <c r="N189" s="103">
        <f ca="1">IF(AND(Energy!$F$11=$A$3,Main!$B$43=A189),'Aerodynamics-Cruise'!BK26,N189)</f>
        <v>21.006960416813367</v>
      </c>
      <c r="O189" s="103">
        <f t="shared" ca="1" si="9"/>
        <v>188.18768185552369</v>
      </c>
      <c r="P189" s="103">
        <f ca="1">IF(AND(Energy!$F$11=$A$3,Main!$B$43=A189),'Aerodynamics-Cruise'!H26,P189)</f>
        <v>8.3792696641999456</v>
      </c>
      <c r="Q189" s="103">
        <f ca="1">IF(AND(Energy!$F$11=$A$3,Main!$B$43=A189),'Aerodynamics-Cruise'!I26,Q189)</f>
        <v>6.9819600415327221</v>
      </c>
      <c r="R189" s="103">
        <f ca="1">IF(AND(Energy!$F$11=$A$3,Main!$B$43=$A189),Summary!R26,R189)</f>
        <v>5.489199511546234</v>
      </c>
      <c r="S189" s="103">
        <f ca="1">IF(AND(Energy!$F$11=$A$3,Main!$B$43=A189),'Aerodynamics-Cruise'!W26,S189)</f>
        <v>1</v>
      </c>
      <c r="T189" s="103">
        <f ca="1">IF(AND(Energy!$F$11=$A$3,Main!$B$43=A189),'Aerodynamics-Cruise'!BL26,T189)</f>
        <v>32.010974910791042</v>
      </c>
      <c r="U189" s="103">
        <f ca="1">IF(AND(Energy!$F$11=$A$3,Main!$B$43=A189),'Propulsion-Cruise'!M26,U189)</f>
        <v>70.691084466802764</v>
      </c>
      <c r="V189" s="103">
        <f ca="1">IF(AND(Energy!$F$11=$A$3,Main!$B$43=A189),Endurance!AP26,V189)</f>
        <v>693.37816441319467</v>
      </c>
      <c r="W189" s="103">
        <f ca="1">IF(AND(Energy!$F$11=$A$3,Main!$B$43=$A189),Summary!W26,W189)</f>
        <v>2.1157894736842109</v>
      </c>
      <c r="X189" s="13">
        <f ca="1">IF(AND(Energy!$F$11=$A$3,Main!$B$43=A189),Energy!D26,X189)</f>
        <v>408.25368022472566</v>
      </c>
      <c r="Y189" s="102">
        <f ca="1">IF(AND(Energy!$F$11=$A$3,Main!$B$43=A189),'Aerodynamics-Cruise'!V26,Y189)</f>
        <v>212574.63200288007</v>
      </c>
      <c r="Z189" s="102">
        <f ca="1">IF(AND(Energy!$F$11=$A$3,Main!$B$43=$A189),Summary!Z26,Z189)</f>
        <v>157016.09003297007</v>
      </c>
      <c r="AA189" s="102">
        <f ca="1">IF(AND(Energy!$F$11=$A$3,Main!$B$43=$A189),Summary!AA26,AA189)</f>
        <v>157016.09003297007</v>
      </c>
      <c r="AB189" s="103">
        <f ca="1">IF(AND(Energy!$F$11=$A$3,Main!$B$43=$A189),Summary!AB26,AB189)</f>
        <v>5.489199511546234</v>
      </c>
      <c r="AC189" s="103">
        <f ca="1">IF(AND(Energy!$F$11=$A$3,Main!$B$43=$A189),Summary!AC26,AC189)</f>
        <v>1.5954531847270224</v>
      </c>
      <c r="AD189" s="103">
        <f ca="1">IF(AND(Energy!$F$11=$A$3,Main!$B$43=$A189),Summary!AD26,AD189)</f>
        <v>0.47675606275832139</v>
      </c>
      <c r="AE189" s="103">
        <f ca="1">IF(AND(Energy!$F$11=$A$3,Main!$B$43=$A189),Summary!AE26,AE189)</f>
        <v>2.1157894736842109</v>
      </c>
      <c r="AF189" s="103">
        <f ca="1">IF(AND(Energy!$F$11=$A$3,Main!$B$43=$A189),Summary!AF26,AF189)</f>
        <v>13.223684210526313</v>
      </c>
      <c r="AG189" s="103">
        <f ca="1">IF(AND(Energy!$F$11=$A$3,Main!$B$43=$A189),Summary!AG26,AG189)</f>
        <v>13.427368202805793</v>
      </c>
      <c r="AH189" s="103">
        <f ca="1">IF(AND(Energy!$F$11=$A$3,Main!$B$43=$A189),Summary!AH26,AH189)</f>
        <v>47</v>
      </c>
      <c r="AI189" s="103">
        <f ca="1">IF(AND(Energy!$F$11=$A$3,Main!$B$43=$A189),Summary!AI26,AI189)</f>
        <v>2.8230182510908524</v>
      </c>
      <c r="AJ189" s="103">
        <f ca="1">IF(AND(Energy!$F$11=$A$3,Main!$B$43=$A189),Summary!AJ26,AJ189)</f>
        <v>0.22650826556002854</v>
      </c>
      <c r="AK189" s="103">
        <f ca="1">IF(AND(Energy!$F$11=$A$3,Main!$B$43=$A189),Summary!AK26,AK189)</f>
        <v>0.01</v>
      </c>
      <c r="AL189" s="103">
        <f ca="1">IF(AND(Energy!$F$11=$A$3,Main!$B$43=$A189),Summary!AL26,AL189)</f>
        <v>-0.55185601618528735</v>
      </c>
      <c r="AM189" s="103">
        <f ca="1">IF(AND(Energy!$F$11=$A$3,Main!$B$43=$A189),Summary!AJ206,AM189)</f>
        <v>0</v>
      </c>
    </row>
    <row r="190" spans="1:39">
      <c r="A190">
        <f t="shared" si="12"/>
        <v>10</v>
      </c>
      <c r="D190" s="1">
        <f ca="1">IF(AND(Energy!$F$11=$A$3,Main!$B$43=A190),Main!C27,D190)</f>
        <v>5.4473684210526319</v>
      </c>
      <c r="E190" s="103">
        <f ca="1">IF(AND(Energy!$F$11=$A$3,Main!$B$43=A190),Main!B27,E190)</f>
        <v>0.4</v>
      </c>
      <c r="F190" s="103">
        <f ca="1">IF(Main!$D$6=1,U190,IF(Main!$D$6=2,N190,IF(Main!$D$6=3,K190,IF(Main!$D$6=4,V190,J190))))</f>
        <v>685.93605801667377</v>
      </c>
      <c r="G190" s="103">
        <f ca="1">IF(AND(Energy!$F$11=$A$3,Main!$B$43=A190),Weight!H27,G190)</f>
        <v>15</v>
      </c>
      <c r="H190" s="103">
        <f ca="1">IF(AND(Energy!$F$11=$A$3,Main!$B$43=A190),Weight!U27,H190)</f>
        <v>26.720848247383302</v>
      </c>
      <c r="I190" s="103">
        <f ca="1">IF(AND(Energy!$F$11=$A$3,Main!$B$43=A190),Weight!V27,I190)</f>
        <v>65.728417299601588</v>
      </c>
      <c r="J190" s="103">
        <f ca="1">IF(AND(Energy!$F$11=$A$3,Main!$B$43=A190),Weight!I27,J190)</f>
        <v>34.069920777218286</v>
      </c>
      <c r="K190" s="103">
        <f ca="1">IF(AND(Energy!$F$11=$A$3,Main!$B$43=A190),Weight!W27,K190)</f>
        <v>80.72841734368707</v>
      </c>
      <c r="L190" s="103">
        <f ca="1">IF(AND(Energy!$F$11=$A$3,Main!$B$43=A190),'Aerodynamics-Cruise'!BI27,L190)</f>
        <v>80.728417255712827</v>
      </c>
      <c r="M190" s="103">
        <f ca="1">IF(AND(Energy!$F$11=$A$3,Main!$B$43=A190),'Aerodynamics-Cruise'!BJ27,M190)</f>
        <v>3.800548110956814</v>
      </c>
      <c r="N190" s="103">
        <f ca="1">IF(AND(Energy!$F$11=$A$3,Main!$B$43=A190),'Aerodynamics-Cruise'!BK27,N190)</f>
        <v>21.241256497444759</v>
      </c>
      <c r="O190" s="103">
        <f t="shared" ca="1" si="9"/>
        <v>190.85055279175319</v>
      </c>
      <c r="P190" s="103">
        <f ca="1">IF(AND(Energy!$F$11=$A$3,Main!$B$43=A190),'Aerodynamics-Cruise'!H27,P190)</f>
        <v>8.2813391972814294</v>
      </c>
      <c r="Q190" s="103">
        <f ca="1">IF(AND(Energy!$F$11=$A$3,Main!$B$43=A190),'Aerodynamics-Cruise'!I27,Q190)</f>
        <v>6.9037131683026498</v>
      </c>
      <c r="R190" s="103">
        <f ca="1">IF(AND(Energy!$F$11=$A$3,Main!$B$43=$A190),Summary!R27,R190)</f>
        <v>5.3950995864897449</v>
      </c>
      <c r="S190" s="103">
        <f ca="1">IF(AND(Energy!$F$11=$A$3,Main!$B$43=A190),'Aerodynamics-Cruise'!W27,S190)</f>
        <v>1</v>
      </c>
      <c r="T190" s="103">
        <f ca="1">IF(AND(Energy!$F$11=$A$3,Main!$B$43=A190),'Aerodynamics-Cruise'!BL27,T190)</f>
        <v>31.473628042420554</v>
      </c>
      <c r="U190" s="103">
        <f ca="1">IF(AND(Energy!$F$11=$A$3,Main!$B$43=A190),'Propulsion-Cruise'!M27,U190)</f>
        <v>69.808051593830228</v>
      </c>
      <c r="V190" s="103">
        <f ca="1">IF(AND(Energy!$F$11=$A$3,Main!$B$43=A190),Endurance!AP27,V190)</f>
        <v>685.93605801667377</v>
      </c>
      <c r="W190" s="103">
        <f ca="1">IF(AND(Energy!$F$11=$A$3,Main!$B$43=$A190),Summary!W27,W190)</f>
        <v>2.1789473684210527</v>
      </c>
      <c r="X190" s="13">
        <f ca="1">IF(AND(Energy!$F$11=$A$3,Main!$B$43=A190),Energy!D27,X190)</f>
        <v>408.06064642945194</v>
      </c>
      <c r="Y190" s="102">
        <f ca="1">IF(AND(Energy!$F$11=$A$3,Main!$B$43=A190),'Aerodynamics-Cruise'!V27,Y190)</f>
        <v>210090.223002891</v>
      </c>
      <c r="Z190" s="102">
        <f ca="1">IF(AND(Energy!$F$11=$A$3,Main!$B$43=$A190),Summary!Z27,Z190)</f>
        <v>155253.46713123281</v>
      </c>
      <c r="AA190" s="102">
        <f ca="1">IF(AND(Energy!$F$11=$A$3,Main!$B$43=$A190),Summary!AA27,AA190)</f>
        <v>155253.46713123281</v>
      </c>
      <c r="AB190" s="103">
        <f ca="1">IF(AND(Energy!$F$11=$A$3,Main!$B$43=$A190),Summary!AB27,AB190)</f>
        <v>5.3950995864897449</v>
      </c>
      <c r="AC190" s="103">
        <f ca="1">IF(AND(Energy!$F$11=$A$3,Main!$B$43=$A190),Summary!AC27,AC190)</f>
        <v>1.5739713375440885</v>
      </c>
      <c r="AD190" s="103">
        <f ca="1">IF(AND(Energy!$F$11=$A$3,Main!$B$43=$A190),Summary!AD27,AD190)</f>
        <v>0.47358039224615339</v>
      </c>
      <c r="AE190" s="103">
        <f ca="1">IF(AND(Energy!$F$11=$A$3,Main!$B$43=$A190),Summary!AE27,AE190)</f>
        <v>2.1789473684210527</v>
      </c>
      <c r="AF190" s="103">
        <f ca="1">IF(AND(Energy!$F$11=$A$3,Main!$B$43=$A190),Summary!AF27,AF190)</f>
        <v>13.618421052631579</v>
      </c>
      <c r="AG190" s="103">
        <f ca="1">IF(AND(Energy!$F$11=$A$3,Main!$B$43=$A190),Summary!AG27,AG190)</f>
        <v>13.333684661970794</v>
      </c>
      <c r="AH190" s="103">
        <f ca="1">IF(AND(Energy!$F$11=$A$3,Main!$B$43=$A190),Summary!AH27,AH190)</f>
        <v>47</v>
      </c>
      <c r="AI190" s="103">
        <f ca="1">IF(AND(Energy!$F$11=$A$3,Main!$B$43=$A190),Summary!AI27,AI190)</f>
        <v>2.8202768262185542</v>
      </c>
      <c r="AJ190" s="103">
        <f ca="1">IF(AND(Energy!$F$11=$A$3,Main!$B$43=$A190),Summary!AJ27,AJ190)</f>
        <v>0.2270906179618819</v>
      </c>
      <c r="AK190" s="103">
        <f ca="1">IF(AND(Energy!$F$11=$A$3,Main!$B$43=$A190),Summary!AK27,AK190)</f>
        <v>0.01</v>
      </c>
      <c r="AL190" s="103">
        <f ca="1">IF(AND(Energy!$F$11=$A$3,Main!$B$43=$A190),Summary!AL27,AL190)</f>
        <v>-0.55044095158582629</v>
      </c>
      <c r="AM190" s="103">
        <f ca="1">IF(AND(Energy!$F$11=$A$3,Main!$B$43=$A190),Summary!AJ207,AM190)</f>
        <v>0</v>
      </c>
    </row>
    <row r="191" spans="1:39">
      <c r="A191">
        <f t="shared" si="12"/>
        <v>10</v>
      </c>
      <c r="D191" s="1">
        <f ca="1">IF(AND(Energy!$F$11=$A$3,Main!$B$43=A191),Main!C28,D191)</f>
        <v>5.6052631578947372</v>
      </c>
      <c r="E191" s="103">
        <f ca="1">IF(AND(Energy!$F$11=$A$3,Main!$B$43=A191),Main!B28,E191)</f>
        <v>0.4</v>
      </c>
      <c r="F191" s="103">
        <f ca="1">IF(Main!$D$6=1,U191,IF(Main!$D$6=2,N191,IF(Main!$D$6=3,K191,IF(Main!$D$6=4,V191,J191))))</f>
        <v>679.88296869296209</v>
      </c>
      <c r="G191" s="103">
        <f ca="1">IF(AND(Energy!$F$11=$A$3,Main!$B$43=A191),Weight!H28,G191)</f>
        <v>15</v>
      </c>
      <c r="H191" s="103">
        <f ca="1">IF(AND(Energy!$F$11=$A$3,Main!$B$43=A191),Weight!U28,H191)</f>
        <v>27.572405496517867</v>
      </c>
      <c r="I191" s="103">
        <f ca="1">IF(AND(Energy!$F$11=$A$3,Main!$B$43=A191),Weight!V28,I191)</f>
        <v>66.294949013520068</v>
      </c>
      <c r="J191" s="103">
        <f ca="1">IF(AND(Energy!$F$11=$A$3,Main!$B$43=A191),Weight!I28,J191)</f>
        <v>33.7848952420022</v>
      </c>
      <c r="K191" s="103">
        <f ca="1">IF(AND(Energy!$F$11=$A$3,Main!$B$43=A191),Weight!W28,K191)</f>
        <v>81.294948972819384</v>
      </c>
      <c r="L191" s="103">
        <f ca="1">IF(AND(Energy!$F$11=$A$3,Main!$B$43=A191),'Aerodynamics-Cruise'!BI28,L191)</f>
        <v>81.294949054394294</v>
      </c>
      <c r="M191" s="103">
        <f ca="1">IF(AND(Energy!$F$11=$A$3,Main!$B$43=A191),'Aerodynamics-Cruise'!BJ28,M191)</f>
        <v>3.7866865670740992</v>
      </c>
      <c r="N191" s="103">
        <f ca="1">IF(AND(Energy!$F$11=$A$3,Main!$B$43=A191),'Aerodynamics-Cruise'!BK28,N191)</f>
        <v>21.46862372007973</v>
      </c>
      <c r="O191" s="103">
        <f t="shared" ca="1" si="9"/>
        <v>193.56907994452652</v>
      </c>
      <c r="P191" s="103">
        <f ca="1">IF(AND(Energy!$F$11=$A$3,Main!$B$43=A191),'Aerodynamics-Cruise'!H28,P191)</f>
        <v>8.192399477932792</v>
      </c>
      <c r="Q191" s="103">
        <f ca="1">IF(AND(Energy!$F$11=$A$3,Main!$B$43=A191),'Aerodynamics-Cruise'!I28,Q191)</f>
        <v>6.832616712250636</v>
      </c>
      <c r="R191" s="103">
        <f ca="1">IF(AND(Energy!$F$11=$A$3,Main!$B$43=$A191),Summary!R28,R191)</f>
        <v>5.3186624944663112</v>
      </c>
      <c r="S191" s="103">
        <f ca="1">IF(AND(Energy!$F$11=$A$3,Main!$B$43=A191),'Aerodynamics-Cruise'!W28,S191)</f>
        <v>1</v>
      </c>
      <c r="T191" s="103">
        <f ca="1">IF(AND(Energy!$F$11=$A$3,Main!$B$43=A191),'Aerodynamics-Cruise'!BL28,T191)</f>
        <v>31.022049055192966</v>
      </c>
      <c r="U191" s="103">
        <f ca="1">IF(AND(Energy!$F$11=$A$3,Main!$B$43=A191),'Propulsion-Cruise'!M28,U191)</f>
        <v>69.089846094268438</v>
      </c>
      <c r="V191" s="103">
        <f ca="1">IF(AND(Energy!$F$11=$A$3,Main!$B$43=A191),Endurance!AP28,V191)</f>
        <v>679.88296869296209</v>
      </c>
      <c r="W191" s="103">
        <f ca="1">IF(AND(Energy!$F$11=$A$3,Main!$B$43=$A191),Summary!W28,W191)</f>
        <v>2.242105263157895</v>
      </c>
      <c r="X191" s="13">
        <f ca="1">IF(AND(Energy!$F$11=$A$3,Main!$B$43=A191),Energy!D28,X191)</f>
        <v>407.90252616859357</v>
      </c>
      <c r="Y191" s="102">
        <f ca="1">IF(AND(Energy!$F$11=$A$3,Main!$B$43=A191),'Aerodynamics-Cruise'!V28,Y191)</f>
        <v>207833.90128648267</v>
      </c>
      <c r="Z191" s="102">
        <f ca="1">IF(AND(Energy!$F$11=$A$3,Main!$B$43=$A191),Summary!Z28,Z191)</f>
        <v>153651.94683333414</v>
      </c>
      <c r="AA191" s="102">
        <f ca="1">IF(AND(Energy!$F$11=$A$3,Main!$B$43=$A191),Summary!AA28,AA191)</f>
        <v>153651.94683333414</v>
      </c>
      <c r="AB191" s="103">
        <f ca="1">IF(AND(Energy!$F$11=$A$3,Main!$B$43=$A191),Summary!AB28,AB191)</f>
        <v>5.3186624944663112</v>
      </c>
      <c r="AC191" s="103">
        <f ca="1">IF(AND(Energy!$F$11=$A$3,Main!$B$43=$A191),Summary!AC28,AC191)</f>
        <v>1.5515870014665474</v>
      </c>
      <c r="AD191" s="103">
        <f ca="1">IF(AND(Energy!$F$11=$A$3,Main!$B$43=$A191),Summary!AD28,AD191)</f>
        <v>0.47086571430936264</v>
      </c>
      <c r="AE191" s="103">
        <f ca="1">IF(AND(Energy!$F$11=$A$3,Main!$B$43=$A191),Summary!AE28,AE191)</f>
        <v>2.242105263157895</v>
      </c>
      <c r="AF191" s="103">
        <f ca="1">IF(AND(Energy!$F$11=$A$3,Main!$B$43=$A191),Summary!AF28,AF191)</f>
        <v>14.013157894736842</v>
      </c>
      <c r="AG191" s="103">
        <f ca="1">IF(AND(Energy!$F$11=$A$3,Main!$B$43=$A191),Summary!AG28,AG191)</f>
        <v>13.258331918722309</v>
      </c>
      <c r="AH191" s="103">
        <f ca="1">IF(AND(Energy!$F$11=$A$3,Main!$B$43=$A191),Summary!AH28,AH191)</f>
        <v>47</v>
      </c>
      <c r="AI191" s="103">
        <f ca="1">IF(AND(Energy!$F$11=$A$3,Main!$B$43=$A191),Summary!AI28,AI191)</f>
        <v>2.8177612779219334</v>
      </c>
      <c r="AJ191" s="103">
        <f ca="1">IF(AND(Energy!$F$11=$A$3,Main!$B$43=$A191),Summary!AJ28,AJ191)</f>
        <v>0.22762049619542365</v>
      </c>
      <c r="AK191" s="103">
        <f ca="1">IF(AND(Energy!$F$11=$A$3,Main!$B$43=$A191),Summary!AK28,AK191)</f>
        <v>0.01</v>
      </c>
      <c r="AL191" s="103">
        <f ca="1">IF(AND(Energy!$F$11=$A$3,Main!$B$43=$A191),Summary!AL28,AL191)</f>
        <v>-0.54915977341946032</v>
      </c>
      <c r="AM191" s="103">
        <f ca="1">IF(AND(Energy!$F$11=$A$3,Main!$B$43=$A191),Summary!AJ208,AM191)</f>
        <v>0</v>
      </c>
    </row>
    <row r="192" spans="1:39">
      <c r="A192">
        <f t="shared" si="12"/>
        <v>10</v>
      </c>
      <c r="D192" s="1">
        <f ca="1">IF(AND(Energy!$F$11=$A$3,Main!$B$43=A192),Main!C29,D192)</f>
        <v>5.7631578947368425</v>
      </c>
      <c r="E192" s="103">
        <f ca="1">IF(AND(Energy!$F$11=$A$3,Main!$B$43=A192),Main!B29,E192)</f>
        <v>0.4</v>
      </c>
      <c r="F192" s="103">
        <f ca="1">IF(Main!$D$6=1,U192,IF(Main!$D$6=2,N192,IF(Main!$D$6=3,K192,IF(Main!$D$6=4,V192,J192))))</f>
        <v>675.0455423842759</v>
      </c>
      <c r="G192" s="103">
        <f ca="1">IF(AND(Energy!$F$11=$A$3,Main!$B$43=A192),Weight!H29,G192)</f>
        <v>15</v>
      </c>
      <c r="H192" s="103">
        <f ca="1">IF(AND(Energy!$F$11=$A$3,Main!$B$43=A192),Weight!U29,H192)</f>
        <v>28.450723354647629</v>
      </c>
      <c r="I192" s="103">
        <f ca="1">IF(AND(Energy!$F$11=$A$3,Main!$B$43=A192),Weight!V29,I192)</f>
        <v>66.943293781821737</v>
      </c>
      <c r="J192" s="103">
        <f ca="1">IF(AND(Energy!$F$11=$A$3,Main!$B$43=A192),Weight!I29,J192)</f>
        <v>33.554922152174107</v>
      </c>
      <c r="K192" s="103">
        <f ca="1">IF(AND(Energy!$F$11=$A$3,Main!$B$43=A192),Weight!W29,K192)</f>
        <v>81.943293689005316</v>
      </c>
      <c r="L192" s="103">
        <f ca="1">IF(AND(Energy!$F$11=$A$3,Main!$B$43=A192),'Aerodynamics-Cruise'!BI29,L192)</f>
        <v>81.943293875198876</v>
      </c>
      <c r="M192" s="103">
        <f ca="1">IF(AND(Energy!$F$11=$A$3,Main!$B$43=A192),'Aerodynamics-Cruise'!BJ29,M192)</f>
        <v>3.7780015603242694</v>
      </c>
      <c r="N192" s="103">
        <f ca="1">IF(AND(Energy!$F$11=$A$3,Main!$B$43=A192),'Aerodynamics-Cruise'!BK29,N192)</f>
        <v>21.689587091691305</v>
      </c>
      <c r="O192" s="103">
        <f t="shared" ca="1" si="9"/>
        <v>196.33964119975693</v>
      </c>
      <c r="P192" s="103">
        <f ca="1">IF(AND(Energy!$F$11=$A$3,Main!$B$43=A192),'Aerodynamics-Cruise'!H29,P192)</f>
        <v>8.1114908202704967</v>
      </c>
      <c r="Q192" s="103">
        <f ca="1">IF(AND(Energy!$F$11=$A$3,Main!$B$43=A192),'Aerodynamics-Cruise'!I29,Q192)</f>
        <v>6.7679123993373604</v>
      </c>
      <c r="R192" s="103">
        <f ca="1">IF(AND(Energy!$F$11=$A$3,Main!$B$43=$A192),Summary!R29,R192)</f>
        <v>5.2576037181975801</v>
      </c>
      <c r="S192" s="103">
        <f ca="1">IF(AND(Energy!$F$11=$A$3,Main!$B$43=A192),'Aerodynamics-Cruise'!W29,S192)</f>
        <v>1</v>
      </c>
      <c r="T192" s="103">
        <f ca="1">IF(AND(Energy!$F$11=$A$3,Main!$B$43=A192),'Aerodynamics-Cruise'!BL29,T192)</f>
        <v>30.645224975537925</v>
      </c>
      <c r="U192" s="103">
        <f ca="1">IF(AND(Energy!$F$11=$A$3,Main!$B$43=A192),'Propulsion-Cruise'!M29,U192)</f>
        <v>68.515898564388337</v>
      </c>
      <c r="V192" s="103">
        <f ca="1">IF(AND(Energy!$F$11=$A$3,Main!$B$43=A192),Endurance!AP29,V192)</f>
        <v>675.0455423842759</v>
      </c>
      <c r="W192" s="103">
        <f ca="1">IF(AND(Energy!$F$11=$A$3,Main!$B$43=$A192),Summary!W29,W192)</f>
        <v>2.3052631578947369</v>
      </c>
      <c r="X192" s="13">
        <f ca="1">IF(AND(Energy!$F$11=$A$3,Main!$B$43=A192),Energy!D29,X192)</f>
        <v>407.77494671311007</v>
      </c>
      <c r="Y192" s="102">
        <f ca="1">IF(AND(Energy!$F$11=$A$3,Main!$B$43=A192),'Aerodynamics-Cruise'!V29,Y192)</f>
        <v>205781.32047482888</v>
      </c>
      <c r="Z192" s="102">
        <f ca="1">IF(AND(Energy!$F$11=$A$3,Main!$B$43=$A192),Summary!Z29,Z192)</f>
        <v>152194.44044820286</v>
      </c>
      <c r="AA192" s="102">
        <f ca="1">IF(AND(Energy!$F$11=$A$3,Main!$B$43=$A192),Summary!AA29,AA192)</f>
        <v>152194.44044820286</v>
      </c>
      <c r="AB192" s="103">
        <f ca="1">IF(AND(Energy!$F$11=$A$3,Main!$B$43=$A192),Summary!AB29,AB192)</f>
        <v>5.2576037181975801</v>
      </c>
      <c r="AC192" s="103">
        <f ca="1">IF(AND(Energy!$F$11=$A$3,Main!$B$43=$A192),Summary!AC29,AC192)</f>
        <v>1.5285221016326198</v>
      </c>
      <c r="AD192" s="103">
        <f ca="1">IF(AND(Energy!$F$11=$A$3,Main!$B$43=$A192),Summary!AD29,AD192)</f>
        <v>0.46856193950301739</v>
      </c>
      <c r="AE192" s="103">
        <f ca="1">IF(AND(Energy!$F$11=$A$3,Main!$B$43=$A192),Summary!AE29,AE192)</f>
        <v>2.3052631578947369</v>
      </c>
      <c r="AF192" s="103">
        <f ca="1">IF(AND(Energy!$F$11=$A$3,Main!$B$43=$A192),Summary!AF29,AF192)</f>
        <v>14.407894736842106</v>
      </c>
      <c r="AG192" s="103">
        <f ca="1">IF(AND(Energy!$F$11=$A$3,Main!$B$43=$A192),Summary!AG29,AG192)</f>
        <v>13.199164167354283</v>
      </c>
      <c r="AH192" s="103">
        <f ca="1">IF(AND(Energy!$F$11=$A$3,Main!$B$43=$A192),Summary!AH29,AH192)</f>
        <v>47</v>
      </c>
      <c r="AI192" s="103">
        <f ca="1">IF(AND(Energy!$F$11=$A$3,Main!$B$43=$A192),Summary!AI29,AI192)</f>
        <v>2.8154510266204418</v>
      </c>
      <c r="AJ192" s="103">
        <f ca="1">IF(AND(Energy!$F$11=$A$3,Main!$B$43=$A192),Summary!AJ29,AJ192)</f>
        <v>0.22811080970875489</v>
      </c>
      <c r="AK192" s="103">
        <f ca="1">IF(AND(Energy!$F$11=$A$3,Main!$B$43=$A192),Summary!AK29,AK192)</f>
        <v>0.01</v>
      </c>
      <c r="AL192" s="103">
        <f ca="1">IF(AND(Energy!$F$11=$A$3,Main!$B$43=$A192),Summary!AL29,AL192)</f>
        <v>-0.54797949516836497</v>
      </c>
      <c r="AM192" s="103">
        <f ca="1">IF(AND(Energy!$F$11=$A$3,Main!$B$43=$A192),Summary!AJ209,AM192)</f>
        <v>0</v>
      </c>
    </row>
    <row r="193" spans="1:39">
      <c r="A193">
        <f t="shared" si="12"/>
        <v>10</v>
      </c>
      <c r="D193" s="1">
        <f ca="1">IF(AND(Energy!$F$11=$A$3,Main!$B$43=A193),Main!C30,D193)</f>
        <v>5.9210526315789478</v>
      </c>
      <c r="E193" s="103">
        <f ca="1">IF(AND(Energy!$F$11=$A$3,Main!$B$43=A193),Main!B30,E193)</f>
        <v>0.4</v>
      </c>
      <c r="F193" s="103">
        <f ca="1">IF(Main!$D$6=1,U193,IF(Main!$D$6=2,N193,IF(Main!$D$6=3,K193,IF(Main!$D$6=4,V193,J193))))</f>
        <v>671.28190252443108</v>
      </c>
      <c r="G193" s="103">
        <f ca="1">IF(AND(Energy!$F$11=$A$3,Main!$B$43=A193),Weight!H30,G193)</f>
        <v>15</v>
      </c>
      <c r="H193" s="103">
        <f ca="1">IF(AND(Energy!$F$11=$A$3,Main!$B$43=A193),Weight!U30,H193)</f>
        <v>29.355505016453968</v>
      </c>
      <c r="I193" s="103">
        <f ca="1">IF(AND(Energy!$F$11=$A$3,Main!$B$43=A193),Weight!V30,I193)</f>
        <v>67.666703396479491</v>
      </c>
      <c r="J193" s="103">
        <f ca="1">IF(AND(Energy!$F$11=$A$3,Main!$B$43=A193),Weight!I30,J193)</f>
        <v>33.373550105025522</v>
      </c>
      <c r="K193" s="103">
        <f ca="1">IF(AND(Energy!$F$11=$A$3,Main!$B$43=A193),Weight!W30,K193)</f>
        <v>82.666703310419095</v>
      </c>
      <c r="L193" s="103">
        <f ca="1">IF(AND(Energy!$F$11=$A$3,Main!$B$43=A193),'Aerodynamics-Cruise'!BI30,L193)</f>
        <v>82.666703483046675</v>
      </c>
      <c r="M193" s="103">
        <f ca="1">IF(AND(Energy!$F$11=$A$3,Main!$B$43=A193),'Aerodynamics-Cruise'!BJ30,M193)</f>
        <v>3.7739355433959734</v>
      </c>
      <c r="N193" s="103">
        <f ca="1">IF(AND(Energy!$F$11=$A$3,Main!$B$43=A193),'Aerodynamics-Cruise'!BK30,N193)</f>
        <v>21.904641065665658</v>
      </c>
      <c r="O193" s="103">
        <f t="shared" ca="1" si="9"/>
        <v>199.15969425601358</v>
      </c>
      <c r="P193" s="103">
        <f ca="1">IF(AND(Energy!$F$11=$A$3,Main!$B$43=A193),'Aerodynamics-Cruise'!H30,P193)</f>
        <v>8.0378003470170825</v>
      </c>
      <c r="Q193" s="103">
        <f ca="1">IF(AND(Energy!$F$11=$A$3,Main!$B$43=A193),'Aerodynamics-Cruise'!I30,Q193)</f>
        <v>6.7089574905557496</v>
      </c>
      <c r="R193" s="103">
        <f ca="1">IF(AND(Energy!$F$11=$A$3,Main!$B$43=$A193),Summary!R30,R193)</f>
        <v>5.2100835728219632</v>
      </c>
      <c r="S193" s="103">
        <f ca="1">IF(AND(Energy!$F$11=$A$3,Main!$B$43=A193),'Aerodynamics-Cruise'!W30,S193)</f>
        <v>1</v>
      </c>
      <c r="T193" s="103">
        <f ca="1">IF(AND(Energy!$F$11=$A$3,Main!$B$43=A193),'Aerodynamics-Cruise'!BL30,T193)</f>
        <v>30.334140420328257</v>
      </c>
      <c r="U193" s="103">
        <f ca="1">IF(AND(Energy!$F$11=$A$3,Main!$B$43=A193),'Propulsion-Cruise'!M30,U193)</f>
        <v>68.069374362325647</v>
      </c>
      <c r="V193" s="103">
        <f ca="1">IF(AND(Energy!$F$11=$A$3,Main!$B$43=A193),Endurance!AP30,V193)</f>
        <v>671.28190252443108</v>
      </c>
      <c r="W193" s="103">
        <f ca="1">IF(AND(Energy!$F$11=$A$3,Main!$B$43=$A193),Summary!W30,W193)</f>
        <v>2.3684210526315792</v>
      </c>
      <c r="X193" s="13">
        <f ca="1">IF(AND(Energy!$F$11=$A$3,Main!$B$43=A193),Energy!D30,X193)</f>
        <v>407.67432910572154</v>
      </c>
      <c r="Y193" s="102">
        <f ca="1">IF(AND(Energy!$F$11=$A$3,Main!$B$43=A193),'Aerodynamics-Cruise'!V30,Y193)</f>
        <v>203911.85859309838</v>
      </c>
      <c r="Z193" s="102">
        <f ca="1">IF(AND(Energy!$F$11=$A$3,Main!$B$43=$A193),Summary!Z30,Z193)</f>
        <v>150866.46342431908</v>
      </c>
      <c r="AA193" s="102">
        <f ca="1">IF(AND(Energy!$F$11=$A$3,Main!$B$43=$A193),Summary!AA30,AA193)</f>
        <v>150866.46342431908</v>
      </c>
      <c r="AB193" s="103">
        <f ca="1">IF(AND(Energy!$F$11=$A$3,Main!$B$43=$A193),Summary!AB30,AB193)</f>
        <v>5.2100835728219632</v>
      </c>
      <c r="AC193" s="103">
        <f ca="1">IF(AND(Energy!$F$11=$A$3,Main!$B$43=$A193),Summary!AC30,AC193)</f>
        <v>1.5049583045382116</v>
      </c>
      <c r="AD193" s="103">
        <f ca="1">IF(AND(Energy!$F$11=$A$3,Main!$B$43=$A193),Summary!AD30,AD193)</f>
        <v>0.46662687795115315</v>
      </c>
      <c r="AE193" s="103">
        <f ca="1">IF(AND(Energy!$F$11=$A$3,Main!$B$43=$A193),Summary!AE30,AE193)</f>
        <v>2.3684210526315792</v>
      </c>
      <c r="AF193" s="103">
        <f ca="1">IF(AND(Energy!$F$11=$A$3,Main!$B$43=$A193),Summary!AF30,AF193)</f>
        <v>14.802631578947368</v>
      </c>
      <c r="AG193" s="103">
        <f ca="1">IF(AND(Energy!$F$11=$A$3,Main!$B$43=$A193),Summary!AG30,AG193)</f>
        <v>13.154400016873453</v>
      </c>
      <c r="AH193" s="103">
        <f ca="1">IF(AND(Energy!$F$11=$A$3,Main!$B$43=$A193),Summary!AH30,AH193)</f>
        <v>47</v>
      </c>
      <c r="AI193" s="103">
        <f ca="1">IF(AND(Energy!$F$11=$A$3,Main!$B$43=$A193),Summary!AI30,AI193)</f>
        <v>2.8133283422213453</v>
      </c>
      <c r="AJ193" s="103">
        <f ca="1">IF(AND(Energy!$F$11=$A$3,Main!$B$43=$A193),Summary!AJ30,AJ193)</f>
        <v>0.22856785915018199</v>
      </c>
      <c r="AK193" s="103">
        <f ca="1">IF(AND(Energy!$F$11=$A$3,Main!$B$43=$A193),Summary!AK30,AK193)</f>
        <v>0.01</v>
      </c>
      <c r="AL193" s="103">
        <f ca="1">IF(AND(Energy!$F$11=$A$3,Main!$B$43=$A193),Summary!AL30,AL193)</f>
        <v>-0.54688373202652762</v>
      </c>
      <c r="AM193" s="103">
        <f ca="1">IF(AND(Energy!$F$11=$A$3,Main!$B$43=$A193),Summary!AJ210,AM193)</f>
        <v>0</v>
      </c>
    </row>
    <row r="194" spans="1:39">
      <c r="A194">
        <f t="shared" si="12"/>
        <v>10</v>
      </c>
      <c r="D194" s="1">
        <f ca="1">IF(AND(Energy!$F$11=$A$3,Main!$B$43=A194),Main!C31,D194)</f>
        <v>6.0789473684210531</v>
      </c>
      <c r="E194" s="103">
        <f ca="1">IF(AND(Energy!$F$11=$A$3,Main!$B$43=A194),Main!B31,E194)</f>
        <v>0.4</v>
      </c>
      <c r="F194" s="103">
        <f ca="1">IF(Main!$D$6=1,U194,IF(Main!$D$6=2,N194,IF(Main!$D$6=3,K194,IF(Main!$D$6=4,V194,J194))))</f>
        <v>668.47492718800333</v>
      </c>
      <c r="G194" s="103">
        <f ca="1">IF(AND(Energy!$F$11=$A$3,Main!$B$43=A194),Weight!H31,G194)</f>
        <v>15</v>
      </c>
      <c r="H194" s="103">
        <f ca="1">IF(AND(Energy!$F$11=$A$3,Main!$B$43=A194),Weight!U31,H194)</f>
        <v>30.286564848610425</v>
      </c>
      <c r="I194" s="103">
        <f ca="1">IF(AND(Energy!$F$11=$A$3,Main!$B$43=A194),Weight!V31,I194)</f>
        <v>68.459666321460944</v>
      </c>
      <c r="J194" s="103">
        <f ca="1">IF(AND(Energy!$F$11=$A$3,Main!$B$43=A194),Weight!I31,J194)</f>
        <v>33.235453197850518</v>
      </c>
      <c r="K194" s="103">
        <f ca="1">IF(AND(Energy!$F$11=$A$3,Main!$B$43=A194),Weight!W31,K194)</f>
        <v>83.459666235637059</v>
      </c>
      <c r="L194" s="103">
        <f ca="1">IF(AND(Energy!$F$11=$A$3,Main!$B$43=A194),'Aerodynamics-Cruise'!BI31,L194)</f>
        <v>83.459666407793705</v>
      </c>
      <c r="M194" s="103">
        <f ca="1">IF(AND(Energy!$F$11=$A$3,Main!$B$43=A194),'Aerodynamics-Cruise'!BJ31,M194)</f>
        <v>3.7740223391916419</v>
      </c>
      <c r="N194" s="103">
        <f ca="1">IF(AND(Energy!$F$11=$A$3,Main!$B$43=A194),'Aerodynamics-Cruise'!BK31,N194)</f>
        <v>22.114248116949391</v>
      </c>
      <c r="O194" s="103">
        <f t="shared" ca="1" si="9"/>
        <v>202.02750490403383</v>
      </c>
      <c r="P194" s="103">
        <f ca="1">IF(AND(Energy!$F$11=$A$3,Main!$B$43=A194),'Aerodynamics-Cruise'!H31,P194)</f>
        <v>7.97063368537522</v>
      </c>
      <c r="Q194" s="103">
        <f ca="1">IF(AND(Energy!$F$11=$A$3,Main!$B$43=A194),'Aerodynamics-Cruise'!I31,Q194)</f>
        <v>6.655202560545538</v>
      </c>
      <c r="R194" s="103">
        <f ca="1">IF(AND(Energy!$F$11=$A$3,Main!$B$43=$A194),Summary!R31,R194)</f>
        <v>5.1746066715967594</v>
      </c>
      <c r="S194" s="103">
        <f ca="1">IF(AND(Energy!$F$11=$A$3,Main!$B$43=A194),'Aerodynamics-Cruise'!W31,S194)</f>
        <v>1</v>
      </c>
      <c r="T194" s="103">
        <f ca="1">IF(AND(Energy!$F$11=$A$3,Main!$B$43=A194),'Aerodynamics-Cruise'!BL31,T194)</f>
        <v>30.081349586119487</v>
      </c>
      <c r="U194" s="103">
        <f ca="1">IF(AND(Energy!$F$11=$A$3,Main!$B$43=A194),'Propulsion-Cruise'!M31,U194)</f>
        <v>67.73637585485298</v>
      </c>
      <c r="V194" s="103">
        <f ca="1">IF(AND(Energy!$F$11=$A$3,Main!$B$43=A194),Endurance!AP31,V194)</f>
        <v>668.47492718800333</v>
      </c>
      <c r="W194" s="103">
        <f ca="1">IF(AND(Energy!$F$11=$A$3,Main!$B$43=$A194),Summary!W31,W194)</f>
        <v>2.4315789473684215</v>
      </c>
      <c r="X194" s="13">
        <f ca="1">IF(AND(Energy!$F$11=$A$3,Main!$B$43=A194),Energy!D31,X194)</f>
        <v>407.59771872945117</v>
      </c>
      <c r="Y194" s="102">
        <f ca="1">IF(AND(Energy!$F$11=$A$3,Main!$B$43=A194),'Aerodynamics-Cruise'!V31,Y194)</f>
        <v>202207.90001990882</v>
      </c>
      <c r="Z194" s="102">
        <f ca="1">IF(AND(Energy!$F$11=$A$3,Main!$B$43=$A194),Summary!Z31,Z194)</f>
        <v>149655.63443724878</v>
      </c>
      <c r="AA194" s="102">
        <f ca="1">IF(AND(Energy!$F$11=$A$3,Main!$B$43=$A194),Summary!AA31,AA194)</f>
        <v>149655.63443724878</v>
      </c>
      <c r="AB194" s="103">
        <f ca="1">IF(AND(Energy!$F$11=$A$3,Main!$B$43=$A194),Summary!AB31,AB194)</f>
        <v>5.1746066715967594</v>
      </c>
      <c r="AC194" s="103">
        <f ca="1">IF(AND(Energy!$F$11=$A$3,Main!$B$43=$A194),Summary!AC31,AC194)</f>
        <v>1.4810465235525163</v>
      </c>
      <c r="AD194" s="103">
        <f ca="1">IF(AND(Energy!$F$11=$A$3,Main!$B$43=$A194),Summary!AD31,AD194)</f>
        <v>0.46502468332237401</v>
      </c>
      <c r="AE194" s="103">
        <f ca="1">IF(AND(Energy!$F$11=$A$3,Main!$B$43=$A194),Summary!AE31,AE194)</f>
        <v>2.4315789473684215</v>
      </c>
      <c r="AF194" s="103">
        <f ca="1">IF(AND(Energy!$F$11=$A$3,Main!$B$43=$A194),Summary!AF31,AF194)</f>
        <v>15.197368421052632</v>
      </c>
      <c r="AG194" s="103">
        <f ca="1">IF(AND(Energy!$F$11=$A$3,Main!$B$43=$A194),Summary!AG31,AG194)</f>
        <v>13.122548485284353</v>
      </c>
      <c r="AH194" s="103">
        <f ca="1">IF(AND(Energy!$F$11=$A$3,Main!$B$43=$A194),Summary!AH31,AH194)</f>
        <v>47</v>
      </c>
      <c r="AI194" s="103">
        <f ca="1">IF(AND(Energy!$F$11=$A$3,Main!$B$43=$A194),Summary!AI31,AI194)</f>
        <v>2.8113778349303522</v>
      </c>
      <c r="AJ194" s="103">
        <f ca="1">IF(AND(Energy!$F$11=$A$3,Main!$B$43=$A194),Summary!AJ31,AJ194)</f>
        <v>0.22898695398824581</v>
      </c>
      <c r="AK194" s="103">
        <f ca="1">IF(AND(Energy!$F$11=$A$3,Main!$B$43=$A194),Summary!AK31,AK194)</f>
        <v>0.01</v>
      </c>
      <c r="AL194" s="103">
        <f ca="1">IF(AND(Energy!$F$11=$A$3,Main!$B$43=$A194),Summary!AL31,AL194)</f>
        <v>-0.54588282068524041</v>
      </c>
      <c r="AM194" s="103">
        <f ca="1">IF(AND(Energy!$F$11=$A$3,Main!$B$43=$A194),Summary!AJ211,AM194)</f>
        <v>0</v>
      </c>
    </row>
    <row r="195" spans="1:39">
      <c r="A195">
        <f t="shared" si="12"/>
        <v>10</v>
      </c>
      <c r="D195" s="1">
        <f ca="1">IF(AND(Energy!$F$11=$A$3,Main!$B$43=A195),Main!C32,D195)</f>
        <v>6.2368421052631584</v>
      </c>
      <c r="E195" s="103">
        <f ca="1">IF(AND(Energy!$F$11=$A$3,Main!$B$43=A195),Main!B32,E195)</f>
        <v>0.4</v>
      </c>
      <c r="F195" s="103">
        <f ca="1">IF(Main!$D$6=1,U195,IF(Main!$D$6=2,N195,IF(Main!$D$6=3,K195,IF(Main!$D$6=4,V195,J195))))</f>
        <v>666.5268051755744</v>
      </c>
      <c r="G195" s="103">
        <f ca="1">IF(AND(Energy!$F$11=$A$3,Main!$B$43=A195),Weight!H32,G195)</f>
        <v>15</v>
      </c>
      <c r="H195" s="103">
        <f ca="1">IF(AND(Energy!$F$11=$A$3,Main!$B$43=A195),Weight!U32,H195)</f>
        <v>31.243802804862462</v>
      </c>
      <c r="I195" s="103">
        <f ca="1">IF(AND(Energy!$F$11=$A$3,Main!$B$43=A195),Weight!V32,I195)</f>
        <v>69.317633861072011</v>
      </c>
      <c r="J195" s="103">
        <f ca="1">IF(AND(Energy!$F$11=$A$3,Main!$B$43=A195),Weight!I32,J195)</f>
        <v>33.136182781209548</v>
      </c>
      <c r="K195" s="103">
        <f ca="1">IF(AND(Energy!$F$11=$A$3,Main!$B$43=A195),Weight!W32,K195)</f>
        <v>84.317633784460554</v>
      </c>
      <c r="L195" s="103">
        <f ca="1">IF(AND(Energy!$F$11=$A$3,Main!$B$43=A195),'Aerodynamics-Cruise'!BI32,L195)</f>
        <v>84.317633938135089</v>
      </c>
      <c r="M195" s="103">
        <f ca="1">IF(AND(Energy!$F$11=$A$3,Main!$B$43=A195),'Aerodynamics-Cruise'!BJ32,M195)</f>
        <v>3.7778673943154231</v>
      </c>
      <c r="N195" s="103">
        <f ca="1">IF(AND(Energy!$F$11=$A$3,Main!$B$43=A195),'Aerodynamics-Cruise'!BK32,N195)</f>
        <v>22.318844241332631</v>
      </c>
      <c r="O195" s="103">
        <f t="shared" ca="1" si="9"/>
        <v>204.94197018893317</v>
      </c>
      <c r="P195" s="103">
        <f ca="1">IF(AND(Energy!$F$11=$A$3,Main!$B$43=A195),'Aerodynamics-Cruise'!H32,P195)</f>
        <v>7.9093920511266624</v>
      </c>
      <c r="Q195" s="103">
        <f ca="1">IF(AND(Energy!$F$11=$A$3,Main!$B$43=A195),'Aerodynamics-Cruise'!I32,Q195)</f>
        <v>6.6061734811464774</v>
      </c>
      <c r="R195" s="103">
        <f ca="1">IF(AND(Energy!$F$11=$A$3,Main!$B$43=$A195),Summary!R32,R195)</f>
        <v>5.1499463817713673</v>
      </c>
      <c r="S195" s="103">
        <f ca="1">IF(AND(Energy!$F$11=$A$3,Main!$B$43=A195),'Aerodynamics-Cruise'!W32,S195)</f>
        <v>1</v>
      </c>
      <c r="T195" s="103">
        <f ca="1">IF(AND(Energy!$F$11=$A$3,Main!$B$43=A195),'Aerodynamics-Cruise'!BL32,T195)</f>
        <v>29.880634338809003</v>
      </c>
      <c r="U195" s="103">
        <f ca="1">IF(AND(Energy!$F$11=$A$3,Main!$B$43=A195),'Propulsion-Cruise'!M32,U195)</f>
        <v>67.505296890119382</v>
      </c>
      <c r="V195" s="103">
        <f ca="1">IF(AND(Energy!$F$11=$A$3,Main!$B$43=A195),Endurance!AP32,V195)</f>
        <v>666.5268051755744</v>
      </c>
      <c r="W195" s="103">
        <f ca="1">IF(AND(Energy!$F$11=$A$3,Main!$B$43=$A195),Summary!W32,W195)</f>
        <v>2.4947368421052634</v>
      </c>
      <c r="X195" s="13">
        <f ca="1">IF(AND(Energy!$F$11=$A$3,Main!$B$43=A195),Energy!D32,X195)</f>
        <v>407.54264766690756</v>
      </c>
      <c r="Y195" s="102">
        <f ca="1">IF(AND(Energy!$F$11=$A$3,Main!$B$43=A195),'Aerodynamics-Cruise'!V32,Y195)</f>
        <v>200654.25413126257</v>
      </c>
      <c r="Z195" s="102">
        <f ca="1">IF(AND(Energy!$F$11=$A$3,Main!$B$43=$A195),Summary!Z32,Z195)</f>
        <v>148551.26928577031</v>
      </c>
      <c r="AA195" s="102">
        <f ca="1">IF(AND(Energy!$F$11=$A$3,Main!$B$43=$A195),Summary!AA32,AA195)</f>
        <v>148551.26928577031</v>
      </c>
      <c r="AB195" s="103">
        <f ca="1">IF(AND(Energy!$F$11=$A$3,Main!$B$43=$A195),Summary!AB32,AB195)</f>
        <v>5.1499463817713673</v>
      </c>
      <c r="AC195" s="103">
        <f ca="1">IF(AND(Energy!$F$11=$A$3,Main!$B$43=$A195),Summary!AC32,AC195)</f>
        <v>1.45690847778045</v>
      </c>
      <c r="AD195" s="103">
        <f ca="1">IF(AND(Energy!$F$11=$A$3,Main!$B$43=$A195),Summary!AD32,AD195)</f>
        <v>0.46372456966690007</v>
      </c>
      <c r="AE195" s="103">
        <f ca="1">IF(AND(Energy!$F$11=$A$3,Main!$B$43=$A195),Summary!AE32,AE195)</f>
        <v>2.4947368421052634</v>
      </c>
      <c r="AF195" s="103">
        <f ca="1">IF(AND(Energy!$F$11=$A$3,Main!$B$43=$A195),Summary!AF32,AF195)</f>
        <v>15.592105263157897</v>
      </c>
      <c r="AG195" s="103">
        <f ca="1">IF(AND(Energy!$F$11=$A$3,Main!$B$43=$A195),Summary!AG32,AG195)</f>
        <v>13.102346805128482</v>
      </c>
      <c r="AH195" s="103">
        <f ca="1">IF(AND(Energy!$F$11=$A$3,Main!$B$43=$A195),Summary!AH32,AH195)</f>
        <v>47</v>
      </c>
      <c r="AI195" s="103">
        <f ca="1">IF(AND(Energy!$F$11=$A$3,Main!$B$43=$A195),Summary!AI32,AI195)</f>
        <v>2.8095860002391304</v>
      </c>
      <c r="AJ195" s="103">
        <f ca="1">IF(AND(Energy!$F$11=$A$3,Main!$B$43=$A195),Summary!AJ32,AJ195)</f>
        <v>0.2293729088339411</v>
      </c>
      <c r="AK195" s="103">
        <f ca="1">IF(AND(Energy!$F$11=$A$3,Main!$B$43=$A195),Summary!AK32,AK195)</f>
        <v>0.01</v>
      </c>
      <c r="AL195" s="103">
        <f ca="1">IF(AND(Energy!$F$11=$A$3,Main!$B$43=$A195),Summary!AL32,AL195)</f>
        <v>-0.54496427017758808</v>
      </c>
      <c r="AM195" s="103">
        <f ca="1">IF(AND(Energy!$F$11=$A$3,Main!$B$43=$A195),Summary!AJ212,AM195)</f>
        <v>0</v>
      </c>
    </row>
    <row r="196" spans="1:39">
      <c r="A196">
        <f t="shared" si="12"/>
        <v>10</v>
      </c>
      <c r="D196" s="1">
        <f ca="1">IF(AND(Energy!$F$11=$A$3,Main!$B$43=A196),Main!C33,D196)</f>
        <v>6.3947368421052637</v>
      </c>
      <c r="E196" s="103">
        <f ca="1">IF(AND(Energy!$F$11=$A$3,Main!$B$43=A196),Main!B33,E196)</f>
        <v>0.4</v>
      </c>
      <c r="F196" s="103">
        <f ca="1">IF(Main!$D$6=1,U196,IF(Main!$D$6=2,N196,IF(Main!$D$6=3,K196,IF(Main!$D$6=4,V196,J196))))</f>
        <v>665.35538969756612</v>
      </c>
      <c r="G196" s="103">
        <f ca="1">IF(AND(Energy!$F$11=$A$3,Main!$B$43=A196),Weight!H33,G196)</f>
        <v>15</v>
      </c>
      <c r="H196" s="103">
        <f ca="1">IF(AND(Energy!$F$11=$A$3,Main!$B$43=A196),Weight!U33,H196)</f>
        <v>32.227190446257197</v>
      </c>
      <c r="I196" s="103">
        <f ca="1">IF(AND(Energy!$F$11=$A$3,Main!$B$43=A196),Weight!V33,I196)</f>
        <v>70.236840880979457</v>
      </c>
      <c r="J196" s="103">
        <f ca="1">IF(AND(Energy!$F$11=$A$3,Main!$B$43=A196),Weight!I33,J196)</f>
        <v>33.07200215972226</v>
      </c>
      <c r="K196" s="103">
        <f ca="1">IF(AND(Energy!$F$11=$A$3,Main!$B$43=A196),Weight!W33,K196)</f>
        <v>85.236840831357341</v>
      </c>
      <c r="L196" s="103">
        <f ca="1">IF(AND(Energy!$F$11=$A$3,Main!$B$43=A196),'Aerodynamics-Cruise'!BI33,L196)</f>
        <v>85.236840930870926</v>
      </c>
      <c r="M196" s="103">
        <f ca="1">IF(AND(Energy!$F$11=$A$3,Main!$B$43=A196),'Aerodynamics-Cruise'!BJ33,M196)</f>
        <v>3.7851351144469625</v>
      </c>
      <c r="N196" s="103">
        <f ca="1">IF(AND(Energy!$F$11=$A$3,Main!$B$43=A196),'Aerodynamics-Cruise'!BK33,N196)</f>
        <v>22.518837070185985</v>
      </c>
      <c r="O196" s="103">
        <f t="shared" ca="1" si="9"/>
        <v>207.90246155893192</v>
      </c>
      <c r="P196" s="103">
        <f ca="1">IF(AND(Energy!$F$11=$A$3,Main!$B$43=A196),'Aerodynamics-Cruise'!H33,P196)</f>
        <v>7.8535558750390457</v>
      </c>
      <c r="Q196" s="103">
        <f ca="1">IF(AND(Energy!$F$11=$A$3,Main!$B$43=A196),'Aerodynamics-Cruise'!I33,Q196)</f>
        <v>6.561458562570806</v>
      </c>
      <c r="R196" s="103">
        <f ca="1">IF(AND(Energy!$F$11=$A$3,Main!$B$43=$A196),Summary!R33,R196)</f>
        <v>5.1350900289170127</v>
      </c>
      <c r="S196" s="103">
        <f ca="1">IF(AND(Energy!$F$11=$A$3,Main!$B$43=A196),'Aerodynamics-Cruise'!W33,S196)</f>
        <v>1</v>
      </c>
      <c r="T196" s="103">
        <f ca="1">IF(AND(Energy!$F$11=$A$3,Main!$B$43=A196),'Aerodynamics-Cruise'!BL33,T196)</f>
        <v>29.726770115881532</v>
      </c>
      <c r="U196" s="103">
        <f ca="1">IF(AND(Energy!$F$11=$A$3,Main!$B$43=A196),'Propulsion-Cruise'!M33,U196)</f>
        <v>67.366389959345057</v>
      </c>
      <c r="V196" s="103">
        <f ca="1">IF(AND(Energy!$F$11=$A$3,Main!$B$43=A196),Endurance!AP33,V196)</f>
        <v>665.35538969756612</v>
      </c>
      <c r="W196" s="103">
        <f ca="1">IF(AND(Energy!$F$11=$A$3,Main!$B$43=$A196),Summary!W33,W196)</f>
        <v>2.5578947368421057</v>
      </c>
      <c r="X196" s="13">
        <f ca="1">IF(AND(Energy!$F$11=$A$3,Main!$B$43=A196),Energy!D33,X196)</f>
        <v>407.50704295990198</v>
      </c>
      <c r="Y196" s="102">
        <f ca="1">IF(AND(Energy!$F$11=$A$3,Main!$B$43=A196),'Aerodynamics-Cruise'!V33,Y196)</f>
        <v>199237.7399170245</v>
      </c>
      <c r="Z196" s="102">
        <f ca="1">IF(AND(Energy!$F$11=$A$3,Main!$B$43=$A196),Summary!Z33,Z196)</f>
        <v>147544.09103285015</v>
      </c>
      <c r="AA196" s="102">
        <f ca="1">IF(AND(Energy!$F$11=$A$3,Main!$B$43=$A196),Summary!AA33,AA196)</f>
        <v>147544.09103285015</v>
      </c>
      <c r="AB196" s="103">
        <f ca="1">IF(AND(Energy!$F$11=$A$3,Main!$B$43=$A196),Summary!AB33,AB196)</f>
        <v>5.1350900289170127</v>
      </c>
      <c r="AC196" s="103">
        <f ca="1">IF(AND(Energy!$F$11=$A$3,Main!$B$43=$A196),Summary!AC33,AC196)</f>
        <v>1.4326446092992355</v>
      </c>
      <c r="AD196" s="103">
        <f ca="1">IF(AND(Energy!$F$11=$A$3,Main!$B$43=$A196),Summary!AD33,AD196)</f>
        <v>0.46269995045129519</v>
      </c>
      <c r="AE196" s="103">
        <f ca="1">IF(AND(Energy!$F$11=$A$3,Main!$B$43=$A196),Summary!AE33,AE196)</f>
        <v>2.5578947368421057</v>
      </c>
      <c r="AF196" s="103">
        <f ca="1">IF(AND(Energy!$F$11=$A$3,Main!$B$43=$A196),Summary!AF33,AF196)</f>
        <v>15.986842105263158</v>
      </c>
      <c r="AG196" s="103">
        <f ca="1">IF(AND(Energy!$F$11=$A$3,Main!$B$43=$A196),Summary!AG33,AG196)</f>
        <v>13.092719857363321</v>
      </c>
      <c r="AH196" s="103">
        <f ca="1">IF(AND(Energy!$F$11=$A$3,Main!$B$43=$A196),Summary!AH33,AH196)</f>
        <v>47</v>
      </c>
      <c r="AI196" s="103">
        <f ca="1">IF(AND(Energy!$F$11=$A$3,Main!$B$43=$A196),Summary!AI33,AI196)</f>
        <v>2.8079409274884739</v>
      </c>
      <c r="AJ196" s="103">
        <f ca="1">IF(AND(Energy!$F$11=$A$3,Main!$B$43=$A196),Summary!AJ33,AJ196)</f>
        <v>0.2297294617347066</v>
      </c>
      <c r="AK196" s="103">
        <f ca="1">IF(AND(Energy!$F$11=$A$3,Main!$B$43=$A196),Summary!AK33,AK196)</f>
        <v>0.01</v>
      </c>
      <c r="AL196" s="103">
        <f ca="1">IF(AND(Energy!$F$11=$A$3,Main!$B$43=$A196),Summary!AL33,AL196)</f>
        <v>-0.54411839284561725</v>
      </c>
      <c r="AM196" s="103">
        <f ca="1">IF(AND(Energy!$F$11=$A$3,Main!$B$43=$A196),Summary!AJ213,AM196)</f>
        <v>0</v>
      </c>
    </row>
    <row r="197" spans="1:39">
      <c r="A197">
        <f t="shared" si="12"/>
        <v>10</v>
      </c>
      <c r="D197" s="1">
        <f ca="1">IF(AND(Energy!$F$11=$A$3,Main!$B$43=A197),Main!C34,D197)</f>
        <v>6.552631578947369</v>
      </c>
      <c r="E197" s="103">
        <f ca="1">IF(AND(Energy!$F$11=$A$3,Main!$B$43=A197),Main!B34,E197)</f>
        <v>0.4</v>
      </c>
      <c r="F197" s="103">
        <f ca="1">IF(Main!$D$6=1,U197,IF(Main!$D$6=2,N197,IF(Main!$D$6=3,K197,IF(Main!$D$6=4,V197,J197))))</f>
        <v>664.89128429195534</v>
      </c>
      <c r="G197" s="103">
        <f ca="1">IF(AND(Energy!$F$11=$A$3,Main!$B$43=A197),Weight!H34,G197)</f>
        <v>15</v>
      </c>
      <c r="H197" s="103">
        <f ca="1">IF(AND(Energy!$F$11=$A$3,Main!$B$43=A197),Weight!U34,H197)</f>
        <v>33.236758970115325</v>
      </c>
      <c r="I197" s="103">
        <f ca="1">IF(AND(Energy!$F$11=$A$3,Main!$B$43=A197),Weight!V34,I197)</f>
        <v>71.214161497513473</v>
      </c>
      <c r="J197" s="103">
        <f ca="1">IF(AND(Energy!$F$11=$A$3,Main!$B$43=A197),Weight!I34,J197)</f>
        <v>33.039754252398147</v>
      </c>
      <c r="K197" s="103">
        <f ca="1">IF(AND(Energy!$F$11=$A$3,Main!$B$43=A197),Weight!W34,K197)</f>
        <v>86.21416147365936</v>
      </c>
      <c r="L197" s="103">
        <f ca="1">IF(AND(Energy!$F$11=$A$3,Main!$B$43=A197),'Aerodynamics-Cruise'!BI34,L197)</f>
        <v>86.214161521468455</v>
      </c>
      <c r="M197" s="103">
        <f ca="1">IF(AND(Energy!$F$11=$A$3,Main!$B$43=A197),'Aerodynamics-Cruise'!BJ34,M197)</f>
        <v>3.7955384645088457</v>
      </c>
      <c r="N197" s="103">
        <f ca="1">IF(AND(Energy!$F$11=$A$3,Main!$B$43=A197),'Aerodynamics-Cruise'!BK34,N197)</f>
        <v>22.714606195573051</v>
      </c>
      <c r="O197" s="103">
        <f t="shared" ref="O197:O242" ca="1" si="13">L197^(3/2)/M197</f>
        <v>210.90871041392774</v>
      </c>
      <c r="P197" s="103">
        <f ca="1">IF(AND(Energy!$F$11=$A$3,Main!$B$43=A197),'Aerodynamics-Cruise'!H34,P197)</f>
        <v>7.8026715580769022</v>
      </c>
      <c r="Q197" s="103">
        <f ca="1">IF(AND(Energy!$F$11=$A$3,Main!$B$43=A197),'Aerodynamics-Cruise'!I34,Q197)</f>
        <v>6.5206981426814759</v>
      </c>
      <c r="R197" s="103">
        <f ca="1">IF(AND(Energy!$F$11=$A$3,Main!$B$43=$A197),Summary!R34,R197)</f>
        <v>5.1291967953108477</v>
      </c>
      <c r="S197" s="103">
        <f ca="1">IF(AND(Energy!$F$11=$A$3,Main!$B$43=A197),'Aerodynamics-Cruise'!W34,S197)</f>
        <v>1</v>
      </c>
      <c r="T197" s="103">
        <f ca="1">IF(AND(Energy!$F$11=$A$3,Main!$B$43=A197),'Aerodynamics-Cruise'!BL34,T197)</f>
        <v>29.615340024610049</v>
      </c>
      <c r="U197" s="103">
        <f ca="1">IF(AND(Energy!$F$11=$A$3,Main!$B$43=A197),'Propulsion-Cruise'!M34,U197)</f>
        <v>67.311420386984764</v>
      </c>
      <c r="V197" s="103">
        <f ca="1">IF(AND(Energy!$F$11=$A$3,Main!$B$43=A197),Endurance!AP34,V197)</f>
        <v>664.89128429195534</v>
      </c>
      <c r="W197" s="103">
        <f ca="1">IF(AND(Energy!$F$11=$A$3,Main!$B$43=$A197),Summary!W34,W197)</f>
        <v>2.621052631578948</v>
      </c>
      <c r="X197" s="13">
        <f ca="1">IF(AND(Energy!$F$11=$A$3,Main!$B$43=A197),Energy!D34,X197)</f>
        <v>407.48915318379755</v>
      </c>
      <c r="Y197" s="102">
        <f ca="1">IF(AND(Energy!$F$11=$A$3,Main!$B$43=A197),'Aerodynamics-Cruise'!V34,Y197)</f>
        <v>197946.84997238417</v>
      </c>
      <c r="Z197" s="102">
        <f ca="1">IF(AND(Energy!$F$11=$A$3,Main!$B$43=$A197),Summary!Z34,Z197)</f>
        <v>146625.99533869457</v>
      </c>
      <c r="AA197" s="102">
        <f ca="1">IF(AND(Energy!$F$11=$A$3,Main!$B$43=$A197),Summary!AA34,AA197)</f>
        <v>146625.99533869457</v>
      </c>
      <c r="AB197" s="103">
        <f ca="1">IF(AND(Energy!$F$11=$A$3,Main!$B$43=$A197),Summary!AB34,AB197)</f>
        <v>5.1291967953108477</v>
      </c>
      <c r="AC197" s="103">
        <f ca="1">IF(AND(Energy!$F$11=$A$3,Main!$B$43=$A197),Summary!AC34,AC197)</f>
        <v>1.4083389085437445</v>
      </c>
      <c r="AD197" s="103">
        <f ca="1">IF(AND(Energy!$F$11=$A$3,Main!$B$43=$A197),Summary!AD34,AD197)</f>
        <v>0.46192773148260474</v>
      </c>
      <c r="AE197" s="103">
        <f ca="1">IF(AND(Energy!$F$11=$A$3,Main!$B$43=$A197),Summary!AE34,AE197)</f>
        <v>2.621052631578948</v>
      </c>
      <c r="AF197" s="103">
        <f ca="1">IF(AND(Energy!$F$11=$A$3,Main!$B$43=$A197),Summary!AF34,AF197)</f>
        <v>16.381578947368421</v>
      </c>
      <c r="AG197" s="103">
        <f ca="1">IF(AND(Energy!$F$11=$A$3,Main!$B$43=$A197),Summary!AG34,AG197)</f>
        <v>13.092747006340037</v>
      </c>
      <c r="AH197" s="103">
        <f ca="1">IF(AND(Energy!$F$11=$A$3,Main!$B$43=$A197),Summary!AH34,AH197)</f>
        <v>47</v>
      </c>
      <c r="AI197" s="103">
        <f ca="1">IF(AND(Energy!$F$11=$A$3,Main!$B$43=$A197),Summary!AI34,AI197)</f>
        <v>2.8064320528721298</v>
      </c>
      <c r="AJ197" s="103">
        <f ca="1">IF(AND(Energy!$F$11=$A$3,Main!$B$43=$A197),Summary!AJ34,AJ197)</f>
        <v>0.23005633799738462</v>
      </c>
      <c r="AK197" s="103">
        <f ca="1">IF(AND(Energy!$F$11=$A$3,Main!$B$43=$A197),Summary!AK34,AK197)</f>
        <v>0.01</v>
      </c>
      <c r="AL197" s="103">
        <f ca="1">IF(AND(Energy!$F$11=$A$3,Main!$B$43=$A197),Summary!AL34,AL197)</f>
        <v>-0.54334521929828772</v>
      </c>
      <c r="AM197" s="103">
        <f ca="1">IF(AND(Energy!$F$11=$A$3,Main!$B$43=$A197),Summary!AJ214,AM197)</f>
        <v>0</v>
      </c>
    </row>
    <row r="198" spans="1:39">
      <c r="A198">
        <f t="shared" si="12"/>
        <v>10</v>
      </c>
      <c r="D198" s="1">
        <f ca="1">IF(AND(Energy!$F$11=$A$3,Main!$B$43=A198),Main!C35,D198)</f>
        <v>6.7105263157894743</v>
      </c>
      <c r="E198" s="103">
        <f ca="1">IF(AND(Energy!$F$11=$A$3,Main!$B$43=A198),Main!B35,E198)</f>
        <v>0.4</v>
      </c>
      <c r="F198" s="103">
        <f ca="1">IF(Main!$D$6=1,U198,IF(Main!$D$6=2,N198,IF(Main!$D$6=3,K198,IF(Main!$D$6=4,V198,J198))))</f>
        <v>665.07542491897118</v>
      </c>
      <c r="G198" s="103">
        <f ca="1">IF(AND(Energy!$F$11=$A$3,Main!$B$43=A198),Weight!H35,G198)</f>
        <v>15</v>
      </c>
      <c r="H198" s="103">
        <f ca="1">IF(AND(Energy!$F$11=$A$3,Main!$B$43=A198),Weight!U35,H198)</f>
        <v>34.272587935095451</v>
      </c>
      <c r="I198" s="103">
        <f ca="1">IF(AND(Energy!$F$11=$A$3,Main!$B$43=A198),Weight!V35,I198)</f>
        <v>72.246987662250945</v>
      </c>
      <c r="J198" s="103">
        <f ca="1">IF(AND(Energy!$F$11=$A$3,Main!$B$43=A198),Weight!I35,J198)</f>
        <v>33.036751452155492</v>
      </c>
      <c r="K198" s="103">
        <f ca="1">IF(AND(Energy!$F$11=$A$3,Main!$B$43=A198),Weight!W35,K198)</f>
        <v>87.246987665163502</v>
      </c>
      <c r="L198" s="103">
        <f ca="1">IF(AND(Energy!$F$11=$A$3,Main!$B$43=A198),'Aerodynamics-Cruise'!BI35,L198)</f>
        <v>87.24698765926739</v>
      </c>
      <c r="M198" s="103">
        <f ca="1">IF(AND(Energy!$F$11=$A$3,Main!$B$43=A198),'Aerodynamics-Cruise'!BJ35,M198)</f>
        <v>3.8088300076986266</v>
      </c>
      <c r="N198" s="103">
        <f ca="1">IF(AND(Energy!$F$11=$A$3,Main!$B$43=A198),'Aerodynamics-Cruise'!BK35,N198)</f>
        <v>22.906506061682656</v>
      </c>
      <c r="O198" s="103">
        <f t="shared" ca="1" si="13"/>
        <v>213.96073037274132</v>
      </c>
      <c r="P198" s="103">
        <f ca="1">IF(AND(Energy!$F$11=$A$3,Main!$B$43=A198),'Aerodynamics-Cruise'!H35,P198)</f>
        <v>7.7563404998403254</v>
      </c>
      <c r="Q198" s="103">
        <f ca="1">IF(AND(Energy!$F$11=$A$3,Main!$B$43=A198),'Aerodynamics-Cruise'!I35,Q198)</f>
        <v>6.4835759533636699</v>
      </c>
      <c r="R198" s="103">
        <f ca="1">IF(AND(Energy!$F$11=$A$3,Main!$B$43=$A198),Summary!R35,R198)</f>
        <v>5.1315650288210053</v>
      </c>
      <c r="S198" s="103">
        <f ca="1">IF(AND(Energy!$F$11=$A$3,Main!$B$43=A198),'Aerodynamics-Cruise'!W35,S198)</f>
        <v>1</v>
      </c>
      <c r="T198" s="103">
        <f ca="1">IF(AND(Energy!$F$11=$A$3,Main!$B$43=A198),'Aerodynamics-Cruise'!BL35,T198)</f>
        <v>29.542582445719994</v>
      </c>
      <c r="U198" s="103">
        <f ca="1">IF(AND(Energy!$F$11=$A$3,Main!$B$43=A198),'Propulsion-Cruise'!M35,U198)</f>
        <v>67.333379559506781</v>
      </c>
      <c r="V198" s="103">
        <f ca="1">IF(AND(Energy!$F$11=$A$3,Main!$B$43=A198),Endurance!AP35,V198)</f>
        <v>665.07542491897118</v>
      </c>
      <c r="W198" s="103">
        <f ca="1">IF(AND(Energy!$F$11=$A$3,Main!$B$43=$A198),Summary!W35,W198)</f>
        <v>2.6842105263157898</v>
      </c>
      <c r="X198" s="13">
        <f ca="1">IF(AND(Energy!$F$11=$A$3,Main!$B$43=A198),Energy!D35,X198)</f>
        <v>407.48748736779567</v>
      </c>
      <c r="Y198" s="102">
        <f ca="1">IF(AND(Energy!$F$11=$A$3,Main!$B$43=A198),'Aerodynamics-Cruise'!V35,Y198)</f>
        <v>196771.47215908585</v>
      </c>
      <c r="Z198" s="102">
        <f ca="1">IF(AND(Energy!$F$11=$A$3,Main!$B$43=$A198),Summary!Z35,Z198)</f>
        <v>145789.85585939113</v>
      </c>
      <c r="AA198" s="102">
        <f ca="1">IF(AND(Energy!$F$11=$A$3,Main!$B$43=$A198),Summary!AA35,AA198)</f>
        <v>145789.85585939113</v>
      </c>
      <c r="AB198" s="103">
        <f ca="1">IF(AND(Energy!$F$11=$A$3,Main!$B$43=$A198),Summary!AB35,AB198)</f>
        <v>5.1315650288210053</v>
      </c>
      <c r="AC198" s="103">
        <f ca="1">IF(AND(Energy!$F$11=$A$3,Main!$B$43=$A198),Summary!AC35,AC198)</f>
        <v>1.384060210939184</v>
      </c>
      <c r="AD198" s="103">
        <f ca="1">IF(AND(Energy!$F$11=$A$3,Main!$B$43=$A198),Summary!AD35,AD198)</f>
        <v>0.46138770645243782</v>
      </c>
      <c r="AE198" s="103">
        <f ca="1">IF(AND(Energy!$F$11=$A$3,Main!$B$43=$A198),Summary!AE35,AE198)</f>
        <v>2.6842105263157898</v>
      </c>
      <c r="AF198" s="103">
        <f ca="1">IF(AND(Energy!$F$11=$A$3,Main!$B$43=$A198),Summary!AF35,AF198)</f>
        <v>16.776315789473685</v>
      </c>
      <c r="AG198" s="103">
        <f ca="1">IF(AND(Energy!$F$11=$A$3,Main!$B$43=$A198),Summary!AG35,AG198)</f>
        <v>13.101633790996708</v>
      </c>
      <c r="AH198" s="103">
        <f ca="1">IF(AND(Energy!$F$11=$A$3,Main!$B$43=$A198),Summary!AH35,AH198)</f>
        <v>47</v>
      </c>
      <c r="AI198" s="103">
        <f ca="1">IF(AND(Energy!$F$11=$A$3,Main!$B$43=$A198),Summary!AI35,AI198)</f>
        <v>2.8050499415795702</v>
      </c>
      <c r="AJ198" s="103">
        <f ca="1">IF(AND(Energy!$F$11=$A$3,Main!$B$43=$A198),Summary!AJ35,AJ198)</f>
        <v>0.23035582215832304</v>
      </c>
      <c r="AK198" s="103">
        <f ca="1">IF(AND(Energy!$F$11=$A$3,Main!$B$43=$A198),Summary!AK35,AK198)</f>
        <v>0.01</v>
      </c>
      <c r="AL198" s="103">
        <f ca="1">IF(AND(Energy!$F$11=$A$3,Main!$B$43=$A198),Summary!AL35,AL198)</f>
        <v>-0.54263875506593695</v>
      </c>
      <c r="AM198" s="103">
        <f ca="1">IF(AND(Energy!$F$11=$A$3,Main!$B$43=$A198),Summary!AJ215,AM198)</f>
        <v>0</v>
      </c>
    </row>
    <row r="199" spans="1:39">
      <c r="A199">
        <f t="shared" si="12"/>
        <v>10</v>
      </c>
      <c r="D199" s="1">
        <f ca="1">IF(AND(Energy!$F$11=$A$3,Main!$B$43=A199),Main!C36,D199)</f>
        <v>6.8684210526315796</v>
      </c>
      <c r="E199" s="103">
        <f ca="1">IF(AND(Energy!$F$11=$A$3,Main!$B$43=A199),Main!B36,E199)</f>
        <v>0.4</v>
      </c>
      <c r="F199" s="103">
        <f ca="1">IF(Main!$D$6=1,U199,IF(Main!$D$6=2,N199,IF(Main!$D$6=3,K199,IF(Main!$D$6=4,V199,J199))))</f>
        <v>665.85731724861932</v>
      </c>
      <c r="G199" s="103">
        <f ca="1">IF(AND(Energy!$F$11=$A$3,Main!$B$43=A199),Weight!H36,G199)</f>
        <v>15</v>
      </c>
      <c r="H199" s="103">
        <f ca="1">IF(AND(Energy!$F$11=$A$3,Main!$B$43=A199),Weight!U36,H199)</f>
        <v>35.3347980340276</v>
      </c>
      <c r="I199" s="103">
        <f ca="1">IF(AND(Energy!$F$11=$A$3,Main!$B$43=A199),Weight!V36,I199)</f>
        <v>73.333141933556035</v>
      </c>
      <c r="J199" s="103">
        <f ca="1">IF(AND(Energy!$F$11=$A$3,Main!$B$43=A199),Weight!I36,J199)</f>
        <v>33.060695624528435</v>
      </c>
      <c r="K199" s="103">
        <f ca="1">IF(AND(Energy!$F$11=$A$3,Main!$B$43=A199),Weight!W36,K199)</f>
        <v>88.333141964831896</v>
      </c>
      <c r="L199" s="103">
        <f ca="1">IF(AND(Energy!$F$11=$A$3,Main!$B$43=A199),'Aerodynamics-Cruise'!BI36,L199)</f>
        <v>88.333141902028885</v>
      </c>
      <c r="M199" s="103">
        <f ca="1">IF(AND(Energy!$F$11=$A$3,Main!$B$43=A199),'Aerodynamics-Cruise'!BJ36,M199)</f>
        <v>3.8247955122767188</v>
      </c>
      <c r="N199" s="103">
        <f ca="1">IF(AND(Energy!$F$11=$A$3,Main!$B$43=A199),'Aerodynamics-Cruise'!BK36,N199)</f>
        <v>23.09486654083851</v>
      </c>
      <c r="O199" s="103">
        <f t="shared" ca="1" si="13"/>
        <v>217.05874913648387</v>
      </c>
      <c r="P199" s="103">
        <f ca="1">IF(AND(Energy!$F$11=$A$3,Main!$B$43=A199),'Aerodynamics-Cruise'!H36,P199)</f>
        <v>7.7142106701042286</v>
      </c>
      <c r="Q199" s="103">
        <f ca="1">IF(AND(Energy!$F$11=$A$3,Main!$B$43=A199),'Aerodynamics-Cruise'!I36,Q199)</f>
        <v>6.4498124907800003</v>
      </c>
      <c r="R199" s="103">
        <f ca="1">IF(AND(Energy!$F$11=$A$3,Main!$B$43=$A199),Summary!R36,R199)</f>
        <v>5.1416071314687519</v>
      </c>
      <c r="S199" s="103">
        <f ca="1">IF(AND(Energy!$F$11=$A$3,Main!$B$43=A199),'Aerodynamics-Cruise'!W36,S199)</f>
        <v>1</v>
      </c>
      <c r="T199" s="103">
        <f ca="1">IF(AND(Energy!$F$11=$A$3,Main!$B$43=A199),'Aerodynamics-Cruise'!BL36,T199)</f>
        <v>29.505278351771832</v>
      </c>
      <c r="U199" s="103">
        <f ca="1">IF(AND(Energy!$F$11=$A$3,Main!$B$43=A199),'Propulsion-Cruise'!M36,U199)</f>
        <v>67.426275719152642</v>
      </c>
      <c r="V199" s="103">
        <f ca="1">IF(AND(Energy!$F$11=$A$3,Main!$B$43=A199),Endurance!AP36,V199)</f>
        <v>665.85731724861932</v>
      </c>
      <c r="W199" s="103">
        <f ca="1">IF(AND(Energy!$F$11=$A$3,Main!$B$43=$A199),Summary!W36,W199)</f>
        <v>2.7473684210526321</v>
      </c>
      <c r="X199" s="13">
        <f ca="1">IF(AND(Energy!$F$11=$A$3,Main!$B$43=A199),Energy!D36,X199)</f>
        <v>407.50077060346223</v>
      </c>
      <c r="Y199" s="102">
        <f ca="1">IF(AND(Energy!$F$11=$A$3,Main!$B$43=A199),'Aerodynamics-Cruise'!V36,Y199)</f>
        <v>195702.67578286253</v>
      </c>
      <c r="Z199" s="102">
        <f ca="1">IF(AND(Energy!$F$11=$A$3,Main!$B$43=$A199),Summary!Z36,Z199)</f>
        <v>145029.37481075566</v>
      </c>
      <c r="AA199" s="102">
        <f ca="1">IF(AND(Energy!$F$11=$A$3,Main!$B$43=$A199),Summary!AA36,AA199)</f>
        <v>145029.37481075566</v>
      </c>
      <c r="AB199" s="103">
        <f ca="1">IF(AND(Energy!$F$11=$A$3,Main!$B$43=$A199),Summary!AB36,AB199)</f>
        <v>5.1416071314687519</v>
      </c>
      <c r="AC199" s="103">
        <f ca="1">IF(AND(Energy!$F$11=$A$3,Main!$B$43=$A199),Summary!AC36,AC199)</f>
        <v>1.3598656337005357</v>
      </c>
      <c r="AD199" s="103">
        <f ca="1">IF(AND(Energy!$F$11=$A$3,Main!$B$43=$A199),Summary!AD36,AD199)</f>
        <v>0.46106211220941534</v>
      </c>
      <c r="AE199" s="103">
        <f ca="1">IF(AND(Energy!$F$11=$A$3,Main!$B$43=$A199),Summary!AE36,AE199)</f>
        <v>2.7473684210526321</v>
      </c>
      <c r="AF199" s="103">
        <f ca="1">IF(AND(Energy!$F$11=$A$3,Main!$B$43=$A199),Summary!AF36,AF199)</f>
        <v>17.171052631578945</v>
      </c>
      <c r="AG199" s="103">
        <f ca="1">IF(AND(Energy!$F$11=$A$3,Main!$B$43=$A199),Summary!AG36,AG199)</f>
        <v>13.118691496802754</v>
      </c>
      <c r="AH199" s="103">
        <f ca="1">IF(AND(Energy!$F$11=$A$3,Main!$B$43=$A199),Summary!AH36,AH199)</f>
        <v>47</v>
      </c>
      <c r="AI199" s="103">
        <f ca="1">IF(AND(Energy!$F$11=$A$3,Main!$B$43=$A199),Summary!AI36,AI199)</f>
        <v>2.8037861291949526</v>
      </c>
      <c r="AJ199" s="103">
        <f ca="1">IF(AND(Energy!$F$11=$A$3,Main!$B$43=$A199),Summary!AJ36,AJ199)</f>
        <v>0.23062979119708873</v>
      </c>
      <c r="AK199" s="103">
        <f ca="1">IF(AND(Energy!$F$11=$A$3,Main!$B$43=$A199),Summary!AK36,AK199)</f>
        <v>0.01</v>
      </c>
      <c r="AL199" s="103">
        <f ca="1">IF(AND(Energy!$F$11=$A$3,Main!$B$43=$A199),Summary!AL36,AL199)</f>
        <v>-0.54199407668271271</v>
      </c>
      <c r="AM199" s="103">
        <f ca="1">IF(AND(Energy!$F$11=$A$3,Main!$B$43=$A199),Summary!AJ216,AM199)</f>
        <v>0</v>
      </c>
    </row>
    <row r="200" spans="1:39">
      <c r="A200">
        <f t="shared" si="12"/>
        <v>10</v>
      </c>
      <c r="D200" s="1">
        <f ca="1">IF(AND(Energy!$F$11=$A$3,Main!$B$43=A200),Main!C37,D200)</f>
        <v>7.026315789473685</v>
      </c>
      <c r="E200" s="103">
        <f ca="1">IF(AND(Energy!$F$11=$A$3,Main!$B$43=A200),Main!B37,E200)</f>
        <v>0.4</v>
      </c>
      <c r="F200" s="103">
        <f ca="1">IF(Main!$D$6=1,U200,IF(Main!$D$6=2,N200,IF(Main!$D$6=3,K200,IF(Main!$D$6=4,V200,J200))))</f>
        <v>667.19359488322368</v>
      </c>
      <c r="G200" s="103">
        <f ca="1">IF(AND(Energy!$F$11=$A$3,Main!$B$43=A200),Weight!H37,G200)</f>
        <v>15</v>
      </c>
      <c r="H200" s="103">
        <f ca="1">IF(AND(Energy!$F$11=$A$3,Main!$B$43=A200),Weight!U37,H200)</f>
        <v>36.423544808612839</v>
      </c>
      <c r="I200" s="103">
        <f ca="1">IF(AND(Energy!$F$11=$A$3,Main!$B$43=A200),Weight!V37,I200)</f>
        <v>74.470805665432025</v>
      </c>
      <c r="J200" s="103">
        <f ca="1">IF(AND(Energy!$F$11=$A$3,Main!$B$43=A200),Weight!I37,J200)</f>
        <v>33.109612581819185</v>
      </c>
      <c r="K200" s="103">
        <f ca="1">IF(AND(Energy!$F$11=$A$3,Main!$B$43=A200),Weight!W37,K200)</f>
        <v>89.470805725085597</v>
      </c>
      <c r="L200" s="103">
        <f ca="1">IF(AND(Energy!$F$11=$A$3,Main!$B$43=A200),'Aerodynamics-Cruise'!BI37,L200)</f>
        <v>89.470805605349568</v>
      </c>
      <c r="M200" s="103">
        <f ca="1">IF(AND(Energy!$F$11=$A$3,Main!$B$43=A200),'Aerodynamics-Cruise'!BJ37,M200)</f>
        <v>3.8432486082985102</v>
      </c>
      <c r="N200" s="103">
        <f ca="1">IF(AND(Energy!$F$11=$A$3,Main!$B$43=A200),'Aerodynamics-Cruise'!BK37,N200)</f>
        <v>23.279994276758547</v>
      </c>
      <c r="O200" s="103">
        <f t="shared" ca="1" si="13"/>
        <v>220.20315804033058</v>
      </c>
      <c r="P200" s="103">
        <f ca="1">IF(AND(Energy!$F$11=$A$3,Main!$B$43=A200),'Aerodynamics-Cruise'!H37,P200)</f>
        <v>7.6759696409928093</v>
      </c>
      <c r="Q200" s="103">
        <f ca="1">IF(AND(Energy!$F$11=$A$3,Main!$B$43=A200),'Aerodynamics-Cruise'!I37,Q200)</f>
        <v>6.4191595306380371</v>
      </c>
      <c r="R200" s="103">
        <f ca="1">IF(AND(Energy!$F$11=$A$3,Main!$B$43=$A200),Summary!R37,R200)</f>
        <v>5.1588297253089532</v>
      </c>
      <c r="S200" s="103">
        <f ca="1">IF(AND(Energy!$F$11=$A$3,Main!$B$43=A200),'Aerodynamics-Cruise'!W37,S200)</f>
        <v>1</v>
      </c>
      <c r="T200" s="103">
        <f ca="1">IF(AND(Energy!$F$11=$A$3,Main!$B$43=A200),'Aerodynamics-Cruise'!BL37,T200)</f>
        <v>29.500659640087228</v>
      </c>
      <c r="U200" s="103">
        <f ca="1">IF(AND(Energy!$F$11=$A$3,Main!$B$43=A200),'Propulsion-Cruise'!M37,U200)</f>
        <v>67.584962890097046</v>
      </c>
      <c r="V200" s="103">
        <f ca="1">IF(AND(Energy!$F$11=$A$3,Main!$B$43=A200),Endurance!AP37,V200)</f>
        <v>667.19359488322368</v>
      </c>
      <c r="W200" s="103">
        <f ca="1">IF(AND(Energy!$F$11=$A$3,Main!$B$43=$A200),Summary!W37,W200)</f>
        <v>2.810526315789474</v>
      </c>
      <c r="X200" s="13">
        <f ca="1">IF(AND(Energy!$F$11=$A$3,Main!$B$43=A200),Energy!D37,X200)</f>
        <v>407.52790769350958</v>
      </c>
      <c r="Y200" s="102">
        <f ca="1">IF(AND(Energy!$F$11=$A$3,Main!$B$43=A200),'Aerodynamics-Cruise'!V37,Y200)</f>
        <v>194732.53482588838</v>
      </c>
      <c r="Z200" s="102">
        <f ca="1">IF(AND(Energy!$F$11=$A$3,Main!$B$43=$A200),Summary!Z37,Z200)</f>
        <v>144338.95934441991</v>
      </c>
      <c r="AA200" s="102">
        <f ca="1">IF(AND(Energy!$F$11=$A$3,Main!$B$43=$A200),Summary!AA37,AA200)</f>
        <v>144338.95934441991</v>
      </c>
      <c r="AB200" s="103">
        <f ca="1">IF(AND(Energy!$F$11=$A$3,Main!$B$43=$A200),Summary!AB37,AB200)</f>
        <v>5.1588297253089532</v>
      </c>
      <c r="AC200" s="103">
        <f ca="1">IF(AND(Energy!$F$11=$A$3,Main!$B$43=$A200),Summary!AC37,AC200)</f>
        <v>1.3358026421007398</v>
      </c>
      <c r="AD200" s="103">
        <f ca="1">IF(AND(Energy!$F$11=$A$3,Main!$B$43=$A200),Summary!AD37,AD200)</f>
        <v>0.46093525663641516</v>
      </c>
      <c r="AE200" s="103">
        <f ca="1">IF(AND(Energy!$F$11=$A$3,Main!$B$43=$A200),Summary!AE37,AE200)</f>
        <v>2.810526315789474</v>
      </c>
      <c r="AF200" s="103">
        <f ca="1">IF(AND(Energy!$F$11=$A$3,Main!$B$43=$A200),Summary!AF37,AF200)</f>
        <v>17.565789473684212</v>
      </c>
      <c r="AG200" s="103">
        <f ca="1">IF(AND(Energy!$F$11=$A$3,Main!$B$43=$A200),Summary!AG37,AG200)</f>
        <v>13.143320150298498</v>
      </c>
      <c r="AH200" s="103">
        <f ca="1">IF(AND(Energy!$F$11=$A$3,Main!$B$43=$A200),Summary!AH37,AH200)</f>
        <v>47</v>
      </c>
      <c r="AI200" s="103">
        <f ca="1">IF(AND(Energy!$F$11=$A$3,Main!$B$43=$A200),Summary!AI37,AI200)</f>
        <v>2.8026329862137516</v>
      </c>
      <c r="AJ200" s="103">
        <f ca="1">IF(AND(Energy!$F$11=$A$3,Main!$B$43=$A200),Summary!AJ37,AJ200)</f>
        <v>0.23087965430092369</v>
      </c>
      <c r="AK200" s="103">
        <f ca="1">IF(AND(Energy!$F$11=$A$3,Main!$B$43=$A200),Summary!AK37,AK200)</f>
        <v>0.01</v>
      </c>
      <c r="AL200" s="103">
        <f ca="1">IF(AND(Energy!$F$11=$A$3,Main!$B$43=$A200),Summary!AL37,AL200)</f>
        <v>-0.54140745025248138</v>
      </c>
      <c r="AM200" s="103">
        <f ca="1">IF(AND(Energy!$F$11=$A$3,Main!$B$43=$A200),Summary!AJ217,AM200)</f>
        <v>0</v>
      </c>
    </row>
    <row r="201" spans="1:39">
      <c r="A201">
        <f t="shared" si="12"/>
        <v>10</v>
      </c>
      <c r="D201" s="1">
        <f ca="1">IF(AND(Energy!$F$11=$A$3,Main!$B$43=A201),Main!C38,D201)</f>
        <v>7.1842105263157903</v>
      </c>
      <c r="E201" s="103">
        <f ca="1">IF(AND(Energy!$F$11=$A$3,Main!$B$43=A201),Main!B38,E201)</f>
        <v>0.4</v>
      </c>
      <c r="F201" s="103">
        <f ca="1">IF(Main!$D$6=1,U201,IF(Main!$D$6=2,N201,IF(Main!$D$6=3,K201,IF(Main!$D$6=4,V201,J201))))</f>
        <v>669.04685252101217</v>
      </c>
      <c r="G201" s="103">
        <f ca="1">IF(AND(Energy!$F$11=$A$3,Main!$B$43=A201),Weight!H38,G201)</f>
        <v>15</v>
      </c>
      <c r="H201" s="103">
        <f ca="1">IF(AND(Energy!$F$11=$A$3,Main!$B$43=A201),Weight!U38,H201)</f>
        <v>37.53901341682905</v>
      </c>
      <c r="I201" s="103">
        <f ca="1">IF(AND(Energy!$F$11=$A$3,Main!$B$43=A201),Weight!V38,I201)</f>
        <v>75.658460721926843</v>
      </c>
      <c r="J201" s="103">
        <f ca="1">IF(AND(Energy!$F$11=$A$3,Main!$B$43=A201),Weight!I38,J201)</f>
        <v>33.181799030097793</v>
      </c>
      <c r="K201" s="103">
        <f ca="1">IF(AND(Energy!$F$11=$A$3,Main!$B$43=A201),Weight!W38,K201)</f>
        <v>90.658460810349339</v>
      </c>
      <c r="L201" s="103">
        <f ca="1">IF(AND(Energy!$F$11=$A$3,Main!$B$43=A201),'Aerodynamics-Cruise'!BI38,L201)</f>
        <v>90.658460632897487</v>
      </c>
      <c r="M201" s="103">
        <f ca="1">IF(AND(Energy!$F$11=$A$3,Main!$B$43=A201),'Aerodynamics-Cruise'!BJ38,M201)</f>
        <v>3.8640264062843221</v>
      </c>
      <c r="N201" s="103">
        <f ca="1">IF(AND(Energy!$F$11=$A$3,Main!$B$43=A201),'Aerodynamics-Cruise'!BK38,N201)</f>
        <v>23.462174193595992</v>
      </c>
      <c r="O201" s="103">
        <f t="shared" ca="1" si="13"/>
        <v>223.39447355963699</v>
      </c>
      <c r="P201" s="103">
        <f ca="1">IF(AND(Energy!$F$11=$A$3,Main!$B$43=A201),'Aerodynamics-Cruise'!H38,P201)</f>
        <v>7.6413388494261287</v>
      </c>
      <c r="Q201" s="103">
        <f ca="1">IF(AND(Energy!$F$11=$A$3,Main!$B$43=A201),'Aerodynamics-Cruise'!I38,Q201)</f>
        <v>6.3913956096185265</v>
      </c>
      <c r="R201" s="103">
        <f ca="1">IF(AND(Energy!$F$11=$A$3,Main!$B$43=$A201),Summary!R38,R201)</f>
        <v>5.1828179223839363</v>
      </c>
      <c r="S201" s="103">
        <f ca="1">IF(AND(Energy!$F$11=$A$3,Main!$B$43=A201),'Aerodynamics-Cruise'!W38,S201)</f>
        <v>1</v>
      </c>
      <c r="T201" s="103">
        <f ca="1">IF(AND(Energy!$F$11=$A$3,Main!$B$43=A201),'Aerodynamics-Cruise'!BL38,T201)</f>
        <v>29.52633509354882</v>
      </c>
      <c r="U201" s="103">
        <f ca="1">IF(AND(Energy!$F$11=$A$3,Main!$B$43=A201),'Propulsion-Cruise'!M38,U201)</f>
        <v>67.805002438929549</v>
      </c>
      <c r="V201" s="103">
        <f ca="1">IF(AND(Energy!$F$11=$A$3,Main!$B$43=A201),Endurance!AP38,V201)</f>
        <v>669.04685252101217</v>
      </c>
      <c r="W201" s="103">
        <f ca="1">IF(AND(Energy!$F$11=$A$3,Main!$B$43=$A201),Summary!W38,W201)</f>
        <v>2.8736842105263163</v>
      </c>
      <c r="X201" s="13">
        <f ca="1">IF(AND(Energy!$F$11=$A$3,Main!$B$43=A201),Energy!D38,X201)</f>
        <v>407.56795372201287</v>
      </c>
      <c r="Y201" s="102">
        <f ca="1">IF(AND(Energy!$F$11=$A$3,Main!$B$43=A201),'Aerodynamics-Cruise'!V38,Y201)</f>
        <v>193853.9823901424</v>
      </c>
      <c r="Z201" s="102">
        <f ca="1">IF(AND(Energy!$F$11=$A$3,Main!$B$43=$A201),Summary!Z38,Z201)</f>
        <v>143713.6197027929</v>
      </c>
      <c r="AA201" s="102">
        <f ca="1">IF(AND(Energy!$F$11=$A$3,Main!$B$43=$A201),Summary!AA38,AA201)</f>
        <v>143713.6197027929</v>
      </c>
      <c r="AB201" s="103">
        <f ca="1">IF(AND(Energy!$F$11=$A$3,Main!$B$43=$A201),Summary!AB38,AB201)</f>
        <v>5.1828179223839363</v>
      </c>
      <c r="AC201" s="103">
        <f ca="1">IF(AND(Energy!$F$11=$A$3,Main!$B$43=$A201),Summary!AC38,AC201)</f>
        <v>1.3119104802541071</v>
      </c>
      <c r="AD201" s="103">
        <f ca="1">IF(AND(Energy!$F$11=$A$3,Main!$B$43=$A201),Summary!AD38,AD201)</f>
        <v>0.46099321159557399</v>
      </c>
      <c r="AE201" s="103">
        <f ca="1">IF(AND(Energy!$F$11=$A$3,Main!$B$43=$A201),Summary!AE38,AE201)</f>
        <v>2.8736842105263163</v>
      </c>
      <c r="AF201" s="103">
        <f ca="1">IF(AND(Energy!$F$11=$A$3,Main!$B$43=$A201),Summary!AF38,AF201)</f>
        <v>17.960526315789473</v>
      </c>
      <c r="AG201" s="103">
        <f ca="1">IF(AND(Energy!$F$11=$A$3,Main!$B$43=$A201),Summary!AG38,AG201)</f>
        <v>13.174994593303484</v>
      </c>
      <c r="AH201" s="103">
        <f ca="1">IF(AND(Energy!$F$11=$A$3,Main!$B$43=$A201),Summary!AH38,AH201)</f>
        <v>47</v>
      </c>
      <c r="AI201" s="103">
        <f ca="1">IF(AND(Energy!$F$11=$A$3,Main!$B$43=$A201),Summary!AI38,AI201)</f>
        <v>2.8015836047235321</v>
      </c>
      <c r="AJ201" s="103">
        <f ca="1">IF(AND(Energy!$F$11=$A$3,Main!$B$43=$A201),Summary!AJ38,AJ201)</f>
        <v>0.23110694075291688</v>
      </c>
      <c r="AK201" s="103">
        <f ca="1">IF(AND(Energy!$F$11=$A$3,Main!$B$43=$A201),Summary!AK38,AK201)</f>
        <v>0.01</v>
      </c>
      <c r="AL201" s="103">
        <f ca="1">IF(AND(Energy!$F$11=$A$3,Main!$B$43=$A201),Summary!AL38,AL201)</f>
        <v>-0.54087492447782892</v>
      </c>
      <c r="AM201" s="103">
        <f ca="1">IF(AND(Energy!$F$11=$A$3,Main!$B$43=$A201),Summary!AJ218,AM201)</f>
        <v>0</v>
      </c>
    </row>
    <row r="202" spans="1:39">
      <c r="A202">
        <f t="shared" si="12"/>
        <v>10</v>
      </c>
      <c r="D202" s="1">
        <f ca="1">IF(AND(Energy!$F$11=$A$3,Main!$B$43=A202),Main!C39,D202)</f>
        <v>7.3421052631578956</v>
      </c>
      <c r="E202" s="103">
        <f ca="1">IF(AND(Energy!$F$11=$A$3,Main!$B$43=A202),Main!B39,E202)</f>
        <v>0.4</v>
      </c>
      <c r="F202" s="103">
        <f ca="1">IF(Main!$D$6=1,U202,IF(Main!$D$6=2,N202,IF(Main!$D$6=3,K202,IF(Main!$D$6=4,V202,J202))))</f>
        <v>671.3847144939615</v>
      </c>
      <c r="G202" s="103">
        <f ca="1">IF(AND(Energy!$F$11=$A$3,Main!$B$43=A202),Weight!H39,G202)</f>
        <v>15</v>
      </c>
      <c r="H202" s="103">
        <f ca="1">IF(AND(Energy!$F$11=$A$3,Main!$B$43=A202),Weight!U39,H202)</f>
        <v>38.681414519632796</v>
      </c>
      <c r="I202" s="103">
        <f ca="1">IF(AND(Energy!$F$11=$A$3,Main!$B$43=A202),Weight!V39,I202)</f>
        <v>76.89484304028592</v>
      </c>
      <c r="J202" s="103">
        <f ca="1">IF(AND(Energy!$F$11=$A$3,Main!$B$43=A202),Weight!I39,J202)</f>
        <v>33.275780245653124</v>
      </c>
      <c r="K202" s="103">
        <f ca="1">IF(AND(Energy!$F$11=$A$3,Main!$B$43=A202),Weight!W39,K202)</f>
        <v>91.894843158048957</v>
      </c>
      <c r="L202" s="103">
        <f ca="1">IF(AND(Energy!$F$11=$A$3,Main!$B$43=A202),'Aerodynamics-Cruise'!BI39,L202)</f>
        <v>91.894842921735929</v>
      </c>
      <c r="M202" s="103">
        <f ca="1">IF(AND(Energy!$F$11=$A$3,Main!$B$43=A202),'Aerodynamics-Cruise'!BJ39,M202)</f>
        <v>3.8869859856779079</v>
      </c>
      <c r="N202" s="103">
        <f ca="1">IF(AND(Energy!$F$11=$A$3,Main!$B$43=A202),'Aerodynamics-Cruise'!BK39,N202)</f>
        <v>23.641670759898314</v>
      </c>
      <c r="O202" s="103">
        <f t="shared" ca="1" si="13"/>
        <v>226.63330638553657</v>
      </c>
      <c r="P202" s="103">
        <f ca="1">IF(AND(Energy!$F$11=$A$3,Main!$B$43=A202),'Aerodynamics-Cruise'!H39,P202)</f>
        <v>7.6100688923143478</v>
      </c>
      <c r="Q202" s="103">
        <f ca="1">IF(AND(Energy!$F$11=$A$3,Main!$B$43=A202),'Aerodynamics-Cruise'!I39,Q202)</f>
        <v>6.3663223190843761</v>
      </c>
      <c r="R202" s="103">
        <f ca="1">IF(AND(Energy!$F$11=$A$3,Main!$B$43=$A202),Summary!R39,R202)</f>
        <v>5.2132227311912045</v>
      </c>
      <c r="S202" s="103">
        <f ca="1">IF(AND(Energy!$F$11=$A$3,Main!$B$43=A202),'Aerodynamics-Cruise'!W39,S202)</f>
        <v>1</v>
      </c>
      <c r="T202" s="103">
        <f ca="1">IF(AND(Energy!$F$11=$A$3,Main!$B$43=A202),'Aerodynamics-Cruise'!BL39,T202)</f>
        <v>29.580231134469269</v>
      </c>
      <c r="U202" s="103">
        <f ca="1">IF(AND(Energy!$F$11=$A$3,Main!$B$43=A202),'Propulsion-Cruise'!M39,U202)</f>
        <v>68.082552546035913</v>
      </c>
      <c r="V202" s="103">
        <f ca="1">IF(AND(Energy!$F$11=$A$3,Main!$B$43=A202),Endurance!AP39,V202)</f>
        <v>671.3847144939615</v>
      </c>
      <c r="W202" s="103">
        <f ca="1">IF(AND(Energy!$F$11=$A$3,Main!$B$43=$A202),Summary!W39,W202)</f>
        <v>2.9368421052631586</v>
      </c>
      <c r="X202" s="13">
        <f ca="1">IF(AND(Energy!$F$11=$A$3,Main!$B$43=A202),Energy!D39,X202)</f>
        <v>407.62009057413866</v>
      </c>
      <c r="Y202" s="102">
        <f ca="1">IF(AND(Energy!$F$11=$A$3,Main!$B$43=A202),'Aerodynamics-Cruise'!V39,Y202)</f>
        <v>193060.69134066312</v>
      </c>
      <c r="Z202" s="102">
        <f ca="1">IF(AND(Energy!$F$11=$A$3,Main!$B$43=$A202),Summary!Z39,Z202)</f>
        <v>143148.88568312812</v>
      </c>
      <c r="AA202" s="102">
        <f ca="1">IF(AND(Energy!$F$11=$A$3,Main!$B$43=$A202),Summary!AA39,AA202)</f>
        <v>143148.88568312812</v>
      </c>
      <c r="AB202" s="103">
        <f ca="1">IF(AND(Energy!$F$11=$A$3,Main!$B$43=$A202),Summary!AB39,AB202)</f>
        <v>5.2132227311912045</v>
      </c>
      <c r="AC202" s="103">
        <f ca="1">IF(AND(Energy!$F$11=$A$3,Main!$B$43=$A202),Summary!AC39,AC202)</f>
        <v>1.2882216253355709</v>
      </c>
      <c r="AD202" s="103">
        <f ca="1">IF(AND(Energy!$F$11=$A$3,Main!$B$43=$A202),Summary!AD39,AD202)</f>
        <v>0.46122356355744626</v>
      </c>
      <c r="AE202" s="103">
        <f ca="1">IF(AND(Energy!$F$11=$A$3,Main!$B$43=$A202),Summary!AE39,AE202)</f>
        <v>2.9368421052631586</v>
      </c>
      <c r="AF202" s="103">
        <f ca="1">IF(AND(Energy!$F$11=$A$3,Main!$B$43=$A202),Summary!AF39,AF202)</f>
        <v>18.355263157894736</v>
      </c>
      <c r="AG202" s="103">
        <f ca="1">IF(AND(Energy!$F$11=$A$3,Main!$B$43=$A202),Summary!AG39,AG202)</f>
        <v>13.213253296765131</v>
      </c>
      <c r="AH202" s="103">
        <f ca="1">IF(AND(Energy!$F$11=$A$3,Main!$B$43=$A202),Summary!AH39,AH202)</f>
        <v>47</v>
      </c>
      <c r="AI202" s="103">
        <f ca="1">IF(AND(Energy!$F$11=$A$3,Main!$B$43=$A202),Summary!AI39,AI202)</f>
        <v>2.8006317055539478</v>
      </c>
      <c r="AJ202" s="103">
        <f ca="1">IF(AND(Energy!$F$11=$A$3,Main!$B$43=$A202),Summary!AJ39,AJ202)</f>
        <v>0.2313130244084726</v>
      </c>
      <c r="AK202" s="103">
        <f ca="1">IF(AND(Energy!$F$11=$A$3,Main!$B$43=$A202),Summary!AK39,AK202)</f>
        <v>0.01</v>
      </c>
      <c r="AL202" s="103">
        <f ca="1">IF(AND(Energy!$F$11=$A$3,Main!$B$43=$A202),Summary!AL39,AL202)</f>
        <v>-0.54039297442383194</v>
      </c>
      <c r="AM202" s="103">
        <f ca="1">IF(AND(Energy!$F$11=$A$3,Main!$B$43=$A202),Summary!AJ219,AM202)</f>
        <v>0</v>
      </c>
    </row>
    <row r="203" spans="1:39">
      <c r="A203">
        <f t="shared" si="12"/>
        <v>10</v>
      </c>
      <c r="D203" s="1">
        <f ca="1">IF(AND(Energy!$F$11=$A$3,Main!$B$43=A203),Main!C40,D203)</f>
        <v>7.5</v>
      </c>
      <c r="E203" s="103">
        <f ca="1">IF(AND(Energy!$F$11=$A$3,Main!$B$43=A203),Main!B40,E203)</f>
        <v>0.4</v>
      </c>
      <c r="F203" s="103">
        <f ca="1">IF(Main!$D$6=1,U203,IF(Main!$D$6=2,N203,IF(Main!$D$6=3,K203,IF(Main!$D$6=4,V203,J203))))</f>
        <v>674.17907146210734</v>
      </c>
      <c r="G203" s="103">
        <f ca="1">IF(AND(Energy!$F$11=$A$3,Main!$B$43=A203),Weight!H40,G203)</f>
        <v>15</v>
      </c>
      <c r="H203" s="103">
        <f ca="1">IF(AND(Energy!$F$11=$A$3,Main!$B$43=A203),Weight!U40,H203)</f>
        <v>39.850980838416163</v>
      </c>
      <c r="I203" s="103">
        <f ca="1">IF(AND(Energy!$F$11=$A$3,Main!$B$43=A203),Weight!V40,I203)</f>
        <v>78.178904496795511</v>
      </c>
      <c r="J203" s="103">
        <f ca="1">IF(AND(Energy!$F$11=$A$3,Main!$B$43=A203),Weight!I40,J203)</f>
        <v>33.390275383379347</v>
      </c>
      <c r="K203" s="103">
        <f ca="1">IF(AND(Energy!$F$11=$A$3,Main!$B$43=A203),Weight!W40,K203)</f>
        <v>93.178904644469171</v>
      </c>
      <c r="L203" s="103">
        <f ca="1">IF(AND(Energy!$F$11=$A$3,Main!$B$43=A203),'Aerodynamics-Cruise'!BI40,L203)</f>
        <v>93.178904348152429</v>
      </c>
      <c r="M203" s="103">
        <f ca="1">IF(AND(Energy!$F$11=$A$3,Main!$B$43=A203),'Aerodynamics-Cruise'!BJ40,M203)</f>
        <v>3.9120014856283487</v>
      </c>
      <c r="N203" s="103">
        <f ca="1">IF(AND(Energy!$F$11=$A$3,Main!$B$43=A203),'Aerodynamics-Cruise'!BK40,N203)</f>
        <v>23.818729284860169</v>
      </c>
      <c r="O203" s="103">
        <f t="shared" ca="1" si="13"/>
        <v>229.92033741880195</v>
      </c>
      <c r="P203" s="103">
        <f ca="1">IF(AND(Energy!$F$11=$A$3,Main!$B$43=A203),'Aerodynamics-Cruise'!H40,P203)</f>
        <v>7.5819356012098611</v>
      </c>
      <c r="Q203" s="103">
        <f ca="1">IF(AND(Energy!$F$11=$A$3,Main!$B$43=A203),'Aerodynamics-Cruise'!I40,Q203)</f>
        <v>6.3437612114161102</v>
      </c>
      <c r="R203" s="103">
        <f ca="1">IF(AND(Energy!$F$11=$A$3,Main!$B$43=$A203),Summary!R40,R203)</f>
        <v>5.2497508955145245</v>
      </c>
      <c r="S203" s="103">
        <f ca="1">IF(AND(Energy!$F$11=$A$3,Main!$B$43=A203),'Aerodynamics-Cruise'!W40,S203)</f>
        <v>1</v>
      </c>
      <c r="T203" s="103">
        <f ca="1">IF(AND(Energy!$F$11=$A$3,Main!$B$43=A203),'Aerodynamics-Cruise'!BL40,T203)</f>
        <v>29.660543335871445</v>
      </c>
      <c r="U203" s="103">
        <f ca="1">IF(AND(Energy!$F$11=$A$3,Main!$B$43=A203),'Propulsion-Cruise'!M40,U203)</f>
        <v>68.414277634758463</v>
      </c>
      <c r="V203" s="103">
        <f ca="1">IF(AND(Energy!$F$11=$A$3,Main!$B$43=A203),Endurance!AP40,V203)</f>
        <v>674.17907146210734</v>
      </c>
      <c r="W203" s="103">
        <f ca="1">IF(AND(Energy!$F$11=$A$3,Main!$B$43=$A203),Summary!W40,W203)</f>
        <v>3</v>
      </c>
      <c r="X203" s="13">
        <f ca="1">IF(AND(Energy!$F$11=$A$3,Main!$B$43=A203),Energy!D40,X203)</f>
        <v>407.68360769069994</v>
      </c>
      <c r="Y203" s="102">
        <f ca="1">IF(AND(Energy!$F$11=$A$3,Main!$B$43=A203),'Aerodynamics-Cruise'!V40,Y203)</f>
        <v>192346.97472295869</v>
      </c>
      <c r="Z203" s="102">
        <f ca="1">IF(AND(Energy!$F$11=$A$3,Main!$B$43=$A203),Summary!Z40,Z203)</f>
        <v>142640.7369107769</v>
      </c>
      <c r="AA203" s="102">
        <f ca="1">IF(AND(Energy!$F$11=$A$3,Main!$B$43=$A203),Summary!AA40,AA203)</f>
        <v>142640.7369107769</v>
      </c>
      <c r="AB203" s="103">
        <f ca="1">IF(AND(Energy!$F$11=$A$3,Main!$B$43=$A203),Summary!AB40,AB203)</f>
        <v>5.2497508955145245</v>
      </c>
      <c r="AC203" s="103">
        <f ca="1">IF(AND(Energy!$F$11=$A$3,Main!$B$43=$A203),Summary!AC40,AC203)</f>
        <v>1.264762884618998</v>
      </c>
      <c r="AD203" s="103">
        <f ca="1">IF(AND(Energy!$F$11=$A$3,Main!$B$43=$A203),Summary!AD40,AD203)</f>
        <v>0.46161520552327112</v>
      </c>
      <c r="AE203" s="103">
        <f ca="1">IF(AND(Energy!$F$11=$A$3,Main!$B$43=$A203),Summary!AE40,AE203)</f>
        <v>3</v>
      </c>
      <c r="AF203" s="103">
        <f ca="1">IF(AND(Energy!$F$11=$A$3,Main!$B$43=$A203),Summary!AF40,AF203)</f>
        <v>18.75</v>
      </c>
      <c r="AG203" s="103">
        <f ca="1">IF(AND(Energy!$F$11=$A$3,Main!$B$43=$A203),Summary!AG40,AG203)</f>
        <v>13.257689099640711</v>
      </c>
      <c r="AH203" s="103">
        <f ca="1">IF(AND(Energy!$F$11=$A$3,Main!$B$43=$A203),Summary!AH40,AH203)</f>
        <v>47</v>
      </c>
      <c r="AI203" s="103">
        <f ca="1">IF(AND(Energy!$F$11=$A$3,Main!$B$43=$A203),Summary!AI40,AI203)</f>
        <v>2.7997715598251465</v>
      </c>
      <c r="AJ203" s="103">
        <f ca="1">IF(AND(Energy!$F$11=$A$3,Main!$B$43=$A203),Summary!AJ40,AJ203)</f>
        <v>0.23149914074311473</v>
      </c>
      <c r="AK203" s="103">
        <f ca="1">IF(AND(Energy!$F$11=$A$3,Main!$B$43=$A203),Summary!AK40,AK203)</f>
        <v>0.01</v>
      </c>
      <c r="AL203" s="103">
        <f ca="1">IF(AND(Energy!$F$11=$A$3,Main!$B$43=$A203),Summary!AL40,AL203)</f>
        <v>-0.53995845137809917</v>
      </c>
      <c r="AM203" s="103">
        <f ca="1">IF(AND(Energy!$F$11=$A$3,Main!$B$43=$A203),Summary!AJ220,AM203)</f>
        <v>0</v>
      </c>
    </row>
    <row r="204" spans="1:39">
      <c r="B204" s="100" t="s">
        <v>603</v>
      </c>
      <c r="C204" s="100"/>
      <c r="D204" s="100" t="s">
        <v>607</v>
      </c>
      <c r="E204" s="103"/>
      <c r="F204" s="100"/>
      <c r="H204" s="100" t="s">
        <v>605</v>
      </c>
      <c r="I204" s="100">
        <v>1</v>
      </c>
      <c r="J204" s="100" t="s">
        <v>606</v>
      </c>
      <c r="K204" s="100">
        <v>1</v>
      </c>
      <c r="L204" s="100"/>
      <c r="M204" s="100"/>
      <c r="N204" s="100"/>
      <c r="O204" s="103"/>
      <c r="P204" s="100"/>
      <c r="R204" s="1"/>
      <c r="W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9">
      <c r="C205" s="100"/>
      <c r="D205" s="1">
        <f ca="1">INDEX(D4:D203,MATCH($F$205,$F$4:$F$203,0),0)</f>
        <v>5.7631578947368425</v>
      </c>
      <c r="E205" s="1">
        <f ca="1">INDEX(E4:E203,MATCH($F$205,$F$4:$F$203,0),0)</f>
        <v>0.26666666666666666</v>
      </c>
      <c r="F205" s="107">
        <f ca="1">MIN(F4:F203)</f>
        <v>571.68782425812662</v>
      </c>
      <c r="G205" s="1">
        <f t="shared" ref="G205:W205" ca="1" si="14">INDEX(G4:G203,MATCH($F$205,$F$4:$F$203,0),0)</f>
        <v>15</v>
      </c>
      <c r="H205" s="1">
        <f t="shared" ca="1" si="14"/>
        <v>19.190087793149218</v>
      </c>
      <c r="I205" s="1">
        <f t="shared" ca="1" si="14"/>
        <v>53.332161801526723</v>
      </c>
      <c r="J205" s="1">
        <f t="shared" ca="1" si="14"/>
        <v>29.204425733377509</v>
      </c>
      <c r="K205" s="1">
        <f t="shared" ca="1" si="14"/>
        <v>68.33216406434893</v>
      </c>
      <c r="L205" s="1">
        <f t="shared" ca="1" si="14"/>
        <v>68.332159506872614</v>
      </c>
      <c r="M205" s="1">
        <f t="shared" ca="1" si="14"/>
        <v>3.0793627946667983</v>
      </c>
      <c r="N205" s="1">
        <f t="shared" ca="1" si="14"/>
        <v>22.190356922288682</v>
      </c>
      <c r="O205" s="103">
        <f t="shared" ca="1" si="13"/>
        <v>183.43274312483979</v>
      </c>
      <c r="P205" s="1">
        <f t="shared" ca="1" si="14"/>
        <v>9.0284541911188629</v>
      </c>
      <c r="Q205" s="1">
        <f t="shared" ca="1" si="14"/>
        <v>7.6615555121370011</v>
      </c>
      <c r="R205" s="1">
        <f t="shared" ca="1" si="14"/>
        <v>5.6598477474064168</v>
      </c>
      <c r="S205" s="1">
        <f t="shared" ca="1" si="14"/>
        <v>1</v>
      </c>
      <c r="T205" s="1">
        <f t="shared" ca="1" si="14"/>
        <v>27.80188592948495</v>
      </c>
      <c r="U205" s="1">
        <f t="shared" ca="1" si="14"/>
        <v>59.515537373585126</v>
      </c>
      <c r="V205" s="1">
        <f t="shared" ca="1" si="14"/>
        <v>571.68782425812662</v>
      </c>
      <c r="W205" s="1">
        <f t="shared" ca="1" si="14"/>
        <v>1.536842105263158</v>
      </c>
      <c r="X205" s="13">
        <f ca="1">INDEX(X4:X203,MATCH($F$205,$F$4:$F$203,0),0)</f>
        <v>405.36147470309902</v>
      </c>
      <c r="Y205" s="81">
        <f ca="1">INDEX(Y4:Y203,MATCH($F$205,$F$4:$F$203,0),0)</f>
        <v>152695.91138964737</v>
      </c>
      <c r="Z205" s="81">
        <f t="shared" ref="Z205:AL205" ca="1" si="15">INDEX(Z4:Z203,MATCH($F$205,$F$4:$F$203,0),0)</f>
        <v>114784.43832339639</v>
      </c>
      <c r="AA205" s="81">
        <f ca="1">INDEX(AA4:AA203,MATCH($F$205,$F$4:$F$203,0),0)</f>
        <v>114784.43832339639</v>
      </c>
      <c r="AB205" s="1">
        <f t="shared" ca="1" si="15"/>
        <v>5.6598477474064168</v>
      </c>
      <c r="AC205" s="1">
        <f t="shared" ca="1" si="15"/>
        <v>2.0795113264313212</v>
      </c>
      <c r="AD205" s="1">
        <f t="shared" ca="1" si="15"/>
        <v>0.43385460077711957</v>
      </c>
      <c r="AE205" s="1">
        <f t="shared" ca="1" si="15"/>
        <v>1.536842105263158</v>
      </c>
      <c r="AF205" s="1">
        <f t="shared" ca="1" si="15"/>
        <v>21.611842105263158</v>
      </c>
      <c r="AG205" s="1">
        <f t="shared" ca="1" si="15"/>
        <v>11.913812292091658</v>
      </c>
      <c r="AH205" s="1">
        <f t="shared" ca="1" si="15"/>
        <v>47</v>
      </c>
      <c r="AI205" s="1">
        <f t="shared" ca="1" si="15"/>
        <v>2.7217543067223127</v>
      </c>
      <c r="AJ205" s="1">
        <f t="shared" ca="1" si="15"/>
        <v>0.23007854188268523</v>
      </c>
      <c r="AK205" s="1">
        <f t="shared" ca="1" si="15"/>
        <v>0.01</v>
      </c>
      <c r="AL205" s="1">
        <f t="shared" ca="1" si="15"/>
        <v>-0.54328695298836494</v>
      </c>
      <c r="AM205" s="1">
        <f ca="1">INDEX(AM4:AM203,MATCH($F$205,$F$4:$F$203,0),0)</f>
        <v>0</v>
      </c>
    </row>
    <row r="206" spans="1:39">
      <c r="B206" s="100" t="s">
        <v>603</v>
      </c>
      <c r="C206" s="100"/>
      <c r="D206" s="6" t="s">
        <v>612</v>
      </c>
      <c r="E206" s="103"/>
      <c r="F206" s="103"/>
      <c r="G206" s="1"/>
      <c r="H206" s="100" t="s">
        <v>605</v>
      </c>
      <c r="I206" s="100">
        <v>1</v>
      </c>
      <c r="J206" s="100" t="s">
        <v>606</v>
      </c>
      <c r="K206" s="100">
        <v>1</v>
      </c>
      <c r="L206" s="103"/>
      <c r="M206" s="103"/>
      <c r="N206" s="100"/>
      <c r="O206" s="103"/>
      <c r="P206" s="100"/>
      <c r="R206" s="1"/>
      <c r="W206" s="1"/>
      <c r="X206" s="13"/>
      <c r="Y206" s="81"/>
      <c r="Z206" s="81"/>
      <c r="AA206" s="8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>
      <c r="C207" s="100"/>
      <c r="D207" s="1">
        <f t="shared" ref="D207:S207" ca="1" si="16">INDEX(D4:D203,MATCH($T$207,$T$4:$T$203,0),0)</f>
        <v>6.3947368421052637</v>
      </c>
      <c r="E207" s="1">
        <f t="shared" ca="1" si="16"/>
        <v>0.28888888888888886</v>
      </c>
      <c r="F207" s="1">
        <f t="shared" ca="1" si="16"/>
        <v>580.55268985871021</v>
      </c>
      <c r="G207" s="1">
        <f t="shared" ca="1" si="16"/>
        <v>15</v>
      </c>
      <c r="H207" s="1">
        <f t="shared" ca="1" si="16"/>
        <v>23.166245745816667</v>
      </c>
      <c r="I207" s="1">
        <f t="shared" ca="1" si="16"/>
        <v>57.621957184630389</v>
      </c>
      <c r="J207" s="1">
        <f t="shared" ca="1" si="16"/>
        <v>29.518063163813725</v>
      </c>
      <c r="K207" s="1">
        <f t="shared" ca="1" si="16"/>
        <v>72.621957375066472</v>
      </c>
      <c r="L207" s="1">
        <f t="shared" ca="1" si="16"/>
        <v>72.621956992787318</v>
      </c>
      <c r="M207" s="1">
        <f t="shared" ca="1" si="16"/>
        <v>3.2042197105131058</v>
      </c>
      <c r="N207" s="1">
        <f t="shared" ca="1" si="16"/>
        <v>22.664474834392067</v>
      </c>
      <c r="O207" s="103">
        <f t="shared" ca="1" si="13"/>
        <v>193.1432941896162</v>
      </c>
      <c r="P207" s="1">
        <f t="shared" ca="1" si="16"/>
        <v>8.4959759955850984</v>
      </c>
      <c r="Q207" s="1">
        <f t="shared" ca="1" si="16"/>
        <v>7.1984125670779164</v>
      </c>
      <c r="R207" s="1">
        <f t="shared" ca="1" si="16"/>
        <v>5.2944343643287688</v>
      </c>
      <c r="S207" s="1">
        <f t="shared" ca="1" si="16"/>
        <v>1</v>
      </c>
      <c r="T207" s="106">
        <f ca="1">MIN(T4:T203)</f>
        <v>27.222973745099981</v>
      </c>
      <c r="U207" s="1">
        <f ca="1">INDEX(U4:U203,MATCH($T$207,$T$4:$T$203,0),0)</f>
        <v>59.47273852994384</v>
      </c>
      <c r="V207" s="1">
        <f ca="1">INDEX(V4:V203,MATCH($T$207,$T$4:$T$203,0),0)</f>
        <v>580.55268985871021</v>
      </c>
      <c r="W207" s="1">
        <f t="shared" ref="W207" ca="1" si="17">INDEX(W4:W203,MATCH($T$207,$T$4:$T$203,0),0)</f>
        <v>1.8473684210526315</v>
      </c>
      <c r="X207" s="13">
        <f ca="1">INDEX(X4:X203,MATCH($T$207,$T$4:$T$203,0),0)</f>
        <v>405.53546665637231</v>
      </c>
      <c r="Y207" s="81">
        <f ca="1">INDEX(Y4:Y203,MATCH($T$207,$T$4:$T$203,0),0)</f>
        <v>155664.43245497992</v>
      </c>
      <c r="Z207" s="81">
        <f t="shared" ref="Z207:AL207" ca="1" si="18">INDEX(Z4:Z203,MATCH($T$207,$T$4:$T$203,0),0)</f>
        <v>116839.96950263435</v>
      </c>
      <c r="AA207" s="81">
        <f ca="1">INDEX(AA4:AA203,MATCH($T$207,$T$4:$T$203,0),0)</f>
        <v>116839.96950263435</v>
      </c>
      <c r="AB207" s="1">
        <f t="shared" ca="1" si="18"/>
        <v>5.2944343643287688</v>
      </c>
      <c r="AC207" s="1">
        <f t="shared" ca="1" si="18"/>
        <v>1.8539916090750814</v>
      </c>
      <c r="AD207" s="1">
        <f t="shared" ca="1" si="18"/>
        <v>0.43158919881706009</v>
      </c>
      <c r="AE207" s="1">
        <f t="shared" ca="1" si="18"/>
        <v>1.8473684210526315</v>
      </c>
      <c r="AF207" s="1">
        <f t="shared" ca="1" si="18"/>
        <v>22.135627530364378</v>
      </c>
      <c r="AG207" s="1">
        <f t="shared" ca="1" si="18"/>
        <v>11.995964566302234</v>
      </c>
      <c r="AH207" s="1">
        <f t="shared" ca="1" si="18"/>
        <v>47</v>
      </c>
      <c r="AI207" s="1">
        <f t="shared" ca="1" si="18"/>
        <v>2.7302923559241665</v>
      </c>
      <c r="AJ207" s="1">
        <f t="shared" ca="1" si="18"/>
        <v>0.23103399034688635</v>
      </c>
      <c r="AK207" s="1">
        <f t="shared" ca="1" si="18"/>
        <v>0.01</v>
      </c>
      <c r="AL207" s="1">
        <f t="shared" ca="1" si="18"/>
        <v>-0.54104541518534111</v>
      </c>
      <c r="AM207" s="1">
        <f ca="1">INDEX(AM4:AM203,MATCH($T$207,$T$4:$T$203,0),0)</f>
        <v>0</v>
      </c>
    </row>
    <row r="208" spans="1:39">
      <c r="B208" s="100" t="s">
        <v>603</v>
      </c>
      <c r="C208" s="100"/>
      <c r="D208" s="100" t="s">
        <v>608</v>
      </c>
      <c r="E208" s="103"/>
      <c r="F208" s="103"/>
      <c r="G208" s="1"/>
      <c r="H208" s="100" t="s">
        <v>605</v>
      </c>
      <c r="I208" s="100">
        <v>1</v>
      </c>
      <c r="J208" s="100" t="s">
        <v>606</v>
      </c>
      <c r="K208" s="100">
        <v>1</v>
      </c>
      <c r="L208" s="103"/>
      <c r="M208" s="103"/>
      <c r="N208" s="100"/>
      <c r="O208" s="103"/>
      <c r="P208" s="100"/>
      <c r="R208" s="1"/>
      <c r="W208" s="1"/>
      <c r="X208" s="13"/>
      <c r="Y208" s="81"/>
      <c r="Z208" s="81"/>
      <c r="AA208" s="8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2:39">
      <c r="C209" s="100"/>
      <c r="D209" s="1">
        <f t="shared" ref="D209:M209" ca="1" si="19">INDEX(D4:D203,MATCH($N$209,$N$4:$N$203,0),0)</f>
        <v>7.5</v>
      </c>
      <c r="E209" s="1">
        <f t="shared" ca="1" si="19"/>
        <v>0.37777777777777766</v>
      </c>
      <c r="F209" s="1">
        <f t="shared" ca="1" si="19"/>
        <v>654.79634842301812</v>
      </c>
      <c r="G209" s="1">
        <f t="shared" ca="1" si="19"/>
        <v>15</v>
      </c>
      <c r="H209" s="1">
        <f t="shared" ca="1" si="19"/>
        <v>37.374820734153815</v>
      </c>
      <c r="I209" s="1">
        <f t="shared" ca="1" si="19"/>
        <v>74.885750082019982</v>
      </c>
      <c r="J209" s="1">
        <f t="shared" ca="1" si="19"/>
        <v>32.573281072866166</v>
      </c>
      <c r="K209" s="1">
        <f t="shared" ca="1" si="19"/>
        <v>89.88574938164632</v>
      </c>
      <c r="L209" s="1">
        <f t="shared" ca="1" si="19"/>
        <v>89.88575086964029</v>
      </c>
      <c r="M209" s="1">
        <f t="shared" ca="1" si="19"/>
        <v>3.7701293061582377</v>
      </c>
      <c r="N209" s="106">
        <f ca="1">MAX(N4:N203)</f>
        <v>23.841556501210267</v>
      </c>
      <c r="O209" s="103">
        <f t="shared" ca="1" si="13"/>
        <v>226.0372580048101</v>
      </c>
      <c r="P209" s="1">
        <f t="shared" ref="P209:W209" ca="1" si="20">INDEX(P4:P203,MATCH($N$209,$N$4:$N$203,0),0)</f>
        <v>7.6565052244175549</v>
      </c>
      <c r="Q209" s="1">
        <f t="shared" ca="1" si="20"/>
        <v>6.4236295378303145</v>
      </c>
      <c r="R209" s="1">
        <f t="shared" ca="1" si="20"/>
        <v>5.1955022115215614</v>
      </c>
      <c r="S209" s="1">
        <f t="shared" ca="1" si="20"/>
        <v>1</v>
      </c>
      <c r="T209" s="1">
        <f t="shared" ca="1" si="20"/>
        <v>28.866014729330278</v>
      </c>
      <c r="U209" s="1">
        <f t="shared" ca="1" si="20"/>
        <v>66.11381700100867</v>
      </c>
      <c r="V209" s="1">
        <f t="shared" ca="1" si="20"/>
        <v>654.79634842301812</v>
      </c>
      <c r="W209" s="1">
        <f t="shared" ca="1" si="20"/>
        <v>2.8333333333333326</v>
      </c>
      <c r="X209" s="13">
        <f ca="1">INDEX(X4:X203,MATCH($N$209,$N$4:$N$203,0),0)</f>
        <v>407.23037324080354</v>
      </c>
      <c r="Y209" s="81">
        <f ca="1">INDEX(Y4:Y203,MATCH($N$209,$N$4:$N$203,0),0)</f>
        <v>183447.6987552428</v>
      </c>
      <c r="Z209" s="81">
        <f t="shared" ref="Z209:AL209" ca="1" si="21">INDEX(Z4:Z203,MATCH($N$209,$N$4:$N$203,0),0)</f>
        <v>136397.83858960247</v>
      </c>
      <c r="AA209" s="81">
        <f ca="1">INDEX(AA4:AA203,MATCH($N$209,$N$4:$N$203,0),0)</f>
        <v>136397.83858960247</v>
      </c>
      <c r="AB209" s="1">
        <f t="shared" ca="1" si="21"/>
        <v>5.1955022115215614</v>
      </c>
      <c r="AC209" s="1">
        <f t="shared" ca="1" si="21"/>
        <v>1.3332893978923375</v>
      </c>
      <c r="AD209" s="1">
        <f t="shared" ca="1" si="21"/>
        <v>0.453470396840358</v>
      </c>
      <c r="AE209" s="1">
        <f t="shared" ca="1" si="21"/>
        <v>2.8333333333333326</v>
      </c>
      <c r="AF209" s="1">
        <f t="shared" ca="1" si="21"/>
        <v>19.852941176470594</v>
      </c>
      <c r="AG209" s="1">
        <f t="shared" ca="1" si="21"/>
        <v>12.963225465104335</v>
      </c>
      <c r="AH209" s="1">
        <f t="shared" ca="1" si="21"/>
        <v>47</v>
      </c>
      <c r="AI209" s="1">
        <f t="shared" ca="1" si="21"/>
        <v>2.7845580607376323</v>
      </c>
      <c r="AJ209" s="1">
        <f t="shared" ca="1" si="21"/>
        <v>0.23158842032667748</v>
      </c>
      <c r="AK209" s="1">
        <f t="shared" ca="1" si="21"/>
        <v>0.01</v>
      </c>
      <c r="AL209" s="1">
        <f t="shared" ca="1" si="21"/>
        <v>-0.53974942562596606</v>
      </c>
      <c r="AM209" s="1">
        <f ca="1">INDEX(AM4:AM203,MATCH($N$209,$N$4:$N$203,0),0)</f>
        <v>0</v>
      </c>
    </row>
    <row r="210" spans="2:39">
      <c r="B210" s="100" t="s">
        <v>603</v>
      </c>
      <c r="C210" s="100"/>
      <c r="D210" s="100" t="s">
        <v>609</v>
      </c>
      <c r="E210" s="103"/>
      <c r="F210" s="103"/>
      <c r="G210" s="1"/>
      <c r="H210" s="100" t="s">
        <v>605</v>
      </c>
      <c r="I210" s="100">
        <f>COUNT([1]Variáveis!E45:E54)</f>
        <v>10</v>
      </c>
      <c r="J210" s="100" t="s">
        <v>606</v>
      </c>
      <c r="K210" s="100">
        <v>1</v>
      </c>
      <c r="L210" s="103"/>
      <c r="M210" s="103"/>
      <c r="N210" s="100"/>
      <c r="O210" s="103"/>
      <c r="P210" s="100"/>
    </row>
    <row r="211" spans="2:39">
      <c r="C211" s="100"/>
      <c r="D211" s="1">
        <f ca="1">IF(AND([1]Variáveis!$E$43=1,[1]Variáveis!$L$43=1),[1]Variáveis!Z$42,D211)</f>
        <v>0.29210526315789481</v>
      </c>
      <c r="E211" s="1">
        <f ca="1">IF(AND([1]Variáveis!$E$43=1,[1]Variáveis!$L$43=1),[1]Variáveis!AA$42,E211)</f>
        <v>2</v>
      </c>
      <c r="F211" s="1">
        <f ca="1">IF(AND([1]Variáveis!$E$43=1,[1]Variáveis!$L$43=1),[1]Variáveis!AB$42,F211)</f>
        <v>74.900702884866675</v>
      </c>
      <c r="G211" s="1">
        <f ca="1">IF(AND([1]Variáveis!$E$43=1,[1]Variáveis!$L$43=1),[1]Variáveis!AC$42,G211)</f>
        <v>51.46347211476445</v>
      </c>
      <c r="H211" s="1">
        <f ca="1">IF(AND([1]Variáveis!$E$43=1,[1]Variáveis!$L$43=1),[1]Variáveis!AD$42,H211)</f>
        <v>51.463472114764464</v>
      </c>
      <c r="I211" s="1">
        <f ca="1">IF(AND([1]Variáveis!$E$43=1,[1]Variáveis!$L$43=1),[1]Variáveis!AE$42,I211)</f>
        <v>3.5632068843550018</v>
      </c>
      <c r="J211" s="1">
        <f ca="1">IF(AND([1]Variáveis!$E$43=1,[1]Variáveis!$L$43=1),[1]Variáveis!AF$42,J211)</f>
        <v>14.443021072036402</v>
      </c>
      <c r="K211" s="1">
        <f ca="1">IF(AND([1]Variáveis!$E$43=1,[1]Variáveis!$L$43=1),[1]Variáveis!AG$42,K211)</f>
        <v>15.259433367753834</v>
      </c>
      <c r="L211" s="1">
        <f ca="1">IF(AND([1]Variáveis!$E$43=1,[1]Variáveis!$L$43=1),[1]Variáveis!AH$42,L211)</f>
        <v>54.372518027336888</v>
      </c>
      <c r="M211" s="1">
        <f ca="1">IF(AND([1]Variáveis!$E$43=1,[1]Variáveis!$L$43=1),[1]Variáveis!AI$42,M211)</f>
        <v>74.900702884866675</v>
      </c>
      <c r="N211" s="1">
        <f ca="1">IF(AND([1]Variáveis!$E$43=1,[1]Variáveis!$L$43=1),[1]Variáveis!AJ$42,N211)</f>
        <v>0.30499999999999999</v>
      </c>
      <c r="O211" s="103">
        <f t="shared" ca="1" si="13"/>
        <v>5.3528278403221483</v>
      </c>
      <c r="P211" s="1">
        <f ca="1">IF(AND([1]Variáveis!$E$43=1,[1]Variáveis!$L$43=1),[1]Variáveis!AK$42,P211)</f>
        <v>0.65</v>
      </c>
      <c r="Q211" s="1">
        <f ca="1">IF(AND([1]Variáveis!$E$43=1,[1]Variáveis!$L$43=1),[1]Variáveis!AL$42,Q211)</f>
        <v>10.683821635968679</v>
      </c>
      <c r="R211" s="1"/>
    </row>
    <row r="212" spans="2:39">
      <c r="D212" s="1">
        <f ca="1">IF(AND([1]Variáveis!$E$43=2,[1]Variáveis!$L$43=1),[1]Variáveis!Z$42,D212)</f>
        <v>0.29210526315789481</v>
      </c>
      <c r="E212" s="1">
        <f ca="1">IF(AND([1]Variáveis!$E$43=2,[1]Variáveis!$L$43=1),[1]Variáveis!AA$42,E212)</f>
        <v>2.1111111111111112</v>
      </c>
      <c r="F212" s="1">
        <f ca="1">IF(AND([1]Variáveis!$E$43=2,[1]Variáveis!$L$43=1),[1]Variáveis!AB$42,F212)</f>
        <v>73.108349321909856</v>
      </c>
      <c r="G212" s="1">
        <f ca="1">IF(AND([1]Variáveis!$E$43=2,[1]Variáveis!$L$43=1),[1]Variáveis!AC$42,G212)</f>
        <v>52.783184195989953</v>
      </c>
      <c r="H212" s="1">
        <f ca="1">IF(AND([1]Variáveis!$E$43=2,[1]Variáveis!$L$43=1),[1]Variáveis!AD$42,H212)</f>
        <v>52.783184195989961</v>
      </c>
      <c r="I212" s="1">
        <f ca="1">IF(AND([1]Variáveis!$E$43=2,[1]Variáveis!$L$43=1),[1]Variáveis!AE$42,I212)</f>
        <v>3.5234796577228411</v>
      </c>
      <c r="J212" s="1">
        <f ca="1">IF(AND([1]Variáveis!$E$43=2,[1]Variáveis!$L$43=1),[1]Variáveis!AF$42,J212)</f>
        <v>14.980414057535029</v>
      </c>
      <c r="K212" s="1">
        <f ca="1">IF(AND([1]Variáveis!$E$43=2,[1]Variáveis!$L$43=1),[1]Variáveis!AG$42,K212)</f>
        <v>15.041262088454628</v>
      </c>
      <c r="L212" s="1">
        <f ca="1">IF(AND([1]Variáveis!$E$43=2,[1]Variáveis!$L$43=1),[1]Variáveis!AH$42,L212)</f>
        <v>52.997580995147658</v>
      </c>
      <c r="M212" s="1">
        <f ca="1">IF(AND([1]Variáveis!$E$43=2,[1]Variáveis!$L$43=1),[1]Variáveis!AI$42,M212)</f>
        <v>73.108349321909856</v>
      </c>
      <c r="N212" s="1">
        <f ca="1">IF(AND([1]Variáveis!$E$43=2,[1]Variáveis!$L$43=1),[1]Variáveis!AJ$42,N212)</f>
        <v>0.30499999999999999</v>
      </c>
      <c r="O212" s="103">
        <f t="shared" ca="1" si="13"/>
        <v>5.2773645155456723</v>
      </c>
      <c r="P212" s="1">
        <f ca="1">IF(AND([1]Variáveis!$E$43=2,[1]Variáveis!$L$43=1),[1]Variáveis!AK$42,P212)</f>
        <v>0.65</v>
      </c>
      <c r="Q212" s="1">
        <f ca="1">IF(AND([1]Variáveis!$E$43=2,[1]Variáveis!$L$43=1),[1]Variáveis!AL$42,Q212)</f>
        <v>10.53135692961634</v>
      </c>
      <c r="R212" s="1"/>
    </row>
    <row r="213" spans="2:39">
      <c r="D213" s="1">
        <f ca="1">IF(AND([1]Variáveis!$E$43=3,[1]Variáveis!$L$43=1),[1]Variáveis!Z$42,D213)</f>
        <v>0.25263157894736837</v>
      </c>
      <c r="E213" s="1">
        <f ca="1">IF(AND([1]Variáveis!$E$43=3,[1]Variáveis!$L$43=1),[1]Variáveis!AA$42,E213)</f>
        <v>2.2222222222222223</v>
      </c>
      <c r="F213" s="1">
        <f ca="1">IF(AND([1]Variáveis!$E$43=3,[1]Variáveis!$L$43=1),[1]Variáveis!AB$42,F213)</f>
        <v>61.812133314457931</v>
      </c>
      <c r="G213" s="1">
        <f ca="1">IF(AND([1]Variáveis!$E$43=3,[1]Variáveis!$L$43=1),[1]Variáveis!AC$42,G213)</f>
        <v>47.74835104265005</v>
      </c>
      <c r="H213" s="1">
        <f ca="1">IF(AND([1]Variáveis!$E$43=3,[1]Variáveis!$L$43=1),[1]Variáveis!AD$42,H213)</f>
        <v>47.74835104265005</v>
      </c>
      <c r="I213" s="1">
        <f ca="1">IF(AND([1]Variáveis!$E$43=3,[1]Variáveis!$L$43=1),[1]Variáveis!AE$42,I213)</f>
        <v>3.0163642945945788</v>
      </c>
      <c r="J213" s="1">
        <f ca="1">IF(AND([1]Variáveis!$E$43=3,[1]Variáveis!$L$43=1),[1]Variáveis!AF$42,J213)</f>
        <v>15.829769344577054</v>
      </c>
      <c r="K213" s="1">
        <f ca="1">IF(AND([1]Variáveis!$E$43=3,[1]Variáveis!$L$43=1),[1]Variáveis!AG$42,K213)</f>
        <v>14.992342535286813</v>
      </c>
      <c r="L213" s="1">
        <f ca="1">IF(AND([1]Variáveis!$E$43=3,[1]Variáveis!$L$43=1),[1]Variáveis!AH$42,L213)</f>
        <v>45.222366715770704</v>
      </c>
      <c r="M213" s="1">
        <f ca="1">IF(AND([1]Variáveis!$E$43=3,[1]Variáveis!$L$43=1),[1]Variáveis!AI$42,M213)</f>
        <v>61.812133314457931</v>
      </c>
      <c r="N213" s="1">
        <f ca="1">IF(AND([1]Variáveis!$E$43=3,[1]Variáveis!$L$43=1),[1]Variáveis!AJ$42,N213)</f>
        <v>0.30499999999999999</v>
      </c>
      <c r="O213" s="103">
        <f t="shared" ca="1" si="13"/>
        <v>4.9198991276961133</v>
      </c>
      <c r="P213" s="1">
        <f ca="1">IF(AND([1]Variáveis!$E$43=3,[1]Variáveis!$L$43=1),[1]Variáveis!AK$42,P213)</f>
        <v>0.65</v>
      </c>
      <c r="Q213" s="1">
        <f ca="1">IF(AND([1]Variáveis!$E$43=3,[1]Variáveis!$L$43=1),[1]Variáveis!AL$42,Q213)</f>
        <v>10.497923502662442</v>
      </c>
      <c r="R213" s="1"/>
    </row>
    <row r="214" spans="2:39">
      <c r="D214" s="1">
        <f ca="1">IF(AND([1]Variáveis!$E$43=4,[1]Variáveis!$L$43=1),[1]Variáveis!Z$42,D214)</f>
        <v>0.23684210526315785</v>
      </c>
      <c r="E214" s="1">
        <f ca="1">IF(AND([1]Variáveis!$E$43=4,[1]Variáveis!$L$43=1),[1]Variáveis!AA$42,E214)</f>
        <v>2.3333333333333335</v>
      </c>
      <c r="F214" s="1">
        <f ca="1">IF(AND([1]Variáveis!$E$43=4,[1]Variáveis!$L$43=1),[1]Variáveis!AB$42,F214)</f>
        <v>58.295816851970471</v>
      </c>
      <c r="G214" s="1">
        <f ca="1">IF(AND([1]Variáveis!$E$43=4,[1]Variáveis!$L$43=1),[1]Variáveis!AC$42,G214)</f>
        <v>46.831797392795394</v>
      </c>
      <c r="H214" s="1">
        <f ca="1">IF(AND([1]Variáveis!$E$43=4,[1]Variáveis!$L$43=1),[1]Variáveis!AD$42,H214)</f>
        <v>46.831797392795387</v>
      </c>
      <c r="I214" s="1">
        <f ca="1">IF(AND([1]Variáveis!$E$43=4,[1]Variáveis!$L$43=1),[1]Variáveis!AE$42,I214)</f>
        <v>2.8577389899261165</v>
      </c>
      <c r="J214" s="1">
        <f ca="1">IF(AND([1]Variáveis!$E$43=4,[1]Variáveis!$L$43=1),[1]Variáveis!AF$42,J214)</f>
        <v>16.387709849599023</v>
      </c>
      <c r="K214" s="1">
        <f ca="1">IF(AND([1]Variáveis!$E$43=4,[1]Variáveis!$L$43=1),[1]Variáveis!AG$42,K214)</f>
        <v>14.964632349778416</v>
      </c>
      <c r="L214" s="1">
        <f ca="1">IF(AND([1]Variáveis!$E$43=4,[1]Variáveis!$L$43=1),[1]Variáveis!AH$42,L214)</f>
        <v>42.765013335871458</v>
      </c>
      <c r="M214" s="1">
        <f ca="1">IF(AND([1]Variáveis!$E$43=4,[1]Variáveis!$L$43=1),[1]Variáveis!AI$42,M214)</f>
        <v>58.295816851970471</v>
      </c>
      <c r="N214" s="1">
        <f ca="1">IF(AND([1]Variáveis!$E$43=4,[1]Variáveis!$L$43=1),[1]Variáveis!AJ$42,N214)</f>
        <v>0.30499999999999999</v>
      </c>
      <c r="O214" s="103">
        <f t="shared" ca="1" si="13"/>
        <v>4.797285061168723</v>
      </c>
      <c r="P214" s="1">
        <f ca="1">IF(AND([1]Variáveis!$E$43=4,[1]Variáveis!$L$43=1),[1]Variáveis!AK$42,P214)</f>
        <v>0.65</v>
      </c>
      <c r="Q214" s="1">
        <f ca="1">IF(AND([1]Variáveis!$E$43=4,[1]Variáveis!$L$43=1),[1]Variáveis!AL$42,Q214)</f>
        <v>10.478867286320245</v>
      </c>
      <c r="R214" s="1"/>
    </row>
    <row r="215" spans="2:39">
      <c r="D215" s="1">
        <f ca="1">IF(AND([1]Variáveis!$E$43=5,[1]Variáveis!$L$43=1),[1]Variáveis!Z$42,D215)</f>
        <v>0.22105263157894733</v>
      </c>
      <c r="E215" s="1">
        <f ca="1">IF(AND([1]Variáveis!$E$43=5,[1]Variáveis!$L$43=1),[1]Variáveis!AA$42,E215)</f>
        <v>2.4444444444444446</v>
      </c>
      <c r="F215" s="1">
        <f ca="1">IF(AND([1]Variáveis!$E$43=5,[1]Variáveis!$L$43=1),[1]Variáveis!AB$42,F215)</f>
        <v>55.611295440776935</v>
      </c>
      <c r="G215" s="1">
        <f ca="1">IF(AND([1]Variáveis!$E$43=5,[1]Variáveis!$L$43=1),[1]Variáveis!AC$42,G215)</f>
        <v>45.997086922676715</v>
      </c>
      <c r="H215" s="1">
        <f ca="1">IF(AND([1]Variáveis!$E$43=5,[1]Variáveis!$L$43=1),[1]Variáveis!AD$42,H215)</f>
        <v>45.997086922676715</v>
      </c>
      <c r="I215" s="1">
        <f ca="1">IF(AND([1]Variáveis!$E$43=5,[1]Variáveis!$L$43=1),[1]Variáveis!AE$42,I215)</f>
        <v>2.7272071677030159</v>
      </c>
      <c r="J215" s="1">
        <f ca="1">IF(AND([1]Variáveis!$E$43=5,[1]Variáveis!$L$43=1),[1]Variáveis!AF$42,J215)</f>
        <v>16.866003971901282</v>
      </c>
      <c r="K215" s="1">
        <f ca="1">IF(AND([1]Variáveis!$E$43=5,[1]Variáveis!$L$43=1),[1]Variáveis!AG$42,K215)</f>
        <v>14.997849229245631</v>
      </c>
      <c r="L215" s="1">
        <f ca="1">IF(AND([1]Variáveis!$E$43=5,[1]Variáveis!$L$43=1),[1]Variáveis!AH$42,L215)</f>
        <v>40.902241918127835</v>
      </c>
      <c r="M215" s="1">
        <f ca="1">IF(AND([1]Variáveis!$E$43=5,[1]Variáveis!$L$43=1),[1]Variáveis!AI$42,M215)</f>
        <v>55.611295440776935</v>
      </c>
      <c r="N215" s="1">
        <f ca="1">IF(AND([1]Variáveis!$E$43=5,[1]Variáveis!$L$43=1),[1]Variáveis!AJ$42,N215)</f>
        <v>0.30499999999999999</v>
      </c>
      <c r="O215" s="103">
        <f t="shared" ca="1" si="13"/>
        <v>4.7038954200785765</v>
      </c>
      <c r="P215" s="1">
        <f ca="1">IF(AND([1]Variáveis!$E$43=5,[1]Variáveis!$L$43=1),[1]Variáveis!AK$42,P215)</f>
        <v>0.65</v>
      </c>
      <c r="Q215" s="1">
        <f ca="1">IF(AND([1]Variáveis!$E$43=5,[1]Variáveis!$L$43=1),[1]Variáveis!AL$42,Q215)</f>
        <v>10.502410992376557</v>
      </c>
      <c r="R215" s="1"/>
    </row>
    <row r="216" spans="2:39">
      <c r="D216" s="1">
        <f ca="1">IF(AND([1]Variáveis!$E$43=6,[1]Variáveis!$L$43=1),[1]Variáveis!Z$42,D216)</f>
        <v>0.21315789473684207</v>
      </c>
      <c r="E216" s="1">
        <f ca="1">IF(AND([1]Variáveis!$E$43=6,[1]Variáveis!$L$43=1),[1]Variáveis!AA$42,E216)</f>
        <v>2.5555555555555558</v>
      </c>
      <c r="F216" s="1">
        <f ca="1">IF(AND([1]Variáveis!$E$43=6,[1]Variáveis!$L$43=1),[1]Variáveis!AB$42,F216)</f>
        <v>54.336917026825311</v>
      </c>
      <c r="G216" s="1">
        <f ca="1">IF(AND([1]Variáveis!$E$43=6,[1]Variáveis!$L$43=1),[1]Variáveis!AC$42,G216)</f>
        <v>46.198814299955345</v>
      </c>
      <c r="H216" s="1">
        <f ca="1">IF(AND([1]Variáveis!$E$43=6,[1]Variáveis!$L$43=1),[1]Variáveis!AD$42,H216)</f>
        <v>46.198814299955338</v>
      </c>
      <c r="I216" s="1">
        <f ca="1">IF(AND([1]Variáveis!$E$43=6,[1]Variáveis!$L$43=1),[1]Variáveis!AE$42,I216)</f>
        <v>2.6715631350485132</v>
      </c>
      <c r="J216" s="1">
        <f ca="1">IF(AND([1]Variáveis!$E$43=6,[1]Variáveis!$L$43=1),[1]Variáveis!AF$42,J216)</f>
        <v>17.292802739290835</v>
      </c>
      <c r="K216" s="1">
        <f ca="1">IF(AND([1]Variáveis!$E$43=6,[1]Variáveis!$L$43=1),[1]Variáveis!AG$42,K216)</f>
        <v>14.96983479240455</v>
      </c>
      <c r="L216" s="1">
        <f ca="1">IF(AND([1]Variáveis!$E$43=6,[1]Variáveis!$L$43=1),[1]Variáveis!AH$42,L216)</f>
        <v>39.992858769154608</v>
      </c>
      <c r="M216" s="1">
        <f ca="1">IF(AND([1]Variáveis!$E$43=6,[1]Variáveis!$L$43=1),[1]Variáveis!AI$42,M216)</f>
        <v>54.336917026825311</v>
      </c>
      <c r="N216" s="1">
        <f ca="1">IF(AND([1]Variáveis!$E$43=6,[1]Variáveis!$L$43=1),[1]Variáveis!AJ$42,N216)</f>
        <v>0.30499999999999999</v>
      </c>
      <c r="O216" s="103">
        <f t="shared" ca="1" si="13"/>
        <v>4.654560508984261</v>
      </c>
      <c r="P216" s="1">
        <f ca="1">IF(AND([1]Variáveis!$E$43=6,[1]Variáveis!$L$43=1),[1]Variáveis!AK$42,P216)</f>
        <v>0.65</v>
      </c>
      <c r="Q216" s="1">
        <f ca="1">IF(AND([1]Variáveis!$E$43=6,[1]Variáveis!$L$43=1),[1]Variáveis!AL$42,Q216)</f>
        <v>10.482957289473127</v>
      </c>
      <c r="R216" s="1"/>
    </row>
    <row r="217" spans="2:39">
      <c r="D217" s="1">
        <f ca="1">IF(AND([1]Variáveis!$E$43=7,[1]Variáveis!$L$43=1),[1]Variáveis!Z$42,D217)</f>
        <v>0.20526315789473681</v>
      </c>
      <c r="E217" s="1">
        <f ca="1">IF(AND([1]Variáveis!$E$43=7,[1]Variáveis!$L$43=1),[1]Variáveis!AA$42,E217)</f>
        <v>2.666666666666667</v>
      </c>
      <c r="F217" s="1">
        <f ca="1">IF(AND([1]Variáveis!$E$43=7,[1]Variáveis!$L$43=1),[1]Variáveis!AB$42,F217)</f>
        <v>53.337517865067021</v>
      </c>
      <c r="G217" s="1">
        <f ca="1">IF(AND([1]Variáveis!$E$43=7,[1]Variáveis!$L$43=1),[1]Variáveis!AC$42,G217)</f>
        <v>46.401169262385892</v>
      </c>
      <c r="H217" s="1">
        <f ca="1">IF(AND([1]Variáveis!$E$43=7,[1]Variáveis!$L$43=1),[1]Variáveis!AD$42,H217)</f>
        <v>46.401169262385885</v>
      </c>
      <c r="I217" s="1">
        <f ca="1">IF(AND([1]Variáveis!$E$43=7,[1]Variáveis!$L$43=1),[1]Variáveis!AE$42,I217)</f>
        <v>2.6248859904588975</v>
      </c>
      <c r="J217" s="1">
        <f ca="1">IF(AND([1]Variáveis!$E$43=7,[1]Variáveis!$L$43=1),[1]Variáveis!AF$42,J217)</f>
        <v>17.677403678120804</v>
      </c>
      <c r="K217" s="1">
        <f ca="1">IF(AND([1]Variáveis!$E$43=7,[1]Variáveis!$L$43=1),[1]Variáveis!AG$42,K217)</f>
        <v>14.966277479327641</v>
      </c>
      <c r="L217" s="1">
        <f ca="1">IF(AND([1]Variáveis!$E$43=7,[1]Variáveis!$L$43=1),[1]Variáveis!AH$42,L217)</f>
        <v>39.284772084807628</v>
      </c>
      <c r="M217" s="1">
        <f ca="1">IF(AND([1]Variáveis!$E$43=7,[1]Variáveis!$L$43=1),[1]Variáveis!AI$42,M217)</f>
        <v>53.337517865067021</v>
      </c>
      <c r="N217" s="1">
        <f ca="1">IF(AND([1]Variáveis!$E$43=7,[1]Variáveis!$L$43=1),[1]Variáveis!AJ$42,N217)</f>
        <v>0.30499999999999999</v>
      </c>
      <c r="O217" s="103">
        <f t="shared" ca="1" si="13"/>
        <v>4.6164013088407962</v>
      </c>
      <c r="P217" s="1">
        <f ca="1">IF(AND([1]Variáveis!$E$43=7,[1]Variáveis!$L$43=1),[1]Variáveis!AK$42,P217)</f>
        <v>0.65</v>
      </c>
      <c r="Q217" s="1">
        <f ca="1">IF(AND([1]Variáveis!$E$43=7,[1]Variáveis!$L$43=1),[1]Variáveis!AL$42,Q217)</f>
        <v>10.48060538132806</v>
      </c>
      <c r="R217" s="1"/>
    </row>
    <row r="218" spans="2:39">
      <c r="D218" s="1">
        <f ca="1">IF(AND([1]Variáveis!$E$43=8,[1]Variáveis!$L$43=1),[1]Variáveis!Z$42,D218)</f>
        <v>0.19736842105263155</v>
      </c>
      <c r="E218" s="1">
        <f ca="1">IF(AND([1]Variáveis!$E$43=8,[1]Variáveis!$L$43=1),[1]Variáveis!AA$42,E218)</f>
        <v>2.7777777777777781</v>
      </c>
      <c r="F218" s="1">
        <f ca="1">IF(AND([1]Variáveis!$E$43=8,[1]Variáveis!$L$43=1),[1]Variáveis!AB$42,F218)</f>
        <v>52.579106454717142</v>
      </c>
      <c r="G218" s="1">
        <f ca="1">IF(AND([1]Variáveis!$E$43=8,[1]Variáveis!$L$43=1),[1]Variáveis!AC$42,G218)</f>
        <v>46.595082105882923</v>
      </c>
      <c r="H218" s="1">
        <f ca="1">IF(AND([1]Variáveis!$E$43=8,[1]Variáveis!$L$43=1),[1]Variáveis!AD$42,H218)</f>
        <v>46.595082105882923</v>
      </c>
      <c r="I218" s="1">
        <f ca="1">IF(AND([1]Variáveis!$E$43=8,[1]Variáveis!$L$43=1),[1]Variáveis!AE$42,I218)</f>
        <v>2.5860792007471516</v>
      </c>
      <c r="J218" s="1">
        <f ca="1">IF(AND([1]Variáveis!$E$43=8,[1]Variáveis!$L$43=1),[1]Variáveis!AF$42,J218)</f>
        <v>18.01765471545535</v>
      </c>
      <c r="K218" s="1">
        <f ca="1">IF(AND([1]Variáveis!$E$43=8,[1]Variáveis!$L$43=1),[1]Variáveis!AG$42,K218)</f>
        <v>14.985344526386626</v>
      </c>
      <c r="L218" s="1">
        <f ca="1">IF(AND([1]Variáveis!$E$43=8,[1]Variáveis!$L$43=1),[1]Variáveis!AH$42,L218)</f>
        <v>38.753287795718627</v>
      </c>
      <c r="M218" s="1">
        <f ca="1">IF(AND([1]Variáveis!$E$43=8,[1]Variáveis!$L$43=1),[1]Variáveis!AI$42,M218)</f>
        <v>52.579106454717142</v>
      </c>
      <c r="N218" s="1">
        <f ca="1">IF(AND([1]Variáveis!$E$43=8,[1]Variáveis!$L$43=1),[1]Variáveis!AJ$42,N218)</f>
        <v>0.30499999999999999</v>
      </c>
      <c r="O218" s="103">
        <f t="shared" ca="1" si="13"/>
        <v>4.5882770015295993</v>
      </c>
      <c r="P218" s="1">
        <f ca="1">IF(AND([1]Variáveis!$E$43=8,[1]Variáveis!$L$43=1),[1]Variáveis!AK$42,P218)</f>
        <v>0.65</v>
      </c>
      <c r="Q218" s="1">
        <f ca="1">IF(AND([1]Variáveis!$E$43=8,[1]Variáveis!$L$43=1),[1]Variáveis!AL$42,Q218)</f>
        <v>10.494076691270317</v>
      </c>
      <c r="R218" s="1"/>
    </row>
    <row r="219" spans="2:39">
      <c r="D219" s="1">
        <f ca="1">IF(AND([1]Variáveis!$E$43=9,[1]Variáveis!$L$43=1),[1]Variáveis!Z$42,D219)</f>
        <v>0.18947368421052629</v>
      </c>
      <c r="E219" s="1">
        <f ca="1">IF(AND([1]Variáveis!$E$43=9,[1]Variáveis!$L$43=1),[1]Variáveis!AA$42,E219)</f>
        <v>2.8888888888888893</v>
      </c>
      <c r="F219" s="1">
        <f ca="1">IF(AND([1]Variáveis!$E$43=9,[1]Variáveis!$L$43=1),[1]Variáveis!AB$42,F219)</f>
        <v>52.038860817562281</v>
      </c>
      <c r="G219" s="1">
        <f ca="1">IF(AND([1]Variáveis!$E$43=9,[1]Variáveis!$L$43=1),[1]Variáveis!AC$42,G219)</f>
        <v>46.773909369556115</v>
      </c>
      <c r="H219" s="1">
        <f ca="1">IF(AND([1]Variáveis!$E$43=9,[1]Variáveis!$L$43=1),[1]Variáveis!AD$42,H219)</f>
        <v>46.773909369556122</v>
      </c>
      <c r="I219" s="1">
        <f ca="1">IF(AND([1]Variáveis!$E$43=9,[1]Variáveis!$L$43=1),[1]Variáveis!AE$42,I219)</f>
        <v>2.5543735989879512</v>
      </c>
      <c r="J219" s="1">
        <f ca="1">IF(AND([1]Variáveis!$E$43=9,[1]Variáveis!$L$43=1),[1]Variáveis!AF$42,J219)</f>
        <v>18.311303165710786</v>
      </c>
      <c r="K219" s="1">
        <f ca="1">IF(AND([1]Variáveis!$E$43=9,[1]Variáveis!$L$43=1),[1]Variáveis!AG$42,K219)</f>
        <v>15.02595271924211</v>
      </c>
      <c r="L219" s="1">
        <f ca="1">IF(AND([1]Variáveis!$E$43=9,[1]Variáveis!$L$43=1),[1]Variáveis!AH$42,L219)</f>
        <v>38.38189692567326</v>
      </c>
      <c r="M219" s="1">
        <f ca="1">IF(AND([1]Variáveis!$E$43=9,[1]Variáveis!$L$43=1),[1]Variáveis!AI$42,M219)</f>
        <v>52.038860817562281</v>
      </c>
      <c r="N219" s="1">
        <f ca="1">IF(AND([1]Variáveis!$E$43=9,[1]Variáveis!$L$43=1),[1]Variáveis!AJ$42,N219)</f>
        <v>0.30499999999999999</v>
      </c>
      <c r="O219" s="103">
        <f t="shared" ca="1" si="13"/>
        <v>4.5694283448178101</v>
      </c>
      <c r="P219" s="1">
        <f ca="1">IF(AND([1]Variáveis!$E$43=9,[1]Variáveis!$L$43=1),[1]Variáveis!AK$42,P219)</f>
        <v>0.65</v>
      </c>
      <c r="Q219" s="1">
        <f ca="1">IF(AND([1]Variáveis!$E$43=9,[1]Variáveis!$L$43=1),[1]Variáveis!AL$42,Q219)</f>
        <v>10.522616478091582</v>
      </c>
      <c r="R219" s="1"/>
    </row>
    <row r="220" spans="2:39">
      <c r="D220" s="1">
        <f ca="1">IF(AND([1]Variáveis!$E$43=10,[1]Variáveis!$L$43=1),[1]Variáveis!Z$42,D220)</f>
        <v>0.18947368421052629</v>
      </c>
      <c r="E220" s="1">
        <f ca="1">IF(AND([1]Variáveis!$E$43=10,[1]Variáveis!$L$43=1),[1]Variáveis!AA$42,E220)</f>
        <v>3</v>
      </c>
      <c r="F220" s="1">
        <f ca="1">IF(AND([1]Variáveis!$E$43=10,[1]Variáveis!$L$43=1),[1]Variáveis!AB$42,F220)</f>
        <v>52.133128869047965</v>
      </c>
      <c r="G220" s="1">
        <f ca="1">IF(AND([1]Variáveis!$E$43=10,[1]Variáveis!$L$43=1),[1]Variáveis!AC$42,G220)</f>
        <v>48.028389869440218</v>
      </c>
      <c r="H220" s="1">
        <f ca="1">IF(AND([1]Variáveis!$E$43=10,[1]Variáveis!$L$43=1),[1]Variáveis!AD$42,H220)</f>
        <v>48.028389869440204</v>
      </c>
      <c r="I220" s="1">
        <f ca="1">IF(AND([1]Variáveis!$E$43=10,[1]Variáveis!$L$43=1),[1]Variáveis!AE$42,I220)</f>
        <v>2.5707603073017595</v>
      </c>
      <c r="J220" s="1">
        <f ca="1">IF(AND([1]Variáveis!$E$43=10,[1]Variáveis!$L$43=1),[1]Variáveis!AF$42,J220)</f>
        <v>18.682562404991483</v>
      </c>
      <c r="K220" s="1">
        <f ca="1">IF(AND([1]Variáveis!$E$43=10,[1]Variáveis!$L$43=1),[1]Variáveis!AG$42,K220)</f>
        <v>14.94143163460426</v>
      </c>
      <c r="L220" s="1">
        <f ca="1">IF(AND([1]Variáveis!$E$43=10,[1]Variáveis!$L$43=1),[1]Variáveis!AH$42,L220)</f>
        <v>38.410839380503482</v>
      </c>
      <c r="M220" s="1">
        <f ca="1">IF(AND([1]Variáveis!$E$43=10,[1]Variáveis!$L$43=1),[1]Variáveis!AI$42,M220)</f>
        <v>52.133128869047965</v>
      </c>
      <c r="N220" s="1">
        <f ca="1">IF(AND([1]Variáveis!$E$43=10,[1]Variáveis!$L$43=1),[1]Variáveis!AJ$42,N220)</f>
        <v>0.30499999999999999</v>
      </c>
      <c r="O220" s="103">
        <f t="shared" ca="1" si="13"/>
        <v>4.5663259206082936</v>
      </c>
      <c r="P220" s="1">
        <f ca="1">IF(AND([1]Variáveis!$E$43=10,[1]Variáveis!$L$43=1),[1]Variáveis!AK$42,P220)</f>
        <v>0.65</v>
      </c>
      <c r="Q220" s="1">
        <f ca="1">IF(AND([1]Variáveis!$E$43=10,[1]Variáveis!$L$43=1),[1]Variáveis!AL$42,Q220)</f>
        <v>10.463469493721</v>
      </c>
      <c r="R220" s="1"/>
    </row>
    <row r="221" spans="2:39">
      <c r="B221" s="100" t="s">
        <v>603</v>
      </c>
      <c r="C221" s="100"/>
      <c r="D221" s="100" t="s">
        <v>610</v>
      </c>
      <c r="E221" s="103"/>
      <c r="F221" s="103"/>
      <c r="G221" s="1"/>
      <c r="H221" s="100" t="s">
        <v>605</v>
      </c>
      <c r="I221" s="100">
        <f>I210</f>
        <v>10</v>
      </c>
      <c r="J221" s="100" t="s">
        <v>606</v>
      </c>
      <c r="K221" s="100">
        <v>1</v>
      </c>
      <c r="L221" s="103"/>
      <c r="M221" s="103"/>
      <c r="N221" s="100"/>
      <c r="O221" s="103"/>
      <c r="P221" s="100"/>
    </row>
    <row r="222" spans="2:39">
      <c r="C222" s="100"/>
      <c r="D222" s="1">
        <f ca="1">IF(AND([1]Variáveis!$E$43=1,[1]Variáveis!$L$43=1),[1]Variáveis!Z$43,D222)</f>
        <v>0.29210526315789481</v>
      </c>
      <c r="E222" s="1">
        <f ca="1">IF(AND([1]Variáveis!$E$43=1,[1]Variáveis!$L$43=1),[1]Variáveis!AA$43,E222)</f>
        <v>2</v>
      </c>
      <c r="F222" s="1">
        <f ca="1">IF(AND([1]Variáveis!$E$43=1,[1]Variáveis!$L$43=1),[1]Variáveis!AB$43,F222)</f>
        <v>74.900702884866675</v>
      </c>
      <c r="G222" s="1">
        <f ca="1">IF(AND([1]Variáveis!$E$43=1,[1]Variáveis!$L$43=1),[1]Variáveis!AC$43,G222)</f>
        <v>51.46347211476445</v>
      </c>
      <c r="H222" s="1">
        <f ca="1">IF(AND([1]Variáveis!$E$43=1,[1]Variáveis!$L$43=1),[1]Variáveis!AD$43,H222)</f>
        <v>51.463472114764464</v>
      </c>
      <c r="I222" s="1">
        <f ca="1">IF(AND([1]Variáveis!$E$43=1,[1]Variáveis!$L$43=1),[1]Variáveis!AE$43,I222)</f>
        <v>3.5632068843550018</v>
      </c>
      <c r="J222" s="1">
        <f ca="1">IF(AND([1]Variáveis!$E$43=1,[1]Variáveis!$L$43=1),[1]Variáveis!AF$43,J222)</f>
        <v>14.443021072036402</v>
      </c>
      <c r="K222" s="1">
        <f ca="1">IF(AND([1]Variáveis!$E$43=1,[1]Variáveis!$L$43=1),[1]Variáveis!AG$43,K222)</f>
        <v>15.259433367753834</v>
      </c>
      <c r="L222" s="1">
        <f ca="1">IF(AND([1]Variáveis!$E$43=1,[1]Variáveis!$L$43=1),[1]Variáveis!AH$43,L222)</f>
        <v>54.372518027336888</v>
      </c>
      <c r="M222" s="1">
        <f ca="1">IF(AND([1]Variáveis!$E$43=1,[1]Variáveis!$L$43=1),[1]Variáveis!AI$43,M222)</f>
        <v>74.900702884866675</v>
      </c>
      <c r="N222" s="1">
        <f ca="1">IF(AND([1]Variáveis!$E$43=1,[1]Variáveis!$L$43=1),[1]Variáveis!AJ$43,N222)</f>
        <v>0.30499999999999999</v>
      </c>
      <c r="O222" s="103">
        <f t="shared" ca="1" si="13"/>
        <v>5.3528278403221483</v>
      </c>
      <c r="P222" s="1">
        <f ca="1">IF(AND([1]Variáveis!$E$43=1,[1]Variáveis!$L$43=1),[1]Variáveis!AK$43,P222)</f>
        <v>0.65</v>
      </c>
      <c r="Q222" s="1">
        <f ca="1">IF(AND([1]Variáveis!$E$43=1,[1]Variáveis!$L$43=1),[1]Variáveis!AL$43,Q222)</f>
        <v>10.683821635968679</v>
      </c>
      <c r="R222" s="1"/>
    </row>
    <row r="223" spans="2:39">
      <c r="D223" s="1">
        <f ca="1">IF(AND([1]Variáveis!$E$43=2,[1]Variáveis!$L$43=1),[1]Variáveis!Z$43,D223)</f>
        <v>0.29210526315789481</v>
      </c>
      <c r="E223" s="1">
        <f ca="1">IF(AND([1]Variáveis!$E$43=2,[1]Variáveis!$L$43=1),[1]Variáveis!AA$43,E223)</f>
        <v>2.1111111111111112</v>
      </c>
      <c r="F223" s="1">
        <f ca="1">IF(AND([1]Variáveis!$E$43=2,[1]Variáveis!$L$43=1),[1]Variáveis!AB$43,F223)</f>
        <v>73.108349321909856</v>
      </c>
      <c r="G223" s="1">
        <f ca="1">IF(AND([1]Variáveis!$E$43=2,[1]Variáveis!$L$43=1),[1]Variáveis!AC$43,G223)</f>
        <v>52.783184195989953</v>
      </c>
      <c r="H223" s="1">
        <f ca="1">IF(AND([1]Variáveis!$E$43=2,[1]Variáveis!$L$43=1),[1]Variáveis!AD$43,H223)</f>
        <v>52.783184195989961</v>
      </c>
      <c r="I223" s="1">
        <f ca="1">IF(AND([1]Variáveis!$E$43=2,[1]Variáveis!$L$43=1),[1]Variáveis!AE$43,I223)</f>
        <v>3.5234796577228411</v>
      </c>
      <c r="J223" s="1">
        <f ca="1">IF(AND([1]Variáveis!$E$43=2,[1]Variáveis!$L$43=1),[1]Variáveis!AF$43,J223)</f>
        <v>14.980414057535029</v>
      </c>
      <c r="K223" s="1">
        <f ca="1">IF(AND([1]Variáveis!$E$43=2,[1]Variáveis!$L$43=1),[1]Variáveis!AG$43,K223)</f>
        <v>15.041262088454628</v>
      </c>
      <c r="L223" s="1">
        <f ca="1">IF(AND([1]Variáveis!$E$43=2,[1]Variáveis!$L$43=1),[1]Variáveis!AH$43,L223)</f>
        <v>52.997580995147658</v>
      </c>
      <c r="M223" s="1">
        <f ca="1">IF(AND([1]Variáveis!$E$43=2,[1]Variáveis!$L$43=1),[1]Variáveis!AI$43,M223)</f>
        <v>73.108349321909856</v>
      </c>
      <c r="N223" s="1">
        <f ca="1">IF(AND([1]Variáveis!$E$43=2,[1]Variáveis!$L$43=1),[1]Variáveis!AJ$43,N223)</f>
        <v>0.30499999999999999</v>
      </c>
      <c r="O223" s="103">
        <f t="shared" ca="1" si="13"/>
        <v>5.2773645155456723</v>
      </c>
      <c r="P223" s="1">
        <f ca="1">IF(AND([1]Variáveis!$E$43=2,[1]Variáveis!$L$43=1),[1]Variáveis!AK$43,P223)</f>
        <v>0.65</v>
      </c>
      <c r="Q223" s="1">
        <f ca="1">IF(AND([1]Variáveis!$E$43=2,[1]Variáveis!$L$43=1),[1]Variáveis!AL$43,Q223)</f>
        <v>10.53135692961634</v>
      </c>
      <c r="R223" s="1"/>
    </row>
    <row r="224" spans="2:39">
      <c r="D224" s="1">
        <f ca="1">IF(AND([1]Variáveis!$E$43=3,[1]Variáveis!$L$43=1),[1]Variáveis!Z$43,D224)</f>
        <v>0.28421052631578952</v>
      </c>
      <c r="E224" s="1">
        <f ca="1">IF(AND([1]Variáveis!$E$43=3,[1]Variáveis!$L$43=1),[1]Variáveis!AA$43,E224)</f>
        <v>2.2222222222222223</v>
      </c>
      <c r="F224" s="1">
        <f ca="1">IF(AND([1]Variáveis!$E$43=3,[1]Variáveis!$L$43=1),[1]Variáveis!AB$43,F224)</f>
        <v>69.426416282923384</v>
      </c>
      <c r="G224" s="1">
        <f ca="1">IF(AND([1]Variáveis!$E$43=3,[1]Variáveis!$L$43=1),[1]Variáveis!AC$43,G224)</f>
        <v>52.800591365676176</v>
      </c>
      <c r="H224" s="1">
        <f ca="1">IF(AND([1]Variáveis!$E$43=3,[1]Variáveis!$L$43=1),[1]Variáveis!AD$43,H224)</f>
        <v>52.800591365676162</v>
      </c>
      <c r="I224" s="1">
        <f ca="1">IF(AND([1]Variáveis!$E$43=3,[1]Variáveis!$L$43=1),[1]Variáveis!AE$43,I224)</f>
        <v>3.3886131893780691</v>
      </c>
      <c r="J224" s="1">
        <f ca="1">IF(AND([1]Variáveis!$E$43=3,[1]Variáveis!$L$43=1),[1]Variáveis!AF$43,J224)</f>
        <v>15.581770008800252</v>
      </c>
      <c r="K224" s="1">
        <f ca="1">IF(AND([1]Variáveis!$E$43=3,[1]Variáveis!$L$43=1),[1]Variáveis!AG$43,K224)</f>
        <v>14.864563497745099</v>
      </c>
      <c r="L224" s="1">
        <f ca="1">IF(AND([1]Variáveis!$E$43=3,[1]Variáveis!$L$43=1),[1]Variáveis!AH$43,L224)</f>
        <v>50.370255922806848</v>
      </c>
      <c r="M224" s="1">
        <f ca="1">IF(AND([1]Variáveis!$E$43=3,[1]Variáveis!$L$43=1),[1]Variáveis!AI$43,M224)</f>
        <v>69.426416282923384</v>
      </c>
      <c r="N224" s="1">
        <f ca="1">IF(AND([1]Variáveis!$E$43=3,[1]Variáveis!$L$43=1),[1]Variáveis!AJ$43,N224)</f>
        <v>0.30499999999999999</v>
      </c>
      <c r="O224" s="103">
        <f t="shared" ca="1" si="13"/>
        <v>5.1491612005605845</v>
      </c>
      <c r="P224" s="1">
        <f ca="1">IF(AND([1]Variáveis!$E$43=3,[1]Variáveis!$L$43=1),[1]Variáveis!AK$43,P224)</f>
        <v>0.65</v>
      </c>
      <c r="Q224" s="1">
        <f ca="1">IF(AND([1]Variáveis!$E$43=3,[1]Variáveis!$L$43=1),[1]Variáveis!AL$43,Q224)</f>
        <v>10.408001516433762</v>
      </c>
      <c r="R224" s="1"/>
    </row>
    <row r="225" spans="2:18">
      <c r="D225" s="1">
        <f ca="1">IF(AND([1]Variáveis!$E$43=4,[1]Variáveis!$L$43=1),[1]Variáveis!Z$43,D225)</f>
        <v>0.28421052631578952</v>
      </c>
      <c r="E225" s="1">
        <f ca="1">IF(AND([1]Variáveis!$E$43=4,[1]Variáveis!$L$43=1),[1]Variáveis!AA$43,E225)</f>
        <v>2.3333333333333335</v>
      </c>
      <c r="F225" s="1">
        <f ca="1">IF(AND([1]Variáveis!$E$43=4,[1]Variáveis!$L$43=1),[1]Variáveis!AB$43,F225)</f>
        <v>68.728502111860209</v>
      </c>
      <c r="G225" s="1">
        <f ca="1">IF(AND([1]Variáveis!$E$43=4,[1]Variáveis!$L$43=1),[1]Variáveis!AC$43,G225)</f>
        <v>54.395439620748689</v>
      </c>
      <c r="H225" s="1">
        <f ca="1">IF(AND([1]Variáveis!$E$43=4,[1]Variáveis!$L$43=1),[1]Variáveis!AD$43,H225)</f>
        <v>54.395439620748689</v>
      </c>
      <c r="I225" s="1">
        <f ca="1">IF(AND([1]Variáveis!$E$43=4,[1]Variáveis!$L$43=1),[1]Variáveis!AE$43,I225)</f>
        <v>3.3821946831572962</v>
      </c>
      <c r="J225" s="1">
        <f ca="1">IF(AND([1]Variáveis!$E$43=4,[1]Variáveis!$L$43=1),[1]Variáveis!AF$43,J225)</f>
        <v>16.082882482084166</v>
      </c>
      <c r="K225" s="1">
        <f ca="1">IF(AND([1]Variáveis!$E$43=4,[1]Variáveis!$L$43=1),[1]Variáveis!AG$43,K225)</f>
        <v>14.723500776580799</v>
      </c>
      <c r="L225" s="1">
        <f ca="1">IF(AND([1]Variáveis!$E$43=4,[1]Variáveis!$L$43=1),[1]Variáveis!AH$43,L225)</f>
        <v>49.797746044013898</v>
      </c>
      <c r="M225" s="1">
        <f ca="1">IF(AND([1]Variáveis!$E$43=4,[1]Variáveis!$L$43=1),[1]Variáveis!AI$43,M225)</f>
        <v>68.728502111860209</v>
      </c>
      <c r="N225" s="1">
        <f ca="1">IF(AND([1]Variáveis!$E$43=4,[1]Variáveis!$L$43=1),[1]Variáveis!AJ$43,N225)</f>
        <v>0.30499999999999999</v>
      </c>
      <c r="O225" s="103">
        <f t="shared" ca="1" si="13"/>
        <v>5.113021868751372</v>
      </c>
      <c r="P225" s="1">
        <f ca="1">IF(AND([1]Variáveis!$E$43=4,[1]Variáveis!$L$43=1),[1]Variáveis!AK$43,P225)</f>
        <v>0.65</v>
      </c>
      <c r="Q225" s="1">
        <f ca="1">IF(AND([1]Variáveis!$E$43=4,[1]Variáveis!$L$43=1),[1]Variáveis!AL$43,Q225)</f>
        <v>10.309427515414971</v>
      </c>
      <c r="R225" s="1"/>
    </row>
    <row r="226" spans="2:18">
      <c r="D226" s="1">
        <f ca="1">IF(AND([1]Variáveis!$E$43=5,[1]Variáveis!$L$43=1),[1]Variáveis!Z$43,D226)</f>
        <v>0.28421052631578952</v>
      </c>
      <c r="E226" s="1">
        <f ca="1">IF(AND([1]Variáveis!$E$43=5,[1]Variáveis!$L$43=1),[1]Variáveis!AA$43,E226)</f>
        <v>2.4444444444444446</v>
      </c>
      <c r="F226" s="1">
        <f ca="1">IF(AND([1]Variáveis!$E$43=5,[1]Variáveis!$L$43=1),[1]Variáveis!AB$43,F226)</f>
        <v>68.420912581174989</v>
      </c>
      <c r="G226" s="1">
        <f ca="1">IF(AND([1]Variáveis!$E$43=5,[1]Variáveis!$L$43=1),[1]Variáveis!AC$43,G226)</f>
        <v>56.131798907432156</v>
      </c>
      <c r="H226" s="1">
        <f ca="1">IF(AND([1]Variáveis!$E$43=5,[1]Variáveis!$L$43=1),[1]Variáveis!AD$43,H226)</f>
        <v>56.131798907432149</v>
      </c>
      <c r="I226" s="1">
        <f ca="1">IF(AND([1]Variáveis!$E$43=5,[1]Variáveis!$L$43=1),[1]Variáveis!AE$43,I226)</f>
        <v>3.3881882360247895</v>
      </c>
      <c r="J226" s="1">
        <f ca="1">IF(AND([1]Variáveis!$E$43=5,[1]Variáveis!$L$43=1),[1]Variáveis!AF$43,J226)</f>
        <v>16.566906853229941</v>
      </c>
      <c r="K226" s="1">
        <f ca="1">IF(AND([1]Variáveis!$E$43=5,[1]Variáveis!$L$43=1),[1]Variáveis!AG$43,K226)</f>
        <v>14.612530540852971</v>
      </c>
      <c r="L226" s="1">
        <f ca="1">IF(AND([1]Variáveis!$E$43=5,[1]Variáveis!$L$43=1),[1]Variáveis!AH$43,L226)</f>
        <v>49.510004077070988</v>
      </c>
      <c r="M226" s="1">
        <f ca="1">IF(AND([1]Variáveis!$E$43=5,[1]Variáveis!$L$43=1),[1]Variáveis!AI$43,M226)</f>
        <v>68.420912581174989</v>
      </c>
      <c r="N226" s="1">
        <f ca="1">IF(AND([1]Variáveis!$E$43=5,[1]Variáveis!$L$43=1),[1]Variáveis!AJ$43,N226)</f>
        <v>0.30499999999999999</v>
      </c>
      <c r="O226" s="103">
        <f t="shared" ca="1" si="13"/>
        <v>5.0915566562996277</v>
      </c>
      <c r="P226" s="1">
        <f ca="1">IF(AND([1]Variáveis!$E$43=5,[1]Variáveis!$L$43=1),[1]Variáveis!AK$43,P226)</f>
        <v>0.65</v>
      </c>
      <c r="Q226" s="1">
        <f ca="1">IF(AND([1]Variáveis!$E$43=5,[1]Variáveis!$L$43=1),[1]Variáveis!AL$43,Q226)</f>
        <v>10.231895389037019</v>
      </c>
      <c r="R226" s="1"/>
    </row>
    <row r="227" spans="2:18">
      <c r="D227" s="1">
        <f ca="1">IF(AND([1]Variáveis!$E$43=6,[1]Variáveis!$L$43=1),[1]Variáveis!Z$43,D227)</f>
        <v>0.27631578947368424</v>
      </c>
      <c r="E227" s="1">
        <f ca="1">IF(AND([1]Variáveis!$E$43=6,[1]Variáveis!$L$43=1),[1]Variáveis!AA$43,E227)</f>
        <v>2.5555555555555558</v>
      </c>
      <c r="F227" s="1">
        <f ca="1">IF(AND([1]Variáveis!$E$43=6,[1]Variáveis!$L$43=1),[1]Variáveis!AB$43,F227)</f>
        <v>66.056218416797819</v>
      </c>
      <c r="G227" s="1">
        <f ca="1">IF(AND([1]Variáveis!$E$43=6,[1]Variáveis!$L$43=1),[1]Variáveis!AC$43,G227)</f>
        <v>56.357485292392546</v>
      </c>
      <c r="H227" s="1">
        <f ca="1">IF(AND([1]Variáveis!$E$43=6,[1]Variáveis!$L$43=1),[1]Variáveis!AD$43,H227)</f>
        <v>56.357485292392539</v>
      </c>
      <c r="I227" s="1">
        <f ca="1">IF(AND([1]Variáveis!$E$43=6,[1]Variáveis!$L$43=1),[1]Variáveis!AE$43,I227)</f>
        <v>3.2942866620378242</v>
      </c>
      <c r="J227" s="1">
        <f ca="1">IF(AND([1]Variáveis!$E$43=6,[1]Variáveis!$L$43=1),[1]Variáveis!AF$43,J227)</f>
        <v>17.107644559848403</v>
      </c>
      <c r="K227" s="1">
        <f ca="1">IF(AND([1]Variáveis!$E$43=6,[1]Variáveis!$L$43=1),[1]Variáveis!AG$43,K227)</f>
        <v>14.522834927441622</v>
      </c>
      <c r="L227" s="1">
        <f ca="1">IF(AND([1]Variáveis!$E$43=6,[1]Variáveis!$L$43=1),[1]Variáveis!AH$43,L227)</f>
        <v>47.842381396447983</v>
      </c>
      <c r="M227" s="1">
        <f ca="1">IF(AND([1]Variáveis!$E$43=6,[1]Variáveis!$L$43=1),[1]Variáveis!AI$43,M227)</f>
        <v>66.056218416797819</v>
      </c>
      <c r="N227" s="1">
        <f ca="1">IF(AND([1]Variáveis!$E$43=6,[1]Variáveis!$L$43=1),[1]Variáveis!AJ$43,N227)</f>
        <v>0.30499999999999999</v>
      </c>
      <c r="O227" s="103">
        <f t="shared" ca="1" si="13"/>
        <v>5.0096279781753505</v>
      </c>
      <c r="P227" s="1">
        <f ca="1">IF(AND([1]Variáveis!$E$43=6,[1]Variáveis!$L$43=1),[1]Variáveis!AK$43,P227)</f>
        <v>0.65</v>
      </c>
      <c r="Q227" s="1">
        <f ca="1">IF(AND([1]Variáveis!$E$43=6,[1]Variáveis!$L$43=1),[1]Variáveis!AL$43,Q227)</f>
        <v>10.169323539055673</v>
      </c>
      <c r="R227" s="1"/>
    </row>
    <row r="228" spans="2:18">
      <c r="D228" s="1">
        <f ca="1">IF(AND([1]Variáveis!$E$43=7,[1]Variáveis!$L$43=1),[1]Variáveis!Z$43,D228)</f>
        <v>0.27631578947368424</v>
      </c>
      <c r="E228" s="1">
        <f ca="1">IF(AND([1]Variáveis!$E$43=7,[1]Variáveis!$L$43=1),[1]Variáveis!AA$43,E228)</f>
        <v>2.666666666666667</v>
      </c>
      <c r="F228" s="1">
        <f ca="1">IF(AND([1]Variáveis!$E$43=7,[1]Variáveis!$L$43=1),[1]Variáveis!AB$43,F228)</f>
        <v>66.291370807141405</v>
      </c>
      <c r="G228" s="1">
        <f ca="1">IF(AND([1]Variáveis!$E$43=7,[1]Variáveis!$L$43=1),[1]Variáveis!AC$43,G228)</f>
        <v>58.252610576682557</v>
      </c>
      <c r="H228" s="1">
        <f ca="1">IF(AND([1]Variáveis!$E$43=7,[1]Variáveis!$L$43=1),[1]Variáveis!AD$43,H228)</f>
        <v>58.252610576682557</v>
      </c>
      <c r="I228" s="1">
        <f ca="1">IF(AND([1]Variáveis!$E$43=7,[1]Variáveis!$L$43=1),[1]Variáveis!AE$43,I228)</f>
        <v>3.3175767914474208</v>
      </c>
      <c r="J228" s="1">
        <f ca="1">IF(AND([1]Variáveis!$E$43=7,[1]Variáveis!$L$43=1),[1]Variáveis!AF$43,J228)</f>
        <v>17.558782882390375</v>
      </c>
      <c r="K228" s="1">
        <f ca="1">IF(AND([1]Variáveis!$E$43=7,[1]Variáveis!$L$43=1),[1]Variáveis!AG$43,K228)</f>
        <v>14.453943506322227</v>
      </c>
      <c r="L228" s="1">
        <f ca="1">IF(AND([1]Variáveis!$E$43=7,[1]Variáveis!$L$43=1),[1]Variáveis!AH$43,L228)</f>
        <v>47.95206752146678</v>
      </c>
      <c r="M228" s="1">
        <f ca="1">IF(AND([1]Variáveis!$E$43=7,[1]Variáveis!$L$43=1),[1]Variáveis!AI$43,M228)</f>
        <v>66.291370807141405</v>
      </c>
      <c r="N228" s="1">
        <f ca="1">IF(AND([1]Variáveis!$E$43=7,[1]Variáveis!$L$43=1),[1]Variáveis!AJ$43,N228)</f>
        <v>0.30499999999999999</v>
      </c>
      <c r="O228" s="103">
        <f t="shared" ca="1" si="13"/>
        <v>5.0090343050546373</v>
      </c>
      <c r="P228" s="1">
        <f ca="1">IF(AND([1]Variáveis!$E$43=7,[1]Variáveis!$L$43=1),[1]Variáveis!AK$43,P228)</f>
        <v>0.65</v>
      </c>
      <c r="Q228" s="1">
        <f ca="1">IF(AND([1]Variáveis!$E$43=7,[1]Variáveis!$L$43=1),[1]Variáveis!AL$43,Q228)</f>
        <v>10.121205787471226</v>
      </c>
      <c r="R228" s="1"/>
    </row>
    <row r="229" spans="2:18">
      <c r="D229" s="1">
        <f ca="1">IF(AND([1]Variáveis!$E$43=8,[1]Variáveis!$L$43=1),[1]Variáveis!Z$43,D229)</f>
        <v>0.26842105263157895</v>
      </c>
      <c r="E229" s="1">
        <f ca="1">IF(AND([1]Variáveis!$E$43=8,[1]Variáveis!$L$43=1),[1]Variáveis!AA$43,E229)</f>
        <v>2.7777777777777781</v>
      </c>
      <c r="F229" s="1">
        <f ca="1">IF(AND([1]Variáveis!$E$43=8,[1]Variáveis!$L$43=1),[1]Variáveis!AB$43,F229)</f>
        <v>64.477508042465232</v>
      </c>
      <c r="G229" s="1">
        <f ca="1">IF(AND([1]Variáveis!$E$43=8,[1]Variáveis!$L$43=1),[1]Variáveis!AC$43,G229)</f>
        <v>58.526847533424437</v>
      </c>
      <c r="H229" s="1">
        <f ca="1">IF(AND([1]Variáveis!$E$43=8,[1]Variáveis!$L$43=1),[1]Variáveis!AD$43,H229)</f>
        <v>58.52684753342443</v>
      </c>
      <c r="I229" s="1">
        <f ca="1">IF(AND([1]Variáveis!$E$43=8,[1]Variáveis!$L$43=1),[1]Variáveis!AE$43,I229)</f>
        <v>3.241440977522057</v>
      </c>
      <c r="J229" s="1">
        <f ca="1">IF(AND([1]Variáveis!$E$43=8,[1]Variáveis!$L$43=1),[1]Variáveis!AF$43,J229)</f>
        <v>18.055811578641084</v>
      </c>
      <c r="K229" s="1">
        <f ca="1">IF(AND([1]Variáveis!$E$43=8,[1]Variáveis!$L$43=1),[1]Variáveis!AG$43,K229)</f>
        <v>14.402195271737025</v>
      </c>
      <c r="L229" s="1">
        <f ca="1">IF(AND([1]Variáveis!$E$43=8,[1]Variáveis!$L$43=1),[1]Variáveis!AH$43,L229)</f>
        <v>46.683865920082809</v>
      </c>
      <c r="M229" s="1">
        <f ca="1">IF(AND([1]Variáveis!$E$43=8,[1]Variáveis!$L$43=1),[1]Variáveis!AI$43,M229)</f>
        <v>64.477508042465232</v>
      </c>
      <c r="N229" s="1">
        <f ca="1">IF(AND([1]Variáveis!$E$43=8,[1]Variáveis!$L$43=1),[1]Variáveis!AJ$43,N229)</f>
        <v>0.30499999999999999</v>
      </c>
      <c r="O229" s="103">
        <f t="shared" ca="1" si="13"/>
        <v>4.9470007395492246</v>
      </c>
      <c r="P229" s="1">
        <f ca="1">IF(AND([1]Variáveis!$E$43=8,[1]Variáveis!$L$43=1),[1]Variáveis!AK$43,P229)</f>
        <v>0.65</v>
      </c>
      <c r="Q229" s="1">
        <f ca="1">IF(AND([1]Variáveis!$E$43=8,[1]Variáveis!$L$43=1),[1]Variáveis!AL$43,Q229)</f>
        <v>10.085148673815072</v>
      </c>
      <c r="R229" s="1"/>
    </row>
    <row r="230" spans="2:18">
      <c r="D230" s="1">
        <f ca="1">IF(AND([1]Variáveis!$E$43=9,[1]Variáveis!$L$43=1),[1]Variáveis!Z$43,D230)</f>
        <v>0.26842105263157895</v>
      </c>
      <c r="E230" s="1">
        <f ca="1">IF(AND([1]Variáveis!$E$43=9,[1]Variáveis!$L$43=1),[1]Variáveis!AA$43,E230)</f>
        <v>2.8888888888888893</v>
      </c>
      <c r="F230" s="1">
        <f ca="1">IF(AND([1]Variáveis!$E$43=9,[1]Variáveis!$L$43=1),[1]Variáveis!AB$43,F230)</f>
        <v>65.088960850776999</v>
      </c>
      <c r="G230" s="1">
        <f ca="1">IF(AND([1]Variáveis!$E$43=9,[1]Variáveis!$L$43=1),[1]Variáveis!AC$43,G230)</f>
        <v>60.544251828914405</v>
      </c>
      <c r="H230" s="1">
        <f ca="1">IF(AND([1]Variáveis!$E$43=9,[1]Variáveis!$L$43=1),[1]Variáveis!AD$43,H230)</f>
        <v>60.544251828914398</v>
      </c>
      <c r="I230" s="1">
        <f ca="1">IF(AND([1]Variáveis!$E$43=9,[1]Variáveis!$L$43=1),[1]Variáveis!AE$43,I230)</f>
        <v>3.2769294850054802</v>
      </c>
      <c r="J230" s="1">
        <f ca="1">IF(AND([1]Variáveis!$E$43=9,[1]Variáveis!$L$43=1),[1]Variáveis!AF$43,J230)</f>
        <v>18.475909263825109</v>
      </c>
      <c r="K230" s="1">
        <f ca="1">IF(AND([1]Variáveis!$E$43=9,[1]Variáveis!$L$43=1),[1]Variáveis!AG$43,K230)</f>
        <v>14.363723092954052</v>
      </c>
      <c r="L230" s="1">
        <f ca="1">IF(AND([1]Variáveis!$E$43=9,[1]Variáveis!$L$43=1),[1]Variáveis!AH$43,L230)</f>
        <v>47.068907717755245</v>
      </c>
      <c r="M230" s="1">
        <f ca="1">IF(AND([1]Variáveis!$E$43=9,[1]Variáveis!$L$43=1),[1]Variáveis!AI$43,M230)</f>
        <v>65.088960850776999</v>
      </c>
      <c r="N230" s="1">
        <f ca="1">IF(AND([1]Variáveis!$E$43=9,[1]Variáveis!$L$43=1),[1]Variáveis!AJ$43,N230)</f>
        <v>0.30499999999999999</v>
      </c>
      <c r="O230" s="103">
        <f t="shared" ca="1" si="13"/>
        <v>4.9612811900882088</v>
      </c>
      <c r="P230" s="1">
        <f ca="1">IF(AND([1]Variáveis!$E$43=9,[1]Variáveis!$L$43=1),[1]Variáveis!AK$43,P230)</f>
        <v>0.65</v>
      </c>
      <c r="Q230" s="1">
        <f ca="1">IF(AND([1]Variáveis!$E$43=9,[1]Variáveis!$L$43=1),[1]Variáveis!AL$43,Q230)</f>
        <v>10.058298675694186</v>
      </c>
      <c r="R230" s="1"/>
    </row>
    <row r="231" spans="2:18">
      <c r="D231" s="1">
        <f ca="1">IF(AND([1]Variáveis!$E$43=10,[1]Variáveis!$L$43=1),[1]Variáveis!Z$43,D231)</f>
        <v>0.26052631578947366</v>
      </c>
      <c r="E231" s="1">
        <f ca="1">IF(AND([1]Variáveis!$E$43=10,[1]Variáveis!$L$43=1),[1]Variáveis!AA$43,E231)</f>
        <v>3</v>
      </c>
      <c r="F231" s="1">
        <f ca="1">IF(AND([1]Variáveis!$E$43=10,[1]Variáveis!$L$43=1),[1]Variáveis!AB$43,F231)</f>
        <v>63.657135914674988</v>
      </c>
      <c r="G231" s="1">
        <f ca="1">IF(AND([1]Variáveis!$E$43=10,[1]Variáveis!$L$43=1),[1]Variáveis!AC$43,G231)</f>
        <v>60.822276736526689</v>
      </c>
      <c r="H231" s="1">
        <f ca="1">IF(AND([1]Variáveis!$E$43=10,[1]Variáveis!$L$43=1),[1]Variáveis!AD$43,H231)</f>
        <v>60.822276736526689</v>
      </c>
      <c r="I231" s="1">
        <f ca="1">IF(AND([1]Variáveis!$E$43=10,[1]Variáveis!$L$43=1),[1]Variáveis!AE$43,I231)</f>
        <v>3.2132853593374131</v>
      </c>
      <c r="J231" s="1">
        <f ca="1">IF(AND([1]Variáveis!$E$43=10,[1]Variáveis!$L$43=1),[1]Variáveis!AF$43,J231)</f>
        <v>18.928377014442436</v>
      </c>
      <c r="K231" s="1">
        <f ca="1">IF(AND([1]Variáveis!$E$43=10,[1]Variáveis!$L$43=1),[1]Variáveis!AG$43,K231)</f>
        <v>14.339801157861276</v>
      </c>
      <c r="L231" s="1">
        <f ca="1">IF(AND([1]Variáveis!$E$43=10,[1]Variáveis!$L$43=1),[1]Variáveis!AH$43,L231)</f>
        <v>46.077873116365325</v>
      </c>
      <c r="M231" s="1">
        <f ca="1">IF(AND([1]Variáveis!$E$43=10,[1]Variáveis!$L$43=1),[1]Variáveis!AI$43,M231)</f>
        <v>63.657135914674988</v>
      </c>
      <c r="N231" s="1">
        <f ca="1">IF(AND([1]Variáveis!$E$43=10,[1]Variáveis!$L$43=1),[1]Variáveis!AJ$43,N231)</f>
        <v>0.30499999999999999</v>
      </c>
      <c r="O231" s="103">
        <f t="shared" ca="1" si="13"/>
        <v>4.913506580028467</v>
      </c>
      <c r="P231" s="1">
        <f ca="1">IF(AND([1]Variáveis!$E$43=10,[1]Variáveis!$L$43=1),[1]Variáveis!AK$43,P231)</f>
        <v>0.65</v>
      </c>
      <c r="Q231" s="1">
        <f ca="1">IF(AND([1]Variáveis!$E$43=10,[1]Variáveis!$L$43=1),[1]Variáveis!AL$43,Q231)</f>
        <v>10.041687135993426</v>
      </c>
      <c r="R231" s="1"/>
    </row>
    <row r="232" spans="2:18">
      <c r="B232" s="100" t="s">
        <v>603</v>
      </c>
      <c r="C232" s="100"/>
      <c r="D232" s="100" t="s">
        <v>611</v>
      </c>
      <c r="E232" s="103"/>
      <c r="F232" s="103"/>
      <c r="G232" s="1"/>
      <c r="H232" s="100" t="s">
        <v>605</v>
      </c>
      <c r="I232" s="100">
        <f>I221</f>
        <v>10</v>
      </c>
      <c r="J232" s="100" t="s">
        <v>606</v>
      </c>
      <c r="K232" s="100">
        <v>1</v>
      </c>
      <c r="L232" s="103"/>
      <c r="M232" s="103"/>
      <c r="N232" s="100"/>
      <c r="O232" s="103"/>
      <c r="P232" s="100"/>
    </row>
    <row r="233" spans="2:18">
      <c r="C233" s="100"/>
      <c r="D233" s="1">
        <f ca="1">IF(AND([1]Variáveis!$E$43=1,[1]Variáveis!$L$43=1),[1]Variáveis!Z$44,D233)</f>
        <v>0.28421052631578952</v>
      </c>
      <c r="E233" s="1">
        <f ca="1">IF(AND([1]Variáveis!$E$43=1,[1]Variáveis!$L$43=1),[1]Variáveis!AA$44,E233)</f>
        <v>2</v>
      </c>
      <c r="F233" s="1">
        <f ca="1">IF(AND([1]Variáveis!$E$43=1,[1]Variáveis!$L$43=1),[1]Variáveis!AB$44,F233)</f>
        <v>72.366082115107801</v>
      </c>
      <c r="G233" s="1">
        <f ca="1">IF(AND([1]Variáveis!$E$43=1,[1]Variáveis!$L$43=1),[1]Variáveis!AC$44,G233)</f>
        <v>50.099124806018018</v>
      </c>
      <c r="H233" s="1">
        <f ca="1">IF(AND([1]Variáveis!$E$43=1,[1]Variáveis!$L$43=1),[1]Variáveis!AD$44,H233)</f>
        <v>50.099124806018018</v>
      </c>
      <c r="I233" s="1">
        <f ca="1">IF(AND([1]Variáveis!$E$43=1,[1]Variáveis!$L$43=1),[1]Variáveis!AE$44,I233)</f>
        <v>3.4492051493651426</v>
      </c>
      <c r="J233" s="1">
        <f ca="1">IF(AND([1]Variáveis!$E$43=1,[1]Variáveis!$L$43=1),[1]Variáveis!AF$44,J233)</f>
        <v>14.524831848647569</v>
      </c>
      <c r="K233" s="1">
        <f ca="1">IF(AND([1]Variáveis!$E$43=1,[1]Variáveis!$L$43=1),[1]Variáveis!AG$44,K233)</f>
        <v>15.263263243585156</v>
      </c>
      <c r="L233" s="1">
        <f ca="1">IF(AND([1]Variáveis!$E$43=1,[1]Variáveis!$L$43=1),[1]Variáveis!AH$44,L233)</f>
        <v>52.646126175889627</v>
      </c>
      <c r="M233" s="1">
        <f ca="1">IF(AND([1]Variáveis!$E$43=1,[1]Variáveis!$L$43=1),[1]Variáveis!AI$44,M233)</f>
        <v>72.366082115107801</v>
      </c>
      <c r="N233" s="1">
        <f ca="1">IF(AND([1]Variáveis!$E$43=1,[1]Variáveis!$L$43=1),[1]Variáveis!AJ$44,N233)</f>
        <v>0.30499999999999999</v>
      </c>
      <c r="O233" s="103">
        <f t="shared" ca="1" si="13"/>
        <v>5.2785491507427587</v>
      </c>
      <c r="P233" s="1">
        <f ca="1">IF(AND([1]Variáveis!$E$43=1,[1]Variáveis!$L$43=1),[1]Variáveis!AK$44,P233)</f>
        <v>0.65</v>
      </c>
      <c r="Q233" s="1">
        <f ca="1">IF(AND([1]Variáveis!$E$43=1,[1]Variáveis!$L$43=1),[1]Variáveis!AL$44,Q233)</f>
        <v>10.686654487554229</v>
      </c>
      <c r="R233" s="1"/>
    </row>
    <row r="234" spans="2:18">
      <c r="D234" s="1">
        <f ca="1">IF(AND([1]Variáveis!$E$43=2,[1]Variáveis!$L$43=1),[1]Variáveis!Z$44,D234)</f>
        <v>0.27631578947368424</v>
      </c>
      <c r="E234" s="1">
        <f ca="1">IF(AND([1]Variáveis!$E$43=2,[1]Variáveis!$L$43=1),[1]Variáveis!AA$44,E234)</f>
        <v>2.1111111111111112</v>
      </c>
      <c r="F234" s="1">
        <f ca="1">IF(AND([1]Variáveis!$E$43=2,[1]Variáveis!$L$43=1),[1]Variáveis!AB$44,F234)</f>
        <v>68.364558369158672</v>
      </c>
      <c r="G234" s="1">
        <f ca="1">IF(AND([1]Variáveis!$E$43=2,[1]Variáveis!$L$43=1),[1]Variáveis!AC$44,G234)</f>
        <v>50.039050109544505</v>
      </c>
      <c r="H234" s="1">
        <f ca="1">IF(AND([1]Variáveis!$E$43=2,[1]Variáveis!$L$43=1),[1]Variáveis!AD$44,H234)</f>
        <v>50.039050109544505</v>
      </c>
      <c r="I234" s="1">
        <f ca="1">IF(AND([1]Variáveis!$E$43=2,[1]Variáveis!$L$43=1),[1]Variáveis!AE$44,I234)</f>
        <v>3.3055725737772228</v>
      </c>
      <c r="J234" s="1">
        <f ca="1">IF(AND([1]Variáveis!$E$43=2,[1]Variáveis!$L$43=1),[1]Variáveis!AF$44,J234)</f>
        <v>15.137785963768968</v>
      </c>
      <c r="K234" s="1">
        <f ca="1">IF(AND([1]Variáveis!$E$43=2,[1]Variáveis!$L$43=1),[1]Variáveis!AG$44,K234)</f>
        <v>15.05729395939105</v>
      </c>
      <c r="L234" s="1">
        <f ca="1">IF(AND([1]Variáveis!$E$43=2,[1]Variáveis!$L$43=1),[1]Variáveis!AH$44,L234)</f>
        <v>49.772977947464504</v>
      </c>
      <c r="M234" s="1">
        <f ca="1">IF(AND([1]Variáveis!$E$43=2,[1]Variáveis!$L$43=1),[1]Variáveis!AI$44,M234)</f>
        <v>68.364558369158672</v>
      </c>
      <c r="N234" s="1">
        <f ca="1">IF(AND([1]Variáveis!$E$43=2,[1]Variáveis!$L$43=1),[1]Variáveis!AJ$44,N234)</f>
        <v>0.30499999999999999</v>
      </c>
      <c r="O234" s="103">
        <f t="shared" ca="1" si="13"/>
        <v>5.1364069602484879</v>
      </c>
      <c r="P234" s="1">
        <f ca="1">IF(AND([1]Variáveis!$E$43=2,[1]Variáveis!$L$43=1),[1]Variáveis!AK$44,P234)</f>
        <v>0.65</v>
      </c>
      <c r="Q234" s="1">
        <f ca="1">IF(AND([1]Variáveis!$E$43=2,[1]Variáveis!$L$43=1),[1]Variáveis!AL$44,Q234)</f>
        <v>10.542847085549022</v>
      </c>
      <c r="R234" s="1"/>
    </row>
    <row r="235" spans="2:18">
      <c r="D235" s="1">
        <f ca="1">IF(AND([1]Variáveis!$E$43=3,[1]Variáveis!$L$43=1),[1]Variáveis!Z$44,D235)</f>
        <v>0.26842105263157895</v>
      </c>
      <c r="E235" s="1">
        <f ca="1">IF(AND([1]Variáveis!$E$43=3,[1]Variáveis!$L$43=1),[1]Variáveis!AA$44,E235)</f>
        <v>2.2222222222222223</v>
      </c>
      <c r="F235" s="1">
        <f ca="1">IF(AND([1]Variáveis!$E$43=3,[1]Variáveis!$L$43=1),[1]Variáveis!AB$44,F235)</f>
        <v>65.179297291572524</v>
      </c>
      <c r="G235" s="1">
        <f ca="1">IF(AND([1]Variáveis!$E$43=3,[1]Variáveis!$L$43=1),[1]Variáveis!AC$44,G235)</f>
        <v>50.112959658665687</v>
      </c>
      <c r="H235" s="1">
        <f ca="1">IF(AND([1]Variáveis!$E$43=3,[1]Variáveis!$L$43=1),[1]Variáveis!AD$44,H235)</f>
        <v>50.112959658665694</v>
      </c>
      <c r="I235" s="1">
        <f ca="1">IF(AND([1]Variáveis!$E$43=3,[1]Variáveis!$L$43=1),[1]Variáveis!AE$44,I235)</f>
        <v>3.1871403438639314</v>
      </c>
      <c r="J235" s="1">
        <f ca="1">IF(AND([1]Variáveis!$E$43=3,[1]Variáveis!$L$43=1),[1]Variáveis!AF$44,J235)</f>
        <v>15.723486966975297</v>
      </c>
      <c r="K235" s="1">
        <f ca="1">IF(AND([1]Variáveis!$E$43=3,[1]Variáveis!$L$43=1),[1]Variáveis!AG$44,K235)</f>
        <v>14.900812958254297</v>
      </c>
      <c r="L235" s="1">
        <f ca="1">IF(AND([1]Variáveis!$E$43=3,[1]Variáveis!$L$43=1),[1]Variáveis!AH$44,L235)</f>
        <v>47.49098213562273</v>
      </c>
      <c r="M235" s="1">
        <f ca="1">IF(AND([1]Variáveis!$E$43=3,[1]Variáveis!$L$43=1),[1]Variáveis!AI$44,M235)</f>
        <v>65.179297291572524</v>
      </c>
      <c r="N235" s="1">
        <f ca="1">IF(AND([1]Variáveis!$E$43=3,[1]Variáveis!$L$43=1),[1]Variáveis!AJ$44,N235)</f>
        <v>0.30499999999999999</v>
      </c>
      <c r="O235" s="103">
        <f t="shared" ca="1" si="13"/>
        <v>5.0211945951390122</v>
      </c>
      <c r="P235" s="1">
        <f ca="1">IF(AND([1]Variáveis!$E$43=3,[1]Variáveis!$L$43=1),[1]Variáveis!AK$44,P235)</f>
        <v>0.65</v>
      </c>
      <c r="Q235" s="1">
        <f ca="1">IF(AND([1]Variáveis!$E$43=3,[1]Variáveis!$L$43=1),[1]Variáveis!AL$44,Q235)</f>
        <v>10.433614148227488</v>
      </c>
      <c r="R235" s="1"/>
    </row>
    <row r="236" spans="2:18">
      <c r="D236" s="1">
        <f ca="1">IF(AND([1]Variáveis!$E$43=4,[1]Variáveis!$L$43=1),[1]Variáveis!Z$44,D236)</f>
        <v>0.26052631578947366</v>
      </c>
      <c r="E236" s="1">
        <f ca="1">IF(AND([1]Variáveis!$E$43=4,[1]Variáveis!$L$43=1),[1]Variáveis!AA$44,E236)</f>
        <v>2.3333333333333335</v>
      </c>
      <c r="F236" s="1">
        <f ca="1">IF(AND([1]Variáveis!$E$43=4,[1]Variáveis!$L$43=1),[1]Variáveis!AB$44,F236)</f>
        <v>62.601549157528467</v>
      </c>
      <c r="G236" s="1">
        <f ca="1">IF(AND([1]Variáveis!$E$43=4,[1]Variáveis!$L$43=1),[1]Variáveis!AC$44,G236)</f>
        <v>50.271557389396584</v>
      </c>
      <c r="H236" s="1">
        <f ca="1">IF(AND([1]Variáveis!$E$43=4,[1]Variáveis!$L$43=1),[1]Variáveis!AD$44,H236)</f>
        <v>50.271557389396577</v>
      </c>
      <c r="I236" s="1">
        <f ca="1">IF(AND([1]Variáveis!$E$43=4,[1]Variáveis!$L$43=1),[1]Variáveis!AE$44,I236)</f>
        <v>3.087864213231978</v>
      </c>
      <c r="J236" s="1">
        <f ca="1">IF(AND([1]Variáveis!$E$43=4,[1]Variáveis!$L$43=1),[1]Variáveis!AF$44,J236)</f>
        <v>16.280365300383075</v>
      </c>
      <c r="K236" s="1">
        <f ca="1">IF(AND([1]Variáveis!$E$43=4,[1]Variáveis!$L$43=1),[1]Variáveis!AG$44,K236)</f>
        <v>14.783332431453612</v>
      </c>
      <c r="L236" s="1">
        <f ca="1">IF(AND([1]Variáveis!$E$43=4,[1]Variáveis!$L$43=1),[1]Variáveis!AH$44,L236)</f>
        <v>45.648923167397292</v>
      </c>
      <c r="M236" s="1">
        <f ca="1">IF(AND([1]Variáveis!$E$43=4,[1]Variáveis!$L$43=1),[1]Variáveis!AI$44,M236)</f>
        <v>62.601549157528467</v>
      </c>
      <c r="N236" s="1">
        <f ca="1">IF(AND([1]Variáveis!$E$43=4,[1]Variáveis!$L$43=1),[1]Variáveis!AJ$44,N236)</f>
        <v>0.30499999999999999</v>
      </c>
      <c r="O236" s="103">
        <f t="shared" ca="1" si="13"/>
        <v>4.9267522694230212</v>
      </c>
      <c r="P236" s="1">
        <f ca="1">IF(AND([1]Variáveis!$E$43=4,[1]Variáveis!$L$43=1),[1]Variáveis!AK$44,P236)</f>
        <v>0.65</v>
      </c>
      <c r="Q236" s="1">
        <f ca="1">IF(AND([1]Variáveis!$E$43=4,[1]Variáveis!$L$43=1),[1]Variáveis!AL$44,Q236)</f>
        <v>10.351630326753623</v>
      </c>
      <c r="R236" s="1"/>
    </row>
    <row r="237" spans="2:18">
      <c r="D237" s="1">
        <f ca="1">IF(AND([1]Variáveis!$E$43=5,[1]Variáveis!$L$43=1),[1]Variáveis!Z$44,D237)</f>
        <v>0.25263157894736837</v>
      </c>
      <c r="E237" s="1">
        <f ca="1">IF(AND([1]Variáveis!$E$43=5,[1]Variáveis!$L$43=1),[1]Variáveis!AA$44,E237)</f>
        <v>2.4444444444444446</v>
      </c>
      <c r="F237" s="1">
        <f ca="1">IF(AND([1]Variáveis!$E$43=5,[1]Variáveis!$L$43=1),[1]Variáveis!AB$44,F237)</f>
        <v>60.492640063040703</v>
      </c>
      <c r="G237" s="1">
        <f ca="1">IF(AND([1]Variáveis!$E$43=5,[1]Variáveis!$L$43=1),[1]Variáveis!AC$44,G237)</f>
        <v>50.48157309822691</v>
      </c>
      <c r="H237" s="1">
        <f ca="1">IF(AND([1]Variáveis!$E$43=5,[1]Variáveis!$L$43=1),[1]Variáveis!AD$44,H237)</f>
        <v>50.48157309822691</v>
      </c>
      <c r="I237" s="1">
        <f ca="1">IF(AND([1]Variáveis!$E$43=5,[1]Variáveis!$L$43=1),[1]Variáveis!AE$44,I237)</f>
        <v>3.0036352720792268</v>
      </c>
      <c r="J237" s="1">
        <f ca="1">IF(AND([1]Variáveis!$E$43=5,[1]Variáveis!$L$43=1),[1]Variáveis!AF$44,J237)</f>
        <v>16.806825238565569</v>
      </c>
      <c r="K237" s="1">
        <f ca="1">IF(AND([1]Variáveis!$E$43=5,[1]Variáveis!$L$43=1),[1]Variáveis!AG$44,K237)</f>
        <v>14.697656849664892</v>
      </c>
      <c r="L237" s="1">
        <f ca="1">IF(AND([1]Variáveis!$E$43=5,[1]Variáveis!$L$43=1),[1]Variáveis!AH$44,L237)</f>
        <v>44.146400530570318</v>
      </c>
      <c r="M237" s="1">
        <f ca="1">IF(AND([1]Variáveis!$E$43=5,[1]Variáveis!$L$43=1),[1]Variáveis!AI$44,M237)</f>
        <v>60.492640063040703</v>
      </c>
      <c r="N237" s="1">
        <f ca="1">IF(AND([1]Variáveis!$E$43=5,[1]Variáveis!$L$43=1),[1]Variáveis!AJ$44,N237)</f>
        <v>0.30499999999999999</v>
      </c>
      <c r="O237" s="103">
        <f t="shared" ca="1" si="13"/>
        <v>4.8488685424858859</v>
      </c>
      <c r="P237" s="1">
        <f ca="1">IF(AND([1]Variáveis!$E$43=5,[1]Variáveis!$L$43=1),[1]Variáveis!AK$44,P237)</f>
        <v>0.65</v>
      </c>
      <c r="Q237" s="1">
        <f ca="1">IF(AND([1]Variáveis!$E$43=5,[1]Variáveis!$L$43=1),[1]Variáveis!AL$44,Q237)</f>
        <v>10.291870479202119</v>
      </c>
      <c r="R237" s="1"/>
    </row>
    <row r="238" spans="2:18">
      <c r="D238" s="1">
        <f ca="1">IF(AND([1]Variáveis!$E$43=6,[1]Variáveis!$L$43=1),[1]Variáveis!Z$44,D238)</f>
        <v>0.23684210526315785</v>
      </c>
      <c r="E238" s="1">
        <f ca="1">IF(AND([1]Variáveis!$E$43=6,[1]Variáveis!$L$43=1),[1]Variáveis!AA$44,E238)</f>
        <v>2.5555555555555558</v>
      </c>
      <c r="F238" s="1">
        <f ca="1">IF(AND([1]Variáveis!$E$43=6,[1]Variáveis!$L$43=1),[1]Variáveis!AB$44,F238)</f>
        <v>57.404629908691412</v>
      </c>
      <c r="G238" s="1">
        <f ca="1">IF(AND([1]Variáveis!$E$43=6,[1]Variáveis!$L$43=1),[1]Variáveis!AC$44,G238)</f>
        <v>49.49860711491371</v>
      </c>
      <c r="H238" s="1">
        <f ca="1">IF(AND([1]Variáveis!$E$43=6,[1]Variáveis!$L$43=1),[1]Variáveis!AD$44,H238)</f>
        <v>49.49860711491371</v>
      </c>
      <c r="I238" s="1">
        <f ca="1">IF(AND([1]Variáveis!$E$43=6,[1]Variáveis!$L$43=1),[1]Variáveis!AE$44,I238)</f>
        <v>2.8577560737893357</v>
      </c>
      <c r="J238" s="1">
        <f ca="1">IF(AND([1]Variáveis!$E$43=6,[1]Variáveis!$L$43=1),[1]Variáveis!AF$44,J238)</f>
        <v>17.320795000281255</v>
      </c>
      <c r="K238" s="1">
        <f ca="1">IF(AND([1]Variáveis!$E$43=6,[1]Variáveis!$L$43=1),[1]Variáveis!AG$44,K238)</f>
        <v>14.700374467891619</v>
      </c>
      <c r="L238" s="1">
        <f ca="1">IF(AND([1]Variáveis!$E$43=6,[1]Variáveis!$L$43=1),[1]Variáveis!AH$44,L238)</f>
        <v>42.01008442259495</v>
      </c>
      <c r="M238" s="1">
        <f ca="1">IF(AND([1]Variáveis!$E$43=6,[1]Variáveis!$L$43=1),[1]Variáveis!AI$44,M238)</f>
        <v>57.404629908691412</v>
      </c>
      <c r="N238" s="1">
        <f ca="1">IF(AND([1]Variáveis!$E$43=6,[1]Variáveis!$L$43=1),[1]Variáveis!AJ$44,N238)</f>
        <v>0.30499999999999999</v>
      </c>
      <c r="O238" s="103">
        <f t="shared" ca="1" si="13"/>
        <v>4.743330763431211</v>
      </c>
      <c r="P238" s="1">
        <f ca="1">IF(AND([1]Variáveis!$E$43=6,[1]Variáveis!$L$43=1),[1]Variáveis!AK$44,P238)</f>
        <v>0.65</v>
      </c>
      <c r="Q238" s="1">
        <f ca="1">IF(AND([1]Variáveis!$E$43=6,[1]Variáveis!$L$43=1),[1]Variáveis!AL$44,Q238)</f>
        <v>10.294046967021886</v>
      </c>
      <c r="R238" s="1"/>
    </row>
    <row r="239" spans="2:18">
      <c r="D239" s="1">
        <f ca="1">IF(AND([1]Variáveis!$E$43=7,[1]Variáveis!$L$43=1),[1]Variáveis!Z$44,D239)</f>
        <v>0.22894736842105259</v>
      </c>
      <c r="E239" s="1">
        <f ca="1">IF(AND([1]Variáveis!$E$43=7,[1]Variáveis!$L$43=1),[1]Variáveis!AA$44,E239)</f>
        <v>2.666666666666667</v>
      </c>
      <c r="F239" s="1">
        <f ca="1">IF(AND([1]Variáveis!$E$43=7,[1]Variáveis!$L$43=1),[1]Variáveis!AB$44,F239)</f>
        <v>56.086828231393902</v>
      </c>
      <c r="G239" s="1">
        <f ca="1">IF(AND([1]Variáveis!$E$43=7,[1]Variáveis!$L$43=1),[1]Variáveis!AC$44,G239)</f>
        <v>49.737375010373526</v>
      </c>
      <c r="H239" s="1">
        <f ca="1">IF(AND([1]Variáveis!$E$43=7,[1]Variáveis!$L$43=1),[1]Variáveis!AD$44,H239)</f>
        <v>49.737375010373533</v>
      </c>
      <c r="I239" s="1">
        <f ca="1">IF(AND([1]Variáveis!$E$43=7,[1]Variáveis!$L$43=1),[1]Variáveis!AE$44,I239)</f>
        <v>2.7997535378882383</v>
      </c>
      <c r="J239" s="1">
        <f ca="1">IF(AND([1]Variáveis!$E$43=7,[1]Variáveis!$L$43=1),[1]Variáveis!AF$44,J239)</f>
        <v>17.76491192431488</v>
      </c>
      <c r="K239" s="1">
        <f ca="1">IF(AND([1]Variáveis!$E$43=7,[1]Variáveis!$L$43=1),[1]Variáveis!AG$44,K239)</f>
        <v>14.671905054923158</v>
      </c>
      <c r="L239" s="1">
        <f ca="1">IF(AND([1]Variáveis!$E$43=7,[1]Variáveis!$L$43=1),[1]Variáveis!AH$44,L239)</f>
        <v>41.077718085081443</v>
      </c>
      <c r="M239" s="1">
        <f ca="1">IF(AND([1]Variáveis!$E$43=7,[1]Variáveis!$L$43=1),[1]Variáveis!AI$44,M239)</f>
        <v>56.086828231393902</v>
      </c>
      <c r="N239" s="1">
        <f ca="1">IF(AND([1]Variáveis!$E$43=7,[1]Variáveis!$L$43=1),[1]Variáveis!AJ$44,N239)</f>
        <v>0.30499999999999999</v>
      </c>
      <c r="O239" s="103">
        <f t="shared" ca="1" si="13"/>
        <v>4.6940594342003505</v>
      </c>
      <c r="P239" s="1">
        <f ca="1">IF(AND([1]Variáveis!$E$43=7,[1]Variáveis!$L$43=1),[1]Variáveis!AK$44,P239)</f>
        <v>0.65</v>
      </c>
      <c r="Q239" s="1">
        <f ca="1">IF(AND([1]Variáveis!$E$43=7,[1]Variáveis!$L$43=1),[1]Variáveis!AL$44,Q239)</f>
        <v>10.274270895102715</v>
      </c>
      <c r="R239" s="1"/>
    </row>
    <row r="240" spans="2:18">
      <c r="D240" s="1">
        <f ca="1">IF(AND([1]Variáveis!$E$43=8,[1]Variáveis!$L$43=1),[1]Variáveis!Z$44,D240)</f>
        <v>0.22105263157894733</v>
      </c>
      <c r="E240" s="1">
        <f ca="1">IF(AND([1]Variáveis!$E$43=8,[1]Variáveis!$L$43=1),[1]Variáveis!AA$44,E240)</f>
        <v>2.7777777777777781</v>
      </c>
      <c r="F240" s="1">
        <f ca="1">IF(AND([1]Variáveis!$E$43=8,[1]Variáveis!$L$43=1),[1]Variáveis!AB$44,F240)</f>
        <v>55.018150059277282</v>
      </c>
      <c r="G240" s="1">
        <f ca="1">IF(AND([1]Variáveis!$E$43=8,[1]Variáveis!$L$43=1),[1]Variáveis!AC$44,G240)</f>
        <v>49.971721322394714</v>
      </c>
      <c r="H240" s="1">
        <f ca="1">IF(AND([1]Variáveis!$E$43=8,[1]Variáveis!$L$43=1),[1]Variáveis!AD$44,H240)</f>
        <v>49.971721322394707</v>
      </c>
      <c r="I240" s="1">
        <f ca="1">IF(AND([1]Variáveis!$E$43=8,[1]Variáveis!$L$43=1),[1]Variáveis!AE$44,I240)</f>
        <v>2.7500037895111635</v>
      </c>
      <c r="J240" s="1">
        <f ca="1">IF(AND([1]Variáveis!$E$43=8,[1]Variáveis!$L$43=1),[1]Variáveis!AF$44,J240)</f>
        <v>18.17150998591082</v>
      </c>
      <c r="K240" s="1">
        <f ca="1">IF(AND([1]Variáveis!$E$43=8,[1]Variáveis!$L$43=1),[1]Variáveis!AG$44,K240)</f>
        <v>14.66415501514974</v>
      </c>
      <c r="L240" s="1">
        <f ca="1">IF(AND([1]Variáveis!$E$43=8,[1]Variáveis!$L$43=1),[1]Variáveis!AH$44,L240)</f>
        <v>40.326481861640922</v>
      </c>
      <c r="M240" s="1">
        <f ca="1">IF(AND([1]Variáveis!$E$43=8,[1]Variáveis!$L$43=1),[1]Variáveis!AI$44,M240)</f>
        <v>55.018150059277282</v>
      </c>
      <c r="N240" s="1">
        <f ca="1">IF(AND([1]Variáveis!$E$43=8,[1]Variáveis!$L$43=1),[1]Variáveis!AJ$44,N240)</f>
        <v>0.30499999999999999</v>
      </c>
      <c r="O240" s="103">
        <f t="shared" ca="1" si="13"/>
        <v>4.6545694992022835</v>
      </c>
      <c r="P240" s="1">
        <f ca="1">IF(AND([1]Variáveis!$E$43=8,[1]Variáveis!$L$43=1),[1]Variáveis!AK$44,P240)</f>
        <v>0.65</v>
      </c>
      <c r="Q240" s="1">
        <f ca="1">IF(AND([1]Variáveis!$E$43=8,[1]Variáveis!$L$43=1),[1]Variáveis!AL$44,Q240)</f>
        <v>10.268980671061929</v>
      </c>
      <c r="R240" s="1"/>
    </row>
    <row r="241" spans="4:18">
      <c r="D241" s="1">
        <f ca="1">IF(AND([1]Variáveis!$E$43=9,[1]Variáveis!$L$43=1),[1]Variáveis!Z$44,D241)</f>
        <v>0.21315789473684207</v>
      </c>
      <c r="E241" s="1">
        <f ca="1">IF(AND([1]Variáveis!$E$43=9,[1]Variáveis!$L$43=1),[1]Variáveis!AA$44,E241)</f>
        <v>2.8888888888888893</v>
      </c>
      <c r="F241" s="1">
        <f ca="1">IF(AND([1]Variáveis!$E$43=9,[1]Variáveis!$L$43=1),[1]Variáveis!AB$44,F241)</f>
        <v>54.166456761013485</v>
      </c>
      <c r="G241" s="1">
        <f ca="1">IF(AND([1]Variáveis!$E$43=9,[1]Variáveis!$L$43=1),[1]Variáveis!AC$44,G241)</f>
        <v>50.192742759270743</v>
      </c>
      <c r="H241" s="1">
        <f ca="1">IF(AND([1]Variáveis!$E$43=9,[1]Variáveis!$L$43=1),[1]Variáveis!AD$44,H241)</f>
        <v>50.192742759270743</v>
      </c>
      <c r="I241" s="1">
        <f ca="1">IF(AND([1]Variáveis!$E$43=9,[1]Variáveis!$L$43=1),[1]Variáveis!AE$44,I241)</f>
        <v>2.7074621047155367</v>
      </c>
      <c r="J241" s="1">
        <f ca="1">IF(AND([1]Variáveis!$E$43=9,[1]Variáveis!$L$43=1),[1]Variáveis!AF$44,J241)</f>
        <v>18.538668619535237</v>
      </c>
      <c r="K241" s="1">
        <f ca="1">IF(AND([1]Variáveis!$E$43=9,[1]Variáveis!$L$43=1),[1]Variáveis!AG$44,K241)</f>
        <v>14.675430029158761</v>
      </c>
      <c r="L241" s="1">
        <f ca="1">IF(AND([1]Variáveis!$E$43=9,[1]Variáveis!$L$43=1),[1]Variáveis!AH$44,L241)</f>
        <v>39.733170674351769</v>
      </c>
      <c r="M241" s="1">
        <f ca="1">IF(AND([1]Variáveis!$E$43=9,[1]Variáveis!$L$43=1),[1]Variáveis!AI$44,M241)</f>
        <v>54.166456761013485</v>
      </c>
      <c r="N241" s="1">
        <f ca="1">IF(AND([1]Variáveis!$E$43=9,[1]Variáveis!$L$43=1),[1]Variáveis!AJ$44,N241)</f>
        <v>0.30499999999999999</v>
      </c>
      <c r="O241" s="103">
        <f t="shared" ca="1" si="13"/>
        <v>4.6238038956931682</v>
      </c>
      <c r="P241" s="1">
        <f ca="1">IF(AND([1]Variáveis!$E$43=9,[1]Variáveis!$L$43=1),[1]Variáveis!AK$44,P241)</f>
        <v>0.65</v>
      </c>
      <c r="Q241" s="1">
        <f ca="1">IF(AND([1]Variáveis!$E$43=9,[1]Variáveis!$L$43=1),[1]Variáveis!AL$44,Q241)</f>
        <v>10.276994159880967</v>
      </c>
      <c r="R241" s="1"/>
    </row>
    <row r="242" spans="4:18">
      <c r="D242" s="1">
        <f ca="1">IF(AND([1]Variáveis!$E$43=10,[1]Variáveis!$L$43=1),[1]Variáveis!Z$44,D242)</f>
        <v>0.20526315789473681</v>
      </c>
      <c r="E242" s="1">
        <f ca="1">IF(AND([1]Variáveis!$E$43=10,[1]Variáveis!$L$43=1),[1]Variáveis!AA$44,E242)</f>
        <v>3</v>
      </c>
      <c r="F242" s="1">
        <f ca="1">IF(AND([1]Variáveis!$E$43=10,[1]Variáveis!$L$43=1),[1]Variáveis!AB$44,F242)</f>
        <v>53.50902762232608</v>
      </c>
      <c r="G242" s="1">
        <f ca="1">IF(AND([1]Variáveis!$E$43=10,[1]Variáveis!$L$43=1),[1]Variáveis!AC$44,G242)</f>
        <v>50.393660665178245</v>
      </c>
      <c r="H242" s="1">
        <f ca="1">IF(AND([1]Variáveis!$E$43=10,[1]Variáveis!$L$43=1),[1]Variáveis!AD$44,H242)</f>
        <v>50.393660665178245</v>
      </c>
      <c r="I242" s="1">
        <f ca="1">IF(AND([1]Variáveis!$E$43=10,[1]Variáveis!$L$43=1),[1]Variáveis!AE$44,I242)</f>
        <v>2.6713654735997494</v>
      </c>
      <c r="J242" s="1">
        <f ca="1">IF(AND([1]Variáveis!$E$43=10,[1]Variáveis!$L$43=1),[1]Variáveis!AF$44,J242)</f>
        <v>18.864382714833546</v>
      </c>
      <c r="K242" s="1">
        <f ca="1">IF(AND([1]Variáveis!$E$43=10,[1]Variáveis!$L$43=1),[1]Variáveis!AG$44,K242)</f>
        <v>14.704627451671238</v>
      </c>
      <c r="L242" s="1">
        <f ca="1">IF(AND([1]Variáveis!$E$43=10,[1]Variáveis!$L$43=1),[1]Variáveis!AH$44,L242)</f>
        <v>39.281434076541615</v>
      </c>
      <c r="M242" s="1">
        <f ca="1">IF(AND([1]Variáveis!$E$43=10,[1]Variáveis!$L$43=1),[1]Variáveis!AI$44,M242)</f>
        <v>53.50902762232608</v>
      </c>
      <c r="N242" s="1">
        <f ca="1">IF(AND([1]Variáveis!$E$43=10,[1]Variáveis!$L$43=1),[1]Variáveis!AJ$44,N242)</f>
        <v>0.30499999999999999</v>
      </c>
      <c r="O242" s="103">
        <f t="shared" ca="1" si="13"/>
        <v>4.6010181114152733</v>
      </c>
      <c r="P242" s="1">
        <f ca="1">IF(AND([1]Variáveis!$E$43=10,[1]Variáveis!$L$43=1),[1]Variáveis!AK$44,P242)</f>
        <v>0.65</v>
      </c>
      <c r="Q242" s="1">
        <f ca="1">IF(AND([1]Variáveis!$E$43=10,[1]Variáveis!$L$43=1),[1]Variáveis!AL$44,Q242)</f>
        <v>10.297542647713302</v>
      </c>
      <c r="R242" s="1"/>
    </row>
  </sheetData>
  <phoneticPr fontId="32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41"/>
  <sheetViews>
    <sheetView topLeftCell="AA1" zoomScale="90" zoomScaleNormal="90" workbookViewId="0">
      <pane ySplit="2130" activePane="bottomLeft"/>
      <selection activeCell="AZ1" sqref="AZ1"/>
      <selection pane="bottomLeft" activeCell="B7" sqref="B7"/>
    </sheetView>
  </sheetViews>
  <sheetFormatPr defaultColWidth="9.140625" defaultRowHeight="15"/>
  <cols>
    <col min="1" max="1" width="16.42578125" style="112" customWidth="1"/>
    <col min="2" max="2" width="11.28515625" style="112" bestFit="1" customWidth="1"/>
    <col min="3" max="3" width="15.85546875" style="112" customWidth="1"/>
    <col min="4" max="4" width="10.42578125" style="112" customWidth="1"/>
    <col min="5" max="5" width="10" style="112" customWidth="1"/>
    <col min="6" max="6" width="11" style="112" customWidth="1"/>
    <col min="7" max="7" width="10.5703125" style="112" bestFit="1" customWidth="1"/>
    <col min="8" max="8" width="2.5703125" style="112" customWidth="1"/>
    <col min="9" max="21" width="9.140625" style="112"/>
    <col min="22" max="22" width="10" style="112" customWidth="1"/>
    <col min="23" max="26" width="9.140625" style="112"/>
    <col min="27" max="27" width="9.85546875" style="112" customWidth="1"/>
    <col min="28" max="42" width="9.140625" style="112"/>
    <col min="43" max="52" width="9.28515625" style="112" bestFit="1" customWidth="1"/>
    <col min="53" max="54" width="9.140625" style="112"/>
    <col min="55" max="55" width="11.140625" style="112" bestFit="1" customWidth="1"/>
    <col min="56" max="16384" width="9.140625" style="112"/>
  </cols>
  <sheetData>
    <row r="1" spans="1:57" ht="105">
      <c r="A1" s="139" t="s">
        <v>680</v>
      </c>
      <c r="B1" s="140"/>
      <c r="C1" s="140"/>
      <c r="D1" s="111" t="s">
        <v>681</v>
      </c>
      <c r="E1" s="111" t="s">
        <v>682</v>
      </c>
      <c r="F1" s="111" t="s">
        <v>683</v>
      </c>
      <c r="G1" s="111" t="s">
        <v>684</v>
      </c>
      <c r="H1" s="111"/>
      <c r="I1" s="111" t="s">
        <v>685</v>
      </c>
      <c r="J1" s="111" t="s">
        <v>686</v>
      </c>
      <c r="K1" s="111" t="s">
        <v>687</v>
      </c>
      <c r="L1" s="111" t="s">
        <v>688</v>
      </c>
      <c r="M1" s="111" t="s">
        <v>689</v>
      </c>
      <c r="N1" s="111" t="s">
        <v>690</v>
      </c>
      <c r="O1" s="111" t="s">
        <v>691</v>
      </c>
      <c r="P1" s="111" t="s">
        <v>692</v>
      </c>
      <c r="Q1" s="111" t="s">
        <v>693</v>
      </c>
      <c r="R1" s="111" t="s">
        <v>694</v>
      </c>
      <c r="S1" s="111" t="s">
        <v>695</v>
      </c>
      <c r="T1" s="111" t="s">
        <v>696</v>
      </c>
      <c r="U1" s="111" t="s">
        <v>697</v>
      </c>
      <c r="V1" s="111" t="s">
        <v>698</v>
      </c>
      <c r="W1" s="111" t="s">
        <v>699</v>
      </c>
      <c r="X1" s="111" t="s">
        <v>700</v>
      </c>
      <c r="Y1" s="111" t="s">
        <v>701</v>
      </c>
      <c r="Z1" s="111" t="s">
        <v>702</v>
      </c>
      <c r="AA1" s="111" t="s">
        <v>703</v>
      </c>
      <c r="AB1" s="111" t="s">
        <v>704</v>
      </c>
      <c r="AC1" s="111" t="s">
        <v>705</v>
      </c>
      <c r="AD1" s="111" t="s">
        <v>706</v>
      </c>
      <c r="AE1" s="111" t="s">
        <v>707</v>
      </c>
      <c r="AF1" s="111" t="s">
        <v>708</v>
      </c>
      <c r="AG1" s="111" t="s">
        <v>709</v>
      </c>
      <c r="AH1" s="111" t="s">
        <v>710</v>
      </c>
      <c r="AJ1" s="111" t="s">
        <v>711</v>
      </c>
      <c r="AM1" s="111" t="s">
        <v>712</v>
      </c>
      <c r="AN1" s="111" t="s">
        <v>713</v>
      </c>
      <c r="AO1" s="111" t="s">
        <v>717</v>
      </c>
      <c r="AQ1" s="130" t="s">
        <v>348</v>
      </c>
      <c r="AR1" s="130" t="s">
        <v>349</v>
      </c>
      <c r="AS1" s="130" t="s">
        <v>351</v>
      </c>
      <c r="AT1" s="130" t="s">
        <v>747</v>
      </c>
      <c r="AU1" s="130" t="s">
        <v>748</v>
      </c>
      <c r="AV1" s="130" t="s">
        <v>745</v>
      </c>
      <c r="AW1" s="130" t="s">
        <v>746</v>
      </c>
      <c r="AX1" s="130" t="s">
        <v>749</v>
      </c>
      <c r="AY1" s="130" t="s">
        <v>750</v>
      </c>
      <c r="AZ1" s="130" t="s">
        <v>751</v>
      </c>
    </row>
    <row r="2" spans="1:57">
      <c r="A2" s="113"/>
      <c r="B2" s="113"/>
      <c r="D2" s="114">
        <f>$B$7</f>
        <v>41173</v>
      </c>
      <c r="E2" s="115">
        <f>0.1/24</f>
        <v>4.1666666666666666E-3</v>
      </c>
      <c r="F2" s="116">
        <f>D2+2415018.5+E2-$B$5/24</f>
        <v>2456191.5041666669</v>
      </c>
      <c r="G2" s="117">
        <f>(F2-2451545)/36525</f>
        <v>0.12721435090121516</v>
      </c>
      <c r="I2" s="112">
        <f>MOD(280.46646+G2*(36000.76983 + G2*0.0003032),360)</f>
        <v>180.28103077433389</v>
      </c>
      <c r="J2" s="112">
        <f>357.52911+G2*(35999.05029 - 0.0001537*G2)</f>
        <v>4937.1249232151486</v>
      </c>
      <c r="K2" s="112">
        <f>0.016708634-G2*(0.000042037+0.0000001267*G2)</f>
        <v>1.6703284239882845E-2</v>
      </c>
      <c r="L2" s="112">
        <f>SIN(RADIANS(J2))*(1.914602-G2*(0.004817+0.000014*G2))+SIN(RADIANS(2*J2))*(0.019993-0.000101*G2)+SIN(RADIANS(3*J2))*0.000289</f>
        <v>-1.8569617703182848</v>
      </c>
      <c r="M2" s="112">
        <f>I2+L2</f>
        <v>178.42406900401559</v>
      </c>
      <c r="N2" s="112">
        <f>J2+L2</f>
        <v>4935.2679614448307</v>
      </c>
      <c r="O2" s="112">
        <f>(1.000001018*(1-K2*K2))/(1+K2*COS(RADIANS(N2)))</f>
        <v>1.0039865762960978</v>
      </c>
      <c r="P2" s="112">
        <f>M2-0.00569-0.00478*SIN(RADIANS(125.04-1934.136*G2))</f>
        <v>178.42247584016908</v>
      </c>
      <c r="Q2" s="112">
        <f>23+(26+((21.448-G2*(46.815+G2*(0.00059-G2*0.001813))))/60)/60</f>
        <v>23.437636792874127</v>
      </c>
      <c r="R2" s="112">
        <f>Q2+0.00256*COS(RADIANS(125.04-1934.136*G2))</f>
        <v>23.436317917958704</v>
      </c>
      <c r="S2" s="112">
        <f t="shared" ref="S2:S65" si="0">DEGREES(ATAN2(COS(RADIANS(P2)),COS(RADIANS(R2))*SIN(RADIANS(P2))))</f>
        <v>178.55255946954398</v>
      </c>
      <c r="T2" s="112">
        <f>DEGREES(ASIN(SIN(RADIANS(R2))*SIN(RADIANS(P2))))</f>
        <v>0.6273612338949538</v>
      </c>
      <c r="U2" s="112">
        <f>TAN(RADIANS(R2/2))*TAN(RADIANS(R2/2))</f>
        <v>4.3023301928867191E-2</v>
      </c>
      <c r="V2" s="112">
        <f>4*DEGREES(U2*SIN(2*RADIANS(I2))-2*K2*SIN(RADIANS(J2))+4*K2*U2*SIN(RADIANS(J2))*COS(2*RADIANS(I2))-0.5*U2*U2*SIN(4*RADIANS(I2))-1.25*K2*K2*SIN(2*RADIANS(J2)))</f>
        <v>6.8793725374043708</v>
      </c>
      <c r="W2" s="112">
        <f>DEGREES(ACOS(COS(RADIANS(90.833))/(COS(RADIANS($B$3))*COS(RADIANS(T2)))-TAN(RADIANS($B$3))*TAN(RADIANS(T2))))</f>
        <v>91.547474337070895</v>
      </c>
      <c r="X2" s="115">
        <f>(720-4*$B$4-V2+$B$5*60)/1440</f>
        <v>0.51466710240458025</v>
      </c>
      <c r="Y2" s="115">
        <f>X2-W2*4/1440</f>
        <v>0.26036856257938329</v>
      </c>
      <c r="Z2" s="115">
        <f>X2+W2*4/1440</f>
        <v>0.76896564222977726</v>
      </c>
      <c r="AA2" s="118">
        <f>8*W2</f>
        <v>732.37979469656716</v>
      </c>
      <c r="AB2" s="112">
        <f>MOD(E2*1440+V2+4*$B$4-60*$B$5,1440)</f>
        <v>1424.8793725374044</v>
      </c>
      <c r="AC2" s="112">
        <f>IF(AB2/4&lt;0,AB2/4+180,AB2/4-180)</f>
        <v>176.21984313435109</v>
      </c>
      <c r="AD2" s="112">
        <f>DEGREES(ACOS(SIN(RADIANS($B$3))*SIN(RADIANS(T2))+COS(RADIANS($B$3))*COS(RADIANS(T2))*COS(RADIANS(AC2))))</f>
        <v>141.21556223173127</v>
      </c>
      <c r="AE2" s="112">
        <f>90-AD2</f>
        <v>-51.215562231731269</v>
      </c>
      <c r="AF2" s="112">
        <f>IF(AE2&gt;85,0,IF(AE2&gt;5,58.1/TAN(RADIANS(AE2))-0.07/POWER(TAN(RADIANS(AE2)),3)+0.000086/POWER(TAN(RADIANS(AE2)),5),IF(AE2&gt;-0.575,1735+AE2*(-518.2+AE2*(103.4+AE2*(-12.79+AE2*0.711))),-20.772/TAN(RADIANS(AE2)))))/3600</f>
        <v>4.6366193521397174E-3</v>
      </c>
      <c r="AG2" s="112">
        <f>AE2+AF2</f>
        <v>-51.210925612379128</v>
      </c>
      <c r="AH2" s="112">
        <f>IF(AC2&gt;0,MOD(DEGREES(ACOS(((SIN(RADIANS($B$3))*COS(RADIANS(AD2)))-SIN(RADIANS(T2)))/(COS(RADIANS($B$3))*SIN(RADIANS(AD2)))))+180,360),MOD(540-DEGREES(ACOS(((SIN(RADIANS($B$3))*COS(RADIANS(AD2)))-SIN(RADIANS(T2)))/(COS(RADIANS($B$3))*SIN(RADIANS(AD2))))),360))</f>
        <v>353.95874167393174</v>
      </c>
      <c r="AI2" s="123">
        <f>Endurance!B6</f>
        <v>2</v>
      </c>
      <c r="AJ2" s="119">
        <f>E2</f>
        <v>4.1666666666666666E-3</v>
      </c>
      <c r="AK2" s="112">
        <f>IF(AND(AJ2&gt;0.499,AJ2&lt;0.501),1,0)</f>
        <v>0</v>
      </c>
      <c r="AL2" s="112">
        <f>IF(AND(AJ2&gt;0.499-$AI$2/2/24,AJ2&lt;0.501+$AI$2/2/24),1,0)</f>
        <v>0</v>
      </c>
      <c r="AM2" s="116">
        <f>AL2*SIN(RADIANS(MAX(0,AG2)))*IF(AG2&lt;40,1,1)</f>
        <v>0</v>
      </c>
      <c r="AN2" s="116">
        <f>AM2*AJ2*24</f>
        <v>0</v>
      </c>
      <c r="AO2" s="116">
        <f>IF(AL2=1,AJ2,0)</f>
        <v>0</v>
      </c>
      <c r="AQ2" s="131">
        <f>AO2</f>
        <v>0</v>
      </c>
      <c r="AR2" s="131">
        <f>AN2</f>
        <v>0</v>
      </c>
      <c r="AS2" s="131">
        <f>AQ2*AR2</f>
        <v>0</v>
      </c>
      <c r="AT2" s="131">
        <f>AQ2^2*AR2</f>
        <v>0</v>
      </c>
      <c r="AU2" s="131">
        <f>AQ2^3*AR2</f>
        <v>0</v>
      </c>
      <c r="AV2" s="131">
        <f>AQ2^2</f>
        <v>0</v>
      </c>
      <c r="AW2" s="131">
        <f>AQ2^3</f>
        <v>0</v>
      </c>
      <c r="AX2" s="131">
        <f>AQ2^4</f>
        <v>0</v>
      </c>
      <c r="AY2" s="131">
        <f>AQ2^5</f>
        <v>0</v>
      </c>
      <c r="AZ2" s="131">
        <f>AQ2^6</f>
        <v>0</v>
      </c>
      <c r="BB2" s="130" t="s">
        <v>304</v>
      </c>
      <c r="BC2" s="112">
        <f>COUNT(AQ2:AQ241)</f>
        <v>240</v>
      </c>
      <c r="BE2" s="116">
        <f t="shared" ref="BE2:BE65" si="1">$BC$21*AO2+$BC$22*AO2^2+$BC$23*AO2^3</f>
        <v>0</v>
      </c>
    </row>
    <row r="3" spans="1:57">
      <c r="A3" s="112" t="s">
        <v>714</v>
      </c>
      <c r="B3" s="120">
        <v>38</v>
      </c>
      <c r="D3" s="114">
        <f t="shared" ref="D3:D66" si="2">$B$7</f>
        <v>41173</v>
      </c>
      <c r="E3" s="115">
        <f>E2+0.1/24</f>
        <v>8.3333333333333332E-3</v>
      </c>
      <c r="F3" s="116">
        <f t="shared" ref="F3:F66" si="3">D3+2415018.5+E3-$B$5/24</f>
        <v>2456191.5083333333</v>
      </c>
      <c r="G3" s="117">
        <f t="shared" ref="G3:G66" si="4">(F3-2451545)/36525</f>
        <v>0.1272144649783245</v>
      </c>
      <c r="I3" s="112">
        <f t="shared" ref="I3:I66" si="5">MOD(280.46646+G3*(36000.76983 + G3*0.0003032),360)</f>
        <v>180.2851376380986</v>
      </c>
      <c r="J3" s="112">
        <f t="shared" ref="J3:J66" si="6">357.52911+G3*(35999.05029 - 0.0001537*G3)</f>
        <v>4937.1290298827407</v>
      </c>
      <c r="K3" s="112">
        <f t="shared" ref="K3:K66" si="7">0.016708634-G3*(0.000042037+0.0000001267*G3)</f>
        <v>1.6703284235083708E-2</v>
      </c>
      <c r="L3" s="112">
        <f t="shared" ref="L3:L66" si="8">SIN(RADIANS(J3))*(1.914602-G3*(0.004817+0.000014*G3))+SIN(RADIANS(2*J3))*(0.019993-0.000101*G3)+SIN(RADIANS(3*J3))*0.000289</f>
        <v>-1.856994874405917</v>
      </c>
      <c r="M3" s="112">
        <f t="shared" ref="M3:M66" si="9">I3+L3</f>
        <v>178.42814276369268</v>
      </c>
      <c r="N3" s="112">
        <f t="shared" ref="N3:N66" si="10">J3+L3</f>
        <v>4935.2720350083346</v>
      </c>
      <c r="O3" s="112">
        <f t="shared" ref="O3:O66" si="11">(1.000001018*(1-K3*K3))/(1+K3*COS(RADIANS(N3)))</f>
        <v>1.0039854182731351</v>
      </c>
      <c r="P3" s="112">
        <f t="shared" ref="P3:P66" si="12">M3-0.00569-0.00478*SIN(RADIANS(125.04-1934.136*G3))</f>
        <v>178.42654959036295</v>
      </c>
      <c r="Q3" s="112">
        <f t="shared" ref="Q3:Q66" si="13">23+(26+((21.448-G3*(46.815+G3*(0.00059-G3*0.001813))))/60)/60</f>
        <v>23.437636791390645</v>
      </c>
      <c r="R3" s="112">
        <f t="shared" ref="R3:R66" si="14">Q3+0.00256*COS(RADIANS(125.04-1934.136*G3))</f>
        <v>23.436317908025874</v>
      </c>
      <c r="S3" s="112">
        <f t="shared" si="0"/>
        <v>178.55629759324395</v>
      </c>
      <c r="T3" s="112">
        <f t="shared" ref="T3:T66" si="15">DEGREES(ASIN(SIN(RADIANS(R3))*SIN(RADIANS(P3))))</f>
        <v>0.62574149849184657</v>
      </c>
      <c r="U3" s="112">
        <f t="shared" ref="U3:U66" si="16">TAN(RADIANS(R3/2))*TAN(RADIANS(R3/2))</f>
        <v>4.3023301891361575E-2</v>
      </c>
      <c r="V3" s="112">
        <f t="shared" ref="V3:V66" si="17">4*DEGREES(U3*SIN(2*RADIANS(I3))-2*K3*SIN(RADIANS(J3))+4*K3*U3*SIN(RADIANS(J3))*COS(2*RADIANS(I3))-0.5*U3*U3*SIN(4*RADIANS(I3))-1.25*K3*K3*SIN(2*RADIANS(J3)))</f>
        <v>6.8808481600310616</v>
      </c>
      <c r="W3" s="112">
        <f t="shared" ref="W3:W66" si="18">DEGREES(ACOS(COS(RADIANS(90.833))/(COS(RADIANS($B$3))*COS(RADIANS(T3)))-TAN(RADIANS($B$3))*TAN(RADIANS(T3))))</f>
        <v>91.546207921435851</v>
      </c>
      <c r="X3" s="115">
        <f t="shared" ref="X3:X66" si="19">(720-4*$B$4-V3+$B$5*60)/1440</f>
        <v>0.51466607766664507</v>
      </c>
      <c r="Y3" s="115">
        <f t="shared" ref="Y3:Y66" si="20">X3-W3*4/1440</f>
        <v>0.26037105566265661</v>
      </c>
      <c r="Z3" s="115">
        <f t="shared" ref="Z3:Z66" si="21">X3+W3*4/1440</f>
        <v>0.76896109967063353</v>
      </c>
      <c r="AA3" s="118">
        <f t="shared" ref="AA3:AA66" si="22">8*W3</f>
        <v>732.36966337148681</v>
      </c>
      <c r="AB3" s="112">
        <f t="shared" ref="AB3:AB66" si="23">MOD(E3*1440+V3+4*$B$4-60*$B$5,1440)</f>
        <v>1430.8808481600311</v>
      </c>
      <c r="AC3" s="112">
        <f t="shared" ref="AC3:AC66" si="24">IF(AB3/4&lt;0,AB3/4+180,AB3/4-180)</f>
        <v>177.72021204000777</v>
      </c>
      <c r="AD3" s="112">
        <f t="shared" ref="AD3:AD66" si="25">DEGREES(ACOS(SIN(RADIANS($B$3))*SIN(RADIANS(T3))+COS(RADIANS($B$3))*COS(RADIANS(T3))*COS(RADIANS(AC3))))</f>
        <v>141.31704889790683</v>
      </c>
      <c r="AE3" s="112">
        <f t="shared" ref="AE3:AE66" si="26">90-AD3</f>
        <v>-51.31704889790683</v>
      </c>
      <c r="AF3" s="112">
        <f t="shared" ref="AF3:AF66" si="27">IF(AE3&gt;85,0,IF(AE3&gt;5,58.1/TAN(RADIANS(AE3))-0.07/POWER(TAN(RADIANS(AE3)),3)+0.000086/POWER(TAN(RADIANS(AE3)),5),IF(AE3&gt;-0.575,1735+AE3*(-518.2+AE3*(103.4+AE3*(-12.79+AE3*0.711))),-20.772/TAN(RADIANS(AE3)))))/3600</f>
        <v>4.6198234394240001E-3</v>
      </c>
      <c r="AG3" s="112">
        <f t="shared" ref="AG3:AG66" si="28">AE3+AF3</f>
        <v>-51.312429074467403</v>
      </c>
      <c r="AH3" s="112">
        <f t="shared" ref="AH3:AH66" si="29">IF(AC3&gt;0,MOD(DEGREES(ACOS(((SIN(RADIANS($B$3))*COS(RADIANS(AD3)))-SIN(RADIANS(T3)))/(COS(RADIANS($B$3))*SIN(RADIANS(AD3)))))+180,360),MOD(540-DEGREES(ACOS(((SIN(RADIANS($B$3))*COS(RADIANS(AD3)))-SIN(RADIANS(T3)))/(COS(RADIANS($B$3))*SIN(RADIANS(AD3))))),360))</f>
        <v>356.35111385938717</v>
      </c>
      <c r="AI3" s="121">
        <f>SUM(AM2:AM241)/SUM(AL2:AL241)</f>
        <v>0.77968300381919875</v>
      </c>
      <c r="AJ3" s="119">
        <f t="shared" ref="AJ3:AJ66" si="30">E3</f>
        <v>8.3333333333333332E-3</v>
      </c>
      <c r="AK3" s="112">
        <f t="shared" ref="AK3:AK66" si="31">IF(AND(AJ3&gt;0.499,AJ3&lt;0.501),1,0)</f>
        <v>0</v>
      </c>
      <c r="AL3" s="112">
        <f t="shared" ref="AL3:AL66" si="32">IF(AND(AJ3&gt;0.499-$AI$2/2/24,AJ3&lt;0.501+$AI$2/2/24),1,0)</f>
        <v>0</v>
      </c>
      <c r="AM3" s="116">
        <f t="shared" ref="AM3:AM66" si="33">AL3*SIN(RADIANS(MAX(0,AG3)))*IF(AG3&lt;40,1,1)</f>
        <v>0</v>
      </c>
      <c r="AN3" s="116">
        <f>AM3*(AJ3-AJ2)*24+AN2</f>
        <v>0</v>
      </c>
      <c r="AO3" s="116">
        <f>IF(AL3=1,(AJ3-AJ2)*24+AO2,AO2)</f>
        <v>0</v>
      </c>
      <c r="AQ3" s="131">
        <f t="shared" ref="AQ3:AQ66" si="34">AO3</f>
        <v>0</v>
      </c>
      <c r="AR3" s="131">
        <f t="shared" ref="AR3:AR66" si="35">AN3</f>
        <v>0</v>
      </c>
      <c r="AS3" s="131">
        <f t="shared" ref="AS3:AS66" si="36">AQ3*AR3</f>
        <v>0</v>
      </c>
      <c r="AT3" s="131">
        <f t="shared" ref="AT3:AT66" si="37">AQ3^2*AR3</f>
        <v>0</v>
      </c>
      <c r="AU3" s="131">
        <f t="shared" ref="AU3:AU66" si="38">AQ3^3*AR3</f>
        <v>0</v>
      </c>
      <c r="AV3" s="131">
        <f t="shared" ref="AV3:AV66" si="39">AQ3^2</f>
        <v>0</v>
      </c>
      <c r="AW3" s="131">
        <f t="shared" ref="AW3:AW66" si="40">AQ3^3</f>
        <v>0</v>
      </c>
      <c r="AX3" s="131">
        <f t="shared" ref="AX3:AX66" si="41">AQ3^4</f>
        <v>0</v>
      </c>
      <c r="AY3" s="131">
        <f t="shared" ref="AY3:AY66" si="42">AQ3^5</f>
        <v>0</v>
      </c>
      <c r="AZ3" s="131">
        <f t="shared" ref="AZ3:AZ66" si="43">AQ3^6</f>
        <v>0</v>
      </c>
      <c r="BB3" s="130" t="s">
        <v>734</v>
      </c>
      <c r="BC3" s="131">
        <f>-SUM(AS2:AS241)/$BC$2</f>
        <v>-1.6829996526606665</v>
      </c>
      <c r="BE3" s="116">
        <f t="shared" si="1"/>
        <v>0</v>
      </c>
    </row>
    <row r="4" spans="1:57">
      <c r="A4" s="112" t="s">
        <v>715</v>
      </c>
      <c r="B4" s="120">
        <v>-7</v>
      </c>
      <c r="D4" s="114">
        <f t="shared" si="2"/>
        <v>41173</v>
      </c>
      <c r="E4" s="115">
        <f t="shared" ref="E4:E67" si="44">E3+0.1/24</f>
        <v>1.2500000000000001E-2</v>
      </c>
      <c r="F4" s="116">
        <f t="shared" si="3"/>
        <v>2456191.5125000002</v>
      </c>
      <c r="G4" s="117">
        <f t="shared" si="4"/>
        <v>0.12721457905544659</v>
      </c>
      <c r="I4" s="112">
        <f t="shared" si="5"/>
        <v>180.28924450232262</v>
      </c>
      <c r="J4" s="112">
        <f t="shared" si="6"/>
        <v>4937.1331365507913</v>
      </c>
      <c r="K4" s="112">
        <f t="shared" si="7"/>
        <v>1.6703284230284571E-2</v>
      </c>
      <c r="L4" s="112">
        <f t="shared" si="8"/>
        <v>-1.8570279691003275</v>
      </c>
      <c r="M4" s="112">
        <f t="shared" si="9"/>
        <v>178.43221653322229</v>
      </c>
      <c r="N4" s="112">
        <f t="shared" si="10"/>
        <v>4935.276108581691</v>
      </c>
      <c r="O4" s="112">
        <f t="shared" si="11"/>
        <v>1.003984260228401</v>
      </c>
      <c r="P4" s="112">
        <f t="shared" si="12"/>
        <v>178.43062335040929</v>
      </c>
      <c r="Q4" s="112">
        <f t="shared" si="13"/>
        <v>23.437636789907167</v>
      </c>
      <c r="R4" s="112">
        <f t="shared" si="14"/>
        <v>23.436317898093069</v>
      </c>
      <c r="S4" s="112">
        <f t="shared" si="0"/>
        <v>178.56003572367692</v>
      </c>
      <c r="T4" s="112">
        <f t="shared" si="15"/>
        <v>0.6241217565093421</v>
      </c>
      <c r="U4" s="112">
        <f t="shared" si="16"/>
        <v>4.3023301853856055E-2</v>
      </c>
      <c r="V4" s="112">
        <f t="shared" si="17"/>
        <v>6.8823237600473179</v>
      </c>
      <c r="W4" s="112">
        <f t="shared" si="18"/>
        <v>91.544941503039354</v>
      </c>
      <c r="X4" s="115">
        <f t="shared" si="19"/>
        <v>0.51466505294441156</v>
      </c>
      <c r="Y4" s="115">
        <f t="shared" si="20"/>
        <v>0.26037354876930224</v>
      </c>
      <c r="Z4" s="115">
        <f t="shared" si="21"/>
        <v>0.76895655711952093</v>
      </c>
      <c r="AA4" s="118">
        <f t="shared" si="22"/>
        <v>732.35953202431483</v>
      </c>
      <c r="AB4" s="112">
        <f t="shared" si="23"/>
        <v>1436.8823237600473</v>
      </c>
      <c r="AC4" s="112">
        <f t="shared" si="24"/>
        <v>179.22058094001181</v>
      </c>
      <c r="AD4" s="112">
        <f t="shared" si="25"/>
        <v>141.36918667952887</v>
      </c>
      <c r="AE4" s="112">
        <f t="shared" si="26"/>
        <v>-51.369186679528866</v>
      </c>
      <c r="AF4" s="112">
        <f t="shared" si="27"/>
        <v>4.611213220769214E-3</v>
      </c>
      <c r="AG4" s="112">
        <f t="shared" si="28"/>
        <v>-51.364575466308096</v>
      </c>
      <c r="AH4" s="112">
        <f t="shared" si="29"/>
        <v>358.75154460799047</v>
      </c>
      <c r="AI4" s="121">
        <f>INDEX(AM2:AM241,MATCH(1,AL2:AL241,0),1)</f>
        <v>0.7443420268110652</v>
      </c>
      <c r="AJ4" s="119">
        <f t="shared" si="30"/>
        <v>1.2500000000000001E-2</v>
      </c>
      <c r="AK4" s="112">
        <f t="shared" si="31"/>
        <v>0</v>
      </c>
      <c r="AL4" s="112">
        <f t="shared" si="32"/>
        <v>0</v>
      </c>
      <c r="AM4" s="116">
        <f t="shared" si="33"/>
        <v>0</v>
      </c>
      <c r="AN4" s="116">
        <f t="shared" ref="AN4:AN67" si="45">AM4*(AJ4-AJ3)*24+AN3</f>
        <v>0</v>
      </c>
      <c r="AO4" s="116">
        <f t="shared" ref="AO4:AO67" si="46">IF(AL4=1,(AJ4-AJ3)*24+AO3,AO3)</f>
        <v>0</v>
      </c>
      <c r="AQ4" s="131">
        <f t="shared" si="34"/>
        <v>0</v>
      </c>
      <c r="AR4" s="131">
        <f t="shared" si="35"/>
        <v>0</v>
      </c>
      <c r="AS4" s="131">
        <f t="shared" si="36"/>
        <v>0</v>
      </c>
      <c r="AT4" s="131">
        <f t="shared" si="37"/>
        <v>0</v>
      </c>
      <c r="AU4" s="131">
        <f t="shared" si="38"/>
        <v>0</v>
      </c>
      <c r="AV4" s="131">
        <f t="shared" si="39"/>
        <v>0</v>
      </c>
      <c r="AW4" s="131">
        <f t="shared" si="40"/>
        <v>0</v>
      </c>
      <c r="AX4" s="131">
        <f t="shared" si="41"/>
        <v>0</v>
      </c>
      <c r="AY4" s="131">
        <f t="shared" si="42"/>
        <v>0</v>
      </c>
      <c r="AZ4" s="131">
        <f t="shared" si="43"/>
        <v>0</v>
      </c>
      <c r="BB4" s="130" t="s">
        <v>735</v>
      </c>
      <c r="BC4" s="131">
        <f>SUM(AV2:AV241)/$BC$2</f>
        <v>2.1592083333333179</v>
      </c>
      <c r="BE4" s="116">
        <f t="shared" si="1"/>
        <v>0</v>
      </c>
    </row>
    <row r="5" spans="1:57">
      <c r="A5" s="112" t="s">
        <v>716</v>
      </c>
      <c r="B5" s="120">
        <v>0</v>
      </c>
      <c r="D5" s="114">
        <f t="shared" si="2"/>
        <v>41173</v>
      </c>
      <c r="E5" s="115">
        <f t="shared" si="44"/>
        <v>1.6666666666666666E-2</v>
      </c>
      <c r="F5" s="116">
        <f t="shared" si="3"/>
        <v>2456191.5166666666</v>
      </c>
      <c r="G5" s="117">
        <f t="shared" si="4"/>
        <v>0.1272146931325559</v>
      </c>
      <c r="I5" s="112">
        <f t="shared" si="5"/>
        <v>180.29335136608734</v>
      </c>
      <c r="J5" s="112">
        <f t="shared" si="6"/>
        <v>4937.1372432183816</v>
      </c>
      <c r="K5" s="112">
        <f t="shared" si="7"/>
        <v>1.6703284225485435E-2</v>
      </c>
      <c r="L5" s="112">
        <f t="shared" si="8"/>
        <v>-1.8570610543939072</v>
      </c>
      <c r="M5" s="112">
        <f t="shared" si="9"/>
        <v>178.43629031169343</v>
      </c>
      <c r="N5" s="112">
        <f t="shared" si="10"/>
        <v>4935.2801821639878</v>
      </c>
      <c r="O5" s="112">
        <f t="shared" si="11"/>
        <v>1.003983102162161</v>
      </c>
      <c r="P5" s="112">
        <f t="shared" si="12"/>
        <v>178.43469711939707</v>
      </c>
      <c r="Q5" s="112">
        <f t="shared" si="13"/>
        <v>23.437636788423688</v>
      </c>
      <c r="R5" s="112">
        <f t="shared" si="14"/>
        <v>23.436317888160286</v>
      </c>
      <c r="S5" s="112">
        <f t="shared" si="0"/>
        <v>178.5637738600129</v>
      </c>
      <c r="T5" s="112">
        <f t="shared" si="15"/>
        <v>0.62250200831654023</v>
      </c>
      <c r="U5" s="112">
        <f t="shared" si="16"/>
        <v>4.3023301816350626E-2</v>
      </c>
      <c r="V5" s="112">
        <f t="shared" si="17"/>
        <v>6.8837993370988828</v>
      </c>
      <c r="W5" s="112">
        <f t="shared" si="18"/>
        <v>91.543675082167354</v>
      </c>
      <c r="X5" s="115">
        <f t="shared" si="19"/>
        <v>0.51466402823812574</v>
      </c>
      <c r="Y5" s="115">
        <f t="shared" si="20"/>
        <v>0.26037604189877195</v>
      </c>
      <c r="Z5" s="115">
        <f t="shared" si="21"/>
        <v>0.76895201457747953</v>
      </c>
      <c r="AA5" s="118">
        <f t="shared" si="22"/>
        <v>732.34940065733883</v>
      </c>
      <c r="AB5" s="112">
        <f t="shared" si="23"/>
        <v>2.8837993370988819</v>
      </c>
      <c r="AC5" s="112">
        <f t="shared" si="24"/>
        <v>-179.27905016572527</v>
      </c>
      <c r="AD5" s="112">
        <f t="shared" si="25"/>
        <v>141.37177244802987</v>
      </c>
      <c r="AE5" s="112">
        <f t="shared" si="26"/>
        <v>-51.371772448029873</v>
      </c>
      <c r="AF5" s="112">
        <f t="shared" si="27"/>
        <v>4.6107865238134696E-3</v>
      </c>
      <c r="AG5" s="112">
        <f t="shared" si="28"/>
        <v>-51.36716166150606</v>
      </c>
      <c r="AH5" s="112">
        <f t="shared" si="29"/>
        <v>1.154858268382327</v>
      </c>
      <c r="AI5" s="121">
        <f>AVERAGE(AI3:AI4)</f>
        <v>0.76201251531513203</v>
      </c>
      <c r="AJ5" s="119">
        <f t="shared" si="30"/>
        <v>1.6666666666666666E-2</v>
      </c>
      <c r="AK5" s="112">
        <f t="shared" si="31"/>
        <v>0</v>
      </c>
      <c r="AL5" s="112">
        <f t="shared" si="32"/>
        <v>0</v>
      </c>
      <c r="AM5" s="116">
        <f t="shared" si="33"/>
        <v>0</v>
      </c>
      <c r="AN5" s="116">
        <f t="shared" si="45"/>
        <v>0</v>
      </c>
      <c r="AO5" s="116">
        <f t="shared" si="46"/>
        <v>0</v>
      </c>
      <c r="AQ5" s="131">
        <f t="shared" si="34"/>
        <v>0</v>
      </c>
      <c r="AR5" s="131">
        <f t="shared" si="35"/>
        <v>0</v>
      </c>
      <c r="AS5" s="131">
        <f t="shared" si="36"/>
        <v>0</v>
      </c>
      <c r="AT5" s="131">
        <f t="shared" si="37"/>
        <v>0</v>
      </c>
      <c r="AU5" s="131">
        <f t="shared" si="38"/>
        <v>0</v>
      </c>
      <c r="AV5" s="131">
        <f t="shared" si="39"/>
        <v>0</v>
      </c>
      <c r="AW5" s="131">
        <f t="shared" si="40"/>
        <v>0</v>
      </c>
      <c r="AX5" s="131">
        <f t="shared" si="41"/>
        <v>0</v>
      </c>
      <c r="AY5" s="131">
        <f t="shared" si="42"/>
        <v>0</v>
      </c>
      <c r="AZ5" s="131">
        <f t="shared" si="43"/>
        <v>0</v>
      </c>
      <c r="BB5" s="130" t="s">
        <v>736</v>
      </c>
      <c r="BC5" s="131">
        <f>SUM(AW2:AW241)/$BC$2</f>
        <v>4.4669624999999451</v>
      </c>
      <c r="BE5" s="116">
        <f t="shared" si="1"/>
        <v>0</v>
      </c>
    </row>
    <row r="6" spans="1:57">
      <c r="D6" s="114">
        <f t="shared" si="2"/>
        <v>41173</v>
      </c>
      <c r="E6" s="115">
        <f t="shared" si="44"/>
        <v>2.0833333333333332E-2</v>
      </c>
      <c r="F6" s="116">
        <f t="shared" si="3"/>
        <v>2456191.5208333335</v>
      </c>
      <c r="G6" s="117">
        <f t="shared" si="4"/>
        <v>0.12721480720967798</v>
      </c>
      <c r="I6" s="112">
        <f t="shared" si="5"/>
        <v>180.29745823031135</v>
      </c>
      <c r="J6" s="112">
        <f t="shared" si="6"/>
        <v>4937.1413498864322</v>
      </c>
      <c r="K6" s="112">
        <f t="shared" si="7"/>
        <v>1.6703284220686298E-2</v>
      </c>
      <c r="L6" s="112">
        <f t="shared" si="8"/>
        <v>-1.8570941302938593</v>
      </c>
      <c r="M6" s="112">
        <f t="shared" si="9"/>
        <v>178.44036410001749</v>
      </c>
      <c r="N6" s="112">
        <f t="shared" si="10"/>
        <v>4935.284255756138</v>
      </c>
      <c r="O6" s="112">
        <f t="shared" si="11"/>
        <v>1.0039819440741609</v>
      </c>
      <c r="P6" s="112">
        <f t="shared" si="12"/>
        <v>178.43877089823775</v>
      </c>
      <c r="Q6" s="112">
        <f t="shared" si="13"/>
        <v>23.437636786940207</v>
      </c>
      <c r="R6" s="112">
        <f t="shared" si="14"/>
        <v>23.436317878227516</v>
      </c>
      <c r="S6" s="112">
        <f t="shared" si="0"/>
        <v>178.56751200309412</v>
      </c>
      <c r="T6" s="112">
        <f t="shared" si="15"/>
        <v>0.62088225355793436</v>
      </c>
      <c r="U6" s="112">
        <f t="shared" si="16"/>
        <v>4.3023301778845245E-2</v>
      </c>
      <c r="V6" s="112">
        <f t="shared" si="17"/>
        <v>6.885274891491628</v>
      </c>
      <c r="W6" s="112">
        <f t="shared" si="18"/>
        <v>91.542408658539259</v>
      </c>
      <c r="X6" s="115">
        <f t="shared" si="19"/>
        <v>0.51466300354757533</v>
      </c>
      <c r="Y6" s="115">
        <f t="shared" si="20"/>
        <v>0.26037853505163294</v>
      </c>
      <c r="Z6" s="115">
        <f t="shared" si="21"/>
        <v>0.76894747204351765</v>
      </c>
      <c r="AA6" s="118">
        <f t="shared" si="22"/>
        <v>732.33926926831407</v>
      </c>
      <c r="AB6" s="112">
        <f t="shared" si="23"/>
        <v>8.8852748914916262</v>
      </c>
      <c r="AC6" s="112">
        <f t="shared" si="24"/>
        <v>-177.77868127712711</v>
      </c>
      <c r="AD6" s="112">
        <f t="shared" si="25"/>
        <v>141.32479711282608</v>
      </c>
      <c r="AE6" s="112">
        <f t="shared" si="26"/>
        <v>-51.324797112826076</v>
      </c>
      <c r="AF6" s="112">
        <f t="shared" si="27"/>
        <v>4.618543078364532E-3</v>
      </c>
      <c r="AG6" s="112">
        <f t="shared" si="28"/>
        <v>-51.320178569747711</v>
      </c>
      <c r="AH6" s="112">
        <f t="shared" si="29"/>
        <v>3.5558342935815972</v>
      </c>
      <c r="AI6" s="121">
        <f>AN241</f>
        <v>1.6373343080203115</v>
      </c>
      <c r="AJ6" s="119">
        <f t="shared" si="30"/>
        <v>2.0833333333333332E-2</v>
      </c>
      <c r="AK6" s="112">
        <f t="shared" si="31"/>
        <v>0</v>
      </c>
      <c r="AL6" s="112">
        <f t="shared" si="32"/>
        <v>0</v>
      </c>
      <c r="AM6" s="116">
        <f t="shared" si="33"/>
        <v>0</v>
      </c>
      <c r="AN6" s="116">
        <f t="shared" si="45"/>
        <v>0</v>
      </c>
      <c r="AO6" s="116">
        <f t="shared" si="46"/>
        <v>0</v>
      </c>
      <c r="AQ6" s="131">
        <f t="shared" si="34"/>
        <v>0</v>
      </c>
      <c r="AR6" s="131">
        <f t="shared" si="35"/>
        <v>0</v>
      </c>
      <c r="AS6" s="131">
        <f t="shared" si="36"/>
        <v>0</v>
      </c>
      <c r="AT6" s="131">
        <f t="shared" si="37"/>
        <v>0</v>
      </c>
      <c r="AU6" s="131">
        <f t="shared" si="38"/>
        <v>0</v>
      </c>
      <c r="AV6" s="131">
        <f t="shared" si="39"/>
        <v>0</v>
      </c>
      <c r="AW6" s="131">
        <f t="shared" si="40"/>
        <v>0</v>
      </c>
      <c r="AX6" s="131">
        <f t="shared" si="41"/>
        <v>0</v>
      </c>
      <c r="AY6" s="131">
        <f t="shared" si="42"/>
        <v>0</v>
      </c>
      <c r="AZ6" s="131">
        <f t="shared" si="43"/>
        <v>0</v>
      </c>
      <c r="BB6" s="130" t="s">
        <v>737</v>
      </c>
      <c r="BC6" s="131">
        <f>SUM(AX2:AX241)/$BC$2</f>
        <v>9.2958570833331731</v>
      </c>
      <c r="BE6" s="116">
        <f t="shared" si="1"/>
        <v>0</v>
      </c>
    </row>
    <row r="7" spans="1:57">
      <c r="A7" s="112" t="s">
        <v>681</v>
      </c>
      <c r="B7" s="122">
        <v>41173</v>
      </c>
      <c r="D7" s="114">
        <f t="shared" si="2"/>
        <v>41173</v>
      </c>
      <c r="E7" s="115">
        <f t="shared" si="44"/>
        <v>2.4999999999999998E-2</v>
      </c>
      <c r="F7" s="116">
        <f t="shared" si="3"/>
        <v>2456191.5249999999</v>
      </c>
      <c r="G7" s="117">
        <f t="shared" si="4"/>
        <v>0.12721492128678732</v>
      </c>
      <c r="I7" s="112">
        <f t="shared" si="5"/>
        <v>180.30156509407516</v>
      </c>
      <c r="J7" s="112">
        <f t="shared" si="6"/>
        <v>4937.1454565540234</v>
      </c>
      <c r="K7" s="112">
        <f t="shared" si="7"/>
        <v>1.6703284215887161E-2</v>
      </c>
      <c r="L7" s="112">
        <f t="shared" si="8"/>
        <v>-1.8571271967925731</v>
      </c>
      <c r="M7" s="112">
        <f t="shared" si="9"/>
        <v>178.4444378972826</v>
      </c>
      <c r="N7" s="112">
        <f t="shared" si="10"/>
        <v>4935.2883293572313</v>
      </c>
      <c r="O7" s="112">
        <f t="shared" si="11"/>
        <v>1.0039807859646657</v>
      </c>
      <c r="P7" s="112">
        <f t="shared" si="12"/>
        <v>178.44284468601938</v>
      </c>
      <c r="Q7" s="112">
        <f t="shared" si="13"/>
        <v>23.437636785456728</v>
      </c>
      <c r="R7" s="112">
        <f t="shared" si="14"/>
        <v>23.436317868294772</v>
      </c>
      <c r="S7" s="112">
        <f t="shared" si="0"/>
        <v>178.57125015208982</v>
      </c>
      <c r="T7" s="112">
        <f t="shared" si="15"/>
        <v>0.61926249260298005</v>
      </c>
      <c r="U7" s="112">
        <f t="shared" si="16"/>
        <v>4.3023301741339968E-2</v>
      </c>
      <c r="V7" s="112">
        <f t="shared" si="17"/>
        <v>6.8867504228709731</v>
      </c>
      <c r="W7" s="112">
        <f t="shared" si="18"/>
        <v>91.541142232441359</v>
      </c>
      <c r="X7" s="115">
        <f t="shared" si="19"/>
        <v>0.51466197887300624</v>
      </c>
      <c r="Y7" s="115">
        <f t="shared" si="20"/>
        <v>0.26038102822733578</v>
      </c>
      <c r="Z7" s="115">
        <f t="shared" si="21"/>
        <v>0.76894292951867671</v>
      </c>
      <c r="AA7" s="118">
        <f t="shared" si="22"/>
        <v>732.32913785953087</v>
      </c>
      <c r="AB7" s="112">
        <f t="shared" si="23"/>
        <v>14.886750422870975</v>
      </c>
      <c r="AC7" s="112">
        <f t="shared" si="24"/>
        <v>-176.27831239428227</v>
      </c>
      <c r="AD7" s="112">
        <f t="shared" si="25"/>
        <v>141.22844580161052</v>
      </c>
      <c r="AE7" s="112">
        <f t="shared" si="26"/>
        <v>-51.228445801610519</v>
      </c>
      <c r="AF7" s="112">
        <f t="shared" si="27"/>
        <v>4.63448449095349E-3</v>
      </c>
      <c r="AG7" s="112">
        <f t="shared" si="28"/>
        <v>-51.223811317119562</v>
      </c>
      <c r="AH7" s="112">
        <f t="shared" si="29"/>
        <v>5.9492889806160747</v>
      </c>
      <c r="AJ7" s="119">
        <f t="shared" si="30"/>
        <v>2.4999999999999998E-2</v>
      </c>
      <c r="AK7" s="112">
        <f t="shared" si="31"/>
        <v>0</v>
      </c>
      <c r="AL7" s="112">
        <f t="shared" si="32"/>
        <v>0</v>
      </c>
      <c r="AM7" s="116">
        <f t="shared" si="33"/>
        <v>0</v>
      </c>
      <c r="AN7" s="116">
        <f t="shared" si="45"/>
        <v>0</v>
      </c>
      <c r="AO7" s="116">
        <f t="shared" si="46"/>
        <v>0</v>
      </c>
      <c r="AQ7" s="131">
        <f t="shared" si="34"/>
        <v>0</v>
      </c>
      <c r="AR7" s="131">
        <f t="shared" si="35"/>
        <v>0</v>
      </c>
      <c r="AS7" s="131">
        <f t="shared" si="36"/>
        <v>0</v>
      </c>
      <c r="AT7" s="131">
        <f t="shared" si="37"/>
        <v>0</v>
      </c>
      <c r="AU7" s="131">
        <f t="shared" si="38"/>
        <v>0</v>
      </c>
      <c r="AV7" s="131">
        <f t="shared" si="39"/>
        <v>0</v>
      </c>
      <c r="AW7" s="131">
        <f t="shared" si="40"/>
        <v>0</v>
      </c>
      <c r="AX7" s="131">
        <f t="shared" si="41"/>
        <v>0</v>
      </c>
      <c r="AY7" s="131">
        <f t="shared" si="42"/>
        <v>0</v>
      </c>
      <c r="AZ7" s="131">
        <f t="shared" si="43"/>
        <v>0</v>
      </c>
      <c r="BB7" s="130" t="s">
        <v>738</v>
      </c>
      <c r="BC7" s="131">
        <f>-SUM(AT2:AT241)/$BC$2</f>
        <v>-3.4822931224058538</v>
      </c>
      <c r="BE7" s="116">
        <f t="shared" si="1"/>
        <v>0</v>
      </c>
    </row>
    <row r="8" spans="1:57">
      <c r="D8" s="114">
        <f t="shared" si="2"/>
        <v>41173</v>
      </c>
      <c r="E8" s="115">
        <f t="shared" si="44"/>
        <v>2.9166666666666664E-2</v>
      </c>
      <c r="F8" s="116">
        <f t="shared" si="3"/>
        <v>2456191.5291666668</v>
      </c>
      <c r="G8" s="117">
        <f t="shared" si="4"/>
        <v>0.12721503536390941</v>
      </c>
      <c r="I8" s="112">
        <f t="shared" si="5"/>
        <v>180.30567195829917</v>
      </c>
      <c r="J8" s="112">
        <f t="shared" si="6"/>
        <v>4937.149563222074</v>
      </c>
      <c r="K8" s="112">
        <f t="shared" si="7"/>
        <v>1.6703284211088024E-2</v>
      </c>
      <c r="L8" s="112">
        <f t="shared" si="8"/>
        <v>-1.8571602538972347</v>
      </c>
      <c r="M8" s="112">
        <f t="shared" si="9"/>
        <v>178.44851170440194</v>
      </c>
      <c r="N8" s="112">
        <f t="shared" si="10"/>
        <v>4935.2924029681772</v>
      </c>
      <c r="O8" s="112">
        <f t="shared" si="11"/>
        <v>1.0039796278334223</v>
      </c>
      <c r="P8" s="112">
        <f t="shared" si="12"/>
        <v>178.4469184836552</v>
      </c>
      <c r="Q8" s="112">
        <f t="shared" si="13"/>
        <v>23.437636783973247</v>
      </c>
      <c r="R8" s="112">
        <f t="shared" si="14"/>
        <v>23.436317858362042</v>
      </c>
      <c r="S8" s="112">
        <f t="shared" si="0"/>
        <v>178.57498830784388</v>
      </c>
      <c r="T8" s="112">
        <f t="shared" si="15"/>
        <v>0.61764272509546125</v>
      </c>
      <c r="U8" s="112">
        <f t="shared" si="16"/>
        <v>4.3023301703834727E-2</v>
      </c>
      <c r="V8" s="112">
        <f t="shared" si="17"/>
        <v>6.8882259315433183</v>
      </c>
      <c r="W8" s="112">
        <f t="shared" si="18"/>
        <v>91.53987580359248</v>
      </c>
      <c r="X8" s="115">
        <f t="shared" si="19"/>
        <v>0.5146609542142061</v>
      </c>
      <c r="Y8" s="115">
        <f t="shared" si="20"/>
        <v>0.26038352142644922</v>
      </c>
      <c r="Z8" s="115">
        <f t="shared" si="21"/>
        <v>0.76893838700196304</v>
      </c>
      <c r="AA8" s="118">
        <f t="shared" si="22"/>
        <v>732.31900642873984</v>
      </c>
      <c r="AB8" s="112">
        <f t="shared" si="23"/>
        <v>20.88822593154331</v>
      </c>
      <c r="AC8" s="112">
        <f t="shared" si="24"/>
        <v>-174.77794351711418</v>
      </c>
      <c r="AD8" s="112">
        <f t="shared" si="25"/>
        <v>141.08309434886206</v>
      </c>
      <c r="AE8" s="112">
        <f t="shared" si="26"/>
        <v>-51.083094348862062</v>
      </c>
      <c r="AF8" s="112">
        <f t="shared" si="27"/>
        <v>4.6586147014674997E-3</v>
      </c>
      <c r="AG8" s="112">
        <f t="shared" si="28"/>
        <v>-51.078435734160593</v>
      </c>
      <c r="AH8" s="112">
        <f t="shared" si="29"/>
        <v>8.3301558044945523</v>
      </c>
      <c r="AJ8" s="119">
        <f t="shared" si="30"/>
        <v>2.9166666666666664E-2</v>
      </c>
      <c r="AK8" s="112">
        <f t="shared" si="31"/>
        <v>0</v>
      </c>
      <c r="AL8" s="112">
        <f t="shared" si="32"/>
        <v>0</v>
      </c>
      <c r="AM8" s="116">
        <f t="shared" si="33"/>
        <v>0</v>
      </c>
      <c r="AN8" s="116">
        <f t="shared" si="45"/>
        <v>0</v>
      </c>
      <c r="AO8" s="116">
        <f t="shared" si="46"/>
        <v>0</v>
      </c>
      <c r="AQ8" s="131">
        <f t="shared" si="34"/>
        <v>0</v>
      </c>
      <c r="AR8" s="131">
        <f t="shared" si="35"/>
        <v>0</v>
      </c>
      <c r="AS8" s="131">
        <f t="shared" si="36"/>
        <v>0</v>
      </c>
      <c r="AT8" s="131">
        <f t="shared" si="37"/>
        <v>0</v>
      </c>
      <c r="AU8" s="131">
        <f t="shared" si="38"/>
        <v>0</v>
      </c>
      <c r="AV8" s="131">
        <f t="shared" si="39"/>
        <v>0</v>
      </c>
      <c r="AW8" s="131">
        <f t="shared" si="40"/>
        <v>0</v>
      </c>
      <c r="AX8" s="131">
        <f t="shared" si="41"/>
        <v>0</v>
      </c>
      <c r="AY8" s="131">
        <f t="shared" si="42"/>
        <v>0</v>
      </c>
      <c r="AZ8" s="131">
        <f t="shared" si="43"/>
        <v>0</v>
      </c>
      <c r="BB8" s="130" t="s">
        <v>739</v>
      </c>
      <c r="BC8" s="131">
        <f>SUM(AW2:AW241)/$BC$2</f>
        <v>4.4669624999999451</v>
      </c>
      <c r="BE8" s="116">
        <f t="shared" si="1"/>
        <v>0</v>
      </c>
    </row>
    <row r="9" spans="1:57">
      <c r="D9" s="114">
        <f t="shared" si="2"/>
        <v>41173</v>
      </c>
      <c r="E9" s="115">
        <f t="shared" si="44"/>
        <v>3.3333333333333333E-2</v>
      </c>
      <c r="F9" s="116">
        <f t="shared" si="3"/>
        <v>2456191.5333333332</v>
      </c>
      <c r="G9" s="117">
        <f t="shared" si="4"/>
        <v>0.12721514944101872</v>
      </c>
      <c r="I9" s="112">
        <f t="shared" si="5"/>
        <v>180.30977882206389</v>
      </c>
      <c r="J9" s="112">
        <f t="shared" si="6"/>
        <v>4937.1536698896643</v>
      </c>
      <c r="K9" s="112">
        <f t="shared" si="7"/>
        <v>1.6703284206288888E-2</v>
      </c>
      <c r="L9" s="112">
        <f t="shared" si="8"/>
        <v>-1.8571933016002375</v>
      </c>
      <c r="M9" s="112">
        <f t="shared" si="9"/>
        <v>178.45258552046366</v>
      </c>
      <c r="N9" s="112">
        <f t="shared" si="10"/>
        <v>4935.2964765880643</v>
      </c>
      <c r="O9" s="112">
        <f t="shared" si="11"/>
        <v>1.0039784696806964</v>
      </c>
      <c r="P9" s="112">
        <f t="shared" si="12"/>
        <v>178.45099229023333</v>
      </c>
      <c r="Q9" s="112">
        <f t="shared" si="13"/>
        <v>23.437636782489768</v>
      </c>
      <c r="R9" s="112">
        <f t="shared" si="14"/>
        <v>23.436317848429336</v>
      </c>
      <c r="S9" s="112">
        <f t="shared" si="0"/>
        <v>178.57872646952555</v>
      </c>
      <c r="T9" s="112">
        <f t="shared" si="15"/>
        <v>0.61602295140481467</v>
      </c>
      <c r="U9" s="112">
        <f t="shared" si="16"/>
        <v>4.3023301666329582E-2</v>
      </c>
      <c r="V9" s="112">
        <f t="shared" si="17"/>
        <v>6.8897014171540931</v>
      </c>
      <c r="W9" s="112">
        <f t="shared" si="18"/>
        <v>91.53860937227887</v>
      </c>
      <c r="X9" s="115">
        <f t="shared" si="19"/>
        <v>0.5146599295714207</v>
      </c>
      <c r="Y9" s="115">
        <f t="shared" si="20"/>
        <v>0.26038601464842387</v>
      </c>
      <c r="Z9" s="115">
        <f t="shared" si="21"/>
        <v>0.7689338444944176</v>
      </c>
      <c r="AA9" s="118">
        <f t="shared" si="22"/>
        <v>732.30887497823096</v>
      </c>
      <c r="AB9" s="112">
        <f t="shared" si="23"/>
        <v>26.889701417154093</v>
      </c>
      <c r="AC9" s="112">
        <f t="shared" si="24"/>
        <v>-173.27757464571147</v>
      </c>
      <c r="AD9" s="112">
        <f t="shared" si="25"/>
        <v>140.88930224237345</v>
      </c>
      <c r="AE9" s="112">
        <f t="shared" si="26"/>
        <v>-50.889302242373446</v>
      </c>
      <c r="AF9" s="112">
        <f t="shared" si="27"/>
        <v>4.6909409105511859E-3</v>
      </c>
      <c r="AG9" s="112">
        <f t="shared" si="28"/>
        <v>-50.884611301462897</v>
      </c>
      <c r="AH9" s="112">
        <f t="shared" si="29"/>
        <v>10.693561322760559</v>
      </c>
      <c r="AJ9" s="119">
        <f t="shared" si="30"/>
        <v>3.3333333333333333E-2</v>
      </c>
      <c r="AK9" s="112">
        <f t="shared" si="31"/>
        <v>0</v>
      </c>
      <c r="AL9" s="112">
        <f t="shared" si="32"/>
        <v>0</v>
      </c>
      <c r="AM9" s="116">
        <f t="shared" si="33"/>
        <v>0</v>
      </c>
      <c r="AN9" s="116">
        <f t="shared" si="45"/>
        <v>0</v>
      </c>
      <c r="AO9" s="116">
        <f t="shared" si="46"/>
        <v>0</v>
      </c>
      <c r="AQ9" s="131">
        <f t="shared" si="34"/>
        <v>0</v>
      </c>
      <c r="AR9" s="131">
        <f t="shared" si="35"/>
        <v>0</v>
      </c>
      <c r="AS9" s="131">
        <f t="shared" si="36"/>
        <v>0</v>
      </c>
      <c r="AT9" s="131">
        <f t="shared" si="37"/>
        <v>0</v>
      </c>
      <c r="AU9" s="131">
        <f t="shared" si="38"/>
        <v>0</v>
      </c>
      <c r="AV9" s="131">
        <f t="shared" si="39"/>
        <v>0</v>
      </c>
      <c r="AW9" s="131">
        <f t="shared" si="40"/>
        <v>0</v>
      </c>
      <c r="AX9" s="131">
        <f t="shared" si="41"/>
        <v>0</v>
      </c>
      <c r="AY9" s="131">
        <f t="shared" si="42"/>
        <v>0</v>
      </c>
      <c r="AZ9" s="131">
        <f t="shared" si="43"/>
        <v>0</v>
      </c>
      <c r="BB9" s="130" t="s">
        <v>740</v>
      </c>
      <c r="BC9" s="131">
        <f>SUM(AX2:AX241)/$BC$2</f>
        <v>9.2958570833331731</v>
      </c>
      <c r="BE9" s="116">
        <f t="shared" si="1"/>
        <v>0</v>
      </c>
    </row>
    <row r="10" spans="1:57">
      <c r="D10" s="114">
        <f t="shared" si="2"/>
        <v>41173</v>
      </c>
      <c r="E10" s="115">
        <f t="shared" si="44"/>
        <v>3.7499999999999999E-2</v>
      </c>
      <c r="F10" s="116">
        <f t="shared" si="3"/>
        <v>2456191.5375000001</v>
      </c>
      <c r="G10" s="117">
        <f t="shared" si="4"/>
        <v>0.1272152635181408</v>
      </c>
      <c r="I10" s="112">
        <f t="shared" si="5"/>
        <v>180.3138856862879</v>
      </c>
      <c r="J10" s="112">
        <f t="shared" si="6"/>
        <v>4937.1577765577149</v>
      </c>
      <c r="K10" s="112">
        <f t="shared" si="7"/>
        <v>1.6703284201489751E-2</v>
      </c>
      <c r="L10" s="112">
        <f t="shared" si="8"/>
        <v>-1.8572263399087767</v>
      </c>
      <c r="M10" s="112">
        <f t="shared" si="9"/>
        <v>178.45665934637913</v>
      </c>
      <c r="N10" s="112">
        <f t="shared" si="10"/>
        <v>4935.3005502178057</v>
      </c>
      <c r="O10" s="112">
        <f t="shared" si="11"/>
        <v>1.0039773115062334</v>
      </c>
      <c r="P10" s="112">
        <f t="shared" si="12"/>
        <v>178.45506610666516</v>
      </c>
      <c r="Q10" s="112">
        <f t="shared" si="13"/>
        <v>23.437636781006287</v>
      </c>
      <c r="R10" s="112">
        <f t="shared" si="14"/>
        <v>23.436317838496645</v>
      </c>
      <c r="S10" s="112">
        <f t="shared" si="0"/>
        <v>178.58246463797713</v>
      </c>
      <c r="T10" s="112">
        <f t="shared" si="15"/>
        <v>0.61440317117554144</v>
      </c>
      <c r="U10" s="112">
        <f t="shared" si="16"/>
        <v>4.3023301628824499E-2</v>
      </c>
      <c r="V10" s="112">
        <f t="shared" si="17"/>
        <v>6.8911768800091471</v>
      </c>
      <c r="W10" s="112">
        <f t="shared" si="18"/>
        <v>91.53734293821995</v>
      </c>
      <c r="X10" s="115">
        <f t="shared" si="19"/>
        <v>0.51465890494443811</v>
      </c>
      <c r="Y10" s="115">
        <f t="shared" si="20"/>
        <v>0.26038850789382711</v>
      </c>
      <c r="Z10" s="115">
        <f t="shared" si="21"/>
        <v>0.76892930199504916</v>
      </c>
      <c r="AA10" s="118">
        <f t="shared" si="22"/>
        <v>732.2987435057596</v>
      </c>
      <c r="AB10" s="112">
        <f t="shared" si="23"/>
        <v>32.891176880009148</v>
      </c>
      <c r="AC10" s="112">
        <f t="shared" si="24"/>
        <v>-171.7772057799977</v>
      </c>
      <c r="AD10" s="112">
        <f t="shared" si="25"/>
        <v>140.64780234046648</v>
      </c>
      <c r="AE10" s="112">
        <f t="shared" si="26"/>
        <v>-50.647802340466484</v>
      </c>
      <c r="AF10" s="112">
        <f t="shared" si="27"/>
        <v>4.7314749529247056E-3</v>
      </c>
      <c r="AG10" s="112">
        <f t="shared" si="28"/>
        <v>-50.643070865513558</v>
      </c>
      <c r="AH10" s="112">
        <f t="shared" si="29"/>
        <v>13.034893940873701</v>
      </c>
      <c r="AJ10" s="119">
        <f t="shared" si="30"/>
        <v>3.7499999999999999E-2</v>
      </c>
      <c r="AK10" s="112">
        <f t="shared" si="31"/>
        <v>0</v>
      </c>
      <c r="AL10" s="112">
        <f t="shared" si="32"/>
        <v>0</v>
      </c>
      <c r="AM10" s="116">
        <f t="shared" si="33"/>
        <v>0</v>
      </c>
      <c r="AN10" s="116">
        <f t="shared" si="45"/>
        <v>0</v>
      </c>
      <c r="AO10" s="116">
        <f t="shared" si="46"/>
        <v>0</v>
      </c>
      <c r="AQ10" s="131">
        <f t="shared" si="34"/>
        <v>0</v>
      </c>
      <c r="AR10" s="131">
        <f t="shared" si="35"/>
        <v>0</v>
      </c>
      <c r="AS10" s="131">
        <f t="shared" si="36"/>
        <v>0</v>
      </c>
      <c r="AT10" s="131">
        <f t="shared" si="37"/>
        <v>0</v>
      </c>
      <c r="AU10" s="131">
        <f t="shared" si="38"/>
        <v>0</v>
      </c>
      <c r="AV10" s="131">
        <f t="shared" si="39"/>
        <v>0</v>
      </c>
      <c r="AW10" s="131">
        <f t="shared" si="40"/>
        <v>0</v>
      </c>
      <c r="AX10" s="131">
        <f t="shared" si="41"/>
        <v>0</v>
      </c>
      <c r="AY10" s="131">
        <f t="shared" si="42"/>
        <v>0</v>
      </c>
      <c r="AZ10" s="131">
        <f t="shared" si="43"/>
        <v>0</v>
      </c>
      <c r="BB10" s="130" t="s">
        <v>741</v>
      </c>
      <c r="BC10" s="131">
        <f>SUM(AY2:AY241)/$BC$2</f>
        <v>19.402854624999627</v>
      </c>
      <c r="BE10" s="116">
        <f t="shared" si="1"/>
        <v>0</v>
      </c>
    </row>
    <row r="11" spans="1:57">
      <c r="D11" s="114">
        <f t="shared" si="2"/>
        <v>41173</v>
      </c>
      <c r="E11" s="115">
        <f t="shared" si="44"/>
        <v>4.1666666666666664E-2</v>
      </c>
      <c r="F11" s="116">
        <f t="shared" si="3"/>
        <v>2456191.5416666665</v>
      </c>
      <c r="G11" s="117">
        <f t="shared" si="4"/>
        <v>0.12721537759525015</v>
      </c>
      <c r="I11" s="112">
        <f t="shared" si="5"/>
        <v>180.31799255005171</v>
      </c>
      <c r="J11" s="112">
        <f t="shared" si="6"/>
        <v>4937.1618832253071</v>
      </c>
      <c r="K11" s="112">
        <f t="shared" si="7"/>
        <v>1.6703284196690614E-2</v>
      </c>
      <c r="L11" s="112">
        <f t="shared" si="8"/>
        <v>-1.8572593688152557</v>
      </c>
      <c r="M11" s="112">
        <f t="shared" si="9"/>
        <v>178.46073318123646</v>
      </c>
      <c r="N11" s="112">
        <f t="shared" si="10"/>
        <v>4935.3046238564921</v>
      </c>
      <c r="O11" s="112">
        <f t="shared" si="11"/>
        <v>1.0039761533102982</v>
      </c>
      <c r="P11" s="112">
        <f t="shared" si="12"/>
        <v>178.45913993203879</v>
      </c>
      <c r="Q11" s="112">
        <f t="shared" si="13"/>
        <v>23.437636779522808</v>
      </c>
      <c r="R11" s="112">
        <f t="shared" si="14"/>
        <v>23.436317828563979</v>
      </c>
      <c r="S11" s="112">
        <f t="shared" si="0"/>
        <v>178.5862028123677</v>
      </c>
      <c r="T11" s="112">
        <f t="shared" si="15"/>
        <v>0.61278338477711036</v>
      </c>
      <c r="U11" s="112">
        <f t="shared" si="16"/>
        <v>4.30233015913195E-2</v>
      </c>
      <c r="V11" s="112">
        <f t="shared" si="17"/>
        <v>6.8926523197539451</v>
      </c>
      <c r="W11" s="112">
        <f t="shared" si="18"/>
        <v>91.536076501701984</v>
      </c>
      <c r="X11" s="115">
        <f t="shared" si="19"/>
        <v>0.51465788033350424</v>
      </c>
      <c r="Y11" s="115">
        <f t="shared" si="20"/>
        <v>0.26039100116210984</v>
      </c>
      <c r="Z11" s="115">
        <f t="shared" si="21"/>
        <v>0.76892475950489869</v>
      </c>
      <c r="AA11" s="118">
        <f t="shared" si="22"/>
        <v>732.28861201361588</v>
      </c>
      <c r="AB11" s="112">
        <f t="shared" si="23"/>
        <v>38.89265231975395</v>
      </c>
      <c r="AC11" s="112">
        <f t="shared" si="24"/>
        <v>-170.2768369200615</v>
      </c>
      <c r="AD11" s="112">
        <f t="shared" si="25"/>
        <v>140.35948778896901</v>
      </c>
      <c r="AE11" s="112">
        <f t="shared" si="26"/>
        <v>-50.359487788969005</v>
      </c>
      <c r="AF11" s="112">
        <f t="shared" si="27"/>
        <v>4.7802350843655448E-3</v>
      </c>
      <c r="AG11" s="112">
        <f t="shared" si="28"/>
        <v>-50.354707553884637</v>
      </c>
      <c r="AH11" s="112">
        <f t="shared" si="29"/>
        <v>15.349863307256328</v>
      </c>
      <c r="AJ11" s="119">
        <f t="shared" si="30"/>
        <v>4.1666666666666664E-2</v>
      </c>
      <c r="AK11" s="112">
        <f t="shared" si="31"/>
        <v>0</v>
      </c>
      <c r="AL11" s="112">
        <f t="shared" si="32"/>
        <v>0</v>
      </c>
      <c r="AM11" s="116">
        <f t="shared" si="33"/>
        <v>0</v>
      </c>
      <c r="AN11" s="116">
        <f t="shared" si="45"/>
        <v>0</v>
      </c>
      <c r="AO11" s="116">
        <f t="shared" si="46"/>
        <v>0</v>
      </c>
      <c r="AQ11" s="131">
        <f t="shared" si="34"/>
        <v>0</v>
      </c>
      <c r="AR11" s="131">
        <f t="shared" si="35"/>
        <v>0</v>
      </c>
      <c r="AS11" s="131">
        <f t="shared" si="36"/>
        <v>0</v>
      </c>
      <c r="AT11" s="131">
        <f t="shared" si="37"/>
        <v>0</v>
      </c>
      <c r="AU11" s="131">
        <f t="shared" si="38"/>
        <v>0</v>
      </c>
      <c r="AV11" s="131">
        <f t="shared" si="39"/>
        <v>0</v>
      </c>
      <c r="AW11" s="131">
        <f t="shared" si="40"/>
        <v>0</v>
      </c>
      <c r="AX11" s="131">
        <f t="shared" si="41"/>
        <v>0</v>
      </c>
      <c r="AY11" s="131">
        <f t="shared" si="42"/>
        <v>0</v>
      </c>
      <c r="AZ11" s="131">
        <f t="shared" si="43"/>
        <v>0</v>
      </c>
      <c r="BB11" s="130" t="s">
        <v>742</v>
      </c>
      <c r="BC11" s="131">
        <f>-SUM(AU2:AU241)/$BC$2</f>
        <v>-7.2471979691351915</v>
      </c>
      <c r="BE11" s="116">
        <f t="shared" si="1"/>
        <v>0</v>
      </c>
    </row>
    <row r="12" spans="1:57">
      <c r="D12" s="114">
        <f t="shared" si="2"/>
        <v>41173</v>
      </c>
      <c r="E12" s="115">
        <f t="shared" si="44"/>
        <v>4.583333333333333E-2</v>
      </c>
      <c r="F12" s="116">
        <f t="shared" si="3"/>
        <v>2456191.5458333334</v>
      </c>
      <c r="G12" s="117">
        <f t="shared" si="4"/>
        <v>0.12721549167237223</v>
      </c>
      <c r="I12" s="112">
        <f t="shared" si="5"/>
        <v>180.32209941427573</v>
      </c>
      <c r="J12" s="112">
        <f t="shared" si="6"/>
        <v>4937.1659898933567</v>
      </c>
      <c r="K12" s="112">
        <f t="shared" si="7"/>
        <v>1.6703284191891474E-2</v>
      </c>
      <c r="L12" s="112">
        <f t="shared" si="8"/>
        <v>-1.8572923883268344</v>
      </c>
      <c r="M12" s="112">
        <f t="shared" si="9"/>
        <v>178.46480702594889</v>
      </c>
      <c r="N12" s="112">
        <f t="shared" si="10"/>
        <v>4935.3086975050301</v>
      </c>
      <c r="O12" s="112">
        <f t="shared" si="11"/>
        <v>1.0039749950926389</v>
      </c>
      <c r="P12" s="112">
        <f t="shared" si="12"/>
        <v>178.46321376726743</v>
      </c>
      <c r="Q12" s="112">
        <f t="shared" si="13"/>
        <v>23.437636778039327</v>
      </c>
      <c r="R12" s="112">
        <f t="shared" si="14"/>
        <v>23.436317818631327</v>
      </c>
      <c r="S12" s="112">
        <f t="shared" si="0"/>
        <v>178.58994099354129</v>
      </c>
      <c r="T12" s="112">
        <f t="shared" si="15"/>
        <v>0.61116359185329316</v>
      </c>
      <c r="U12" s="112">
        <f t="shared" si="16"/>
        <v>4.3023301553814564E-2</v>
      </c>
      <c r="V12" s="112">
        <f t="shared" si="17"/>
        <v>6.8941277366947906</v>
      </c>
      <c r="W12" s="112">
        <f t="shared" si="18"/>
        <v>91.53481006244381</v>
      </c>
      <c r="X12" s="115">
        <f t="shared" si="19"/>
        <v>0.51465685573840636</v>
      </c>
      <c r="Y12" s="115">
        <f t="shared" si="20"/>
        <v>0.26039349445384025</v>
      </c>
      <c r="Z12" s="115">
        <f t="shared" si="21"/>
        <v>0.76892021702297253</v>
      </c>
      <c r="AA12" s="118">
        <f t="shared" si="22"/>
        <v>732.27848049955048</v>
      </c>
      <c r="AB12" s="112">
        <f t="shared" si="23"/>
        <v>44.894127736694784</v>
      </c>
      <c r="AC12" s="112">
        <f t="shared" si="24"/>
        <v>-168.77646806582629</v>
      </c>
      <c r="AD12" s="112">
        <f t="shared" si="25"/>
        <v>140.02539667372758</v>
      </c>
      <c r="AE12" s="112">
        <f t="shared" si="26"/>
        <v>-50.025396673727585</v>
      </c>
      <c r="AF12" s="112">
        <f t="shared" si="27"/>
        <v>4.8372481421945935E-3</v>
      </c>
      <c r="AG12" s="112">
        <f t="shared" si="28"/>
        <v>-50.02055942558539</v>
      </c>
      <c r="AH12" s="112">
        <f t="shared" si="29"/>
        <v>17.634548721051601</v>
      </c>
      <c r="AJ12" s="119">
        <f t="shared" si="30"/>
        <v>4.583333333333333E-2</v>
      </c>
      <c r="AK12" s="112">
        <f t="shared" si="31"/>
        <v>0</v>
      </c>
      <c r="AL12" s="112">
        <f t="shared" si="32"/>
        <v>0</v>
      </c>
      <c r="AM12" s="116">
        <f t="shared" si="33"/>
        <v>0</v>
      </c>
      <c r="AN12" s="116">
        <f t="shared" si="45"/>
        <v>0</v>
      </c>
      <c r="AO12" s="116">
        <f t="shared" si="46"/>
        <v>0</v>
      </c>
      <c r="AQ12" s="131">
        <f t="shared" si="34"/>
        <v>0</v>
      </c>
      <c r="AR12" s="131">
        <f t="shared" si="35"/>
        <v>0</v>
      </c>
      <c r="AS12" s="131">
        <f t="shared" si="36"/>
        <v>0</v>
      </c>
      <c r="AT12" s="131">
        <f t="shared" si="37"/>
        <v>0</v>
      </c>
      <c r="AU12" s="131">
        <f t="shared" si="38"/>
        <v>0</v>
      </c>
      <c r="AV12" s="131">
        <f t="shared" si="39"/>
        <v>0</v>
      </c>
      <c r="AW12" s="131">
        <f t="shared" si="40"/>
        <v>0</v>
      </c>
      <c r="AX12" s="131">
        <f t="shared" si="41"/>
        <v>0</v>
      </c>
      <c r="AY12" s="131">
        <f t="shared" si="42"/>
        <v>0</v>
      </c>
      <c r="AZ12" s="131">
        <f t="shared" si="43"/>
        <v>0</v>
      </c>
      <c r="BB12" s="130" t="s">
        <v>743</v>
      </c>
      <c r="BC12" s="131">
        <f>SUM(AX2:AX241)/$BC$2</f>
        <v>9.2958570833331731</v>
      </c>
      <c r="BE12" s="116">
        <f t="shared" si="1"/>
        <v>0</v>
      </c>
    </row>
    <row r="13" spans="1:57">
      <c r="D13" s="114">
        <f t="shared" si="2"/>
        <v>41173</v>
      </c>
      <c r="E13" s="115">
        <f t="shared" si="44"/>
        <v>4.9999999999999996E-2</v>
      </c>
      <c r="F13" s="116">
        <f t="shared" si="3"/>
        <v>2456191.5499999998</v>
      </c>
      <c r="G13" s="117">
        <f t="shared" si="4"/>
        <v>0.12721560574948154</v>
      </c>
      <c r="I13" s="112">
        <f t="shared" si="5"/>
        <v>180.32620627804044</v>
      </c>
      <c r="J13" s="112">
        <f t="shared" si="6"/>
        <v>4937.170096560948</v>
      </c>
      <c r="K13" s="112">
        <f t="shared" si="7"/>
        <v>1.6703284187092337E-2</v>
      </c>
      <c r="L13" s="112">
        <f t="shared" si="8"/>
        <v>-1.8573253984359395</v>
      </c>
      <c r="M13" s="112">
        <f t="shared" si="9"/>
        <v>178.46888087960451</v>
      </c>
      <c r="N13" s="112">
        <f t="shared" si="10"/>
        <v>4935.312771162512</v>
      </c>
      <c r="O13" s="112">
        <f t="shared" si="11"/>
        <v>1.0039738368535194</v>
      </c>
      <c r="P13" s="112">
        <f t="shared" si="12"/>
        <v>178.46728761143925</v>
      </c>
      <c r="Q13" s="112">
        <f t="shared" si="13"/>
        <v>23.437636776555848</v>
      </c>
      <c r="R13" s="112">
        <f t="shared" si="14"/>
        <v>23.4363178086987</v>
      </c>
      <c r="S13" s="112">
        <f t="shared" si="0"/>
        <v>178.5936791806671</v>
      </c>
      <c r="T13" s="112">
        <f t="shared" si="15"/>
        <v>0.6095437927735291</v>
      </c>
      <c r="U13" s="112">
        <f t="shared" si="16"/>
        <v>4.3023301516309724E-2</v>
      </c>
      <c r="V13" s="112">
        <f t="shared" si="17"/>
        <v>6.8956031304772294</v>
      </c>
      <c r="W13" s="112">
        <f t="shared" si="18"/>
        <v>91.533543620731663</v>
      </c>
      <c r="X13" s="115">
        <f t="shared" si="19"/>
        <v>0.51465583115939084</v>
      </c>
      <c r="Y13" s="115">
        <f t="shared" si="20"/>
        <v>0.26039598776846956</v>
      </c>
      <c r="Z13" s="115">
        <f t="shared" si="21"/>
        <v>0.76891567455031207</v>
      </c>
      <c r="AA13" s="118">
        <f t="shared" si="22"/>
        <v>732.26834896585331</v>
      </c>
      <c r="AB13" s="112">
        <f t="shared" si="23"/>
        <v>50.895603130477227</v>
      </c>
      <c r="AC13" s="112">
        <f t="shared" si="24"/>
        <v>-167.2760992173807</v>
      </c>
      <c r="AD13" s="112">
        <f t="shared" si="25"/>
        <v>139.64669499163745</v>
      </c>
      <c r="AE13" s="112">
        <f t="shared" si="26"/>
        <v>-49.646694991637446</v>
      </c>
      <c r="AF13" s="112">
        <f t="shared" si="27"/>
        <v>4.9025520387034069E-3</v>
      </c>
      <c r="AG13" s="112">
        <f t="shared" si="28"/>
        <v>-49.641792439598746</v>
      </c>
      <c r="AH13" s="112">
        <f t="shared" si="29"/>
        <v>19.885435599163316</v>
      </c>
      <c r="AJ13" s="119">
        <f t="shared" si="30"/>
        <v>4.9999999999999996E-2</v>
      </c>
      <c r="AK13" s="112">
        <f t="shared" si="31"/>
        <v>0</v>
      </c>
      <c r="AL13" s="112">
        <f t="shared" si="32"/>
        <v>0</v>
      </c>
      <c r="AM13" s="116">
        <f t="shared" si="33"/>
        <v>0</v>
      </c>
      <c r="AN13" s="116">
        <f t="shared" si="45"/>
        <v>0</v>
      </c>
      <c r="AO13" s="116">
        <f t="shared" si="46"/>
        <v>0</v>
      </c>
      <c r="AQ13" s="131">
        <f t="shared" si="34"/>
        <v>0</v>
      </c>
      <c r="AR13" s="131">
        <f t="shared" si="35"/>
        <v>0</v>
      </c>
      <c r="AS13" s="131">
        <f t="shared" si="36"/>
        <v>0</v>
      </c>
      <c r="AT13" s="131">
        <f t="shared" si="37"/>
        <v>0</v>
      </c>
      <c r="AU13" s="131">
        <f t="shared" si="38"/>
        <v>0</v>
      </c>
      <c r="AV13" s="131">
        <f t="shared" si="39"/>
        <v>0</v>
      </c>
      <c r="AW13" s="131">
        <f t="shared" si="40"/>
        <v>0</v>
      </c>
      <c r="AX13" s="131">
        <f t="shared" si="41"/>
        <v>0</v>
      </c>
      <c r="AY13" s="131">
        <f t="shared" si="42"/>
        <v>0</v>
      </c>
      <c r="AZ13" s="131">
        <f t="shared" si="43"/>
        <v>0</v>
      </c>
      <c r="BB13" s="130" t="s">
        <v>744</v>
      </c>
      <c r="BC13" s="131">
        <f>SUM(AY2:AY241)/$BC$2</f>
        <v>19.402854624999627</v>
      </c>
      <c r="BE13" s="116">
        <f t="shared" si="1"/>
        <v>0</v>
      </c>
    </row>
    <row r="14" spans="1:57">
      <c r="D14" s="114">
        <f t="shared" si="2"/>
        <v>41173</v>
      </c>
      <c r="E14" s="115">
        <f t="shared" si="44"/>
        <v>5.4166666666666662E-2</v>
      </c>
      <c r="F14" s="116">
        <f t="shared" si="3"/>
        <v>2456191.5541666667</v>
      </c>
      <c r="G14" s="117">
        <f t="shared" si="4"/>
        <v>0.12721571982660362</v>
      </c>
      <c r="I14" s="112">
        <f t="shared" si="5"/>
        <v>180.33031314226446</v>
      </c>
      <c r="J14" s="112">
        <f t="shared" si="6"/>
        <v>4937.1742032289976</v>
      </c>
      <c r="K14" s="112">
        <f t="shared" si="7"/>
        <v>1.67032841822932E-2</v>
      </c>
      <c r="L14" s="112">
        <f t="shared" si="8"/>
        <v>-1.857358399149732</v>
      </c>
      <c r="M14" s="112">
        <f t="shared" si="9"/>
        <v>178.47295474311471</v>
      </c>
      <c r="N14" s="112">
        <f t="shared" si="10"/>
        <v>4935.3168448298475</v>
      </c>
      <c r="O14" s="112">
        <f t="shared" si="11"/>
        <v>1.0039726785926868</v>
      </c>
      <c r="P14" s="112">
        <f t="shared" si="12"/>
        <v>178.47136146546555</v>
      </c>
      <c r="Q14" s="112">
        <f t="shared" si="13"/>
        <v>23.43763677507237</v>
      </c>
      <c r="R14" s="112">
        <f t="shared" si="14"/>
        <v>23.43631779876609</v>
      </c>
      <c r="S14" s="112">
        <f t="shared" si="0"/>
        <v>178.59741737458731</v>
      </c>
      <c r="T14" s="112">
        <f t="shared" si="15"/>
        <v>0.60792398718233787</v>
      </c>
      <c r="U14" s="112">
        <f t="shared" si="16"/>
        <v>4.3023301478804933E-2</v>
      </c>
      <c r="V14" s="112">
        <f t="shared" si="17"/>
        <v>6.8970785014069902</v>
      </c>
      <c r="W14" s="112">
        <f t="shared" si="18"/>
        <v>91.532277176284992</v>
      </c>
      <c r="X14" s="115">
        <f t="shared" si="19"/>
        <v>0.51465480659624518</v>
      </c>
      <c r="Y14" s="115">
        <f t="shared" si="20"/>
        <v>0.26039848110656466</v>
      </c>
      <c r="Z14" s="115">
        <f t="shared" si="21"/>
        <v>0.76891113208592565</v>
      </c>
      <c r="AA14" s="118">
        <f t="shared" si="22"/>
        <v>732.25821741027994</v>
      </c>
      <c r="AB14" s="112">
        <f t="shared" si="23"/>
        <v>56.89707850140698</v>
      </c>
      <c r="AC14" s="112">
        <f t="shared" si="24"/>
        <v>-165.77573037464825</v>
      </c>
      <c r="AD14" s="112">
        <f t="shared" si="25"/>
        <v>139.22465855420452</v>
      </c>
      <c r="AE14" s="112">
        <f t="shared" si="26"/>
        <v>-49.224658554204524</v>
      </c>
      <c r="AF14" s="112">
        <f t="shared" si="27"/>
        <v>4.976198546802273E-3</v>
      </c>
      <c r="AG14" s="112">
        <f t="shared" si="28"/>
        <v>-49.219682355657724</v>
      </c>
      <c r="AH14" s="112">
        <f t="shared" si="29"/>
        <v>22.099439726971411</v>
      </c>
      <c r="AJ14" s="119">
        <f t="shared" si="30"/>
        <v>5.4166666666666662E-2</v>
      </c>
      <c r="AK14" s="112">
        <f t="shared" si="31"/>
        <v>0</v>
      </c>
      <c r="AL14" s="112">
        <f t="shared" si="32"/>
        <v>0</v>
      </c>
      <c r="AM14" s="116">
        <f t="shared" si="33"/>
        <v>0</v>
      </c>
      <c r="AN14" s="116">
        <f t="shared" si="45"/>
        <v>0</v>
      </c>
      <c r="AO14" s="116">
        <f t="shared" si="46"/>
        <v>0</v>
      </c>
      <c r="AQ14" s="131">
        <f t="shared" si="34"/>
        <v>0</v>
      </c>
      <c r="AR14" s="131">
        <f t="shared" si="35"/>
        <v>0</v>
      </c>
      <c r="AS14" s="131">
        <f t="shared" si="36"/>
        <v>0</v>
      </c>
      <c r="AT14" s="131">
        <f t="shared" si="37"/>
        <v>0</v>
      </c>
      <c r="AU14" s="131">
        <f t="shared" si="38"/>
        <v>0</v>
      </c>
      <c r="AV14" s="131">
        <f t="shared" si="39"/>
        <v>0</v>
      </c>
      <c r="AW14" s="131">
        <f t="shared" si="40"/>
        <v>0</v>
      </c>
      <c r="AX14" s="131">
        <f t="shared" si="41"/>
        <v>0</v>
      </c>
      <c r="AY14" s="131">
        <f t="shared" si="42"/>
        <v>0</v>
      </c>
      <c r="AZ14" s="131">
        <f t="shared" si="43"/>
        <v>0</v>
      </c>
      <c r="BB14" s="130" t="s">
        <v>759</v>
      </c>
      <c r="BC14" s="131">
        <f>SUM(AZ2:AZ241)/$BC$2</f>
        <v>40.568730170832467</v>
      </c>
      <c r="BE14" s="116">
        <f t="shared" si="1"/>
        <v>0</v>
      </c>
    </row>
    <row r="15" spans="1:57">
      <c r="D15" s="114">
        <f t="shared" si="2"/>
        <v>41173</v>
      </c>
      <c r="E15" s="115">
        <f t="shared" si="44"/>
        <v>5.8333333333333327E-2</v>
      </c>
      <c r="F15" s="116">
        <f t="shared" si="3"/>
        <v>2456191.5583333331</v>
      </c>
      <c r="G15" s="117">
        <f t="shared" si="4"/>
        <v>0.12721583390371297</v>
      </c>
      <c r="I15" s="112">
        <f t="shared" si="5"/>
        <v>180.33442000602827</v>
      </c>
      <c r="J15" s="112">
        <f t="shared" si="6"/>
        <v>4937.1783098965898</v>
      </c>
      <c r="K15" s="112">
        <f t="shared" si="7"/>
        <v>1.6703284177494063E-2</v>
      </c>
      <c r="L15" s="112">
        <f t="shared" si="8"/>
        <v>-1.8573913904606449</v>
      </c>
      <c r="M15" s="112">
        <f t="shared" si="9"/>
        <v>178.47702861556763</v>
      </c>
      <c r="N15" s="112">
        <f t="shared" si="10"/>
        <v>4935.3209185061287</v>
      </c>
      <c r="O15" s="112">
        <f t="shared" si="11"/>
        <v>1.0039715203104052</v>
      </c>
      <c r="P15" s="112">
        <f t="shared" si="12"/>
        <v>178.47543532843451</v>
      </c>
      <c r="Q15" s="112">
        <f t="shared" si="13"/>
        <v>23.437636773588888</v>
      </c>
      <c r="R15" s="112">
        <f t="shared" si="14"/>
        <v>23.436317788833499</v>
      </c>
      <c r="S15" s="112">
        <f t="shared" si="0"/>
        <v>178.60115557447119</v>
      </c>
      <c r="T15" s="112">
        <f t="shared" si="15"/>
        <v>0.60630417544915993</v>
      </c>
      <c r="U15" s="112">
        <f t="shared" si="16"/>
        <v>4.3023301441300225E-2</v>
      </c>
      <c r="V15" s="112">
        <f t="shared" si="17"/>
        <v>6.8985538491296312</v>
      </c>
      <c r="W15" s="112">
        <f t="shared" si="18"/>
        <v>91.531010729390033</v>
      </c>
      <c r="X15" s="115">
        <f t="shared" si="19"/>
        <v>0.51465378204921552</v>
      </c>
      <c r="Y15" s="115">
        <f t="shared" si="20"/>
        <v>0.26040097446757654</v>
      </c>
      <c r="Z15" s="115">
        <f t="shared" si="21"/>
        <v>0.76890658963085445</v>
      </c>
      <c r="AA15" s="118">
        <f t="shared" si="22"/>
        <v>732.24808583512026</v>
      </c>
      <c r="AB15" s="112">
        <f t="shared" si="23"/>
        <v>62.898553849129613</v>
      </c>
      <c r="AC15" s="112">
        <f t="shared" si="24"/>
        <v>-164.2753615377176</v>
      </c>
      <c r="AD15" s="112">
        <f t="shared" si="25"/>
        <v>138.76065441135339</v>
      </c>
      <c r="AE15" s="112">
        <f t="shared" si="26"/>
        <v>-48.760654411353386</v>
      </c>
      <c r="AF15" s="112">
        <f t="shared" si="27"/>
        <v>5.0582563444793519E-3</v>
      </c>
      <c r="AG15" s="112">
        <f t="shared" si="28"/>
        <v>-48.755596155008909</v>
      </c>
      <c r="AH15" s="112">
        <f t="shared" si="29"/>
        <v>24.273919624832956</v>
      </c>
      <c r="AJ15" s="119">
        <f t="shared" si="30"/>
        <v>5.8333333333333327E-2</v>
      </c>
      <c r="AK15" s="112">
        <f t="shared" si="31"/>
        <v>0</v>
      </c>
      <c r="AL15" s="112">
        <f t="shared" si="32"/>
        <v>0</v>
      </c>
      <c r="AM15" s="116">
        <f t="shared" si="33"/>
        <v>0</v>
      </c>
      <c r="AN15" s="116">
        <f t="shared" si="45"/>
        <v>0</v>
      </c>
      <c r="AO15" s="116">
        <f t="shared" si="46"/>
        <v>0</v>
      </c>
      <c r="AQ15" s="131">
        <f t="shared" si="34"/>
        <v>0</v>
      </c>
      <c r="AR15" s="131">
        <f t="shared" si="35"/>
        <v>0</v>
      </c>
      <c r="AS15" s="131">
        <f t="shared" si="36"/>
        <v>0</v>
      </c>
      <c r="AT15" s="131">
        <f t="shared" si="37"/>
        <v>0</v>
      </c>
      <c r="AU15" s="131">
        <f t="shared" si="38"/>
        <v>0</v>
      </c>
      <c r="AV15" s="131">
        <f t="shared" si="39"/>
        <v>0</v>
      </c>
      <c r="AW15" s="131">
        <f t="shared" si="40"/>
        <v>0</v>
      </c>
      <c r="AX15" s="131">
        <f t="shared" si="41"/>
        <v>0</v>
      </c>
      <c r="AY15" s="131">
        <f t="shared" si="42"/>
        <v>0</v>
      </c>
      <c r="AZ15" s="131">
        <f t="shared" si="43"/>
        <v>0</v>
      </c>
      <c r="BB15" s="130" t="s">
        <v>753</v>
      </c>
      <c r="BC15" s="131">
        <f>BC3*BC8-BC4*BC7</f>
        <v>1.0999930598885044E-3</v>
      </c>
      <c r="BE15" s="116">
        <f t="shared" si="1"/>
        <v>0</v>
      </c>
    </row>
    <row r="16" spans="1:57">
      <c r="D16" s="114">
        <f t="shared" si="2"/>
        <v>41173</v>
      </c>
      <c r="E16" s="115">
        <f t="shared" si="44"/>
        <v>6.2499999999999993E-2</v>
      </c>
      <c r="F16" s="116">
        <f t="shared" si="3"/>
        <v>2456191.5625</v>
      </c>
      <c r="G16" s="117">
        <f t="shared" si="4"/>
        <v>0.12721594798083505</v>
      </c>
      <c r="I16" s="112">
        <f t="shared" si="5"/>
        <v>180.33852687025228</v>
      </c>
      <c r="J16" s="112">
        <f t="shared" si="6"/>
        <v>4937.1824165646403</v>
      </c>
      <c r="K16" s="112">
        <f t="shared" si="7"/>
        <v>1.6703284172694927E-2</v>
      </c>
      <c r="L16" s="112">
        <f t="shared" si="8"/>
        <v>-1.8574243723758277</v>
      </c>
      <c r="M16" s="112">
        <f t="shared" si="9"/>
        <v>178.48110249787646</v>
      </c>
      <c r="N16" s="112">
        <f t="shared" si="10"/>
        <v>4935.3249921922643</v>
      </c>
      <c r="O16" s="112">
        <f t="shared" si="11"/>
        <v>1.0039703620064218</v>
      </c>
      <c r="P16" s="112">
        <f t="shared" si="12"/>
        <v>178.47950920125933</v>
      </c>
      <c r="Q16" s="112">
        <f t="shared" si="13"/>
        <v>23.43763677210541</v>
      </c>
      <c r="R16" s="112">
        <f t="shared" si="14"/>
        <v>23.436317778900928</v>
      </c>
      <c r="S16" s="112">
        <f t="shared" si="0"/>
        <v>178.60489378116267</v>
      </c>
      <c r="T16" s="112">
        <f t="shared" si="15"/>
        <v>0.6046843572177758</v>
      </c>
      <c r="U16" s="112">
        <f t="shared" si="16"/>
        <v>4.3023301403795608E-2</v>
      </c>
      <c r="V16" s="112">
        <f t="shared" si="17"/>
        <v>6.9000291739514301</v>
      </c>
      <c r="W16" s="112">
        <f t="shared" si="18"/>
        <v>91.529744279765652</v>
      </c>
      <c r="X16" s="115">
        <f t="shared" si="19"/>
        <v>0.51465275751808925</v>
      </c>
      <c r="Y16" s="115">
        <f t="shared" si="20"/>
        <v>0.26040346785207358</v>
      </c>
      <c r="Z16" s="115">
        <f t="shared" si="21"/>
        <v>0.76890204718410493</v>
      </c>
      <c r="AA16" s="118">
        <f t="shared" si="22"/>
        <v>732.23795423812521</v>
      </c>
      <c r="AB16" s="112">
        <f t="shared" si="23"/>
        <v>68.90002917395141</v>
      </c>
      <c r="AC16" s="112">
        <f t="shared" si="24"/>
        <v>-162.77499270651214</v>
      </c>
      <c r="AD16" s="112">
        <f t="shared" si="25"/>
        <v>138.25612234819468</v>
      </c>
      <c r="AE16" s="112">
        <f t="shared" si="26"/>
        <v>-48.25612234819468</v>
      </c>
      <c r="AF16" s="112">
        <f t="shared" si="27"/>
        <v>5.1488142916833466E-3</v>
      </c>
      <c r="AG16" s="112">
        <f t="shared" si="28"/>
        <v>-48.250973533902993</v>
      </c>
      <c r="AH16" s="112">
        <f t="shared" si="29"/>
        <v>26.40667788891642</v>
      </c>
      <c r="AJ16" s="119">
        <f t="shared" si="30"/>
        <v>6.2499999999999993E-2</v>
      </c>
      <c r="AK16" s="112">
        <f t="shared" si="31"/>
        <v>0</v>
      </c>
      <c r="AL16" s="112">
        <f t="shared" si="32"/>
        <v>0</v>
      </c>
      <c r="AM16" s="116">
        <f t="shared" si="33"/>
        <v>0</v>
      </c>
      <c r="AN16" s="116">
        <f t="shared" si="45"/>
        <v>0</v>
      </c>
      <c r="AO16" s="116">
        <f t="shared" si="46"/>
        <v>0</v>
      </c>
      <c r="AQ16" s="131">
        <f t="shared" si="34"/>
        <v>0</v>
      </c>
      <c r="AR16" s="131">
        <f t="shared" si="35"/>
        <v>0</v>
      </c>
      <c r="AS16" s="131">
        <f t="shared" si="36"/>
        <v>0</v>
      </c>
      <c r="AT16" s="131">
        <f t="shared" si="37"/>
        <v>0</v>
      </c>
      <c r="AU16" s="131">
        <f t="shared" si="38"/>
        <v>0</v>
      </c>
      <c r="AV16" s="131">
        <f t="shared" si="39"/>
        <v>0</v>
      </c>
      <c r="AW16" s="131">
        <f t="shared" si="40"/>
        <v>0</v>
      </c>
      <c r="AX16" s="131">
        <f t="shared" si="41"/>
        <v>0</v>
      </c>
      <c r="AY16" s="131">
        <f t="shared" si="42"/>
        <v>0</v>
      </c>
      <c r="AZ16" s="131">
        <f t="shared" si="43"/>
        <v>0</v>
      </c>
      <c r="BB16" s="130" t="s">
        <v>754</v>
      </c>
      <c r="BC16" s="131">
        <f>BC5*BC8-BC4*BC9</f>
        <v>-0.11793810340277844</v>
      </c>
      <c r="BE16" s="116">
        <f t="shared" si="1"/>
        <v>0</v>
      </c>
    </row>
    <row r="17" spans="4:57">
      <c r="D17" s="114">
        <f t="shared" si="2"/>
        <v>41173</v>
      </c>
      <c r="E17" s="115">
        <f t="shared" si="44"/>
        <v>6.6666666666666666E-2</v>
      </c>
      <c r="F17" s="116">
        <f t="shared" si="3"/>
        <v>2456191.5666666669</v>
      </c>
      <c r="G17" s="117">
        <f t="shared" si="4"/>
        <v>0.12721606205795713</v>
      </c>
      <c r="I17" s="112">
        <f t="shared" si="5"/>
        <v>180.34263373447629</v>
      </c>
      <c r="J17" s="112">
        <f t="shared" si="6"/>
        <v>4937.18652323269</v>
      </c>
      <c r="K17" s="112">
        <f t="shared" si="7"/>
        <v>1.670328416789579E-2</v>
      </c>
      <c r="L17" s="112">
        <f t="shared" si="8"/>
        <v>-1.8574573448913843</v>
      </c>
      <c r="M17" s="112">
        <f t="shared" si="9"/>
        <v>178.48517638958492</v>
      </c>
      <c r="N17" s="112">
        <f t="shared" si="10"/>
        <v>4935.3290658877986</v>
      </c>
      <c r="O17" s="112">
        <f t="shared" si="11"/>
        <v>1.0039692036808725</v>
      </c>
      <c r="P17" s="112">
        <f t="shared" si="12"/>
        <v>178.48358308348372</v>
      </c>
      <c r="Q17" s="112">
        <f t="shared" si="13"/>
        <v>23.437636770621928</v>
      </c>
      <c r="R17" s="112">
        <f t="shared" si="14"/>
        <v>23.436317768968376</v>
      </c>
      <c r="S17" s="112">
        <f t="shared" si="0"/>
        <v>178.60863199424898</v>
      </c>
      <c r="T17" s="112">
        <f t="shared" si="15"/>
        <v>0.60306453267648186</v>
      </c>
      <c r="U17" s="112">
        <f t="shared" si="16"/>
        <v>4.3023301366291032E-2</v>
      </c>
      <c r="V17" s="112">
        <f t="shared" si="17"/>
        <v>6.9015044756828736</v>
      </c>
      <c r="W17" s="112">
        <f t="shared" si="18"/>
        <v>91.528477827556415</v>
      </c>
      <c r="X17" s="115">
        <f t="shared" si="19"/>
        <v>0.51465173300299805</v>
      </c>
      <c r="Y17" s="115">
        <f t="shared" si="20"/>
        <v>0.26040596125978577</v>
      </c>
      <c r="Z17" s="115">
        <f t="shared" si="21"/>
        <v>0.76889750474621033</v>
      </c>
      <c r="AA17" s="118">
        <f t="shared" si="22"/>
        <v>732.22782262045132</v>
      </c>
      <c r="AB17" s="112">
        <f t="shared" si="23"/>
        <v>74.90150447568287</v>
      </c>
      <c r="AC17" s="112">
        <f t="shared" si="24"/>
        <v>-161.27462388107929</v>
      </c>
      <c r="AD17" s="112">
        <f t="shared" si="25"/>
        <v>137.71255692871415</v>
      </c>
      <c r="AE17" s="112">
        <f t="shared" si="26"/>
        <v>-47.71255692871415</v>
      </c>
      <c r="AF17" s="112">
        <f t="shared" si="27"/>
        <v>5.2479849266862059E-3</v>
      </c>
      <c r="AG17" s="112">
        <f t="shared" si="28"/>
        <v>-47.707308943787467</v>
      </c>
      <c r="AH17" s="112">
        <f t="shared" si="29"/>
        <v>28.49595275079912</v>
      </c>
      <c r="AJ17" s="119">
        <f t="shared" si="30"/>
        <v>6.6666666666666666E-2</v>
      </c>
      <c r="AK17" s="112">
        <f t="shared" si="31"/>
        <v>0</v>
      </c>
      <c r="AL17" s="112">
        <f t="shared" si="32"/>
        <v>0</v>
      </c>
      <c r="AM17" s="116">
        <f t="shared" si="33"/>
        <v>0</v>
      </c>
      <c r="AN17" s="116">
        <f t="shared" si="45"/>
        <v>0</v>
      </c>
      <c r="AO17" s="116">
        <f t="shared" si="46"/>
        <v>0</v>
      </c>
      <c r="AQ17" s="131">
        <f t="shared" si="34"/>
        <v>0</v>
      </c>
      <c r="AR17" s="131">
        <f t="shared" si="35"/>
        <v>0</v>
      </c>
      <c r="AS17" s="131">
        <f t="shared" si="36"/>
        <v>0</v>
      </c>
      <c r="AT17" s="131">
        <f t="shared" si="37"/>
        <v>0</v>
      </c>
      <c r="AU17" s="131">
        <f t="shared" si="38"/>
        <v>0</v>
      </c>
      <c r="AV17" s="131">
        <f t="shared" si="39"/>
        <v>0</v>
      </c>
      <c r="AW17" s="131">
        <f t="shared" si="40"/>
        <v>0</v>
      </c>
      <c r="AX17" s="131">
        <f t="shared" si="41"/>
        <v>0</v>
      </c>
      <c r="AY17" s="131">
        <f t="shared" si="42"/>
        <v>0</v>
      </c>
      <c r="AZ17" s="131">
        <f t="shared" si="43"/>
        <v>0</v>
      </c>
      <c r="BB17" s="130" t="s">
        <v>755</v>
      </c>
      <c r="BC17" s="131">
        <f>BC6*BC8-BC4*BC10</f>
        <v>-0.37056040014595482</v>
      </c>
      <c r="BE17" s="116">
        <f t="shared" si="1"/>
        <v>0</v>
      </c>
    </row>
    <row r="18" spans="4:57">
      <c r="D18" s="114">
        <f t="shared" si="2"/>
        <v>41173</v>
      </c>
      <c r="E18" s="115">
        <f t="shared" si="44"/>
        <v>7.0833333333333331E-2</v>
      </c>
      <c r="F18" s="116">
        <f t="shared" si="3"/>
        <v>2456191.5708333333</v>
      </c>
      <c r="G18" s="117">
        <f t="shared" si="4"/>
        <v>0.12721617613506644</v>
      </c>
      <c r="I18" s="112">
        <f t="shared" si="5"/>
        <v>180.34674059824101</v>
      </c>
      <c r="J18" s="112">
        <f t="shared" si="6"/>
        <v>4937.1906299002812</v>
      </c>
      <c r="K18" s="112">
        <f t="shared" si="7"/>
        <v>1.6703284163096653E-2</v>
      </c>
      <c r="L18" s="112">
        <f t="shared" si="8"/>
        <v>-1.8574903080034337</v>
      </c>
      <c r="M18" s="112">
        <f t="shared" si="9"/>
        <v>178.48925029023758</v>
      </c>
      <c r="N18" s="112">
        <f t="shared" si="10"/>
        <v>4935.3331395922778</v>
      </c>
      <c r="O18" s="112">
        <f t="shared" si="11"/>
        <v>1.0039680453338919</v>
      </c>
      <c r="P18" s="112">
        <f t="shared" si="12"/>
        <v>178.48765697465225</v>
      </c>
      <c r="Q18" s="112">
        <f t="shared" si="13"/>
        <v>23.43763676913845</v>
      </c>
      <c r="R18" s="112">
        <f t="shared" si="14"/>
        <v>23.436317759035845</v>
      </c>
      <c r="S18" s="112">
        <f t="shared" si="0"/>
        <v>178.61237021331823</v>
      </c>
      <c r="T18" s="112">
        <f t="shared" si="15"/>
        <v>0.60144470201324185</v>
      </c>
      <c r="U18" s="112">
        <f t="shared" si="16"/>
        <v>4.3023301328786547E-2</v>
      </c>
      <c r="V18" s="112">
        <f t="shared" si="17"/>
        <v>6.9029797541347984</v>
      </c>
      <c r="W18" s="112">
        <f t="shared" si="18"/>
        <v>91.527211372906706</v>
      </c>
      <c r="X18" s="115">
        <f t="shared" si="19"/>
        <v>0.51465070850407302</v>
      </c>
      <c r="Y18" s="115">
        <f t="shared" si="20"/>
        <v>0.26040845469044327</v>
      </c>
      <c r="Z18" s="115">
        <f t="shared" si="21"/>
        <v>0.76889296231770277</v>
      </c>
      <c r="AA18" s="118">
        <f t="shared" si="22"/>
        <v>732.21769098325365</v>
      </c>
      <c r="AB18" s="112">
        <f t="shared" si="23"/>
        <v>80.902979754134805</v>
      </c>
      <c r="AC18" s="112">
        <f t="shared" si="24"/>
        <v>-159.77425506146631</v>
      </c>
      <c r="AD18" s="112">
        <f t="shared" si="25"/>
        <v>137.13149048626468</v>
      </c>
      <c r="AE18" s="112">
        <f t="shared" si="26"/>
        <v>-47.131490486264681</v>
      </c>
      <c r="AF18" s="112">
        <f t="shared" si="27"/>
        <v>5.3559081812549359E-3</v>
      </c>
      <c r="AG18" s="112">
        <f t="shared" si="28"/>
        <v>-47.126134578083423</v>
      </c>
      <c r="AH18" s="112">
        <f t="shared" si="29"/>
        <v>30.540401368603966</v>
      </c>
      <c r="AJ18" s="119">
        <f t="shared" si="30"/>
        <v>7.0833333333333331E-2</v>
      </c>
      <c r="AK18" s="112">
        <f t="shared" si="31"/>
        <v>0</v>
      </c>
      <c r="AL18" s="112">
        <f t="shared" si="32"/>
        <v>0</v>
      </c>
      <c r="AM18" s="116">
        <f t="shared" si="33"/>
        <v>0</v>
      </c>
      <c r="AN18" s="116">
        <f t="shared" si="45"/>
        <v>0</v>
      </c>
      <c r="AO18" s="116">
        <f t="shared" si="46"/>
        <v>0</v>
      </c>
      <c r="AQ18" s="131">
        <f t="shared" si="34"/>
        <v>0</v>
      </c>
      <c r="AR18" s="131">
        <f t="shared" si="35"/>
        <v>0</v>
      </c>
      <c r="AS18" s="131">
        <f t="shared" si="36"/>
        <v>0</v>
      </c>
      <c r="AT18" s="131">
        <f t="shared" si="37"/>
        <v>0</v>
      </c>
      <c r="AU18" s="131">
        <f t="shared" si="38"/>
        <v>0</v>
      </c>
      <c r="AV18" s="131">
        <f t="shared" si="39"/>
        <v>0</v>
      </c>
      <c r="AW18" s="131">
        <f t="shared" si="40"/>
        <v>0</v>
      </c>
      <c r="AX18" s="131">
        <f t="shared" si="41"/>
        <v>0</v>
      </c>
      <c r="AY18" s="131">
        <f t="shared" si="42"/>
        <v>0</v>
      </c>
      <c r="AZ18" s="131">
        <f t="shared" si="43"/>
        <v>0</v>
      </c>
      <c r="BB18" s="130" t="s">
        <v>756</v>
      </c>
      <c r="BC18" s="131">
        <f>BC7*BC12-BC8*BC11</f>
        <v>2.062370043816486E-3</v>
      </c>
      <c r="BE18" s="116">
        <f t="shared" si="1"/>
        <v>0</v>
      </c>
    </row>
    <row r="19" spans="4:57">
      <c r="D19" s="114">
        <f t="shared" si="2"/>
        <v>41173</v>
      </c>
      <c r="E19" s="115">
        <f t="shared" si="44"/>
        <v>7.4999999999999997E-2</v>
      </c>
      <c r="F19" s="116">
        <f t="shared" si="3"/>
        <v>2456191.5750000002</v>
      </c>
      <c r="G19" s="117">
        <f t="shared" si="4"/>
        <v>0.12721629021218853</v>
      </c>
      <c r="I19" s="112">
        <f t="shared" si="5"/>
        <v>180.35084746246412</v>
      </c>
      <c r="J19" s="112">
        <f t="shared" si="6"/>
        <v>4937.1947365683309</v>
      </c>
      <c r="K19" s="112">
        <f t="shared" si="7"/>
        <v>1.6703284158297516E-2</v>
      </c>
      <c r="L19" s="112">
        <f t="shared" si="8"/>
        <v>-1.857523261719128</v>
      </c>
      <c r="M19" s="112">
        <f t="shared" si="9"/>
        <v>178.49332420074498</v>
      </c>
      <c r="N19" s="112">
        <f t="shared" si="10"/>
        <v>4935.3372133066114</v>
      </c>
      <c r="O19" s="112">
        <f t="shared" si="11"/>
        <v>1.0039668869652276</v>
      </c>
      <c r="P19" s="112">
        <f t="shared" si="12"/>
        <v>178.49173087567547</v>
      </c>
      <c r="Q19" s="112">
        <f t="shared" si="13"/>
        <v>23.437636767654968</v>
      </c>
      <c r="R19" s="112">
        <f t="shared" si="14"/>
        <v>23.436317749103331</v>
      </c>
      <c r="S19" s="112">
        <f t="shared" si="0"/>
        <v>178.61610843921187</v>
      </c>
      <c r="T19" s="112">
        <f t="shared" si="15"/>
        <v>0.59982486487290732</v>
      </c>
      <c r="U19" s="112">
        <f t="shared" si="16"/>
        <v>4.302330129128213E-2</v>
      </c>
      <c r="V19" s="112">
        <f t="shared" si="17"/>
        <v>6.9044550096125894</v>
      </c>
      <c r="W19" s="112">
        <f t="shared" si="18"/>
        <v>91.525944915536186</v>
      </c>
      <c r="X19" s="115">
        <f t="shared" si="19"/>
        <v>0.51464968402110245</v>
      </c>
      <c r="Y19" s="115">
        <f t="shared" si="20"/>
        <v>0.26041094814461302</v>
      </c>
      <c r="Z19" s="115">
        <f t="shared" si="21"/>
        <v>0.76888841989759182</v>
      </c>
      <c r="AA19" s="118">
        <f t="shared" si="22"/>
        <v>732.20755932428949</v>
      </c>
      <c r="AB19" s="112">
        <f t="shared" si="23"/>
        <v>86.90445500961259</v>
      </c>
      <c r="AC19" s="112">
        <f t="shared" si="24"/>
        <v>-158.27388624759686</v>
      </c>
      <c r="AD19" s="112">
        <f t="shared" si="25"/>
        <v>136.51447736504085</v>
      </c>
      <c r="AE19" s="112">
        <f t="shared" si="26"/>
        <v>-46.514477365040847</v>
      </c>
      <c r="AF19" s="112">
        <f t="shared" si="27"/>
        <v>5.472755330473509E-3</v>
      </c>
      <c r="AG19" s="112">
        <f t="shared" si="28"/>
        <v>-46.509004609710374</v>
      </c>
      <c r="AH19" s="112">
        <f t="shared" si="29"/>
        <v>32.539076488290902</v>
      </c>
      <c r="AJ19" s="119">
        <f t="shared" si="30"/>
        <v>7.4999999999999997E-2</v>
      </c>
      <c r="AK19" s="112">
        <f t="shared" si="31"/>
        <v>0</v>
      </c>
      <c r="AL19" s="112">
        <f t="shared" si="32"/>
        <v>0</v>
      </c>
      <c r="AM19" s="116">
        <f t="shared" si="33"/>
        <v>0</v>
      </c>
      <c r="AN19" s="116">
        <f t="shared" si="45"/>
        <v>0</v>
      </c>
      <c r="AO19" s="116">
        <f t="shared" si="46"/>
        <v>0</v>
      </c>
      <c r="AQ19" s="131">
        <f t="shared" si="34"/>
        <v>0</v>
      </c>
      <c r="AR19" s="131">
        <f t="shared" si="35"/>
        <v>0</v>
      </c>
      <c r="AS19" s="131">
        <f t="shared" si="36"/>
        <v>0</v>
      </c>
      <c r="AT19" s="131">
        <f t="shared" si="37"/>
        <v>0</v>
      </c>
      <c r="AU19" s="131">
        <f t="shared" si="38"/>
        <v>0</v>
      </c>
      <c r="AV19" s="131">
        <f t="shared" si="39"/>
        <v>0</v>
      </c>
      <c r="AW19" s="131">
        <f t="shared" si="40"/>
        <v>0</v>
      </c>
      <c r="AX19" s="131">
        <f t="shared" si="41"/>
        <v>0</v>
      </c>
      <c r="AY19" s="131">
        <f t="shared" si="42"/>
        <v>0</v>
      </c>
      <c r="AZ19" s="131">
        <f t="shared" si="43"/>
        <v>0</v>
      </c>
      <c r="BB19" s="130" t="s">
        <v>757</v>
      </c>
      <c r="BC19" s="131">
        <f>BC9*BC12-BC8*BC13</f>
        <v>-0.2588650890682942</v>
      </c>
      <c r="BE19" s="116">
        <f t="shared" si="1"/>
        <v>0</v>
      </c>
    </row>
    <row r="20" spans="4:57">
      <c r="D20" s="114">
        <f t="shared" si="2"/>
        <v>41173</v>
      </c>
      <c r="E20" s="115">
        <f t="shared" si="44"/>
        <v>7.9166666666666663E-2</v>
      </c>
      <c r="F20" s="116">
        <f t="shared" si="3"/>
        <v>2456191.5791666666</v>
      </c>
      <c r="G20" s="117">
        <f t="shared" si="4"/>
        <v>0.12721640428929787</v>
      </c>
      <c r="I20" s="112">
        <f t="shared" si="5"/>
        <v>180.35495432622974</v>
      </c>
      <c r="J20" s="112">
        <f t="shared" si="6"/>
        <v>4937.1988432359231</v>
      </c>
      <c r="K20" s="112">
        <f t="shared" si="7"/>
        <v>1.6703284153498379E-2</v>
      </c>
      <c r="L20" s="112">
        <f t="shared" si="8"/>
        <v>-1.857556206030909</v>
      </c>
      <c r="M20" s="112">
        <f t="shared" si="9"/>
        <v>178.49739812019882</v>
      </c>
      <c r="N20" s="112">
        <f t="shared" si="10"/>
        <v>4935.3412870298926</v>
      </c>
      <c r="O20" s="112">
        <f t="shared" si="11"/>
        <v>1.0039657285751429</v>
      </c>
      <c r="P20" s="112">
        <f t="shared" si="12"/>
        <v>178.49580478564505</v>
      </c>
      <c r="Q20" s="112">
        <f t="shared" si="13"/>
        <v>23.43763676617149</v>
      </c>
      <c r="R20" s="112">
        <f t="shared" si="14"/>
        <v>23.436317739170839</v>
      </c>
      <c r="S20" s="112">
        <f t="shared" si="0"/>
        <v>178.61984667110238</v>
      </c>
      <c r="T20" s="112">
        <f t="shared" si="15"/>
        <v>0.59820502162349554</v>
      </c>
      <c r="U20" s="112">
        <f t="shared" si="16"/>
        <v>4.3023301253777811E-2</v>
      </c>
      <c r="V20" s="112">
        <f t="shared" si="17"/>
        <v>6.9059302417630333</v>
      </c>
      <c r="W20" s="112">
        <f t="shared" si="18"/>
        <v>91.524678455730012</v>
      </c>
      <c r="X20" s="115">
        <f t="shared" si="19"/>
        <v>0.51464865955433126</v>
      </c>
      <c r="Y20" s="115">
        <f t="shared" si="20"/>
        <v>0.2604134416217479</v>
      </c>
      <c r="Z20" s="115">
        <f t="shared" si="21"/>
        <v>0.76888387748691467</v>
      </c>
      <c r="AA20" s="118">
        <f t="shared" si="22"/>
        <v>732.19742764584009</v>
      </c>
      <c r="AB20" s="112">
        <f t="shared" si="23"/>
        <v>92.905930241763031</v>
      </c>
      <c r="AC20" s="112">
        <f t="shared" si="24"/>
        <v>-156.77351743955924</v>
      </c>
      <c r="AD20" s="112">
        <f t="shared" si="25"/>
        <v>135.86307962705118</v>
      </c>
      <c r="AE20" s="112">
        <f t="shared" si="26"/>
        <v>-45.863079627051178</v>
      </c>
      <c r="AF20" s="112">
        <f t="shared" si="27"/>
        <v>5.5987332098352063E-3</v>
      </c>
      <c r="AG20" s="112">
        <f t="shared" si="28"/>
        <v>-45.857480893841341</v>
      </c>
      <c r="AH20" s="112">
        <f t="shared" si="29"/>
        <v>34.491398129253923</v>
      </c>
      <c r="AJ20" s="119">
        <f t="shared" si="30"/>
        <v>7.9166666666666663E-2</v>
      </c>
      <c r="AK20" s="112">
        <f t="shared" si="31"/>
        <v>0</v>
      </c>
      <c r="AL20" s="112">
        <f t="shared" si="32"/>
        <v>0</v>
      </c>
      <c r="AM20" s="116">
        <f t="shared" si="33"/>
        <v>0</v>
      </c>
      <c r="AN20" s="116">
        <f t="shared" si="45"/>
        <v>0</v>
      </c>
      <c r="AO20" s="116">
        <f t="shared" si="46"/>
        <v>0</v>
      </c>
      <c r="AQ20" s="131">
        <f t="shared" si="34"/>
        <v>0</v>
      </c>
      <c r="AR20" s="131">
        <f t="shared" si="35"/>
        <v>0</v>
      </c>
      <c r="AS20" s="131">
        <f t="shared" si="36"/>
        <v>0</v>
      </c>
      <c r="AT20" s="131">
        <f t="shared" si="37"/>
        <v>0</v>
      </c>
      <c r="AU20" s="131">
        <f t="shared" si="38"/>
        <v>0</v>
      </c>
      <c r="AV20" s="131">
        <f t="shared" si="39"/>
        <v>0</v>
      </c>
      <c r="AW20" s="131">
        <f t="shared" si="40"/>
        <v>0</v>
      </c>
      <c r="AX20" s="131">
        <f t="shared" si="41"/>
        <v>0</v>
      </c>
      <c r="AY20" s="131">
        <f t="shared" si="42"/>
        <v>0</v>
      </c>
      <c r="AZ20" s="131">
        <f t="shared" si="43"/>
        <v>0</v>
      </c>
      <c r="BB20" s="130" t="s">
        <v>758</v>
      </c>
      <c r="BC20" s="131">
        <f>BC10*BC12-BC8*BC14</f>
        <v>-0.85283274303839107</v>
      </c>
      <c r="BE20" s="116">
        <f t="shared" si="1"/>
        <v>0</v>
      </c>
    </row>
    <row r="21" spans="4:57">
      <c r="D21" s="114">
        <f t="shared" si="2"/>
        <v>41173</v>
      </c>
      <c r="E21" s="115">
        <f t="shared" si="44"/>
        <v>8.3333333333333329E-2</v>
      </c>
      <c r="F21" s="116">
        <f t="shared" si="3"/>
        <v>2456191.5833333335</v>
      </c>
      <c r="G21" s="117">
        <f t="shared" si="4"/>
        <v>0.12721651836641995</v>
      </c>
      <c r="I21" s="112">
        <f t="shared" si="5"/>
        <v>180.35906119045285</v>
      </c>
      <c r="J21" s="112">
        <f t="shared" si="6"/>
        <v>4937.2029499039736</v>
      </c>
      <c r="K21" s="112">
        <f t="shared" si="7"/>
        <v>1.6703284148699239E-2</v>
      </c>
      <c r="L21" s="112">
        <f t="shared" si="8"/>
        <v>-1.8575891409459173</v>
      </c>
      <c r="M21" s="112">
        <f t="shared" si="9"/>
        <v>178.50147204950693</v>
      </c>
      <c r="N21" s="112">
        <f t="shared" si="10"/>
        <v>4935.3453607630281</v>
      </c>
      <c r="O21" s="112">
        <f t="shared" si="11"/>
        <v>1.0039645701633861</v>
      </c>
      <c r="P21" s="112">
        <f t="shared" si="12"/>
        <v>178.49987870546886</v>
      </c>
      <c r="Q21" s="112">
        <f t="shared" si="13"/>
        <v>23.437636764688008</v>
      </c>
      <c r="R21" s="112">
        <f t="shared" si="14"/>
        <v>23.436317729238365</v>
      </c>
      <c r="S21" s="112">
        <f t="shared" si="0"/>
        <v>178.62358490982874</v>
      </c>
      <c r="T21" s="112">
        <f t="shared" si="15"/>
        <v>0.59658517191092886</v>
      </c>
      <c r="U21" s="112">
        <f t="shared" si="16"/>
        <v>4.3023301216273534E-2</v>
      </c>
      <c r="V21" s="112">
        <f t="shared" si="17"/>
        <v>6.9074054508905878</v>
      </c>
      <c r="W21" s="112">
        <f t="shared" si="18"/>
        <v>91.523411993208697</v>
      </c>
      <c r="X21" s="115">
        <f t="shared" si="19"/>
        <v>0.51464763510354827</v>
      </c>
      <c r="Y21" s="115">
        <f t="shared" si="20"/>
        <v>0.26041593512241301</v>
      </c>
      <c r="Z21" s="115">
        <f t="shared" si="21"/>
        <v>0.76887933508468354</v>
      </c>
      <c r="AA21" s="118">
        <f t="shared" si="22"/>
        <v>732.18729594566958</v>
      </c>
      <c r="AB21" s="112">
        <f t="shared" si="23"/>
        <v>98.907405450890593</v>
      </c>
      <c r="AC21" s="112">
        <f t="shared" si="24"/>
        <v>-155.27314863727736</v>
      </c>
      <c r="AD21" s="112">
        <f t="shared" si="25"/>
        <v>135.17885435997417</v>
      </c>
      <c r="AE21" s="112">
        <f t="shared" si="26"/>
        <v>-45.178854359974167</v>
      </c>
      <c r="AF21" s="112">
        <f t="shared" si="27"/>
        <v>5.7340887491013131E-3</v>
      </c>
      <c r="AG21" s="112">
        <f t="shared" si="28"/>
        <v>-45.173120271225066</v>
      </c>
      <c r="AH21" s="112">
        <f t="shared" si="29"/>
        <v>36.397121877110294</v>
      </c>
      <c r="AJ21" s="119">
        <f t="shared" si="30"/>
        <v>8.3333333333333329E-2</v>
      </c>
      <c r="AK21" s="112">
        <f t="shared" si="31"/>
        <v>0</v>
      </c>
      <c r="AL21" s="112">
        <f t="shared" si="32"/>
        <v>0</v>
      </c>
      <c r="AM21" s="116">
        <f t="shared" si="33"/>
        <v>0</v>
      </c>
      <c r="AN21" s="116">
        <f t="shared" si="45"/>
        <v>0</v>
      </c>
      <c r="AO21" s="116">
        <f t="shared" si="46"/>
        <v>0</v>
      </c>
      <c r="AQ21" s="131">
        <f t="shared" si="34"/>
        <v>0</v>
      </c>
      <c r="AR21" s="131">
        <f t="shared" si="35"/>
        <v>0</v>
      </c>
      <c r="AS21" s="131">
        <f t="shared" si="36"/>
        <v>0</v>
      </c>
      <c r="AT21" s="131">
        <f t="shared" si="37"/>
        <v>0</v>
      </c>
      <c r="AU21" s="131">
        <f t="shared" si="38"/>
        <v>0</v>
      </c>
      <c r="AV21" s="131">
        <f t="shared" si="39"/>
        <v>0</v>
      </c>
      <c r="AW21" s="131">
        <f t="shared" si="40"/>
        <v>0</v>
      </c>
      <c r="AX21" s="131">
        <f t="shared" si="41"/>
        <v>0</v>
      </c>
      <c r="AY21" s="131">
        <f t="shared" si="42"/>
        <v>0</v>
      </c>
      <c r="AZ21" s="131">
        <f t="shared" si="43"/>
        <v>0</v>
      </c>
      <c r="BB21" s="130" t="s">
        <v>280</v>
      </c>
      <c r="BC21" s="119">
        <f>(-(BC3*BC9-BC5*BC7)-(BC6*BC9-BC5*BC10)*BC23)/(BC4*BC9-BC5*BC8)</f>
        <v>0.74058591859505263</v>
      </c>
      <c r="BE21" s="116">
        <f t="shared" si="1"/>
        <v>0</v>
      </c>
    </row>
    <row r="22" spans="4:57">
      <c r="D22" s="114">
        <f t="shared" si="2"/>
        <v>41173</v>
      </c>
      <c r="E22" s="115">
        <f t="shared" si="44"/>
        <v>8.7499999999999994E-2</v>
      </c>
      <c r="F22" s="116">
        <f t="shared" si="3"/>
        <v>2456191.5874999999</v>
      </c>
      <c r="G22" s="117">
        <f t="shared" si="4"/>
        <v>0.12721663244352927</v>
      </c>
      <c r="I22" s="112">
        <f t="shared" si="5"/>
        <v>180.36316805421757</v>
      </c>
      <c r="J22" s="112">
        <f t="shared" si="6"/>
        <v>4937.207056571564</v>
      </c>
      <c r="K22" s="112">
        <f t="shared" si="7"/>
        <v>1.6703284143900102E-2</v>
      </c>
      <c r="L22" s="112">
        <f t="shared" si="8"/>
        <v>-1.8576220664565803</v>
      </c>
      <c r="M22" s="112">
        <f t="shared" si="9"/>
        <v>178.505545987761</v>
      </c>
      <c r="N22" s="112">
        <f t="shared" si="10"/>
        <v>4935.3494345051076</v>
      </c>
      <c r="O22" s="112">
        <f t="shared" si="11"/>
        <v>1.0039634117302216</v>
      </c>
      <c r="P22" s="112">
        <f t="shared" si="12"/>
        <v>178.50395263423854</v>
      </c>
      <c r="Q22" s="112">
        <f t="shared" si="13"/>
        <v>23.43763676320453</v>
      </c>
      <c r="R22" s="112">
        <f t="shared" si="14"/>
        <v>23.436317719305912</v>
      </c>
      <c r="S22" s="112">
        <f t="shared" si="0"/>
        <v>178.62732315456347</v>
      </c>
      <c r="T22" s="112">
        <f t="shared" si="15"/>
        <v>0.59496531610323644</v>
      </c>
      <c r="U22" s="112">
        <f t="shared" si="16"/>
        <v>4.3023301178769346E-2</v>
      </c>
      <c r="V22" s="112">
        <f t="shared" si="17"/>
        <v>6.9088806366419782</v>
      </c>
      <c r="W22" s="112">
        <f t="shared" si="18"/>
        <v>91.522145528257369</v>
      </c>
      <c r="X22" s="115">
        <f t="shared" si="19"/>
        <v>0.51464661066899864</v>
      </c>
      <c r="Y22" s="115">
        <f t="shared" si="20"/>
        <v>0.26041842864606152</v>
      </c>
      <c r="Z22" s="115">
        <f t="shared" si="21"/>
        <v>0.7688747926919357</v>
      </c>
      <c r="AA22" s="118">
        <f t="shared" si="22"/>
        <v>732.17716422605895</v>
      </c>
      <c r="AB22" s="112">
        <f t="shared" si="23"/>
        <v>104.90888063664195</v>
      </c>
      <c r="AC22" s="112">
        <f t="shared" si="24"/>
        <v>-153.77277984083952</v>
      </c>
      <c r="AD22" s="112">
        <f t="shared" si="25"/>
        <v>134.46334263824235</v>
      </c>
      <c r="AE22" s="112">
        <f t="shared" si="26"/>
        <v>-44.463342638242352</v>
      </c>
      <c r="AF22" s="112">
        <f t="shared" si="27"/>
        <v>5.8791138929533962E-3</v>
      </c>
      <c r="AG22" s="112">
        <f t="shared" si="28"/>
        <v>-44.4574635243494</v>
      </c>
      <c r="AH22" s="112">
        <f t="shared" si="29"/>
        <v>38.256305212217512</v>
      </c>
      <c r="AJ22" s="119">
        <f t="shared" si="30"/>
        <v>8.7499999999999994E-2</v>
      </c>
      <c r="AK22" s="112">
        <f t="shared" si="31"/>
        <v>0</v>
      </c>
      <c r="AL22" s="112">
        <f t="shared" si="32"/>
        <v>0</v>
      </c>
      <c r="AM22" s="116">
        <f t="shared" si="33"/>
        <v>0</v>
      </c>
      <c r="AN22" s="116">
        <f t="shared" si="45"/>
        <v>0</v>
      </c>
      <c r="AO22" s="116">
        <f t="shared" si="46"/>
        <v>0</v>
      </c>
      <c r="AQ22" s="131">
        <f t="shared" si="34"/>
        <v>0</v>
      </c>
      <c r="AR22" s="131">
        <f t="shared" si="35"/>
        <v>0</v>
      </c>
      <c r="AS22" s="131">
        <f t="shared" si="36"/>
        <v>0</v>
      </c>
      <c r="AT22" s="131">
        <f t="shared" si="37"/>
        <v>0</v>
      </c>
      <c r="AU22" s="131">
        <f t="shared" si="38"/>
        <v>0</v>
      </c>
      <c r="AV22" s="131">
        <f t="shared" si="39"/>
        <v>0</v>
      </c>
      <c r="AW22" s="131">
        <f t="shared" si="40"/>
        <v>0</v>
      </c>
      <c r="AX22" s="131">
        <f t="shared" si="41"/>
        <v>0</v>
      </c>
      <c r="AY22" s="131">
        <f t="shared" si="42"/>
        <v>0</v>
      </c>
      <c r="AZ22" s="131">
        <f t="shared" si="43"/>
        <v>0</v>
      </c>
      <c r="BB22" s="130" t="s">
        <v>281</v>
      </c>
      <c r="BC22" s="119">
        <f>(-(BC3*BC8-BC4*BC7)-(BC6*BC8-BC4*BC10)*BC23)/(BC5*BC8-BC4*BC9)</f>
        <v>3.7342200289268594E-2</v>
      </c>
      <c r="BE22" s="116">
        <f t="shared" si="1"/>
        <v>0</v>
      </c>
    </row>
    <row r="23" spans="4:57">
      <c r="D23" s="114">
        <f t="shared" si="2"/>
        <v>41173</v>
      </c>
      <c r="E23" s="115">
        <f t="shared" si="44"/>
        <v>9.166666666666666E-2</v>
      </c>
      <c r="F23" s="116">
        <f t="shared" si="3"/>
        <v>2456191.5916666668</v>
      </c>
      <c r="G23" s="117">
        <f t="shared" si="4"/>
        <v>0.12721674652065135</v>
      </c>
      <c r="I23" s="112">
        <f t="shared" si="5"/>
        <v>180.36727491844067</v>
      </c>
      <c r="J23" s="112">
        <f t="shared" si="6"/>
        <v>4937.2111632396145</v>
      </c>
      <c r="K23" s="112">
        <f t="shared" si="7"/>
        <v>1.6703284139100966E-2</v>
      </c>
      <c r="L23" s="112">
        <f t="shared" si="8"/>
        <v>-1.8576549825700672</v>
      </c>
      <c r="M23" s="112">
        <f t="shared" si="9"/>
        <v>178.5096199358706</v>
      </c>
      <c r="N23" s="112">
        <f t="shared" si="10"/>
        <v>4935.3535082570443</v>
      </c>
      <c r="O23" s="112">
        <f t="shared" si="11"/>
        <v>1.003962253275396</v>
      </c>
      <c r="P23" s="112">
        <f t="shared" si="12"/>
        <v>178.50802657286371</v>
      </c>
      <c r="Q23" s="112">
        <f t="shared" si="13"/>
        <v>23.437636761721052</v>
      </c>
      <c r="R23" s="112">
        <f t="shared" si="14"/>
        <v>23.43631770937348</v>
      </c>
      <c r="S23" s="112">
        <f t="shared" si="0"/>
        <v>178.63106140614715</v>
      </c>
      <c r="T23" s="112">
        <f t="shared" si="15"/>
        <v>0.59334545384564163</v>
      </c>
      <c r="U23" s="112">
        <f t="shared" si="16"/>
        <v>4.3023301141265236E-2</v>
      </c>
      <c r="V23" s="112">
        <f t="shared" si="17"/>
        <v>6.9103557993223568</v>
      </c>
      <c r="W23" s="112">
        <f t="shared" si="18"/>
        <v>91.520879060596044</v>
      </c>
      <c r="X23" s="115">
        <f t="shared" si="19"/>
        <v>0.51464558625047063</v>
      </c>
      <c r="Y23" s="115">
        <f t="shared" si="20"/>
        <v>0.26042092219325941</v>
      </c>
      <c r="Z23" s="115">
        <f t="shared" si="21"/>
        <v>0.76887025030768186</v>
      </c>
      <c r="AA23" s="118">
        <f t="shared" si="22"/>
        <v>732.16703248476836</v>
      </c>
      <c r="AB23" s="112">
        <f t="shared" si="23"/>
        <v>110.91035579932236</v>
      </c>
      <c r="AC23" s="112">
        <f t="shared" si="24"/>
        <v>-152.27241105016941</v>
      </c>
      <c r="AD23" s="112">
        <f t="shared" si="25"/>
        <v>133.71806013598589</v>
      </c>
      <c r="AE23" s="112">
        <f t="shared" si="26"/>
        <v>-43.718060135985894</v>
      </c>
      <c r="AF23" s="112">
        <f t="shared" si="27"/>
        <v>6.0341509970784617E-3</v>
      </c>
      <c r="AG23" s="112">
        <f t="shared" si="28"/>
        <v>-43.712025984988813</v>
      </c>
      <c r="AH23" s="112">
        <f t="shared" si="29"/>
        <v>40.069273124036897</v>
      </c>
      <c r="AJ23" s="119">
        <f t="shared" si="30"/>
        <v>9.166666666666666E-2</v>
      </c>
      <c r="AK23" s="112">
        <f t="shared" si="31"/>
        <v>0</v>
      </c>
      <c r="AL23" s="112">
        <f t="shared" si="32"/>
        <v>0</v>
      </c>
      <c r="AM23" s="116">
        <f t="shared" si="33"/>
        <v>0</v>
      </c>
      <c r="AN23" s="116">
        <f t="shared" si="45"/>
        <v>0</v>
      </c>
      <c r="AO23" s="116">
        <f t="shared" si="46"/>
        <v>0</v>
      </c>
      <c r="AQ23" s="131">
        <f t="shared" si="34"/>
        <v>0</v>
      </c>
      <c r="AR23" s="131">
        <f t="shared" si="35"/>
        <v>0</v>
      </c>
      <c r="AS23" s="131">
        <f t="shared" si="36"/>
        <v>0</v>
      </c>
      <c r="AT23" s="131">
        <f t="shared" si="37"/>
        <v>0</v>
      </c>
      <c r="AU23" s="131">
        <f t="shared" si="38"/>
        <v>0</v>
      </c>
      <c r="AV23" s="131">
        <f t="shared" si="39"/>
        <v>0</v>
      </c>
      <c r="AW23" s="131">
        <f t="shared" si="40"/>
        <v>0</v>
      </c>
      <c r="AX23" s="131">
        <f t="shared" si="41"/>
        <v>0</v>
      </c>
      <c r="AY23" s="131">
        <f t="shared" si="42"/>
        <v>0</v>
      </c>
      <c r="AZ23" s="131">
        <f t="shared" si="43"/>
        <v>0</v>
      </c>
      <c r="BB23" s="130" t="s">
        <v>752</v>
      </c>
      <c r="BC23" s="119">
        <f>-(BC15*BC19-BC16*BC18)/(BC17*BC19-BC16*BC20)</f>
        <v>-8.9164282470904129E-3</v>
      </c>
      <c r="BE23" s="116">
        <f t="shared" si="1"/>
        <v>0</v>
      </c>
    </row>
    <row r="24" spans="4:57">
      <c r="D24" s="114">
        <f t="shared" si="2"/>
        <v>41173</v>
      </c>
      <c r="E24" s="115">
        <f t="shared" si="44"/>
        <v>9.5833333333333326E-2</v>
      </c>
      <c r="F24" s="116">
        <f t="shared" si="3"/>
        <v>2456191.5958333332</v>
      </c>
      <c r="G24" s="117">
        <f t="shared" si="4"/>
        <v>0.12721686059776069</v>
      </c>
      <c r="I24" s="112">
        <f t="shared" si="5"/>
        <v>180.3713817822063</v>
      </c>
      <c r="J24" s="112">
        <f t="shared" si="6"/>
        <v>4937.2152699072058</v>
      </c>
      <c r="K24" s="112">
        <f t="shared" si="7"/>
        <v>1.6703284134301829E-2</v>
      </c>
      <c r="L24" s="112">
        <f t="shared" si="8"/>
        <v>-1.8576878892788025</v>
      </c>
      <c r="M24" s="112">
        <f t="shared" si="9"/>
        <v>178.51369389292751</v>
      </c>
      <c r="N24" s="112">
        <f t="shared" si="10"/>
        <v>4935.3575820179267</v>
      </c>
      <c r="O24" s="112">
        <f t="shared" si="11"/>
        <v>1.0039610947991739</v>
      </c>
      <c r="P24" s="112">
        <f t="shared" si="12"/>
        <v>178.51210052043612</v>
      </c>
      <c r="Q24" s="112">
        <f t="shared" si="13"/>
        <v>23.43763676023757</v>
      </c>
      <c r="R24" s="112">
        <f t="shared" si="14"/>
        <v>23.436317699441062</v>
      </c>
      <c r="S24" s="112">
        <f t="shared" si="0"/>
        <v>178.63479966375232</v>
      </c>
      <c r="T24" s="112">
        <f t="shared" si="15"/>
        <v>0.59172558550615439</v>
      </c>
      <c r="U24" s="112">
        <f t="shared" si="16"/>
        <v>4.3023301103761187E-2</v>
      </c>
      <c r="V24" s="112">
        <f t="shared" si="17"/>
        <v>6.9118309385784329</v>
      </c>
      <c r="W24" s="112">
        <f t="shared" si="18"/>
        <v>91.51961259050978</v>
      </c>
      <c r="X24" s="115">
        <f t="shared" si="19"/>
        <v>0.51464456184820939</v>
      </c>
      <c r="Y24" s="115">
        <f t="shared" si="20"/>
        <v>0.26042341576346001</v>
      </c>
      <c r="Z24" s="115">
        <f t="shared" si="21"/>
        <v>0.76886570793295883</v>
      </c>
      <c r="AA24" s="118">
        <f t="shared" si="22"/>
        <v>732.15690072407824</v>
      </c>
      <c r="AB24" s="112">
        <f t="shared" si="23"/>
        <v>116.91183093857842</v>
      </c>
      <c r="AC24" s="112">
        <f t="shared" si="24"/>
        <v>-150.7720422653554</v>
      </c>
      <c r="AD24" s="112">
        <f t="shared" si="25"/>
        <v>132.94448933117602</v>
      </c>
      <c r="AE24" s="112">
        <f t="shared" si="26"/>
        <v>-42.944489331176015</v>
      </c>
      <c r="AF24" s="112">
        <f t="shared" si="27"/>
        <v>6.1995988124778113E-3</v>
      </c>
      <c r="AG24" s="112">
        <f t="shared" si="28"/>
        <v>-42.938289732363536</v>
      </c>
      <c r="AH24" s="112">
        <f t="shared" si="29"/>
        <v>41.836584040228331</v>
      </c>
      <c r="AJ24" s="119">
        <f t="shared" si="30"/>
        <v>9.5833333333333326E-2</v>
      </c>
      <c r="AK24" s="112">
        <f t="shared" si="31"/>
        <v>0</v>
      </c>
      <c r="AL24" s="112">
        <f t="shared" si="32"/>
        <v>0</v>
      </c>
      <c r="AM24" s="116">
        <f t="shared" si="33"/>
        <v>0</v>
      </c>
      <c r="AN24" s="116">
        <f t="shared" si="45"/>
        <v>0</v>
      </c>
      <c r="AO24" s="116">
        <f t="shared" si="46"/>
        <v>0</v>
      </c>
      <c r="AQ24" s="131">
        <f t="shared" si="34"/>
        <v>0</v>
      </c>
      <c r="AR24" s="131">
        <f t="shared" si="35"/>
        <v>0</v>
      </c>
      <c r="AS24" s="131">
        <f t="shared" si="36"/>
        <v>0</v>
      </c>
      <c r="AT24" s="131">
        <f t="shared" si="37"/>
        <v>0</v>
      </c>
      <c r="AU24" s="131">
        <f t="shared" si="38"/>
        <v>0</v>
      </c>
      <c r="AV24" s="131">
        <f t="shared" si="39"/>
        <v>0</v>
      </c>
      <c r="AW24" s="131">
        <f t="shared" si="40"/>
        <v>0</v>
      </c>
      <c r="AX24" s="131">
        <f t="shared" si="41"/>
        <v>0</v>
      </c>
      <c r="AY24" s="131">
        <f t="shared" si="42"/>
        <v>0</v>
      </c>
      <c r="AZ24" s="131">
        <f t="shared" si="43"/>
        <v>0</v>
      </c>
      <c r="BE24" s="116">
        <f t="shared" si="1"/>
        <v>0</v>
      </c>
    </row>
    <row r="25" spans="4:57">
      <c r="D25" s="114">
        <f t="shared" si="2"/>
        <v>41173</v>
      </c>
      <c r="E25" s="115">
        <f t="shared" si="44"/>
        <v>9.9999999999999992E-2</v>
      </c>
      <c r="F25" s="116">
        <f t="shared" si="3"/>
        <v>2456191.6</v>
      </c>
      <c r="G25" s="117">
        <f t="shared" si="4"/>
        <v>0.12721697467488277</v>
      </c>
      <c r="I25" s="112">
        <f t="shared" si="5"/>
        <v>180.37548864643031</v>
      </c>
      <c r="J25" s="112">
        <f t="shared" si="6"/>
        <v>4937.2193765752563</v>
      </c>
      <c r="K25" s="112">
        <f t="shared" si="7"/>
        <v>1.6703284129502692E-2</v>
      </c>
      <c r="L25" s="112">
        <f t="shared" si="8"/>
        <v>-1.8577207865899381</v>
      </c>
      <c r="M25" s="112">
        <f t="shared" si="9"/>
        <v>178.51776785984038</v>
      </c>
      <c r="N25" s="112">
        <f t="shared" si="10"/>
        <v>4935.3616557886662</v>
      </c>
      <c r="O25" s="112">
        <f t="shared" si="11"/>
        <v>1.0039599363013025</v>
      </c>
      <c r="P25" s="112">
        <f t="shared" si="12"/>
        <v>178.51617447786444</v>
      </c>
      <c r="Q25" s="112">
        <f t="shared" si="13"/>
        <v>23.437636758754092</v>
      </c>
      <c r="R25" s="112">
        <f t="shared" si="14"/>
        <v>23.43631768950867</v>
      </c>
      <c r="S25" s="112">
        <f t="shared" si="0"/>
        <v>178.6385379282188</v>
      </c>
      <c r="T25" s="112">
        <f t="shared" si="15"/>
        <v>0.59010571073034146</v>
      </c>
      <c r="U25" s="112">
        <f t="shared" si="16"/>
        <v>4.3023301066257222E-2</v>
      </c>
      <c r="V25" s="112">
        <f t="shared" si="17"/>
        <v>6.913306054715016</v>
      </c>
      <c r="W25" s="112">
        <f t="shared" si="18"/>
        <v>91.518346117718906</v>
      </c>
      <c r="X25" s="115">
        <f t="shared" si="19"/>
        <v>0.51464353746200342</v>
      </c>
      <c r="Y25" s="115">
        <f t="shared" si="20"/>
        <v>0.2604259093572287</v>
      </c>
      <c r="Z25" s="115">
        <f t="shared" si="21"/>
        <v>0.76886116556677808</v>
      </c>
      <c r="AA25" s="118">
        <f t="shared" si="22"/>
        <v>732.14676894175125</v>
      </c>
      <c r="AB25" s="112">
        <f t="shared" si="23"/>
        <v>122.91330605471501</v>
      </c>
      <c r="AC25" s="112">
        <f t="shared" si="24"/>
        <v>-149.27167348632125</v>
      </c>
      <c r="AD25" s="112">
        <f t="shared" si="25"/>
        <v>132.14407321178925</v>
      </c>
      <c r="AE25" s="112">
        <f t="shared" si="26"/>
        <v>-42.144073211789248</v>
      </c>
      <c r="AF25" s="112">
        <f t="shared" si="27"/>
        <v>6.3759191941820384E-3</v>
      </c>
      <c r="AG25" s="112">
        <f t="shared" si="28"/>
        <v>-42.137697292595064</v>
      </c>
      <c r="AH25" s="112">
        <f t="shared" si="29"/>
        <v>43.558996896241126</v>
      </c>
      <c r="AJ25" s="119">
        <f t="shared" si="30"/>
        <v>9.9999999999999992E-2</v>
      </c>
      <c r="AK25" s="112">
        <f t="shared" si="31"/>
        <v>0</v>
      </c>
      <c r="AL25" s="112">
        <f t="shared" si="32"/>
        <v>0</v>
      </c>
      <c r="AM25" s="116">
        <f t="shared" si="33"/>
        <v>0</v>
      </c>
      <c r="AN25" s="116">
        <f t="shared" si="45"/>
        <v>0</v>
      </c>
      <c r="AO25" s="116">
        <f t="shared" si="46"/>
        <v>0</v>
      </c>
      <c r="AQ25" s="131">
        <f t="shared" si="34"/>
        <v>0</v>
      </c>
      <c r="AR25" s="131">
        <f t="shared" si="35"/>
        <v>0</v>
      </c>
      <c r="AS25" s="131">
        <f t="shared" si="36"/>
        <v>0</v>
      </c>
      <c r="AT25" s="131">
        <f t="shared" si="37"/>
        <v>0</v>
      </c>
      <c r="AU25" s="131">
        <f t="shared" si="38"/>
        <v>0</v>
      </c>
      <c r="AV25" s="131">
        <f t="shared" si="39"/>
        <v>0</v>
      </c>
      <c r="AW25" s="131">
        <f t="shared" si="40"/>
        <v>0</v>
      </c>
      <c r="AX25" s="131">
        <f t="shared" si="41"/>
        <v>0</v>
      </c>
      <c r="AY25" s="131">
        <f t="shared" si="42"/>
        <v>0</v>
      </c>
      <c r="AZ25" s="131">
        <f t="shared" si="43"/>
        <v>0</v>
      </c>
      <c r="BE25" s="116">
        <f t="shared" si="1"/>
        <v>0</v>
      </c>
    </row>
    <row r="26" spans="4:57">
      <c r="D26" s="114">
        <f t="shared" si="2"/>
        <v>41173</v>
      </c>
      <c r="E26" s="115">
        <f t="shared" si="44"/>
        <v>0.10416666666666666</v>
      </c>
      <c r="F26" s="116">
        <f t="shared" si="3"/>
        <v>2456191.6041666665</v>
      </c>
      <c r="G26" s="117">
        <f t="shared" si="4"/>
        <v>0.12721708875199211</v>
      </c>
      <c r="I26" s="112">
        <f t="shared" si="5"/>
        <v>180.37959551019503</v>
      </c>
      <c r="J26" s="112">
        <f t="shared" si="6"/>
        <v>4937.2234832428485</v>
      </c>
      <c r="K26" s="112">
        <f t="shared" si="7"/>
        <v>1.6703284124703555E-2</v>
      </c>
      <c r="L26" s="112">
        <f t="shared" si="8"/>
        <v>-1.8577536744959162</v>
      </c>
      <c r="M26" s="112">
        <f t="shared" si="9"/>
        <v>178.52184183569912</v>
      </c>
      <c r="N26" s="112">
        <f t="shared" si="10"/>
        <v>4935.3657295683524</v>
      </c>
      <c r="O26" s="112">
        <f t="shared" si="11"/>
        <v>1.0039587777820465</v>
      </c>
      <c r="P26" s="112">
        <f t="shared" si="12"/>
        <v>178.52024844423855</v>
      </c>
      <c r="Q26" s="112">
        <f t="shared" si="13"/>
        <v>23.43763675727061</v>
      </c>
      <c r="R26" s="112">
        <f t="shared" si="14"/>
        <v>23.436317679576291</v>
      </c>
      <c r="S26" s="112">
        <f t="shared" si="0"/>
        <v>178.64227619871735</v>
      </c>
      <c r="T26" s="112">
        <f t="shared" si="15"/>
        <v>0.58848582988697251</v>
      </c>
      <c r="U26" s="112">
        <f t="shared" si="16"/>
        <v>4.3023301028753312E-2</v>
      </c>
      <c r="V26" s="112">
        <f t="shared" si="17"/>
        <v>6.9147811473782674</v>
      </c>
      <c r="W26" s="112">
        <f t="shared" si="18"/>
        <v>91.51707964250906</v>
      </c>
      <c r="X26" s="115">
        <f t="shared" si="19"/>
        <v>0.51464251309209841</v>
      </c>
      <c r="Y26" s="115">
        <f t="shared" si="20"/>
        <v>0.2604284029740177</v>
      </c>
      <c r="Z26" s="115">
        <f t="shared" si="21"/>
        <v>0.76885662321017911</v>
      </c>
      <c r="AA26" s="118">
        <f t="shared" si="22"/>
        <v>732.13663714007248</v>
      </c>
      <c r="AB26" s="112">
        <f t="shared" si="23"/>
        <v>128.91478114737828</v>
      </c>
      <c r="AC26" s="112">
        <f t="shared" si="24"/>
        <v>-147.77130471315542</v>
      </c>
      <c r="AD26" s="112">
        <f t="shared" si="25"/>
        <v>131.31821036015108</v>
      </c>
      <c r="AE26" s="112">
        <f t="shared" si="26"/>
        <v>-41.318210360151085</v>
      </c>
      <c r="AF26" s="112">
        <f t="shared" si="27"/>
        <v>6.5636447015594403E-3</v>
      </c>
      <c r="AG26" s="112">
        <f t="shared" si="28"/>
        <v>-41.311646715449527</v>
      </c>
      <c r="AH26" s="112">
        <f t="shared" si="29"/>
        <v>45.237439955955438</v>
      </c>
      <c r="AJ26" s="119">
        <f t="shared" si="30"/>
        <v>0.10416666666666666</v>
      </c>
      <c r="AK26" s="112">
        <f t="shared" si="31"/>
        <v>0</v>
      </c>
      <c r="AL26" s="112">
        <f t="shared" si="32"/>
        <v>0</v>
      </c>
      <c r="AM26" s="116">
        <f t="shared" si="33"/>
        <v>0</v>
      </c>
      <c r="AN26" s="116">
        <f t="shared" si="45"/>
        <v>0</v>
      </c>
      <c r="AO26" s="116">
        <f t="shared" si="46"/>
        <v>0</v>
      </c>
      <c r="AQ26" s="131">
        <f t="shared" si="34"/>
        <v>0</v>
      </c>
      <c r="AR26" s="131">
        <f t="shared" si="35"/>
        <v>0</v>
      </c>
      <c r="AS26" s="131">
        <f t="shared" si="36"/>
        <v>0</v>
      </c>
      <c r="AT26" s="131">
        <f t="shared" si="37"/>
        <v>0</v>
      </c>
      <c r="AU26" s="131">
        <f t="shared" si="38"/>
        <v>0</v>
      </c>
      <c r="AV26" s="131">
        <f t="shared" si="39"/>
        <v>0</v>
      </c>
      <c r="AW26" s="131">
        <f t="shared" si="40"/>
        <v>0</v>
      </c>
      <c r="AX26" s="131">
        <f t="shared" si="41"/>
        <v>0</v>
      </c>
      <c r="AY26" s="131">
        <f t="shared" si="42"/>
        <v>0</v>
      </c>
      <c r="AZ26" s="131">
        <f t="shared" si="43"/>
        <v>0</v>
      </c>
      <c r="BE26" s="116">
        <f t="shared" si="1"/>
        <v>0</v>
      </c>
    </row>
    <row r="27" spans="4:57">
      <c r="D27" s="114">
        <f t="shared" si="2"/>
        <v>41173</v>
      </c>
      <c r="E27" s="115">
        <f t="shared" si="44"/>
        <v>0.10833333333333332</v>
      </c>
      <c r="F27" s="116">
        <f t="shared" si="3"/>
        <v>2456191.6083333334</v>
      </c>
      <c r="G27" s="117">
        <f t="shared" si="4"/>
        <v>0.12721720282911417</v>
      </c>
      <c r="I27" s="112">
        <f t="shared" si="5"/>
        <v>180.38370237441723</v>
      </c>
      <c r="J27" s="112">
        <f t="shared" si="6"/>
        <v>4937.2275899108972</v>
      </c>
      <c r="K27" s="112">
        <f t="shared" si="7"/>
        <v>1.6703284119904419E-2</v>
      </c>
      <c r="L27" s="112">
        <f t="shared" si="8"/>
        <v>-1.8577865530038522</v>
      </c>
      <c r="M27" s="112">
        <f t="shared" si="9"/>
        <v>178.52591582141338</v>
      </c>
      <c r="N27" s="112">
        <f t="shared" si="10"/>
        <v>4935.369803357893</v>
      </c>
      <c r="O27" s="112">
        <f t="shared" si="11"/>
        <v>1.003957619241153</v>
      </c>
      <c r="P27" s="112">
        <f t="shared" si="12"/>
        <v>178.52432242046814</v>
      </c>
      <c r="Q27" s="112">
        <f t="shared" si="13"/>
        <v>23.437636755787132</v>
      </c>
      <c r="R27" s="112">
        <f t="shared" si="14"/>
        <v>23.436317669643937</v>
      </c>
      <c r="S27" s="112">
        <f t="shared" si="0"/>
        <v>178.64601447608868</v>
      </c>
      <c r="T27" s="112">
        <f t="shared" si="15"/>
        <v>0.58686594262121894</v>
      </c>
      <c r="U27" s="112">
        <f t="shared" si="16"/>
        <v>4.3023300991249507E-2</v>
      </c>
      <c r="V27" s="112">
        <f t="shared" si="17"/>
        <v>6.9162562168731503</v>
      </c>
      <c r="W27" s="112">
        <f t="shared" si="18"/>
        <v>91.515813164600246</v>
      </c>
      <c r="X27" s="115">
        <f t="shared" si="19"/>
        <v>0.51464148873828253</v>
      </c>
      <c r="Y27" s="115">
        <f t="shared" si="20"/>
        <v>0.26043089661439295</v>
      </c>
      <c r="Z27" s="115">
        <f t="shared" si="21"/>
        <v>0.76885208086217216</v>
      </c>
      <c r="AA27" s="118">
        <f t="shared" si="22"/>
        <v>732.12650531680197</v>
      </c>
      <c r="AB27" s="112">
        <f t="shared" si="23"/>
        <v>134.91625621687311</v>
      </c>
      <c r="AC27" s="112">
        <f t="shared" si="24"/>
        <v>-146.27093594578173</v>
      </c>
      <c r="AD27" s="112">
        <f t="shared" si="25"/>
        <v>130.46825128458113</v>
      </c>
      <c r="AE27" s="112">
        <f t="shared" si="26"/>
        <v>-40.468251284581129</v>
      </c>
      <c r="AF27" s="112">
        <f t="shared" si="27"/>
        <v>6.7633872903037299E-3</v>
      </c>
      <c r="AG27" s="112">
        <f t="shared" si="28"/>
        <v>-40.461487897290823</v>
      </c>
      <c r="AH27" s="112">
        <f t="shared" si="29"/>
        <v>46.872981820239715</v>
      </c>
      <c r="AJ27" s="119">
        <f t="shared" si="30"/>
        <v>0.10833333333333332</v>
      </c>
      <c r="AK27" s="112">
        <f t="shared" si="31"/>
        <v>0</v>
      </c>
      <c r="AL27" s="112">
        <f t="shared" si="32"/>
        <v>0</v>
      </c>
      <c r="AM27" s="116">
        <f t="shared" si="33"/>
        <v>0</v>
      </c>
      <c r="AN27" s="116">
        <f t="shared" si="45"/>
        <v>0</v>
      </c>
      <c r="AO27" s="116">
        <f t="shared" si="46"/>
        <v>0</v>
      </c>
      <c r="AQ27" s="131">
        <f t="shared" si="34"/>
        <v>0</v>
      </c>
      <c r="AR27" s="131">
        <f t="shared" si="35"/>
        <v>0</v>
      </c>
      <c r="AS27" s="131">
        <f t="shared" si="36"/>
        <v>0</v>
      </c>
      <c r="AT27" s="131">
        <f t="shared" si="37"/>
        <v>0</v>
      </c>
      <c r="AU27" s="131">
        <f t="shared" si="38"/>
        <v>0</v>
      </c>
      <c r="AV27" s="131">
        <f t="shared" si="39"/>
        <v>0</v>
      </c>
      <c r="AW27" s="131">
        <f t="shared" si="40"/>
        <v>0</v>
      </c>
      <c r="AX27" s="131">
        <f t="shared" si="41"/>
        <v>0</v>
      </c>
      <c r="AY27" s="131">
        <f t="shared" si="42"/>
        <v>0</v>
      </c>
      <c r="AZ27" s="131">
        <f t="shared" si="43"/>
        <v>0</v>
      </c>
      <c r="BE27" s="116">
        <f t="shared" si="1"/>
        <v>0</v>
      </c>
    </row>
    <row r="28" spans="4:57">
      <c r="D28" s="114">
        <f t="shared" si="2"/>
        <v>41173</v>
      </c>
      <c r="E28" s="115">
        <f t="shared" si="44"/>
        <v>0.11249999999999999</v>
      </c>
      <c r="F28" s="116">
        <f t="shared" si="3"/>
        <v>2456191.6124999998</v>
      </c>
      <c r="G28" s="117">
        <f t="shared" si="4"/>
        <v>0.12721731690622351</v>
      </c>
      <c r="I28" s="112">
        <f t="shared" si="5"/>
        <v>180.38780923818285</v>
      </c>
      <c r="J28" s="112">
        <f t="shared" si="6"/>
        <v>4937.2316965784894</v>
      </c>
      <c r="K28" s="112">
        <f t="shared" si="7"/>
        <v>1.6703284115105282E-2</v>
      </c>
      <c r="L28" s="112">
        <f t="shared" si="8"/>
        <v>-1.8578194221062447</v>
      </c>
      <c r="M28" s="112">
        <f t="shared" si="9"/>
        <v>178.52998981607661</v>
      </c>
      <c r="N28" s="112">
        <f t="shared" si="10"/>
        <v>4935.3738771563831</v>
      </c>
      <c r="O28" s="112">
        <f t="shared" si="11"/>
        <v>1.003956460678886</v>
      </c>
      <c r="P28" s="112">
        <f t="shared" si="12"/>
        <v>178.52839640564662</v>
      </c>
      <c r="Q28" s="112">
        <f t="shared" si="13"/>
        <v>23.43763675430365</v>
      </c>
      <c r="R28" s="112">
        <f t="shared" si="14"/>
        <v>23.436317659711598</v>
      </c>
      <c r="S28" s="112">
        <f t="shared" si="0"/>
        <v>178.6497527595069</v>
      </c>
      <c r="T28" s="112">
        <f t="shared" si="15"/>
        <v>0.58524604930042545</v>
      </c>
      <c r="U28" s="112">
        <f t="shared" si="16"/>
        <v>4.3023300953745749E-2</v>
      </c>
      <c r="V28" s="112">
        <f t="shared" si="17"/>
        <v>6.9177312628472398</v>
      </c>
      <c r="W28" s="112">
        <f t="shared" si="18"/>
        <v>91.514546684277022</v>
      </c>
      <c r="X28" s="115">
        <f t="shared" si="19"/>
        <v>0.51464046440080047</v>
      </c>
      <c r="Y28" s="115">
        <f t="shared" si="20"/>
        <v>0.26043339027780876</v>
      </c>
      <c r="Z28" s="115">
        <f t="shared" si="21"/>
        <v>0.76884753852379217</v>
      </c>
      <c r="AA28" s="118">
        <f t="shared" si="22"/>
        <v>732.11637347421618</v>
      </c>
      <c r="AB28" s="112">
        <f t="shared" si="23"/>
        <v>140.91773126284721</v>
      </c>
      <c r="AC28" s="112">
        <f t="shared" si="24"/>
        <v>-144.77056718428821</v>
      </c>
      <c r="AD28" s="112">
        <f t="shared" si="25"/>
        <v>129.59549585181713</v>
      </c>
      <c r="AE28" s="112">
        <f t="shared" si="26"/>
        <v>-39.595495851817134</v>
      </c>
      <c r="AF28" s="112">
        <f t="shared" si="27"/>
        <v>6.9758483402346241E-3</v>
      </c>
      <c r="AG28" s="112">
        <f t="shared" si="28"/>
        <v>-39.588520003476901</v>
      </c>
      <c r="AH28" s="112">
        <f t="shared" si="29"/>
        <v>48.466804888522006</v>
      </c>
      <c r="AJ28" s="119">
        <f t="shared" si="30"/>
        <v>0.11249999999999999</v>
      </c>
      <c r="AK28" s="112">
        <f t="shared" si="31"/>
        <v>0</v>
      </c>
      <c r="AL28" s="112">
        <f t="shared" si="32"/>
        <v>0</v>
      </c>
      <c r="AM28" s="116">
        <f t="shared" si="33"/>
        <v>0</v>
      </c>
      <c r="AN28" s="116">
        <f t="shared" si="45"/>
        <v>0</v>
      </c>
      <c r="AO28" s="116">
        <f t="shared" si="46"/>
        <v>0</v>
      </c>
      <c r="AQ28" s="131">
        <f t="shared" si="34"/>
        <v>0</v>
      </c>
      <c r="AR28" s="131">
        <f t="shared" si="35"/>
        <v>0</v>
      </c>
      <c r="AS28" s="131">
        <f t="shared" si="36"/>
        <v>0</v>
      </c>
      <c r="AT28" s="131">
        <f t="shared" si="37"/>
        <v>0</v>
      </c>
      <c r="AU28" s="131">
        <f t="shared" si="38"/>
        <v>0</v>
      </c>
      <c r="AV28" s="131">
        <f t="shared" si="39"/>
        <v>0</v>
      </c>
      <c r="AW28" s="131">
        <f t="shared" si="40"/>
        <v>0</v>
      </c>
      <c r="AX28" s="131">
        <f t="shared" si="41"/>
        <v>0</v>
      </c>
      <c r="AY28" s="131">
        <f t="shared" si="42"/>
        <v>0</v>
      </c>
      <c r="AZ28" s="131">
        <f t="shared" si="43"/>
        <v>0</v>
      </c>
      <c r="BE28" s="116">
        <f t="shared" si="1"/>
        <v>0</v>
      </c>
    </row>
    <row r="29" spans="4:57">
      <c r="D29" s="114">
        <f t="shared" si="2"/>
        <v>41173</v>
      </c>
      <c r="E29" s="115">
        <f t="shared" si="44"/>
        <v>0.11666666666666665</v>
      </c>
      <c r="F29" s="116">
        <f t="shared" si="3"/>
        <v>2456191.6166666667</v>
      </c>
      <c r="G29" s="117">
        <f t="shared" si="4"/>
        <v>0.12721743098334559</v>
      </c>
      <c r="I29" s="112">
        <f t="shared" si="5"/>
        <v>180.39191610240687</v>
      </c>
      <c r="J29" s="112">
        <f t="shared" si="6"/>
        <v>4937.235803246539</v>
      </c>
      <c r="K29" s="112">
        <f t="shared" si="7"/>
        <v>1.6703284110306141E-2</v>
      </c>
      <c r="L29" s="112">
        <f t="shared" si="8"/>
        <v>-1.8578522818101788</v>
      </c>
      <c r="M29" s="112">
        <f t="shared" si="9"/>
        <v>178.53406382059669</v>
      </c>
      <c r="N29" s="112">
        <f t="shared" si="10"/>
        <v>4935.3779509647293</v>
      </c>
      <c r="O29" s="112">
        <f t="shared" si="11"/>
        <v>1.0039553020949932</v>
      </c>
      <c r="P29" s="112">
        <f t="shared" si="12"/>
        <v>178.53247040068192</v>
      </c>
      <c r="Q29" s="112">
        <f t="shared" si="13"/>
        <v>23.437636752820172</v>
      </c>
      <c r="R29" s="112">
        <f t="shared" si="14"/>
        <v>23.436317649779284</v>
      </c>
      <c r="S29" s="112">
        <f t="shared" si="0"/>
        <v>178.65349104981101</v>
      </c>
      <c r="T29" s="112">
        <f t="shared" si="15"/>
        <v>0.58362614957048031</v>
      </c>
      <c r="U29" s="112">
        <f t="shared" si="16"/>
        <v>4.3023300916242083E-2</v>
      </c>
      <c r="V29" s="112">
        <f t="shared" si="17"/>
        <v>6.9192062856048064</v>
      </c>
      <c r="W29" s="112">
        <f t="shared" si="18"/>
        <v>91.513280201259917</v>
      </c>
      <c r="X29" s="115">
        <f t="shared" si="19"/>
        <v>0.51463944007944107</v>
      </c>
      <c r="Y29" s="115">
        <f t="shared" si="20"/>
        <v>0.26043588396483019</v>
      </c>
      <c r="Z29" s="115">
        <f t="shared" si="21"/>
        <v>0.76884299619405194</v>
      </c>
      <c r="AA29" s="118">
        <f t="shared" si="22"/>
        <v>732.10624161007934</v>
      </c>
      <c r="AB29" s="112">
        <f t="shared" si="23"/>
        <v>146.91920628560479</v>
      </c>
      <c r="AC29" s="112">
        <f t="shared" si="24"/>
        <v>-143.2701984285988</v>
      </c>
      <c r="AD29" s="112">
        <f t="shared" si="25"/>
        <v>128.7011916815166</v>
      </c>
      <c r="AE29" s="112">
        <f t="shared" si="26"/>
        <v>-38.701191681516605</v>
      </c>
      <c r="AF29" s="112">
        <f t="shared" si="27"/>
        <v>7.2018303134123596E-3</v>
      </c>
      <c r="AG29" s="112">
        <f t="shared" si="28"/>
        <v>-38.693989851203192</v>
      </c>
      <c r="AH29" s="112">
        <f t="shared" si="29"/>
        <v>50.020181416213859</v>
      </c>
      <c r="AJ29" s="119">
        <f t="shared" si="30"/>
        <v>0.11666666666666665</v>
      </c>
      <c r="AK29" s="112">
        <f t="shared" si="31"/>
        <v>0</v>
      </c>
      <c r="AL29" s="112">
        <f t="shared" si="32"/>
        <v>0</v>
      </c>
      <c r="AM29" s="116">
        <f t="shared" si="33"/>
        <v>0</v>
      </c>
      <c r="AN29" s="116">
        <f t="shared" si="45"/>
        <v>0</v>
      </c>
      <c r="AO29" s="116">
        <f t="shared" si="46"/>
        <v>0</v>
      </c>
      <c r="AQ29" s="131">
        <f t="shared" si="34"/>
        <v>0</v>
      </c>
      <c r="AR29" s="131">
        <f t="shared" si="35"/>
        <v>0</v>
      </c>
      <c r="AS29" s="131">
        <f t="shared" si="36"/>
        <v>0</v>
      </c>
      <c r="AT29" s="131">
        <f t="shared" si="37"/>
        <v>0</v>
      </c>
      <c r="AU29" s="131">
        <f t="shared" si="38"/>
        <v>0</v>
      </c>
      <c r="AV29" s="131">
        <f t="shared" si="39"/>
        <v>0</v>
      </c>
      <c r="AW29" s="131">
        <f t="shared" si="40"/>
        <v>0</v>
      </c>
      <c r="AX29" s="131">
        <f t="shared" si="41"/>
        <v>0</v>
      </c>
      <c r="AY29" s="131">
        <f t="shared" si="42"/>
        <v>0</v>
      </c>
      <c r="AZ29" s="131">
        <f t="shared" si="43"/>
        <v>0</v>
      </c>
      <c r="BE29" s="116">
        <f t="shared" si="1"/>
        <v>0</v>
      </c>
    </row>
    <row r="30" spans="4:57">
      <c r="D30" s="114">
        <f t="shared" si="2"/>
        <v>41173</v>
      </c>
      <c r="E30" s="115">
        <f t="shared" si="44"/>
        <v>0.12083333333333332</v>
      </c>
      <c r="F30" s="116">
        <f t="shared" si="3"/>
        <v>2456191.6208333331</v>
      </c>
      <c r="G30" s="117">
        <f t="shared" si="4"/>
        <v>0.12721754506045493</v>
      </c>
      <c r="I30" s="112">
        <f t="shared" si="5"/>
        <v>180.39602296617159</v>
      </c>
      <c r="J30" s="112">
        <f t="shared" si="6"/>
        <v>4937.2399099141312</v>
      </c>
      <c r="K30" s="112">
        <f t="shared" si="7"/>
        <v>1.6703284105507005E-2</v>
      </c>
      <c r="L30" s="112">
        <f t="shared" si="8"/>
        <v>-1.857885132108144</v>
      </c>
      <c r="M30" s="112">
        <f t="shared" si="9"/>
        <v>178.53813783406343</v>
      </c>
      <c r="N30" s="112">
        <f t="shared" si="10"/>
        <v>4935.3820247820231</v>
      </c>
      <c r="O30" s="112">
        <f t="shared" si="11"/>
        <v>1.0039541434897385</v>
      </c>
      <c r="P30" s="112">
        <f t="shared" si="12"/>
        <v>178.5365444046638</v>
      </c>
      <c r="Q30" s="112">
        <f t="shared" si="13"/>
        <v>23.437636751336694</v>
      </c>
      <c r="R30" s="112">
        <f t="shared" si="14"/>
        <v>23.436317639846987</v>
      </c>
      <c r="S30" s="112">
        <f t="shared" si="0"/>
        <v>178.65722934617182</v>
      </c>
      <c r="T30" s="112">
        <f t="shared" si="15"/>
        <v>0.58200624380017651</v>
      </c>
      <c r="U30" s="112">
        <f t="shared" si="16"/>
        <v>4.3023300878738485E-2</v>
      </c>
      <c r="V30" s="112">
        <f t="shared" si="17"/>
        <v>6.9206812847921571</v>
      </c>
      <c r="W30" s="112">
        <f t="shared" si="18"/>
        <v>91.512013715834627</v>
      </c>
      <c r="X30" s="115">
        <f t="shared" si="19"/>
        <v>0.51463841577444991</v>
      </c>
      <c r="Y30" s="115">
        <f t="shared" si="20"/>
        <v>0.26043837767490929</v>
      </c>
      <c r="Z30" s="115">
        <f t="shared" si="21"/>
        <v>0.76883845387399052</v>
      </c>
      <c r="AA30" s="118">
        <f t="shared" si="22"/>
        <v>732.09610972667701</v>
      </c>
      <c r="AB30" s="112">
        <f t="shared" si="23"/>
        <v>152.92068128479212</v>
      </c>
      <c r="AC30" s="112">
        <f t="shared" si="24"/>
        <v>-141.76982967880195</v>
      </c>
      <c r="AD30" s="112">
        <f t="shared" si="25"/>
        <v>127.7865333606178</v>
      </c>
      <c r="AE30" s="112">
        <f t="shared" si="26"/>
        <v>-37.786533360617796</v>
      </c>
      <c r="AF30" s="112">
        <f t="shared" si="27"/>
        <v>7.4422504044510517E-3</v>
      </c>
      <c r="AG30" s="112">
        <f t="shared" si="28"/>
        <v>-37.779091110213344</v>
      </c>
      <c r="AH30" s="112">
        <f t="shared" si="29"/>
        <v>51.534452192205265</v>
      </c>
      <c r="AJ30" s="119">
        <f t="shared" si="30"/>
        <v>0.12083333333333332</v>
      </c>
      <c r="AK30" s="112">
        <f t="shared" si="31"/>
        <v>0</v>
      </c>
      <c r="AL30" s="112">
        <f t="shared" si="32"/>
        <v>0</v>
      </c>
      <c r="AM30" s="116">
        <f t="shared" si="33"/>
        <v>0</v>
      </c>
      <c r="AN30" s="116">
        <f t="shared" si="45"/>
        <v>0</v>
      </c>
      <c r="AO30" s="116">
        <f t="shared" si="46"/>
        <v>0</v>
      </c>
      <c r="AQ30" s="131">
        <f t="shared" si="34"/>
        <v>0</v>
      </c>
      <c r="AR30" s="131">
        <f t="shared" si="35"/>
        <v>0</v>
      </c>
      <c r="AS30" s="131">
        <f t="shared" si="36"/>
        <v>0</v>
      </c>
      <c r="AT30" s="131">
        <f t="shared" si="37"/>
        <v>0</v>
      </c>
      <c r="AU30" s="131">
        <f t="shared" si="38"/>
        <v>0</v>
      </c>
      <c r="AV30" s="131">
        <f t="shared" si="39"/>
        <v>0</v>
      </c>
      <c r="AW30" s="131">
        <f t="shared" si="40"/>
        <v>0</v>
      </c>
      <c r="AX30" s="131">
        <f t="shared" si="41"/>
        <v>0</v>
      </c>
      <c r="AY30" s="131">
        <f t="shared" si="42"/>
        <v>0</v>
      </c>
      <c r="AZ30" s="131">
        <f t="shared" si="43"/>
        <v>0</v>
      </c>
      <c r="BE30" s="116">
        <f t="shared" si="1"/>
        <v>0</v>
      </c>
    </row>
    <row r="31" spans="4:57">
      <c r="D31" s="114">
        <f t="shared" si="2"/>
        <v>41173</v>
      </c>
      <c r="E31" s="115">
        <f t="shared" si="44"/>
        <v>0.12499999999999999</v>
      </c>
      <c r="F31" s="116">
        <f t="shared" si="3"/>
        <v>2456191.625</v>
      </c>
      <c r="G31" s="117">
        <f t="shared" si="4"/>
        <v>0.12721765913757699</v>
      </c>
      <c r="I31" s="112">
        <f t="shared" si="5"/>
        <v>180.40012983039378</v>
      </c>
      <c r="J31" s="112">
        <f t="shared" si="6"/>
        <v>4937.2440165821799</v>
      </c>
      <c r="K31" s="112">
        <f t="shared" si="7"/>
        <v>1.6703284100707868E-2</v>
      </c>
      <c r="L31" s="112">
        <f t="shared" si="8"/>
        <v>-1.8579179730072415</v>
      </c>
      <c r="M31" s="112">
        <f t="shared" si="9"/>
        <v>178.54221185738655</v>
      </c>
      <c r="N31" s="112">
        <f t="shared" si="10"/>
        <v>4935.3860986091731</v>
      </c>
      <c r="O31" s="112">
        <f t="shared" si="11"/>
        <v>1.0039529848628701</v>
      </c>
      <c r="P31" s="112">
        <f t="shared" si="12"/>
        <v>178.54061841850199</v>
      </c>
      <c r="Q31" s="112">
        <f t="shared" si="13"/>
        <v>23.437636749853212</v>
      </c>
      <c r="R31" s="112">
        <f t="shared" si="14"/>
        <v>23.436317629914708</v>
      </c>
      <c r="S31" s="112">
        <f t="shared" si="0"/>
        <v>178.66096764943001</v>
      </c>
      <c r="T31" s="112">
        <f t="shared" si="15"/>
        <v>0.58038633163466302</v>
      </c>
      <c r="U31" s="112">
        <f t="shared" si="16"/>
        <v>4.302330084123495E-2</v>
      </c>
      <c r="V31" s="112">
        <f t="shared" si="17"/>
        <v>6.9221562607142308</v>
      </c>
      <c r="W31" s="112">
        <f t="shared" si="18"/>
        <v>91.51074722772114</v>
      </c>
      <c r="X31" s="115">
        <f t="shared" si="19"/>
        <v>0.51463739148561516</v>
      </c>
      <c r="Y31" s="115">
        <f t="shared" si="20"/>
        <v>0.260440871408612</v>
      </c>
      <c r="Z31" s="115">
        <f t="shared" si="21"/>
        <v>0.76883391156261838</v>
      </c>
      <c r="AA31" s="118">
        <f t="shared" si="22"/>
        <v>732.08597782176912</v>
      </c>
      <c r="AB31" s="112">
        <f t="shared" si="23"/>
        <v>158.92215626071419</v>
      </c>
      <c r="AC31" s="112">
        <f t="shared" si="24"/>
        <v>-140.26946093482144</v>
      </c>
      <c r="AD31" s="112">
        <f t="shared" si="25"/>
        <v>126.85266235145744</v>
      </c>
      <c r="AE31" s="112">
        <f t="shared" si="26"/>
        <v>-36.85266235145744</v>
      </c>
      <c r="AF31" s="112">
        <f t="shared" si="27"/>
        <v>7.6981566260820736E-3</v>
      </c>
      <c r="AG31" s="112">
        <f t="shared" si="28"/>
        <v>-36.844964194831356</v>
      </c>
      <c r="AH31" s="112">
        <f t="shared" si="29"/>
        <v>53.011007789898201</v>
      </c>
      <c r="AJ31" s="119">
        <f t="shared" si="30"/>
        <v>0.12499999999999999</v>
      </c>
      <c r="AK31" s="112">
        <f t="shared" si="31"/>
        <v>0</v>
      </c>
      <c r="AL31" s="112">
        <f t="shared" si="32"/>
        <v>0</v>
      </c>
      <c r="AM31" s="116">
        <f t="shared" si="33"/>
        <v>0</v>
      </c>
      <c r="AN31" s="116">
        <f t="shared" si="45"/>
        <v>0</v>
      </c>
      <c r="AO31" s="116">
        <f t="shared" si="46"/>
        <v>0</v>
      </c>
      <c r="AQ31" s="131">
        <f t="shared" si="34"/>
        <v>0</v>
      </c>
      <c r="AR31" s="131">
        <f t="shared" si="35"/>
        <v>0</v>
      </c>
      <c r="AS31" s="131">
        <f t="shared" si="36"/>
        <v>0</v>
      </c>
      <c r="AT31" s="131">
        <f t="shared" si="37"/>
        <v>0</v>
      </c>
      <c r="AU31" s="131">
        <f t="shared" si="38"/>
        <v>0</v>
      </c>
      <c r="AV31" s="131">
        <f t="shared" si="39"/>
        <v>0</v>
      </c>
      <c r="AW31" s="131">
        <f t="shared" si="40"/>
        <v>0</v>
      </c>
      <c r="AX31" s="131">
        <f t="shared" si="41"/>
        <v>0</v>
      </c>
      <c r="AY31" s="131">
        <f t="shared" si="42"/>
        <v>0</v>
      </c>
      <c r="AZ31" s="131">
        <f t="shared" si="43"/>
        <v>0</v>
      </c>
      <c r="BE31" s="116">
        <f t="shared" si="1"/>
        <v>0</v>
      </c>
    </row>
    <row r="32" spans="4:57">
      <c r="D32" s="114">
        <f t="shared" si="2"/>
        <v>41173</v>
      </c>
      <c r="E32" s="115">
        <f t="shared" si="44"/>
        <v>0.12916666666666665</v>
      </c>
      <c r="F32" s="116">
        <f t="shared" si="3"/>
        <v>2456191.6291666669</v>
      </c>
      <c r="G32" s="117">
        <f t="shared" si="4"/>
        <v>0.12721777321469907</v>
      </c>
      <c r="I32" s="112">
        <f t="shared" si="5"/>
        <v>180.40423669461779</v>
      </c>
      <c r="J32" s="112">
        <f t="shared" si="6"/>
        <v>4937.2481232502305</v>
      </c>
      <c r="K32" s="112">
        <f t="shared" si="7"/>
        <v>1.6703284095908731E-2</v>
      </c>
      <c r="L32" s="112">
        <f t="shared" si="8"/>
        <v>-1.8579508045036224</v>
      </c>
      <c r="M32" s="112">
        <f t="shared" si="9"/>
        <v>178.54628589011418</v>
      </c>
      <c r="N32" s="112">
        <f t="shared" si="10"/>
        <v>4935.3901724457264</v>
      </c>
      <c r="O32" s="112">
        <f t="shared" si="11"/>
        <v>1.0039518262145219</v>
      </c>
      <c r="P32" s="112">
        <f t="shared" si="12"/>
        <v>178.54469244174464</v>
      </c>
      <c r="Q32" s="112">
        <f t="shared" si="13"/>
        <v>23.437636748369734</v>
      </c>
      <c r="R32" s="112">
        <f t="shared" si="14"/>
        <v>23.43631761998245</v>
      </c>
      <c r="S32" s="112">
        <f t="shared" si="0"/>
        <v>178.66470595917693</v>
      </c>
      <c r="T32" s="112">
        <f t="shared" si="15"/>
        <v>0.57876641326051204</v>
      </c>
      <c r="U32" s="112">
        <f t="shared" si="16"/>
        <v>4.3023300803731512E-2</v>
      </c>
      <c r="V32" s="112">
        <f t="shared" si="17"/>
        <v>6.9236312131831728</v>
      </c>
      <c r="W32" s="112">
        <f t="shared" si="18"/>
        <v>91.509480737062646</v>
      </c>
      <c r="X32" s="115">
        <f t="shared" si="19"/>
        <v>0.51463636721306727</v>
      </c>
      <c r="Y32" s="115">
        <f t="shared" si="20"/>
        <v>0.26044336516567101</v>
      </c>
      <c r="Z32" s="115">
        <f t="shared" si="21"/>
        <v>0.76882936926046352</v>
      </c>
      <c r="AA32" s="118">
        <f t="shared" si="22"/>
        <v>732.07584589650116</v>
      </c>
      <c r="AB32" s="112">
        <f t="shared" si="23"/>
        <v>164.92363121318314</v>
      </c>
      <c r="AC32" s="112">
        <f t="shared" si="24"/>
        <v>-138.76909219670421</v>
      </c>
      <c r="AD32" s="112">
        <f t="shared" si="25"/>
        <v>125.90066747034767</v>
      </c>
      <c r="AE32" s="112">
        <f t="shared" si="26"/>
        <v>-35.90066747034767</v>
      </c>
      <c r="AF32" s="112">
        <f t="shared" si="27"/>
        <v>7.9707468812212807E-3</v>
      </c>
      <c r="AG32" s="112">
        <f t="shared" si="28"/>
        <v>-35.89269672346645</v>
      </c>
      <c r="AH32" s="112">
        <f t="shared" si="29"/>
        <v>54.451272273630934</v>
      </c>
      <c r="AJ32" s="119">
        <f t="shared" si="30"/>
        <v>0.12916666666666665</v>
      </c>
      <c r="AK32" s="112">
        <f t="shared" si="31"/>
        <v>0</v>
      </c>
      <c r="AL32" s="112">
        <f t="shared" si="32"/>
        <v>0</v>
      </c>
      <c r="AM32" s="116">
        <f t="shared" si="33"/>
        <v>0</v>
      </c>
      <c r="AN32" s="116">
        <f t="shared" si="45"/>
        <v>0</v>
      </c>
      <c r="AO32" s="116">
        <f t="shared" si="46"/>
        <v>0</v>
      </c>
      <c r="AQ32" s="131">
        <f t="shared" si="34"/>
        <v>0</v>
      </c>
      <c r="AR32" s="131">
        <f t="shared" si="35"/>
        <v>0</v>
      </c>
      <c r="AS32" s="131">
        <f t="shared" si="36"/>
        <v>0</v>
      </c>
      <c r="AT32" s="131">
        <f t="shared" si="37"/>
        <v>0</v>
      </c>
      <c r="AU32" s="131">
        <f t="shared" si="38"/>
        <v>0</v>
      </c>
      <c r="AV32" s="131">
        <f t="shared" si="39"/>
        <v>0</v>
      </c>
      <c r="AW32" s="131">
        <f t="shared" si="40"/>
        <v>0</v>
      </c>
      <c r="AX32" s="131">
        <f t="shared" si="41"/>
        <v>0</v>
      </c>
      <c r="AY32" s="131">
        <f t="shared" si="42"/>
        <v>0</v>
      </c>
      <c r="AZ32" s="131">
        <f t="shared" si="43"/>
        <v>0</v>
      </c>
      <c r="BE32" s="116">
        <f t="shared" si="1"/>
        <v>0</v>
      </c>
    </row>
    <row r="33" spans="4:57">
      <c r="D33" s="114">
        <f t="shared" si="2"/>
        <v>41173</v>
      </c>
      <c r="E33" s="115">
        <f t="shared" si="44"/>
        <v>0.13333333333333333</v>
      </c>
      <c r="F33" s="116">
        <f t="shared" si="3"/>
        <v>2456191.6333333333</v>
      </c>
      <c r="G33" s="117">
        <f t="shared" si="4"/>
        <v>0.12721788729180841</v>
      </c>
      <c r="I33" s="112">
        <f t="shared" si="5"/>
        <v>180.40834355838342</v>
      </c>
      <c r="J33" s="112">
        <f t="shared" si="6"/>
        <v>4937.2522299178227</v>
      </c>
      <c r="K33" s="112">
        <f t="shared" si="7"/>
        <v>1.6703284091109594E-2</v>
      </c>
      <c r="L33" s="112">
        <f t="shared" si="8"/>
        <v>-1.8579836265934035</v>
      </c>
      <c r="M33" s="112">
        <f t="shared" si="9"/>
        <v>178.55035993179001</v>
      </c>
      <c r="N33" s="112">
        <f t="shared" si="10"/>
        <v>4935.3942462912291</v>
      </c>
      <c r="O33" s="112">
        <f t="shared" si="11"/>
        <v>1.0039506675448295</v>
      </c>
      <c r="P33" s="112">
        <f t="shared" si="12"/>
        <v>178.54876647393542</v>
      </c>
      <c r="Q33" s="112">
        <f t="shared" si="13"/>
        <v>23.437636746886252</v>
      </c>
      <c r="R33" s="112">
        <f t="shared" si="14"/>
        <v>23.43631761005021</v>
      </c>
      <c r="S33" s="112">
        <f t="shared" si="0"/>
        <v>178.66844427499981</v>
      </c>
      <c r="T33" s="112">
        <f t="shared" si="15"/>
        <v>0.57714648886602682</v>
      </c>
      <c r="U33" s="112">
        <f t="shared" si="16"/>
        <v>4.3023300766228123E-2</v>
      </c>
      <c r="V33" s="112">
        <f t="shared" si="17"/>
        <v>6.9251061420094526</v>
      </c>
      <c r="W33" s="112">
        <f t="shared" si="18"/>
        <v>91.508214244003781</v>
      </c>
      <c r="X33" s="115">
        <f t="shared" si="19"/>
        <v>0.51463534295693791</v>
      </c>
      <c r="Y33" s="115">
        <f t="shared" si="20"/>
        <v>0.26044585894581629</v>
      </c>
      <c r="Z33" s="115">
        <f t="shared" si="21"/>
        <v>0.76882482696805954</v>
      </c>
      <c r="AA33" s="118">
        <f t="shared" si="22"/>
        <v>732.06571395203025</v>
      </c>
      <c r="AB33" s="112">
        <f t="shared" si="23"/>
        <v>170.92510614200944</v>
      </c>
      <c r="AC33" s="112">
        <f t="shared" si="24"/>
        <v>-137.26872346449764</v>
      </c>
      <c r="AD33" s="112">
        <f t="shared" si="25"/>
        <v>124.93158583182219</v>
      </c>
      <c r="AE33" s="112">
        <f t="shared" si="26"/>
        <v>-34.93158583182219</v>
      </c>
      <c r="AF33" s="112">
        <f t="shared" si="27"/>
        <v>8.2613917082173926E-3</v>
      </c>
      <c r="AG33" s="112">
        <f t="shared" si="28"/>
        <v>-34.923324440113973</v>
      </c>
      <c r="AH33" s="112">
        <f t="shared" si="29"/>
        <v>55.856689211195942</v>
      </c>
      <c r="AJ33" s="119">
        <f t="shared" si="30"/>
        <v>0.13333333333333333</v>
      </c>
      <c r="AK33" s="112">
        <f t="shared" si="31"/>
        <v>0</v>
      </c>
      <c r="AL33" s="112">
        <f t="shared" si="32"/>
        <v>0</v>
      </c>
      <c r="AM33" s="116">
        <f t="shared" si="33"/>
        <v>0</v>
      </c>
      <c r="AN33" s="116">
        <f t="shared" si="45"/>
        <v>0</v>
      </c>
      <c r="AO33" s="116">
        <f t="shared" si="46"/>
        <v>0</v>
      </c>
      <c r="AQ33" s="131">
        <f t="shared" si="34"/>
        <v>0</v>
      </c>
      <c r="AR33" s="131">
        <f t="shared" si="35"/>
        <v>0</v>
      </c>
      <c r="AS33" s="131">
        <f t="shared" si="36"/>
        <v>0</v>
      </c>
      <c r="AT33" s="131">
        <f t="shared" si="37"/>
        <v>0</v>
      </c>
      <c r="AU33" s="131">
        <f t="shared" si="38"/>
        <v>0</v>
      </c>
      <c r="AV33" s="131">
        <f t="shared" si="39"/>
        <v>0</v>
      </c>
      <c r="AW33" s="131">
        <f t="shared" si="40"/>
        <v>0</v>
      </c>
      <c r="AX33" s="131">
        <f t="shared" si="41"/>
        <v>0</v>
      </c>
      <c r="AY33" s="131">
        <f t="shared" si="42"/>
        <v>0</v>
      </c>
      <c r="AZ33" s="131">
        <f t="shared" si="43"/>
        <v>0</v>
      </c>
      <c r="BE33" s="116">
        <f t="shared" si="1"/>
        <v>0</v>
      </c>
    </row>
    <row r="34" spans="4:57">
      <c r="D34" s="114">
        <f t="shared" si="2"/>
        <v>41173</v>
      </c>
      <c r="E34" s="115">
        <f t="shared" si="44"/>
        <v>0.13750000000000001</v>
      </c>
      <c r="F34" s="116">
        <f t="shared" si="3"/>
        <v>2456191.6375000002</v>
      </c>
      <c r="G34" s="117">
        <f t="shared" si="4"/>
        <v>0.12721800136893049</v>
      </c>
      <c r="I34" s="112">
        <f t="shared" si="5"/>
        <v>180.41245042260744</v>
      </c>
      <c r="J34" s="112">
        <f t="shared" si="6"/>
        <v>4937.2563365858723</v>
      </c>
      <c r="K34" s="112">
        <f t="shared" si="7"/>
        <v>1.6703284086310458E-2</v>
      </c>
      <c r="L34" s="112">
        <f t="shared" si="8"/>
        <v>-1.8580164392836998</v>
      </c>
      <c r="M34" s="112">
        <f t="shared" si="9"/>
        <v>178.55443398332375</v>
      </c>
      <c r="N34" s="112">
        <f t="shared" si="10"/>
        <v>4935.398320146589</v>
      </c>
      <c r="O34" s="112">
        <f t="shared" si="11"/>
        <v>1.0039495088535402</v>
      </c>
      <c r="P34" s="112">
        <f t="shared" si="12"/>
        <v>178.55284051598406</v>
      </c>
      <c r="Q34" s="112">
        <f t="shared" si="13"/>
        <v>23.437636745402774</v>
      </c>
      <c r="R34" s="112">
        <f t="shared" si="14"/>
        <v>23.436317600117995</v>
      </c>
      <c r="S34" s="112">
        <f t="shared" si="0"/>
        <v>178.67218259773941</v>
      </c>
      <c r="T34" s="112">
        <f t="shared" si="15"/>
        <v>0.57552655809636522</v>
      </c>
      <c r="U34" s="112">
        <f t="shared" si="16"/>
        <v>4.3023300728724824E-2</v>
      </c>
      <c r="V34" s="112">
        <f t="shared" si="17"/>
        <v>6.9265810474980736</v>
      </c>
      <c r="W34" s="112">
        <f t="shared" si="18"/>
        <v>91.50694774826448</v>
      </c>
      <c r="X34" s="115">
        <f t="shared" si="19"/>
        <v>0.51463431871701526</v>
      </c>
      <c r="Y34" s="115">
        <f t="shared" si="20"/>
        <v>0.26044835274961392</v>
      </c>
      <c r="Z34" s="115">
        <f t="shared" si="21"/>
        <v>0.76882028468441654</v>
      </c>
      <c r="AA34" s="118">
        <f t="shared" si="22"/>
        <v>732.05558198611584</v>
      </c>
      <c r="AB34" s="112">
        <f t="shared" si="23"/>
        <v>176.9265810474981</v>
      </c>
      <c r="AC34" s="112">
        <f t="shared" si="24"/>
        <v>-135.76835473812548</v>
      </c>
      <c r="AD34" s="112">
        <f t="shared" si="25"/>
        <v>123.94640416179706</v>
      </c>
      <c r="AE34" s="112">
        <f t="shared" si="26"/>
        <v>-33.946404161797062</v>
      </c>
      <c r="AF34" s="112">
        <f t="shared" si="27"/>
        <v>8.5716615652825373E-3</v>
      </c>
      <c r="AG34" s="112">
        <f t="shared" si="28"/>
        <v>-33.937832500231778</v>
      </c>
      <c r="AH34" s="112">
        <f t="shared" si="29"/>
        <v>57.228709811072974</v>
      </c>
      <c r="AJ34" s="119">
        <f t="shared" si="30"/>
        <v>0.13750000000000001</v>
      </c>
      <c r="AK34" s="112">
        <f t="shared" si="31"/>
        <v>0</v>
      </c>
      <c r="AL34" s="112">
        <f t="shared" si="32"/>
        <v>0</v>
      </c>
      <c r="AM34" s="116">
        <f t="shared" si="33"/>
        <v>0</v>
      </c>
      <c r="AN34" s="116">
        <f t="shared" si="45"/>
        <v>0</v>
      </c>
      <c r="AO34" s="116">
        <f t="shared" si="46"/>
        <v>0</v>
      </c>
      <c r="AQ34" s="131">
        <f t="shared" si="34"/>
        <v>0</v>
      </c>
      <c r="AR34" s="131">
        <f t="shared" si="35"/>
        <v>0</v>
      </c>
      <c r="AS34" s="131">
        <f t="shared" si="36"/>
        <v>0</v>
      </c>
      <c r="AT34" s="131">
        <f t="shared" si="37"/>
        <v>0</v>
      </c>
      <c r="AU34" s="131">
        <f t="shared" si="38"/>
        <v>0</v>
      </c>
      <c r="AV34" s="131">
        <f t="shared" si="39"/>
        <v>0</v>
      </c>
      <c r="AW34" s="131">
        <f t="shared" si="40"/>
        <v>0</v>
      </c>
      <c r="AX34" s="131">
        <f t="shared" si="41"/>
        <v>0</v>
      </c>
      <c r="AY34" s="131">
        <f t="shared" si="42"/>
        <v>0</v>
      </c>
      <c r="AZ34" s="131">
        <f t="shared" si="43"/>
        <v>0</v>
      </c>
      <c r="BE34" s="116">
        <f t="shared" si="1"/>
        <v>0</v>
      </c>
    </row>
    <row r="35" spans="4:57">
      <c r="D35" s="114">
        <f t="shared" si="2"/>
        <v>41173</v>
      </c>
      <c r="E35" s="115">
        <f t="shared" si="44"/>
        <v>0.14166666666666669</v>
      </c>
      <c r="F35" s="116">
        <f t="shared" si="3"/>
        <v>2456191.6416666666</v>
      </c>
      <c r="G35" s="117">
        <f t="shared" si="4"/>
        <v>0.12721811544603984</v>
      </c>
      <c r="I35" s="112">
        <f t="shared" si="5"/>
        <v>180.41655728637306</v>
      </c>
      <c r="J35" s="112">
        <f t="shared" si="6"/>
        <v>4937.2604432534645</v>
      </c>
      <c r="K35" s="112">
        <f t="shared" si="7"/>
        <v>1.6703284081511321E-2</v>
      </c>
      <c r="L35" s="112">
        <f t="shared" si="8"/>
        <v>-1.8580492425669908</v>
      </c>
      <c r="M35" s="112">
        <f t="shared" si="9"/>
        <v>178.55850804380609</v>
      </c>
      <c r="N35" s="112">
        <f t="shared" si="10"/>
        <v>4935.4023940108973</v>
      </c>
      <c r="O35" s="112">
        <f t="shared" si="11"/>
        <v>1.0039483501409185</v>
      </c>
      <c r="P35" s="112">
        <f t="shared" si="12"/>
        <v>178.55691456698122</v>
      </c>
      <c r="Q35" s="112">
        <f t="shared" si="13"/>
        <v>23.437636743919292</v>
      </c>
      <c r="R35" s="112">
        <f t="shared" si="14"/>
        <v>23.436317590185794</v>
      </c>
      <c r="S35" s="112">
        <f t="shared" si="0"/>
        <v>178.67592092656724</v>
      </c>
      <c r="T35" s="112">
        <f t="shared" si="15"/>
        <v>0.57390662131997883</v>
      </c>
      <c r="U35" s="112">
        <f t="shared" si="16"/>
        <v>4.3023300691221594E-2</v>
      </c>
      <c r="V35" s="112">
        <f t="shared" si="17"/>
        <v>6.9280559292955974</v>
      </c>
      <c r="W35" s="112">
        <f t="shared" si="18"/>
        <v>91.505681250130181</v>
      </c>
      <c r="X35" s="115">
        <f t="shared" si="19"/>
        <v>0.51463329449354467</v>
      </c>
      <c r="Y35" s="115">
        <f t="shared" si="20"/>
        <v>0.2604508465765164</v>
      </c>
      <c r="Z35" s="115">
        <f t="shared" si="21"/>
        <v>0.76881574241057293</v>
      </c>
      <c r="AA35" s="118">
        <f t="shared" si="22"/>
        <v>732.04545000104144</v>
      </c>
      <c r="AB35" s="112">
        <f t="shared" si="23"/>
        <v>182.92805592929562</v>
      </c>
      <c r="AC35" s="112">
        <f t="shared" si="24"/>
        <v>-134.26798601767609</v>
      </c>
      <c r="AD35" s="112">
        <f t="shared" si="25"/>
        <v>122.94606039522115</v>
      </c>
      <c r="AE35" s="112">
        <f t="shared" si="26"/>
        <v>-32.946060395221153</v>
      </c>
      <c r="AF35" s="112">
        <f t="shared" si="27"/>
        <v>8.9033597537159833E-3</v>
      </c>
      <c r="AG35" s="112">
        <f t="shared" si="28"/>
        <v>-32.937157035467436</v>
      </c>
      <c r="AH35" s="112">
        <f t="shared" si="29"/>
        <v>58.568782989679619</v>
      </c>
      <c r="AJ35" s="119">
        <f t="shared" si="30"/>
        <v>0.14166666666666669</v>
      </c>
      <c r="AK35" s="112">
        <f t="shared" si="31"/>
        <v>0</v>
      </c>
      <c r="AL35" s="112">
        <f t="shared" si="32"/>
        <v>0</v>
      </c>
      <c r="AM35" s="116">
        <f t="shared" si="33"/>
        <v>0</v>
      </c>
      <c r="AN35" s="116">
        <f t="shared" si="45"/>
        <v>0</v>
      </c>
      <c r="AO35" s="116">
        <f t="shared" si="46"/>
        <v>0</v>
      </c>
      <c r="AQ35" s="131">
        <f t="shared" si="34"/>
        <v>0</v>
      </c>
      <c r="AR35" s="131">
        <f t="shared" si="35"/>
        <v>0</v>
      </c>
      <c r="AS35" s="131">
        <f t="shared" si="36"/>
        <v>0</v>
      </c>
      <c r="AT35" s="131">
        <f t="shared" si="37"/>
        <v>0</v>
      </c>
      <c r="AU35" s="131">
        <f t="shared" si="38"/>
        <v>0</v>
      </c>
      <c r="AV35" s="131">
        <f t="shared" si="39"/>
        <v>0</v>
      </c>
      <c r="AW35" s="131">
        <f t="shared" si="40"/>
        <v>0</v>
      </c>
      <c r="AX35" s="131">
        <f t="shared" si="41"/>
        <v>0</v>
      </c>
      <c r="AY35" s="131">
        <f t="shared" si="42"/>
        <v>0</v>
      </c>
      <c r="AZ35" s="131">
        <f t="shared" si="43"/>
        <v>0</v>
      </c>
      <c r="BE35" s="116">
        <f t="shared" si="1"/>
        <v>0</v>
      </c>
    </row>
    <row r="36" spans="4:57">
      <c r="D36" s="114">
        <f t="shared" si="2"/>
        <v>41173</v>
      </c>
      <c r="E36" s="115">
        <f t="shared" si="44"/>
        <v>0.14583333333333337</v>
      </c>
      <c r="F36" s="116">
        <f t="shared" si="3"/>
        <v>2456191.6458333335</v>
      </c>
      <c r="G36" s="117">
        <f t="shared" si="4"/>
        <v>0.12721822952316189</v>
      </c>
      <c r="I36" s="112">
        <f t="shared" si="5"/>
        <v>180.42066415059435</v>
      </c>
      <c r="J36" s="112">
        <f t="shared" si="6"/>
        <v>4937.2645499215132</v>
      </c>
      <c r="K36" s="112">
        <f t="shared" si="7"/>
        <v>1.6703284076712181E-2</v>
      </c>
      <c r="L36" s="112">
        <f t="shared" si="8"/>
        <v>-1.8580820364503745</v>
      </c>
      <c r="M36" s="112">
        <f t="shared" si="9"/>
        <v>178.56258211414396</v>
      </c>
      <c r="N36" s="112">
        <f t="shared" si="10"/>
        <v>4935.4064678850627</v>
      </c>
      <c r="O36" s="112">
        <f t="shared" si="11"/>
        <v>1.0039471914067117</v>
      </c>
      <c r="P36" s="112">
        <f t="shared" si="12"/>
        <v>178.56098862783389</v>
      </c>
      <c r="Q36" s="112">
        <f t="shared" si="13"/>
        <v>23.437636742435814</v>
      </c>
      <c r="R36" s="112">
        <f t="shared" si="14"/>
        <v>23.436317580253615</v>
      </c>
      <c r="S36" s="112">
        <f t="shared" si="0"/>
        <v>178.67965926232151</v>
      </c>
      <c r="T36" s="112">
        <f t="shared" si="15"/>
        <v>0.57228667818311751</v>
      </c>
      <c r="U36" s="112">
        <f t="shared" si="16"/>
        <v>4.3023300653718434E-2</v>
      </c>
      <c r="V36" s="112">
        <f t="shared" si="17"/>
        <v>6.9295307877060601</v>
      </c>
      <c r="W36" s="112">
        <f t="shared" si="18"/>
        <v>91.504414749321711</v>
      </c>
      <c r="X36" s="115">
        <f t="shared" si="19"/>
        <v>0.5146322702863152</v>
      </c>
      <c r="Y36" s="115">
        <f t="shared" si="20"/>
        <v>0.26045334042708823</v>
      </c>
      <c r="Z36" s="115">
        <f t="shared" si="21"/>
        <v>0.76881120014554216</v>
      </c>
      <c r="AA36" s="118">
        <f t="shared" si="22"/>
        <v>732.03531799457369</v>
      </c>
      <c r="AB36" s="112">
        <f t="shared" si="23"/>
        <v>188.92953078770611</v>
      </c>
      <c r="AC36" s="112">
        <f t="shared" si="24"/>
        <v>-132.76761730307348</v>
      </c>
      <c r="AD36" s="112">
        <f t="shared" si="25"/>
        <v>121.93144548923685</v>
      </c>
      <c r="AE36" s="112">
        <f t="shared" si="26"/>
        <v>-31.93144548923685</v>
      </c>
      <c r="AF36" s="112">
        <f t="shared" si="27"/>
        <v>9.258562386754543E-3</v>
      </c>
      <c r="AG36" s="112">
        <f t="shared" si="28"/>
        <v>-31.922186926850095</v>
      </c>
      <c r="AH36" s="112">
        <f t="shared" si="29"/>
        <v>59.87834717658211</v>
      </c>
      <c r="AJ36" s="119">
        <f t="shared" si="30"/>
        <v>0.14583333333333337</v>
      </c>
      <c r="AK36" s="112">
        <f t="shared" si="31"/>
        <v>0</v>
      </c>
      <c r="AL36" s="112">
        <f t="shared" si="32"/>
        <v>0</v>
      </c>
      <c r="AM36" s="116">
        <f t="shared" si="33"/>
        <v>0</v>
      </c>
      <c r="AN36" s="116">
        <f t="shared" si="45"/>
        <v>0</v>
      </c>
      <c r="AO36" s="116">
        <f t="shared" si="46"/>
        <v>0</v>
      </c>
      <c r="AQ36" s="131">
        <f t="shared" si="34"/>
        <v>0</v>
      </c>
      <c r="AR36" s="131">
        <f t="shared" si="35"/>
        <v>0</v>
      </c>
      <c r="AS36" s="131">
        <f t="shared" si="36"/>
        <v>0</v>
      </c>
      <c r="AT36" s="131">
        <f t="shared" si="37"/>
        <v>0</v>
      </c>
      <c r="AU36" s="131">
        <f t="shared" si="38"/>
        <v>0</v>
      </c>
      <c r="AV36" s="131">
        <f t="shared" si="39"/>
        <v>0</v>
      </c>
      <c r="AW36" s="131">
        <f t="shared" si="40"/>
        <v>0</v>
      </c>
      <c r="AX36" s="131">
        <f t="shared" si="41"/>
        <v>0</v>
      </c>
      <c r="AY36" s="131">
        <f t="shared" si="42"/>
        <v>0</v>
      </c>
      <c r="AZ36" s="131">
        <f t="shared" si="43"/>
        <v>0</v>
      </c>
      <c r="BE36" s="116">
        <f t="shared" si="1"/>
        <v>0</v>
      </c>
    </row>
    <row r="37" spans="4:57">
      <c r="D37" s="114">
        <f t="shared" si="2"/>
        <v>41173</v>
      </c>
      <c r="E37" s="115">
        <f t="shared" si="44"/>
        <v>0.15000000000000005</v>
      </c>
      <c r="F37" s="116">
        <f t="shared" si="3"/>
        <v>2456191.65</v>
      </c>
      <c r="G37" s="117">
        <f t="shared" si="4"/>
        <v>0.12721834360027123</v>
      </c>
      <c r="I37" s="112">
        <f t="shared" si="5"/>
        <v>180.42477101435998</v>
      </c>
      <c r="J37" s="112">
        <f t="shared" si="6"/>
        <v>4937.2686565891054</v>
      </c>
      <c r="K37" s="112">
        <f t="shared" si="7"/>
        <v>1.6703284071913044E-2</v>
      </c>
      <c r="L37" s="112">
        <f t="shared" si="8"/>
        <v>-1.8581148209263487</v>
      </c>
      <c r="M37" s="112">
        <f t="shared" si="9"/>
        <v>178.56665619343363</v>
      </c>
      <c r="N37" s="112">
        <f t="shared" si="10"/>
        <v>4935.4105417681794</v>
      </c>
      <c r="O37" s="112">
        <f t="shared" si="11"/>
        <v>1.0039460326511835</v>
      </c>
      <c r="P37" s="112">
        <f t="shared" si="12"/>
        <v>178.56506269763827</v>
      </c>
      <c r="Q37" s="112">
        <f t="shared" si="13"/>
        <v>23.437636740952332</v>
      </c>
      <c r="R37" s="112">
        <f t="shared" si="14"/>
        <v>23.436317570321453</v>
      </c>
      <c r="S37" s="112">
        <f t="shared" si="0"/>
        <v>178.68339760417888</v>
      </c>
      <c r="T37" s="112">
        <f t="shared" si="15"/>
        <v>0.57066672905202886</v>
      </c>
      <c r="U37" s="112">
        <f t="shared" si="16"/>
        <v>4.3023300616215343E-2</v>
      </c>
      <c r="V37" s="112">
        <f t="shared" si="17"/>
        <v>6.931005622377886</v>
      </c>
      <c r="W37" s="112">
        <f t="shared" si="18"/>
        <v>91.503148246122791</v>
      </c>
      <c r="X37" s="115">
        <f t="shared" si="19"/>
        <v>0.51463124609557087</v>
      </c>
      <c r="Y37" s="115">
        <f t="shared" si="20"/>
        <v>0.26045583430078534</v>
      </c>
      <c r="Z37" s="115">
        <f t="shared" si="21"/>
        <v>0.7688066578903564</v>
      </c>
      <c r="AA37" s="118">
        <f t="shared" si="22"/>
        <v>732.02518596898233</v>
      </c>
      <c r="AB37" s="112">
        <f t="shared" si="23"/>
        <v>194.93100562237797</v>
      </c>
      <c r="AC37" s="112">
        <f t="shared" si="24"/>
        <v>-131.26724859440552</v>
      </c>
      <c r="AD37" s="112">
        <f t="shared" si="25"/>
        <v>120.90340538759084</v>
      </c>
      <c r="AE37" s="112">
        <f t="shared" si="26"/>
        <v>-30.903405387590837</v>
      </c>
      <c r="AF37" s="112">
        <f t="shared" si="27"/>
        <v>9.6396672236222572E-3</v>
      </c>
      <c r="AG37" s="112">
        <f t="shared" si="28"/>
        <v>-30.893765720367213</v>
      </c>
      <c r="AH37" s="112">
        <f t="shared" si="29"/>
        <v>61.158823658788663</v>
      </c>
      <c r="AJ37" s="119">
        <f t="shared" si="30"/>
        <v>0.15000000000000005</v>
      </c>
      <c r="AK37" s="112">
        <f t="shared" si="31"/>
        <v>0</v>
      </c>
      <c r="AL37" s="112">
        <f t="shared" si="32"/>
        <v>0</v>
      </c>
      <c r="AM37" s="116">
        <f t="shared" si="33"/>
        <v>0</v>
      </c>
      <c r="AN37" s="116">
        <f t="shared" si="45"/>
        <v>0</v>
      </c>
      <c r="AO37" s="116">
        <f t="shared" si="46"/>
        <v>0</v>
      </c>
      <c r="AQ37" s="131">
        <f t="shared" si="34"/>
        <v>0</v>
      </c>
      <c r="AR37" s="131">
        <f t="shared" si="35"/>
        <v>0</v>
      </c>
      <c r="AS37" s="131">
        <f t="shared" si="36"/>
        <v>0</v>
      </c>
      <c r="AT37" s="131">
        <f t="shared" si="37"/>
        <v>0</v>
      </c>
      <c r="AU37" s="131">
        <f t="shared" si="38"/>
        <v>0</v>
      </c>
      <c r="AV37" s="131">
        <f t="shared" si="39"/>
        <v>0</v>
      </c>
      <c r="AW37" s="131">
        <f t="shared" si="40"/>
        <v>0</v>
      </c>
      <c r="AX37" s="131">
        <f t="shared" si="41"/>
        <v>0</v>
      </c>
      <c r="AY37" s="131">
        <f t="shared" si="42"/>
        <v>0</v>
      </c>
      <c r="AZ37" s="131">
        <f t="shared" si="43"/>
        <v>0</v>
      </c>
      <c r="BE37" s="116">
        <f t="shared" si="1"/>
        <v>0</v>
      </c>
    </row>
    <row r="38" spans="4:57">
      <c r="D38" s="114">
        <f t="shared" si="2"/>
        <v>41173</v>
      </c>
      <c r="E38" s="115">
        <f t="shared" si="44"/>
        <v>0.15416666666666673</v>
      </c>
      <c r="F38" s="116">
        <f t="shared" si="3"/>
        <v>2456191.6541666668</v>
      </c>
      <c r="G38" s="117">
        <f t="shared" si="4"/>
        <v>0.12721845767739332</v>
      </c>
      <c r="I38" s="112">
        <f t="shared" si="5"/>
        <v>180.42887787858399</v>
      </c>
      <c r="J38" s="112">
        <f t="shared" si="6"/>
        <v>4937.2727632571559</v>
      </c>
      <c r="K38" s="112">
        <f t="shared" si="7"/>
        <v>1.6703284067113907E-2</v>
      </c>
      <c r="L38" s="112">
        <f t="shared" si="8"/>
        <v>-1.8581475960020124</v>
      </c>
      <c r="M38" s="112">
        <f t="shared" si="9"/>
        <v>178.57073028258199</v>
      </c>
      <c r="N38" s="112">
        <f t="shared" si="10"/>
        <v>4935.4146156611541</v>
      </c>
      <c r="O38" s="112">
        <f t="shared" si="11"/>
        <v>1.0039448738740817</v>
      </c>
      <c r="P38" s="112">
        <f t="shared" si="12"/>
        <v>178.56913677730128</v>
      </c>
      <c r="Q38" s="112">
        <f t="shared" si="13"/>
        <v>23.437636739468854</v>
      </c>
      <c r="R38" s="112">
        <f t="shared" si="14"/>
        <v>23.436317560389313</v>
      </c>
      <c r="S38" s="112">
        <f t="shared" si="0"/>
        <v>178.68713595297751</v>
      </c>
      <c r="T38" s="112">
        <f t="shared" si="15"/>
        <v>0.56904677357297195</v>
      </c>
      <c r="U38" s="112">
        <f t="shared" si="16"/>
        <v>4.3023300578712349E-2</v>
      </c>
      <c r="V38" s="112">
        <f t="shared" si="17"/>
        <v>6.9324804336151171</v>
      </c>
      <c r="W38" s="112">
        <f t="shared" si="18"/>
        <v>91.501881740254206</v>
      </c>
      <c r="X38" s="115">
        <f t="shared" si="19"/>
        <v>0.51463022192110064</v>
      </c>
      <c r="Y38" s="115">
        <f t="shared" si="20"/>
        <v>0.26045832819817227</v>
      </c>
      <c r="Z38" s="115">
        <f t="shared" si="21"/>
        <v>0.768802115644029</v>
      </c>
      <c r="AA38" s="118">
        <f t="shared" si="22"/>
        <v>732.01505392203364</v>
      </c>
      <c r="AB38" s="112">
        <f t="shared" si="23"/>
        <v>200.93248043361521</v>
      </c>
      <c r="AC38" s="112">
        <f t="shared" si="24"/>
        <v>-129.7668798915962</v>
      </c>
      <c r="AD38" s="112">
        <f t="shared" si="25"/>
        <v>119.86274308871687</v>
      </c>
      <c r="AE38" s="112">
        <f t="shared" si="26"/>
        <v>-29.862743088716869</v>
      </c>
      <c r="AF38" s="112">
        <f t="shared" si="27"/>
        <v>1.0049453738358841E-2</v>
      </c>
      <c r="AG38" s="112">
        <f t="shared" si="28"/>
        <v>-29.852693634978511</v>
      </c>
      <c r="AH38" s="112">
        <f t="shared" si="29"/>
        <v>62.411611285020911</v>
      </c>
      <c r="AJ38" s="119">
        <f t="shared" si="30"/>
        <v>0.15416666666666673</v>
      </c>
      <c r="AK38" s="112">
        <f t="shared" si="31"/>
        <v>0</v>
      </c>
      <c r="AL38" s="112">
        <f t="shared" si="32"/>
        <v>0</v>
      </c>
      <c r="AM38" s="116">
        <f t="shared" si="33"/>
        <v>0</v>
      </c>
      <c r="AN38" s="116">
        <f t="shared" si="45"/>
        <v>0</v>
      </c>
      <c r="AO38" s="116">
        <f t="shared" si="46"/>
        <v>0</v>
      </c>
      <c r="AQ38" s="131">
        <f t="shared" si="34"/>
        <v>0</v>
      </c>
      <c r="AR38" s="131">
        <f t="shared" si="35"/>
        <v>0</v>
      </c>
      <c r="AS38" s="131">
        <f t="shared" si="36"/>
        <v>0</v>
      </c>
      <c r="AT38" s="131">
        <f t="shared" si="37"/>
        <v>0</v>
      </c>
      <c r="AU38" s="131">
        <f t="shared" si="38"/>
        <v>0</v>
      </c>
      <c r="AV38" s="131">
        <f t="shared" si="39"/>
        <v>0</v>
      </c>
      <c r="AW38" s="131">
        <f t="shared" si="40"/>
        <v>0</v>
      </c>
      <c r="AX38" s="131">
        <f t="shared" si="41"/>
        <v>0</v>
      </c>
      <c r="AY38" s="131">
        <f t="shared" si="42"/>
        <v>0</v>
      </c>
      <c r="AZ38" s="131">
        <f t="shared" si="43"/>
        <v>0</v>
      </c>
      <c r="BE38" s="116">
        <f t="shared" si="1"/>
        <v>0</v>
      </c>
    </row>
    <row r="39" spans="4:57">
      <c r="D39" s="114">
        <f t="shared" si="2"/>
        <v>41173</v>
      </c>
      <c r="E39" s="115">
        <f t="shared" si="44"/>
        <v>0.15833333333333341</v>
      </c>
      <c r="F39" s="116">
        <f t="shared" si="3"/>
        <v>2456191.6583333332</v>
      </c>
      <c r="G39" s="117">
        <f t="shared" si="4"/>
        <v>0.12721857175450266</v>
      </c>
      <c r="I39" s="112">
        <f t="shared" si="5"/>
        <v>180.43298474234962</v>
      </c>
      <c r="J39" s="112">
        <f t="shared" si="6"/>
        <v>4937.2768699247472</v>
      </c>
      <c r="K39" s="112">
        <f t="shared" si="7"/>
        <v>1.670328406231477E-2</v>
      </c>
      <c r="L39" s="112">
        <f t="shared" si="8"/>
        <v>-1.8581803616698362</v>
      </c>
      <c r="M39" s="112">
        <f t="shared" si="9"/>
        <v>178.57480438067978</v>
      </c>
      <c r="N39" s="112">
        <f t="shared" si="10"/>
        <v>4935.4186895630774</v>
      </c>
      <c r="O39" s="112">
        <f t="shared" si="11"/>
        <v>1.0039437150756709</v>
      </c>
      <c r="P39" s="112">
        <f t="shared" si="12"/>
        <v>178.57321086591367</v>
      </c>
      <c r="Q39" s="112">
        <f t="shared" si="13"/>
        <v>23.437636737985375</v>
      </c>
      <c r="R39" s="112">
        <f t="shared" si="14"/>
        <v>23.436317550457193</v>
      </c>
      <c r="S39" s="112">
        <f t="shared" si="0"/>
        <v>178.690874307889</v>
      </c>
      <c r="T39" s="112">
        <f t="shared" si="15"/>
        <v>0.56742681211438051</v>
      </c>
      <c r="U39" s="112">
        <f t="shared" si="16"/>
        <v>4.3023300541209418E-2</v>
      </c>
      <c r="V39" s="112">
        <f t="shared" si="17"/>
        <v>6.9339552210642719</v>
      </c>
      <c r="W39" s="112">
        <f t="shared" si="18"/>
        <v>91.500615232001394</v>
      </c>
      <c r="X39" s="115">
        <f t="shared" si="19"/>
        <v>0.51462919776314986</v>
      </c>
      <c r="Y39" s="115">
        <f t="shared" si="20"/>
        <v>0.26046082211870153</v>
      </c>
      <c r="Z39" s="115">
        <f t="shared" si="21"/>
        <v>0.76879757340759824</v>
      </c>
      <c r="AA39" s="118">
        <f t="shared" si="22"/>
        <v>732.00492185601115</v>
      </c>
      <c r="AB39" s="112">
        <f t="shared" si="23"/>
        <v>206.93395522106439</v>
      </c>
      <c r="AC39" s="112">
        <f t="shared" si="24"/>
        <v>-128.26651119473391</v>
      </c>
      <c r="AD39" s="112">
        <f t="shared" si="25"/>
        <v>118.81022077199066</v>
      </c>
      <c r="AE39" s="112">
        <f t="shared" si="26"/>
        <v>-28.810220771990657</v>
      </c>
      <c r="AF39" s="112">
        <f t="shared" si="27"/>
        <v>1.0491157544946417E-2</v>
      </c>
      <c r="AG39" s="112">
        <f t="shared" si="28"/>
        <v>-28.79972961444571</v>
      </c>
      <c r="AH39" s="112">
        <f t="shared" si="29"/>
        <v>63.638082350988498</v>
      </c>
      <c r="AJ39" s="119">
        <f t="shared" si="30"/>
        <v>0.15833333333333341</v>
      </c>
      <c r="AK39" s="112">
        <f t="shared" si="31"/>
        <v>0</v>
      </c>
      <c r="AL39" s="112">
        <f t="shared" si="32"/>
        <v>0</v>
      </c>
      <c r="AM39" s="116">
        <f t="shared" si="33"/>
        <v>0</v>
      </c>
      <c r="AN39" s="116">
        <f t="shared" si="45"/>
        <v>0</v>
      </c>
      <c r="AO39" s="116">
        <f t="shared" si="46"/>
        <v>0</v>
      </c>
      <c r="AQ39" s="131">
        <f t="shared" si="34"/>
        <v>0</v>
      </c>
      <c r="AR39" s="131">
        <f t="shared" si="35"/>
        <v>0</v>
      </c>
      <c r="AS39" s="131">
        <f t="shared" si="36"/>
        <v>0</v>
      </c>
      <c r="AT39" s="131">
        <f t="shared" si="37"/>
        <v>0</v>
      </c>
      <c r="AU39" s="131">
        <f t="shared" si="38"/>
        <v>0</v>
      </c>
      <c r="AV39" s="131">
        <f t="shared" si="39"/>
        <v>0</v>
      </c>
      <c r="AW39" s="131">
        <f t="shared" si="40"/>
        <v>0</v>
      </c>
      <c r="AX39" s="131">
        <f t="shared" si="41"/>
        <v>0</v>
      </c>
      <c r="AY39" s="131">
        <f t="shared" si="42"/>
        <v>0</v>
      </c>
      <c r="AZ39" s="131">
        <f t="shared" si="43"/>
        <v>0</v>
      </c>
      <c r="BE39" s="116">
        <f t="shared" si="1"/>
        <v>0</v>
      </c>
    </row>
    <row r="40" spans="4:57">
      <c r="D40" s="114">
        <f t="shared" si="2"/>
        <v>41173</v>
      </c>
      <c r="E40" s="115">
        <f t="shared" si="44"/>
        <v>0.16250000000000009</v>
      </c>
      <c r="F40" s="116">
        <f t="shared" si="3"/>
        <v>2456191.6625000001</v>
      </c>
      <c r="G40" s="117">
        <f t="shared" si="4"/>
        <v>0.12721868583162474</v>
      </c>
      <c r="I40" s="112">
        <f t="shared" si="5"/>
        <v>180.43709160657272</v>
      </c>
      <c r="J40" s="112">
        <f t="shared" si="6"/>
        <v>4937.2809765927977</v>
      </c>
      <c r="K40" s="112">
        <f t="shared" si="7"/>
        <v>1.6703284057515633E-2</v>
      </c>
      <c r="L40" s="112">
        <f t="shared" si="8"/>
        <v>-1.8582131179369408</v>
      </c>
      <c r="M40" s="112">
        <f t="shared" si="9"/>
        <v>178.57887848863578</v>
      </c>
      <c r="N40" s="112">
        <f t="shared" si="10"/>
        <v>4935.4227634748604</v>
      </c>
      <c r="O40" s="112">
        <f t="shared" si="11"/>
        <v>1.0039425562556976</v>
      </c>
      <c r="P40" s="112">
        <f t="shared" si="12"/>
        <v>178.57728496438421</v>
      </c>
      <c r="Q40" s="112">
        <f t="shared" si="13"/>
        <v>23.437636736501894</v>
      </c>
      <c r="R40" s="112">
        <f t="shared" si="14"/>
        <v>23.436317540525089</v>
      </c>
      <c r="S40" s="112">
        <f t="shared" si="0"/>
        <v>178.69461266975324</v>
      </c>
      <c r="T40" s="112">
        <f t="shared" si="15"/>
        <v>0.5658068443217843</v>
      </c>
      <c r="U40" s="112">
        <f t="shared" si="16"/>
        <v>4.3023300503706549E-2</v>
      </c>
      <c r="V40" s="112">
        <f t="shared" si="17"/>
        <v>6.9354299850300727</v>
      </c>
      <c r="W40" s="112">
        <f t="shared" si="18"/>
        <v>91.499348721084615</v>
      </c>
      <c r="X40" s="115">
        <f t="shared" si="19"/>
        <v>0.51462817362150692</v>
      </c>
      <c r="Y40" s="115">
        <f t="shared" si="20"/>
        <v>0.26046331606293854</v>
      </c>
      <c r="Z40" s="115">
        <f t="shared" si="21"/>
        <v>0.76879303118007525</v>
      </c>
      <c r="AA40" s="118">
        <f t="shared" si="22"/>
        <v>731.99478976867692</v>
      </c>
      <c r="AB40" s="112">
        <f t="shared" si="23"/>
        <v>212.9354299850302</v>
      </c>
      <c r="AC40" s="112">
        <f t="shared" si="24"/>
        <v>-126.76614250374246</v>
      </c>
      <c r="AD40" s="112">
        <f t="shared" si="25"/>
        <v>117.74656195112301</v>
      </c>
      <c r="AE40" s="112">
        <f t="shared" si="26"/>
        <v>-27.746561951123013</v>
      </c>
      <c r="AF40" s="112">
        <f t="shared" si="27"/>
        <v>1.0968563326308594E-2</v>
      </c>
      <c r="AG40" s="112">
        <f t="shared" si="28"/>
        <v>-27.735593387796705</v>
      </c>
      <c r="AH40" s="112">
        <f t="shared" si="29"/>
        <v>64.839579511890747</v>
      </c>
      <c r="AJ40" s="119">
        <f t="shared" si="30"/>
        <v>0.16250000000000009</v>
      </c>
      <c r="AK40" s="112">
        <f t="shared" si="31"/>
        <v>0</v>
      </c>
      <c r="AL40" s="112">
        <f t="shared" si="32"/>
        <v>0</v>
      </c>
      <c r="AM40" s="116">
        <f t="shared" si="33"/>
        <v>0</v>
      </c>
      <c r="AN40" s="116">
        <f t="shared" si="45"/>
        <v>0</v>
      </c>
      <c r="AO40" s="116">
        <f t="shared" si="46"/>
        <v>0</v>
      </c>
      <c r="AQ40" s="131">
        <f t="shared" si="34"/>
        <v>0</v>
      </c>
      <c r="AR40" s="131">
        <f t="shared" si="35"/>
        <v>0</v>
      </c>
      <c r="AS40" s="131">
        <f t="shared" si="36"/>
        <v>0</v>
      </c>
      <c r="AT40" s="131">
        <f t="shared" si="37"/>
        <v>0</v>
      </c>
      <c r="AU40" s="131">
        <f t="shared" si="38"/>
        <v>0</v>
      </c>
      <c r="AV40" s="131">
        <f t="shared" si="39"/>
        <v>0</v>
      </c>
      <c r="AW40" s="131">
        <f t="shared" si="40"/>
        <v>0</v>
      </c>
      <c r="AX40" s="131">
        <f t="shared" si="41"/>
        <v>0</v>
      </c>
      <c r="AY40" s="131">
        <f t="shared" si="42"/>
        <v>0</v>
      </c>
      <c r="AZ40" s="131">
        <f t="shared" si="43"/>
        <v>0</v>
      </c>
      <c r="BE40" s="116">
        <f t="shared" si="1"/>
        <v>0</v>
      </c>
    </row>
    <row r="41" spans="4:57">
      <c r="D41" s="114">
        <f t="shared" si="2"/>
        <v>41173</v>
      </c>
      <c r="E41" s="115">
        <f t="shared" si="44"/>
        <v>0.16666666666666677</v>
      </c>
      <c r="F41" s="116">
        <f t="shared" si="3"/>
        <v>2456191.6666666665</v>
      </c>
      <c r="G41" s="117">
        <f t="shared" si="4"/>
        <v>0.12721879990873405</v>
      </c>
      <c r="I41" s="112">
        <f t="shared" si="5"/>
        <v>180.44119847033653</v>
      </c>
      <c r="J41" s="112">
        <f t="shared" si="6"/>
        <v>4937.2850832603881</v>
      </c>
      <c r="K41" s="112">
        <f t="shared" si="7"/>
        <v>1.6703284052716497E-2</v>
      </c>
      <c r="L41" s="112">
        <f t="shared" si="8"/>
        <v>-1.8582458647957876</v>
      </c>
      <c r="M41" s="112">
        <f t="shared" si="9"/>
        <v>178.58295260554075</v>
      </c>
      <c r="N41" s="112">
        <f t="shared" si="10"/>
        <v>4935.426837395592</v>
      </c>
      <c r="O41" s="112">
        <f t="shared" si="11"/>
        <v>1.0039413974144273</v>
      </c>
      <c r="P41" s="112">
        <f t="shared" si="12"/>
        <v>178.58135907180363</v>
      </c>
      <c r="Q41" s="112">
        <f t="shared" si="13"/>
        <v>23.437636735018415</v>
      </c>
      <c r="R41" s="112">
        <f t="shared" si="14"/>
        <v>23.436317530593008</v>
      </c>
      <c r="S41" s="112">
        <f t="shared" si="0"/>
        <v>178.69835103774182</v>
      </c>
      <c r="T41" s="112">
        <f t="shared" si="15"/>
        <v>0.56418687056360861</v>
      </c>
      <c r="U41" s="112">
        <f t="shared" si="16"/>
        <v>4.3023300466203764E-2</v>
      </c>
      <c r="V41" s="112">
        <f t="shared" si="17"/>
        <v>6.936904725159005</v>
      </c>
      <c r="W41" s="112">
        <f t="shared" si="18"/>
        <v>91.498082207789267</v>
      </c>
      <c r="X41" s="115">
        <f t="shared" si="19"/>
        <v>0.5146271494964173</v>
      </c>
      <c r="Y41" s="115">
        <f t="shared" si="20"/>
        <v>0.26046581003033603</v>
      </c>
      <c r="Z41" s="115">
        <f t="shared" si="21"/>
        <v>0.76878848896249852</v>
      </c>
      <c r="AA41" s="118">
        <f t="shared" si="22"/>
        <v>731.98465766231413</v>
      </c>
      <c r="AB41" s="112">
        <f t="shared" si="23"/>
        <v>218.93690472515914</v>
      </c>
      <c r="AC41" s="112">
        <f t="shared" si="24"/>
        <v>-125.26577381871022</v>
      </c>
      <c r="AD41" s="112">
        <f t="shared" si="25"/>
        <v>116.67245362391705</v>
      </c>
      <c r="AE41" s="112">
        <f t="shared" si="26"/>
        <v>-26.67245362391705</v>
      </c>
      <c r="AF41" s="112">
        <f t="shared" si="27"/>
        <v>1.1486121844543741E-2</v>
      </c>
      <c r="AG41" s="112">
        <f t="shared" si="28"/>
        <v>-26.660967502072506</v>
      </c>
      <c r="AH41" s="112">
        <f t="shared" si="29"/>
        <v>66.01741357150911</v>
      </c>
      <c r="AJ41" s="119">
        <f t="shared" si="30"/>
        <v>0.16666666666666677</v>
      </c>
      <c r="AK41" s="112">
        <f t="shared" si="31"/>
        <v>0</v>
      </c>
      <c r="AL41" s="112">
        <f t="shared" si="32"/>
        <v>0</v>
      </c>
      <c r="AM41" s="116">
        <f t="shared" si="33"/>
        <v>0</v>
      </c>
      <c r="AN41" s="116">
        <f t="shared" si="45"/>
        <v>0</v>
      </c>
      <c r="AO41" s="116">
        <f t="shared" si="46"/>
        <v>0</v>
      </c>
      <c r="AQ41" s="131">
        <f t="shared" si="34"/>
        <v>0</v>
      </c>
      <c r="AR41" s="131">
        <f t="shared" si="35"/>
        <v>0</v>
      </c>
      <c r="AS41" s="131">
        <f t="shared" si="36"/>
        <v>0</v>
      </c>
      <c r="AT41" s="131">
        <f t="shared" si="37"/>
        <v>0</v>
      </c>
      <c r="AU41" s="131">
        <f t="shared" si="38"/>
        <v>0</v>
      </c>
      <c r="AV41" s="131">
        <f t="shared" si="39"/>
        <v>0</v>
      </c>
      <c r="AW41" s="131">
        <f t="shared" si="40"/>
        <v>0</v>
      </c>
      <c r="AX41" s="131">
        <f t="shared" si="41"/>
        <v>0</v>
      </c>
      <c r="AY41" s="131">
        <f t="shared" si="42"/>
        <v>0</v>
      </c>
      <c r="AZ41" s="131">
        <f t="shared" si="43"/>
        <v>0</v>
      </c>
      <c r="BE41" s="116">
        <f t="shared" si="1"/>
        <v>0</v>
      </c>
    </row>
    <row r="42" spans="4:57">
      <c r="D42" s="114">
        <f t="shared" si="2"/>
        <v>41173</v>
      </c>
      <c r="E42" s="115">
        <f t="shared" si="44"/>
        <v>0.17083333333333345</v>
      </c>
      <c r="F42" s="116">
        <f t="shared" si="3"/>
        <v>2456191.6708333334</v>
      </c>
      <c r="G42" s="117">
        <f t="shared" si="4"/>
        <v>0.12721891398585614</v>
      </c>
      <c r="I42" s="112">
        <f t="shared" si="5"/>
        <v>180.44530533456054</v>
      </c>
      <c r="J42" s="112">
        <f t="shared" si="6"/>
        <v>4937.2891899284386</v>
      </c>
      <c r="K42" s="112">
        <f t="shared" si="7"/>
        <v>1.670328404791736E-2</v>
      </c>
      <c r="L42" s="112">
        <f t="shared" si="8"/>
        <v>-1.8582786022535067</v>
      </c>
      <c r="M42" s="112">
        <f t="shared" si="9"/>
        <v>178.58702673230704</v>
      </c>
      <c r="N42" s="112">
        <f t="shared" si="10"/>
        <v>4935.4309113261852</v>
      </c>
      <c r="O42" s="112">
        <f t="shared" si="11"/>
        <v>1.0039402385516056</v>
      </c>
      <c r="P42" s="112">
        <f t="shared" si="12"/>
        <v>178.58543318908434</v>
      </c>
      <c r="Q42" s="112">
        <f t="shared" si="13"/>
        <v>23.437636733534934</v>
      </c>
      <c r="R42" s="112">
        <f t="shared" si="14"/>
        <v>23.436317520660946</v>
      </c>
      <c r="S42" s="112">
        <f t="shared" si="0"/>
        <v>178.70208941269789</v>
      </c>
      <c r="T42" s="112">
        <f t="shared" si="15"/>
        <v>0.56256689048393516</v>
      </c>
      <c r="U42" s="112">
        <f t="shared" si="16"/>
        <v>4.3023300428701054E-2</v>
      </c>
      <c r="V42" s="112">
        <f t="shared" si="17"/>
        <v>6.9383794417570224</v>
      </c>
      <c r="W42" s="112">
        <f t="shared" si="18"/>
        <v>91.496815691834499</v>
      </c>
      <c r="X42" s="115">
        <f t="shared" si="19"/>
        <v>0.51462612538766872</v>
      </c>
      <c r="Y42" s="115">
        <f t="shared" si="20"/>
        <v>0.26046830402146176</v>
      </c>
      <c r="Z42" s="115">
        <f t="shared" si="21"/>
        <v>0.76878394675387574</v>
      </c>
      <c r="AA42" s="118">
        <f t="shared" si="22"/>
        <v>731.97452553467599</v>
      </c>
      <c r="AB42" s="112">
        <f t="shared" si="23"/>
        <v>224.93837944175721</v>
      </c>
      <c r="AC42" s="112">
        <f t="shared" si="24"/>
        <v>-123.7654051395607</v>
      </c>
      <c r="AD42" s="112">
        <f t="shared" si="25"/>
        <v>115.58854839991088</v>
      </c>
      <c r="AE42" s="112">
        <f t="shared" si="26"/>
        <v>-25.588548399910877</v>
      </c>
      <c r="AF42" s="112">
        <f t="shared" si="27"/>
        <v>1.2049098612567276E-2</v>
      </c>
      <c r="AG42" s="112">
        <f t="shared" si="28"/>
        <v>-25.576499301298309</v>
      </c>
      <c r="AH42" s="112">
        <f t="shared" si="29"/>
        <v>67.172862023595883</v>
      </c>
      <c r="AJ42" s="119">
        <f t="shared" si="30"/>
        <v>0.17083333333333345</v>
      </c>
      <c r="AK42" s="112">
        <f t="shared" si="31"/>
        <v>0</v>
      </c>
      <c r="AL42" s="112">
        <f t="shared" si="32"/>
        <v>0</v>
      </c>
      <c r="AM42" s="116">
        <f t="shared" si="33"/>
        <v>0</v>
      </c>
      <c r="AN42" s="116">
        <f t="shared" si="45"/>
        <v>0</v>
      </c>
      <c r="AO42" s="116">
        <f t="shared" si="46"/>
        <v>0</v>
      </c>
      <c r="AQ42" s="131">
        <f t="shared" si="34"/>
        <v>0</v>
      </c>
      <c r="AR42" s="131">
        <f t="shared" si="35"/>
        <v>0</v>
      </c>
      <c r="AS42" s="131">
        <f t="shared" si="36"/>
        <v>0</v>
      </c>
      <c r="AT42" s="131">
        <f t="shared" si="37"/>
        <v>0</v>
      </c>
      <c r="AU42" s="131">
        <f t="shared" si="38"/>
        <v>0</v>
      </c>
      <c r="AV42" s="131">
        <f t="shared" si="39"/>
        <v>0</v>
      </c>
      <c r="AW42" s="131">
        <f t="shared" si="40"/>
        <v>0</v>
      </c>
      <c r="AX42" s="131">
        <f t="shared" si="41"/>
        <v>0</v>
      </c>
      <c r="AY42" s="131">
        <f t="shared" si="42"/>
        <v>0</v>
      </c>
      <c r="AZ42" s="131">
        <f t="shared" si="43"/>
        <v>0</v>
      </c>
      <c r="BE42" s="116">
        <f t="shared" si="1"/>
        <v>0</v>
      </c>
    </row>
    <row r="43" spans="4:57">
      <c r="D43" s="114">
        <f t="shared" si="2"/>
        <v>41173</v>
      </c>
      <c r="E43" s="115">
        <f t="shared" si="44"/>
        <v>0.17500000000000013</v>
      </c>
      <c r="F43" s="116">
        <f t="shared" si="3"/>
        <v>2456191.6749999998</v>
      </c>
      <c r="G43" s="117">
        <f t="shared" si="4"/>
        <v>0.12721902806296548</v>
      </c>
      <c r="I43" s="112">
        <f t="shared" si="5"/>
        <v>180.44941219832617</v>
      </c>
      <c r="J43" s="112">
        <f t="shared" si="6"/>
        <v>4937.2932965960308</v>
      </c>
      <c r="K43" s="112">
        <f t="shared" si="7"/>
        <v>1.6703284043118223E-2</v>
      </c>
      <c r="L43" s="112">
        <f t="shared" si="8"/>
        <v>-1.8583113303025705</v>
      </c>
      <c r="M43" s="112">
        <f t="shared" si="9"/>
        <v>178.5911008680236</v>
      </c>
      <c r="N43" s="112">
        <f t="shared" si="10"/>
        <v>4935.4349852657278</v>
      </c>
      <c r="O43" s="112">
        <f t="shared" si="11"/>
        <v>1.0039390796674981</v>
      </c>
      <c r="P43" s="112">
        <f t="shared" si="12"/>
        <v>178.58950731531525</v>
      </c>
      <c r="Q43" s="112">
        <f t="shared" si="13"/>
        <v>23.437636732051455</v>
      </c>
      <c r="R43" s="112">
        <f t="shared" si="14"/>
        <v>23.436317510728905</v>
      </c>
      <c r="S43" s="112">
        <f t="shared" si="0"/>
        <v>178.70582779379143</v>
      </c>
      <c r="T43" s="112">
        <f t="shared" si="15"/>
        <v>0.56094690445192941</v>
      </c>
      <c r="U43" s="112">
        <f t="shared" si="16"/>
        <v>4.3023300391198428E-2</v>
      </c>
      <c r="V43" s="112">
        <f t="shared" si="17"/>
        <v>6.9398541344700435</v>
      </c>
      <c r="W43" s="112">
        <f t="shared" si="18"/>
        <v>91.495549173506262</v>
      </c>
      <c r="X43" s="115">
        <f t="shared" si="19"/>
        <v>0.51462510129550698</v>
      </c>
      <c r="Y43" s="115">
        <f t="shared" si="20"/>
        <v>0.26047079803576734</v>
      </c>
      <c r="Z43" s="115">
        <f t="shared" si="21"/>
        <v>0.76877940455524663</v>
      </c>
      <c r="AA43" s="118">
        <f t="shared" si="22"/>
        <v>731.9643933880501</v>
      </c>
      <c r="AB43" s="112">
        <f t="shared" si="23"/>
        <v>230.93985413447024</v>
      </c>
      <c r="AC43" s="112">
        <f t="shared" si="24"/>
        <v>-122.26503646638244</v>
      </c>
      <c r="AD43" s="112">
        <f t="shared" si="25"/>
        <v>114.49546658607554</v>
      </c>
      <c r="AE43" s="112">
        <f t="shared" si="26"/>
        <v>-24.495466586075537</v>
      </c>
      <c r="AF43" s="112">
        <f t="shared" si="27"/>
        <v>1.2663764665988083E-2</v>
      </c>
      <c r="AG43" s="112">
        <f t="shared" si="28"/>
        <v>-24.48280282140955</v>
      </c>
      <c r="AH43" s="112">
        <f t="shared" si="29"/>
        <v>68.307168224344991</v>
      </c>
      <c r="AJ43" s="119">
        <f t="shared" si="30"/>
        <v>0.17500000000000013</v>
      </c>
      <c r="AK43" s="112">
        <f t="shared" si="31"/>
        <v>0</v>
      </c>
      <c r="AL43" s="112">
        <f t="shared" si="32"/>
        <v>0</v>
      </c>
      <c r="AM43" s="116">
        <f t="shared" si="33"/>
        <v>0</v>
      </c>
      <c r="AN43" s="116">
        <f t="shared" si="45"/>
        <v>0</v>
      </c>
      <c r="AO43" s="116">
        <f t="shared" si="46"/>
        <v>0</v>
      </c>
      <c r="AQ43" s="131">
        <f t="shared" si="34"/>
        <v>0</v>
      </c>
      <c r="AR43" s="131">
        <f t="shared" si="35"/>
        <v>0</v>
      </c>
      <c r="AS43" s="131">
        <f t="shared" si="36"/>
        <v>0</v>
      </c>
      <c r="AT43" s="131">
        <f t="shared" si="37"/>
        <v>0</v>
      </c>
      <c r="AU43" s="131">
        <f t="shared" si="38"/>
        <v>0</v>
      </c>
      <c r="AV43" s="131">
        <f t="shared" si="39"/>
        <v>0</v>
      </c>
      <c r="AW43" s="131">
        <f t="shared" si="40"/>
        <v>0</v>
      </c>
      <c r="AX43" s="131">
        <f t="shared" si="41"/>
        <v>0</v>
      </c>
      <c r="AY43" s="131">
        <f t="shared" si="42"/>
        <v>0</v>
      </c>
      <c r="AZ43" s="131">
        <f t="shared" si="43"/>
        <v>0</v>
      </c>
      <c r="BE43" s="116">
        <f t="shared" si="1"/>
        <v>0</v>
      </c>
    </row>
    <row r="44" spans="4:57">
      <c r="D44" s="114">
        <f t="shared" si="2"/>
        <v>41173</v>
      </c>
      <c r="E44" s="115">
        <f t="shared" si="44"/>
        <v>0.17916666666666681</v>
      </c>
      <c r="F44" s="116">
        <f t="shared" si="3"/>
        <v>2456191.6791666667</v>
      </c>
      <c r="G44" s="117">
        <f t="shared" si="4"/>
        <v>0.12721914214008756</v>
      </c>
      <c r="I44" s="112">
        <f t="shared" si="5"/>
        <v>180.45351906254928</v>
      </c>
      <c r="J44" s="112">
        <f t="shared" si="6"/>
        <v>4937.2974032640805</v>
      </c>
      <c r="K44" s="112">
        <f t="shared" si="7"/>
        <v>1.6703284038319083E-2</v>
      </c>
      <c r="L44" s="112">
        <f t="shared" si="8"/>
        <v>-1.8583440489500715</v>
      </c>
      <c r="M44" s="112">
        <f t="shared" si="9"/>
        <v>178.5951750135992</v>
      </c>
      <c r="N44" s="112">
        <f t="shared" si="10"/>
        <v>4935.4390592151303</v>
      </c>
      <c r="O44" s="112">
        <f t="shared" si="11"/>
        <v>1.0039379207618522</v>
      </c>
      <c r="P44" s="112">
        <f t="shared" si="12"/>
        <v>178.59358145140513</v>
      </c>
      <c r="Q44" s="112">
        <f t="shared" si="13"/>
        <v>23.437636730567974</v>
      </c>
      <c r="R44" s="112">
        <f t="shared" si="14"/>
        <v>23.436317500796878</v>
      </c>
      <c r="S44" s="112">
        <f t="shared" si="0"/>
        <v>178.70956618186233</v>
      </c>
      <c r="T44" s="112">
        <f t="shared" si="15"/>
        <v>0.55932691211310825</v>
      </c>
      <c r="U44" s="112">
        <f t="shared" si="16"/>
        <v>4.3023300353695858E-2</v>
      </c>
      <c r="V44" s="112">
        <f t="shared" si="17"/>
        <v>6.9413288036027012</v>
      </c>
      <c r="W44" s="112">
        <f t="shared" si="18"/>
        <v>91.494282652524802</v>
      </c>
      <c r="X44" s="115">
        <f t="shared" si="19"/>
        <v>0.51462407721972037</v>
      </c>
      <c r="Y44" s="115">
        <f t="shared" si="20"/>
        <v>0.26047329207381814</v>
      </c>
      <c r="Z44" s="115">
        <f t="shared" si="21"/>
        <v>0.76877486236562254</v>
      </c>
      <c r="AA44" s="118">
        <f t="shared" si="22"/>
        <v>731.95426122019842</v>
      </c>
      <c r="AB44" s="112">
        <f t="shared" si="23"/>
        <v>236.94132880360291</v>
      </c>
      <c r="AC44" s="112">
        <f t="shared" si="24"/>
        <v>-120.76466779909927</v>
      </c>
      <c r="AD44" s="112">
        <f t="shared" si="25"/>
        <v>113.39379822118458</v>
      </c>
      <c r="AE44" s="112">
        <f t="shared" si="26"/>
        <v>-23.393798221184582</v>
      </c>
      <c r="AF44" s="112">
        <f t="shared" si="27"/>
        <v>1.333764399777621E-2</v>
      </c>
      <c r="AG44" s="112">
        <f t="shared" si="28"/>
        <v>-23.380460577186806</v>
      </c>
      <c r="AH44" s="112">
        <f t="shared" si="29"/>
        <v>69.42154110000024</v>
      </c>
      <c r="AJ44" s="119">
        <f t="shared" si="30"/>
        <v>0.17916666666666681</v>
      </c>
      <c r="AK44" s="112">
        <f t="shared" si="31"/>
        <v>0</v>
      </c>
      <c r="AL44" s="112">
        <f t="shared" si="32"/>
        <v>0</v>
      </c>
      <c r="AM44" s="116">
        <f t="shared" si="33"/>
        <v>0</v>
      </c>
      <c r="AN44" s="116">
        <f t="shared" si="45"/>
        <v>0</v>
      </c>
      <c r="AO44" s="116">
        <f t="shared" si="46"/>
        <v>0</v>
      </c>
      <c r="AQ44" s="131">
        <f t="shared" si="34"/>
        <v>0</v>
      </c>
      <c r="AR44" s="131">
        <f t="shared" si="35"/>
        <v>0</v>
      </c>
      <c r="AS44" s="131">
        <f t="shared" si="36"/>
        <v>0</v>
      </c>
      <c r="AT44" s="131">
        <f t="shared" si="37"/>
        <v>0</v>
      </c>
      <c r="AU44" s="131">
        <f t="shared" si="38"/>
        <v>0</v>
      </c>
      <c r="AV44" s="131">
        <f t="shared" si="39"/>
        <v>0</v>
      </c>
      <c r="AW44" s="131">
        <f t="shared" si="40"/>
        <v>0</v>
      </c>
      <c r="AX44" s="131">
        <f t="shared" si="41"/>
        <v>0</v>
      </c>
      <c r="AY44" s="131">
        <f t="shared" si="42"/>
        <v>0</v>
      </c>
      <c r="AZ44" s="131">
        <f t="shared" si="43"/>
        <v>0</v>
      </c>
      <c r="BE44" s="116">
        <f t="shared" si="1"/>
        <v>0</v>
      </c>
    </row>
    <row r="45" spans="4:57">
      <c r="D45" s="114">
        <f t="shared" si="2"/>
        <v>41173</v>
      </c>
      <c r="E45" s="115">
        <f t="shared" si="44"/>
        <v>0.18333333333333349</v>
      </c>
      <c r="F45" s="116">
        <f t="shared" si="3"/>
        <v>2456191.6833333331</v>
      </c>
      <c r="G45" s="117">
        <f t="shared" si="4"/>
        <v>0.12721925621719687</v>
      </c>
      <c r="I45" s="112">
        <f t="shared" si="5"/>
        <v>180.45762592631309</v>
      </c>
      <c r="J45" s="112">
        <f t="shared" si="6"/>
        <v>4937.3015099316717</v>
      </c>
      <c r="K45" s="112">
        <f t="shared" si="7"/>
        <v>1.6703284033519946E-2</v>
      </c>
      <c r="L45" s="112">
        <f t="shared" si="8"/>
        <v>-1.8583767581885065</v>
      </c>
      <c r="M45" s="112">
        <f t="shared" si="9"/>
        <v>178.59924916812457</v>
      </c>
      <c r="N45" s="112">
        <f t="shared" si="10"/>
        <v>4935.4431331734831</v>
      </c>
      <c r="O45" s="112">
        <f t="shared" si="11"/>
        <v>1.0039367618349313</v>
      </c>
      <c r="P45" s="112">
        <f t="shared" si="12"/>
        <v>178.59765559644472</v>
      </c>
      <c r="Q45" s="112">
        <f t="shared" si="13"/>
        <v>23.437636729084495</v>
      </c>
      <c r="R45" s="112">
        <f t="shared" si="14"/>
        <v>23.436317490864877</v>
      </c>
      <c r="S45" s="112">
        <f t="shared" si="0"/>
        <v>178.71330457608215</v>
      </c>
      <c r="T45" s="112">
        <f t="shared" si="15"/>
        <v>0.5577069138359001</v>
      </c>
      <c r="U45" s="112">
        <f t="shared" si="16"/>
        <v>4.3023300316193364E-2</v>
      </c>
      <c r="V45" s="112">
        <f t="shared" si="17"/>
        <v>6.9428034488015768</v>
      </c>
      <c r="W45" s="112">
        <f t="shared" si="18"/>
        <v>91.493016129175572</v>
      </c>
      <c r="X45" s="115">
        <f t="shared" si="19"/>
        <v>0.51462305316055446</v>
      </c>
      <c r="Y45" s="115">
        <f t="shared" si="20"/>
        <v>0.26047578613506678</v>
      </c>
      <c r="Z45" s="115">
        <f t="shared" si="21"/>
        <v>0.76877032018604208</v>
      </c>
      <c r="AA45" s="118">
        <f t="shared" si="22"/>
        <v>731.94412903340458</v>
      </c>
      <c r="AB45" s="112">
        <f t="shared" si="23"/>
        <v>242.94280344880178</v>
      </c>
      <c r="AC45" s="112">
        <f t="shared" si="24"/>
        <v>-119.26429913779955</v>
      </c>
      <c r="AD45" s="112">
        <f t="shared" si="25"/>
        <v>112.28410504683775</v>
      </c>
      <c r="AE45" s="112">
        <f t="shared" si="26"/>
        <v>-22.284105046837752</v>
      </c>
      <c r="AF45" s="112">
        <f t="shared" si="27"/>
        <v>1.4079838279552313E-2</v>
      </c>
      <c r="AG45" s="112">
        <f t="shared" si="28"/>
        <v>-22.270025208558199</v>
      </c>
      <c r="AH45" s="112">
        <f t="shared" si="29"/>
        <v>70.517155295188104</v>
      </c>
      <c r="AJ45" s="119">
        <f t="shared" si="30"/>
        <v>0.18333333333333349</v>
      </c>
      <c r="AK45" s="112">
        <f t="shared" si="31"/>
        <v>0</v>
      </c>
      <c r="AL45" s="112">
        <f t="shared" si="32"/>
        <v>0</v>
      </c>
      <c r="AM45" s="116">
        <f t="shared" si="33"/>
        <v>0</v>
      </c>
      <c r="AN45" s="116">
        <f t="shared" si="45"/>
        <v>0</v>
      </c>
      <c r="AO45" s="116">
        <f t="shared" si="46"/>
        <v>0</v>
      </c>
      <c r="AQ45" s="131">
        <f t="shared" si="34"/>
        <v>0</v>
      </c>
      <c r="AR45" s="131">
        <f t="shared" si="35"/>
        <v>0</v>
      </c>
      <c r="AS45" s="131">
        <f t="shared" si="36"/>
        <v>0</v>
      </c>
      <c r="AT45" s="131">
        <f t="shared" si="37"/>
        <v>0</v>
      </c>
      <c r="AU45" s="131">
        <f t="shared" si="38"/>
        <v>0</v>
      </c>
      <c r="AV45" s="131">
        <f t="shared" si="39"/>
        <v>0</v>
      </c>
      <c r="AW45" s="131">
        <f t="shared" si="40"/>
        <v>0</v>
      </c>
      <c r="AX45" s="131">
        <f t="shared" si="41"/>
        <v>0</v>
      </c>
      <c r="AY45" s="131">
        <f t="shared" si="42"/>
        <v>0</v>
      </c>
      <c r="AZ45" s="131">
        <f t="shared" si="43"/>
        <v>0</v>
      </c>
      <c r="BE45" s="116">
        <f t="shared" si="1"/>
        <v>0</v>
      </c>
    </row>
    <row r="46" spans="4:57">
      <c r="D46" s="114">
        <f t="shared" si="2"/>
        <v>41173</v>
      </c>
      <c r="E46" s="115">
        <f t="shared" si="44"/>
        <v>0.18750000000000017</v>
      </c>
      <c r="F46" s="116">
        <f t="shared" si="3"/>
        <v>2456191.6875</v>
      </c>
      <c r="G46" s="117">
        <f t="shared" si="4"/>
        <v>0.12721937029431896</v>
      </c>
      <c r="I46" s="112">
        <f t="shared" si="5"/>
        <v>180.4617327905371</v>
      </c>
      <c r="J46" s="112">
        <f t="shared" si="6"/>
        <v>4937.3056165997214</v>
      </c>
      <c r="K46" s="112">
        <f t="shared" si="7"/>
        <v>1.6703284028720809E-2</v>
      </c>
      <c r="L46" s="112">
        <f t="shared" si="8"/>
        <v>-1.8584094580249708</v>
      </c>
      <c r="M46" s="112">
        <f t="shared" si="9"/>
        <v>178.60332333251213</v>
      </c>
      <c r="N46" s="112">
        <f t="shared" si="10"/>
        <v>4935.4472071416967</v>
      </c>
      <c r="O46" s="112">
        <f t="shared" si="11"/>
        <v>1.0039356028864834</v>
      </c>
      <c r="P46" s="112">
        <f t="shared" si="12"/>
        <v>178.60172975134645</v>
      </c>
      <c r="Q46" s="112">
        <f t="shared" si="13"/>
        <v>23.437636727601014</v>
      </c>
      <c r="R46" s="112">
        <f t="shared" si="14"/>
        <v>23.436317480932889</v>
      </c>
      <c r="S46" s="112">
        <f t="shared" si="0"/>
        <v>178.71704297729414</v>
      </c>
      <c r="T46" s="112">
        <f t="shared" si="15"/>
        <v>0.55608690926439486</v>
      </c>
      <c r="U46" s="112">
        <f t="shared" si="16"/>
        <v>4.3023300278690932E-2</v>
      </c>
      <c r="V46" s="112">
        <f t="shared" si="17"/>
        <v>6.9442780703725262</v>
      </c>
      <c r="W46" s="112">
        <f t="shared" si="18"/>
        <v>91.491749603177652</v>
      </c>
      <c r="X46" s="115">
        <f t="shared" si="19"/>
        <v>0.51462202911779686</v>
      </c>
      <c r="Y46" s="115">
        <f t="shared" si="20"/>
        <v>0.26047828022008118</v>
      </c>
      <c r="Z46" s="115">
        <f t="shared" si="21"/>
        <v>0.7687657780155126</v>
      </c>
      <c r="AA46" s="118">
        <f t="shared" si="22"/>
        <v>731.93399682542122</v>
      </c>
      <c r="AB46" s="112">
        <f t="shared" si="23"/>
        <v>248.94427807037277</v>
      </c>
      <c r="AC46" s="112">
        <f t="shared" si="24"/>
        <v>-117.76393048240681</v>
      </c>
      <c r="AD46" s="112">
        <f t="shared" si="25"/>
        <v>111.16692241207868</v>
      </c>
      <c r="AE46" s="112">
        <f t="shared" si="26"/>
        <v>-21.166922412078677</v>
      </c>
      <c r="AF46" s="112">
        <f t="shared" si="27"/>
        <v>1.4901458539195958E-2</v>
      </c>
      <c r="AG46" s="112">
        <f t="shared" si="28"/>
        <v>-21.152020953539481</v>
      </c>
      <c r="AH46" s="112">
        <f t="shared" si="29"/>
        <v>71.595151690766613</v>
      </c>
      <c r="AJ46" s="119">
        <f t="shared" si="30"/>
        <v>0.18750000000000017</v>
      </c>
      <c r="AK46" s="112">
        <f t="shared" si="31"/>
        <v>0</v>
      </c>
      <c r="AL46" s="112">
        <f t="shared" si="32"/>
        <v>0</v>
      </c>
      <c r="AM46" s="116">
        <f t="shared" si="33"/>
        <v>0</v>
      </c>
      <c r="AN46" s="116">
        <f t="shared" si="45"/>
        <v>0</v>
      </c>
      <c r="AO46" s="116">
        <f t="shared" si="46"/>
        <v>0</v>
      </c>
      <c r="AQ46" s="131">
        <f t="shared" si="34"/>
        <v>0</v>
      </c>
      <c r="AR46" s="131">
        <f t="shared" si="35"/>
        <v>0</v>
      </c>
      <c r="AS46" s="131">
        <f t="shared" si="36"/>
        <v>0</v>
      </c>
      <c r="AT46" s="131">
        <f t="shared" si="37"/>
        <v>0</v>
      </c>
      <c r="AU46" s="131">
        <f t="shared" si="38"/>
        <v>0</v>
      </c>
      <c r="AV46" s="131">
        <f t="shared" si="39"/>
        <v>0</v>
      </c>
      <c r="AW46" s="131">
        <f t="shared" si="40"/>
        <v>0</v>
      </c>
      <c r="AX46" s="131">
        <f t="shared" si="41"/>
        <v>0</v>
      </c>
      <c r="AY46" s="131">
        <f t="shared" si="42"/>
        <v>0</v>
      </c>
      <c r="AZ46" s="131">
        <f t="shared" si="43"/>
        <v>0</v>
      </c>
      <c r="BE46" s="116">
        <f t="shared" si="1"/>
        <v>0</v>
      </c>
    </row>
    <row r="47" spans="4:57">
      <c r="D47" s="114">
        <f t="shared" si="2"/>
        <v>41173</v>
      </c>
      <c r="E47" s="115">
        <f t="shared" si="44"/>
        <v>0.19166666666666685</v>
      </c>
      <c r="F47" s="116">
        <f t="shared" si="3"/>
        <v>2456191.6916666669</v>
      </c>
      <c r="G47" s="117">
        <f t="shared" si="4"/>
        <v>0.12721948437144104</v>
      </c>
      <c r="I47" s="112">
        <f t="shared" si="5"/>
        <v>180.46583965476111</v>
      </c>
      <c r="J47" s="112">
        <f t="shared" si="6"/>
        <v>4937.3097232677719</v>
      </c>
      <c r="K47" s="112">
        <f t="shared" si="7"/>
        <v>1.6703284023921672E-2</v>
      </c>
      <c r="L47" s="112">
        <f t="shared" si="8"/>
        <v>-1.8584421484556133</v>
      </c>
      <c r="M47" s="112">
        <f t="shared" si="9"/>
        <v>178.60739750630549</v>
      </c>
      <c r="N47" s="112">
        <f t="shared" si="10"/>
        <v>4935.4512811193163</v>
      </c>
      <c r="O47" s="112">
        <f t="shared" si="11"/>
        <v>1.0039344439166433</v>
      </c>
      <c r="P47" s="112">
        <f t="shared" si="12"/>
        <v>178.60580391565392</v>
      </c>
      <c r="Q47" s="112">
        <f t="shared" si="13"/>
        <v>23.437636726117535</v>
      </c>
      <c r="R47" s="112">
        <f t="shared" si="14"/>
        <v>23.436317471000926</v>
      </c>
      <c r="S47" s="112">
        <f t="shared" si="0"/>
        <v>178.72078138508544</v>
      </c>
      <c r="T47" s="112">
        <f t="shared" si="15"/>
        <v>0.55446689858693077</v>
      </c>
      <c r="U47" s="112">
        <f t="shared" si="16"/>
        <v>4.302330024118859E-2</v>
      </c>
      <c r="V47" s="112">
        <f t="shared" si="17"/>
        <v>6.945752668126131</v>
      </c>
      <c r="W47" s="112">
        <f t="shared" si="18"/>
        <v>91.490483074675694</v>
      </c>
      <c r="X47" s="115">
        <f t="shared" si="19"/>
        <v>0.51462100509157904</v>
      </c>
      <c r="Y47" s="115">
        <f t="shared" si="20"/>
        <v>0.26048077432859101</v>
      </c>
      <c r="Z47" s="115">
        <f t="shared" si="21"/>
        <v>0.76876123585456702</v>
      </c>
      <c r="AA47" s="118">
        <f t="shared" si="22"/>
        <v>731.92386459740555</v>
      </c>
      <c r="AB47" s="112">
        <f t="shared" si="23"/>
        <v>254.94575266812643</v>
      </c>
      <c r="AC47" s="112">
        <f t="shared" si="24"/>
        <v>-116.26356183296839</v>
      </c>
      <c r="AD47" s="112">
        <f t="shared" si="25"/>
        <v>110.04276110505656</v>
      </c>
      <c r="AE47" s="112">
        <f t="shared" si="26"/>
        <v>-20.042761105056556</v>
      </c>
      <c r="AF47" s="112">
        <f t="shared" si="27"/>
        <v>1.581620724388565E-2</v>
      </c>
      <c r="AG47" s="112">
        <f t="shared" si="28"/>
        <v>-20.026944897812669</v>
      </c>
      <c r="AH47" s="112">
        <f t="shared" si="29"/>
        <v>72.65663821962039</v>
      </c>
      <c r="AJ47" s="119">
        <f t="shared" si="30"/>
        <v>0.19166666666666685</v>
      </c>
      <c r="AK47" s="112">
        <f t="shared" si="31"/>
        <v>0</v>
      </c>
      <c r="AL47" s="112">
        <f t="shared" si="32"/>
        <v>0</v>
      </c>
      <c r="AM47" s="116">
        <f t="shared" si="33"/>
        <v>0</v>
      </c>
      <c r="AN47" s="116">
        <f t="shared" si="45"/>
        <v>0</v>
      </c>
      <c r="AO47" s="116">
        <f t="shared" si="46"/>
        <v>0</v>
      </c>
      <c r="AQ47" s="131">
        <f t="shared" si="34"/>
        <v>0</v>
      </c>
      <c r="AR47" s="131">
        <f t="shared" si="35"/>
        <v>0</v>
      </c>
      <c r="AS47" s="131">
        <f t="shared" si="36"/>
        <v>0</v>
      </c>
      <c r="AT47" s="131">
        <f t="shared" si="37"/>
        <v>0</v>
      </c>
      <c r="AU47" s="131">
        <f t="shared" si="38"/>
        <v>0</v>
      </c>
      <c r="AV47" s="131">
        <f t="shared" si="39"/>
        <v>0</v>
      </c>
      <c r="AW47" s="131">
        <f t="shared" si="40"/>
        <v>0</v>
      </c>
      <c r="AX47" s="131">
        <f t="shared" si="41"/>
        <v>0</v>
      </c>
      <c r="AY47" s="131">
        <f t="shared" si="42"/>
        <v>0</v>
      </c>
      <c r="AZ47" s="131">
        <f t="shared" si="43"/>
        <v>0</v>
      </c>
      <c r="BE47" s="116">
        <f t="shared" si="1"/>
        <v>0</v>
      </c>
    </row>
    <row r="48" spans="4:57">
      <c r="D48" s="114">
        <f t="shared" si="2"/>
        <v>41173</v>
      </c>
      <c r="E48" s="115">
        <f t="shared" si="44"/>
        <v>0.19583333333333353</v>
      </c>
      <c r="F48" s="116">
        <f t="shared" si="3"/>
        <v>2456191.6958333333</v>
      </c>
      <c r="G48" s="117">
        <f t="shared" si="4"/>
        <v>0.12721959844855038</v>
      </c>
      <c r="I48" s="112">
        <f t="shared" si="5"/>
        <v>180.46994651852583</v>
      </c>
      <c r="J48" s="112">
        <f t="shared" si="6"/>
        <v>4937.3138299353632</v>
      </c>
      <c r="K48" s="112">
        <f t="shared" si="7"/>
        <v>1.6703284019122536E-2</v>
      </c>
      <c r="L48" s="112">
        <f t="shared" si="8"/>
        <v>-1.8584748294765674</v>
      </c>
      <c r="M48" s="112">
        <f t="shared" si="9"/>
        <v>178.61147168904927</v>
      </c>
      <c r="N48" s="112">
        <f t="shared" si="10"/>
        <v>4935.4553551058862</v>
      </c>
      <c r="O48" s="112">
        <f t="shared" si="11"/>
        <v>1.0039332849255467</v>
      </c>
      <c r="P48" s="112">
        <f t="shared" si="12"/>
        <v>178.60987808891176</v>
      </c>
      <c r="Q48" s="112">
        <f t="shared" si="13"/>
        <v>23.437636724634057</v>
      </c>
      <c r="R48" s="112">
        <f t="shared" si="14"/>
        <v>23.436317461068985</v>
      </c>
      <c r="S48" s="112">
        <f t="shared" si="0"/>
        <v>178.72451979904417</v>
      </c>
      <c r="T48" s="112">
        <f t="shared" si="15"/>
        <v>0.55284688199148235</v>
      </c>
      <c r="U48" s="112">
        <f t="shared" si="16"/>
        <v>4.3023300203686339E-2</v>
      </c>
      <c r="V48" s="112">
        <f t="shared" si="17"/>
        <v>6.9472272418732306</v>
      </c>
      <c r="W48" s="112">
        <f t="shared" si="18"/>
        <v>91.489216543814024</v>
      </c>
      <c r="X48" s="115">
        <f t="shared" si="19"/>
        <v>0.51461998108203255</v>
      </c>
      <c r="Y48" s="115">
        <f t="shared" si="20"/>
        <v>0.26048326846032693</v>
      </c>
      <c r="Z48" s="115">
        <f t="shared" si="21"/>
        <v>0.76875669370373823</v>
      </c>
      <c r="AA48" s="118">
        <f t="shared" si="22"/>
        <v>731.91373235051219</v>
      </c>
      <c r="AB48" s="112">
        <f t="shared" si="23"/>
        <v>260.94722724187352</v>
      </c>
      <c r="AC48" s="112">
        <f t="shared" si="24"/>
        <v>-114.76319318953162</v>
      </c>
      <c r="AD48" s="112">
        <f t="shared" si="25"/>
        <v>108.91210911229236</v>
      </c>
      <c r="AE48" s="112">
        <f t="shared" si="26"/>
        <v>-18.912109112292356</v>
      </c>
      <c r="AF48" s="112">
        <f t="shared" si="27"/>
        <v>1.6841175649511167E-2</v>
      </c>
      <c r="AG48" s="112">
        <f t="shared" si="28"/>
        <v>-18.895267936642846</v>
      </c>
      <c r="AH48" s="112">
        <f t="shared" si="29"/>
        <v>73.702690928342349</v>
      </c>
      <c r="AJ48" s="119">
        <f t="shared" si="30"/>
        <v>0.19583333333333353</v>
      </c>
      <c r="AK48" s="112">
        <f t="shared" si="31"/>
        <v>0</v>
      </c>
      <c r="AL48" s="112">
        <f t="shared" si="32"/>
        <v>0</v>
      </c>
      <c r="AM48" s="116">
        <f t="shared" si="33"/>
        <v>0</v>
      </c>
      <c r="AN48" s="116">
        <f t="shared" si="45"/>
        <v>0</v>
      </c>
      <c r="AO48" s="116">
        <f t="shared" si="46"/>
        <v>0</v>
      </c>
      <c r="AQ48" s="131">
        <f t="shared" si="34"/>
        <v>0</v>
      </c>
      <c r="AR48" s="131">
        <f t="shared" si="35"/>
        <v>0</v>
      </c>
      <c r="AS48" s="131">
        <f t="shared" si="36"/>
        <v>0</v>
      </c>
      <c r="AT48" s="131">
        <f t="shared" si="37"/>
        <v>0</v>
      </c>
      <c r="AU48" s="131">
        <f t="shared" si="38"/>
        <v>0</v>
      </c>
      <c r="AV48" s="131">
        <f t="shared" si="39"/>
        <v>0</v>
      </c>
      <c r="AW48" s="131">
        <f t="shared" si="40"/>
        <v>0</v>
      </c>
      <c r="AX48" s="131">
        <f t="shared" si="41"/>
        <v>0</v>
      </c>
      <c r="AY48" s="131">
        <f t="shared" si="42"/>
        <v>0</v>
      </c>
      <c r="AZ48" s="131">
        <f t="shared" si="43"/>
        <v>0</v>
      </c>
      <c r="BE48" s="116">
        <f t="shared" si="1"/>
        <v>0</v>
      </c>
    </row>
    <row r="49" spans="4:57">
      <c r="D49" s="114">
        <f t="shared" si="2"/>
        <v>41173</v>
      </c>
      <c r="E49" s="115">
        <f t="shared" si="44"/>
        <v>0.20000000000000021</v>
      </c>
      <c r="F49" s="116">
        <f t="shared" si="3"/>
        <v>2456191.7000000002</v>
      </c>
      <c r="G49" s="117">
        <f t="shared" si="4"/>
        <v>0.12721971252567246</v>
      </c>
      <c r="I49" s="112">
        <f t="shared" si="5"/>
        <v>180.47405338274984</v>
      </c>
      <c r="J49" s="112">
        <f t="shared" si="6"/>
        <v>4937.3179366034137</v>
      </c>
      <c r="K49" s="112">
        <f t="shared" si="7"/>
        <v>1.6703284014323399E-2</v>
      </c>
      <c r="L49" s="112">
        <f t="shared" si="8"/>
        <v>-1.8585075010949355</v>
      </c>
      <c r="M49" s="112">
        <f t="shared" si="9"/>
        <v>178.6155458816549</v>
      </c>
      <c r="N49" s="112">
        <f t="shared" si="10"/>
        <v>4935.4594291023186</v>
      </c>
      <c r="O49" s="112">
        <f t="shared" si="11"/>
        <v>1.0039321259129392</v>
      </c>
      <c r="P49" s="112">
        <f t="shared" si="12"/>
        <v>178.61395227203136</v>
      </c>
      <c r="Q49" s="112">
        <f t="shared" si="13"/>
        <v>23.437636723150575</v>
      </c>
      <c r="R49" s="112">
        <f t="shared" si="14"/>
        <v>23.436317451137054</v>
      </c>
      <c r="S49" s="112">
        <f t="shared" si="0"/>
        <v>178.72825822001258</v>
      </c>
      <c r="T49" s="112">
        <f t="shared" si="15"/>
        <v>0.55122685912251246</v>
      </c>
      <c r="U49" s="112">
        <f t="shared" si="16"/>
        <v>4.3023300166184122E-2</v>
      </c>
      <c r="V49" s="112">
        <f t="shared" si="17"/>
        <v>6.9487017919193814</v>
      </c>
      <c r="W49" s="112">
        <f t="shared" si="18"/>
        <v>91.487950010312048</v>
      </c>
      <c r="X49" s="115">
        <f t="shared" si="19"/>
        <v>0.51461895708894489</v>
      </c>
      <c r="Y49" s="115">
        <f t="shared" si="20"/>
        <v>0.26048576261585588</v>
      </c>
      <c r="Z49" s="115">
        <f t="shared" si="21"/>
        <v>0.76875215156203391</v>
      </c>
      <c r="AA49" s="118">
        <f t="shared" si="22"/>
        <v>731.90360008249638</v>
      </c>
      <c r="AB49" s="112">
        <f t="shared" si="23"/>
        <v>266.94870179191969</v>
      </c>
      <c r="AC49" s="112">
        <f t="shared" si="24"/>
        <v>-113.26282455202008</v>
      </c>
      <c r="AD49" s="112">
        <f t="shared" si="25"/>
        <v>107.77543330441922</v>
      </c>
      <c r="AE49" s="112">
        <f t="shared" si="26"/>
        <v>-17.775433304419224</v>
      </c>
      <c r="AF49" s="112">
        <f t="shared" si="27"/>
        <v>1.799795534896732E-2</v>
      </c>
      <c r="AG49" s="112">
        <f t="shared" si="28"/>
        <v>-17.757435349070256</v>
      </c>
      <c r="AH49" s="112">
        <f t="shared" si="29"/>
        <v>74.734355235138992</v>
      </c>
      <c r="AJ49" s="119">
        <f t="shared" si="30"/>
        <v>0.20000000000000021</v>
      </c>
      <c r="AK49" s="112">
        <f t="shared" si="31"/>
        <v>0</v>
      </c>
      <c r="AL49" s="112">
        <f t="shared" si="32"/>
        <v>0</v>
      </c>
      <c r="AM49" s="116">
        <f t="shared" si="33"/>
        <v>0</v>
      </c>
      <c r="AN49" s="116">
        <f t="shared" si="45"/>
        <v>0</v>
      </c>
      <c r="AO49" s="116">
        <f t="shared" si="46"/>
        <v>0</v>
      </c>
      <c r="AQ49" s="131">
        <f t="shared" si="34"/>
        <v>0</v>
      </c>
      <c r="AR49" s="131">
        <f t="shared" si="35"/>
        <v>0</v>
      </c>
      <c r="AS49" s="131">
        <f t="shared" si="36"/>
        <v>0</v>
      </c>
      <c r="AT49" s="131">
        <f t="shared" si="37"/>
        <v>0</v>
      </c>
      <c r="AU49" s="131">
        <f t="shared" si="38"/>
        <v>0</v>
      </c>
      <c r="AV49" s="131">
        <f t="shared" si="39"/>
        <v>0</v>
      </c>
      <c r="AW49" s="131">
        <f t="shared" si="40"/>
        <v>0</v>
      </c>
      <c r="AX49" s="131">
        <f t="shared" si="41"/>
        <v>0</v>
      </c>
      <c r="AY49" s="131">
        <f t="shared" si="42"/>
        <v>0</v>
      </c>
      <c r="AZ49" s="131">
        <f t="shared" si="43"/>
        <v>0</v>
      </c>
      <c r="BE49" s="116">
        <f t="shared" si="1"/>
        <v>0</v>
      </c>
    </row>
    <row r="50" spans="4:57">
      <c r="D50" s="114">
        <f t="shared" si="2"/>
        <v>41173</v>
      </c>
      <c r="E50" s="115">
        <f t="shared" si="44"/>
        <v>0.20416666666666689</v>
      </c>
      <c r="F50" s="116">
        <f t="shared" si="3"/>
        <v>2456191.7041666666</v>
      </c>
      <c r="G50" s="117">
        <f t="shared" si="4"/>
        <v>0.12721982660278178</v>
      </c>
      <c r="I50" s="112">
        <f t="shared" si="5"/>
        <v>180.47816024651365</v>
      </c>
      <c r="J50" s="112">
        <f t="shared" si="6"/>
        <v>4937.322043271005</v>
      </c>
      <c r="K50" s="112">
        <f t="shared" si="7"/>
        <v>1.6703284009524262E-2</v>
      </c>
      <c r="L50" s="112">
        <f t="shared" si="8"/>
        <v>-1.8585401633032046</v>
      </c>
      <c r="M50" s="112">
        <f t="shared" si="9"/>
        <v>178.61962008321044</v>
      </c>
      <c r="N50" s="112">
        <f t="shared" si="10"/>
        <v>4935.4635031077014</v>
      </c>
      <c r="O50" s="112">
        <f t="shared" si="11"/>
        <v>1.0039309668790872</v>
      </c>
      <c r="P50" s="112">
        <f t="shared" si="12"/>
        <v>178.61802646410084</v>
      </c>
      <c r="Q50" s="112">
        <f t="shared" si="13"/>
        <v>23.437636721667097</v>
      </c>
      <c r="R50" s="112">
        <f t="shared" si="14"/>
        <v>23.436317441205151</v>
      </c>
      <c r="S50" s="112">
        <f t="shared" si="0"/>
        <v>178.73199664715995</v>
      </c>
      <c r="T50" s="112">
        <f t="shared" si="15"/>
        <v>0.54960683034950475</v>
      </c>
      <c r="U50" s="112">
        <f t="shared" si="16"/>
        <v>4.3023300128682024E-2</v>
      </c>
      <c r="V50" s="112">
        <f t="shared" si="17"/>
        <v>6.950176317910234</v>
      </c>
      <c r="W50" s="112">
        <f t="shared" si="18"/>
        <v>91.486683474456029</v>
      </c>
      <c r="X50" s="115">
        <f t="shared" si="19"/>
        <v>0.51461793311256232</v>
      </c>
      <c r="Y50" s="115">
        <f t="shared" si="20"/>
        <v>0.26048825679462889</v>
      </c>
      <c r="Z50" s="115">
        <f t="shared" si="21"/>
        <v>0.76874760943049569</v>
      </c>
      <c r="AA50" s="118">
        <f t="shared" si="22"/>
        <v>731.89346779564823</v>
      </c>
      <c r="AB50" s="112">
        <f t="shared" si="23"/>
        <v>272.95017631791058</v>
      </c>
      <c r="AC50" s="112">
        <f t="shared" si="24"/>
        <v>-111.76245592052236</v>
      </c>
      <c r="AD50" s="112">
        <f t="shared" si="25"/>
        <v>106.63318104859772</v>
      </c>
      <c r="AE50" s="112">
        <f t="shared" si="26"/>
        <v>-16.63318104859772</v>
      </c>
      <c r="AF50" s="112">
        <f t="shared" si="27"/>
        <v>1.9314218569207644E-2</v>
      </c>
      <c r="AG50" s="112">
        <f t="shared" si="28"/>
        <v>-16.613866830028513</v>
      </c>
      <c r="AH50" s="112">
        <f t="shared" si="29"/>
        <v>75.752647341911256</v>
      </c>
      <c r="AJ50" s="119">
        <f t="shared" si="30"/>
        <v>0.20416666666666689</v>
      </c>
      <c r="AK50" s="112">
        <f t="shared" si="31"/>
        <v>0</v>
      </c>
      <c r="AL50" s="112">
        <f t="shared" si="32"/>
        <v>0</v>
      </c>
      <c r="AM50" s="116">
        <f t="shared" si="33"/>
        <v>0</v>
      </c>
      <c r="AN50" s="116">
        <f t="shared" si="45"/>
        <v>0</v>
      </c>
      <c r="AO50" s="116">
        <f t="shared" si="46"/>
        <v>0</v>
      </c>
      <c r="AQ50" s="131">
        <f t="shared" si="34"/>
        <v>0</v>
      </c>
      <c r="AR50" s="131">
        <f t="shared" si="35"/>
        <v>0</v>
      </c>
      <c r="AS50" s="131">
        <f t="shared" si="36"/>
        <v>0</v>
      </c>
      <c r="AT50" s="131">
        <f t="shared" si="37"/>
        <v>0</v>
      </c>
      <c r="AU50" s="131">
        <f t="shared" si="38"/>
        <v>0</v>
      </c>
      <c r="AV50" s="131">
        <f t="shared" si="39"/>
        <v>0</v>
      </c>
      <c r="AW50" s="131">
        <f t="shared" si="40"/>
        <v>0</v>
      </c>
      <c r="AX50" s="131">
        <f t="shared" si="41"/>
        <v>0</v>
      </c>
      <c r="AY50" s="131">
        <f t="shared" si="42"/>
        <v>0</v>
      </c>
      <c r="AZ50" s="131">
        <f t="shared" si="43"/>
        <v>0</v>
      </c>
      <c r="BE50" s="116">
        <f t="shared" si="1"/>
        <v>0</v>
      </c>
    </row>
    <row r="51" spans="4:57">
      <c r="D51" s="114">
        <f t="shared" si="2"/>
        <v>41173</v>
      </c>
      <c r="E51" s="115">
        <f t="shared" si="44"/>
        <v>0.20833333333333356</v>
      </c>
      <c r="F51" s="116">
        <f t="shared" si="3"/>
        <v>2456191.7083333335</v>
      </c>
      <c r="G51" s="117">
        <f t="shared" si="4"/>
        <v>0.12721994067990386</v>
      </c>
      <c r="I51" s="112">
        <f t="shared" si="5"/>
        <v>180.48226711073767</v>
      </c>
      <c r="J51" s="112">
        <f t="shared" si="6"/>
        <v>4937.3261499390546</v>
      </c>
      <c r="K51" s="112">
        <f t="shared" si="7"/>
        <v>1.6703284004725122E-2</v>
      </c>
      <c r="L51" s="112">
        <f t="shared" si="8"/>
        <v>-1.8585728161084667</v>
      </c>
      <c r="M51" s="112">
        <f t="shared" si="9"/>
        <v>178.62369429462919</v>
      </c>
      <c r="N51" s="112">
        <f t="shared" si="10"/>
        <v>4935.4675771229458</v>
      </c>
      <c r="O51" s="112">
        <f t="shared" si="11"/>
        <v>1.0039298078237369</v>
      </c>
      <c r="P51" s="112">
        <f t="shared" si="12"/>
        <v>178.62210066603345</v>
      </c>
      <c r="Q51" s="112">
        <f t="shared" si="13"/>
        <v>23.437636720183615</v>
      </c>
      <c r="R51" s="112">
        <f t="shared" si="14"/>
        <v>23.436317431273263</v>
      </c>
      <c r="S51" s="112">
        <f t="shared" si="0"/>
        <v>178.73573508133015</v>
      </c>
      <c r="T51" s="112">
        <f t="shared" si="15"/>
        <v>0.54798679531619277</v>
      </c>
      <c r="U51" s="112">
        <f t="shared" si="16"/>
        <v>4.302330009117996E-2</v>
      </c>
      <c r="V51" s="112">
        <f t="shared" si="17"/>
        <v>6.9516508201519409</v>
      </c>
      <c r="W51" s="112">
        <f t="shared" si="18"/>
        <v>91.485416935964793</v>
      </c>
      <c r="X51" s="115">
        <f t="shared" si="19"/>
        <v>0.51461690915267222</v>
      </c>
      <c r="Y51" s="115">
        <f t="shared" si="20"/>
        <v>0.26049075099721447</v>
      </c>
      <c r="Z51" s="115">
        <f t="shared" si="21"/>
        <v>0.76874306730812991</v>
      </c>
      <c r="AA51" s="118">
        <f t="shared" si="22"/>
        <v>731.88333548771834</v>
      </c>
      <c r="AB51" s="112">
        <f t="shared" si="23"/>
        <v>278.95165082015228</v>
      </c>
      <c r="AC51" s="112">
        <f t="shared" si="24"/>
        <v>-110.26208729496193</v>
      </c>
      <c r="AD51" s="112">
        <f t="shared" si="25"/>
        <v>105.48578175180694</v>
      </c>
      <c r="AE51" s="112">
        <f t="shared" si="26"/>
        <v>-15.48578175180694</v>
      </c>
      <c r="AF51" s="112">
        <f t="shared" si="27"/>
        <v>2.0826015213853244E-2</v>
      </c>
      <c r="AG51" s="112">
        <f t="shared" si="28"/>
        <v>-15.464955736593087</v>
      </c>
      <c r="AH51" s="112">
        <f t="shared" si="29"/>
        <v>76.758555771138845</v>
      </c>
      <c r="AJ51" s="119">
        <f t="shared" si="30"/>
        <v>0.20833333333333356</v>
      </c>
      <c r="AK51" s="112">
        <f t="shared" si="31"/>
        <v>0</v>
      </c>
      <c r="AL51" s="112">
        <f t="shared" si="32"/>
        <v>0</v>
      </c>
      <c r="AM51" s="116">
        <f t="shared" si="33"/>
        <v>0</v>
      </c>
      <c r="AN51" s="116">
        <f t="shared" si="45"/>
        <v>0</v>
      </c>
      <c r="AO51" s="116">
        <f t="shared" si="46"/>
        <v>0</v>
      </c>
      <c r="AQ51" s="131">
        <f t="shared" si="34"/>
        <v>0</v>
      </c>
      <c r="AR51" s="131">
        <f t="shared" si="35"/>
        <v>0</v>
      </c>
      <c r="AS51" s="131">
        <f t="shared" si="36"/>
        <v>0</v>
      </c>
      <c r="AT51" s="131">
        <f t="shared" si="37"/>
        <v>0</v>
      </c>
      <c r="AU51" s="131">
        <f t="shared" si="38"/>
        <v>0</v>
      </c>
      <c r="AV51" s="131">
        <f t="shared" si="39"/>
        <v>0</v>
      </c>
      <c r="AW51" s="131">
        <f t="shared" si="40"/>
        <v>0</v>
      </c>
      <c r="AX51" s="131">
        <f t="shared" si="41"/>
        <v>0</v>
      </c>
      <c r="AY51" s="131">
        <f t="shared" si="42"/>
        <v>0</v>
      </c>
      <c r="AZ51" s="131">
        <f t="shared" si="43"/>
        <v>0</v>
      </c>
      <c r="BE51" s="116">
        <f t="shared" si="1"/>
        <v>0</v>
      </c>
    </row>
    <row r="52" spans="4:57">
      <c r="D52" s="114">
        <f t="shared" si="2"/>
        <v>41173</v>
      </c>
      <c r="E52" s="115">
        <f t="shared" si="44"/>
        <v>0.21250000000000024</v>
      </c>
      <c r="F52" s="116">
        <f t="shared" si="3"/>
        <v>2456191.7124999999</v>
      </c>
      <c r="G52" s="117">
        <f t="shared" si="4"/>
        <v>0.1272200547570132</v>
      </c>
      <c r="I52" s="112">
        <f t="shared" si="5"/>
        <v>180.48637397450238</v>
      </c>
      <c r="J52" s="112">
        <f t="shared" si="6"/>
        <v>4937.3302566066468</v>
      </c>
      <c r="K52" s="112">
        <f t="shared" si="7"/>
        <v>1.6703283999925985E-2</v>
      </c>
      <c r="L52" s="112">
        <f t="shared" si="8"/>
        <v>-1.8586054595032335</v>
      </c>
      <c r="M52" s="112">
        <f t="shared" si="9"/>
        <v>178.62776851499916</v>
      </c>
      <c r="N52" s="112">
        <f t="shared" si="10"/>
        <v>4935.4716511471433</v>
      </c>
      <c r="O52" s="112">
        <f t="shared" si="11"/>
        <v>1.0039286487471526</v>
      </c>
      <c r="P52" s="112">
        <f t="shared" si="12"/>
        <v>178.62617487691722</v>
      </c>
      <c r="Q52" s="112">
        <f t="shared" si="13"/>
        <v>23.437636718700137</v>
      </c>
      <c r="R52" s="112">
        <f t="shared" si="14"/>
        <v>23.436317421341396</v>
      </c>
      <c r="S52" s="112">
        <f t="shared" si="0"/>
        <v>178.73947352169236</v>
      </c>
      <c r="T52" s="112">
        <f t="shared" si="15"/>
        <v>0.54636675439211158</v>
      </c>
      <c r="U52" s="112">
        <f t="shared" si="16"/>
        <v>4.3023300053677986E-2</v>
      </c>
      <c r="V52" s="112">
        <f t="shared" si="17"/>
        <v>6.9531252982902121</v>
      </c>
      <c r="W52" s="112">
        <f t="shared" si="18"/>
        <v>91.484150395124615</v>
      </c>
      <c r="X52" s="115">
        <f t="shared" si="19"/>
        <v>0.51461588520952073</v>
      </c>
      <c r="Y52" s="115">
        <f t="shared" si="20"/>
        <v>0.26049324522306344</v>
      </c>
      <c r="Z52" s="115">
        <f t="shared" si="21"/>
        <v>0.76873852519597796</v>
      </c>
      <c r="AA52" s="118">
        <f t="shared" si="22"/>
        <v>731.87320316099692</v>
      </c>
      <c r="AB52" s="112">
        <f t="shared" si="23"/>
        <v>284.95312529829056</v>
      </c>
      <c r="AC52" s="112">
        <f t="shared" si="24"/>
        <v>-108.76171867542736</v>
      </c>
      <c r="AD52" s="112">
        <f t="shared" si="25"/>
        <v>104.33364833509326</v>
      </c>
      <c r="AE52" s="112">
        <f t="shared" si="26"/>
        <v>-14.333648335093258</v>
      </c>
      <c r="AF52" s="112">
        <f t="shared" si="27"/>
        <v>2.2581196869603533E-2</v>
      </c>
      <c r="AG52" s="112">
        <f t="shared" si="28"/>
        <v>-14.311067138223654</v>
      </c>
      <c r="AH52" s="112">
        <f t="shared" si="29"/>
        <v>77.753042994259999</v>
      </c>
      <c r="AJ52" s="119">
        <f t="shared" si="30"/>
        <v>0.21250000000000024</v>
      </c>
      <c r="AK52" s="112">
        <f t="shared" si="31"/>
        <v>0</v>
      </c>
      <c r="AL52" s="112">
        <f t="shared" si="32"/>
        <v>0</v>
      </c>
      <c r="AM52" s="116">
        <f t="shared" si="33"/>
        <v>0</v>
      </c>
      <c r="AN52" s="116">
        <f t="shared" si="45"/>
        <v>0</v>
      </c>
      <c r="AO52" s="116">
        <f t="shared" si="46"/>
        <v>0</v>
      </c>
      <c r="AQ52" s="131">
        <f t="shared" si="34"/>
        <v>0</v>
      </c>
      <c r="AR52" s="131">
        <f t="shared" si="35"/>
        <v>0</v>
      </c>
      <c r="AS52" s="131">
        <f t="shared" si="36"/>
        <v>0</v>
      </c>
      <c r="AT52" s="131">
        <f t="shared" si="37"/>
        <v>0</v>
      </c>
      <c r="AU52" s="131">
        <f t="shared" si="38"/>
        <v>0</v>
      </c>
      <c r="AV52" s="131">
        <f t="shared" si="39"/>
        <v>0</v>
      </c>
      <c r="AW52" s="131">
        <f t="shared" si="40"/>
        <v>0</v>
      </c>
      <c r="AX52" s="131">
        <f t="shared" si="41"/>
        <v>0</v>
      </c>
      <c r="AY52" s="131">
        <f t="shared" si="42"/>
        <v>0</v>
      </c>
      <c r="AZ52" s="131">
        <f t="shared" si="43"/>
        <v>0</v>
      </c>
      <c r="BE52" s="116">
        <f t="shared" si="1"/>
        <v>0</v>
      </c>
    </row>
    <row r="53" spans="4:57">
      <c r="D53" s="114">
        <f t="shared" si="2"/>
        <v>41173</v>
      </c>
      <c r="E53" s="115">
        <f t="shared" si="44"/>
        <v>0.21666666666666692</v>
      </c>
      <c r="F53" s="116">
        <f t="shared" si="3"/>
        <v>2456191.7166666668</v>
      </c>
      <c r="G53" s="117">
        <f t="shared" si="4"/>
        <v>0.12722016883413528</v>
      </c>
      <c r="I53" s="112">
        <f t="shared" si="5"/>
        <v>180.4904808387264</v>
      </c>
      <c r="J53" s="112">
        <f t="shared" si="6"/>
        <v>4937.3343632746964</v>
      </c>
      <c r="K53" s="112">
        <f t="shared" si="7"/>
        <v>1.6703283995126848E-2</v>
      </c>
      <c r="L53" s="112">
        <f t="shared" si="8"/>
        <v>-1.858638093494573</v>
      </c>
      <c r="M53" s="112">
        <f t="shared" si="9"/>
        <v>178.63184274523184</v>
      </c>
      <c r="N53" s="112">
        <f t="shared" si="10"/>
        <v>4935.4757251812016</v>
      </c>
      <c r="O53" s="112">
        <f t="shared" si="11"/>
        <v>1.0039274896490815</v>
      </c>
      <c r="P53" s="112">
        <f t="shared" si="12"/>
        <v>178.63024909766364</v>
      </c>
      <c r="Q53" s="112">
        <f t="shared" si="13"/>
        <v>23.437636717216655</v>
      </c>
      <c r="R53" s="112">
        <f t="shared" si="14"/>
        <v>23.436317411409547</v>
      </c>
      <c r="S53" s="112">
        <f t="shared" si="0"/>
        <v>178.74321196908895</v>
      </c>
      <c r="T53" s="112">
        <f t="shared" si="15"/>
        <v>0.54474670722168206</v>
      </c>
      <c r="U53" s="112">
        <f t="shared" si="16"/>
        <v>4.3023300016176082E-2</v>
      </c>
      <c r="V53" s="112">
        <f t="shared" si="17"/>
        <v>6.954599752630509</v>
      </c>
      <c r="W53" s="112">
        <f t="shared" si="18"/>
        <v>91.482883851654904</v>
      </c>
      <c r="X53" s="115">
        <f t="shared" si="19"/>
        <v>0.51461486128289546</v>
      </c>
      <c r="Y53" s="115">
        <f t="shared" si="20"/>
        <v>0.26049573947274296</v>
      </c>
      <c r="Z53" s="115">
        <f t="shared" si="21"/>
        <v>0.76873398309304797</v>
      </c>
      <c r="AA53" s="118">
        <f t="shared" si="22"/>
        <v>731.86307081323923</v>
      </c>
      <c r="AB53" s="112">
        <f t="shared" si="23"/>
        <v>290.95459975263088</v>
      </c>
      <c r="AC53" s="112">
        <f t="shared" si="24"/>
        <v>-107.26135006184228</v>
      </c>
      <c r="AD53" s="112">
        <f t="shared" si="25"/>
        <v>103.17717864487899</v>
      </c>
      <c r="AE53" s="112">
        <f t="shared" si="26"/>
        <v>-13.177178644878992</v>
      </c>
      <c r="AF53" s="112">
        <f t="shared" si="27"/>
        <v>2.4644670203251631E-2</v>
      </c>
      <c r="AG53" s="112">
        <f t="shared" si="28"/>
        <v>-13.152533974675741</v>
      </c>
      <c r="AH53" s="112">
        <f t="shared" si="29"/>
        <v>78.737047134127693</v>
      </c>
      <c r="AJ53" s="119">
        <f t="shared" si="30"/>
        <v>0.21666666666666692</v>
      </c>
      <c r="AK53" s="112">
        <f t="shared" si="31"/>
        <v>0</v>
      </c>
      <c r="AL53" s="112">
        <f t="shared" si="32"/>
        <v>0</v>
      </c>
      <c r="AM53" s="116">
        <f t="shared" si="33"/>
        <v>0</v>
      </c>
      <c r="AN53" s="116">
        <f t="shared" si="45"/>
        <v>0</v>
      </c>
      <c r="AO53" s="116">
        <f t="shared" si="46"/>
        <v>0</v>
      </c>
      <c r="AQ53" s="131">
        <f t="shared" si="34"/>
        <v>0</v>
      </c>
      <c r="AR53" s="131">
        <f t="shared" si="35"/>
        <v>0</v>
      </c>
      <c r="AS53" s="131">
        <f t="shared" si="36"/>
        <v>0</v>
      </c>
      <c r="AT53" s="131">
        <f t="shared" si="37"/>
        <v>0</v>
      </c>
      <c r="AU53" s="131">
        <f t="shared" si="38"/>
        <v>0</v>
      </c>
      <c r="AV53" s="131">
        <f t="shared" si="39"/>
        <v>0</v>
      </c>
      <c r="AW53" s="131">
        <f t="shared" si="40"/>
        <v>0</v>
      </c>
      <c r="AX53" s="131">
        <f t="shared" si="41"/>
        <v>0</v>
      </c>
      <c r="AY53" s="131">
        <f t="shared" si="42"/>
        <v>0</v>
      </c>
      <c r="AZ53" s="131">
        <f t="shared" si="43"/>
        <v>0</v>
      </c>
      <c r="BE53" s="116">
        <f t="shared" si="1"/>
        <v>0</v>
      </c>
    </row>
    <row r="54" spans="4:57">
      <c r="D54" s="114">
        <f t="shared" si="2"/>
        <v>41173</v>
      </c>
      <c r="E54" s="115">
        <f t="shared" si="44"/>
        <v>0.2208333333333336</v>
      </c>
      <c r="F54" s="116">
        <f t="shared" si="3"/>
        <v>2456191.7208333332</v>
      </c>
      <c r="G54" s="117">
        <f t="shared" si="4"/>
        <v>0.1272202829112446</v>
      </c>
      <c r="I54" s="112">
        <f t="shared" si="5"/>
        <v>180.49458770249112</v>
      </c>
      <c r="J54" s="112">
        <f t="shared" si="6"/>
        <v>4937.3384699422877</v>
      </c>
      <c r="K54" s="112">
        <f t="shared" si="7"/>
        <v>1.6703283990327712E-2</v>
      </c>
      <c r="L54" s="112">
        <f t="shared" si="8"/>
        <v>-1.8586707180749997</v>
      </c>
      <c r="M54" s="112">
        <f t="shared" si="9"/>
        <v>178.63591698441613</v>
      </c>
      <c r="N54" s="112">
        <f t="shared" si="10"/>
        <v>4935.4797992242129</v>
      </c>
      <c r="O54" s="112">
        <f t="shared" si="11"/>
        <v>1.0039263305297887</v>
      </c>
      <c r="P54" s="112">
        <f t="shared" si="12"/>
        <v>178.63432332736161</v>
      </c>
      <c r="Q54" s="112">
        <f t="shared" si="13"/>
        <v>23.437636715733177</v>
      </c>
      <c r="R54" s="112">
        <f t="shared" si="14"/>
        <v>23.436317401477723</v>
      </c>
      <c r="S54" s="112">
        <f t="shared" si="0"/>
        <v>178.74695042268985</v>
      </c>
      <c r="T54" s="112">
        <f t="shared" si="15"/>
        <v>0.54312665417407635</v>
      </c>
      <c r="U54" s="112">
        <f t="shared" si="16"/>
        <v>4.3023299978674268E-2</v>
      </c>
      <c r="V54" s="112">
        <f t="shared" si="17"/>
        <v>6.956074182818865</v>
      </c>
      <c r="W54" s="112">
        <f t="shared" si="18"/>
        <v>91.481617305841624</v>
      </c>
      <c r="X54" s="115">
        <f t="shared" si="19"/>
        <v>0.51461383737304245</v>
      </c>
      <c r="Y54" s="115">
        <f t="shared" si="20"/>
        <v>0.26049823374570458</v>
      </c>
      <c r="Z54" s="115">
        <f t="shared" si="21"/>
        <v>0.76872944100038032</v>
      </c>
      <c r="AA54" s="118">
        <f t="shared" si="22"/>
        <v>731.85293844673299</v>
      </c>
      <c r="AB54" s="112">
        <f t="shared" si="23"/>
        <v>296.95607418281924</v>
      </c>
      <c r="AC54" s="112">
        <f t="shared" si="24"/>
        <v>-105.76098145429519</v>
      </c>
      <c r="AD54" s="112">
        <f t="shared" si="25"/>
        <v>102.01675680238176</v>
      </c>
      <c r="AE54" s="112">
        <f t="shared" si="26"/>
        <v>-12.016756802381764</v>
      </c>
      <c r="AF54" s="112">
        <f t="shared" si="27"/>
        <v>2.7106731464441473E-2</v>
      </c>
      <c r="AG54" s="112">
        <f t="shared" si="28"/>
        <v>-11.989650070917323</v>
      </c>
      <c r="AH54" s="112">
        <f t="shared" si="29"/>
        <v>79.711483717395708</v>
      </c>
      <c r="AJ54" s="119">
        <f t="shared" si="30"/>
        <v>0.2208333333333336</v>
      </c>
      <c r="AK54" s="112">
        <f t="shared" si="31"/>
        <v>0</v>
      </c>
      <c r="AL54" s="112">
        <f t="shared" si="32"/>
        <v>0</v>
      </c>
      <c r="AM54" s="116">
        <f t="shared" si="33"/>
        <v>0</v>
      </c>
      <c r="AN54" s="116">
        <f t="shared" si="45"/>
        <v>0</v>
      </c>
      <c r="AO54" s="116">
        <f t="shared" si="46"/>
        <v>0</v>
      </c>
      <c r="AQ54" s="131">
        <f t="shared" si="34"/>
        <v>0</v>
      </c>
      <c r="AR54" s="131">
        <f t="shared" si="35"/>
        <v>0</v>
      </c>
      <c r="AS54" s="131">
        <f t="shared" si="36"/>
        <v>0</v>
      </c>
      <c r="AT54" s="131">
        <f t="shared" si="37"/>
        <v>0</v>
      </c>
      <c r="AU54" s="131">
        <f t="shared" si="38"/>
        <v>0</v>
      </c>
      <c r="AV54" s="131">
        <f t="shared" si="39"/>
        <v>0</v>
      </c>
      <c r="AW54" s="131">
        <f t="shared" si="40"/>
        <v>0</v>
      </c>
      <c r="AX54" s="131">
        <f t="shared" si="41"/>
        <v>0</v>
      </c>
      <c r="AY54" s="131">
        <f t="shared" si="42"/>
        <v>0</v>
      </c>
      <c r="AZ54" s="131">
        <f t="shared" si="43"/>
        <v>0</v>
      </c>
      <c r="BE54" s="116">
        <f t="shared" si="1"/>
        <v>0</v>
      </c>
    </row>
    <row r="55" spans="4:57">
      <c r="D55" s="114">
        <f t="shared" si="2"/>
        <v>41173</v>
      </c>
      <c r="E55" s="115">
        <f t="shared" si="44"/>
        <v>0.22500000000000028</v>
      </c>
      <c r="F55" s="116">
        <f t="shared" si="3"/>
        <v>2456191.7250000001</v>
      </c>
      <c r="G55" s="117">
        <f t="shared" si="4"/>
        <v>0.12722039698836668</v>
      </c>
      <c r="I55" s="112">
        <f t="shared" si="5"/>
        <v>180.49869456671422</v>
      </c>
      <c r="J55" s="112">
        <f t="shared" si="6"/>
        <v>4937.3425766103383</v>
      </c>
      <c r="K55" s="112">
        <f t="shared" si="7"/>
        <v>1.6703283985528575E-2</v>
      </c>
      <c r="L55" s="112">
        <f t="shared" si="8"/>
        <v>-1.8587033332515983</v>
      </c>
      <c r="M55" s="112">
        <f t="shared" si="9"/>
        <v>178.63999123346261</v>
      </c>
      <c r="N55" s="112">
        <f t="shared" si="10"/>
        <v>4935.4838732770868</v>
      </c>
      <c r="O55" s="112">
        <f t="shared" si="11"/>
        <v>1.0039251713890205</v>
      </c>
      <c r="P55" s="112">
        <f t="shared" si="12"/>
        <v>178.6383975669217</v>
      </c>
      <c r="Q55" s="112">
        <f t="shared" si="13"/>
        <v>23.437636714249695</v>
      </c>
      <c r="R55" s="112">
        <f t="shared" si="14"/>
        <v>23.436317391545913</v>
      </c>
      <c r="S55" s="112">
        <f t="shared" si="0"/>
        <v>178.75068888333647</v>
      </c>
      <c r="T55" s="112">
        <f t="shared" si="15"/>
        <v>0.54150659489411912</v>
      </c>
      <c r="U55" s="112">
        <f t="shared" si="16"/>
        <v>4.3023299941172516E-2</v>
      </c>
      <c r="V55" s="112">
        <f t="shared" si="17"/>
        <v>6.9575485891605089</v>
      </c>
      <c r="W55" s="112">
        <f t="shared" si="18"/>
        <v>91.48035075740448</v>
      </c>
      <c r="X55" s="115">
        <f t="shared" si="19"/>
        <v>0.51461281347974963</v>
      </c>
      <c r="Y55" s="115">
        <f t="shared" si="20"/>
        <v>0.26050072804251495</v>
      </c>
      <c r="Z55" s="115">
        <f t="shared" si="21"/>
        <v>0.76872489891698437</v>
      </c>
      <c r="AA55" s="118">
        <f t="shared" si="22"/>
        <v>731.84280605923584</v>
      </c>
      <c r="AB55" s="112">
        <f t="shared" si="23"/>
        <v>302.95754858916092</v>
      </c>
      <c r="AC55" s="112">
        <f t="shared" si="24"/>
        <v>-104.26061285270977</v>
      </c>
      <c r="AD55" s="112">
        <f t="shared" si="25"/>
        <v>100.85275449792972</v>
      </c>
      <c r="AE55" s="112">
        <f t="shared" si="26"/>
        <v>-10.852754497929723</v>
      </c>
      <c r="AF55" s="112">
        <f t="shared" si="27"/>
        <v>3.0096818645612578E-2</v>
      </c>
      <c r="AG55" s="112">
        <f t="shared" si="28"/>
        <v>-10.822657679284111</v>
      </c>
      <c r="AH55" s="112">
        <f t="shared" si="29"/>
        <v>80.677247467372922</v>
      </c>
      <c r="AJ55" s="119">
        <f t="shared" si="30"/>
        <v>0.22500000000000028</v>
      </c>
      <c r="AK55" s="112">
        <f t="shared" si="31"/>
        <v>0</v>
      </c>
      <c r="AL55" s="112">
        <f t="shared" si="32"/>
        <v>0</v>
      </c>
      <c r="AM55" s="116">
        <f t="shared" si="33"/>
        <v>0</v>
      </c>
      <c r="AN55" s="116">
        <f t="shared" si="45"/>
        <v>0</v>
      </c>
      <c r="AO55" s="116">
        <f t="shared" si="46"/>
        <v>0</v>
      </c>
      <c r="AQ55" s="131">
        <f t="shared" si="34"/>
        <v>0</v>
      </c>
      <c r="AR55" s="131">
        <f t="shared" si="35"/>
        <v>0</v>
      </c>
      <c r="AS55" s="131">
        <f t="shared" si="36"/>
        <v>0</v>
      </c>
      <c r="AT55" s="131">
        <f t="shared" si="37"/>
        <v>0</v>
      </c>
      <c r="AU55" s="131">
        <f t="shared" si="38"/>
        <v>0</v>
      </c>
      <c r="AV55" s="131">
        <f t="shared" si="39"/>
        <v>0</v>
      </c>
      <c r="AW55" s="131">
        <f t="shared" si="40"/>
        <v>0</v>
      </c>
      <c r="AX55" s="131">
        <f t="shared" si="41"/>
        <v>0</v>
      </c>
      <c r="AY55" s="131">
        <f t="shared" si="42"/>
        <v>0</v>
      </c>
      <c r="AZ55" s="131">
        <f t="shared" si="43"/>
        <v>0</v>
      </c>
      <c r="BE55" s="116">
        <f t="shared" si="1"/>
        <v>0</v>
      </c>
    </row>
    <row r="56" spans="4:57">
      <c r="D56" s="114">
        <f t="shared" si="2"/>
        <v>41173</v>
      </c>
      <c r="E56" s="115">
        <f t="shared" si="44"/>
        <v>0.22916666666666696</v>
      </c>
      <c r="F56" s="116">
        <f t="shared" si="3"/>
        <v>2456191.7291666665</v>
      </c>
      <c r="G56" s="117">
        <f t="shared" si="4"/>
        <v>0.12722051106547602</v>
      </c>
      <c r="I56" s="112">
        <f t="shared" si="5"/>
        <v>180.50280143047894</v>
      </c>
      <c r="J56" s="112">
        <f t="shared" si="6"/>
        <v>4937.3466832779295</v>
      </c>
      <c r="K56" s="112">
        <f t="shared" si="7"/>
        <v>1.6703283980729438E-2</v>
      </c>
      <c r="L56" s="112">
        <f t="shared" si="8"/>
        <v>-1.8587359390168683</v>
      </c>
      <c r="M56" s="112">
        <f t="shared" si="9"/>
        <v>178.64406549146207</v>
      </c>
      <c r="N56" s="112">
        <f t="shared" si="10"/>
        <v>4935.4879473389128</v>
      </c>
      <c r="O56" s="112">
        <f t="shared" si="11"/>
        <v>1.0039240122270425</v>
      </c>
      <c r="P56" s="112">
        <f t="shared" si="12"/>
        <v>178.64247181543473</v>
      </c>
      <c r="Q56" s="112">
        <f t="shared" si="13"/>
        <v>23.437636712766217</v>
      </c>
      <c r="R56" s="112">
        <f t="shared" si="14"/>
        <v>23.436317381614124</v>
      </c>
      <c r="S56" s="112">
        <f t="shared" si="0"/>
        <v>178.75442735020064</v>
      </c>
      <c r="T56" s="112">
        <f t="shared" si="15"/>
        <v>0.53988652975018414</v>
      </c>
      <c r="U56" s="112">
        <f t="shared" si="16"/>
        <v>4.3023299903670827E-2</v>
      </c>
      <c r="V56" s="112">
        <f t="shared" si="17"/>
        <v>6.9590229713019971</v>
      </c>
      <c r="W56" s="112">
        <f t="shared" si="18"/>
        <v>91.479084206628883</v>
      </c>
      <c r="X56" s="115">
        <f t="shared" si="19"/>
        <v>0.51461178960326248</v>
      </c>
      <c r="Y56" s="115">
        <f t="shared" si="20"/>
        <v>0.26050322236262669</v>
      </c>
      <c r="Z56" s="115">
        <f t="shared" si="21"/>
        <v>0.76872035684389828</v>
      </c>
      <c r="AA56" s="118">
        <f t="shared" si="22"/>
        <v>731.83267365303107</v>
      </c>
      <c r="AB56" s="112">
        <f t="shared" si="23"/>
        <v>308.95902297130243</v>
      </c>
      <c r="AC56" s="112">
        <f t="shared" si="24"/>
        <v>-102.76024425717439</v>
      </c>
      <c r="AD56" s="112">
        <f t="shared" si="25"/>
        <v>99.685532231808907</v>
      </c>
      <c r="AE56" s="112">
        <f t="shared" si="26"/>
        <v>-9.6855322318089065</v>
      </c>
      <c r="AF56" s="112">
        <f t="shared" si="27"/>
        <v>3.3807288968724071E-2</v>
      </c>
      <c r="AG56" s="112">
        <f t="shared" si="28"/>
        <v>-9.6517249428401826</v>
      </c>
      <c r="AH56" s="112">
        <f t="shared" si="29"/>
        <v>81.635214120087142</v>
      </c>
      <c r="AJ56" s="119">
        <f t="shared" si="30"/>
        <v>0.22916666666666696</v>
      </c>
      <c r="AK56" s="112">
        <f t="shared" si="31"/>
        <v>0</v>
      </c>
      <c r="AL56" s="112">
        <f t="shared" si="32"/>
        <v>0</v>
      </c>
      <c r="AM56" s="116">
        <f t="shared" si="33"/>
        <v>0</v>
      </c>
      <c r="AN56" s="116">
        <f t="shared" si="45"/>
        <v>0</v>
      </c>
      <c r="AO56" s="116">
        <f t="shared" si="46"/>
        <v>0</v>
      </c>
      <c r="AQ56" s="131">
        <f t="shared" si="34"/>
        <v>0</v>
      </c>
      <c r="AR56" s="131">
        <f t="shared" si="35"/>
        <v>0</v>
      </c>
      <c r="AS56" s="131">
        <f t="shared" si="36"/>
        <v>0</v>
      </c>
      <c r="AT56" s="131">
        <f t="shared" si="37"/>
        <v>0</v>
      </c>
      <c r="AU56" s="131">
        <f t="shared" si="38"/>
        <v>0</v>
      </c>
      <c r="AV56" s="131">
        <f t="shared" si="39"/>
        <v>0</v>
      </c>
      <c r="AW56" s="131">
        <f t="shared" si="40"/>
        <v>0</v>
      </c>
      <c r="AX56" s="131">
        <f t="shared" si="41"/>
        <v>0</v>
      </c>
      <c r="AY56" s="131">
        <f t="shared" si="42"/>
        <v>0</v>
      </c>
      <c r="AZ56" s="131">
        <f t="shared" si="43"/>
        <v>0</v>
      </c>
      <c r="BE56" s="116">
        <f t="shared" si="1"/>
        <v>0</v>
      </c>
    </row>
    <row r="57" spans="4:57">
      <c r="D57" s="114">
        <f t="shared" si="2"/>
        <v>41173</v>
      </c>
      <c r="E57" s="115">
        <f t="shared" si="44"/>
        <v>0.23333333333333364</v>
      </c>
      <c r="F57" s="116">
        <f t="shared" si="3"/>
        <v>2456191.7333333334</v>
      </c>
      <c r="G57" s="117">
        <f t="shared" si="4"/>
        <v>0.1272206251425981</v>
      </c>
      <c r="I57" s="112">
        <f t="shared" si="5"/>
        <v>180.50690829470295</v>
      </c>
      <c r="J57" s="112">
        <f t="shared" si="6"/>
        <v>4937.3507899459801</v>
      </c>
      <c r="K57" s="112">
        <f t="shared" si="7"/>
        <v>1.6703283975930298E-2</v>
      </c>
      <c r="L57" s="112">
        <f t="shared" si="8"/>
        <v>-1.8587685353778962</v>
      </c>
      <c r="M57" s="112">
        <f t="shared" si="9"/>
        <v>178.64813975932506</v>
      </c>
      <c r="N57" s="112">
        <f t="shared" si="10"/>
        <v>4935.4920214106023</v>
      </c>
      <c r="O57" s="112">
        <f t="shared" si="11"/>
        <v>1.0039228530436004</v>
      </c>
      <c r="P57" s="112">
        <f t="shared" si="12"/>
        <v>178.64654607381121</v>
      </c>
      <c r="Q57" s="112">
        <f t="shared" si="13"/>
        <v>23.437636711282739</v>
      </c>
      <c r="R57" s="112">
        <f t="shared" si="14"/>
        <v>23.436317371682357</v>
      </c>
      <c r="S57" s="112">
        <f t="shared" si="0"/>
        <v>178.75816582412375</v>
      </c>
      <c r="T57" s="112">
        <f t="shared" si="15"/>
        <v>0.53826645838712572</v>
      </c>
      <c r="U57" s="112">
        <f t="shared" si="16"/>
        <v>4.3023299866169235E-2</v>
      </c>
      <c r="V57" s="112">
        <f t="shared" si="17"/>
        <v>6.9604973295485664</v>
      </c>
      <c r="W57" s="112">
        <f t="shared" si="18"/>
        <v>91.47781765323451</v>
      </c>
      <c r="X57" s="115">
        <f t="shared" si="19"/>
        <v>0.51461076574336906</v>
      </c>
      <c r="Y57" s="115">
        <f t="shared" si="20"/>
        <v>0.26050571670660655</v>
      </c>
      <c r="Z57" s="115">
        <f t="shared" si="21"/>
        <v>0.76871581478013162</v>
      </c>
      <c r="AA57" s="118">
        <f t="shared" si="22"/>
        <v>731.82254122587608</v>
      </c>
      <c r="AB57" s="112">
        <f t="shared" si="23"/>
        <v>314.96049732954901</v>
      </c>
      <c r="AC57" s="112">
        <f t="shared" si="24"/>
        <v>-101.25987566761275</v>
      </c>
      <c r="AD57" s="112">
        <f t="shared" si="25"/>
        <v>98.515440508745328</v>
      </c>
      <c r="AE57" s="112">
        <f t="shared" si="26"/>
        <v>-8.5154405087453284</v>
      </c>
      <c r="AF57" s="112">
        <f t="shared" si="27"/>
        <v>3.8536927362596882E-2</v>
      </c>
      <c r="AG57" s="112">
        <f t="shared" si="28"/>
        <v>-8.4769035813827323</v>
      </c>
      <c r="AH57" s="112">
        <f t="shared" si="29"/>
        <v>82.586242259899564</v>
      </c>
      <c r="AJ57" s="119">
        <f t="shared" si="30"/>
        <v>0.23333333333333364</v>
      </c>
      <c r="AK57" s="112">
        <f t="shared" si="31"/>
        <v>0</v>
      </c>
      <c r="AL57" s="112">
        <f t="shared" si="32"/>
        <v>0</v>
      </c>
      <c r="AM57" s="116">
        <f t="shared" si="33"/>
        <v>0</v>
      </c>
      <c r="AN57" s="116">
        <f t="shared" si="45"/>
        <v>0</v>
      </c>
      <c r="AO57" s="116">
        <f t="shared" si="46"/>
        <v>0</v>
      </c>
      <c r="AQ57" s="131">
        <f t="shared" si="34"/>
        <v>0</v>
      </c>
      <c r="AR57" s="131">
        <f t="shared" si="35"/>
        <v>0</v>
      </c>
      <c r="AS57" s="131">
        <f t="shared" si="36"/>
        <v>0</v>
      </c>
      <c r="AT57" s="131">
        <f t="shared" si="37"/>
        <v>0</v>
      </c>
      <c r="AU57" s="131">
        <f t="shared" si="38"/>
        <v>0</v>
      </c>
      <c r="AV57" s="131">
        <f t="shared" si="39"/>
        <v>0</v>
      </c>
      <c r="AW57" s="131">
        <f t="shared" si="40"/>
        <v>0</v>
      </c>
      <c r="AX57" s="131">
        <f t="shared" si="41"/>
        <v>0</v>
      </c>
      <c r="AY57" s="131">
        <f t="shared" si="42"/>
        <v>0</v>
      </c>
      <c r="AZ57" s="131">
        <f t="shared" si="43"/>
        <v>0</v>
      </c>
      <c r="BE57" s="116">
        <f t="shared" si="1"/>
        <v>0</v>
      </c>
    </row>
    <row r="58" spans="4:57">
      <c r="D58" s="114">
        <f t="shared" si="2"/>
        <v>41173</v>
      </c>
      <c r="E58" s="115">
        <f t="shared" si="44"/>
        <v>0.23750000000000032</v>
      </c>
      <c r="F58" s="116">
        <f t="shared" si="3"/>
        <v>2456191.7374999998</v>
      </c>
      <c r="G58" s="117">
        <f t="shared" si="4"/>
        <v>0.12722073921970742</v>
      </c>
      <c r="I58" s="112">
        <f t="shared" si="5"/>
        <v>180.51101515846767</v>
      </c>
      <c r="J58" s="112">
        <f t="shared" si="6"/>
        <v>4937.3548966135704</v>
      </c>
      <c r="K58" s="112">
        <f t="shared" si="7"/>
        <v>1.6703283971131161E-2</v>
      </c>
      <c r="L58" s="112">
        <f t="shared" si="8"/>
        <v>-1.8588011223271796</v>
      </c>
      <c r="M58" s="112">
        <f t="shared" si="9"/>
        <v>178.65221403614049</v>
      </c>
      <c r="N58" s="112">
        <f t="shared" si="10"/>
        <v>4935.4960954912431</v>
      </c>
      <c r="O58" s="112">
        <f t="shared" si="11"/>
        <v>1.0039216938389603</v>
      </c>
      <c r="P58" s="112">
        <f t="shared" si="12"/>
        <v>178.6506203411401</v>
      </c>
      <c r="Q58" s="112">
        <f t="shared" si="13"/>
        <v>23.437636709799257</v>
      </c>
      <c r="R58" s="112">
        <f t="shared" si="14"/>
        <v>23.436317361750607</v>
      </c>
      <c r="S58" s="112">
        <f t="shared" si="0"/>
        <v>178.76190430427579</v>
      </c>
      <c r="T58" s="112">
        <f t="shared" si="15"/>
        <v>0.53664638117408803</v>
      </c>
      <c r="U58" s="112">
        <f t="shared" si="16"/>
        <v>4.3023299828667712E-2</v>
      </c>
      <c r="V58" s="112">
        <f t="shared" si="17"/>
        <v>6.9619716635461737</v>
      </c>
      <c r="W58" s="112">
        <f t="shared" si="18"/>
        <v>91.476551097507354</v>
      </c>
      <c r="X58" s="115">
        <f t="shared" si="19"/>
        <v>0.51460974190031517</v>
      </c>
      <c r="Y58" s="115">
        <f t="shared" si="20"/>
        <v>0.26050821107390587</v>
      </c>
      <c r="Z58" s="115">
        <f t="shared" si="21"/>
        <v>0.76871127272672446</v>
      </c>
      <c r="AA58" s="118">
        <f t="shared" si="22"/>
        <v>731.81240878005883</v>
      </c>
      <c r="AB58" s="112">
        <f t="shared" si="23"/>
        <v>320.96197166354665</v>
      </c>
      <c r="AC58" s="112">
        <f t="shared" si="24"/>
        <v>-99.759507084113338</v>
      </c>
      <c r="AD58" s="112">
        <f t="shared" si="25"/>
        <v>97.342820987944577</v>
      </c>
      <c r="AE58" s="112">
        <f t="shared" si="26"/>
        <v>-7.3428209879445774</v>
      </c>
      <c r="AF58" s="112">
        <f t="shared" si="27"/>
        <v>4.4776353670342529E-2</v>
      </c>
      <c r="AG58" s="112">
        <f t="shared" si="28"/>
        <v>-7.2980446342742349</v>
      </c>
      <c r="AH58" s="112">
        <f t="shared" si="29"/>
        <v>83.53117516239746</v>
      </c>
      <c r="AJ58" s="119">
        <f t="shared" si="30"/>
        <v>0.23750000000000032</v>
      </c>
      <c r="AK58" s="112">
        <f t="shared" si="31"/>
        <v>0</v>
      </c>
      <c r="AL58" s="112">
        <f t="shared" si="32"/>
        <v>0</v>
      </c>
      <c r="AM58" s="116">
        <f t="shared" si="33"/>
        <v>0</v>
      </c>
      <c r="AN58" s="116">
        <f t="shared" si="45"/>
        <v>0</v>
      </c>
      <c r="AO58" s="116">
        <f t="shared" si="46"/>
        <v>0</v>
      </c>
      <c r="AQ58" s="131">
        <f t="shared" si="34"/>
        <v>0</v>
      </c>
      <c r="AR58" s="131">
        <f t="shared" si="35"/>
        <v>0</v>
      </c>
      <c r="AS58" s="131">
        <f t="shared" si="36"/>
        <v>0</v>
      </c>
      <c r="AT58" s="131">
        <f t="shared" si="37"/>
        <v>0</v>
      </c>
      <c r="AU58" s="131">
        <f t="shared" si="38"/>
        <v>0</v>
      </c>
      <c r="AV58" s="131">
        <f t="shared" si="39"/>
        <v>0</v>
      </c>
      <c r="AW58" s="131">
        <f t="shared" si="40"/>
        <v>0</v>
      </c>
      <c r="AX58" s="131">
        <f t="shared" si="41"/>
        <v>0</v>
      </c>
      <c r="AY58" s="131">
        <f t="shared" si="42"/>
        <v>0</v>
      </c>
      <c r="AZ58" s="131">
        <f t="shared" si="43"/>
        <v>0</v>
      </c>
      <c r="BE58" s="116">
        <f t="shared" si="1"/>
        <v>0</v>
      </c>
    </row>
    <row r="59" spans="4:57">
      <c r="D59" s="114">
        <f t="shared" si="2"/>
        <v>41173</v>
      </c>
      <c r="E59" s="115">
        <f t="shared" si="44"/>
        <v>0.241666666666667</v>
      </c>
      <c r="F59" s="116">
        <f t="shared" si="3"/>
        <v>2456191.7416666667</v>
      </c>
      <c r="G59" s="117">
        <f t="shared" si="4"/>
        <v>0.1272208532968295</v>
      </c>
      <c r="I59" s="112">
        <f t="shared" si="5"/>
        <v>180.51512202269168</v>
      </c>
      <c r="J59" s="112">
        <f t="shared" si="6"/>
        <v>4937.359003281621</v>
      </c>
      <c r="K59" s="112">
        <f t="shared" si="7"/>
        <v>1.6703283966332024E-2</v>
      </c>
      <c r="L59" s="112">
        <f t="shared" si="8"/>
        <v>-1.8588336998718136</v>
      </c>
      <c r="M59" s="112">
        <f t="shared" si="9"/>
        <v>178.65628832281988</v>
      </c>
      <c r="N59" s="112">
        <f t="shared" si="10"/>
        <v>4935.5001695817491</v>
      </c>
      <c r="O59" s="112">
        <f t="shared" si="11"/>
        <v>1.0039205346128675</v>
      </c>
      <c r="P59" s="112">
        <f t="shared" si="12"/>
        <v>178.65469461833285</v>
      </c>
      <c r="Q59" s="112">
        <f t="shared" si="13"/>
        <v>23.437636708315779</v>
      </c>
      <c r="R59" s="112">
        <f t="shared" si="14"/>
        <v>23.436317351818879</v>
      </c>
      <c r="S59" s="112">
        <f t="shared" si="0"/>
        <v>178.76564279149906</v>
      </c>
      <c r="T59" s="112">
        <f t="shared" si="15"/>
        <v>0.5350262977555198</v>
      </c>
      <c r="U59" s="112">
        <f t="shared" si="16"/>
        <v>4.3023299791166245E-2</v>
      </c>
      <c r="V59" s="112">
        <f t="shared" si="17"/>
        <v>6.9634459736003951</v>
      </c>
      <c r="W59" s="112">
        <f t="shared" si="18"/>
        <v>91.475284539166822</v>
      </c>
      <c r="X59" s="115">
        <f t="shared" si="19"/>
        <v>0.51460871807388864</v>
      </c>
      <c r="Y59" s="115">
        <f t="shared" si="20"/>
        <v>0.26051070546509192</v>
      </c>
      <c r="Z59" s="115">
        <f t="shared" si="21"/>
        <v>0.76870673068268536</v>
      </c>
      <c r="AA59" s="118">
        <f t="shared" si="22"/>
        <v>731.80227631333457</v>
      </c>
      <c r="AB59" s="112">
        <f t="shared" si="23"/>
        <v>326.96344597360087</v>
      </c>
      <c r="AC59" s="112">
        <f t="shared" si="24"/>
        <v>-98.259138506599783</v>
      </c>
      <c r="AD59" s="112">
        <f t="shared" si="25"/>
        <v>96.168007595898885</v>
      </c>
      <c r="AE59" s="112">
        <f t="shared" si="26"/>
        <v>-6.1680075958988851</v>
      </c>
      <c r="AF59" s="112">
        <f t="shared" si="27"/>
        <v>5.3391401396905264E-2</v>
      </c>
      <c r="AG59" s="112">
        <f t="shared" si="28"/>
        <v>-6.1146161945019797</v>
      </c>
      <c r="AH59" s="112">
        <f t="shared" si="29"/>
        <v>84.470842645069069</v>
      </c>
      <c r="AJ59" s="119">
        <f t="shared" si="30"/>
        <v>0.241666666666667</v>
      </c>
      <c r="AK59" s="112">
        <f t="shared" si="31"/>
        <v>0</v>
      </c>
      <c r="AL59" s="112">
        <f t="shared" si="32"/>
        <v>0</v>
      </c>
      <c r="AM59" s="116">
        <f t="shared" si="33"/>
        <v>0</v>
      </c>
      <c r="AN59" s="116">
        <f t="shared" si="45"/>
        <v>0</v>
      </c>
      <c r="AO59" s="116">
        <f t="shared" si="46"/>
        <v>0</v>
      </c>
      <c r="AQ59" s="131">
        <f t="shared" si="34"/>
        <v>0</v>
      </c>
      <c r="AR59" s="131">
        <f t="shared" si="35"/>
        <v>0</v>
      </c>
      <c r="AS59" s="131">
        <f t="shared" si="36"/>
        <v>0</v>
      </c>
      <c r="AT59" s="131">
        <f t="shared" si="37"/>
        <v>0</v>
      </c>
      <c r="AU59" s="131">
        <f t="shared" si="38"/>
        <v>0</v>
      </c>
      <c r="AV59" s="131">
        <f t="shared" si="39"/>
        <v>0</v>
      </c>
      <c r="AW59" s="131">
        <f t="shared" si="40"/>
        <v>0</v>
      </c>
      <c r="AX59" s="131">
        <f t="shared" si="41"/>
        <v>0</v>
      </c>
      <c r="AY59" s="131">
        <f t="shared" si="42"/>
        <v>0</v>
      </c>
      <c r="AZ59" s="131">
        <f t="shared" si="43"/>
        <v>0</v>
      </c>
      <c r="BE59" s="116">
        <f t="shared" si="1"/>
        <v>0</v>
      </c>
    </row>
    <row r="60" spans="4:57">
      <c r="D60" s="114">
        <f t="shared" si="2"/>
        <v>41173</v>
      </c>
      <c r="E60" s="115">
        <f t="shared" si="44"/>
        <v>0.24583333333333368</v>
      </c>
      <c r="F60" s="116">
        <f t="shared" si="3"/>
        <v>2456191.7458333331</v>
      </c>
      <c r="G60" s="117">
        <f t="shared" si="4"/>
        <v>0.12722096737393884</v>
      </c>
      <c r="I60" s="112">
        <f t="shared" si="5"/>
        <v>180.51922888645549</v>
      </c>
      <c r="J60" s="112">
        <f t="shared" si="6"/>
        <v>4937.3631099492131</v>
      </c>
      <c r="K60" s="112">
        <f t="shared" si="7"/>
        <v>1.6703283961532887E-2</v>
      </c>
      <c r="L60" s="112">
        <f t="shared" si="8"/>
        <v>-1.8588662680043069</v>
      </c>
      <c r="M60" s="112">
        <f t="shared" si="9"/>
        <v>178.66036261845119</v>
      </c>
      <c r="N60" s="112">
        <f t="shared" si="10"/>
        <v>4935.5042436812091</v>
      </c>
      <c r="O60" s="112">
        <f t="shared" si="11"/>
        <v>1.0039193753655877</v>
      </c>
      <c r="P60" s="112">
        <f t="shared" si="12"/>
        <v>178.65876890447748</v>
      </c>
      <c r="Q60" s="112">
        <f t="shared" si="13"/>
        <v>23.437636706832297</v>
      </c>
      <c r="R60" s="112">
        <f t="shared" si="14"/>
        <v>23.436317341887165</v>
      </c>
      <c r="S60" s="112">
        <f t="shared" si="0"/>
        <v>178.76938128496272</v>
      </c>
      <c r="T60" s="112">
        <f t="shared" si="15"/>
        <v>0.53340620850094045</v>
      </c>
      <c r="U60" s="112">
        <f t="shared" si="16"/>
        <v>4.3023299753664847E-2</v>
      </c>
      <c r="V60" s="112">
        <f t="shared" si="17"/>
        <v>6.9649202593569068</v>
      </c>
      <c r="W60" s="112">
        <f t="shared" si="18"/>
        <v>91.474017978499162</v>
      </c>
      <c r="X60" s="115">
        <f t="shared" si="19"/>
        <v>0.5146076942643355</v>
      </c>
      <c r="Y60" s="115">
        <f t="shared" si="20"/>
        <v>0.26051319987961563</v>
      </c>
      <c r="Z60" s="115">
        <f t="shared" si="21"/>
        <v>0.76870218864905537</v>
      </c>
      <c r="AA60" s="118">
        <f t="shared" si="22"/>
        <v>731.7921438279933</v>
      </c>
      <c r="AB60" s="112">
        <f t="shared" si="23"/>
        <v>332.96492025935743</v>
      </c>
      <c r="AC60" s="112">
        <f t="shared" si="24"/>
        <v>-96.758769935160643</v>
      </c>
      <c r="AD60" s="112">
        <f t="shared" si="25"/>
        <v>94.991327603992076</v>
      </c>
      <c r="AE60" s="112">
        <f t="shared" si="26"/>
        <v>-4.991327603992076</v>
      </c>
      <c r="AF60" s="112">
        <f t="shared" si="27"/>
        <v>6.6066575211560022E-2</v>
      </c>
      <c r="AG60" s="112">
        <f t="shared" si="28"/>
        <v>-4.9252610287805156</v>
      </c>
      <c r="AH60" s="112">
        <f t="shared" si="29"/>
        <v>85.406062917020279</v>
      </c>
      <c r="AJ60" s="119">
        <f t="shared" si="30"/>
        <v>0.24583333333333368</v>
      </c>
      <c r="AK60" s="112">
        <f t="shared" si="31"/>
        <v>0</v>
      </c>
      <c r="AL60" s="112">
        <f t="shared" si="32"/>
        <v>0</v>
      </c>
      <c r="AM60" s="116">
        <f t="shared" si="33"/>
        <v>0</v>
      </c>
      <c r="AN60" s="116">
        <f t="shared" si="45"/>
        <v>0</v>
      </c>
      <c r="AO60" s="116">
        <f t="shared" si="46"/>
        <v>0</v>
      </c>
      <c r="AQ60" s="131">
        <f t="shared" si="34"/>
        <v>0</v>
      </c>
      <c r="AR60" s="131">
        <f t="shared" si="35"/>
        <v>0</v>
      </c>
      <c r="AS60" s="131">
        <f t="shared" si="36"/>
        <v>0</v>
      </c>
      <c r="AT60" s="131">
        <f t="shared" si="37"/>
        <v>0</v>
      </c>
      <c r="AU60" s="131">
        <f t="shared" si="38"/>
        <v>0</v>
      </c>
      <c r="AV60" s="131">
        <f t="shared" si="39"/>
        <v>0</v>
      </c>
      <c r="AW60" s="131">
        <f t="shared" si="40"/>
        <v>0</v>
      </c>
      <c r="AX60" s="131">
        <f t="shared" si="41"/>
        <v>0</v>
      </c>
      <c r="AY60" s="131">
        <f t="shared" si="42"/>
        <v>0</v>
      </c>
      <c r="AZ60" s="131">
        <f t="shared" si="43"/>
        <v>0</v>
      </c>
      <c r="BE60" s="116">
        <f t="shared" si="1"/>
        <v>0</v>
      </c>
    </row>
    <row r="61" spans="4:57">
      <c r="D61" s="114">
        <f t="shared" si="2"/>
        <v>41173</v>
      </c>
      <c r="E61" s="115">
        <f t="shared" si="44"/>
        <v>0.25000000000000033</v>
      </c>
      <c r="F61" s="116">
        <f t="shared" si="3"/>
        <v>2456191.75</v>
      </c>
      <c r="G61" s="117">
        <f t="shared" si="4"/>
        <v>0.12722108145106092</v>
      </c>
      <c r="I61" s="112">
        <f t="shared" si="5"/>
        <v>180.52333575067951</v>
      </c>
      <c r="J61" s="112">
        <f t="shared" si="6"/>
        <v>4937.3672166172628</v>
      </c>
      <c r="K61" s="112">
        <f t="shared" si="7"/>
        <v>1.6703283956733751E-2</v>
      </c>
      <c r="L61" s="112">
        <f t="shared" si="8"/>
        <v>-1.8588988267317179</v>
      </c>
      <c r="M61" s="112">
        <f t="shared" si="9"/>
        <v>178.66443692394779</v>
      </c>
      <c r="N61" s="112">
        <f t="shared" si="10"/>
        <v>4935.5083177905308</v>
      </c>
      <c r="O61" s="112">
        <f t="shared" si="11"/>
        <v>1.0039182160968683</v>
      </c>
      <c r="P61" s="112">
        <f t="shared" si="12"/>
        <v>178.66284320048734</v>
      </c>
      <c r="Q61" s="112">
        <f t="shared" si="13"/>
        <v>23.437636705348819</v>
      </c>
      <c r="R61" s="112">
        <f t="shared" si="14"/>
        <v>23.436317331955475</v>
      </c>
      <c r="S61" s="112">
        <f t="shared" si="0"/>
        <v>178.7731197855108</v>
      </c>
      <c r="T61" s="112">
        <f t="shared" si="15"/>
        <v>0.53178611305404955</v>
      </c>
      <c r="U61" s="112">
        <f t="shared" si="16"/>
        <v>4.3023299716163539E-2</v>
      </c>
      <c r="V61" s="112">
        <f t="shared" si="17"/>
        <v>6.9663945211217495</v>
      </c>
      <c r="W61" s="112">
        <f t="shared" si="18"/>
        <v>91.472751415223215</v>
      </c>
      <c r="X61" s="115">
        <f t="shared" si="19"/>
        <v>0.51460667047144326</v>
      </c>
      <c r="Y61" s="115">
        <f t="shared" si="20"/>
        <v>0.26051569431804544</v>
      </c>
      <c r="Z61" s="115">
        <f t="shared" si="21"/>
        <v>0.76869764662484108</v>
      </c>
      <c r="AA61" s="118">
        <f t="shared" si="22"/>
        <v>731.78201132178572</v>
      </c>
      <c r="AB61" s="112">
        <f t="shared" si="23"/>
        <v>338.9663945211222</v>
      </c>
      <c r="AC61" s="112">
        <f t="shared" si="24"/>
        <v>-95.258401369719451</v>
      </c>
      <c r="AD61" s="112">
        <f t="shared" si="25"/>
        <v>93.81310267811341</v>
      </c>
      <c r="AE61" s="112">
        <f t="shared" si="26"/>
        <v>-3.8131026781134096</v>
      </c>
      <c r="AF61" s="112">
        <f t="shared" si="27"/>
        <v>8.6572131365275196E-2</v>
      </c>
      <c r="AG61" s="112">
        <f t="shared" si="28"/>
        <v>-3.7265305467481342</v>
      </c>
      <c r="AH61" s="112">
        <f t="shared" si="29"/>
        <v>86.337644431156264</v>
      </c>
      <c r="AJ61" s="119">
        <f t="shared" si="30"/>
        <v>0.25000000000000033</v>
      </c>
      <c r="AK61" s="112">
        <f t="shared" si="31"/>
        <v>0</v>
      </c>
      <c r="AL61" s="112">
        <f t="shared" si="32"/>
        <v>0</v>
      </c>
      <c r="AM61" s="116">
        <f t="shared" si="33"/>
        <v>0</v>
      </c>
      <c r="AN61" s="116">
        <f t="shared" si="45"/>
        <v>0</v>
      </c>
      <c r="AO61" s="116">
        <f t="shared" si="46"/>
        <v>0</v>
      </c>
      <c r="AQ61" s="131">
        <f t="shared" si="34"/>
        <v>0</v>
      </c>
      <c r="AR61" s="131">
        <f t="shared" si="35"/>
        <v>0</v>
      </c>
      <c r="AS61" s="131">
        <f t="shared" si="36"/>
        <v>0</v>
      </c>
      <c r="AT61" s="131">
        <f t="shared" si="37"/>
        <v>0</v>
      </c>
      <c r="AU61" s="131">
        <f t="shared" si="38"/>
        <v>0</v>
      </c>
      <c r="AV61" s="131">
        <f t="shared" si="39"/>
        <v>0</v>
      </c>
      <c r="AW61" s="131">
        <f t="shared" si="40"/>
        <v>0</v>
      </c>
      <c r="AX61" s="131">
        <f t="shared" si="41"/>
        <v>0</v>
      </c>
      <c r="AY61" s="131">
        <f t="shared" si="42"/>
        <v>0</v>
      </c>
      <c r="AZ61" s="131">
        <f t="shared" si="43"/>
        <v>0</v>
      </c>
      <c r="BE61" s="116">
        <f t="shared" si="1"/>
        <v>0</v>
      </c>
    </row>
    <row r="62" spans="4:57">
      <c r="D62" s="114">
        <f t="shared" si="2"/>
        <v>41173</v>
      </c>
      <c r="E62" s="115">
        <f t="shared" si="44"/>
        <v>0.25416666666666698</v>
      </c>
      <c r="F62" s="116">
        <f t="shared" si="3"/>
        <v>2456191.7541666669</v>
      </c>
      <c r="G62" s="117">
        <f t="shared" si="4"/>
        <v>0.12722119552818301</v>
      </c>
      <c r="I62" s="112">
        <f t="shared" si="5"/>
        <v>180.52744261490352</v>
      </c>
      <c r="J62" s="112">
        <f t="shared" si="6"/>
        <v>4937.3713232853133</v>
      </c>
      <c r="K62" s="112">
        <f t="shared" si="7"/>
        <v>1.6703283951934614E-2</v>
      </c>
      <c r="L62" s="112">
        <f t="shared" si="8"/>
        <v>-1.858931376050218</v>
      </c>
      <c r="M62" s="112">
        <f t="shared" si="9"/>
        <v>178.66851123885331</v>
      </c>
      <c r="N62" s="112">
        <f t="shared" si="10"/>
        <v>4935.512391909263</v>
      </c>
      <c r="O62" s="112">
        <f t="shared" si="11"/>
        <v>1.0039170568068432</v>
      </c>
      <c r="P62" s="112">
        <f t="shared" si="12"/>
        <v>178.66691750590607</v>
      </c>
      <c r="Q62" s="112">
        <f t="shared" si="13"/>
        <v>23.437636703865337</v>
      </c>
      <c r="R62" s="112">
        <f t="shared" si="14"/>
        <v>23.436317322023804</v>
      </c>
      <c r="S62" s="112">
        <f t="shared" si="0"/>
        <v>178.77685829273048</v>
      </c>
      <c r="T62" s="112">
        <f t="shared" si="15"/>
        <v>0.53016601160321031</v>
      </c>
      <c r="U62" s="112">
        <f t="shared" si="16"/>
        <v>4.3023299678662315E-2</v>
      </c>
      <c r="V62" s="112">
        <f t="shared" si="17"/>
        <v>6.9678687587055723</v>
      </c>
      <c r="W62" s="112">
        <f t="shared" si="18"/>
        <v>91.471484849483616</v>
      </c>
      <c r="X62" s="115">
        <f t="shared" si="19"/>
        <v>0.51460564669534337</v>
      </c>
      <c r="Y62" s="115">
        <f t="shared" si="20"/>
        <v>0.26051818878011113</v>
      </c>
      <c r="Z62" s="115">
        <f t="shared" si="21"/>
        <v>0.76869310461057561</v>
      </c>
      <c r="AA62" s="118">
        <f t="shared" si="22"/>
        <v>731.77187879586893</v>
      </c>
      <c r="AB62" s="112">
        <f t="shared" si="23"/>
        <v>344.967868758706</v>
      </c>
      <c r="AC62" s="112">
        <f t="shared" si="24"/>
        <v>-93.758032810323499</v>
      </c>
      <c r="AD62" s="112">
        <f t="shared" si="25"/>
        <v>92.633649902408521</v>
      </c>
      <c r="AE62" s="112">
        <f t="shared" si="26"/>
        <v>-2.6336499024085214</v>
      </c>
      <c r="AF62" s="112">
        <f t="shared" si="27"/>
        <v>0.12543952019628973</v>
      </c>
      <c r="AG62" s="112">
        <f t="shared" si="28"/>
        <v>-2.5082103822122317</v>
      </c>
      <c r="AH62" s="112">
        <f t="shared" si="29"/>
        <v>87.266387732694568</v>
      </c>
      <c r="AJ62" s="119">
        <f t="shared" si="30"/>
        <v>0.25416666666666698</v>
      </c>
      <c r="AK62" s="112">
        <f t="shared" si="31"/>
        <v>0</v>
      </c>
      <c r="AL62" s="112">
        <f t="shared" si="32"/>
        <v>0</v>
      </c>
      <c r="AM62" s="116">
        <f t="shared" si="33"/>
        <v>0</v>
      </c>
      <c r="AN62" s="116">
        <f t="shared" si="45"/>
        <v>0</v>
      </c>
      <c r="AO62" s="116">
        <f t="shared" si="46"/>
        <v>0</v>
      </c>
      <c r="AQ62" s="131">
        <f t="shared" si="34"/>
        <v>0</v>
      </c>
      <c r="AR62" s="131">
        <f t="shared" si="35"/>
        <v>0</v>
      </c>
      <c r="AS62" s="131">
        <f t="shared" si="36"/>
        <v>0</v>
      </c>
      <c r="AT62" s="131">
        <f t="shared" si="37"/>
        <v>0</v>
      </c>
      <c r="AU62" s="131">
        <f t="shared" si="38"/>
        <v>0</v>
      </c>
      <c r="AV62" s="131">
        <f t="shared" si="39"/>
        <v>0</v>
      </c>
      <c r="AW62" s="131">
        <f t="shared" si="40"/>
        <v>0</v>
      </c>
      <c r="AX62" s="131">
        <f t="shared" si="41"/>
        <v>0</v>
      </c>
      <c r="AY62" s="131">
        <f t="shared" si="42"/>
        <v>0</v>
      </c>
      <c r="AZ62" s="131">
        <f t="shared" si="43"/>
        <v>0</v>
      </c>
      <c r="BE62" s="116">
        <f t="shared" si="1"/>
        <v>0</v>
      </c>
    </row>
    <row r="63" spans="4:57">
      <c r="D63" s="114">
        <f t="shared" si="2"/>
        <v>41173</v>
      </c>
      <c r="E63" s="115">
        <f t="shared" si="44"/>
        <v>0.25833333333333364</v>
      </c>
      <c r="F63" s="116">
        <f t="shared" si="3"/>
        <v>2456191.7583333333</v>
      </c>
      <c r="G63" s="117">
        <f t="shared" si="4"/>
        <v>0.12722130960529232</v>
      </c>
      <c r="I63" s="112">
        <f t="shared" si="5"/>
        <v>180.53154947866824</v>
      </c>
      <c r="J63" s="112">
        <f t="shared" si="6"/>
        <v>4937.3754299529037</v>
      </c>
      <c r="K63" s="112">
        <f t="shared" si="7"/>
        <v>1.6703283947135477E-2</v>
      </c>
      <c r="L63" s="112">
        <f t="shared" si="8"/>
        <v>-1.8589639159559441</v>
      </c>
      <c r="M63" s="112">
        <f t="shared" si="9"/>
        <v>178.6725855627123</v>
      </c>
      <c r="N63" s="112">
        <f t="shared" si="10"/>
        <v>4935.5164660369473</v>
      </c>
      <c r="O63" s="112">
        <f t="shared" si="11"/>
        <v>1.003915897495649</v>
      </c>
      <c r="P63" s="112">
        <f t="shared" si="12"/>
        <v>178.67099182027818</v>
      </c>
      <c r="Q63" s="112">
        <f t="shared" si="13"/>
        <v>23.437636702381859</v>
      </c>
      <c r="R63" s="112">
        <f t="shared" si="14"/>
        <v>23.436317312092154</v>
      </c>
      <c r="S63" s="112">
        <f t="shared" si="0"/>
        <v>178.78059680620984</v>
      </c>
      <c r="T63" s="112">
        <f t="shared" si="15"/>
        <v>0.52854590433641258</v>
      </c>
      <c r="U63" s="112">
        <f t="shared" si="16"/>
        <v>4.302329964116116E-2</v>
      </c>
      <c r="V63" s="112">
        <f t="shared" si="17"/>
        <v>6.9693429719191764</v>
      </c>
      <c r="W63" s="112">
        <f t="shared" si="18"/>
        <v>91.470218281424692</v>
      </c>
      <c r="X63" s="115">
        <f t="shared" si="19"/>
        <v>0.51460462293616716</v>
      </c>
      <c r="Y63" s="115">
        <f t="shared" si="20"/>
        <v>0.26052068326554301</v>
      </c>
      <c r="Z63" s="115">
        <f t="shared" si="21"/>
        <v>0.7686885626067913</v>
      </c>
      <c r="AA63" s="118">
        <f t="shared" si="22"/>
        <v>731.76174625139754</v>
      </c>
      <c r="AB63" s="112">
        <f t="shared" si="23"/>
        <v>350.96934297191962</v>
      </c>
      <c r="AC63" s="112">
        <f t="shared" si="24"/>
        <v>-92.257664257020096</v>
      </c>
      <c r="AD63" s="112">
        <f t="shared" si="25"/>
        <v>91.453282783782328</v>
      </c>
      <c r="AE63" s="112">
        <f t="shared" si="26"/>
        <v>-1.4532827837823277</v>
      </c>
      <c r="AF63" s="112">
        <f t="shared" si="27"/>
        <v>0.22743388329637901</v>
      </c>
      <c r="AG63" s="112">
        <f t="shared" si="28"/>
        <v>-1.2258489004859487</v>
      </c>
      <c r="AH63" s="112">
        <f t="shared" si="29"/>
        <v>88.193087308225586</v>
      </c>
      <c r="AJ63" s="119">
        <f t="shared" si="30"/>
        <v>0.25833333333333364</v>
      </c>
      <c r="AK63" s="112">
        <f t="shared" si="31"/>
        <v>0</v>
      </c>
      <c r="AL63" s="112">
        <f t="shared" si="32"/>
        <v>0</v>
      </c>
      <c r="AM63" s="116">
        <f t="shared" si="33"/>
        <v>0</v>
      </c>
      <c r="AN63" s="116">
        <f t="shared" si="45"/>
        <v>0</v>
      </c>
      <c r="AO63" s="116">
        <f t="shared" si="46"/>
        <v>0</v>
      </c>
      <c r="AQ63" s="131">
        <f t="shared" si="34"/>
        <v>0</v>
      </c>
      <c r="AR63" s="131">
        <f t="shared" si="35"/>
        <v>0</v>
      </c>
      <c r="AS63" s="131">
        <f t="shared" si="36"/>
        <v>0</v>
      </c>
      <c r="AT63" s="131">
        <f t="shared" si="37"/>
        <v>0</v>
      </c>
      <c r="AU63" s="131">
        <f t="shared" si="38"/>
        <v>0</v>
      </c>
      <c r="AV63" s="131">
        <f t="shared" si="39"/>
        <v>0</v>
      </c>
      <c r="AW63" s="131">
        <f t="shared" si="40"/>
        <v>0</v>
      </c>
      <c r="AX63" s="131">
        <f t="shared" si="41"/>
        <v>0</v>
      </c>
      <c r="AY63" s="131">
        <f t="shared" si="42"/>
        <v>0</v>
      </c>
      <c r="AZ63" s="131">
        <f t="shared" si="43"/>
        <v>0</v>
      </c>
      <c r="BE63" s="116">
        <f t="shared" si="1"/>
        <v>0</v>
      </c>
    </row>
    <row r="64" spans="4:57">
      <c r="D64" s="114">
        <f t="shared" si="2"/>
        <v>41173</v>
      </c>
      <c r="E64" s="115">
        <f t="shared" si="44"/>
        <v>0.26250000000000029</v>
      </c>
      <c r="F64" s="116">
        <f t="shared" si="3"/>
        <v>2456191.7625000002</v>
      </c>
      <c r="G64" s="117">
        <f t="shared" si="4"/>
        <v>0.1272214236824144</v>
      </c>
      <c r="I64" s="112">
        <f t="shared" si="5"/>
        <v>180.53565634289134</v>
      </c>
      <c r="J64" s="112">
        <f t="shared" si="6"/>
        <v>4937.3795366209542</v>
      </c>
      <c r="K64" s="112">
        <f t="shared" si="7"/>
        <v>1.6703283942336337E-2</v>
      </c>
      <c r="L64" s="112">
        <f t="shared" si="8"/>
        <v>-1.8589964464559943</v>
      </c>
      <c r="M64" s="112">
        <f t="shared" si="9"/>
        <v>178.67665989643535</v>
      </c>
      <c r="N64" s="112">
        <f t="shared" si="10"/>
        <v>4935.5205401744979</v>
      </c>
      <c r="O64" s="112">
        <f t="shared" si="11"/>
        <v>1.0039147381630316</v>
      </c>
      <c r="P64" s="112">
        <f t="shared" si="12"/>
        <v>178.67506614451432</v>
      </c>
      <c r="Q64" s="112">
        <f t="shared" si="13"/>
        <v>23.437636700898377</v>
      </c>
      <c r="R64" s="112">
        <f t="shared" si="14"/>
        <v>23.436317302160518</v>
      </c>
      <c r="S64" s="112">
        <f t="shared" si="0"/>
        <v>178.78433532679037</v>
      </c>
      <c r="T64" s="112">
        <f t="shared" si="15"/>
        <v>0.52692579089843716</v>
      </c>
      <c r="U64" s="112">
        <f t="shared" si="16"/>
        <v>4.3023299603660067E-2</v>
      </c>
      <c r="V64" s="112">
        <f t="shared" si="17"/>
        <v>6.9708171610678491</v>
      </c>
      <c r="W64" s="112">
        <f t="shared" si="18"/>
        <v>91.468951710766135</v>
      </c>
      <c r="X64" s="115">
        <f t="shared" si="19"/>
        <v>0.51460359919370291</v>
      </c>
      <c r="Y64" s="115">
        <f t="shared" si="20"/>
        <v>0.26052317777490808</v>
      </c>
      <c r="Z64" s="115">
        <f t="shared" si="21"/>
        <v>0.76868402061249774</v>
      </c>
      <c r="AA64" s="118">
        <f t="shared" si="22"/>
        <v>731.75161368612908</v>
      </c>
      <c r="AB64" s="112">
        <f t="shared" si="23"/>
        <v>356.97081716106823</v>
      </c>
      <c r="AC64" s="112">
        <f t="shared" si="24"/>
        <v>-90.757295709732944</v>
      </c>
      <c r="AD64" s="112">
        <f t="shared" si="25"/>
        <v>90.272312240938675</v>
      </c>
      <c r="AE64" s="112">
        <f t="shared" si="26"/>
        <v>-0.27231224093867468</v>
      </c>
      <c r="AF64" s="112">
        <f t="shared" si="27"/>
        <v>0.52334497246429157</v>
      </c>
      <c r="AG64" s="112">
        <f t="shared" si="28"/>
        <v>0.25103273152561689</v>
      </c>
      <c r="AH64" s="112">
        <f t="shared" si="29"/>
        <v>89.118533434323808</v>
      </c>
      <c r="AJ64" s="119">
        <f t="shared" si="30"/>
        <v>0.26250000000000029</v>
      </c>
      <c r="AK64" s="112">
        <f t="shared" si="31"/>
        <v>0</v>
      </c>
      <c r="AL64" s="112">
        <f t="shared" si="32"/>
        <v>0</v>
      </c>
      <c r="AM64" s="116">
        <f t="shared" si="33"/>
        <v>0</v>
      </c>
      <c r="AN64" s="116">
        <f t="shared" si="45"/>
        <v>0</v>
      </c>
      <c r="AO64" s="116">
        <f t="shared" si="46"/>
        <v>0</v>
      </c>
      <c r="AQ64" s="131">
        <f t="shared" si="34"/>
        <v>0</v>
      </c>
      <c r="AR64" s="131">
        <f t="shared" si="35"/>
        <v>0</v>
      </c>
      <c r="AS64" s="131">
        <f t="shared" si="36"/>
        <v>0</v>
      </c>
      <c r="AT64" s="131">
        <f t="shared" si="37"/>
        <v>0</v>
      </c>
      <c r="AU64" s="131">
        <f t="shared" si="38"/>
        <v>0</v>
      </c>
      <c r="AV64" s="131">
        <f t="shared" si="39"/>
        <v>0</v>
      </c>
      <c r="AW64" s="131">
        <f t="shared" si="40"/>
        <v>0</v>
      </c>
      <c r="AX64" s="131">
        <f t="shared" si="41"/>
        <v>0</v>
      </c>
      <c r="AY64" s="131">
        <f t="shared" si="42"/>
        <v>0</v>
      </c>
      <c r="AZ64" s="131">
        <f t="shared" si="43"/>
        <v>0</v>
      </c>
      <c r="BE64" s="116">
        <f t="shared" si="1"/>
        <v>0</v>
      </c>
    </row>
    <row r="65" spans="4:57">
      <c r="D65" s="114">
        <f t="shared" si="2"/>
        <v>41173</v>
      </c>
      <c r="E65" s="115">
        <f t="shared" si="44"/>
        <v>0.26666666666666694</v>
      </c>
      <c r="F65" s="116">
        <f t="shared" si="3"/>
        <v>2456191.7666666666</v>
      </c>
      <c r="G65" s="117">
        <f t="shared" si="4"/>
        <v>0.12722153775952375</v>
      </c>
      <c r="I65" s="112">
        <f t="shared" si="5"/>
        <v>180.53976320665606</v>
      </c>
      <c r="J65" s="112">
        <f t="shared" si="6"/>
        <v>4937.3836432885464</v>
      </c>
      <c r="K65" s="112">
        <f t="shared" si="7"/>
        <v>1.67032839375372E-2</v>
      </c>
      <c r="L65" s="112">
        <f t="shared" si="8"/>
        <v>-1.8590289675428873</v>
      </c>
      <c r="M65" s="112">
        <f t="shared" si="9"/>
        <v>178.68073423911318</v>
      </c>
      <c r="N65" s="112">
        <f t="shared" si="10"/>
        <v>4935.5246143210034</v>
      </c>
      <c r="O65" s="112">
        <f t="shared" si="11"/>
        <v>1.0039135788092561</v>
      </c>
      <c r="P65" s="112">
        <f t="shared" si="12"/>
        <v>178.67914047770515</v>
      </c>
      <c r="Q65" s="112">
        <f t="shared" si="13"/>
        <v>23.437636699414899</v>
      </c>
      <c r="R65" s="112">
        <f t="shared" si="14"/>
        <v>23.436317292228907</v>
      </c>
      <c r="S65" s="112">
        <f t="shared" si="0"/>
        <v>178.78807385364371</v>
      </c>
      <c r="T65" s="112">
        <f t="shared" si="15"/>
        <v>0.52530567165774422</v>
      </c>
      <c r="U65" s="112">
        <f t="shared" si="16"/>
        <v>4.3023299566159044E-2</v>
      </c>
      <c r="V65" s="112">
        <f t="shared" si="17"/>
        <v>6.9722913257982109</v>
      </c>
      <c r="W65" s="112">
        <f t="shared" si="18"/>
        <v>91.467685137793367</v>
      </c>
      <c r="X65" s="115">
        <f t="shared" si="19"/>
        <v>0.51460257546819566</v>
      </c>
      <c r="Y65" s="115">
        <f t="shared" si="20"/>
        <v>0.26052567230765855</v>
      </c>
      <c r="Z65" s="115">
        <f t="shared" si="21"/>
        <v>0.76867947862873276</v>
      </c>
      <c r="AA65" s="118">
        <f t="shared" si="22"/>
        <v>731.74148110234694</v>
      </c>
      <c r="AB65" s="112">
        <f t="shared" si="23"/>
        <v>362.97229132579861</v>
      </c>
      <c r="AC65" s="112">
        <f t="shared" si="24"/>
        <v>-89.256927168550348</v>
      </c>
      <c r="AD65" s="112">
        <f t="shared" si="25"/>
        <v>89.091047581754509</v>
      </c>
      <c r="AE65" s="112">
        <f t="shared" si="26"/>
        <v>0.90895241824549089</v>
      </c>
      <c r="AF65" s="112">
        <f t="shared" si="27"/>
        <v>0.37230271372631113</v>
      </c>
      <c r="AG65" s="112">
        <f t="shared" si="28"/>
        <v>1.281255131971802</v>
      </c>
      <c r="AH65" s="112">
        <f t="shared" si="29"/>
        <v>90.043514025269701</v>
      </c>
      <c r="AJ65" s="119">
        <f t="shared" si="30"/>
        <v>0.26666666666666694</v>
      </c>
      <c r="AK65" s="112">
        <f t="shared" si="31"/>
        <v>0</v>
      </c>
      <c r="AL65" s="112">
        <f t="shared" si="32"/>
        <v>0</v>
      </c>
      <c r="AM65" s="116">
        <f t="shared" si="33"/>
        <v>0</v>
      </c>
      <c r="AN65" s="116">
        <f t="shared" si="45"/>
        <v>0</v>
      </c>
      <c r="AO65" s="116">
        <f t="shared" si="46"/>
        <v>0</v>
      </c>
      <c r="AQ65" s="131">
        <f t="shared" si="34"/>
        <v>0</v>
      </c>
      <c r="AR65" s="131">
        <f t="shared" si="35"/>
        <v>0</v>
      </c>
      <c r="AS65" s="131">
        <f t="shared" si="36"/>
        <v>0</v>
      </c>
      <c r="AT65" s="131">
        <f t="shared" si="37"/>
        <v>0</v>
      </c>
      <c r="AU65" s="131">
        <f t="shared" si="38"/>
        <v>0</v>
      </c>
      <c r="AV65" s="131">
        <f t="shared" si="39"/>
        <v>0</v>
      </c>
      <c r="AW65" s="131">
        <f t="shared" si="40"/>
        <v>0</v>
      </c>
      <c r="AX65" s="131">
        <f t="shared" si="41"/>
        <v>0</v>
      </c>
      <c r="AY65" s="131">
        <f t="shared" si="42"/>
        <v>0</v>
      </c>
      <c r="AZ65" s="131">
        <f t="shared" si="43"/>
        <v>0</v>
      </c>
      <c r="BE65" s="116">
        <f t="shared" si="1"/>
        <v>0</v>
      </c>
    </row>
    <row r="66" spans="4:57">
      <c r="D66" s="114">
        <f t="shared" si="2"/>
        <v>41173</v>
      </c>
      <c r="E66" s="115">
        <f t="shared" si="44"/>
        <v>0.27083333333333359</v>
      </c>
      <c r="F66" s="116">
        <f t="shared" si="3"/>
        <v>2456191.7708333335</v>
      </c>
      <c r="G66" s="117">
        <f t="shared" si="4"/>
        <v>0.12722165183664583</v>
      </c>
      <c r="I66" s="112">
        <f t="shared" si="5"/>
        <v>180.54387007088008</v>
      </c>
      <c r="J66" s="112">
        <f t="shared" si="6"/>
        <v>4937.3877499565961</v>
      </c>
      <c r="K66" s="112">
        <f t="shared" si="7"/>
        <v>1.6703283932738063E-2</v>
      </c>
      <c r="L66" s="112">
        <f t="shared" si="8"/>
        <v>-1.8590614792236526</v>
      </c>
      <c r="M66" s="112">
        <f t="shared" si="9"/>
        <v>178.68480859165643</v>
      </c>
      <c r="N66" s="112">
        <f t="shared" si="10"/>
        <v>4935.5286884773723</v>
      </c>
      <c r="O66" s="112">
        <f t="shared" si="11"/>
        <v>1.0039124194340696</v>
      </c>
      <c r="P66" s="112">
        <f t="shared" si="12"/>
        <v>178.68321482076135</v>
      </c>
      <c r="Q66" s="112">
        <f t="shared" si="13"/>
        <v>23.437636697931421</v>
      </c>
      <c r="R66" s="112">
        <f t="shared" si="14"/>
        <v>23.436317282297317</v>
      </c>
      <c r="S66" s="112">
        <f t="shared" ref="S66:S129" si="47">DEGREES(ATAN2(COS(RADIANS(P66)),COS(RADIANS(R66))*SIN(RADIANS(P66))))</f>
        <v>178.7918123876114</v>
      </c>
      <c r="T66" s="112">
        <f t="shared" si="15"/>
        <v>0.52368554625910346</v>
      </c>
      <c r="U66" s="112">
        <f t="shared" si="16"/>
        <v>4.3023299528658118E-2</v>
      </c>
      <c r="V66" s="112">
        <f t="shared" si="17"/>
        <v>6.9737654664153013</v>
      </c>
      <c r="W66" s="112">
        <f t="shared" si="18"/>
        <v>91.466418562226039</v>
      </c>
      <c r="X66" s="115">
        <f t="shared" si="19"/>
        <v>0.51460155175943378</v>
      </c>
      <c r="Y66" s="115">
        <f t="shared" si="20"/>
        <v>0.26052816686436148</v>
      </c>
      <c r="Z66" s="115">
        <f t="shared" si="21"/>
        <v>0.76867493665450604</v>
      </c>
      <c r="AA66" s="118">
        <f t="shared" si="22"/>
        <v>731.73134849780831</v>
      </c>
      <c r="AB66" s="112">
        <f t="shared" si="23"/>
        <v>368.97376546641567</v>
      </c>
      <c r="AC66" s="112">
        <f t="shared" si="24"/>
        <v>-87.756558633396082</v>
      </c>
      <c r="AD66" s="112">
        <f t="shared" si="25"/>
        <v>87.909797475542192</v>
      </c>
      <c r="AE66" s="112">
        <f t="shared" si="26"/>
        <v>2.0902025244578084</v>
      </c>
      <c r="AF66" s="112">
        <f t="shared" si="27"/>
        <v>0.27788317086999886</v>
      </c>
      <c r="AG66" s="112">
        <f t="shared" si="28"/>
        <v>2.3680856953278071</v>
      </c>
      <c r="AH66" s="112">
        <f t="shared" si="29"/>
        <v>90.968816485709112</v>
      </c>
      <c r="AJ66" s="119">
        <f t="shared" si="30"/>
        <v>0.27083333333333359</v>
      </c>
      <c r="AK66" s="112">
        <f t="shared" si="31"/>
        <v>0</v>
      </c>
      <c r="AL66" s="112">
        <f t="shared" si="32"/>
        <v>0</v>
      </c>
      <c r="AM66" s="116">
        <f t="shared" si="33"/>
        <v>0</v>
      </c>
      <c r="AN66" s="116">
        <f t="shared" si="45"/>
        <v>0</v>
      </c>
      <c r="AO66" s="116">
        <f t="shared" si="46"/>
        <v>0</v>
      </c>
      <c r="AQ66" s="131">
        <f t="shared" si="34"/>
        <v>0</v>
      </c>
      <c r="AR66" s="131">
        <f t="shared" si="35"/>
        <v>0</v>
      </c>
      <c r="AS66" s="131">
        <f t="shared" si="36"/>
        <v>0</v>
      </c>
      <c r="AT66" s="131">
        <f t="shared" si="37"/>
        <v>0</v>
      </c>
      <c r="AU66" s="131">
        <f t="shared" si="38"/>
        <v>0</v>
      </c>
      <c r="AV66" s="131">
        <f t="shared" si="39"/>
        <v>0</v>
      </c>
      <c r="AW66" s="131">
        <f t="shared" si="40"/>
        <v>0</v>
      </c>
      <c r="AX66" s="131">
        <f t="shared" si="41"/>
        <v>0</v>
      </c>
      <c r="AY66" s="131">
        <f t="shared" si="42"/>
        <v>0</v>
      </c>
      <c r="AZ66" s="131">
        <f t="shared" si="43"/>
        <v>0</v>
      </c>
      <c r="BE66" s="116">
        <f t="shared" ref="BE66:BE129" si="48">$BC$21*AO66+$BC$22*AO66^2+$BC$23*AO66^3</f>
        <v>0</v>
      </c>
    </row>
    <row r="67" spans="4:57">
      <c r="D67" s="114">
        <f t="shared" ref="D67:D130" si="49">$B$7</f>
        <v>41173</v>
      </c>
      <c r="E67" s="115">
        <f t="shared" si="44"/>
        <v>0.27500000000000024</v>
      </c>
      <c r="F67" s="116">
        <f t="shared" ref="F67:F130" si="50">D67+2415018.5+E67-$B$5/24</f>
        <v>2456191.7749999999</v>
      </c>
      <c r="G67" s="117">
        <f t="shared" ref="G67:G130" si="51">(F67-2451545)/36525</f>
        <v>0.12722176591375514</v>
      </c>
      <c r="I67" s="112">
        <f t="shared" ref="I67:I130" si="52">MOD(280.46646+G67*(36000.76983 + G67*0.0003032),360)</f>
        <v>180.54797693464479</v>
      </c>
      <c r="J67" s="112">
        <f t="shared" ref="J67:J130" si="53">357.52911+G67*(35999.05029 - 0.0001537*G67)</f>
        <v>4937.3918566241873</v>
      </c>
      <c r="K67" s="112">
        <f t="shared" ref="K67:K130" si="54">0.016708634-G67*(0.000042037+0.0000001267*G67)</f>
        <v>1.6703283927938926E-2</v>
      </c>
      <c r="L67" s="112">
        <f t="shared" ref="L67:L130" si="55">SIN(RADIANS(J67))*(1.914602-G67*(0.004817+0.000014*G67))+SIN(RADIANS(2*J67))*(0.019993-0.000101*G67)+SIN(RADIANS(3*J67))*0.000289</f>
        <v>-1.8590939814908518</v>
      </c>
      <c r="M67" s="112">
        <f t="shared" ref="M67:M130" si="56">I67+L67</f>
        <v>178.68888295315395</v>
      </c>
      <c r="N67" s="112">
        <f t="shared" ref="N67:N130" si="57">J67+L67</f>
        <v>4935.5327626426961</v>
      </c>
      <c r="O67" s="112">
        <f t="shared" ref="O67:O130" si="58">(1.000001018*(1-K67*K67))/(1+K67*COS(RADIANS(N67)))</f>
        <v>1.0039112600377369</v>
      </c>
      <c r="P67" s="112">
        <f t="shared" ref="P67:P130" si="59">M67-0.00569-0.00478*SIN(RADIANS(125.04-1934.136*G67))</f>
        <v>178.68728917277176</v>
      </c>
      <c r="Q67" s="112">
        <f t="shared" ref="Q67:Q130" si="60">23+(26+((21.448-G67*(46.815+G67*(0.00059-G67*0.001813))))/60)/60</f>
        <v>23.437636696447939</v>
      </c>
      <c r="R67" s="112">
        <f t="shared" ref="R67:R130" si="61">Q67+0.00256*COS(RADIANS(125.04-1934.136*G67))</f>
        <v>23.436317272365741</v>
      </c>
      <c r="S67" s="112">
        <f t="shared" si="47"/>
        <v>178.79555092786336</v>
      </c>
      <c r="T67" s="112">
        <f t="shared" ref="T67:T130" si="62">DEGREES(ASIN(SIN(RADIANS(R67))*SIN(RADIANS(P67))))</f>
        <v>0.52206541507172455</v>
      </c>
      <c r="U67" s="112">
        <f t="shared" ref="U67:U130" si="63">TAN(RADIANS(R67/2))*TAN(RADIANS(R67/2))</f>
        <v>4.3023299491157241E-2</v>
      </c>
      <c r="V67" s="112">
        <f t="shared" ref="V67:V130" si="64">4*DEGREES(U67*SIN(2*RADIANS(I67))-2*K67*SIN(RADIANS(J67))+4*K67*U67*SIN(RADIANS(J67))*COS(2*RADIANS(I67))-0.5*U67*U67*SIN(4*RADIANS(I67))-1.25*K67*K67*SIN(2*RADIANS(J67)))</f>
        <v>6.9752395825652753</v>
      </c>
      <c r="W67" s="112">
        <f t="shared" ref="W67:W130" si="65">DEGREES(ACOS(COS(RADIANS(90.833))/(COS(RADIANS($B$3))*COS(RADIANS(T67)))-TAN(RADIANS($B$3))*TAN(RADIANS(T67))))</f>
        <v>91.465151984350172</v>
      </c>
      <c r="X67" s="115">
        <f t="shared" ref="X67:X130" si="66">(720-4*$B$4-V67+$B$5*60)/1440</f>
        <v>0.51460052806766299</v>
      </c>
      <c r="Y67" s="115">
        <f t="shared" ref="Y67:Y130" si="67">X67-W67*4/1440</f>
        <v>0.26053066144446807</v>
      </c>
      <c r="Z67" s="115">
        <f t="shared" ref="Z67:Z130" si="68">X67+W67*4/1440</f>
        <v>0.76867039469085796</v>
      </c>
      <c r="AA67" s="118">
        <f t="shared" ref="AA67:AA130" si="69">8*W67</f>
        <v>731.72121587480137</v>
      </c>
      <c r="AB67" s="112">
        <f t="shared" ref="AB67:AB130" si="70">MOD(E67*1440+V67+4*$B$4-60*$B$5,1440)</f>
        <v>374.97523958256562</v>
      </c>
      <c r="AC67" s="112">
        <f t="shared" ref="AC67:AC130" si="71">IF(AB67/4&lt;0,AB67/4+180,AB67/4-180)</f>
        <v>-86.256190104358595</v>
      </c>
      <c r="AD67" s="112">
        <f t="shared" ref="AD67:AD130" si="72">DEGREES(ACOS(SIN(RADIANS($B$3))*SIN(RADIANS(T67))+COS(RADIANS($B$3))*COS(RADIANS(T67))*COS(RADIANS(AC67))))</f>
        <v>86.728870922330145</v>
      </c>
      <c r="AE67" s="112">
        <f t="shared" ref="AE67:AE130" si="73">90-AD67</f>
        <v>3.2711290776698547</v>
      </c>
      <c r="AF67" s="112">
        <f t="shared" ref="AF67:AF130" si="74">IF(AE67&gt;85,0,IF(AE67&gt;5,58.1/TAN(RADIANS(AE67))-0.07/POWER(TAN(RADIANS(AE67)),3)+0.000086/POWER(TAN(RADIANS(AE67)),5),IF(AE67&gt;-0.575,1735+AE67*(-518.2+AE67*(103.4+AE67*(-12.79+AE67*0.711))),-20.772/TAN(RADIANS(AE67)))))/3600</f>
        <v>0.21667816388091701</v>
      </c>
      <c r="AG67" s="112">
        <f t="shared" ref="AG67:AG130" si="75">AE67+AF67</f>
        <v>3.4878072415507719</v>
      </c>
      <c r="AH67" s="112">
        <f t="shared" ref="AH67:AH130" si="76">IF(AC67&gt;0,MOD(DEGREES(ACOS(((SIN(RADIANS($B$3))*COS(RADIANS(AD67)))-SIN(RADIANS(T67)))/(COS(RADIANS($B$3))*SIN(RADIANS(AD67)))))+180,360),MOD(540-DEGREES(ACOS(((SIN(RADIANS($B$3))*COS(RADIANS(AD67)))-SIN(RADIANS(T67)))/(COS(RADIANS($B$3))*SIN(RADIANS(AD67))))),360))</f>
        <v>91.89522956491885</v>
      </c>
      <c r="AJ67" s="119">
        <f t="shared" ref="AJ67:AJ130" si="77">E67</f>
        <v>0.27500000000000024</v>
      </c>
      <c r="AK67" s="112">
        <f t="shared" ref="AK67:AK130" si="78">IF(AND(AJ67&gt;0.499,AJ67&lt;0.501),1,0)</f>
        <v>0</v>
      </c>
      <c r="AL67" s="112">
        <f t="shared" ref="AL67:AL130" si="79">IF(AND(AJ67&gt;0.499-$AI$2/2/24,AJ67&lt;0.501+$AI$2/2/24),1,0)</f>
        <v>0</v>
      </c>
      <c r="AM67" s="116">
        <f t="shared" ref="AM67:AM130" si="80">AL67*SIN(RADIANS(MAX(0,AG67)))*IF(AG67&lt;40,1,1)</f>
        <v>0</v>
      </c>
      <c r="AN67" s="116">
        <f t="shared" si="45"/>
        <v>0</v>
      </c>
      <c r="AO67" s="116">
        <f t="shared" si="46"/>
        <v>0</v>
      </c>
      <c r="AQ67" s="131">
        <f t="shared" ref="AQ67:AQ130" si="81">AO67</f>
        <v>0</v>
      </c>
      <c r="AR67" s="131">
        <f t="shared" ref="AR67:AR130" si="82">AN67</f>
        <v>0</v>
      </c>
      <c r="AS67" s="131">
        <f t="shared" ref="AS67:AS130" si="83">AQ67*AR67</f>
        <v>0</v>
      </c>
      <c r="AT67" s="131">
        <f t="shared" ref="AT67:AT130" si="84">AQ67^2*AR67</f>
        <v>0</v>
      </c>
      <c r="AU67" s="131">
        <f t="shared" ref="AU67:AU130" si="85">AQ67^3*AR67</f>
        <v>0</v>
      </c>
      <c r="AV67" s="131">
        <f t="shared" ref="AV67:AV130" si="86">AQ67^2</f>
        <v>0</v>
      </c>
      <c r="AW67" s="131">
        <f t="shared" ref="AW67:AW130" si="87">AQ67^3</f>
        <v>0</v>
      </c>
      <c r="AX67" s="131">
        <f t="shared" ref="AX67:AX130" si="88">AQ67^4</f>
        <v>0</v>
      </c>
      <c r="AY67" s="131">
        <f t="shared" ref="AY67:AY130" si="89">AQ67^5</f>
        <v>0</v>
      </c>
      <c r="AZ67" s="131">
        <f t="shared" ref="AZ67:AZ130" si="90">AQ67^6</f>
        <v>0</v>
      </c>
      <c r="BE67" s="116">
        <f t="shared" si="48"/>
        <v>0</v>
      </c>
    </row>
    <row r="68" spans="4:57">
      <c r="D68" s="114">
        <f t="shared" si="49"/>
        <v>41173</v>
      </c>
      <c r="E68" s="115">
        <f t="shared" ref="E68:E131" si="91">E67+0.1/24</f>
        <v>0.2791666666666669</v>
      </c>
      <c r="F68" s="116">
        <f t="shared" si="50"/>
        <v>2456191.7791666668</v>
      </c>
      <c r="G68" s="117">
        <f t="shared" si="51"/>
        <v>0.12722187999087722</v>
      </c>
      <c r="I68" s="112">
        <f t="shared" si="52"/>
        <v>180.5520837988679</v>
      </c>
      <c r="J68" s="112">
        <f t="shared" si="53"/>
        <v>4937.395963292237</v>
      </c>
      <c r="K68" s="112">
        <f t="shared" si="54"/>
        <v>1.670328392313979E-2</v>
      </c>
      <c r="L68" s="112">
        <f t="shared" si="55"/>
        <v>-1.8591264743515301</v>
      </c>
      <c r="M68" s="112">
        <f t="shared" si="56"/>
        <v>178.69295732451636</v>
      </c>
      <c r="N68" s="112">
        <f t="shared" si="57"/>
        <v>4935.5368368178852</v>
      </c>
      <c r="O68" s="112">
        <f t="shared" si="58"/>
        <v>1.0039101006200044</v>
      </c>
      <c r="P68" s="112">
        <f t="shared" si="59"/>
        <v>178.691363534647</v>
      </c>
      <c r="Q68" s="112">
        <f t="shared" si="60"/>
        <v>23.437636694964461</v>
      </c>
      <c r="R68" s="112">
        <f t="shared" si="61"/>
        <v>23.436317262434191</v>
      </c>
      <c r="S68" s="112">
        <f t="shared" si="47"/>
        <v>178.79928947524112</v>
      </c>
      <c r="T68" s="112">
        <f t="shared" si="62"/>
        <v>0.52044527774036686</v>
      </c>
      <c r="U68" s="112">
        <f t="shared" si="63"/>
        <v>4.3023299453656468E-2</v>
      </c>
      <c r="V68" s="112">
        <f t="shared" si="64"/>
        <v>6.9767136745532268</v>
      </c>
      <c r="W68" s="112">
        <f t="shared" si="65"/>
        <v>91.463885403885442</v>
      </c>
      <c r="X68" s="115">
        <f t="shared" si="66"/>
        <v>0.51459950439267133</v>
      </c>
      <c r="Y68" s="115">
        <f t="shared" si="67"/>
        <v>0.2605331560485451</v>
      </c>
      <c r="Z68" s="115">
        <f t="shared" si="68"/>
        <v>0.76866585273679755</v>
      </c>
      <c r="AA68" s="118">
        <f t="shared" si="69"/>
        <v>731.71108323108353</v>
      </c>
      <c r="AB68" s="112">
        <f t="shared" si="70"/>
        <v>380.97671367455359</v>
      </c>
      <c r="AC68" s="112">
        <f t="shared" si="71"/>
        <v>-84.755821581361602</v>
      </c>
      <c r="AD68" s="112">
        <f t="shared" si="72"/>
        <v>85.548578226285585</v>
      </c>
      <c r="AE68" s="112">
        <f t="shared" si="73"/>
        <v>4.4514217737144151</v>
      </c>
      <c r="AF68" s="112">
        <f t="shared" si="74"/>
        <v>0.17449384520682285</v>
      </c>
      <c r="AG68" s="112">
        <f t="shared" si="75"/>
        <v>4.6259156189212378</v>
      </c>
      <c r="AH68" s="112">
        <f t="shared" si="76"/>
        <v>92.823545220051926</v>
      </c>
      <c r="AJ68" s="119">
        <f t="shared" si="77"/>
        <v>0.2791666666666669</v>
      </c>
      <c r="AK68" s="112">
        <f t="shared" si="78"/>
        <v>0</v>
      </c>
      <c r="AL68" s="112">
        <f t="shared" si="79"/>
        <v>0</v>
      </c>
      <c r="AM68" s="116">
        <f t="shared" si="80"/>
        <v>0</v>
      </c>
      <c r="AN68" s="116">
        <f t="shared" ref="AN68:AN131" si="92">AM68*(AJ68-AJ67)*24+AN67</f>
        <v>0</v>
      </c>
      <c r="AO68" s="116">
        <f t="shared" ref="AO68:AO131" si="93">IF(AL68=1,(AJ68-AJ67)*24+AO67,AO67)</f>
        <v>0</v>
      </c>
      <c r="AQ68" s="131">
        <f t="shared" si="81"/>
        <v>0</v>
      </c>
      <c r="AR68" s="131">
        <f t="shared" si="82"/>
        <v>0</v>
      </c>
      <c r="AS68" s="131">
        <f t="shared" si="83"/>
        <v>0</v>
      </c>
      <c r="AT68" s="131">
        <f t="shared" si="84"/>
        <v>0</v>
      </c>
      <c r="AU68" s="131">
        <f t="shared" si="85"/>
        <v>0</v>
      </c>
      <c r="AV68" s="131">
        <f t="shared" si="86"/>
        <v>0</v>
      </c>
      <c r="AW68" s="131">
        <f t="shared" si="87"/>
        <v>0</v>
      </c>
      <c r="AX68" s="131">
        <f t="shared" si="88"/>
        <v>0</v>
      </c>
      <c r="AY68" s="131">
        <f t="shared" si="89"/>
        <v>0</v>
      </c>
      <c r="AZ68" s="131">
        <f t="shared" si="90"/>
        <v>0</v>
      </c>
      <c r="BE68" s="116">
        <f t="shared" si="48"/>
        <v>0</v>
      </c>
    </row>
    <row r="69" spans="4:57">
      <c r="D69" s="114">
        <f t="shared" si="49"/>
        <v>41173</v>
      </c>
      <c r="E69" s="115">
        <f t="shared" si="91"/>
        <v>0.28333333333333355</v>
      </c>
      <c r="F69" s="116">
        <f t="shared" si="50"/>
        <v>2456191.7833333332</v>
      </c>
      <c r="G69" s="117">
        <f t="shared" si="51"/>
        <v>0.12722199406798657</v>
      </c>
      <c r="I69" s="112">
        <f t="shared" si="52"/>
        <v>180.55619066263262</v>
      </c>
      <c r="J69" s="112">
        <f t="shared" si="53"/>
        <v>4937.4000699598291</v>
      </c>
      <c r="K69" s="112">
        <f t="shared" si="54"/>
        <v>1.6703283918340653E-2</v>
      </c>
      <c r="L69" s="112">
        <f t="shared" si="55"/>
        <v>-1.8591589577982337</v>
      </c>
      <c r="M69" s="112">
        <f t="shared" si="56"/>
        <v>178.69703170483439</v>
      </c>
      <c r="N69" s="112">
        <f t="shared" si="57"/>
        <v>4935.540911002031</v>
      </c>
      <c r="O69" s="112">
        <f t="shared" si="58"/>
        <v>1.0039089411811368</v>
      </c>
      <c r="P69" s="112">
        <f t="shared" si="59"/>
        <v>178.6954379054778</v>
      </c>
      <c r="Q69" s="112">
        <f t="shared" si="60"/>
        <v>23.437636693480979</v>
      </c>
      <c r="R69" s="112">
        <f t="shared" si="61"/>
        <v>23.436317252502654</v>
      </c>
      <c r="S69" s="112">
        <f t="shared" si="47"/>
        <v>178.80302802891632</v>
      </c>
      <c r="T69" s="112">
        <f t="shared" si="62"/>
        <v>0.51882513463348245</v>
      </c>
      <c r="U69" s="112">
        <f t="shared" si="63"/>
        <v>4.302329941615575E-2</v>
      </c>
      <c r="V69" s="112">
        <f t="shared" si="64"/>
        <v>6.9781877420258835</v>
      </c>
      <c r="W69" s="112">
        <f t="shared" si="65"/>
        <v>91.462618821117246</v>
      </c>
      <c r="X69" s="115">
        <f t="shared" si="66"/>
        <v>0.51459848073470427</v>
      </c>
      <c r="Y69" s="115">
        <f t="shared" si="67"/>
        <v>0.26053565067604523</v>
      </c>
      <c r="Z69" s="115">
        <f t="shared" si="68"/>
        <v>0.76866131079336331</v>
      </c>
      <c r="AA69" s="118">
        <f t="shared" si="69"/>
        <v>731.70095056893797</v>
      </c>
      <c r="AB69" s="112">
        <f t="shared" si="70"/>
        <v>386.97818774202619</v>
      </c>
      <c r="AC69" s="112">
        <f t="shared" si="71"/>
        <v>-83.255453064493452</v>
      </c>
      <c r="AD69" s="112">
        <f t="shared" si="72"/>
        <v>84.369231975366191</v>
      </c>
      <c r="AE69" s="112">
        <f t="shared" si="73"/>
        <v>5.6307680246338094</v>
      </c>
      <c r="AF69" s="112">
        <f t="shared" si="74"/>
        <v>0.14596741186249643</v>
      </c>
      <c r="AG69" s="112">
        <f t="shared" si="75"/>
        <v>5.7767354364963062</v>
      </c>
      <c r="AH69" s="112">
        <f t="shared" si="76"/>
        <v>93.754560484962099</v>
      </c>
      <c r="AJ69" s="119">
        <f t="shared" si="77"/>
        <v>0.28333333333333355</v>
      </c>
      <c r="AK69" s="112">
        <f t="shared" si="78"/>
        <v>0</v>
      </c>
      <c r="AL69" s="112">
        <f t="shared" si="79"/>
        <v>0</v>
      </c>
      <c r="AM69" s="116">
        <f t="shared" si="80"/>
        <v>0</v>
      </c>
      <c r="AN69" s="116">
        <f t="shared" si="92"/>
        <v>0</v>
      </c>
      <c r="AO69" s="116">
        <f t="shared" si="93"/>
        <v>0</v>
      </c>
      <c r="AQ69" s="131">
        <f t="shared" si="81"/>
        <v>0</v>
      </c>
      <c r="AR69" s="131">
        <f t="shared" si="82"/>
        <v>0</v>
      </c>
      <c r="AS69" s="131">
        <f t="shared" si="83"/>
        <v>0</v>
      </c>
      <c r="AT69" s="131">
        <f t="shared" si="84"/>
        <v>0</v>
      </c>
      <c r="AU69" s="131">
        <f t="shared" si="85"/>
        <v>0</v>
      </c>
      <c r="AV69" s="131">
        <f t="shared" si="86"/>
        <v>0</v>
      </c>
      <c r="AW69" s="131">
        <f t="shared" si="87"/>
        <v>0</v>
      </c>
      <c r="AX69" s="131">
        <f t="shared" si="88"/>
        <v>0</v>
      </c>
      <c r="AY69" s="131">
        <f t="shared" si="89"/>
        <v>0</v>
      </c>
      <c r="AZ69" s="131">
        <f t="shared" si="90"/>
        <v>0</v>
      </c>
      <c r="BE69" s="116">
        <f t="shared" si="48"/>
        <v>0</v>
      </c>
    </row>
    <row r="70" spans="4:57">
      <c r="D70" s="114">
        <f t="shared" si="49"/>
        <v>41173</v>
      </c>
      <c r="E70" s="115">
        <f t="shared" si="91"/>
        <v>0.2875000000000002</v>
      </c>
      <c r="F70" s="116">
        <f t="shared" si="50"/>
        <v>2456191.7875000001</v>
      </c>
      <c r="G70" s="117">
        <f t="shared" si="51"/>
        <v>0.12722210814510865</v>
      </c>
      <c r="I70" s="112">
        <f t="shared" si="52"/>
        <v>180.56029752685663</v>
      </c>
      <c r="J70" s="112">
        <f t="shared" si="53"/>
        <v>4937.4041766278788</v>
      </c>
      <c r="K70" s="112">
        <f t="shared" si="54"/>
        <v>1.6703283913541513E-2</v>
      </c>
      <c r="L70" s="112">
        <f t="shared" si="55"/>
        <v>-1.859191431837997</v>
      </c>
      <c r="M70" s="112">
        <f t="shared" si="56"/>
        <v>178.70110609501864</v>
      </c>
      <c r="N70" s="112">
        <f t="shared" si="57"/>
        <v>4935.5449851960411</v>
      </c>
      <c r="O70" s="112">
        <f t="shared" si="58"/>
        <v>1.0039077817208817</v>
      </c>
      <c r="P70" s="112">
        <f t="shared" si="59"/>
        <v>178.69951228617478</v>
      </c>
      <c r="Q70" s="112">
        <f t="shared" si="60"/>
        <v>23.437636691997501</v>
      </c>
      <c r="R70" s="112">
        <f t="shared" si="61"/>
        <v>23.436317242571139</v>
      </c>
      <c r="S70" s="112">
        <f t="shared" si="47"/>
        <v>178.80676658973047</v>
      </c>
      <c r="T70" s="112">
        <f t="shared" si="62"/>
        <v>0.51720498539586945</v>
      </c>
      <c r="U70" s="112">
        <f t="shared" si="63"/>
        <v>4.3023299378655087E-2</v>
      </c>
      <c r="V70" s="112">
        <f t="shared" si="64"/>
        <v>6.9796617852882799</v>
      </c>
      <c r="W70" s="112">
        <f t="shared" si="65"/>
        <v>91.461352235765276</v>
      </c>
      <c r="X70" s="115">
        <f t="shared" si="66"/>
        <v>0.51459745709354976</v>
      </c>
      <c r="Y70" s="115">
        <f t="shared" si="67"/>
        <v>0.26053814532753511</v>
      </c>
      <c r="Z70" s="115">
        <f t="shared" si="68"/>
        <v>0.76865676885956447</v>
      </c>
      <c r="AA70" s="118">
        <f t="shared" si="69"/>
        <v>731.6908178861222</v>
      </c>
      <c r="AB70" s="112">
        <f t="shared" si="70"/>
        <v>392.97966178528856</v>
      </c>
      <c r="AC70" s="112">
        <f t="shared" si="71"/>
        <v>-81.755084553677861</v>
      </c>
      <c r="AD70" s="112">
        <f t="shared" si="72"/>
        <v>83.191148034383176</v>
      </c>
      <c r="AE70" s="112">
        <f t="shared" si="73"/>
        <v>6.8088519656168245</v>
      </c>
      <c r="AF70" s="112">
        <f t="shared" si="74"/>
        <v>0.12472838126535934</v>
      </c>
      <c r="AG70" s="112">
        <f t="shared" si="75"/>
        <v>6.9335803468821835</v>
      </c>
      <c r="AH70" s="112">
        <f t="shared" si="76"/>
        <v>94.689079351825285</v>
      </c>
      <c r="AJ70" s="119">
        <f t="shared" si="77"/>
        <v>0.2875000000000002</v>
      </c>
      <c r="AK70" s="112">
        <f t="shared" si="78"/>
        <v>0</v>
      </c>
      <c r="AL70" s="112">
        <f t="shared" si="79"/>
        <v>0</v>
      </c>
      <c r="AM70" s="116">
        <f t="shared" si="80"/>
        <v>0</v>
      </c>
      <c r="AN70" s="116">
        <f t="shared" si="92"/>
        <v>0</v>
      </c>
      <c r="AO70" s="116">
        <f t="shared" si="93"/>
        <v>0</v>
      </c>
      <c r="AQ70" s="131">
        <f t="shared" si="81"/>
        <v>0</v>
      </c>
      <c r="AR70" s="131">
        <f t="shared" si="82"/>
        <v>0</v>
      </c>
      <c r="AS70" s="131">
        <f t="shared" si="83"/>
        <v>0</v>
      </c>
      <c r="AT70" s="131">
        <f t="shared" si="84"/>
        <v>0</v>
      </c>
      <c r="AU70" s="131">
        <f t="shared" si="85"/>
        <v>0</v>
      </c>
      <c r="AV70" s="131">
        <f t="shared" si="86"/>
        <v>0</v>
      </c>
      <c r="AW70" s="131">
        <f t="shared" si="87"/>
        <v>0</v>
      </c>
      <c r="AX70" s="131">
        <f t="shared" si="88"/>
        <v>0</v>
      </c>
      <c r="AY70" s="131">
        <f t="shared" si="89"/>
        <v>0</v>
      </c>
      <c r="AZ70" s="131">
        <f t="shared" si="90"/>
        <v>0</v>
      </c>
      <c r="BE70" s="116">
        <f t="shared" si="48"/>
        <v>0</v>
      </c>
    </row>
    <row r="71" spans="4:57">
      <c r="D71" s="114">
        <f t="shared" si="49"/>
        <v>41173</v>
      </c>
      <c r="E71" s="115">
        <f t="shared" si="91"/>
        <v>0.29166666666666685</v>
      </c>
      <c r="F71" s="116">
        <f t="shared" si="50"/>
        <v>2456191.7916666665</v>
      </c>
      <c r="G71" s="117">
        <f t="shared" si="51"/>
        <v>0.12722222222221796</v>
      </c>
      <c r="I71" s="112">
        <f t="shared" si="52"/>
        <v>180.56440439062135</v>
      </c>
      <c r="J71" s="112">
        <f t="shared" si="53"/>
        <v>4937.40828329547</v>
      </c>
      <c r="K71" s="112">
        <f t="shared" si="54"/>
        <v>1.6703283908742376E-2</v>
      </c>
      <c r="L71" s="112">
        <f t="shared" si="55"/>
        <v>-1.8592238964633716</v>
      </c>
      <c r="M71" s="112">
        <f t="shared" si="56"/>
        <v>178.70518049415799</v>
      </c>
      <c r="N71" s="112">
        <f t="shared" si="57"/>
        <v>4935.5490593990071</v>
      </c>
      <c r="O71" s="112">
        <f t="shared" si="58"/>
        <v>1.0039066222395032</v>
      </c>
      <c r="P71" s="112">
        <f t="shared" si="59"/>
        <v>178.70358667582676</v>
      </c>
      <c r="Q71" s="112">
        <f t="shared" si="60"/>
        <v>23.437636690514019</v>
      </c>
      <c r="R71" s="112">
        <f t="shared" si="61"/>
        <v>23.436317232639642</v>
      </c>
      <c r="S71" s="112">
        <f t="shared" si="47"/>
        <v>178.81050515685345</v>
      </c>
      <c r="T71" s="112">
        <f t="shared" si="62"/>
        <v>0.51558483039673053</v>
      </c>
      <c r="U71" s="112">
        <f t="shared" si="63"/>
        <v>4.3023299341154522E-2</v>
      </c>
      <c r="V71" s="112">
        <f t="shared" si="64"/>
        <v>6.9811358039865423</v>
      </c>
      <c r="W71" s="112">
        <f t="shared" si="65"/>
        <v>91.460085648115566</v>
      </c>
      <c r="X71" s="115">
        <f t="shared" si="66"/>
        <v>0.51459643346945383</v>
      </c>
      <c r="Y71" s="115">
        <f t="shared" si="67"/>
        <v>0.26054064000246613</v>
      </c>
      <c r="Z71" s="115">
        <f t="shared" si="68"/>
        <v>0.76865222693644153</v>
      </c>
      <c r="AA71" s="118">
        <f t="shared" si="69"/>
        <v>731.68068518492453</v>
      </c>
      <c r="AB71" s="112">
        <f t="shared" si="70"/>
        <v>398.98113580398683</v>
      </c>
      <c r="AC71" s="112">
        <f t="shared" si="71"/>
        <v>-80.254716049003292</v>
      </c>
      <c r="AD71" s="112">
        <f t="shared" si="72"/>
        <v>82.014646553635046</v>
      </c>
      <c r="AE71" s="112">
        <f t="shared" si="73"/>
        <v>7.9853534463649538</v>
      </c>
      <c r="AF71" s="112">
        <f t="shared" si="74"/>
        <v>0.10844351098098405</v>
      </c>
      <c r="AG71" s="112">
        <f t="shared" si="75"/>
        <v>8.0937969573459387</v>
      </c>
      <c r="AH71" s="112">
        <f t="shared" si="76"/>
        <v>95.627914661719501</v>
      </c>
      <c r="AJ71" s="119">
        <f t="shared" si="77"/>
        <v>0.29166666666666685</v>
      </c>
      <c r="AK71" s="112">
        <f t="shared" si="78"/>
        <v>0</v>
      </c>
      <c r="AL71" s="112">
        <f t="shared" si="79"/>
        <v>0</v>
      </c>
      <c r="AM71" s="116">
        <f t="shared" si="80"/>
        <v>0</v>
      </c>
      <c r="AN71" s="116">
        <f t="shared" si="92"/>
        <v>0</v>
      </c>
      <c r="AO71" s="116">
        <f t="shared" si="93"/>
        <v>0</v>
      </c>
      <c r="AQ71" s="131">
        <f t="shared" si="81"/>
        <v>0</v>
      </c>
      <c r="AR71" s="131">
        <f t="shared" si="82"/>
        <v>0</v>
      </c>
      <c r="AS71" s="131">
        <f t="shared" si="83"/>
        <v>0</v>
      </c>
      <c r="AT71" s="131">
        <f t="shared" si="84"/>
        <v>0</v>
      </c>
      <c r="AU71" s="131">
        <f t="shared" si="85"/>
        <v>0</v>
      </c>
      <c r="AV71" s="131">
        <f t="shared" si="86"/>
        <v>0</v>
      </c>
      <c r="AW71" s="131">
        <f t="shared" si="87"/>
        <v>0</v>
      </c>
      <c r="AX71" s="131">
        <f t="shared" si="88"/>
        <v>0</v>
      </c>
      <c r="AY71" s="131">
        <f t="shared" si="89"/>
        <v>0</v>
      </c>
      <c r="AZ71" s="131">
        <f t="shared" si="90"/>
        <v>0</v>
      </c>
      <c r="BE71" s="116">
        <f t="shared" si="48"/>
        <v>0</v>
      </c>
    </row>
    <row r="72" spans="4:57">
      <c r="D72" s="114">
        <f t="shared" si="49"/>
        <v>41173</v>
      </c>
      <c r="E72" s="115">
        <f t="shared" si="91"/>
        <v>0.2958333333333335</v>
      </c>
      <c r="F72" s="116">
        <f t="shared" si="50"/>
        <v>2456191.7958333334</v>
      </c>
      <c r="G72" s="117">
        <f t="shared" si="51"/>
        <v>0.12722233629934004</v>
      </c>
      <c r="I72" s="112">
        <f t="shared" si="52"/>
        <v>180.56851125484445</v>
      </c>
      <c r="J72" s="112">
        <f t="shared" si="53"/>
        <v>4937.4123899635206</v>
      </c>
      <c r="K72" s="112">
        <f t="shared" si="54"/>
        <v>1.6703283903943239E-2</v>
      </c>
      <c r="L72" s="112">
        <f t="shared" si="55"/>
        <v>-1.8592563516814058</v>
      </c>
      <c r="M72" s="112">
        <f t="shared" si="56"/>
        <v>178.70925490316304</v>
      </c>
      <c r="N72" s="112">
        <f t="shared" si="57"/>
        <v>4935.5531336118393</v>
      </c>
      <c r="O72" s="112">
        <f t="shared" si="58"/>
        <v>1.0039054627367485</v>
      </c>
      <c r="P72" s="112">
        <f t="shared" si="59"/>
        <v>178.70766107534439</v>
      </c>
      <c r="Q72" s="112">
        <f t="shared" si="60"/>
        <v>23.437636689030541</v>
      </c>
      <c r="R72" s="112">
        <f t="shared" si="61"/>
        <v>23.436317222708169</v>
      </c>
      <c r="S72" s="112">
        <f t="shared" si="47"/>
        <v>178.81424373112685</v>
      </c>
      <c r="T72" s="112">
        <f t="shared" si="62"/>
        <v>0.51396466928082285</v>
      </c>
      <c r="U72" s="112">
        <f t="shared" si="63"/>
        <v>4.3023299303654033E-2</v>
      </c>
      <c r="V72" s="112">
        <f t="shared" si="64"/>
        <v>6.9826097984257949</v>
      </c>
      <c r="W72" s="112">
        <f t="shared" si="65"/>
        <v>91.458819057887737</v>
      </c>
      <c r="X72" s="115">
        <f t="shared" si="66"/>
        <v>0.51459540986220431</v>
      </c>
      <c r="Y72" s="115">
        <f t="shared" si="67"/>
        <v>0.26054313470140505</v>
      </c>
      <c r="Z72" s="115">
        <f t="shared" si="68"/>
        <v>0.76864768502300351</v>
      </c>
      <c r="AA72" s="118">
        <f t="shared" si="69"/>
        <v>731.6705524631019</v>
      </c>
      <c r="AB72" s="112">
        <f t="shared" si="70"/>
        <v>404.98260979842604</v>
      </c>
      <c r="AC72" s="112">
        <f t="shared" si="71"/>
        <v>-78.75434755039349</v>
      </c>
      <c r="AD72" s="112">
        <f t="shared" si="72"/>
        <v>80.840053000397816</v>
      </c>
      <c r="AE72" s="112">
        <f t="shared" si="73"/>
        <v>9.1599469996021838</v>
      </c>
      <c r="AF72" s="112">
        <f t="shared" si="74"/>
        <v>9.5669064672268225E-2</v>
      </c>
      <c r="AG72" s="112">
        <f t="shared" si="75"/>
        <v>9.2556160642744523</v>
      </c>
      <c r="AH72" s="112">
        <f t="shared" si="76"/>
        <v>96.571890010667175</v>
      </c>
      <c r="AJ72" s="119">
        <f t="shared" si="77"/>
        <v>0.2958333333333335</v>
      </c>
      <c r="AK72" s="112">
        <f t="shared" si="78"/>
        <v>0</v>
      </c>
      <c r="AL72" s="112">
        <f t="shared" si="79"/>
        <v>0</v>
      </c>
      <c r="AM72" s="116">
        <f t="shared" si="80"/>
        <v>0</v>
      </c>
      <c r="AN72" s="116">
        <f t="shared" si="92"/>
        <v>0</v>
      </c>
      <c r="AO72" s="116">
        <f t="shared" si="93"/>
        <v>0</v>
      </c>
      <c r="AQ72" s="131">
        <f t="shared" si="81"/>
        <v>0</v>
      </c>
      <c r="AR72" s="131">
        <f t="shared" si="82"/>
        <v>0</v>
      </c>
      <c r="AS72" s="131">
        <f t="shared" si="83"/>
        <v>0</v>
      </c>
      <c r="AT72" s="131">
        <f t="shared" si="84"/>
        <v>0</v>
      </c>
      <c r="AU72" s="131">
        <f t="shared" si="85"/>
        <v>0</v>
      </c>
      <c r="AV72" s="131">
        <f t="shared" si="86"/>
        <v>0</v>
      </c>
      <c r="AW72" s="131">
        <f t="shared" si="87"/>
        <v>0</v>
      </c>
      <c r="AX72" s="131">
        <f t="shared" si="88"/>
        <v>0</v>
      </c>
      <c r="AY72" s="131">
        <f t="shared" si="89"/>
        <v>0</v>
      </c>
      <c r="AZ72" s="131">
        <f t="shared" si="90"/>
        <v>0</v>
      </c>
      <c r="BE72" s="116">
        <f t="shared" si="48"/>
        <v>0</v>
      </c>
    </row>
    <row r="73" spans="4:57">
      <c r="D73" s="114">
        <f t="shared" si="49"/>
        <v>41173</v>
      </c>
      <c r="E73" s="115">
        <f t="shared" si="91"/>
        <v>0.30000000000000016</v>
      </c>
      <c r="F73" s="116">
        <f t="shared" si="50"/>
        <v>2456191.7999999998</v>
      </c>
      <c r="G73" s="117">
        <f t="shared" si="51"/>
        <v>0.12722245037644939</v>
      </c>
      <c r="I73" s="112">
        <f t="shared" si="52"/>
        <v>180.57261811861008</v>
      </c>
      <c r="J73" s="112">
        <f t="shared" si="53"/>
        <v>4937.4164966311118</v>
      </c>
      <c r="K73" s="112">
        <f t="shared" si="54"/>
        <v>1.6703283899144102E-2</v>
      </c>
      <c r="L73" s="112">
        <f t="shared" si="55"/>
        <v>-1.8592887974846364</v>
      </c>
      <c r="M73" s="112">
        <f t="shared" si="56"/>
        <v>178.71332932112546</v>
      </c>
      <c r="N73" s="112">
        <f t="shared" si="57"/>
        <v>4935.5572078336272</v>
      </c>
      <c r="O73" s="112">
        <f t="shared" si="58"/>
        <v>1.0039043032128823</v>
      </c>
      <c r="P73" s="112">
        <f t="shared" si="59"/>
        <v>178.71173548381935</v>
      </c>
      <c r="Q73" s="112">
        <f t="shared" si="60"/>
        <v>23.437636687547062</v>
      </c>
      <c r="R73" s="112">
        <f t="shared" si="61"/>
        <v>23.436317212776714</v>
      </c>
      <c r="S73" s="112">
        <f t="shared" si="47"/>
        <v>178.81798231172314</v>
      </c>
      <c r="T73" s="112">
        <f t="shared" si="62"/>
        <v>0.51234450241623641</v>
      </c>
      <c r="U73" s="112">
        <f t="shared" si="63"/>
        <v>4.3023299266153628E-2</v>
      </c>
      <c r="V73" s="112">
        <f t="shared" si="64"/>
        <v>6.984083768252983</v>
      </c>
      <c r="W73" s="112">
        <f t="shared" si="65"/>
        <v>91.457552465366945</v>
      </c>
      <c r="X73" s="115">
        <f t="shared" si="66"/>
        <v>0.51459438627204657</v>
      </c>
      <c r="Y73" s="115">
        <f t="shared" si="67"/>
        <v>0.26054562942380505</v>
      </c>
      <c r="Z73" s="115">
        <f t="shared" si="68"/>
        <v>0.76864314312028803</v>
      </c>
      <c r="AA73" s="118">
        <f t="shared" si="69"/>
        <v>731.66041972293556</v>
      </c>
      <c r="AB73" s="112">
        <f t="shared" si="70"/>
        <v>410.98408376825319</v>
      </c>
      <c r="AC73" s="112">
        <f t="shared" si="71"/>
        <v>-77.253979057936704</v>
      </c>
      <c r="AD73" s="112">
        <f t="shared" si="72"/>
        <v>79.66769921552428</v>
      </c>
      <c r="AE73" s="112">
        <f t="shared" si="73"/>
        <v>10.33230078447572</v>
      </c>
      <c r="AF73" s="112">
        <f t="shared" si="74"/>
        <v>8.5432678292656272E-2</v>
      </c>
      <c r="AG73" s="112">
        <f t="shared" si="75"/>
        <v>10.417733462768377</v>
      </c>
      <c r="AH73" s="112">
        <f t="shared" si="76"/>
        <v>97.521841666248861</v>
      </c>
      <c r="AJ73" s="119">
        <f t="shared" si="77"/>
        <v>0.30000000000000016</v>
      </c>
      <c r="AK73" s="112">
        <f t="shared" si="78"/>
        <v>0</v>
      </c>
      <c r="AL73" s="112">
        <f t="shared" si="79"/>
        <v>0</v>
      </c>
      <c r="AM73" s="116">
        <f t="shared" si="80"/>
        <v>0</v>
      </c>
      <c r="AN73" s="116">
        <f t="shared" si="92"/>
        <v>0</v>
      </c>
      <c r="AO73" s="116">
        <f t="shared" si="93"/>
        <v>0</v>
      </c>
      <c r="AQ73" s="131">
        <f t="shared" si="81"/>
        <v>0</v>
      </c>
      <c r="AR73" s="131">
        <f t="shared" si="82"/>
        <v>0</v>
      </c>
      <c r="AS73" s="131">
        <f t="shared" si="83"/>
        <v>0</v>
      </c>
      <c r="AT73" s="131">
        <f t="shared" si="84"/>
        <v>0</v>
      </c>
      <c r="AU73" s="131">
        <f t="shared" si="85"/>
        <v>0</v>
      </c>
      <c r="AV73" s="131">
        <f t="shared" si="86"/>
        <v>0</v>
      </c>
      <c r="AW73" s="131">
        <f t="shared" si="87"/>
        <v>0</v>
      </c>
      <c r="AX73" s="131">
        <f t="shared" si="88"/>
        <v>0</v>
      </c>
      <c r="AY73" s="131">
        <f t="shared" si="89"/>
        <v>0</v>
      </c>
      <c r="AZ73" s="131">
        <f t="shared" si="90"/>
        <v>0</v>
      </c>
      <c r="BE73" s="116">
        <f t="shared" si="48"/>
        <v>0</v>
      </c>
    </row>
    <row r="74" spans="4:57">
      <c r="D74" s="114">
        <f t="shared" si="49"/>
        <v>41173</v>
      </c>
      <c r="E74" s="115">
        <f t="shared" si="91"/>
        <v>0.30416666666666681</v>
      </c>
      <c r="F74" s="116">
        <f t="shared" si="50"/>
        <v>2456191.8041666667</v>
      </c>
      <c r="G74" s="117">
        <f t="shared" si="51"/>
        <v>0.12722256445357147</v>
      </c>
      <c r="I74" s="112">
        <f t="shared" si="52"/>
        <v>180.57672498283409</v>
      </c>
      <c r="J74" s="112">
        <f t="shared" si="53"/>
        <v>4937.4206032991624</v>
      </c>
      <c r="K74" s="112">
        <f t="shared" si="54"/>
        <v>1.6703283894344965E-2</v>
      </c>
      <c r="L74" s="112">
        <f t="shared" si="55"/>
        <v>-1.8593212338801148</v>
      </c>
      <c r="M74" s="112">
        <f t="shared" si="56"/>
        <v>178.71740374895398</v>
      </c>
      <c r="N74" s="112">
        <f t="shared" si="57"/>
        <v>4935.5612820652823</v>
      </c>
      <c r="O74" s="112">
        <f t="shared" si="58"/>
        <v>1.0039031436676511</v>
      </c>
      <c r="P74" s="112">
        <f t="shared" si="59"/>
        <v>178.71580990216034</v>
      </c>
      <c r="Q74" s="112">
        <f t="shared" si="60"/>
        <v>23.437636686063581</v>
      </c>
      <c r="R74" s="112">
        <f t="shared" si="61"/>
        <v>23.436317202845277</v>
      </c>
      <c r="S74" s="112">
        <f t="shared" si="47"/>
        <v>178.8217208994821</v>
      </c>
      <c r="T74" s="112">
        <f t="shared" si="62"/>
        <v>0.51072432944850676</v>
      </c>
      <c r="U74" s="112">
        <f t="shared" si="63"/>
        <v>4.3023299228653264E-2</v>
      </c>
      <c r="V74" s="112">
        <f t="shared" si="64"/>
        <v>6.9855577137726401</v>
      </c>
      <c r="W74" s="112">
        <f t="shared" si="65"/>
        <v>91.456285870273433</v>
      </c>
      <c r="X74" s="115">
        <f t="shared" si="66"/>
        <v>0.51459336269876899</v>
      </c>
      <c r="Y74" s="115">
        <f t="shared" si="67"/>
        <v>0.26054812417023165</v>
      </c>
      <c r="Z74" s="115">
        <f t="shared" si="68"/>
        <v>0.76863860122730632</v>
      </c>
      <c r="AA74" s="118">
        <f t="shared" si="69"/>
        <v>731.65028696218747</v>
      </c>
      <c r="AB74" s="112">
        <f t="shared" si="70"/>
        <v>416.98555771377289</v>
      </c>
      <c r="AC74" s="112">
        <f t="shared" si="71"/>
        <v>-75.753610571556777</v>
      </c>
      <c r="AD74" s="112">
        <f t="shared" si="72"/>
        <v>78.497924502569873</v>
      </c>
      <c r="AE74" s="112">
        <f t="shared" si="73"/>
        <v>11.502075497430127</v>
      </c>
      <c r="AF74" s="112">
        <f t="shared" si="74"/>
        <v>7.7071304371465615E-2</v>
      </c>
      <c r="AG74" s="112">
        <f t="shared" si="75"/>
        <v>11.579146801801592</v>
      </c>
      <c r="AH74" s="112">
        <f t="shared" si="76"/>
        <v>98.478620499918122</v>
      </c>
      <c r="AJ74" s="119">
        <f t="shared" si="77"/>
        <v>0.30416666666666681</v>
      </c>
      <c r="AK74" s="112">
        <f t="shared" si="78"/>
        <v>0</v>
      </c>
      <c r="AL74" s="112">
        <f t="shared" si="79"/>
        <v>0</v>
      </c>
      <c r="AM74" s="116">
        <f t="shared" si="80"/>
        <v>0</v>
      </c>
      <c r="AN74" s="116">
        <f t="shared" si="92"/>
        <v>0</v>
      </c>
      <c r="AO74" s="116">
        <f t="shared" si="93"/>
        <v>0</v>
      </c>
      <c r="AQ74" s="131">
        <f t="shared" si="81"/>
        <v>0</v>
      </c>
      <c r="AR74" s="131">
        <f t="shared" si="82"/>
        <v>0</v>
      </c>
      <c r="AS74" s="131">
        <f t="shared" si="83"/>
        <v>0</v>
      </c>
      <c r="AT74" s="131">
        <f t="shared" si="84"/>
        <v>0</v>
      </c>
      <c r="AU74" s="131">
        <f t="shared" si="85"/>
        <v>0</v>
      </c>
      <c r="AV74" s="131">
        <f t="shared" si="86"/>
        <v>0</v>
      </c>
      <c r="AW74" s="131">
        <f t="shared" si="87"/>
        <v>0</v>
      </c>
      <c r="AX74" s="131">
        <f t="shared" si="88"/>
        <v>0</v>
      </c>
      <c r="AY74" s="131">
        <f t="shared" si="89"/>
        <v>0</v>
      </c>
      <c r="AZ74" s="131">
        <f t="shared" si="90"/>
        <v>0</v>
      </c>
      <c r="BE74" s="116">
        <f t="shared" si="48"/>
        <v>0</v>
      </c>
    </row>
    <row r="75" spans="4:57">
      <c r="D75" s="114">
        <f t="shared" si="49"/>
        <v>41173</v>
      </c>
      <c r="E75" s="115">
        <f t="shared" si="91"/>
        <v>0.30833333333333346</v>
      </c>
      <c r="F75" s="116">
        <f t="shared" si="50"/>
        <v>2456191.8083333331</v>
      </c>
      <c r="G75" s="117">
        <f t="shared" si="51"/>
        <v>0.12722267853068078</v>
      </c>
      <c r="I75" s="112">
        <f t="shared" si="52"/>
        <v>180.5808318465979</v>
      </c>
      <c r="J75" s="112">
        <f t="shared" si="53"/>
        <v>4937.4247099667527</v>
      </c>
      <c r="K75" s="112">
        <f t="shared" si="54"/>
        <v>1.6703283889545829E-2</v>
      </c>
      <c r="L75" s="112">
        <f t="shared" si="55"/>
        <v>-1.8593536608603753</v>
      </c>
      <c r="M75" s="112">
        <f t="shared" si="56"/>
        <v>178.72147818573754</v>
      </c>
      <c r="N75" s="112">
        <f t="shared" si="57"/>
        <v>4935.5653563058922</v>
      </c>
      <c r="O75" s="112">
        <f t="shared" si="58"/>
        <v>1.0039019841013208</v>
      </c>
      <c r="P75" s="112">
        <f t="shared" si="59"/>
        <v>178.71988432945631</v>
      </c>
      <c r="Q75" s="112">
        <f t="shared" si="60"/>
        <v>23.437636684580102</v>
      </c>
      <c r="R75" s="112">
        <f t="shared" si="61"/>
        <v>23.436317192913862</v>
      </c>
      <c r="S75" s="112">
        <f t="shared" si="47"/>
        <v>178.82545949357379</v>
      </c>
      <c r="T75" s="112">
        <f t="shared" si="62"/>
        <v>0.50910415074678839</v>
      </c>
      <c r="U75" s="112">
        <f t="shared" si="63"/>
        <v>4.3023299191152997E-2</v>
      </c>
      <c r="V75" s="112">
        <f t="shared" si="64"/>
        <v>6.9870316346308039</v>
      </c>
      <c r="W75" s="112">
        <f t="shared" si="65"/>
        <v>91.45501927289321</v>
      </c>
      <c r="X75" s="115">
        <f t="shared" si="66"/>
        <v>0.51459233914261748</v>
      </c>
      <c r="Y75" s="115">
        <f t="shared" si="67"/>
        <v>0.26055061894013637</v>
      </c>
      <c r="Z75" s="115">
        <f t="shared" si="68"/>
        <v>0.76863405934509865</v>
      </c>
      <c r="AA75" s="118">
        <f t="shared" si="69"/>
        <v>731.64015418314568</v>
      </c>
      <c r="AB75" s="112">
        <f t="shared" si="70"/>
        <v>422.98703163463097</v>
      </c>
      <c r="AC75" s="112">
        <f t="shared" si="71"/>
        <v>-74.253242091342258</v>
      </c>
      <c r="AD75" s="112">
        <f t="shared" si="72"/>
        <v>77.331076751798221</v>
      </c>
      <c r="AE75" s="112">
        <f t="shared" si="73"/>
        <v>12.668923248201779</v>
      </c>
      <c r="AF75" s="112">
        <f t="shared" si="74"/>
        <v>7.012521972011565E-2</v>
      </c>
      <c r="AG75" s="112">
        <f t="shared" si="75"/>
        <v>12.739048467921894</v>
      </c>
      <c r="AH75" s="112">
        <f t="shared" si="76"/>
        <v>99.443093928330427</v>
      </c>
      <c r="AJ75" s="119">
        <f t="shared" si="77"/>
        <v>0.30833333333333346</v>
      </c>
      <c r="AK75" s="112">
        <f t="shared" si="78"/>
        <v>0</v>
      </c>
      <c r="AL75" s="112">
        <f t="shared" si="79"/>
        <v>0</v>
      </c>
      <c r="AM75" s="116">
        <f t="shared" si="80"/>
        <v>0</v>
      </c>
      <c r="AN75" s="116">
        <f t="shared" si="92"/>
        <v>0</v>
      </c>
      <c r="AO75" s="116">
        <f t="shared" si="93"/>
        <v>0</v>
      </c>
      <c r="AQ75" s="131">
        <f t="shared" si="81"/>
        <v>0</v>
      </c>
      <c r="AR75" s="131">
        <f t="shared" si="82"/>
        <v>0</v>
      </c>
      <c r="AS75" s="131">
        <f t="shared" si="83"/>
        <v>0</v>
      </c>
      <c r="AT75" s="131">
        <f t="shared" si="84"/>
        <v>0</v>
      </c>
      <c r="AU75" s="131">
        <f t="shared" si="85"/>
        <v>0</v>
      </c>
      <c r="AV75" s="131">
        <f t="shared" si="86"/>
        <v>0</v>
      </c>
      <c r="AW75" s="131">
        <f t="shared" si="87"/>
        <v>0</v>
      </c>
      <c r="AX75" s="131">
        <f t="shared" si="88"/>
        <v>0</v>
      </c>
      <c r="AY75" s="131">
        <f t="shared" si="89"/>
        <v>0</v>
      </c>
      <c r="AZ75" s="131">
        <f t="shared" si="90"/>
        <v>0</v>
      </c>
      <c r="BE75" s="116">
        <f t="shared" si="48"/>
        <v>0</v>
      </c>
    </row>
    <row r="76" spans="4:57">
      <c r="D76" s="114">
        <f t="shared" si="49"/>
        <v>41173</v>
      </c>
      <c r="E76" s="115">
        <f t="shared" si="91"/>
        <v>0.31250000000000011</v>
      </c>
      <c r="F76" s="116">
        <f t="shared" si="50"/>
        <v>2456191.8125</v>
      </c>
      <c r="G76" s="117">
        <f t="shared" si="51"/>
        <v>0.12722279260780286</v>
      </c>
      <c r="I76" s="112">
        <f t="shared" si="52"/>
        <v>180.58493871082101</v>
      </c>
      <c r="J76" s="112">
        <f t="shared" si="53"/>
        <v>4937.4288166348033</v>
      </c>
      <c r="K76" s="112">
        <f t="shared" si="54"/>
        <v>1.6703283884746688E-2</v>
      </c>
      <c r="L76" s="112">
        <f t="shared" si="55"/>
        <v>-1.8593860784324774</v>
      </c>
      <c r="M76" s="112">
        <f t="shared" si="56"/>
        <v>178.72555263238854</v>
      </c>
      <c r="N76" s="112">
        <f t="shared" si="57"/>
        <v>4935.5694305563711</v>
      </c>
      <c r="O76" s="112">
        <f t="shared" si="58"/>
        <v>1.0039008245136365</v>
      </c>
      <c r="P76" s="112">
        <f t="shared" si="59"/>
        <v>178.72395876661963</v>
      </c>
      <c r="Q76" s="112">
        <f t="shared" si="60"/>
        <v>23.437636683096621</v>
      </c>
      <c r="R76" s="112">
        <f t="shared" si="61"/>
        <v>23.43631718298246</v>
      </c>
      <c r="S76" s="112">
        <f t="shared" si="47"/>
        <v>178.8291980948413</v>
      </c>
      <c r="T76" s="112">
        <f t="shared" si="62"/>
        <v>0.50748396595516831</v>
      </c>
      <c r="U76" s="112">
        <f t="shared" si="63"/>
        <v>4.3023299153652772E-2</v>
      </c>
      <c r="V76" s="112">
        <f t="shared" si="64"/>
        <v>6.9885055311332529</v>
      </c>
      <c r="W76" s="112">
        <f t="shared" si="65"/>
        <v>91.45375267294537</v>
      </c>
      <c r="X76" s="115">
        <f t="shared" si="66"/>
        <v>0.51459131560337967</v>
      </c>
      <c r="Y76" s="115">
        <f t="shared" si="67"/>
        <v>0.26055311373408696</v>
      </c>
      <c r="Z76" s="115">
        <f t="shared" si="68"/>
        <v>0.76862951747267239</v>
      </c>
      <c r="AA76" s="118">
        <f t="shared" si="69"/>
        <v>731.63002138356296</v>
      </c>
      <c r="AB76" s="112">
        <f t="shared" si="70"/>
        <v>428.9885055311334</v>
      </c>
      <c r="AC76" s="112">
        <f t="shared" si="71"/>
        <v>-72.75287361721665</v>
      </c>
      <c r="AD76" s="112">
        <f t="shared" si="72"/>
        <v>76.167513606612701</v>
      </c>
      <c r="AE76" s="112">
        <f t="shared" si="73"/>
        <v>13.832486393387299</v>
      </c>
      <c r="AF76" s="112">
        <f t="shared" si="74"/>
        <v>6.4269160269320752E-2</v>
      </c>
      <c r="AG76" s="112">
        <f t="shared" si="75"/>
        <v>13.89675555365662</v>
      </c>
      <c r="AH76" s="112">
        <f t="shared" si="76"/>
        <v>100.41614786660216</v>
      </c>
      <c r="AJ76" s="119">
        <f t="shared" si="77"/>
        <v>0.31250000000000011</v>
      </c>
      <c r="AK76" s="112">
        <f t="shared" si="78"/>
        <v>0</v>
      </c>
      <c r="AL76" s="112">
        <f t="shared" si="79"/>
        <v>0</v>
      </c>
      <c r="AM76" s="116">
        <f t="shared" si="80"/>
        <v>0</v>
      </c>
      <c r="AN76" s="116">
        <f t="shared" si="92"/>
        <v>0</v>
      </c>
      <c r="AO76" s="116">
        <f t="shared" si="93"/>
        <v>0</v>
      </c>
      <c r="AQ76" s="131">
        <f t="shared" si="81"/>
        <v>0</v>
      </c>
      <c r="AR76" s="131">
        <f t="shared" si="82"/>
        <v>0</v>
      </c>
      <c r="AS76" s="131">
        <f t="shared" si="83"/>
        <v>0</v>
      </c>
      <c r="AT76" s="131">
        <f t="shared" si="84"/>
        <v>0</v>
      </c>
      <c r="AU76" s="131">
        <f t="shared" si="85"/>
        <v>0</v>
      </c>
      <c r="AV76" s="131">
        <f t="shared" si="86"/>
        <v>0</v>
      </c>
      <c r="AW76" s="131">
        <f t="shared" si="87"/>
        <v>0</v>
      </c>
      <c r="AX76" s="131">
        <f t="shared" si="88"/>
        <v>0</v>
      </c>
      <c r="AY76" s="131">
        <f t="shared" si="89"/>
        <v>0</v>
      </c>
      <c r="AZ76" s="131">
        <f t="shared" si="90"/>
        <v>0</v>
      </c>
      <c r="BE76" s="116">
        <f t="shared" si="48"/>
        <v>0</v>
      </c>
    </row>
    <row r="77" spans="4:57">
      <c r="D77" s="114">
        <f t="shared" si="49"/>
        <v>41173</v>
      </c>
      <c r="E77" s="115">
        <f t="shared" si="91"/>
        <v>0.31666666666666676</v>
      </c>
      <c r="F77" s="116">
        <f t="shared" si="50"/>
        <v>2456191.8166666669</v>
      </c>
      <c r="G77" s="117">
        <f t="shared" si="51"/>
        <v>0.12722290668492495</v>
      </c>
      <c r="I77" s="112">
        <f t="shared" si="52"/>
        <v>180.58904557504502</v>
      </c>
      <c r="J77" s="112">
        <f t="shared" si="53"/>
        <v>4937.4329233028539</v>
      </c>
      <c r="K77" s="112">
        <f t="shared" si="54"/>
        <v>1.6703283879947552E-2</v>
      </c>
      <c r="L77" s="112">
        <f t="shared" si="55"/>
        <v>-1.859418486592584</v>
      </c>
      <c r="M77" s="112">
        <f t="shared" si="56"/>
        <v>178.72962708845245</v>
      </c>
      <c r="N77" s="112">
        <f t="shared" si="57"/>
        <v>4935.5735048162614</v>
      </c>
      <c r="O77" s="112">
        <f t="shared" si="58"/>
        <v>1.0038996649047347</v>
      </c>
      <c r="P77" s="112">
        <f t="shared" si="59"/>
        <v>178.72803321319583</v>
      </c>
      <c r="Q77" s="112">
        <f t="shared" si="60"/>
        <v>23.437636681613142</v>
      </c>
      <c r="R77" s="112">
        <f t="shared" si="61"/>
        <v>23.436317173051084</v>
      </c>
      <c r="S77" s="112">
        <f t="shared" si="47"/>
        <v>178.83293670287355</v>
      </c>
      <c r="T77" s="112">
        <f t="shared" si="62"/>
        <v>0.5058637752612567</v>
      </c>
      <c r="U77" s="112">
        <f t="shared" si="63"/>
        <v>4.3023299116152658E-2</v>
      </c>
      <c r="V77" s="112">
        <f t="shared" si="64"/>
        <v>6.989979403091156</v>
      </c>
      <c r="W77" s="112">
        <f t="shared" si="65"/>
        <v>91.452486070573983</v>
      </c>
      <c r="X77" s="115">
        <f t="shared" si="66"/>
        <v>0.51459029208118667</v>
      </c>
      <c r="Y77" s="115">
        <f t="shared" si="67"/>
        <v>0.26055560855181448</v>
      </c>
      <c r="Z77" s="115">
        <f t="shared" si="68"/>
        <v>0.76862497561055887</v>
      </c>
      <c r="AA77" s="118">
        <f t="shared" si="69"/>
        <v>731.61988856459186</v>
      </c>
      <c r="AB77" s="112">
        <f t="shared" si="70"/>
        <v>434.9899794030913</v>
      </c>
      <c r="AC77" s="112">
        <f t="shared" si="71"/>
        <v>-71.252505149227176</v>
      </c>
      <c r="AD77" s="112">
        <f t="shared" si="72"/>
        <v>75.007603674905951</v>
      </c>
      <c r="AE77" s="112">
        <f t="shared" si="73"/>
        <v>14.992396325094049</v>
      </c>
      <c r="AF77" s="112">
        <f t="shared" si="74"/>
        <v>5.9268135254816778E-2</v>
      </c>
      <c r="AG77" s="112">
        <f t="shared" si="75"/>
        <v>15.051664460348865</v>
      </c>
      <c r="AH77" s="112">
        <f t="shared" si="76"/>
        <v>101.39868868419899</v>
      </c>
      <c r="AJ77" s="119">
        <f t="shared" si="77"/>
        <v>0.31666666666666676</v>
      </c>
      <c r="AK77" s="112">
        <f t="shared" si="78"/>
        <v>0</v>
      </c>
      <c r="AL77" s="112">
        <f t="shared" si="79"/>
        <v>0</v>
      </c>
      <c r="AM77" s="116">
        <f t="shared" si="80"/>
        <v>0</v>
      </c>
      <c r="AN77" s="116">
        <f t="shared" si="92"/>
        <v>0</v>
      </c>
      <c r="AO77" s="116">
        <f t="shared" si="93"/>
        <v>0</v>
      </c>
      <c r="AQ77" s="131">
        <f t="shared" si="81"/>
        <v>0</v>
      </c>
      <c r="AR77" s="131">
        <f t="shared" si="82"/>
        <v>0</v>
      </c>
      <c r="AS77" s="131">
        <f t="shared" si="83"/>
        <v>0</v>
      </c>
      <c r="AT77" s="131">
        <f t="shared" si="84"/>
        <v>0</v>
      </c>
      <c r="AU77" s="131">
        <f t="shared" si="85"/>
        <v>0</v>
      </c>
      <c r="AV77" s="131">
        <f t="shared" si="86"/>
        <v>0</v>
      </c>
      <c r="AW77" s="131">
        <f t="shared" si="87"/>
        <v>0</v>
      </c>
      <c r="AX77" s="131">
        <f t="shared" si="88"/>
        <v>0</v>
      </c>
      <c r="AY77" s="131">
        <f t="shared" si="89"/>
        <v>0</v>
      </c>
      <c r="AZ77" s="131">
        <f t="shared" si="90"/>
        <v>0</v>
      </c>
      <c r="BE77" s="116">
        <f t="shared" si="48"/>
        <v>0</v>
      </c>
    </row>
    <row r="78" spans="4:57">
      <c r="D78" s="114">
        <f t="shared" si="49"/>
        <v>41173</v>
      </c>
      <c r="E78" s="115">
        <f t="shared" si="91"/>
        <v>0.32083333333333341</v>
      </c>
      <c r="F78" s="116">
        <f t="shared" si="50"/>
        <v>2456191.8208333333</v>
      </c>
      <c r="G78" s="117">
        <f t="shared" si="51"/>
        <v>0.12722302076203429</v>
      </c>
      <c r="I78" s="112">
        <f t="shared" si="52"/>
        <v>180.59315243881065</v>
      </c>
      <c r="J78" s="112">
        <f t="shared" si="53"/>
        <v>4937.4370299704451</v>
      </c>
      <c r="K78" s="112">
        <f t="shared" si="54"/>
        <v>1.6703283875148415E-2</v>
      </c>
      <c r="L78" s="112">
        <f t="shared" si="55"/>
        <v>-1.859450885336867</v>
      </c>
      <c r="M78" s="112">
        <f t="shared" si="56"/>
        <v>178.73370155347379</v>
      </c>
      <c r="N78" s="112">
        <f t="shared" si="57"/>
        <v>4935.5775790851085</v>
      </c>
      <c r="O78" s="112">
        <f t="shared" si="58"/>
        <v>1.0038985052747504</v>
      </c>
      <c r="P78" s="112">
        <f t="shared" si="59"/>
        <v>178.73210766872941</v>
      </c>
      <c r="Q78" s="112">
        <f t="shared" si="60"/>
        <v>23.437636680129661</v>
      </c>
      <c r="R78" s="112">
        <f t="shared" si="61"/>
        <v>23.436317163119725</v>
      </c>
      <c r="S78" s="112">
        <f t="shared" si="47"/>
        <v>178.83667531725862</v>
      </c>
      <c r="T78" s="112">
        <f t="shared" si="62"/>
        <v>0.50424357885304849</v>
      </c>
      <c r="U78" s="112">
        <f t="shared" si="63"/>
        <v>4.3023299078652606E-2</v>
      </c>
      <c r="V78" s="112">
        <f t="shared" si="64"/>
        <v>6.9914532503154341</v>
      </c>
      <c r="W78" s="112">
        <f t="shared" si="65"/>
        <v>91.451219465923373</v>
      </c>
      <c r="X78" s="115">
        <f t="shared" si="66"/>
        <v>0.51458926857616982</v>
      </c>
      <c r="Y78" s="115">
        <f t="shared" si="67"/>
        <v>0.26055810339304936</v>
      </c>
      <c r="Z78" s="115">
        <f t="shared" si="68"/>
        <v>0.76862043375929034</v>
      </c>
      <c r="AA78" s="118">
        <f t="shared" si="69"/>
        <v>731.60975572738698</v>
      </c>
      <c r="AB78" s="112">
        <f t="shared" si="70"/>
        <v>440.99145325031554</v>
      </c>
      <c r="AC78" s="112">
        <f t="shared" si="71"/>
        <v>-69.752136687421114</v>
      </c>
      <c r="AD78" s="112">
        <f t="shared" si="72"/>
        <v>73.851727792374518</v>
      </c>
      <c r="AE78" s="112">
        <f t="shared" si="73"/>
        <v>16.148272207625482</v>
      </c>
      <c r="AF78" s="112">
        <f t="shared" si="74"/>
        <v>5.4948934761427308E-2</v>
      </c>
      <c r="AG78" s="112">
        <f t="shared" si="75"/>
        <v>16.203221142386909</v>
      </c>
      <c r="AH78" s="112">
        <f t="shared" si="76"/>
        <v>102.39164516184911</v>
      </c>
      <c r="AJ78" s="119">
        <f t="shared" si="77"/>
        <v>0.32083333333333341</v>
      </c>
      <c r="AK78" s="112">
        <f t="shared" si="78"/>
        <v>0</v>
      </c>
      <c r="AL78" s="112">
        <f t="shared" si="79"/>
        <v>0</v>
      </c>
      <c r="AM78" s="116">
        <f t="shared" si="80"/>
        <v>0</v>
      </c>
      <c r="AN78" s="116">
        <f t="shared" si="92"/>
        <v>0</v>
      </c>
      <c r="AO78" s="116">
        <f t="shared" si="93"/>
        <v>0</v>
      </c>
      <c r="AQ78" s="131">
        <f t="shared" si="81"/>
        <v>0</v>
      </c>
      <c r="AR78" s="131">
        <f t="shared" si="82"/>
        <v>0</v>
      </c>
      <c r="AS78" s="131">
        <f t="shared" si="83"/>
        <v>0</v>
      </c>
      <c r="AT78" s="131">
        <f t="shared" si="84"/>
        <v>0</v>
      </c>
      <c r="AU78" s="131">
        <f t="shared" si="85"/>
        <v>0</v>
      </c>
      <c r="AV78" s="131">
        <f t="shared" si="86"/>
        <v>0</v>
      </c>
      <c r="AW78" s="131">
        <f t="shared" si="87"/>
        <v>0</v>
      </c>
      <c r="AX78" s="131">
        <f t="shared" si="88"/>
        <v>0</v>
      </c>
      <c r="AY78" s="131">
        <f t="shared" si="89"/>
        <v>0</v>
      </c>
      <c r="AZ78" s="131">
        <f t="shared" si="90"/>
        <v>0</v>
      </c>
      <c r="BE78" s="116">
        <f t="shared" si="48"/>
        <v>0</v>
      </c>
    </row>
    <row r="79" spans="4:57">
      <c r="D79" s="114">
        <f t="shared" si="49"/>
        <v>41173</v>
      </c>
      <c r="E79" s="115">
        <f t="shared" si="91"/>
        <v>0.32500000000000007</v>
      </c>
      <c r="F79" s="116">
        <f t="shared" si="50"/>
        <v>2456191.8250000002</v>
      </c>
      <c r="G79" s="117">
        <f t="shared" si="51"/>
        <v>0.12722313483915637</v>
      </c>
      <c r="I79" s="112">
        <f t="shared" si="52"/>
        <v>180.59725930303466</v>
      </c>
      <c r="J79" s="112">
        <f t="shared" si="53"/>
        <v>4937.4411366384957</v>
      </c>
      <c r="K79" s="112">
        <f t="shared" si="54"/>
        <v>1.6703283870349278E-2</v>
      </c>
      <c r="L79" s="112">
        <f t="shared" si="55"/>
        <v>-1.8594832746723684</v>
      </c>
      <c r="M79" s="112">
        <f t="shared" si="56"/>
        <v>178.7377760283623</v>
      </c>
      <c r="N79" s="112">
        <f t="shared" si="57"/>
        <v>4935.5816533638235</v>
      </c>
      <c r="O79" s="112">
        <f t="shared" si="58"/>
        <v>1.0038973456234308</v>
      </c>
      <c r="P79" s="112">
        <f t="shared" si="59"/>
        <v>178.73618213413008</v>
      </c>
      <c r="Q79" s="112">
        <f t="shared" si="60"/>
        <v>23.437636678646182</v>
      </c>
      <c r="R79" s="112">
        <f t="shared" si="61"/>
        <v>23.436317153188387</v>
      </c>
      <c r="S79" s="112">
        <f t="shared" si="47"/>
        <v>178.84041393883714</v>
      </c>
      <c r="T79" s="112">
        <f t="shared" si="62"/>
        <v>0.50262337637570276</v>
      </c>
      <c r="U79" s="112">
        <f t="shared" si="63"/>
        <v>4.3023299041152638E-2</v>
      </c>
      <c r="V79" s="112">
        <f t="shared" si="64"/>
        <v>6.9929270731108835</v>
      </c>
      <c r="W79" s="112">
        <f t="shared" si="65"/>
        <v>91.449952858713516</v>
      </c>
      <c r="X79" s="115">
        <f t="shared" si="66"/>
        <v>0.5145882450881174</v>
      </c>
      <c r="Y79" s="115">
        <f t="shared" si="67"/>
        <v>0.26056059825835765</v>
      </c>
      <c r="Z79" s="115">
        <f t="shared" si="68"/>
        <v>0.76861589191787716</v>
      </c>
      <c r="AA79" s="118">
        <f t="shared" si="69"/>
        <v>731.59962286970813</v>
      </c>
      <c r="AB79" s="112">
        <f t="shared" si="70"/>
        <v>446.99292707311099</v>
      </c>
      <c r="AC79" s="112">
        <f t="shared" si="71"/>
        <v>-68.251768231722252</v>
      </c>
      <c r="AD79" s="112">
        <f t="shared" si="72"/>
        <v>72.700280341992425</v>
      </c>
      <c r="AE79" s="112">
        <f t="shared" si="73"/>
        <v>17.299719658007575</v>
      </c>
      <c r="AF79" s="112">
        <f t="shared" si="74"/>
        <v>5.1181490339705635E-2</v>
      </c>
      <c r="AG79" s="112">
        <f t="shared" si="75"/>
        <v>17.35090114834728</v>
      </c>
      <c r="AH79" s="112">
        <f t="shared" si="76"/>
        <v>103.39597043971384</v>
      </c>
      <c r="AJ79" s="119">
        <f t="shared" si="77"/>
        <v>0.32500000000000007</v>
      </c>
      <c r="AK79" s="112">
        <f t="shared" si="78"/>
        <v>0</v>
      </c>
      <c r="AL79" s="112">
        <f t="shared" si="79"/>
        <v>0</v>
      </c>
      <c r="AM79" s="116">
        <f t="shared" si="80"/>
        <v>0</v>
      </c>
      <c r="AN79" s="116">
        <f t="shared" si="92"/>
        <v>0</v>
      </c>
      <c r="AO79" s="116">
        <f t="shared" si="93"/>
        <v>0</v>
      </c>
      <c r="AQ79" s="131">
        <f t="shared" si="81"/>
        <v>0</v>
      </c>
      <c r="AR79" s="131">
        <f t="shared" si="82"/>
        <v>0</v>
      </c>
      <c r="AS79" s="131">
        <f t="shared" si="83"/>
        <v>0</v>
      </c>
      <c r="AT79" s="131">
        <f t="shared" si="84"/>
        <v>0</v>
      </c>
      <c r="AU79" s="131">
        <f t="shared" si="85"/>
        <v>0</v>
      </c>
      <c r="AV79" s="131">
        <f t="shared" si="86"/>
        <v>0</v>
      </c>
      <c r="AW79" s="131">
        <f t="shared" si="87"/>
        <v>0</v>
      </c>
      <c r="AX79" s="131">
        <f t="shared" si="88"/>
        <v>0</v>
      </c>
      <c r="AY79" s="131">
        <f t="shared" si="89"/>
        <v>0</v>
      </c>
      <c r="AZ79" s="131">
        <f t="shared" si="90"/>
        <v>0</v>
      </c>
      <c r="BE79" s="116">
        <f t="shared" si="48"/>
        <v>0</v>
      </c>
    </row>
    <row r="80" spans="4:57">
      <c r="D80" s="114">
        <f t="shared" si="49"/>
        <v>41173</v>
      </c>
      <c r="E80" s="115">
        <f t="shared" si="91"/>
        <v>0.32916666666666672</v>
      </c>
      <c r="F80" s="116">
        <f t="shared" si="50"/>
        <v>2456191.8291666666</v>
      </c>
      <c r="G80" s="117">
        <f t="shared" si="51"/>
        <v>0.12722324891626569</v>
      </c>
      <c r="I80" s="112">
        <f t="shared" si="52"/>
        <v>180.60136616679756</v>
      </c>
      <c r="J80" s="112">
        <f t="shared" si="53"/>
        <v>4937.445243306086</v>
      </c>
      <c r="K80" s="112">
        <f t="shared" si="54"/>
        <v>1.6703283865550141E-2</v>
      </c>
      <c r="L80" s="112">
        <f t="shared" si="55"/>
        <v>-1.8595156545916318</v>
      </c>
      <c r="M80" s="112">
        <f t="shared" si="56"/>
        <v>178.74185051220593</v>
      </c>
      <c r="N80" s="112">
        <f t="shared" si="57"/>
        <v>4935.5857276514944</v>
      </c>
      <c r="O80" s="112">
        <f t="shared" si="58"/>
        <v>1.0038961859510405</v>
      </c>
      <c r="P80" s="112">
        <f t="shared" si="59"/>
        <v>178.74025660848579</v>
      </c>
      <c r="Q80" s="112">
        <f t="shared" si="60"/>
        <v>23.4376366771627</v>
      </c>
      <c r="R80" s="112">
        <f t="shared" si="61"/>
        <v>23.436317143257067</v>
      </c>
      <c r="S80" s="112">
        <f t="shared" si="47"/>
        <v>178.84415256677826</v>
      </c>
      <c r="T80" s="112">
        <f t="shared" si="62"/>
        <v>0.501003168198771</v>
      </c>
      <c r="U80" s="112">
        <f t="shared" si="63"/>
        <v>4.3023299003652725E-2</v>
      </c>
      <c r="V80" s="112">
        <f t="shared" si="64"/>
        <v>6.9944008711232772</v>
      </c>
      <c r="W80" s="112">
        <f t="shared" si="65"/>
        <v>91.448686249230704</v>
      </c>
      <c r="X80" s="115">
        <f t="shared" si="66"/>
        <v>0.51458722161727555</v>
      </c>
      <c r="Y80" s="115">
        <f t="shared" si="67"/>
        <v>0.26056309314719028</v>
      </c>
      <c r="Z80" s="115">
        <f t="shared" si="68"/>
        <v>0.76861135008736081</v>
      </c>
      <c r="AA80" s="118">
        <f t="shared" si="69"/>
        <v>731.58948999384563</v>
      </c>
      <c r="AB80" s="112">
        <f t="shared" si="70"/>
        <v>452.99440087112333</v>
      </c>
      <c r="AC80" s="112">
        <f t="shared" si="71"/>
        <v>-66.751399782219167</v>
      </c>
      <c r="AD80" s="112">
        <f t="shared" si="72"/>
        <v>71.553670633715413</v>
      </c>
      <c r="AE80" s="112">
        <f t="shared" si="73"/>
        <v>18.446329366284587</v>
      </c>
      <c r="AF80" s="112">
        <f t="shared" si="74"/>
        <v>4.7866456718080486E-2</v>
      </c>
      <c r="AG80" s="112">
        <f t="shared" si="75"/>
        <v>18.494195823002666</v>
      </c>
      <c r="AH80" s="112">
        <f t="shared" si="76"/>
        <v>104.41264394436462</v>
      </c>
      <c r="AJ80" s="119">
        <f t="shared" si="77"/>
        <v>0.32916666666666672</v>
      </c>
      <c r="AK80" s="112">
        <f t="shared" si="78"/>
        <v>0</v>
      </c>
      <c r="AL80" s="112">
        <f t="shared" si="79"/>
        <v>0</v>
      </c>
      <c r="AM80" s="116">
        <f t="shared" si="80"/>
        <v>0</v>
      </c>
      <c r="AN80" s="116">
        <f t="shared" si="92"/>
        <v>0</v>
      </c>
      <c r="AO80" s="116">
        <f t="shared" si="93"/>
        <v>0</v>
      </c>
      <c r="AQ80" s="131">
        <f t="shared" si="81"/>
        <v>0</v>
      </c>
      <c r="AR80" s="131">
        <f t="shared" si="82"/>
        <v>0</v>
      </c>
      <c r="AS80" s="131">
        <f t="shared" si="83"/>
        <v>0</v>
      </c>
      <c r="AT80" s="131">
        <f t="shared" si="84"/>
        <v>0</v>
      </c>
      <c r="AU80" s="131">
        <f t="shared" si="85"/>
        <v>0</v>
      </c>
      <c r="AV80" s="131">
        <f t="shared" si="86"/>
        <v>0</v>
      </c>
      <c r="AW80" s="131">
        <f t="shared" si="87"/>
        <v>0</v>
      </c>
      <c r="AX80" s="131">
        <f t="shared" si="88"/>
        <v>0</v>
      </c>
      <c r="AY80" s="131">
        <f t="shared" si="89"/>
        <v>0</v>
      </c>
      <c r="AZ80" s="131">
        <f t="shared" si="90"/>
        <v>0</v>
      </c>
      <c r="BE80" s="116">
        <f t="shared" si="48"/>
        <v>0</v>
      </c>
    </row>
    <row r="81" spans="4:57">
      <c r="D81" s="114">
        <f t="shared" si="49"/>
        <v>41173</v>
      </c>
      <c r="E81" s="115">
        <f t="shared" si="91"/>
        <v>0.33333333333333337</v>
      </c>
      <c r="F81" s="116">
        <f t="shared" si="50"/>
        <v>2456191.8333333335</v>
      </c>
      <c r="G81" s="117">
        <f t="shared" si="51"/>
        <v>0.12722336299338777</v>
      </c>
      <c r="I81" s="112">
        <f t="shared" si="52"/>
        <v>180.60547303102157</v>
      </c>
      <c r="J81" s="112">
        <f t="shared" si="53"/>
        <v>4937.4493499741366</v>
      </c>
      <c r="K81" s="112">
        <f t="shared" si="54"/>
        <v>1.6703283860751001E-2</v>
      </c>
      <c r="L81" s="112">
        <f t="shared" si="55"/>
        <v>-1.8595480251017082</v>
      </c>
      <c r="M81" s="112">
        <f t="shared" si="56"/>
        <v>178.74592500591987</v>
      </c>
      <c r="N81" s="112">
        <f t="shared" si="57"/>
        <v>4935.5898019490351</v>
      </c>
      <c r="O81" s="112">
        <f t="shared" si="58"/>
        <v>1.0038950262573256</v>
      </c>
      <c r="P81" s="112">
        <f t="shared" si="59"/>
        <v>178.7443310927118</v>
      </c>
      <c r="Q81" s="112">
        <f t="shared" si="60"/>
        <v>23.437636675679222</v>
      </c>
      <c r="R81" s="112">
        <f t="shared" si="61"/>
        <v>23.436317133325769</v>
      </c>
      <c r="S81" s="112">
        <f t="shared" si="47"/>
        <v>178.84789120192767</v>
      </c>
      <c r="T81" s="112">
        <f t="shared" si="62"/>
        <v>0.49938295396519539</v>
      </c>
      <c r="U81" s="112">
        <f t="shared" si="63"/>
        <v>4.3023298966152895E-2</v>
      </c>
      <c r="V81" s="112">
        <f t="shared" si="64"/>
        <v>6.9958746446592439</v>
      </c>
      <c r="W81" s="112">
        <f t="shared" si="65"/>
        <v>91.44741963719315</v>
      </c>
      <c r="X81" s="115">
        <f t="shared" si="66"/>
        <v>0.5145861981634311</v>
      </c>
      <c r="Y81" s="115">
        <f t="shared" si="67"/>
        <v>0.26056558806011682</v>
      </c>
      <c r="Z81" s="115">
        <f t="shared" si="68"/>
        <v>0.76860680826674543</v>
      </c>
      <c r="AA81" s="118">
        <f t="shared" si="69"/>
        <v>731.5793570975452</v>
      </c>
      <c r="AB81" s="112">
        <f t="shared" si="70"/>
        <v>458.9958746446593</v>
      </c>
      <c r="AC81" s="112">
        <f t="shared" si="71"/>
        <v>-65.251031338835176</v>
      </c>
      <c r="AD81" s="112">
        <f t="shared" si="72"/>
        <v>70.412324351307461</v>
      </c>
      <c r="AE81" s="112">
        <f t="shared" si="73"/>
        <v>19.587675648692539</v>
      </c>
      <c r="AF81" s="112">
        <f t="shared" si="74"/>
        <v>4.4926777050002677E-2</v>
      </c>
      <c r="AG81" s="112">
        <f t="shared" si="75"/>
        <v>19.63260242574254</v>
      </c>
      <c r="AH81" s="112">
        <f t="shared" si="76"/>
        <v>105.44267328502588</v>
      </c>
      <c r="AJ81" s="119">
        <f t="shared" si="77"/>
        <v>0.33333333333333337</v>
      </c>
      <c r="AK81" s="112">
        <f t="shared" si="78"/>
        <v>0</v>
      </c>
      <c r="AL81" s="112">
        <f t="shared" si="79"/>
        <v>0</v>
      </c>
      <c r="AM81" s="116">
        <f t="shared" si="80"/>
        <v>0</v>
      </c>
      <c r="AN81" s="116">
        <f t="shared" si="92"/>
        <v>0</v>
      </c>
      <c r="AO81" s="116">
        <f t="shared" si="93"/>
        <v>0</v>
      </c>
      <c r="AQ81" s="131">
        <f t="shared" si="81"/>
        <v>0</v>
      </c>
      <c r="AR81" s="131">
        <f t="shared" si="82"/>
        <v>0</v>
      </c>
      <c r="AS81" s="131">
        <f t="shared" si="83"/>
        <v>0</v>
      </c>
      <c r="AT81" s="131">
        <f t="shared" si="84"/>
        <v>0</v>
      </c>
      <c r="AU81" s="131">
        <f t="shared" si="85"/>
        <v>0</v>
      </c>
      <c r="AV81" s="131">
        <f t="shared" si="86"/>
        <v>0</v>
      </c>
      <c r="AW81" s="131">
        <f t="shared" si="87"/>
        <v>0</v>
      </c>
      <c r="AX81" s="131">
        <f t="shared" si="88"/>
        <v>0</v>
      </c>
      <c r="AY81" s="131">
        <f t="shared" si="89"/>
        <v>0</v>
      </c>
      <c r="AZ81" s="131">
        <f t="shared" si="90"/>
        <v>0</v>
      </c>
      <c r="BE81" s="116">
        <f t="shared" si="48"/>
        <v>0</v>
      </c>
    </row>
    <row r="82" spans="4:57">
      <c r="D82" s="114">
        <f t="shared" si="49"/>
        <v>41173</v>
      </c>
      <c r="E82" s="115">
        <f t="shared" si="91"/>
        <v>0.33750000000000002</v>
      </c>
      <c r="F82" s="116">
        <f t="shared" si="50"/>
        <v>2456191.8374999999</v>
      </c>
      <c r="G82" s="117">
        <f t="shared" si="51"/>
        <v>0.12722347707049711</v>
      </c>
      <c r="I82" s="112">
        <f t="shared" si="52"/>
        <v>180.6095798947872</v>
      </c>
      <c r="J82" s="112">
        <f t="shared" si="53"/>
        <v>4937.4534566417287</v>
      </c>
      <c r="K82" s="112">
        <f t="shared" si="54"/>
        <v>1.6703283855951864E-2</v>
      </c>
      <c r="L82" s="112">
        <f t="shared" si="55"/>
        <v>-1.8595803861951528</v>
      </c>
      <c r="M82" s="112">
        <f t="shared" si="56"/>
        <v>178.74999950859205</v>
      </c>
      <c r="N82" s="112">
        <f t="shared" si="57"/>
        <v>4935.5938762555334</v>
      </c>
      <c r="O82" s="112">
        <f t="shared" si="58"/>
        <v>1.0038938665425519</v>
      </c>
      <c r="P82" s="112">
        <f t="shared" si="59"/>
        <v>178.74840558589597</v>
      </c>
      <c r="Q82" s="112">
        <f t="shared" si="60"/>
        <v>23.437636674195744</v>
      </c>
      <c r="R82" s="112">
        <f t="shared" si="61"/>
        <v>23.436317123394492</v>
      </c>
      <c r="S82" s="112">
        <f t="shared" si="47"/>
        <v>178.85162984345448</v>
      </c>
      <c r="T82" s="112">
        <f t="shared" si="62"/>
        <v>0.49776273404455962</v>
      </c>
      <c r="U82" s="112">
        <f t="shared" si="63"/>
        <v>4.3023298928653142E-2</v>
      </c>
      <c r="V82" s="112">
        <f t="shared" si="64"/>
        <v>6.9973483933645912</v>
      </c>
      <c r="W82" s="112">
        <f t="shared" si="65"/>
        <v>91.44615302288716</v>
      </c>
      <c r="X82" s="115">
        <f t="shared" si="66"/>
        <v>0.51458517472683007</v>
      </c>
      <c r="Y82" s="115">
        <f t="shared" si="67"/>
        <v>0.26056808299658796</v>
      </c>
      <c r="Z82" s="115">
        <f t="shared" si="68"/>
        <v>0.76860226645707219</v>
      </c>
      <c r="AA82" s="118">
        <f t="shared" si="69"/>
        <v>731.56922418309728</v>
      </c>
      <c r="AB82" s="112">
        <f t="shared" si="70"/>
        <v>464.99734839336463</v>
      </c>
      <c r="AC82" s="112">
        <f t="shared" si="71"/>
        <v>-63.750662901658842</v>
      </c>
      <c r="AD82" s="112">
        <f t="shared" si="72"/>
        <v>69.27668506823656</v>
      </c>
      <c r="AE82" s="112">
        <f t="shared" si="73"/>
        <v>20.72331493176344</v>
      </c>
      <c r="AF82" s="112">
        <f t="shared" si="74"/>
        <v>4.2301843959699992E-2</v>
      </c>
      <c r="AG82" s="112">
        <f t="shared" si="75"/>
        <v>20.765616775723139</v>
      </c>
      <c r="AH82" s="112">
        <f t="shared" si="76"/>
        <v>106.48709609614264</v>
      </c>
      <c r="AJ82" s="119">
        <f t="shared" si="77"/>
        <v>0.33750000000000002</v>
      </c>
      <c r="AK82" s="112">
        <f t="shared" si="78"/>
        <v>0</v>
      </c>
      <c r="AL82" s="112">
        <f t="shared" si="79"/>
        <v>0</v>
      </c>
      <c r="AM82" s="116">
        <f t="shared" si="80"/>
        <v>0</v>
      </c>
      <c r="AN82" s="116">
        <f t="shared" si="92"/>
        <v>0</v>
      </c>
      <c r="AO82" s="116">
        <f t="shared" si="93"/>
        <v>0</v>
      </c>
      <c r="AQ82" s="131">
        <f t="shared" si="81"/>
        <v>0</v>
      </c>
      <c r="AR82" s="131">
        <f t="shared" si="82"/>
        <v>0</v>
      </c>
      <c r="AS82" s="131">
        <f t="shared" si="83"/>
        <v>0</v>
      </c>
      <c r="AT82" s="131">
        <f t="shared" si="84"/>
        <v>0</v>
      </c>
      <c r="AU82" s="131">
        <f t="shared" si="85"/>
        <v>0</v>
      </c>
      <c r="AV82" s="131">
        <f t="shared" si="86"/>
        <v>0</v>
      </c>
      <c r="AW82" s="131">
        <f t="shared" si="87"/>
        <v>0</v>
      </c>
      <c r="AX82" s="131">
        <f t="shared" si="88"/>
        <v>0</v>
      </c>
      <c r="AY82" s="131">
        <f t="shared" si="89"/>
        <v>0</v>
      </c>
      <c r="AZ82" s="131">
        <f t="shared" si="90"/>
        <v>0</v>
      </c>
      <c r="BE82" s="116">
        <f t="shared" si="48"/>
        <v>0</v>
      </c>
    </row>
    <row r="83" spans="4:57">
      <c r="D83" s="114">
        <f t="shared" si="49"/>
        <v>41173</v>
      </c>
      <c r="E83" s="115">
        <f t="shared" si="91"/>
        <v>0.34166666666666667</v>
      </c>
      <c r="F83" s="116">
        <f t="shared" si="50"/>
        <v>2456191.8416666668</v>
      </c>
      <c r="G83" s="117">
        <f t="shared" si="51"/>
        <v>0.12722359114761919</v>
      </c>
      <c r="I83" s="112">
        <f t="shared" si="52"/>
        <v>180.61368675901122</v>
      </c>
      <c r="J83" s="112">
        <f t="shared" si="53"/>
        <v>4937.4575633097784</v>
      </c>
      <c r="K83" s="112">
        <f t="shared" si="54"/>
        <v>1.6703283851152727E-2</v>
      </c>
      <c r="L83" s="112">
        <f t="shared" si="55"/>
        <v>-1.8596127378789795</v>
      </c>
      <c r="M83" s="112">
        <f t="shared" si="56"/>
        <v>178.75407402113223</v>
      </c>
      <c r="N83" s="112">
        <f t="shared" si="57"/>
        <v>4935.5979505718997</v>
      </c>
      <c r="O83" s="112">
        <f t="shared" si="58"/>
        <v>1.0038927068064656</v>
      </c>
      <c r="P83" s="112">
        <f t="shared" si="59"/>
        <v>178.75248008894803</v>
      </c>
      <c r="Q83" s="112">
        <f t="shared" si="60"/>
        <v>23.437636672712262</v>
      </c>
      <c r="R83" s="112">
        <f t="shared" si="61"/>
        <v>23.436317113463229</v>
      </c>
      <c r="S83" s="112">
        <f t="shared" si="47"/>
        <v>178.85536849219937</v>
      </c>
      <c r="T83" s="112">
        <f t="shared" si="62"/>
        <v>0.49614250808198979</v>
      </c>
      <c r="U83" s="112">
        <f t="shared" si="63"/>
        <v>4.3023298891153451E-2</v>
      </c>
      <c r="V83" s="112">
        <f t="shared" si="64"/>
        <v>6.998822117544016</v>
      </c>
      <c r="W83" s="112">
        <f t="shared" si="65"/>
        <v>91.444886406032708</v>
      </c>
      <c r="X83" s="115">
        <f t="shared" si="66"/>
        <v>0.5145841513072611</v>
      </c>
      <c r="Y83" s="115">
        <f t="shared" si="67"/>
        <v>0.26057057795717026</v>
      </c>
      <c r="Z83" s="115">
        <f t="shared" si="68"/>
        <v>0.76859772465735188</v>
      </c>
      <c r="AA83" s="118">
        <f t="shared" si="69"/>
        <v>731.55909124826167</v>
      </c>
      <c r="AB83" s="112">
        <f t="shared" si="70"/>
        <v>470.99882211754402</v>
      </c>
      <c r="AC83" s="112">
        <f t="shared" si="71"/>
        <v>-62.250294470613994</v>
      </c>
      <c r="AD83" s="112">
        <f t="shared" si="72"/>
        <v>68.147215839612684</v>
      </c>
      <c r="AE83" s="112">
        <f t="shared" si="73"/>
        <v>21.852784160387316</v>
      </c>
      <c r="AF83" s="112">
        <f t="shared" si="74"/>
        <v>3.9943383717792783E-2</v>
      </c>
      <c r="AG83" s="112">
        <f t="shared" si="75"/>
        <v>21.89272754410511</v>
      </c>
      <c r="AH83" s="112">
        <f t="shared" si="76"/>
        <v>107.54698180988731</v>
      </c>
      <c r="AJ83" s="119">
        <f t="shared" si="77"/>
        <v>0.34166666666666667</v>
      </c>
      <c r="AK83" s="112">
        <f t="shared" si="78"/>
        <v>0</v>
      </c>
      <c r="AL83" s="112">
        <f t="shared" si="79"/>
        <v>0</v>
      </c>
      <c r="AM83" s="116">
        <f t="shared" si="80"/>
        <v>0</v>
      </c>
      <c r="AN83" s="116">
        <f t="shared" si="92"/>
        <v>0</v>
      </c>
      <c r="AO83" s="116">
        <f t="shared" si="93"/>
        <v>0</v>
      </c>
      <c r="AQ83" s="131">
        <f t="shared" si="81"/>
        <v>0</v>
      </c>
      <c r="AR83" s="131">
        <f t="shared" si="82"/>
        <v>0</v>
      </c>
      <c r="AS83" s="131">
        <f t="shared" si="83"/>
        <v>0</v>
      </c>
      <c r="AT83" s="131">
        <f t="shared" si="84"/>
        <v>0</v>
      </c>
      <c r="AU83" s="131">
        <f t="shared" si="85"/>
        <v>0</v>
      </c>
      <c r="AV83" s="131">
        <f t="shared" si="86"/>
        <v>0</v>
      </c>
      <c r="AW83" s="131">
        <f t="shared" si="87"/>
        <v>0</v>
      </c>
      <c r="AX83" s="131">
        <f t="shared" si="88"/>
        <v>0</v>
      </c>
      <c r="AY83" s="131">
        <f t="shared" si="89"/>
        <v>0</v>
      </c>
      <c r="AZ83" s="131">
        <f t="shared" si="90"/>
        <v>0</v>
      </c>
      <c r="BE83" s="116">
        <f t="shared" si="48"/>
        <v>0</v>
      </c>
    </row>
    <row r="84" spans="4:57">
      <c r="D84" s="114">
        <f t="shared" si="49"/>
        <v>41173</v>
      </c>
      <c r="E84" s="115">
        <f t="shared" si="91"/>
        <v>0.34583333333333333</v>
      </c>
      <c r="F84" s="116">
        <f t="shared" si="50"/>
        <v>2456191.8458333332</v>
      </c>
      <c r="G84" s="117">
        <f t="shared" si="51"/>
        <v>0.12722370522472851</v>
      </c>
      <c r="I84" s="112">
        <f t="shared" si="52"/>
        <v>180.61779362277412</v>
      </c>
      <c r="J84" s="112">
        <f t="shared" si="53"/>
        <v>4937.4616699773696</v>
      </c>
      <c r="K84" s="112">
        <f t="shared" si="54"/>
        <v>1.6703283846353591E-2</v>
      </c>
      <c r="L84" s="112">
        <f t="shared" si="55"/>
        <v>-1.8596450801457669</v>
      </c>
      <c r="M84" s="112">
        <f t="shared" si="56"/>
        <v>178.75814854262836</v>
      </c>
      <c r="N84" s="112">
        <f t="shared" si="57"/>
        <v>4935.6020248972236</v>
      </c>
      <c r="O84" s="112">
        <f t="shared" si="58"/>
        <v>1.0038915470493321</v>
      </c>
      <c r="P84" s="112">
        <f t="shared" si="59"/>
        <v>178.75655460095604</v>
      </c>
      <c r="Q84" s="112">
        <f t="shared" si="60"/>
        <v>23.437636671228784</v>
      </c>
      <c r="R84" s="112">
        <f t="shared" si="61"/>
        <v>23.436317103531991</v>
      </c>
      <c r="S84" s="112">
        <f t="shared" si="47"/>
        <v>178.85910714733151</v>
      </c>
      <c r="T84" s="112">
        <f t="shared" si="62"/>
        <v>0.49452227644702029</v>
      </c>
      <c r="U84" s="112">
        <f t="shared" si="63"/>
        <v>4.302329885365385E-2</v>
      </c>
      <c r="V84" s="112">
        <f t="shared" si="64"/>
        <v>7.0002958168434075</v>
      </c>
      <c r="W84" s="112">
        <f t="shared" si="65"/>
        <v>91.443619786916031</v>
      </c>
      <c r="X84" s="115">
        <f t="shared" si="66"/>
        <v>0.51458312790496985</v>
      </c>
      <c r="Y84" s="115">
        <f t="shared" si="67"/>
        <v>0.26057307294131421</v>
      </c>
      <c r="Z84" s="115">
        <f t="shared" si="68"/>
        <v>0.76859318286862544</v>
      </c>
      <c r="AA84" s="118">
        <f t="shared" si="69"/>
        <v>731.54895829532825</v>
      </c>
      <c r="AB84" s="112">
        <f t="shared" si="70"/>
        <v>477.00029581684339</v>
      </c>
      <c r="AC84" s="112">
        <f t="shared" si="71"/>
        <v>-60.749926045789152</v>
      </c>
      <c r="AD84" s="112">
        <f t="shared" si="72"/>
        <v>67.024400871180219</v>
      </c>
      <c r="AE84" s="112">
        <f t="shared" si="73"/>
        <v>22.975599128819781</v>
      </c>
      <c r="AF84" s="112">
        <f t="shared" si="74"/>
        <v>3.781250542665484E-2</v>
      </c>
      <c r="AG84" s="112">
        <f t="shared" si="75"/>
        <v>23.013411634246435</v>
      </c>
      <c r="AH84" s="112">
        <f t="shared" si="76"/>
        <v>108.6234333259452</v>
      </c>
      <c r="AJ84" s="119">
        <f t="shared" si="77"/>
        <v>0.34583333333333333</v>
      </c>
      <c r="AK84" s="112">
        <f t="shared" si="78"/>
        <v>0</v>
      </c>
      <c r="AL84" s="112">
        <f t="shared" si="79"/>
        <v>0</v>
      </c>
      <c r="AM84" s="116">
        <f t="shared" si="80"/>
        <v>0</v>
      </c>
      <c r="AN84" s="116">
        <f t="shared" si="92"/>
        <v>0</v>
      </c>
      <c r="AO84" s="116">
        <f t="shared" si="93"/>
        <v>0</v>
      </c>
      <c r="AQ84" s="131">
        <f t="shared" si="81"/>
        <v>0</v>
      </c>
      <c r="AR84" s="131">
        <f t="shared" si="82"/>
        <v>0</v>
      </c>
      <c r="AS84" s="131">
        <f t="shared" si="83"/>
        <v>0</v>
      </c>
      <c r="AT84" s="131">
        <f t="shared" si="84"/>
        <v>0</v>
      </c>
      <c r="AU84" s="131">
        <f t="shared" si="85"/>
        <v>0</v>
      </c>
      <c r="AV84" s="131">
        <f t="shared" si="86"/>
        <v>0</v>
      </c>
      <c r="AW84" s="131">
        <f t="shared" si="87"/>
        <v>0</v>
      </c>
      <c r="AX84" s="131">
        <f t="shared" si="88"/>
        <v>0</v>
      </c>
      <c r="AY84" s="131">
        <f t="shared" si="89"/>
        <v>0</v>
      </c>
      <c r="AZ84" s="131">
        <f t="shared" si="90"/>
        <v>0</v>
      </c>
      <c r="BE84" s="116">
        <f t="shared" si="48"/>
        <v>0</v>
      </c>
    </row>
    <row r="85" spans="4:57">
      <c r="D85" s="114">
        <f t="shared" si="49"/>
        <v>41173</v>
      </c>
      <c r="E85" s="115">
        <f t="shared" si="91"/>
        <v>0.35</v>
      </c>
      <c r="F85" s="116">
        <f t="shared" si="50"/>
        <v>2456191.85</v>
      </c>
      <c r="G85" s="117">
        <f t="shared" si="51"/>
        <v>0.12722381930185059</v>
      </c>
      <c r="I85" s="112">
        <f t="shared" si="52"/>
        <v>180.62190048699813</v>
      </c>
      <c r="J85" s="112">
        <f t="shared" si="53"/>
        <v>4937.4657766454193</v>
      </c>
      <c r="K85" s="112">
        <f t="shared" si="54"/>
        <v>1.6703283841554454E-2</v>
      </c>
      <c r="L85" s="112">
        <f t="shared" si="55"/>
        <v>-1.8596774130025313</v>
      </c>
      <c r="M85" s="112">
        <f t="shared" si="56"/>
        <v>178.76222307399559</v>
      </c>
      <c r="N85" s="112">
        <f t="shared" si="57"/>
        <v>4935.6060992324165</v>
      </c>
      <c r="O85" s="112">
        <f t="shared" si="58"/>
        <v>1.0038903872708977</v>
      </c>
      <c r="P85" s="112">
        <f t="shared" si="59"/>
        <v>178.76062912283507</v>
      </c>
      <c r="Q85" s="112">
        <f t="shared" si="60"/>
        <v>23.437636669745302</v>
      </c>
      <c r="R85" s="112">
        <f t="shared" si="61"/>
        <v>23.436317093600767</v>
      </c>
      <c r="S85" s="112">
        <f t="shared" si="47"/>
        <v>178.86284580969652</v>
      </c>
      <c r="T85" s="112">
        <f t="shared" si="62"/>
        <v>0.49290203878265237</v>
      </c>
      <c r="U85" s="112">
        <f t="shared" si="63"/>
        <v>4.3023298816154305E-2</v>
      </c>
      <c r="V85" s="112">
        <f t="shared" si="64"/>
        <v>7.0017694915692763</v>
      </c>
      <c r="W85" s="112">
        <f t="shared" si="65"/>
        <v>91.442353165255412</v>
      </c>
      <c r="X85" s="115">
        <f t="shared" si="66"/>
        <v>0.51458210451974362</v>
      </c>
      <c r="Y85" s="115">
        <f t="shared" si="67"/>
        <v>0.26057556794958969</v>
      </c>
      <c r="Z85" s="115">
        <f t="shared" si="68"/>
        <v>0.76858864108989755</v>
      </c>
      <c r="AA85" s="118">
        <f t="shared" si="69"/>
        <v>731.53882532204329</v>
      </c>
      <c r="AB85" s="112">
        <f t="shared" si="70"/>
        <v>483.00176949156923</v>
      </c>
      <c r="AC85" s="112">
        <f t="shared" si="71"/>
        <v>-59.249557627107691</v>
      </c>
      <c r="AD85" s="112">
        <f t="shared" si="72"/>
        <v>65.908747271283147</v>
      </c>
      <c r="AE85" s="112">
        <f t="shared" si="73"/>
        <v>24.091252728716853</v>
      </c>
      <c r="AF85" s="112">
        <f t="shared" si="74"/>
        <v>3.5877551881720073E-2</v>
      </c>
      <c r="AG85" s="112">
        <f t="shared" si="75"/>
        <v>24.127130280598575</v>
      </c>
      <c r="AH85" s="112">
        <f t="shared" si="76"/>
        <v>109.71758855111591</v>
      </c>
      <c r="AJ85" s="119">
        <f t="shared" si="77"/>
        <v>0.35</v>
      </c>
      <c r="AK85" s="112">
        <f t="shared" si="78"/>
        <v>0</v>
      </c>
      <c r="AL85" s="112">
        <f t="shared" si="79"/>
        <v>0</v>
      </c>
      <c r="AM85" s="116">
        <f t="shared" si="80"/>
        <v>0</v>
      </c>
      <c r="AN85" s="116">
        <f t="shared" si="92"/>
        <v>0</v>
      </c>
      <c r="AO85" s="116">
        <f t="shared" si="93"/>
        <v>0</v>
      </c>
      <c r="AQ85" s="131">
        <f t="shared" si="81"/>
        <v>0</v>
      </c>
      <c r="AR85" s="131">
        <f t="shared" si="82"/>
        <v>0</v>
      </c>
      <c r="AS85" s="131">
        <f t="shared" si="83"/>
        <v>0</v>
      </c>
      <c r="AT85" s="131">
        <f t="shared" si="84"/>
        <v>0</v>
      </c>
      <c r="AU85" s="131">
        <f t="shared" si="85"/>
        <v>0</v>
      </c>
      <c r="AV85" s="131">
        <f t="shared" si="86"/>
        <v>0</v>
      </c>
      <c r="AW85" s="131">
        <f t="shared" si="87"/>
        <v>0</v>
      </c>
      <c r="AX85" s="131">
        <f t="shared" si="88"/>
        <v>0</v>
      </c>
      <c r="AY85" s="131">
        <f t="shared" si="89"/>
        <v>0</v>
      </c>
      <c r="AZ85" s="131">
        <f t="shared" si="90"/>
        <v>0</v>
      </c>
      <c r="BE85" s="116">
        <f t="shared" si="48"/>
        <v>0</v>
      </c>
    </row>
    <row r="86" spans="4:57">
      <c r="D86" s="114">
        <f t="shared" si="49"/>
        <v>41173</v>
      </c>
      <c r="E86" s="115">
        <f t="shared" si="91"/>
        <v>0.35416666666666663</v>
      </c>
      <c r="F86" s="116">
        <f t="shared" si="50"/>
        <v>2456191.8541666665</v>
      </c>
      <c r="G86" s="117">
        <f t="shared" si="51"/>
        <v>0.12722393337895993</v>
      </c>
      <c r="I86" s="112">
        <f t="shared" si="52"/>
        <v>180.62600735076376</v>
      </c>
      <c r="J86" s="112">
        <f t="shared" si="53"/>
        <v>4937.4698833130115</v>
      </c>
      <c r="K86" s="112">
        <f t="shared" si="54"/>
        <v>1.6703283836755317E-2</v>
      </c>
      <c r="L86" s="112">
        <f t="shared" si="55"/>
        <v>-1.8597097364418564</v>
      </c>
      <c r="M86" s="112">
        <f t="shared" si="56"/>
        <v>178.7662976143219</v>
      </c>
      <c r="N86" s="112">
        <f t="shared" si="57"/>
        <v>4935.6101735765697</v>
      </c>
      <c r="O86" s="112">
        <f t="shared" si="58"/>
        <v>1.0038892274714271</v>
      </c>
      <c r="P86" s="112">
        <f t="shared" si="59"/>
        <v>178.76470365367311</v>
      </c>
      <c r="Q86" s="112">
        <f t="shared" si="60"/>
        <v>23.437636668261824</v>
      </c>
      <c r="R86" s="112">
        <f t="shared" si="61"/>
        <v>23.436317083669568</v>
      </c>
      <c r="S86" s="112">
        <f t="shared" si="47"/>
        <v>178.86658447846352</v>
      </c>
      <c r="T86" s="112">
        <f t="shared" si="62"/>
        <v>0.49128179545843098</v>
      </c>
      <c r="U86" s="112">
        <f t="shared" si="63"/>
        <v>4.3023298778654857E-2</v>
      </c>
      <c r="V86" s="112">
        <f t="shared" si="64"/>
        <v>7.003243141367518</v>
      </c>
      <c r="W86" s="112">
        <f t="shared" si="65"/>
        <v>91.441086541337143</v>
      </c>
      <c r="X86" s="115">
        <f t="shared" si="66"/>
        <v>0.5145810811518281</v>
      </c>
      <c r="Y86" s="115">
        <f t="shared" si="67"/>
        <v>0.26057806298144714</v>
      </c>
      <c r="Z86" s="115">
        <f t="shared" si="68"/>
        <v>0.76858409932220906</v>
      </c>
      <c r="AA86" s="118">
        <f t="shared" si="69"/>
        <v>731.52869233069714</v>
      </c>
      <c r="AB86" s="112">
        <f t="shared" si="70"/>
        <v>489.00324314136742</v>
      </c>
      <c r="AC86" s="112">
        <f t="shared" si="71"/>
        <v>-57.749189214658145</v>
      </c>
      <c r="AD86" s="112">
        <f t="shared" si="72"/>
        <v>64.800786885251767</v>
      </c>
      <c r="AE86" s="112">
        <f t="shared" si="73"/>
        <v>25.199213114748233</v>
      </c>
      <c r="AF86" s="112">
        <f t="shared" si="74"/>
        <v>3.4112511341922121E-2</v>
      </c>
      <c r="AG86" s="112">
        <f t="shared" si="75"/>
        <v>25.233325626090156</v>
      </c>
      <c r="AH86" s="112">
        <f t="shared" si="76"/>
        <v>110.83062176310114</v>
      </c>
      <c r="AJ86" s="119">
        <f t="shared" si="77"/>
        <v>0.35416666666666663</v>
      </c>
      <c r="AK86" s="112">
        <f t="shared" si="78"/>
        <v>0</v>
      </c>
      <c r="AL86" s="112">
        <f t="shared" si="79"/>
        <v>0</v>
      </c>
      <c r="AM86" s="116">
        <f t="shared" si="80"/>
        <v>0</v>
      </c>
      <c r="AN86" s="116">
        <f t="shared" si="92"/>
        <v>0</v>
      </c>
      <c r="AO86" s="116">
        <f t="shared" si="93"/>
        <v>0</v>
      </c>
      <c r="AQ86" s="131">
        <f t="shared" si="81"/>
        <v>0</v>
      </c>
      <c r="AR86" s="131">
        <f t="shared" si="82"/>
        <v>0</v>
      </c>
      <c r="AS86" s="131">
        <f t="shared" si="83"/>
        <v>0</v>
      </c>
      <c r="AT86" s="131">
        <f t="shared" si="84"/>
        <v>0</v>
      </c>
      <c r="AU86" s="131">
        <f t="shared" si="85"/>
        <v>0</v>
      </c>
      <c r="AV86" s="131">
        <f t="shared" si="86"/>
        <v>0</v>
      </c>
      <c r="AW86" s="131">
        <f t="shared" si="87"/>
        <v>0</v>
      </c>
      <c r="AX86" s="131">
        <f t="shared" si="88"/>
        <v>0</v>
      </c>
      <c r="AY86" s="131">
        <f t="shared" si="89"/>
        <v>0</v>
      </c>
      <c r="AZ86" s="131">
        <f t="shared" si="90"/>
        <v>0</v>
      </c>
      <c r="BE86" s="116">
        <f t="shared" si="48"/>
        <v>0</v>
      </c>
    </row>
    <row r="87" spans="4:57">
      <c r="D87" s="114">
        <f t="shared" si="49"/>
        <v>41173</v>
      </c>
      <c r="E87" s="115">
        <f t="shared" si="91"/>
        <v>0.35833333333333328</v>
      </c>
      <c r="F87" s="116">
        <f t="shared" si="50"/>
        <v>2456191.8583333334</v>
      </c>
      <c r="G87" s="117">
        <f t="shared" si="51"/>
        <v>0.12722404745608201</v>
      </c>
      <c r="I87" s="112">
        <f t="shared" si="52"/>
        <v>180.63011421498777</v>
      </c>
      <c r="J87" s="112">
        <f t="shared" si="53"/>
        <v>4937.473989981062</v>
      </c>
      <c r="K87" s="112">
        <f t="shared" si="54"/>
        <v>1.6703283831956177E-2</v>
      </c>
      <c r="L87" s="112">
        <f t="shared" si="55"/>
        <v>-1.8597420504707476</v>
      </c>
      <c r="M87" s="112">
        <f t="shared" si="56"/>
        <v>178.77037216451703</v>
      </c>
      <c r="N87" s="112">
        <f t="shared" si="57"/>
        <v>4935.6142479305909</v>
      </c>
      <c r="O87" s="112">
        <f t="shared" si="58"/>
        <v>1.0038880676506674</v>
      </c>
      <c r="P87" s="112">
        <f t="shared" si="59"/>
        <v>178.76877819437991</v>
      </c>
      <c r="Q87" s="112">
        <f t="shared" si="60"/>
        <v>23.437636666778342</v>
      </c>
      <c r="R87" s="112">
        <f t="shared" si="61"/>
        <v>23.436317073738383</v>
      </c>
      <c r="S87" s="112">
        <f t="shared" si="47"/>
        <v>178.87032315447328</v>
      </c>
      <c r="T87" s="112">
        <f t="shared" si="62"/>
        <v>0.48966154611948148</v>
      </c>
      <c r="U87" s="112">
        <f t="shared" si="63"/>
        <v>4.3023298741155458E-2</v>
      </c>
      <c r="V87" s="112">
        <f t="shared" si="64"/>
        <v>7.0047167665428098</v>
      </c>
      <c r="W87" s="112">
        <f t="shared" si="65"/>
        <v>91.439819914881156</v>
      </c>
      <c r="X87" s="115">
        <f t="shared" si="66"/>
        <v>0.5145800578010119</v>
      </c>
      <c r="Y87" s="115">
        <f t="shared" si="67"/>
        <v>0.26058055803745311</v>
      </c>
      <c r="Z87" s="115">
        <f t="shared" si="68"/>
        <v>0.76857955756457064</v>
      </c>
      <c r="AA87" s="118">
        <f t="shared" si="69"/>
        <v>731.51855931904925</v>
      </c>
      <c r="AB87" s="112">
        <f t="shared" si="70"/>
        <v>495.00471676654274</v>
      </c>
      <c r="AC87" s="112">
        <f t="shared" si="71"/>
        <v>-56.248820808364314</v>
      </c>
      <c r="AD87" s="112">
        <f t="shared" si="72"/>
        <v>63.701078216221326</v>
      </c>
      <c r="AE87" s="112">
        <f t="shared" si="73"/>
        <v>26.298921783778674</v>
      </c>
      <c r="AF87" s="112">
        <f t="shared" si="74"/>
        <v>3.2495827930124697E-2</v>
      </c>
      <c r="AG87" s="112">
        <f t="shared" si="75"/>
        <v>26.331417611708797</v>
      </c>
      <c r="AH87" s="112">
        <f t="shared" si="76"/>
        <v>111.96374475611771</v>
      </c>
      <c r="AJ87" s="119">
        <f t="shared" si="77"/>
        <v>0.35833333333333328</v>
      </c>
      <c r="AK87" s="112">
        <f t="shared" si="78"/>
        <v>0</v>
      </c>
      <c r="AL87" s="112">
        <f t="shared" si="79"/>
        <v>0</v>
      </c>
      <c r="AM87" s="116">
        <f t="shared" si="80"/>
        <v>0</v>
      </c>
      <c r="AN87" s="116">
        <f t="shared" si="92"/>
        <v>0</v>
      </c>
      <c r="AO87" s="116">
        <f t="shared" si="93"/>
        <v>0</v>
      </c>
      <c r="AQ87" s="131">
        <f t="shared" si="81"/>
        <v>0</v>
      </c>
      <c r="AR87" s="131">
        <f t="shared" si="82"/>
        <v>0</v>
      </c>
      <c r="AS87" s="131">
        <f t="shared" si="83"/>
        <v>0</v>
      </c>
      <c r="AT87" s="131">
        <f t="shared" si="84"/>
        <v>0</v>
      </c>
      <c r="AU87" s="131">
        <f t="shared" si="85"/>
        <v>0</v>
      </c>
      <c r="AV87" s="131">
        <f t="shared" si="86"/>
        <v>0</v>
      </c>
      <c r="AW87" s="131">
        <f t="shared" si="87"/>
        <v>0</v>
      </c>
      <c r="AX87" s="131">
        <f t="shared" si="88"/>
        <v>0</v>
      </c>
      <c r="AY87" s="131">
        <f t="shared" si="89"/>
        <v>0</v>
      </c>
      <c r="AZ87" s="131">
        <f t="shared" si="90"/>
        <v>0</v>
      </c>
      <c r="BE87" s="116">
        <f t="shared" si="48"/>
        <v>0</v>
      </c>
    </row>
    <row r="88" spans="4:57">
      <c r="D88" s="114">
        <f t="shared" si="49"/>
        <v>41173</v>
      </c>
      <c r="E88" s="115">
        <f t="shared" si="91"/>
        <v>0.36249999999999993</v>
      </c>
      <c r="F88" s="116">
        <f t="shared" si="50"/>
        <v>2456191.8624999998</v>
      </c>
      <c r="G88" s="117">
        <f t="shared" si="51"/>
        <v>0.12722416153319135</v>
      </c>
      <c r="I88" s="112">
        <f t="shared" si="52"/>
        <v>180.63422107875249</v>
      </c>
      <c r="J88" s="112">
        <f t="shared" si="53"/>
        <v>4937.4780966486533</v>
      </c>
      <c r="K88" s="112">
        <f t="shared" si="54"/>
        <v>1.670328382715704E-2</v>
      </c>
      <c r="L88" s="112">
        <f t="shared" si="55"/>
        <v>-1.8597743550817796</v>
      </c>
      <c r="M88" s="112">
        <f t="shared" si="56"/>
        <v>178.77444672367071</v>
      </c>
      <c r="N88" s="112">
        <f t="shared" si="57"/>
        <v>4935.6183222935715</v>
      </c>
      <c r="O88" s="112">
        <f t="shared" si="58"/>
        <v>1.0038869078088839</v>
      </c>
      <c r="P88" s="112">
        <f t="shared" si="59"/>
        <v>178.77285274404522</v>
      </c>
      <c r="Q88" s="112">
        <f t="shared" si="60"/>
        <v>23.437636665294864</v>
      </c>
      <c r="R88" s="112">
        <f t="shared" si="61"/>
        <v>23.436317063807223</v>
      </c>
      <c r="S88" s="112">
        <f t="shared" si="47"/>
        <v>178.87406183689652</v>
      </c>
      <c r="T88" s="112">
        <f t="shared" si="62"/>
        <v>0.48804129113464184</v>
      </c>
      <c r="U88" s="112">
        <f t="shared" si="63"/>
        <v>4.3023298703656149E-2</v>
      </c>
      <c r="V88" s="112">
        <f t="shared" si="64"/>
        <v>7.0061903667416177</v>
      </c>
      <c r="W88" s="112">
        <f t="shared" si="65"/>
        <v>91.43855328617316</v>
      </c>
      <c r="X88" s="115">
        <f t="shared" si="66"/>
        <v>0.5145790344675405</v>
      </c>
      <c r="Y88" s="115">
        <f t="shared" si="67"/>
        <v>0.26058305311705948</v>
      </c>
      <c r="Z88" s="115">
        <f t="shared" si="68"/>
        <v>0.76857501581802157</v>
      </c>
      <c r="AA88" s="118">
        <f t="shared" si="69"/>
        <v>731.50842628938528</v>
      </c>
      <c r="AB88" s="112">
        <f t="shared" si="70"/>
        <v>501.00619036674152</v>
      </c>
      <c r="AC88" s="112">
        <f t="shared" si="71"/>
        <v>-54.74845240831462</v>
      </c>
      <c r="AD88" s="112">
        <f t="shared" si="72"/>
        <v>62.610208429192653</v>
      </c>
      <c r="AE88" s="112">
        <f t="shared" si="73"/>
        <v>27.389791570807347</v>
      </c>
      <c r="AF88" s="112">
        <f t="shared" si="74"/>
        <v>3.1009499478901914E-2</v>
      </c>
      <c r="AG88" s="112">
        <f t="shared" si="75"/>
        <v>27.420801070286249</v>
      </c>
      <c r="AH88" s="112">
        <f t="shared" si="76"/>
        <v>113.11820770546393</v>
      </c>
      <c r="AJ88" s="119">
        <f t="shared" si="77"/>
        <v>0.36249999999999993</v>
      </c>
      <c r="AK88" s="112">
        <f t="shared" si="78"/>
        <v>0</v>
      </c>
      <c r="AL88" s="112">
        <f t="shared" si="79"/>
        <v>0</v>
      </c>
      <c r="AM88" s="116">
        <f t="shared" si="80"/>
        <v>0</v>
      </c>
      <c r="AN88" s="116">
        <f t="shared" si="92"/>
        <v>0</v>
      </c>
      <c r="AO88" s="116">
        <f t="shared" si="93"/>
        <v>0</v>
      </c>
      <c r="AQ88" s="131">
        <f t="shared" si="81"/>
        <v>0</v>
      </c>
      <c r="AR88" s="131">
        <f t="shared" si="82"/>
        <v>0</v>
      </c>
      <c r="AS88" s="131">
        <f t="shared" si="83"/>
        <v>0</v>
      </c>
      <c r="AT88" s="131">
        <f t="shared" si="84"/>
        <v>0</v>
      </c>
      <c r="AU88" s="131">
        <f t="shared" si="85"/>
        <v>0</v>
      </c>
      <c r="AV88" s="131">
        <f t="shared" si="86"/>
        <v>0</v>
      </c>
      <c r="AW88" s="131">
        <f t="shared" si="87"/>
        <v>0</v>
      </c>
      <c r="AX88" s="131">
        <f t="shared" si="88"/>
        <v>0</v>
      </c>
      <c r="AY88" s="131">
        <f t="shared" si="89"/>
        <v>0</v>
      </c>
      <c r="AZ88" s="131">
        <f t="shared" si="90"/>
        <v>0</v>
      </c>
      <c r="BE88" s="116">
        <f t="shared" si="48"/>
        <v>0</v>
      </c>
    </row>
    <row r="89" spans="4:57">
      <c r="D89" s="114">
        <f t="shared" si="49"/>
        <v>41173</v>
      </c>
      <c r="E89" s="115">
        <f t="shared" si="91"/>
        <v>0.36666666666666659</v>
      </c>
      <c r="F89" s="116">
        <f t="shared" si="50"/>
        <v>2456191.8666666667</v>
      </c>
      <c r="G89" s="117">
        <f t="shared" si="51"/>
        <v>0.12722427561031341</v>
      </c>
      <c r="I89" s="112">
        <f t="shared" si="52"/>
        <v>180.63832794297468</v>
      </c>
      <c r="J89" s="112">
        <f t="shared" si="53"/>
        <v>4937.4822033167029</v>
      </c>
      <c r="K89" s="112">
        <f t="shared" si="54"/>
        <v>1.6703283822357903E-2</v>
      </c>
      <c r="L89" s="112">
        <f t="shared" si="55"/>
        <v>-1.8598066502819666</v>
      </c>
      <c r="M89" s="112">
        <f t="shared" si="56"/>
        <v>178.77852129269272</v>
      </c>
      <c r="N89" s="112">
        <f t="shared" si="57"/>
        <v>4935.6223966664211</v>
      </c>
      <c r="O89" s="112">
        <f t="shared" si="58"/>
        <v>1.0038857479458225</v>
      </c>
      <c r="P89" s="112">
        <f t="shared" si="59"/>
        <v>178.77692730357879</v>
      </c>
      <c r="Q89" s="112">
        <f t="shared" si="60"/>
        <v>23.437636663811382</v>
      </c>
      <c r="R89" s="112">
        <f t="shared" si="61"/>
        <v>23.436317053876078</v>
      </c>
      <c r="S89" s="112">
        <f t="shared" si="47"/>
        <v>178.87780052657396</v>
      </c>
      <c r="T89" s="112">
        <f t="shared" si="62"/>
        <v>0.4864210301490467</v>
      </c>
      <c r="U89" s="112">
        <f t="shared" si="63"/>
        <v>4.3023298666156902E-2</v>
      </c>
      <c r="V89" s="112">
        <f t="shared" si="64"/>
        <v>7.0076639422686364</v>
      </c>
      <c r="W89" s="112">
        <f t="shared" si="65"/>
        <v>91.437286654933132</v>
      </c>
      <c r="X89" s="115">
        <f t="shared" si="66"/>
        <v>0.51457801115120227</v>
      </c>
      <c r="Y89" s="115">
        <f t="shared" si="67"/>
        <v>0.26058554822083246</v>
      </c>
      <c r="Z89" s="115">
        <f t="shared" si="68"/>
        <v>0.76857047408157209</v>
      </c>
      <c r="AA89" s="118">
        <f t="shared" si="69"/>
        <v>731.49829323946506</v>
      </c>
      <c r="AB89" s="112">
        <f t="shared" si="70"/>
        <v>507.00766394226855</v>
      </c>
      <c r="AC89" s="112">
        <f t="shared" si="71"/>
        <v>-53.248084014432862</v>
      </c>
      <c r="AD89" s="112">
        <f t="shared" si="72"/>
        <v>61.528795439137056</v>
      </c>
      <c r="AE89" s="112">
        <f t="shared" si="73"/>
        <v>28.471204560862944</v>
      </c>
      <c r="AF89" s="112">
        <f t="shared" si="74"/>
        <v>2.9638385482366143E-2</v>
      </c>
      <c r="AG89" s="112">
        <f t="shared" si="75"/>
        <v>28.500842946345308</v>
      </c>
      <c r="AH89" s="112">
        <f t="shared" si="76"/>
        <v>114.29529968907548</v>
      </c>
      <c r="AJ89" s="119">
        <f t="shared" si="77"/>
        <v>0.36666666666666659</v>
      </c>
      <c r="AK89" s="112">
        <f t="shared" si="78"/>
        <v>0</v>
      </c>
      <c r="AL89" s="112">
        <f t="shared" si="79"/>
        <v>0</v>
      </c>
      <c r="AM89" s="116">
        <f t="shared" si="80"/>
        <v>0</v>
      </c>
      <c r="AN89" s="116">
        <f t="shared" si="92"/>
        <v>0</v>
      </c>
      <c r="AO89" s="116">
        <f t="shared" si="93"/>
        <v>0</v>
      </c>
      <c r="AQ89" s="131">
        <f t="shared" si="81"/>
        <v>0</v>
      </c>
      <c r="AR89" s="131">
        <f t="shared" si="82"/>
        <v>0</v>
      </c>
      <c r="AS89" s="131">
        <f t="shared" si="83"/>
        <v>0</v>
      </c>
      <c r="AT89" s="131">
        <f t="shared" si="84"/>
        <v>0</v>
      </c>
      <c r="AU89" s="131">
        <f t="shared" si="85"/>
        <v>0</v>
      </c>
      <c r="AV89" s="131">
        <f t="shared" si="86"/>
        <v>0</v>
      </c>
      <c r="AW89" s="131">
        <f t="shared" si="87"/>
        <v>0</v>
      </c>
      <c r="AX89" s="131">
        <f t="shared" si="88"/>
        <v>0</v>
      </c>
      <c r="AY89" s="131">
        <f t="shared" si="89"/>
        <v>0</v>
      </c>
      <c r="AZ89" s="131">
        <f t="shared" si="90"/>
        <v>0</v>
      </c>
      <c r="BE89" s="116">
        <f t="shared" si="48"/>
        <v>0</v>
      </c>
    </row>
    <row r="90" spans="4:57">
      <c r="D90" s="114">
        <f t="shared" si="49"/>
        <v>41173</v>
      </c>
      <c r="E90" s="115">
        <f t="shared" si="91"/>
        <v>0.37083333333333324</v>
      </c>
      <c r="F90" s="116">
        <f t="shared" si="50"/>
        <v>2456191.8708333331</v>
      </c>
      <c r="G90" s="117">
        <f t="shared" si="51"/>
        <v>0.12722438968742275</v>
      </c>
      <c r="I90" s="112">
        <f t="shared" si="52"/>
        <v>180.64243480674031</v>
      </c>
      <c r="J90" s="112">
        <f t="shared" si="53"/>
        <v>4937.4863099842942</v>
      </c>
      <c r="K90" s="112">
        <f t="shared" si="54"/>
        <v>1.6703283817558767E-2</v>
      </c>
      <c r="L90" s="112">
        <f t="shared" si="55"/>
        <v>-1.8598389360638941</v>
      </c>
      <c r="M90" s="112">
        <f t="shared" si="56"/>
        <v>178.78259587067643</v>
      </c>
      <c r="N90" s="112">
        <f t="shared" si="57"/>
        <v>4935.6264710482301</v>
      </c>
      <c r="O90" s="112">
        <f t="shared" si="58"/>
        <v>1.0038845880617486</v>
      </c>
      <c r="P90" s="112">
        <f t="shared" si="59"/>
        <v>178.781001872074</v>
      </c>
      <c r="Q90" s="112">
        <f t="shared" si="60"/>
        <v>23.437636662327904</v>
      </c>
      <c r="R90" s="112">
        <f t="shared" si="61"/>
        <v>23.436317043944957</v>
      </c>
      <c r="S90" s="112">
        <f t="shared" si="47"/>
        <v>178.88153922267966</v>
      </c>
      <c r="T90" s="112">
        <f t="shared" si="62"/>
        <v>0.48480076353008805</v>
      </c>
      <c r="U90" s="112">
        <f t="shared" si="63"/>
        <v>4.3023298628657752E-2</v>
      </c>
      <c r="V90" s="112">
        <f t="shared" si="64"/>
        <v>7.0091374927715702</v>
      </c>
      <c r="W90" s="112">
        <f t="shared" si="65"/>
        <v>91.436020021445628</v>
      </c>
      <c r="X90" s="115">
        <f t="shared" si="66"/>
        <v>0.51457698785224204</v>
      </c>
      <c r="Y90" s="115">
        <f t="shared" si="67"/>
        <v>0.26058804334822638</v>
      </c>
      <c r="Z90" s="115">
        <f t="shared" si="68"/>
        <v>0.7685659323562577</v>
      </c>
      <c r="AA90" s="118">
        <f t="shared" si="69"/>
        <v>731.48816017156503</v>
      </c>
      <c r="AB90" s="112">
        <f t="shared" si="70"/>
        <v>513.0091374927714</v>
      </c>
      <c r="AC90" s="112">
        <f t="shared" si="71"/>
        <v>-51.74771562680715</v>
      </c>
      <c r="AD90" s="112">
        <f t="shared" si="72"/>
        <v>60.457490075751558</v>
      </c>
      <c r="AE90" s="112">
        <f t="shared" si="73"/>
        <v>29.542509924248442</v>
      </c>
      <c r="AF90" s="112">
        <f t="shared" si="74"/>
        <v>2.8369670564468808E-2</v>
      </c>
      <c r="AG90" s="112">
        <f t="shared" si="75"/>
        <v>29.570879594812912</v>
      </c>
      <c r="AH90" s="112">
        <f t="shared" si="76"/>
        <v>115.49634878090018</v>
      </c>
      <c r="AJ90" s="119">
        <f t="shared" si="77"/>
        <v>0.37083333333333324</v>
      </c>
      <c r="AK90" s="112">
        <f t="shared" si="78"/>
        <v>0</v>
      </c>
      <c r="AL90" s="112">
        <f t="shared" si="79"/>
        <v>0</v>
      </c>
      <c r="AM90" s="116">
        <f t="shared" si="80"/>
        <v>0</v>
      </c>
      <c r="AN90" s="116">
        <f t="shared" si="92"/>
        <v>0</v>
      </c>
      <c r="AO90" s="116">
        <f t="shared" si="93"/>
        <v>0</v>
      </c>
      <c r="AQ90" s="131">
        <f t="shared" si="81"/>
        <v>0</v>
      </c>
      <c r="AR90" s="131">
        <f t="shared" si="82"/>
        <v>0</v>
      </c>
      <c r="AS90" s="131">
        <f t="shared" si="83"/>
        <v>0</v>
      </c>
      <c r="AT90" s="131">
        <f t="shared" si="84"/>
        <v>0</v>
      </c>
      <c r="AU90" s="131">
        <f t="shared" si="85"/>
        <v>0</v>
      </c>
      <c r="AV90" s="131">
        <f t="shared" si="86"/>
        <v>0</v>
      </c>
      <c r="AW90" s="131">
        <f t="shared" si="87"/>
        <v>0</v>
      </c>
      <c r="AX90" s="131">
        <f t="shared" si="88"/>
        <v>0</v>
      </c>
      <c r="AY90" s="131">
        <f t="shared" si="89"/>
        <v>0</v>
      </c>
      <c r="AZ90" s="131">
        <f t="shared" si="90"/>
        <v>0</v>
      </c>
      <c r="BE90" s="116">
        <f t="shared" si="48"/>
        <v>0</v>
      </c>
    </row>
    <row r="91" spans="4:57">
      <c r="D91" s="114">
        <f t="shared" si="49"/>
        <v>41173</v>
      </c>
      <c r="E91" s="115">
        <f t="shared" si="91"/>
        <v>0.37499999999999989</v>
      </c>
      <c r="F91" s="116">
        <f t="shared" si="50"/>
        <v>2456191.875</v>
      </c>
      <c r="G91" s="117">
        <f t="shared" si="51"/>
        <v>0.12722450376454483</v>
      </c>
      <c r="I91" s="112">
        <f t="shared" si="52"/>
        <v>180.64654167096433</v>
      </c>
      <c r="J91" s="112">
        <f t="shared" si="53"/>
        <v>4937.4904166523447</v>
      </c>
      <c r="K91" s="112">
        <f t="shared" si="54"/>
        <v>1.670328381275963E-2</v>
      </c>
      <c r="L91" s="112">
        <f t="shared" si="55"/>
        <v>-1.8598712124345724</v>
      </c>
      <c r="M91" s="112">
        <f t="shared" si="56"/>
        <v>178.78667045852976</v>
      </c>
      <c r="N91" s="112">
        <f t="shared" si="57"/>
        <v>4935.6305454399098</v>
      </c>
      <c r="O91" s="112">
        <f t="shared" si="58"/>
        <v>1.0038834281564089</v>
      </c>
      <c r="P91" s="112">
        <f t="shared" si="59"/>
        <v>178.78507645043874</v>
      </c>
      <c r="Q91" s="112">
        <f t="shared" si="60"/>
        <v>23.437636660844426</v>
      </c>
      <c r="R91" s="112">
        <f t="shared" si="61"/>
        <v>23.436317034013854</v>
      </c>
      <c r="S91" s="112">
        <f t="shared" si="47"/>
        <v>178.88527792605268</v>
      </c>
      <c r="T91" s="112">
        <f t="shared" si="62"/>
        <v>0.48318049092363885</v>
      </c>
      <c r="U91" s="112">
        <f t="shared" si="63"/>
        <v>4.3023298591158658E-2</v>
      </c>
      <c r="V91" s="112">
        <f t="shared" si="64"/>
        <v>7.0106110185545187</v>
      </c>
      <c r="W91" s="112">
        <f t="shared" si="65"/>
        <v>91.434753385431208</v>
      </c>
      <c r="X91" s="115">
        <f t="shared" si="66"/>
        <v>0.5145759645704483</v>
      </c>
      <c r="Y91" s="115">
        <f t="shared" si="67"/>
        <v>0.26059053849980607</v>
      </c>
      <c r="Z91" s="115">
        <f t="shared" si="68"/>
        <v>0.76856139064109052</v>
      </c>
      <c r="AA91" s="118">
        <f t="shared" si="69"/>
        <v>731.47802708344966</v>
      </c>
      <c r="AB91" s="112">
        <f t="shared" si="70"/>
        <v>519.01061101855441</v>
      </c>
      <c r="AC91" s="112">
        <f t="shared" si="71"/>
        <v>-50.247347245361397</v>
      </c>
      <c r="AD91" s="112">
        <f t="shared" si="72"/>
        <v>59.39697832060213</v>
      </c>
      <c r="AE91" s="112">
        <f t="shared" si="73"/>
        <v>30.60302167939787</v>
      </c>
      <c r="AF91" s="112">
        <f t="shared" si="74"/>
        <v>2.7192444422121934E-2</v>
      </c>
      <c r="AG91" s="112">
        <f t="shared" si="75"/>
        <v>30.630214123819993</v>
      </c>
      <c r="AH91" s="112">
        <f t="shared" si="76"/>
        <v>116.72272162915908</v>
      </c>
      <c r="AJ91" s="119">
        <f t="shared" si="77"/>
        <v>0.37499999999999989</v>
      </c>
      <c r="AK91" s="112">
        <f t="shared" si="78"/>
        <v>0</v>
      </c>
      <c r="AL91" s="112">
        <f t="shared" si="79"/>
        <v>0</v>
      </c>
      <c r="AM91" s="116">
        <f t="shared" si="80"/>
        <v>0</v>
      </c>
      <c r="AN91" s="116">
        <f t="shared" si="92"/>
        <v>0</v>
      </c>
      <c r="AO91" s="116">
        <f t="shared" si="93"/>
        <v>0</v>
      </c>
      <c r="AQ91" s="131">
        <f t="shared" si="81"/>
        <v>0</v>
      </c>
      <c r="AR91" s="131">
        <f t="shared" si="82"/>
        <v>0</v>
      </c>
      <c r="AS91" s="131">
        <f t="shared" si="83"/>
        <v>0</v>
      </c>
      <c r="AT91" s="131">
        <f t="shared" si="84"/>
        <v>0</v>
      </c>
      <c r="AU91" s="131">
        <f t="shared" si="85"/>
        <v>0</v>
      </c>
      <c r="AV91" s="131">
        <f t="shared" si="86"/>
        <v>0</v>
      </c>
      <c r="AW91" s="131">
        <f t="shared" si="87"/>
        <v>0</v>
      </c>
      <c r="AX91" s="131">
        <f t="shared" si="88"/>
        <v>0</v>
      </c>
      <c r="AY91" s="131">
        <f t="shared" si="89"/>
        <v>0</v>
      </c>
      <c r="AZ91" s="131">
        <f t="shared" si="90"/>
        <v>0</v>
      </c>
      <c r="BE91" s="116">
        <f t="shared" si="48"/>
        <v>0</v>
      </c>
    </row>
    <row r="92" spans="4:57">
      <c r="D92" s="114">
        <f t="shared" si="49"/>
        <v>41173</v>
      </c>
      <c r="E92" s="115">
        <f t="shared" si="91"/>
        <v>0.37916666666666654</v>
      </c>
      <c r="F92" s="116">
        <f t="shared" si="50"/>
        <v>2456191.8791666669</v>
      </c>
      <c r="G92" s="117">
        <f t="shared" si="51"/>
        <v>0.12722461784166691</v>
      </c>
      <c r="I92" s="112">
        <f t="shared" si="52"/>
        <v>180.65064853518743</v>
      </c>
      <c r="J92" s="112">
        <f t="shared" si="53"/>
        <v>4937.4945233203944</v>
      </c>
      <c r="K92" s="112">
        <f t="shared" si="54"/>
        <v>1.670328380796049E-2</v>
      </c>
      <c r="L92" s="112">
        <f t="shared" si="55"/>
        <v>-1.8599034793901799</v>
      </c>
      <c r="M92" s="112">
        <f t="shared" si="56"/>
        <v>178.79074505579726</v>
      </c>
      <c r="N92" s="112">
        <f t="shared" si="57"/>
        <v>4935.6346198410038</v>
      </c>
      <c r="O92" s="112">
        <f t="shared" si="58"/>
        <v>1.0038822682299386</v>
      </c>
      <c r="P92" s="112">
        <f t="shared" si="59"/>
        <v>178.78915103821763</v>
      </c>
      <c r="Q92" s="112">
        <f t="shared" si="60"/>
        <v>23.437636659360944</v>
      </c>
      <c r="R92" s="112">
        <f t="shared" si="61"/>
        <v>23.436317024082769</v>
      </c>
      <c r="S92" s="112">
        <f t="shared" si="47"/>
        <v>178.8890166362811</v>
      </c>
      <c r="T92" s="112">
        <f t="shared" si="62"/>
        <v>0.48156021251766773</v>
      </c>
      <c r="U92" s="112">
        <f t="shared" si="63"/>
        <v>4.3023298553659634E-2</v>
      </c>
      <c r="V92" s="112">
        <f t="shared" si="64"/>
        <v>7.0120845194284041</v>
      </c>
      <c r="W92" s="112">
        <f t="shared" si="65"/>
        <v>91.433486747034181</v>
      </c>
      <c r="X92" s="115">
        <f t="shared" si="66"/>
        <v>0.51457494130595249</v>
      </c>
      <c r="Y92" s="115">
        <f t="shared" si="67"/>
        <v>0.26059303367530201</v>
      </c>
      <c r="Z92" s="115">
        <f t="shared" si="68"/>
        <v>0.76855684893660303</v>
      </c>
      <c r="AA92" s="118">
        <f t="shared" si="69"/>
        <v>731.46789397627344</v>
      </c>
      <c r="AB92" s="112">
        <f t="shared" si="70"/>
        <v>525.01208451942819</v>
      </c>
      <c r="AC92" s="112">
        <f t="shared" si="71"/>
        <v>-48.746978870142954</v>
      </c>
      <c r="AD92" s="112">
        <f t="shared" si="72"/>
        <v>58.347983602937646</v>
      </c>
      <c r="AE92" s="112">
        <f t="shared" si="73"/>
        <v>31.652016397062354</v>
      </c>
      <c r="AF92" s="112">
        <f t="shared" si="74"/>
        <v>2.6097369954671518E-2</v>
      </c>
      <c r="AG92" s="112">
        <f t="shared" si="75"/>
        <v>31.678113767017027</v>
      </c>
      <c r="AH92" s="112">
        <f t="shared" si="76"/>
        <v>117.97582240666742</v>
      </c>
      <c r="AJ92" s="119">
        <f t="shared" si="77"/>
        <v>0.37916666666666654</v>
      </c>
      <c r="AK92" s="112">
        <f t="shared" si="78"/>
        <v>0</v>
      </c>
      <c r="AL92" s="112">
        <f t="shared" si="79"/>
        <v>0</v>
      </c>
      <c r="AM92" s="116">
        <f t="shared" si="80"/>
        <v>0</v>
      </c>
      <c r="AN92" s="116">
        <f t="shared" si="92"/>
        <v>0</v>
      </c>
      <c r="AO92" s="116">
        <f t="shared" si="93"/>
        <v>0</v>
      </c>
      <c r="AQ92" s="131">
        <f t="shared" si="81"/>
        <v>0</v>
      </c>
      <c r="AR92" s="131">
        <f t="shared" si="82"/>
        <v>0</v>
      </c>
      <c r="AS92" s="131">
        <f t="shared" si="83"/>
        <v>0</v>
      </c>
      <c r="AT92" s="131">
        <f t="shared" si="84"/>
        <v>0</v>
      </c>
      <c r="AU92" s="131">
        <f t="shared" si="85"/>
        <v>0</v>
      </c>
      <c r="AV92" s="131">
        <f t="shared" si="86"/>
        <v>0</v>
      </c>
      <c r="AW92" s="131">
        <f t="shared" si="87"/>
        <v>0</v>
      </c>
      <c r="AX92" s="131">
        <f t="shared" si="88"/>
        <v>0</v>
      </c>
      <c r="AY92" s="131">
        <f t="shared" si="89"/>
        <v>0</v>
      </c>
      <c r="AZ92" s="131">
        <f t="shared" si="90"/>
        <v>0</v>
      </c>
      <c r="BE92" s="116">
        <f t="shared" si="48"/>
        <v>0</v>
      </c>
    </row>
    <row r="93" spans="4:57">
      <c r="D93" s="114">
        <f t="shared" si="49"/>
        <v>41173</v>
      </c>
      <c r="E93" s="115">
        <f t="shared" si="91"/>
        <v>0.38333333333333319</v>
      </c>
      <c r="F93" s="116">
        <f t="shared" si="50"/>
        <v>2456191.8833333333</v>
      </c>
      <c r="G93" s="117">
        <f t="shared" si="51"/>
        <v>0.12722473191877626</v>
      </c>
      <c r="I93" s="112">
        <f t="shared" si="52"/>
        <v>180.65475539895306</v>
      </c>
      <c r="J93" s="112">
        <f t="shared" si="53"/>
        <v>4937.4986299879865</v>
      </c>
      <c r="K93" s="112">
        <f t="shared" si="54"/>
        <v>1.6703283803161353E-2</v>
      </c>
      <c r="L93" s="112">
        <f t="shared" si="55"/>
        <v>-1.8599357369269245</v>
      </c>
      <c r="M93" s="112">
        <f t="shared" si="56"/>
        <v>178.79481966202613</v>
      </c>
      <c r="N93" s="112">
        <f t="shared" si="57"/>
        <v>4935.6386942510599</v>
      </c>
      <c r="O93" s="112">
        <f t="shared" si="58"/>
        <v>1.0038811082824728</v>
      </c>
      <c r="P93" s="112">
        <f t="shared" si="59"/>
        <v>178.79322563495779</v>
      </c>
      <c r="Q93" s="112">
        <f t="shared" si="60"/>
        <v>23.437636657877466</v>
      </c>
      <c r="R93" s="112">
        <f t="shared" si="61"/>
        <v>23.436317014151705</v>
      </c>
      <c r="S93" s="112">
        <f t="shared" si="47"/>
        <v>178.89275535295539</v>
      </c>
      <c r="T93" s="112">
        <f t="shared" si="62"/>
        <v>0.47993992849913247</v>
      </c>
      <c r="U93" s="112">
        <f t="shared" si="63"/>
        <v>4.3023298516160699E-2</v>
      </c>
      <c r="V93" s="112">
        <f t="shared" si="64"/>
        <v>7.0135579952051366</v>
      </c>
      <c r="W93" s="112">
        <f t="shared" si="65"/>
        <v>91.432220106398077</v>
      </c>
      <c r="X93" s="115">
        <f t="shared" si="66"/>
        <v>0.5145739180588853</v>
      </c>
      <c r="Y93" s="115">
        <f t="shared" si="67"/>
        <v>0.2605955288744462</v>
      </c>
      <c r="Z93" s="115">
        <f t="shared" si="68"/>
        <v>0.76855230724332446</v>
      </c>
      <c r="AA93" s="118">
        <f t="shared" si="69"/>
        <v>731.45776085118462</v>
      </c>
      <c r="AB93" s="112">
        <f t="shared" si="70"/>
        <v>531.01355799520491</v>
      </c>
      <c r="AC93" s="112">
        <f t="shared" si="71"/>
        <v>-47.246610501198774</v>
      </c>
      <c r="AD93" s="112">
        <f t="shared" si="72"/>
        <v>57.311269141564637</v>
      </c>
      <c r="AE93" s="112">
        <f t="shared" si="73"/>
        <v>32.688730858435363</v>
      </c>
      <c r="AF93" s="112">
        <f t="shared" si="74"/>
        <v>2.5076418849835518E-2</v>
      </c>
      <c r="AG93" s="112">
        <f t="shared" si="75"/>
        <v>32.713807277285198</v>
      </c>
      <c r="AH93" s="112">
        <f t="shared" si="76"/>
        <v>119.25709101453901</v>
      </c>
      <c r="AJ93" s="119">
        <f t="shared" si="77"/>
        <v>0.38333333333333319</v>
      </c>
      <c r="AK93" s="112">
        <f t="shared" si="78"/>
        <v>0</v>
      </c>
      <c r="AL93" s="112">
        <f t="shared" si="79"/>
        <v>0</v>
      </c>
      <c r="AM93" s="116">
        <f t="shared" si="80"/>
        <v>0</v>
      </c>
      <c r="AN93" s="116">
        <f t="shared" si="92"/>
        <v>0</v>
      </c>
      <c r="AO93" s="116">
        <f t="shared" si="93"/>
        <v>0</v>
      </c>
      <c r="AQ93" s="131">
        <f t="shared" si="81"/>
        <v>0</v>
      </c>
      <c r="AR93" s="131">
        <f t="shared" si="82"/>
        <v>0</v>
      </c>
      <c r="AS93" s="131">
        <f t="shared" si="83"/>
        <v>0</v>
      </c>
      <c r="AT93" s="131">
        <f t="shared" si="84"/>
        <v>0</v>
      </c>
      <c r="AU93" s="131">
        <f t="shared" si="85"/>
        <v>0</v>
      </c>
      <c r="AV93" s="131">
        <f t="shared" si="86"/>
        <v>0</v>
      </c>
      <c r="AW93" s="131">
        <f t="shared" si="87"/>
        <v>0</v>
      </c>
      <c r="AX93" s="131">
        <f t="shared" si="88"/>
        <v>0</v>
      </c>
      <c r="AY93" s="131">
        <f t="shared" si="89"/>
        <v>0</v>
      </c>
      <c r="AZ93" s="131">
        <f t="shared" si="90"/>
        <v>0</v>
      </c>
      <c r="BE93" s="116">
        <f t="shared" si="48"/>
        <v>0</v>
      </c>
    </row>
    <row r="94" spans="4:57">
      <c r="D94" s="114">
        <f t="shared" si="49"/>
        <v>41173</v>
      </c>
      <c r="E94" s="115">
        <f t="shared" si="91"/>
        <v>0.38749999999999984</v>
      </c>
      <c r="F94" s="116">
        <f t="shared" si="50"/>
        <v>2456191.8875000002</v>
      </c>
      <c r="G94" s="117">
        <f t="shared" si="51"/>
        <v>0.12722484599589831</v>
      </c>
      <c r="I94" s="112">
        <f t="shared" si="52"/>
        <v>180.65886226317616</v>
      </c>
      <c r="J94" s="112">
        <f t="shared" si="53"/>
        <v>4937.5027366560362</v>
      </c>
      <c r="K94" s="112">
        <f t="shared" si="54"/>
        <v>1.6703283798362216E-2</v>
      </c>
      <c r="L94" s="112">
        <f t="shared" si="55"/>
        <v>-1.8599679850517916</v>
      </c>
      <c r="M94" s="112">
        <f t="shared" si="56"/>
        <v>178.79889427812438</v>
      </c>
      <c r="N94" s="112">
        <f t="shared" si="57"/>
        <v>4935.642768670984</v>
      </c>
      <c r="O94" s="112">
        <f t="shared" si="58"/>
        <v>1.0038799483137593</v>
      </c>
      <c r="P94" s="112">
        <f t="shared" si="59"/>
        <v>178.79730024156731</v>
      </c>
      <c r="Q94" s="112">
        <f t="shared" si="60"/>
        <v>23.437636656393984</v>
      </c>
      <c r="R94" s="112">
        <f t="shared" si="61"/>
        <v>23.436317004220658</v>
      </c>
      <c r="S94" s="112">
        <f t="shared" si="47"/>
        <v>178.89649407691471</v>
      </c>
      <c r="T94" s="112">
        <f t="shared" si="62"/>
        <v>0.47831963851383386</v>
      </c>
      <c r="U94" s="112">
        <f t="shared" si="63"/>
        <v>4.3023298478661827E-2</v>
      </c>
      <c r="V94" s="112">
        <f t="shared" si="64"/>
        <v>7.0150314461887335</v>
      </c>
      <c r="W94" s="112">
        <f t="shared" si="65"/>
        <v>91.43095346324337</v>
      </c>
      <c r="X94" s="115">
        <f t="shared" si="66"/>
        <v>0.51457289482903568</v>
      </c>
      <c r="Y94" s="115">
        <f t="shared" si="67"/>
        <v>0.26059802409780408</v>
      </c>
      <c r="Z94" s="115">
        <f t="shared" si="68"/>
        <v>0.76854776556026727</v>
      </c>
      <c r="AA94" s="118">
        <f t="shared" si="69"/>
        <v>731.44762770594696</v>
      </c>
      <c r="AB94" s="112">
        <f t="shared" si="70"/>
        <v>537.01503144618846</v>
      </c>
      <c r="AC94" s="112">
        <f t="shared" si="71"/>
        <v>-45.746242138452885</v>
      </c>
      <c r="AD94" s="112">
        <f t="shared" si="72"/>
        <v>56.287640311750401</v>
      </c>
      <c r="AE94" s="112">
        <f t="shared" si="73"/>
        <v>33.712359688249599</v>
      </c>
      <c r="AF94" s="112">
        <f t="shared" si="74"/>
        <v>2.4122659258156653E-2</v>
      </c>
      <c r="AG94" s="112">
        <f t="shared" si="75"/>
        <v>33.736482347507753</v>
      </c>
      <c r="AH94" s="112">
        <f t="shared" si="76"/>
        <v>120.56800039725272</v>
      </c>
      <c r="AJ94" s="119">
        <f t="shared" si="77"/>
        <v>0.38749999999999984</v>
      </c>
      <c r="AK94" s="112">
        <f t="shared" si="78"/>
        <v>0</v>
      </c>
      <c r="AL94" s="112">
        <f t="shared" si="79"/>
        <v>0</v>
      </c>
      <c r="AM94" s="116">
        <f t="shared" si="80"/>
        <v>0</v>
      </c>
      <c r="AN94" s="116">
        <f t="shared" si="92"/>
        <v>0</v>
      </c>
      <c r="AO94" s="116">
        <f t="shared" si="93"/>
        <v>0</v>
      </c>
      <c r="AQ94" s="131">
        <f t="shared" si="81"/>
        <v>0</v>
      </c>
      <c r="AR94" s="131">
        <f t="shared" si="82"/>
        <v>0</v>
      </c>
      <c r="AS94" s="131">
        <f t="shared" si="83"/>
        <v>0</v>
      </c>
      <c r="AT94" s="131">
        <f t="shared" si="84"/>
        <v>0</v>
      </c>
      <c r="AU94" s="131">
        <f t="shared" si="85"/>
        <v>0</v>
      </c>
      <c r="AV94" s="131">
        <f t="shared" si="86"/>
        <v>0</v>
      </c>
      <c r="AW94" s="131">
        <f t="shared" si="87"/>
        <v>0</v>
      </c>
      <c r="AX94" s="131">
        <f t="shared" si="88"/>
        <v>0</v>
      </c>
      <c r="AY94" s="131">
        <f t="shared" si="89"/>
        <v>0</v>
      </c>
      <c r="AZ94" s="131">
        <f t="shared" si="90"/>
        <v>0</v>
      </c>
      <c r="BE94" s="116">
        <f t="shared" si="48"/>
        <v>0</v>
      </c>
    </row>
    <row r="95" spans="4:57">
      <c r="D95" s="114">
        <f t="shared" si="49"/>
        <v>41173</v>
      </c>
      <c r="E95" s="115">
        <f t="shared" si="91"/>
        <v>0.3916666666666665</v>
      </c>
      <c r="F95" s="116">
        <f t="shared" si="50"/>
        <v>2456191.8916666666</v>
      </c>
      <c r="G95" s="117">
        <f t="shared" si="51"/>
        <v>0.12722496007300765</v>
      </c>
      <c r="I95" s="112">
        <f t="shared" si="52"/>
        <v>180.66296912694088</v>
      </c>
      <c r="J95" s="112">
        <f t="shared" si="53"/>
        <v>4937.5068433236274</v>
      </c>
      <c r="K95" s="112">
        <f t="shared" si="54"/>
        <v>1.6703283793563079E-2</v>
      </c>
      <c r="L95" s="112">
        <f t="shared" si="55"/>
        <v>-1.8600002237573834</v>
      </c>
      <c r="M95" s="112">
        <f t="shared" si="56"/>
        <v>178.80296890318348</v>
      </c>
      <c r="N95" s="112">
        <f t="shared" si="57"/>
        <v>4935.6468430998702</v>
      </c>
      <c r="O95" s="112">
        <f t="shared" si="58"/>
        <v>1.0038787883240616</v>
      </c>
      <c r="P95" s="112">
        <f t="shared" si="59"/>
        <v>178.8013748571376</v>
      </c>
      <c r="Q95" s="112">
        <f t="shared" si="60"/>
        <v>23.437636654910506</v>
      </c>
      <c r="R95" s="112">
        <f t="shared" si="61"/>
        <v>23.436316994289633</v>
      </c>
      <c r="S95" s="112">
        <f t="shared" si="47"/>
        <v>178.90023280733135</v>
      </c>
      <c r="T95" s="112">
        <f t="shared" si="62"/>
        <v>0.47669934292994603</v>
      </c>
      <c r="U95" s="112">
        <f t="shared" si="63"/>
        <v>4.3023298441163031E-2</v>
      </c>
      <c r="V95" s="112">
        <f t="shared" si="64"/>
        <v>7.0165048720263448</v>
      </c>
      <c r="W95" s="112">
        <f t="shared" si="65"/>
        <v>91.429686817855256</v>
      </c>
      <c r="X95" s="115">
        <f t="shared" si="66"/>
        <v>0.51457187161664841</v>
      </c>
      <c r="Y95" s="115">
        <f t="shared" si="67"/>
        <v>0.26060051934482825</v>
      </c>
      <c r="Z95" s="115">
        <f t="shared" si="68"/>
        <v>0.76854322388846863</v>
      </c>
      <c r="AA95" s="118">
        <f t="shared" si="69"/>
        <v>731.43749454284205</v>
      </c>
      <c r="AB95" s="112">
        <f t="shared" si="70"/>
        <v>543.01650487202608</v>
      </c>
      <c r="AC95" s="112">
        <f t="shared" si="71"/>
        <v>-44.245873781993481</v>
      </c>
      <c r="AD95" s="112">
        <f t="shared" si="72"/>
        <v>55.277947009921533</v>
      </c>
      <c r="AE95" s="112">
        <f t="shared" si="73"/>
        <v>34.722052990078467</v>
      </c>
      <c r="AF95" s="112">
        <f t="shared" si="74"/>
        <v>2.3230084046409555E-2</v>
      </c>
      <c r="AG95" s="112">
        <f t="shared" si="75"/>
        <v>34.745283074124877</v>
      </c>
      <c r="AH95" s="112">
        <f t="shared" si="76"/>
        <v>121.91005280912947</v>
      </c>
      <c r="AJ95" s="119">
        <f t="shared" si="77"/>
        <v>0.3916666666666665</v>
      </c>
      <c r="AK95" s="112">
        <f t="shared" si="78"/>
        <v>0</v>
      </c>
      <c r="AL95" s="112">
        <f t="shared" si="79"/>
        <v>0</v>
      </c>
      <c r="AM95" s="116">
        <f t="shared" si="80"/>
        <v>0</v>
      </c>
      <c r="AN95" s="116">
        <f t="shared" si="92"/>
        <v>0</v>
      </c>
      <c r="AO95" s="116">
        <f t="shared" si="93"/>
        <v>0</v>
      </c>
      <c r="AQ95" s="131">
        <f t="shared" si="81"/>
        <v>0</v>
      </c>
      <c r="AR95" s="131">
        <f t="shared" si="82"/>
        <v>0</v>
      </c>
      <c r="AS95" s="131">
        <f t="shared" si="83"/>
        <v>0</v>
      </c>
      <c r="AT95" s="131">
        <f t="shared" si="84"/>
        <v>0</v>
      </c>
      <c r="AU95" s="131">
        <f t="shared" si="85"/>
        <v>0</v>
      </c>
      <c r="AV95" s="131">
        <f t="shared" si="86"/>
        <v>0</v>
      </c>
      <c r="AW95" s="131">
        <f t="shared" si="87"/>
        <v>0</v>
      </c>
      <c r="AX95" s="131">
        <f t="shared" si="88"/>
        <v>0</v>
      </c>
      <c r="AY95" s="131">
        <f t="shared" si="89"/>
        <v>0</v>
      </c>
      <c r="AZ95" s="131">
        <f t="shared" si="90"/>
        <v>0</v>
      </c>
      <c r="BE95" s="116">
        <f t="shared" si="48"/>
        <v>0</v>
      </c>
    </row>
    <row r="96" spans="4:57">
      <c r="D96" s="114">
        <f t="shared" si="49"/>
        <v>41173</v>
      </c>
      <c r="E96" s="115">
        <f t="shared" si="91"/>
        <v>0.39583333333333315</v>
      </c>
      <c r="F96" s="116">
        <f t="shared" si="50"/>
        <v>2456191.8958333335</v>
      </c>
      <c r="G96" s="117">
        <f t="shared" si="51"/>
        <v>0.12722507415012974</v>
      </c>
      <c r="I96" s="112">
        <f t="shared" si="52"/>
        <v>180.66707599116398</v>
      </c>
      <c r="J96" s="112">
        <f t="shared" si="53"/>
        <v>4937.510949991678</v>
      </c>
      <c r="K96" s="112">
        <f t="shared" si="54"/>
        <v>1.6703283788763942E-2</v>
      </c>
      <c r="L96" s="112">
        <f t="shared" si="55"/>
        <v>-1.8600324530507002</v>
      </c>
      <c r="M96" s="112">
        <f t="shared" si="56"/>
        <v>178.80704353811328</v>
      </c>
      <c r="N96" s="112">
        <f t="shared" si="57"/>
        <v>4935.6509175386273</v>
      </c>
      <c r="O96" s="112">
        <f t="shared" si="58"/>
        <v>1.0038776283131272</v>
      </c>
      <c r="P96" s="112">
        <f t="shared" si="59"/>
        <v>178.80544948257852</v>
      </c>
      <c r="Q96" s="112">
        <f t="shared" si="60"/>
        <v>23.437636653427024</v>
      </c>
      <c r="R96" s="112">
        <f t="shared" si="61"/>
        <v>23.436316984358626</v>
      </c>
      <c r="S96" s="112">
        <f t="shared" si="47"/>
        <v>178.90397154504612</v>
      </c>
      <c r="T96" s="112">
        <f t="shared" si="62"/>
        <v>0.47507904139256057</v>
      </c>
      <c r="U96" s="112">
        <f t="shared" si="63"/>
        <v>4.3023298403664305E-2</v>
      </c>
      <c r="V96" s="112">
        <f t="shared" si="64"/>
        <v>7.0179782730226234</v>
      </c>
      <c r="W96" s="112">
        <f t="shared" si="65"/>
        <v>91.428420169953654</v>
      </c>
      <c r="X96" s="115">
        <f t="shared" si="66"/>
        <v>0.51457084842151202</v>
      </c>
      <c r="Y96" s="115">
        <f t="shared" si="67"/>
        <v>0.2606030146160852</v>
      </c>
      <c r="Z96" s="115">
        <f t="shared" si="68"/>
        <v>0.76853868222693889</v>
      </c>
      <c r="AA96" s="118">
        <f t="shared" si="69"/>
        <v>731.42736135962923</v>
      </c>
      <c r="AB96" s="112">
        <f t="shared" si="70"/>
        <v>549.01797827302244</v>
      </c>
      <c r="AC96" s="112">
        <f t="shared" si="71"/>
        <v>-42.745505431744391</v>
      </c>
      <c r="AD96" s="112">
        <f t="shared" si="72"/>
        <v>54.28308598542138</v>
      </c>
      <c r="AE96" s="112">
        <f t="shared" si="73"/>
        <v>35.71691401457862</v>
      </c>
      <c r="AF96" s="112">
        <f t="shared" si="74"/>
        <v>2.2393470928013946E-2</v>
      </c>
      <c r="AG96" s="112">
        <f t="shared" si="75"/>
        <v>35.739307485506636</v>
      </c>
      <c r="AH96" s="112">
        <f t="shared" si="76"/>
        <v>123.28477486047376</v>
      </c>
      <c r="AJ96" s="119">
        <f t="shared" si="77"/>
        <v>0.39583333333333315</v>
      </c>
      <c r="AK96" s="112">
        <f t="shared" si="78"/>
        <v>0</v>
      </c>
      <c r="AL96" s="112">
        <f t="shared" si="79"/>
        <v>0</v>
      </c>
      <c r="AM96" s="116">
        <f t="shared" si="80"/>
        <v>0</v>
      </c>
      <c r="AN96" s="116">
        <f t="shared" si="92"/>
        <v>0</v>
      </c>
      <c r="AO96" s="116">
        <f t="shared" si="93"/>
        <v>0</v>
      </c>
      <c r="AQ96" s="131">
        <f t="shared" si="81"/>
        <v>0</v>
      </c>
      <c r="AR96" s="131">
        <f t="shared" si="82"/>
        <v>0</v>
      </c>
      <c r="AS96" s="131">
        <f t="shared" si="83"/>
        <v>0</v>
      </c>
      <c r="AT96" s="131">
        <f t="shared" si="84"/>
        <v>0</v>
      </c>
      <c r="AU96" s="131">
        <f t="shared" si="85"/>
        <v>0</v>
      </c>
      <c r="AV96" s="131">
        <f t="shared" si="86"/>
        <v>0</v>
      </c>
      <c r="AW96" s="131">
        <f t="shared" si="87"/>
        <v>0</v>
      </c>
      <c r="AX96" s="131">
        <f t="shared" si="88"/>
        <v>0</v>
      </c>
      <c r="AY96" s="131">
        <f t="shared" si="89"/>
        <v>0</v>
      </c>
      <c r="AZ96" s="131">
        <f t="shared" si="90"/>
        <v>0</v>
      </c>
      <c r="BE96" s="116">
        <f t="shared" si="48"/>
        <v>0</v>
      </c>
    </row>
    <row r="97" spans="4:57">
      <c r="D97" s="114">
        <f t="shared" si="49"/>
        <v>41173</v>
      </c>
      <c r="E97" s="115">
        <f t="shared" si="91"/>
        <v>0.3999999999999998</v>
      </c>
      <c r="F97" s="116">
        <f t="shared" si="50"/>
        <v>2456191.9</v>
      </c>
      <c r="G97" s="117">
        <f t="shared" si="51"/>
        <v>0.12722518822723908</v>
      </c>
      <c r="I97" s="112">
        <f t="shared" si="52"/>
        <v>180.67118285492961</v>
      </c>
      <c r="J97" s="112">
        <f t="shared" si="53"/>
        <v>4937.5150566592692</v>
      </c>
      <c r="K97" s="112">
        <f t="shared" si="54"/>
        <v>1.6703283783964806E-2</v>
      </c>
      <c r="L97" s="112">
        <f t="shared" si="55"/>
        <v>-1.8600646729243291</v>
      </c>
      <c r="M97" s="112">
        <f t="shared" si="56"/>
        <v>178.81111818200529</v>
      </c>
      <c r="N97" s="112">
        <f t="shared" si="57"/>
        <v>4935.6549919863446</v>
      </c>
      <c r="O97" s="112">
        <f t="shared" si="58"/>
        <v>1.0038764682812213</v>
      </c>
      <c r="P97" s="112">
        <f t="shared" si="59"/>
        <v>178.80952411698161</v>
      </c>
      <c r="Q97" s="112">
        <f t="shared" si="60"/>
        <v>23.437636651943546</v>
      </c>
      <c r="R97" s="112">
        <f t="shared" si="61"/>
        <v>23.436316974427641</v>
      </c>
      <c r="S97" s="112">
        <f t="shared" si="47"/>
        <v>178.90771028923143</v>
      </c>
      <c r="T97" s="112">
        <f t="shared" si="62"/>
        <v>0.47345873426981183</v>
      </c>
      <c r="U97" s="112">
        <f t="shared" si="63"/>
        <v>4.3023298366165662E-2</v>
      </c>
      <c r="V97" s="112">
        <f t="shared" si="64"/>
        <v>7.0194516488246608</v>
      </c>
      <c r="W97" s="112">
        <f t="shared" si="65"/>
        <v>91.427153519823719</v>
      </c>
      <c r="X97" s="115">
        <f t="shared" si="66"/>
        <v>0.51456982524387174</v>
      </c>
      <c r="Y97" s="115">
        <f t="shared" si="67"/>
        <v>0.2606055099110281</v>
      </c>
      <c r="Z97" s="115">
        <f t="shared" si="68"/>
        <v>0.76853414057671543</v>
      </c>
      <c r="AA97" s="118">
        <f t="shared" si="69"/>
        <v>731.41722815858975</v>
      </c>
      <c r="AB97" s="112">
        <f t="shared" si="70"/>
        <v>555.01945164882432</v>
      </c>
      <c r="AC97" s="112">
        <f t="shared" si="71"/>
        <v>-41.245137087793921</v>
      </c>
      <c r="AD97" s="112">
        <f t="shared" si="72"/>
        <v>53.304003094458217</v>
      </c>
      <c r="AE97" s="112">
        <f t="shared" si="73"/>
        <v>36.695996905541783</v>
      </c>
      <c r="AF97" s="112">
        <f t="shared" si="74"/>
        <v>2.1608267822458546E-2</v>
      </c>
      <c r="AG97" s="112">
        <f t="shared" si="75"/>
        <v>36.717605173364241</v>
      </c>
      <c r="AH97" s="112">
        <f t="shared" si="76"/>
        <v>124.69371114357926</v>
      </c>
      <c r="AJ97" s="119">
        <f t="shared" si="77"/>
        <v>0.3999999999999998</v>
      </c>
      <c r="AK97" s="112">
        <f t="shared" si="78"/>
        <v>0</v>
      </c>
      <c r="AL97" s="112">
        <f t="shared" si="79"/>
        <v>0</v>
      </c>
      <c r="AM97" s="116">
        <f t="shared" si="80"/>
        <v>0</v>
      </c>
      <c r="AN97" s="116">
        <f t="shared" si="92"/>
        <v>0</v>
      </c>
      <c r="AO97" s="116">
        <f t="shared" si="93"/>
        <v>0</v>
      </c>
      <c r="AQ97" s="131">
        <f t="shared" si="81"/>
        <v>0</v>
      </c>
      <c r="AR97" s="131">
        <f t="shared" si="82"/>
        <v>0</v>
      </c>
      <c r="AS97" s="131">
        <f t="shared" si="83"/>
        <v>0</v>
      </c>
      <c r="AT97" s="131">
        <f t="shared" si="84"/>
        <v>0</v>
      </c>
      <c r="AU97" s="131">
        <f t="shared" si="85"/>
        <v>0</v>
      </c>
      <c r="AV97" s="131">
        <f t="shared" si="86"/>
        <v>0</v>
      </c>
      <c r="AW97" s="131">
        <f t="shared" si="87"/>
        <v>0</v>
      </c>
      <c r="AX97" s="131">
        <f t="shared" si="88"/>
        <v>0</v>
      </c>
      <c r="AY97" s="131">
        <f t="shared" si="89"/>
        <v>0</v>
      </c>
      <c r="AZ97" s="131">
        <f t="shared" si="90"/>
        <v>0</v>
      </c>
      <c r="BE97" s="116">
        <f t="shared" si="48"/>
        <v>0</v>
      </c>
    </row>
    <row r="98" spans="4:57">
      <c r="D98" s="114">
        <f t="shared" si="49"/>
        <v>41173</v>
      </c>
      <c r="E98" s="115">
        <f t="shared" si="91"/>
        <v>0.40416666666666645</v>
      </c>
      <c r="F98" s="116">
        <f t="shared" si="50"/>
        <v>2456191.9041666668</v>
      </c>
      <c r="G98" s="117">
        <f t="shared" si="51"/>
        <v>0.12722530230436113</v>
      </c>
      <c r="I98" s="112">
        <f t="shared" si="52"/>
        <v>180.67528971915272</v>
      </c>
      <c r="J98" s="112">
        <f t="shared" si="53"/>
        <v>4937.5191633273189</v>
      </c>
      <c r="K98" s="112">
        <f t="shared" si="54"/>
        <v>1.6703283779165665E-2</v>
      </c>
      <c r="L98" s="112">
        <f t="shared" si="55"/>
        <v>-1.86009688338526</v>
      </c>
      <c r="M98" s="112">
        <f t="shared" si="56"/>
        <v>178.81519283576745</v>
      </c>
      <c r="N98" s="112">
        <f t="shared" si="57"/>
        <v>4935.6590664439336</v>
      </c>
      <c r="O98" s="112">
        <f t="shared" si="58"/>
        <v>1.00387530822809</v>
      </c>
      <c r="P98" s="112">
        <f t="shared" si="59"/>
        <v>178.81359876125478</v>
      </c>
      <c r="Q98" s="112">
        <f t="shared" si="60"/>
        <v>23.437636650460064</v>
      </c>
      <c r="R98" s="112">
        <f t="shared" si="61"/>
        <v>23.436316964496672</v>
      </c>
      <c r="S98" s="112">
        <f t="shared" si="47"/>
        <v>178.91144904072632</v>
      </c>
      <c r="T98" s="112">
        <f t="shared" si="62"/>
        <v>0.47183842120753988</v>
      </c>
      <c r="U98" s="112">
        <f t="shared" si="63"/>
        <v>4.3023298328667081E-2</v>
      </c>
      <c r="V98" s="112">
        <f t="shared" si="64"/>
        <v>7.0209249997364944</v>
      </c>
      <c r="W98" s="112">
        <f t="shared" si="65"/>
        <v>91.42588686718598</v>
      </c>
      <c r="X98" s="115">
        <f t="shared" si="66"/>
        <v>0.5145688020835163</v>
      </c>
      <c r="Y98" s="115">
        <f t="shared" si="67"/>
        <v>0.26060800523022193</v>
      </c>
      <c r="Z98" s="115">
        <f t="shared" si="68"/>
        <v>0.76852959893681061</v>
      </c>
      <c r="AA98" s="118">
        <f t="shared" si="69"/>
        <v>731.40709493748784</v>
      </c>
      <c r="AB98" s="112">
        <f t="shared" si="70"/>
        <v>561.02092499973617</v>
      </c>
      <c r="AC98" s="112">
        <f t="shared" si="71"/>
        <v>-39.744768750065958</v>
      </c>
      <c r="AD98" s="112">
        <f t="shared" si="72"/>
        <v>52.341695428428942</v>
      </c>
      <c r="AE98" s="112">
        <f t="shared" si="73"/>
        <v>37.658304571571058</v>
      </c>
      <c r="AF98" s="112">
        <f t="shared" si="74"/>
        <v>2.0870498328691291E-2</v>
      </c>
      <c r="AG98" s="112">
        <f t="shared" si="75"/>
        <v>37.679175069899749</v>
      </c>
      <c r="AH98" s="112">
        <f t="shared" si="76"/>
        <v>126.13841623401271</v>
      </c>
      <c r="AJ98" s="119">
        <f t="shared" si="77"/>
        <v>0.40416666666666645</v>
      </c>
      <c r="AK98" s="112">
        <f t="shared" si="78"/>
        <v>0</v>
      </c>
      <c r="AL98" s="112">
        <f t="shared" si="79"/>
        <v>0</v>
      </c>
      <c r="AM98" s="116">
        <f t="shared" si="80"/>
        <v>0</v>
      </c>
      <c r="AN98" s="116">
        <f t="shared" si="92"/>
        <v>0</v>
      </c>
      <c r="AO98" s="116">
        <f t="shared" si="93"/>
        <v>0</v>
      </c>
      <c r="AQ98" s="131">
        <f t="shared" si="81"/>
        <v>0</v>
      </c>
      <c r="AR98" s="131">
        <f t="shared" si="82"/>
        <v>0</v>
      </c>
      <c r="AS98" s="131">
        <f t="shared" si="83"/>
        <v>0</v>
      </c>
      <c r="AT98" s="131">
        <f t="shared" si="84"/>
        <v>0</v>
      </c>
      <c r="AU98" s="131">
        <f t="shared" si="85"/>
        <v>0</v>
      </c>
      <c r="AV98" s="131">
        <f t="shared" si="86"/>
        <v>0</v>
      </c>
      <c r="AW98" s="131">
        <f t="shared" si="87"/>
        <v>0</v>
      </c>
      <c r="AX98" s="131">
        <f t="shared" si="88"/>
        <v>0</v>
      </c>
      <c r="AY98" s="131">
        <f t="shared" si="89"/>
        <v>0</v>
      </c>
      <c r="AZ98" s="131">
        <f t="shared" si="90"/>
        <v>0</v>
      </c>
      <c r="BE98" s="116">
        <f t="shared" si="48"/>
        <v>0</v>
      </c>
    </row>
    <row r="99" spans="4:57">
      <c r="D99" s="114">
        <f t="shared" si="49"/>
        <v>41173</v>
      </c>
      <c r="E99" s="115">
        <f t="shared" si="91"/>
        <v>0.4083333333333331</v>
      </c>
      <c r="F99" s="116">
        <f t="shared" si="50"/>
        <v>2456191.9083333332</v>
      </c>
      <c r="G99" s="117">
        <f t="shared" si="51"/>
        <v>0.12722541638147047</v>
      </c>
      <c r="I99" s="112">
        <f t="shared" si="52"/>
        <v>180.67939658291743</v>
      </c>
      <c r="J99" s="112">
        <f t="shared" si="53"/>
        <v>4937.5232699949111</v>
      </c>
      <c r="K99" s="112">
        <f t="shared" si="54"/>
        <v>1.6703283774366529E-2</v>
      </c>
      <c r="L99" s="112">
        <f t="shared" si="55"/>
        <v>-1.8601290844261229</v>
      </c>
      <c r="M99" s="112">
        <f t="shared" si="56"/>
        <v>178.81926749849131</v>
      </c>
      <c r="N99" s="112">
        <f t="shared" si="57"/>
        <v>4935.6631409104848</v>
      </c>
      <c r="O99" s="112">
        <f t="shared" si="58"/>
        <v>1.0038741481539981</v>
      </c>
      <c r="P99" s="112">
        <f t="shared" si="59"/>
        <v>178.81767341448958</v>
      </c>
      <c r="Q99" s="112">
        <f t="shared" si="60"/>
        <v>23.437636648976586</v>
      </c>
      <c r="R99" s="112">
        <f t="shared" si="61"/>
        <v>23.436316954565726</v>
      </c>
      <c r="S99" s="112">
        <f t="shared" si="47"/>
        <v>178.91518779870319</v>
      </c>
      <c r="T99" s="112">
        <f t="shared" si="62"/>
        <v>0.47021810257390023</v>
      </c>
      <c r="U99" s="112">
        <f t="shared" si="63"/>
        <v>4.3023298291168577E-2</v>
      </c>
      <c r="V99" s="112">
        <f t="shared" si="64"/>
        <v>7.0223983254053461</v>
      </c>
      <c r="W99" s="112">
        <f t="shared" si="65"/>
        <v>91.424620212325593</v>
      </c>
      <c r="X99" s="115">
        <f t="shared" si="66"/>
        <v>0.51456777894069072</v>
      </c>
      <c r="Y99" s="115">
        <f t="shared" si="67"/>
        <v>0.26061050057311963</v>
      </c>
      <c r="Z99" s="115">
        <f t="shared" si="68"/>
        <v>0.76852505730826182</v>
      </c>
      <c r="AA99" s="118">
        <f t="shared" si="69"/>
        <v>731.39696169860474</v>
      </c>
      <c r="AB99" s="112">
        <f t="shared" si="70"/>
        <v>567.02239832540499</v>
      </c>
      <c r="AC99" s="112">
        <f t="shared" si="71"/>
        <v>-38.244400418648752</v>
      </c>
      <c r="AD99" s="112">
        <f t="shared" si="72"/>
        <v>51.397213251118465</v>
      </c>
      <c r="AE99" s="112">
        <f t="shared" si="73"/>
        <v>38.602786748881535</v>
      </c>
      <c r="AF99" s="112">
        <f t="shared" si="74"/>
        <v>2.0176683333869221E-2</v>
      </c>
      <c r="AG99" s="112">
        <f t="shared" si="75"/>
        <v>38.622963432215407</v>
      </c>
      <c r="AH99" s="112">
        <f t="shared" si="76"/>
        <v>127.62044483729005</v>
      </c>
      <c r="AJ99" s="119">
        <f t="shared" si="77"/>
        <v>0.4083333333333331</v>
      </c>
      <c r="AK99" s="112">
        <f t="shared" si="78"/>
        <v>0</v>
      </c>
      <c r="AL99" s="112">
        <f t="shared" si="79"/>
        <v>0</v>
      </c>
      <c r="AM99" s="116">
        <f t="shared" si="80"/>
        <v>0</v>
      </c>
      <c r="AN99" s="116">
        <f t="shared" si="92"/>
        <v>0</v>
      </c>
      <c r="AO99" s="116">
        <f t="shared" si="93"/>
        <v>0</v>
      </c>
      <c r="AQ99" s="131">
        <f t="shared" si="81"/>
        <v>0</v>
      </c>
      <c r="AR99" s="131">
        <f t="shared" si="82"/>
        <v>0</v>
      </c>
      <c r="AS99" s="131">
        <f t="shared" si="83"/>
        <v>0</v>
      </c>
      <c r="AT99" s="131">
        <f t="shared" si="84"/>
        <v>0</v>
      </c>
      <c r="AU99" s="131">
        <f t="shared" si="85"/>
        <v>0</v>
      </c>
      <c r="AV99" s="131">
        <f t="shared" si="86"/>
        <v>0</v>
      </c>
      <c r="AW99" s="131">
        <f t="shared" si="87"/>
        <v>0</v>
      </c>
      <c r="AX99" s="131">
        <f t="shared" si="88"/>
        <v>0</v>
      </c>
      <c r="AY99" s="131">
        <f t="shared" si="89"/>
        <v>0</v>
      </c>
      <c r="AZ99" s="131">
        <f t="shared" si="90"/>
        <v>0</v>
      </c>
      <c r="BE99" s="116">
        <f t="shared" si="48"/>
        <v>0</v>
      </c>
    </row>
    <row r="100" spans="4:57">
      <c r="D100" s="114">
        <f t="shared" si="49"/>
        <v>41173</v>
      </c>
      <c r="E100" s="115">
        <f t="shared" si="91"/>
        <v>0.41249999999999976</v>
      </c>
      <c r="F100" s="116">
        <f t="shared" si="50"/>
        <v>2456191.9125000001</v>
      </c>
      <c r="G100" s="117">
        <f t="shared" si="51"/>
        <v>0.12722553045859256</v>
      </c>
      <c r="I100" s="112">
        <f t="shared" si="52"/>
        <v>180.68350344714145</v>
      </c>
      <c r="J100" s="112">
        <f t="shared" si="53"/>
        <v>4937.5273766629607</v>
      </c>
      <c r="K100" s="112">
        <f t="shared" si="54"/>
        <v>1.6703283769567392E-2</v>
      </c>
      <c r="L100" s="112">
        <f t="shared" si="55"/>
        <v>-1.8601612760538648</v>
      </c>
      <c r="M100" s="112">
        <f t="shared" si="56"/>
        <v>178.82334217108757</v>
      </c>
      <c r="N100" s="112">
        <f t="shared" si="57"/>
        <v>4935.6672153869067</v>
      </c>
      <c r="O100" s="112">
        <f t="shared" si="58"/>
        <v>1.0038729880586932</v>
      </c>
      <c r="P100" s="112">
        <f t="shared" si="59"/>
        <v>178.82174807759674</v>
      </c>
      <c r="Q100" s="112">
        <f t="shared" si="60"/>
        <v>23.437636647493107</v>
      </c>
      <c r="R100" s="112">
        <f t="shared" si="61"/>
        <v>23.4363169446348</v>
      </c>
      <c r="S100" s="112">
        <f t="shared" si="47"/>
        <v>178.91892656400367</v>
      </c>
      <c r="T100" s="112">
        <f t="shared" si="62"/>
        <v>0.46859777801360919</v>
      </c>
      <c r="U100" s="112">
        <f t="shared" si="63"/>
        <v>4.3023298253670149E-2</v>
      </c>
      <c r="V100" s="112">
        <f t="shared" si="64"/>
        <v>7.0238716261359997</v>
      </c>
      <c r="W100" s="112">
        <f t="shared" si="65"/>
        <v>91.423353554962219</v>
      </c>
      <c r="X100" s="115">
        <f t="shared" si="66"/>
        <v>0.5145667558151833</v>
      </c>
      <c r="Y100" s="115">
        <f t="shared" si="67"/>
        <v>0.26061299594028825</v>
      </c>
      <c r="Z100" s="115">
        <f t="shared" si="68"/>
        <v>0.76852051569007829</v>
      </c>
      <c r="AA100" s="118">
        <f t="shared" si="69"/>
        <v>731.38682843969775</v>
      </c>
      <c r="AB100" s="112">
        <f t="shared" si="70"/>
        <v>573.0238716261357</v>
      </c>
      <c r="AC100" s="112">
        <f t="shared" si="71"/>
        <v>-36.744032093466075</v>
      </c>
      <c r="AD100" s="112">
        <f t="shared" si="72"/>
        <v>50.471661674156607</v>
      </c>
      <c r="AE100" s="112">
        <f t="shared" si="73"/>
        <v>39.528338325843393</v>
      </c>
      <c r="AF100" s="112">
        <f t="shared" si="74"/>
        <v>1.9523775646388176E-2</v>
      </c>
      <c r="AG100" s="112">
        <f t="shared" si="75"/>
        <v>39.547862101489784</v>
      </c>
      <c r="AH100" s="112">
        <f t="shared" si="76"/>
        <v>129.14133985400736</v>
      </c>
      <c r="AJ100" s="119">
        <f t="shared" si="77"/>
        <v>0.41249999999999976</v>
      </c>
      <c r="AK100" s="112">
        <f t="shared" si="78"/>
        <v>0</v>
      </c>
      <c r="AL100" s="112">
        <f t="shared" si="79"/>
        <v>0</v>
      </c>
      <c r="AM100" s="116">
        <f t="shared" si="80"/>
        <v>0</v>
      </c>
      <c r="AN100" s="116">
        <f t="shared" si="92"/>
        <v>0</v>
      </c>
      <c r="AO100" s="116">
        <f t="shared" si="93"/>
        <v>0</v>
      </c>
      <c r="AQ100" s="131">
        <f t="shared" si="81"/>
        <v>0</v>
      </c>
      <c r="AR100" s="131">
        <f t="shared" si="82"/>
        <v>0</v>
      </c>
      <c r="AS100" s="131">
        <f t="shared" si="83"/>
        <v>0</v>
      </c>
      <c r="AT100" s="131">
        <f t="shared" si="84"/>
        <v>0</v>
      </c>
      <c r="AU100" s="131">
        <f t="shared" si="85"/>
        <v>0</v>
      </c>
      <c r="AV100" s="131">
        <f t="shared" si="86"/>
        <v>0</v>
      </c>
      <c r="AW100" s="131">
        <f t="shared" si="87"/>
        <v>0</v>
      </c>
      <c r="AX100" s="131">
        <f t="shared" si="88"/>
        <v>0</v>
      </c>
      <c r="AY100" s="131">
        <f t="shared" si="89"/>
        <v>0</v>
      </c>
      <c r="AZ100" s="131">
        <f t="shared" si="90"/>
        <v>0</v>
      </c>
      <c r="BE100" s="116">
        <f t="shared" si="48"/>
        <v>0</v>
      </c>
    </row>
    <row r="101" spans="4:57">
      <c r="D101" s="114">
        <f t="shared" si="49"/>
        <v>41173</v>
      </c>
      <c r="E101" s="115">
        <f t="shared" si="91"/>
        <v>0.41666666666666641</v>
      </c>
      <c r="F101" s="116">
        <f t="shared" si="50"/>
        <v>2456191.9166666665</v>
      </c>
      <c r="G101" s="117">
        <f t="shared" si="51"/>
        <v>0.1272256445357019</v>
      </c>
      <c r="I101" s="112">
        <f t="shared" si="52"/>
        <v>180.68761031090617</v>
      </c>
      <c r="J101" s="112">
        <f t="shared" si="53"/>
        <v>4937.5314833305529</v>
      </c>
      <c r="K101" s="112">
        <f t="shared" si="54"/>
        <v>1.6703283764768255E-2</v>
      </c>
      <c r="L101" s="112">
        <f t="shared" si="55"/>
        <v>-1.8601934582611335</v>
      </c>
      <c r="M101" s="112">
        <f t="shared" si="56"/>
        <v>178.82741685264503</v>
      </c>
      <c r="N101" s="112">
        <f t="shared" si="57"/>
        <v>4935.6712898722917</v>
      </c>
      <c r="O101" s="112">
        <f t="shared" si="58"/>
        <v>1.003871827942439</v>
      </c>
      <c r="P101" s="112">
        <f t="shared" si="59"/>
        <v>178.82582274966501</v>
      </c>
      <c r="Q101" s="112">
        <f t="shared" si="60"/>
        <v>23.437636646009626</v>
      </c>
      <c r="R101" s="112">
        <f t="shared" si="61"/>
        <v>23.436316934703889</v>
      </c>
      <c r="S101" s="112">
        <f t="shared" si="47"/>
        <v>178.92266533579757</v>
      </c>
      <c r="T101" s="112">
        <f t="shared" si="62"/>
        <v>0.46697744789591611</v>
      </c>
      <c r="U101" s="112">
        <f t="shared" si="63"/>
        <v>4.3023298216171797E-2</v>
      </c>
      <c r="V101" s="112">
        <f t="shared" si="64"/>
        <v>7.0253449015748464</v>
      </c>
      <c r="W101" s="112">
        <f t="shared" si="65"/>
        <v>91.422086895381852</v>
      </c>
      <c r="X101" s="115">
        <f t="shared" si="66"/>
        <v>0.51456573270723971</v>
      </c>
      <c r="Y101" s="115">
        <f t="shared" si="67"/>
        <v>0.26061549133117901</v>
      </c>
      <c r="Z101" s="115">
        <f t="shared" si="68"/>
        <v>0.76851597408330041</v>
      </c>
      <c r="AA101" s="118">
        <f t="shared" si="69"/>
        <v>731.37669516305482</v>
      </c>
      <c r="AB101" s="112">
        <f t="shared" si="70"/>
        <v>579.0253449015745</v>
      </c>
      <c r="AC101" s="112">
        <f t="shared" si="71"/>
        <v>-35.243663774606375</v>
      </c>
      <c r="AD101" s="112">
        <f t="shared" si="72"/>
        <v>49.566201979787905</v>
      </c>
      <c r="AE101" s="112">
        <f t="shared" si="73"/>
        <v>40.433798020212095</v>
      </c>
      <c r="AF101" s="112">
        <f t="shared" si="74"/>
        <v>1.8909105191735331E-2</v>
      </c>
      <c r="AG101" s="112">
        <f t="shared" si="75"/>
        <v>40.452707125403833</v>
      </c>
      <c r="AH101" s="112">
        <f t="shared" si="76"/>
        <v>130.70261812275675</v>
      </c>
      <c r="AJ101" s="119">
        <f t="shared" si="77"/>
        <v>0.41666666666666641</v>
      </c>
      <c r="AK101" s="112">
        <f t="shared" si="78"/>
        <v>0</v>
      </c>
      <c r="AL101" s="112">
        <f t="shared" si="79"/>
        <v>0</v>
      </c>
      <c r="AM101" s="116">
        <f t="shared" si="80"/>
        <v>0</v>
      </c>
      <c r="AN101" s="116">
        <f t="shared" si="92"/>
        <v>0</v>
      </c>
      <c r="AO101" s="116">
        <f t="shared" si="93"/>
        <v>0</v>
      </c>
      <c r="AQ101" s="131">
        <f t="shared" si="81"/>
        <v>0</v>
      </c>
      <c r="AR101" s="131">
        <f t="shared" si="82"/>
        <v>0</v>
      </c>
      <c r="AS101" s="131">
        <f t="shared" si="83"/>
        <v>0</v>
      </c>
      <c r="AT101" s="131">
        <f t="shared" si="84"/>
        <v>0</v>
      </c>
      <c r="AU101" s="131">
        <f t="shared" si="85"/>
        <v>0</v>
      </c>
      <c r="AV101" s="131">
        <f t="shared" si="86"/>
        <v>0</v>
      </c>
      <c r="AW101" s="131">
        <f t="shared" si="87"/>
        <v>0</v>
      </c>
      <c r="AX101" s="131">
        <f t="shared" si="88"/>
        <v>0</v>
      </c>
      <c r="AY101" s="131">
        <f t="shared" si="89"/>
        <v>0</v>
      </c>
      <c r="AZ101" s="131">
        <f t="shared" si="90"/>
        <v>0</v>
      </c>
      <c r="BE101" s="116">
        <f t="shared" si="48"/>
        <v>0</v>
      </c>
    </row>
    <row r="102" spans="4:57">
      <c r="D102" s="114">
        <f t="shared" si="49"/>
        <v>41173</v>
      </c>
      <c r="E102" s="115">
        <f t="shared" si="91"/>
        <v>0.42083333333333306</v>
      </c>
      <c r="F102" s="116">
        <f t="shared" si="50"/>
        <v>2456191.9208333334</v>
      </c>
      <c r="G102" s="117">
        <f t="shared" si="51"/>
        <v>0.12722575861282398</v>
      </c>
      <c r="I102" s="112">
        <f t="shared" si="52"/>
        <v>180.69171717513018</v>
      </c>
      <c r="J102" s="112">
        <f t="shared" si="53"/>
        <v>4937.5355899986025</v>
      </c>
      <c r="K102" s="112">
        <f t="shared" si="54"/>
        <v>1.6703283759969118E-2</v>
      </c>
      <c r="L102" s="112">
        <f t="shared" si="55"/>
        <v>-1.8602256310548715</v>
      </c>
      <c r="M102" s="112">
        <f t="shared" si="56"/>
        <v>178.83149154407531</v>
      </c>
      <c r="N102" s="112">
        <f t="shared" si="57"/>
        <v>4935.6753643675474</v>
      </c>
      <c r="O102" s="112">
        <f t="shared" si="58"/>
        <v>1.0038706678049836</v>
      </c>
      <c r="P102" s="112">
        <f t="shared" si="59"/>
        <v>178.82989743160607</v>
      </c>
      <c r="Q102" s="112">
        <f t="shared" si="60"/>
        <v>23.437636644526147</v>
      </c>
      <c r="R102" s="112">
        <f t="shared" si="61"/>
        <v>23.436316924773003</v>
      </c>
      <c r="S102" s="112">
        <f t="shared" si="47"/>
        <v>178.92640411492735</v>
      </c>
      <c r="T102" s="112">
        <f t="shared" si="62"/>
        <v>0.46535711186518225</v>
      </c>
      <c r="U102" s="112">
        <f t="shared" si="63"/>
        <v>4.3023298178673515E-2</v>
      </c>
      <c r="V102" s="112">
        <f t="shared" si="64"/>
        <v>7.0268181520269568</v>
      </c>
      <c r="W102" s="112">
        <f t="shared" si="65"/>
        <v>91.420820233303886</v>
      </c>
      <c r="X102" s="115">
        <f t="shared" si="66"/>
        <v>0.51456470961664791</v>
      </c>
      <c r="Y102" s="115">
        <f t="shared" si="67"/>
        <v>0.26061798674635933</v>
      </c>
      <c r="Z102" s="115">
        <f t="shared" si="68"/>
        <v>0.76851143248693643</v>
      </c>
      <c r="AA102" s="118">
        <f t="shared" si="69"/>
        <v>731.36656186643108</v>
      </c>
      <c r="AB102" s="112">
        <f t="shared" si="70"/>
        <v>585.02681815202664</v>
      </c>
      <c r="AC102" s="112">
        <f t="shared" si="71"/>
        <v>-33.743295461993341</v>
      </c>
      <c r="AD102" s="112">
        <f t="shared" si="72"/>
        <v>48.682052493163333</v>
      </c>
      <c r="AE102" s="112">
        <f t="shared" si="73"/>
        <v>41.317947506836667</v>
      </c>
      <c r="AF102" s="112">
        <f t="shared" si="74"/>
        <v>1.833033281694502E-2</v>
      </c>
      <c r="AG102" s="112">
        <f t="shared" si="75"/>
        <v>41.336277839653611</v>
      </c>
      <c r="AH102" s="112">
        <f t="shared" si="76"/>
        <v>132.30575361990481</v>
      </c>
      <c r="AJ102" s="119">
        <f t="shared" si="77"/>
        <v>0.42083333333333306</v>
      </c>
      <c r="AK102" s="112">
        <f t="shared" si="78"/>
        <v>0</v>
      </c>
      <c r="AL102" s="112">
        <f t="shared" si="79"/>
        <v>0</v>
      </c>
      <c r="AM102" s="116">
        <f t="shared" si="80"/>
        <v>0</v>
      </c>
      <c r="AN102" s="116">
        <f t="shared" si="92"/>
        <v>0</v>
      </c>
      <c r="AO102" s="116">
        <f t="shared" si="93"/>
        <v>0</v>
      </c>
      <c r="AQ102" s="131">
        <f t="shared" si="81"/>
        <v>0</v>
      </c>
      <c r="AR102" s="131">
        <f t="shared" si="82"/>
        <v>0</v>
      </c>
      <c r="AS102" s="131">
        <f t="shared" si="83"/>
        <v>0</v>
      </c>
      <c r="AT102" s="131">
        <f t="shared" si="84"/>
        <v>0</v>
      </c>
      <c r="AU102" s="131">
        <f t="shared" si="85"/>
        <v>0</v>
      </c>
      <c r="AV102" s="131">
        <f t="shared" si="86"/>
        <v>0</v>
      </c>
      <c r="AW102" s="131">
        <f t="shared" si="87"/>
        <v>0</v>
      </c>
      <c r="AX102" s="131">
        <f t="shared" si="88"/>
        <v>0</v>
      </c>
      <c r="AY102" s="131">
        <f t="shared" si="89"/>
        <v>0</v>
      </c>
      <c r="AZ102" s="131">
        <f t="shared" si="90"/>
        <v>0</v>
      </c>
      <c r="BE102" s="116">
        <f t="shared" si="48"/>
        <v>0</v>
      </c>
    </row>
    <row r="103" spans="4:57">
      <c r="D103" s="114">
        <f t="shared" si="49"/>
        <v>41173</v>
      </c>
      <c r="E103" s="115">
        <f t="shared" si="91"/>
        <v>0.42499999999999971</v>
      </c>
      <c r="F103" s="116">
        <f t="shared" si="50"/>
        <v>2456191.9249999998</v>
      </c>
      <c r="G103" s="117">
        <f t="shared" si="51"/>
        <v>0.12722587268993329</v>
      </c>
      <c r="I103" s="112">
        <f t="shared" si="52"/>
        <v>180.69582403889399</v>
      </c>
      <c r="J103" s="112">
        <f t="shared" si="53"/>
        <v>4937.5396966661938</v>
      </c>
      <c r="K103" s="112">
        <f t="shared" si="54"/>
        <v>1.6703283755169978E-2</v>
      </c>
      <c r="L103" s="112">
        <f t="shared" si="55"/>
        <v>-1.8602577944277179</v>
      </c>
      <c r="M103" s="112">
        <f t="shared" si="56"/>
        <v>178.83556624446626</v>
      </c>
      <c r="N103" s="112">
        <f t="shared" si="57"/>
        <v>4935.6794388717663</v>
      </c>
      <c r="O103" s="112">
        <f t="shared" si="58"/>
        <v>1.0038695076465909</v>
      </c>
      <c r="P103" s="112">
        <f t="shared" si="59"/>
        <v>178.83397212250773</v>
      </c>
      <c r="Q103" s="112">
        <f t="shared" si="60"/>
        <v>23.437636643042666</v>
      </c>
      <c r="R103" s="112">
        <f t="shared" si="61"/>
        <v>23.436316914842134</v>
      </c>
      <c r="S103" s="112">
        <f t="shared" si="47"/>
        <v>178.93014290056209</v>
      </c>
      <c r="T103" s="112">
        <f t="shared" si="62"/>
        <v>0.46373677029102234</v>
      </c>
      <c r="U103" s="112">
        <f t="shared" si="63"/>
        <v>4.3023298141175323E-2</v>
      </c>
      <c r="V103" s="112">
        <f t="shared" si="64"/>
        <v>7.0282913771383813</v>
      </c>
      <c r="W103" s="112">
        <f t="shared" si="65"/>
        <v>91.41955356901461</v>
      </c>
      <c r="X103" s="115">
        <f t="shared" si="66"/>
        <v>0.51456368654365392</v>
      </c>
      <c r="Y103" s="115">
        <f t="shared" si="67"/>
        <v>0.26062048218528</v>
      </c>
      <c r="Z103" s="115">
        <f t="shared" si="68"/>
        <v>0.76850689090202784</v>
      </c>
      <c r="AA103" s="118">
        <f t="shared" si="69"/>
        <v>731.35642855211688</v>
      </c>
      <c r="AB103" s="112">
        <f t="shared" si="70"/>
        <v>591.02829137713798</v>
      </c>
      <c r="AC103" s="112">
        <f t="shared" si="71"/>
        <v>-32.242927155715506</v>
      </c>
      <c r="AD103" s="112">
        <f t="shared" si="72"/>
        <v>47.820488884350695</v>
      </c>
      <c r="AE103" s="112">
        <f t="shared" si="73"/>
        <v>42.179511115649305</v>
      </c>
      <c r="AF103" s="112">
        <f t="shared" si="74"/>
        <v>1.7785411131018867E-2</v>
      </c>
      <c r="AG103" s="112">
        <f t="shared" si="75"/>
        <v>42.19729652678032</v>
      </c>
      <c r="AH103" s="112">
        <f t="shared" si="76"/>
        <v>133.95215790446804</v>
      </c>
      <c r="AJ103" s="119">
        <f t="shared" si="77"/>
        <v>0.42499999999999971</v>
      </c>
      <c r="AK103" s="112">
        <f t="shared" si="78"/>
        <v>0</v>
      </c>
      <c r="AL103" s="112">
        <f t="shared" si="79"/>
        <v>0</v>
      </c>
      <c r="AM103" s="116">
        <f t="shared" si="80"/>
        <v>0</v>
      </c>
      <c r="AN103" s="116">
        <f t="shared" si="92"/>
        <v>0</v>
      </c>
      <c r="AO103" s="116">
        <f t="shared" si="93"/>
        <v>0</v>
      </c>
      <c r="AQ103" s="131">
        <f t="shared" si="81"/>
        <v>0</v>
      </c>
      <c r="AR103" s="131">
        <f t="shared" si="82"/>
        <v>0</v>
      </c>
      <c r="AS103" s="131">
        <f t="shared" si="83"/>
        <v>0</v>
      </c>
      <c r="AT103" s="131">
        <f t="shared" si="84"/>
        <v>0</v>
      </c>
      <c r="AU103" s="131">
        <f t="shared" si="85"/>
        <v>0</v>
      </c>
      <c r="AV103" s="131">
        <f t="shared" si="86"/>
        <v>0</v>
      </c>
      <c r="AW103" s="131">
        <f t="shared" si="87"/>
        <v>0</v>
      </c>
      <c r="AX103" s="131">
        <f t="shared" si="88"/>
        <v>0</v>
      </c>
      <c r="AY103" s="131">
        <f t="shared" si="89"/>
        <v>0</v>
      </c>
      <c r="AZ103" s="131">
        <f t="shared" si="90"/>
        <v>0</v>
      </c>
      <c r="BE103" s="116">
        <f t="shared" si="48"/>
        <v>0</v>
      </c>
    </row>
    <row r="104" spans="4:57">
      <c r="D104" s="114">
        <f t="shared" si="49"/>
        <v>41173</v>
      </c>
      <c r="E104" s="115">
        <f t="shared" si="91"/>
        <v>0.42916666666666636</v>
      </c>
      <c r="F104" s="116">
        <f t="shared" si="50"/>
        <v>2456191.9291666667</v>
      </c>
      <c r="G104" s="117">
        <f t="shared" si="51"/>
        <v>0.12722598676705538</v>
      </c>
      <c r="I104" s="112">
        <f t="shared" si="52"/>
        <v>180.699930903118</v>
      </c>
      <c r="J104" s="112">
        <f t="shared" si="53"/>
        <v>4937.5438033342443</v>
      </c>
      <c r="K104" s="112">
        <f t="shared" si="54"/>
        <v>1.6703283750370841E-2</v>
      </c>
      <c r="L104" s="112">
        <f t="shared" si="55"/>
        <v>-1.8602899483866495</v>
      </c>
      <c r="M104" s="112">
        <f t="shared" si="56"/>
        <v>178.83964095473135</v>
      </c>
      <c r="N104" s="112">
        <f t="shared" si="57"/>
        <v>4935.6835133858576</v>
      </c>
      <c r="O104" s="112">
        <f t="shared" si="58"/>
        <v>1.003868347467008</v>
      </c>
      <c r="P104" s="112">
        <f t="shared" si="59"/>
        <v>178.83804682328346</v>
      </c>
      <c r="Q104" s="112">
        <f t="shared" si="60"/>
        <v>23.437636641559187</v>
      </c>
      <c r="R104" s="112">
        <f t="shared" si="61"/>
        <v>23.436316904911283</v>
      </c>
      <c r="S104" s="112">
        <f t="shared" si="47"/>
        <v>178.93388169354583</v>
      </c>
      <c r="T104" s="112">
        <f t="shared" si="62"/>
        <v>0.46211642281708898</v>
      </c>
      <c r="U104" s="112">
        <f t="shared" si="63"/>
        <v>4.3023298103677186E-2</v>
      </c>
      <c r="V104" s="112">
        <f t="shared" si="64"/>
        <v>7.029764577214916</v>
      </c>
      <c r="W104" s="112">
        <f t="shared" si="65"/>
        <v>91.418286902232836</v>
      </c>
      <c r="X104" s="115">
        <f t="shared" si="66"/>
        <v>0.51456266348804525</v>
      </c>
      <c r="Y104" s="115">
        <f t="shared" si="67"/>
        <v>0.26062297764850961</v>
      </c>
      <c r="Z104" s="115">
        <f t="shared" si="68"/>
        <v>0.76850234932758088</v>
      </c>
      <c r="AA104" s="118">
        <f t="shared" si="69"/>
        <v>731.34629521786269</v>
      </c>
      <c r="AB104" s="112">
        <f t="shared" si="70"/>
        <v>597.02976457721445</v>
      </c>
      <c r="AC104" s="112">
        <f t="shared" si="71"/>
        <v>-30.742558855696387</v>
      </c>
      <c r="AD104" s="112">
        <f t="shared" si="72"/>
        <v>46.982843773338729</v>
      </c>
      <c r="AE104" s="112">
        <f t="shared" si="73"/>
        <v>43.017156226661271</v>
      </c>
      <c r="AF104" s="112">
        <f t="shared" si="74"/>
        <v>1.7272551114272904E-2</v>
      </c>
      <c r="AG104" s="112">
        <f t="shared" si="75"/>
        <v>43.034428777775545</v>
      </c>
      <c r="AH104" s="112">
        <f t="shared" si="76"/>
        <v>135.64315764621125</v>
      </c>
      <c r="AJ104" s="119">
        <f t="shared" si="77"/>
        <v>0.42916666666666636</v>
      </c>
      <c r="AK104" s="112">
        <f t="shared" si="78"/>
        <v>0</v>
      </c>
      <c r="AL104" s="112">
        <f t="shared" si="79"/>
        <v>0</v>
      </c>
      <c r="AM104" s="116">
        <f t="shared" si="80"/>
        <v>0</v>
      </c>
      <c r="AN104" s="116">
        <f t="shared" si="92"/>
        <v>0</v>
      </c>
      <c r="AO104" s="116">
        <f t="shared" si="93"/>
        <v>0</v>
      </c>
      <c r="AQ104" s="131">
        <f t="shared" si="81"/>
        <v>0</v>
      </c>
      <c r="AR104" s="131">
        <f t="shared" si="82"/>
        <v>0</v>
      </c>
      <c r="AS104" s="131">
        <f t="shared" si="83"/>
        <v>0</v>
      </c>
      <c r="AT104" s="131">
        <f t="shared" si="84"/>
        <v>0</v>
      </c>
      <c r="AU104" s="131">
        <f t="shared" si="85"/>
        <v>0</v>
      </c>
      <c r="AV104" s="131">
        <f t="shared" si="86"/>
        <v>0</v>
      </c>
      <c r="AW104" s="131">
        <f t="shared" si="87"/>
        <v>0</v>
      </c>
      <c r="AX104" s="131">
        <f t="shared" si="88"/>
        <v>0</v>
      </c>
      <c r="AY104" s="131">
        <f t="shared" si="89"/>
        <v>0</v>
      </c>
      <c r="AZ104" s="131">
        <f t="shared" si="90"/>
        <v>0</v>
      </c>
      <c r="BE104" s="116">
        <f t="shared" si="48"/>
        <v>0</v>
      </c>
    </row>
    <row r="105" spans="4:57">
      <c r="D105" s="114">
        <f t="shared" si="49"/>
        <v>41173</v>
      </c>
      <c r="E105" s="115">
        <f t="shared" si="91"/>
        <v>0.43333333333333302</v>
      </c>
      <c r="F105" s="116">
        <f t="shared" si="50"/>
        <v>2456191.9333333331</v>
      </c>
      <c r="G105" s="117">
        <f t="shared" si="51"/>
        <v>0.12722610084416472</v>
      </c>
      <c r="I105" s="112">
        <f t="shared" si="52"/>
        <v>180.70403776688272</v>
      </c>
      <c r="J105" s="112">
        <f t="shared" si="53"/>
        <v>4937.5479100018356</v>
      </c>
      <c r="K105" s="112">
        <f t="shared" si="54"/>
        <v>1.6703283745571704E-2</v>
      </c>
      <c r="L105" s="112">
        <f t="shared" si="55"/>
        <v>-1.8603220929242712</v>
      </c>
      <c r="M105" s="112">
        <f t="shared" si="56"/>
        <v>178.84371567395846</v>
      </c>
      <c r="N105" s="112">
        <f t="shared" si="57"/>
        <v>4935.6875879089112</v>
      </c>
      <c r="O105" s="112">
        <f t="shared" si="58"/>
        <v>1.0038671872664999</v>
      </c>
      <c r="P105" s="112">
        <f t="shared" si="59"/>
        <v>178.84212153302116</v>
      </c>
      <c r="Q105" s="112">
        <f t="shared" si="60"/>
        <v>23.437636640075706</v>
      </c>
      <c r="R105" s="112">
        <f t="shared" si="61"/>
        <v>23.436316894980454</v>
      </c>
      <c r="S105" s="112">
        <f t="shared" si="47"/>
        <v>178.93762049304766</v>
      </c>
      <c r="T105" s="112">
        <f t="shared" si="62"/>
        <v>0.4604960698129571</v>
      </c>
      <c r="U105" s="112">
        <f t="shared" si="63"/>
        <v>4.3023298066179126E-2</v>
      </c>
      <c r="V105" s="112">
        <f t="shared" si="64"/>
        <v>7.0312377519024807</v>
      </c>
      <c r="W105" s="112">
        <f t="shared" si="65"/>
        <v>91.417020233244841</v>
      </c>
      <c r="X105" s="115">
        <f t="shared" si="66"/>
        <v>0.51456164045006769</v>
      </c>
      <c r="Y105" s="115">
        <f t="shared" si="67"/>
        <v>0.26062547313549866</v>
      </c>
      <c r="Z105" s="115">
        <f t="shared" si="68"/>
        <v>0.76849780776463672</v>
      </c>
      <c r="AA105" s="118">
        <f t="shared" si="69"/>
        <v>731.33616186595873</v>
      </c>
      <c r="AB105" s="112">
        <f t="shared" si="70"/>
        <v>603.03123775190204</v>
      </c>
      <c r="AC105" s="112">
        <f t="shared" si="71"/>
        <v>-29.24219056202449</v>
      </c>
      <c r="AD105" s="112">
        <f t="shared" si="72"/>
        <v>46.170505490014655</v>
      </c>
      <c r="AE105" s="112">
        <f t="shared" si="73"/>
        <v>43.829494509985345</v>
      </c>
      <c r="AF105" s="112">
        <f t="shared" si="74"/>
        <v>1.6790193459143319E-2</v>
      </c>
      <c r="AG105" s="112">
        <f t="shared" si="75"/>
        <v>43.846284703444489</v>
      </c>
      <c r="AH105" s="112">
        <f t="shared" si="76"/>
        <v>137.37996912237332</v>
      </c>
      <c r="AJ105" s="119">
        <f t="shared" si="77"/>
        <v>0.43333333333333302</v>
      </c>
      <c r="AK105" s="112">
        <f t="shared" si="78"/>
        <v>0</v>
      </c>
      <c r="AL105" s="112">
        <f t="shared" si="79"/>
        <v>0</v>
      </c>
      <c r="AM105" s="116">
        <f t="shared" si="80"/>
        <v>0</v>
      </c>
      <c r="AN105" s="116">
        <f t="shared" si="92"/>
        <v>0</v>
      </c>
      <c r="AO105" s="116">
        <f t="shared" si="93"/>
        <v>0</v>
      </c>
      <c r="AQ105" s="131">
        <f t="shared" si="81"/>
        <v>0</v>
      </c>
      <c r="AR105" s="131">
        <f t="shared" si="82"/>
        <v>0</v>
      </c>
      <c r="AS105" s="131">
        <f t="shared" si="83"/>
        <v>0</v>
      </c>
      <c r="AT105" s="131">
        <f t="shared" si="84"/>
        <v>0</v>
      </c>
      <c r="AU105" s="131">
        <f t="shared" si="85"/>
        <v>0</v>
      </c>
      <c r="AV105" s="131">
        <f t="shared" si="86"/>
        <v>0</v>
      </c>
      <c r="AW105" s="131">
        <f t="shared" si="87"/>
        <v>0</v>
      </c>
      <c r="AX105" s="131">
        <f t="shared" si="88"/>
        <v>0</v>
      </c>
      <c r="AY105" s="131">
        <f t="shared" si="89"/>
        <v>0</v>
      </c>
      <c r="AZ105" s="131">
        <f t="shared" si="90"/>
        <v>0</v>
      </c>
      <c r="BE105" s="116">
        <f t="shared" si="48"/>
        <v>0</v>
      </c>
    </row>
    <row r="106" spans="4:57">
      <c r="D106" s="114">
        <f t="shared" si="49"/>
        <v>41173</v>
      </c>
      <c r="E106" s="115">
        <f t="shared" si="91"/>
        <v>0.43749999999999967</v>
      </c>
      <c r="F106" s="116">
        <f t="shared" si="50"/>
        <v>2456191.9375</v>
      </c>
      <c r="G106" s="117">
        <f t="shared" si="51"/>
        <v>0.1272262149212868</v>
      </c>
      <c r="I106" s="112">
        <f t="shared" si="52"/>
        <v>180.70814463110673</v>
      </c>
      <c r="J106" s="112">
        <f t="shared" si="53"/>
        <v>4937.5520166698861</v>
      </c>
      <c r="K106" s="112">
        <f t="shared" si="54"/>
        <v>1.6703283740772568E-2</v>
      </c>
      <c r="L106" s="112">
        <f t="shared" si="55"/>
        <v>-1.8603542280475691</v>
      </c>
      <c r="M106" s="112">
        <f t="shared" si="56"/>
        <v>178.84779040305918</v>
      </c>
      <c r="N106" s="112">
        <f t="shared" si="57"/>
        <v>4935.6916624418382</v>
      </c>
      <c r="O106" s="112">
        <f t="shared" si="58"/>
        <v>1.003866027044813</v>
      </c>
      <c r="P106" s="112">
        <f t="shared" si="59"/>
        <v>178.84619625263238</v>
      </c>
      <c r="Q106" s="112">
        <f t="shared" si="60"/>
        <v>23.437636638592227</v>
      </c>
      <c r="R106" s="112">
        <f t="shared" si="61"/>
        <v>23.436316885049646</v>
      </c>
      <c r="S106" s="112">
        <f t="shared" si="47"/>
        <v>178.94135929990998</v>
      </c>
      <c r="T106" s="112">
        <f t="shared" si="62"/>
        <v>0.45887571092302759</v>
      </c>
      <c r="U106" s="112">
        <f t="shared" si="63"/>
        <v>4.3023298028681149E-2</v>
      </c>
      <c r="V106" s="112">
        <f t="shared" si="64"/>
        <v>7.0327109015063245</v>
      </c>
      <c r="W106" s="112">
        <f t="shared" si="65"/>
        <v>91.415753561770018</v>
      </c>
      <c r="X106" s="115">
        <f t="shared" si="66"/>
        <v>0.51456061742950954</v>
      </c>
      <c r="Y106" s="115">
        <f t="shared" si="67"/>
        <v>0.26062796864681503</v>
      </c>
      <c r="Z106" s="115">
        <f t="shared" si="68"/>
        <v>0.76849326621220404</v>
      </c>
      <c r="AA106" s="118">
        <f t="shared" si="69"/>
        <v>731.32602849416014</v>
      </c>
      <c r="AB106" s="112">
        <f t="shared" si="70"/>
        <v>609.03271090150588</v>
      </c>
      <c r="AC106" s="112">
        <f t="shared" si="71"/>
        <v>-27.74182227462353</v>
      </c>
      <c r="AD106" s="112">
        <f t="shared" si="72"/>
        <v>45.384915837482119</v>
      </c>
      <c r="AE106" s="112">
        <f t="shared" si="73"/>
        <v>44.615084162517881</v>
      </c>
      <c r="AF106" s="112">
        <f t="shared" si="74"/>
        <v>1.6336983794887669E-2</v>
      </c>
      <c r="AG106" s="112">
        <f t="shared" si="75"/>
        <v>44.631421146312768</v>
      </c>
      <c r="AH106" s="112">
        <f t="shared" si="76"/>
        <v>139.16366966482201</v>
      </c>
      <c r="AJ106" s="119">
        <f t="shared" si="77"/>
        <v>0.43749999999999967</v>
      </c>
      <c r="AK106" s="112">
        <f t="shared" si="78"/>
        <v>0</v>
      </c>
      <c r="AL106" s="112">
        <f t="shared" si="79"/>
        <v>0</v>
      </c>
      <c r="AM106" s="116">
        <f t="shared" si="80"/>
        <v>0</v>
      </c>
      <c r="AN106" s="116">
        <f t="shared" si="92"/>
        <v>0</v>
      </c>
      <c r="AO106" s="116">
        <f t="shared" si="93"/>
        <v>0</v>
      </c>
      <c r="AQ106" s="131">
        <f t="shared" si="81"/>
        <v>0</v>
      </c>
      <c r="AR106" s="131">
        <f t="shared" si="82"/>
        <v>0</v>
      </c>
      <c r="AS106" s="131">
        <f t="shared" si="83"/>
        <v>0</v>
      </c>
      <c r="AT106" s="131">
        <f t="shared" si="84"/>
        <v>0</v>
      </c>
      <c r="AU106" s="131">
        <f t="shared" si="85"/>
        <v>0</v>
      </c>
      <c r="AV106" s="131">
        <f t="shared" si="86"/>
        <v>0</v>
      </c>
      <c r="AW106" s="131">
        <f t="shared" si="87"/>
        <v>0</v>
      </c>
      <c r="AX106" s="131">
        <f t="shared" si="88"/>
        <v>0</v>
      </c>
      <c r="AY106" s="131">
        <f t="shared" si="89"/>
        <v>0</v>
      </c>
      <c r="AZ106" s="131">
        <f t="shared" si="90"/>
        <v>0</v>
      </c>
      <c r="BE106" s="116">
        <f t="shared" si="48"/>
        <v>0</v>
      </c>
    </row>
    <row r="107" spans="4:57">
      <c r="D107" s="114">
        <f t="shared" si="49"/>
        <v>41173</v>
      </c>
      <c r="E107" s="115">
        <f t="shared" si="91"/>
        <v>0.44166666666666632</v>
      </c>
      <c r="F107" s="116">
        <f t="shared" si="50"/>
        <v>2456191.9416666669</v>
      </c>
      <c r="G107" s="117">
        <f t="shared" si="51"/>
        <v>0.12722632899840888</v>
      </c>
      <c r="I107" s="112">
        <f t="shared" si="52"/>
        <v>180.71225149533075</v>
      </c>
      <c r="J107" s="112">
        <f t="shared" si="53"/>
        <v>4937.5561233379358</v>
      </c>
      <c r="K107" s="112">
        <f t="shared" si="54"/>
        <v>1.6703283735973431E-2</v>
      </c>
      <c r="L107" s="112">
        <f t="shared" si="55"/>
        <v>-1.8603863537527376</v>
      </c>
      <c r="M107" s="112">
        <f t="shared" si="56"/>
        <v>178.851865141578</v>
      </c>
      <c r="N107" s="112">
        <f t="shared" si="57"/>
        <v>4935.695736984183</v>
      </c>
      <c r="O107" s="112">
        <f t="shared" si="58"/>
        <v>1.0038648668020826</v>
      </c>
      <c r="P107" s="112">
        <f t="shared" si="59"/>
        <v>178.85027098166168</v>
      </c>
      <c r="Q107" s="112">
        <f t="shared" si="60"/>
        <v>23.437636637108746</v>
      </c>
      <c r="R107" s="112">
        <f t="shared" si="61"/>
        <v>23.436316875118852</v>
      </c>
      <c r="S107" s="112">
        <f t="shared" si="47"/>
        <v>178.94509811372083</v>
      </c>
      <c r="T107" s="112">
        <f t="shared" si="62"/>
        <v>0.45725534633531384</v>
      </c>
      <c r="U107" s="112">
        <f t="shared" si="63"/>
        <v>4.3023297991183242E-2</v>
      </c>
      <c r="V107" s="112">
        <f t="shared" si="64"/>
        <v>7.0341840258373747</v>
      </c>
      <c r="W107" s="112">
        <f t="shared" si="65"/>
        <v>91.414486887952719</v>
      </c>
      <c r="X107" s="115">
        <f t="shared" si="66"/>
        <v>0.51455959442650179</v>
      </c>
      <c r="Y107" s="115">
        <f t="shared" si="67"/>
        <v>0.26063046418218866</v>
      </c>
      <c r="Z107" s="115">
        <f t="shared" si="68"/>
        <v>0.76848872467081497</v>
      </c>
      <c r="AA107" s="118">
        <f t="shared" si="69"/>
        <v>731.31589510362176</v>
      </c>
      <c r="AB107" s="112">
        <f t="shared" si="70"/>
        <v>615.03418402583691</v>
      </c>
      <c r="AC107" s="112">
        <f t="shared" si="71"/>
        <v>-26.241453993540773</v>
      </c>
      <c r="AD107" s="112">
        <f t="shared" si="72"/>
        <v>44.627566691092944</v>
      </c>
      <c r="AE107" s="112">
        <f t="shared" si="73"/>
        <v>45.372433308907056</v>
      </c>
      <c r="AF107" s="112">
        <f t="shared" si="74"/>
        <v>1.591175109047762E-2</v>
      </c>
      <c r="AG107" s="112">
        <f t="shared" si="75"/>
        <v>45.388345059997533</v>
      </c>
      <c r="AH107" s="112">
        <f t="shared" si="76"/>
        <v>140.9951661417</v>
      </c>
      <c r="AJ107" s="119">
        <f t="shared" si="77"/>
        <v>0.44166666666666632</v>
      </c>
      <c r="AK107" s="112">
        <f t="shared" si="78"/>
        <v>0</v>
      </c>
      <c r="AL107" s="112">
        <f t="shared" si="79"/>
        <v>0</v>
      </c>
      <c r="AM107" s="116">
        <f t="shared" si="80"/>
        <v>0</v>
      </c>
      <c r="AN107" s="116">
        <f t="shared" si="92"/>
        <v>0</v>
      </c>
      <c r="AO107" s="116">
        <f t="shared" si="93"/>
        <v>0</v>
      </c>
      <c r="AQ107" s="131">
        <f t="shared" si="81"/>
        <v>0</v>
      </c>
      <c r="AR107" s="131">
        <f t="shared" si="82"/>
        <v>0</v>
      </c>
      <c r="AS107" s="131">
        <f t="shared" si="83"/>
        <v>0</v>
      </c>
      <c r="AT107" s="131">
        <f t="shared" si="84"/>
        <v>0</v>
      </c>
      <c r="AU107" s="131">
        <f t="shared" si="85"/>
        <v>0</v>
      </c>
      <c r="AV107" s="131">
        <f t="shared" si="86"/>
        <v>0</v>
      </c>
      <c r="AW107" s="131">
        <f t="shared" si="87"/>
        <v>0</v>
      </c>
      <c r="AX107" s="131">
        <f t="shared" si="88"/>
        <v>0</v>
      </c>
      <c r="AY107" s="131">
        <f t="shared" si="89"/>
        <v>0</v>
      </c>
      <c r="AZ107" s="131">
        <f t="shared" si="90"/>
        <v>0</v>
      </c>
      <c r="BE107" s="116">
        <f t="shared" si="48"/>
        <v>0</v>
      </c>
    </row>
    <row r="108" spans="4:57">
      <c r="D108" s="114">
        <f t="shared" si="49"/>
        <v>41173</v>
      </c>
      <c r="E108" s="115">
        <f t="shared" si="91"/>
        <v>0.44583333333333297</v>
      </c>
      <c r="F108" s="116">
        <f t="shared" si="50"/>
        <v>2456191.9458333333</v>
      </c>
      <c r="G108" s="117">
        <f t="shared" si="51"/>
        <v>0.1272264430755182</v>
      </c>
      <c r="I108" s="112">
        <f t="shared" si="52"/>
        <v>180.71635835909547</v>
      </c>
      <c r="J108" s="112">
        <f t="shared" si="53"/>
        <v>4937.560230005527</v>
      </c>
      <c r="K108" s="112">
        <f t="shared" si="54"/>
        <v>1.6703283731174291E-2</v>
      </c>
      <c r="L108" s="112">
        <f t="shared" si="55"/>
        <v>-1.8604184700359958</v>
      </c>
      <c r="M108" s="112">
        <f t="shared" si="56"/>
        <v>178.85593988905947</v>
      </c>
      <c r="N108" s="112">
        <f t="shared" si="57"/>
        <v>4935.6998115354909</v>
      </c>
      <c r="O108" s="112">
        <f t="shared" si="58"/>
        <v>1.0038637065384446</v>
      </c>
      <c r="P108" s="112">
        <f t="shared" si="59"/>
        <v>178.85434571965354</v>
      </c>
      <c r="Q108" s="112">
        <f t="shared" si="60"/>
        <v>23.437636635625267</v>
      </c>
      <c r="R108" s="112">
        <f t="shared" si="61"/>
        <v>23.436316865188083</v>
      </c>
      <c r="S108" s="112">
        <f t="shared" si="47"/>
        <v>178.94883693406823</v>
      </c>
      <c r="T108" s="112">
        <f t="shared" si="62"/>
        <v>0.45563497623783106</v>
      </c>
      <c r="U108" s="112">
        <f t="shared" si="63"/>
        <v>4.3023297953685403E-2</v>
      </c>
      <c r="V108" s="112">
        <f t="shared" si="64"/>
        <v>7.035657124706673</v>
      </c>
      <c r="W108" s="112">
        <f t="shared" si="65"/>
        <v>91.413220211937272</v>
      </c>
      <c r="X108" s="115">
        <f t="shared" si="66"/>
        <v>0.514558571441176</v>
      </c>
      <c r="Y108" s="115">
        <f t="shared" si="67"/>
        <v>0.26063295974135026</v>
      </c>
      <c r="Z108" s="115">
        <f t="shared" si="68"/>
        <v>0.76848418314100175</v>
      </c>
      <c r="AA108" s="118">
        <f t="shared" si="69"/>
        <v>731.30576169549818</v>
      </c>
      <c r="AB108" s="112">
        <f t="shared" si="70"/>
        <v>621.03565712470606</v>
      </c>
      <c r="AC108" s="112">
        <f t="shared" si="71"/>
        <v>-24.741085718823484</v>
      </c>
      <c r="AD108" s="112">
        <f t="shared" si="72"/>
        <v>43.899995269806283</v>
      </c>
      <c r="AE108" s="112">
        <f t="shared" si="73"/>
        <v>46.100004730193717</v>
      </c>
      <c r="AF108" s="112">
        <f t="shared" si="74"/>
        <v>1.5513488652309945E-2</v>
      </c>
      <c r="AG108" s="112">
        <f t="shared" si="75"/>
        <v>46.115518218846027</v>
      </c>
      <c r="AH108" s="112">
        <f t="shared" si="76"/>
        <v>142.87516071419736</v>
      </c>
      <c r="AJ108" s="119">
        <f t="shared" si="77"/>
        <v>0.44583333333333297</v>
      </c>
      <c r="AK108" s="112">
        <f t="shared" si="78"/>
        <v>0</v>
      </c>
      <c r="AL108" s="112">
        <f t="shared" si="79"/>
        <v>0</v>
      </c>
      <c r="AM108" s="116">
        <f t="shared" si="80"/>
        <v>0</v>
      </c>
      <c r="AN108" s="116">
        <f t="shared" si="92"/>
        <v>0</v>
      </c>
      <c r="AO108" s="116">
        <f t="shared" si="93"/>
        <v>0</v>
      </c>
      <c r="AQ108" s="131">
        <f t="shared" si="81"/>
        <v>0</v>
      </c>
      <c r="AR108" s="131">
        <f t="shared" si="82"/>
        <v>0</v>
      </c>
      <c r="AS108" s="131">
        <f t="shared" si="83"/>
        <v>0</v>
      </c>
      <c r="AT108" s="131">
        <f t="shared" si="84"/>
        <v>0</v>
      </c>
      <c r="AU108" s="131">
        <f t="shared" si="85"/>
        <v>0</v>
      </c>
      <c r="AV108" s="131">
        <f t="shared" si="86"/>
        <v>0</v>
      </c>
      <c r="AW108" s="131">
        <f t="shared" si="87"/>
        <v>0</v>
      </c>
      <c r="AX108" s="131">
        <f t="shared" si="88"/>
        <v>0</v>
      </c>
      <c r="AY108" s="131">
        <f t="shared" si="89"/>
        <v>0</v>
      </c>
      <c r="AZ108" s="131">
        <f t="shared" si="90"/>
        <v>0</v>
      </c>
      <c r="BE108" s="116">
        <f t="shared" si="48"/>
        <v>0</v>
      </c>
    </row>
    <row r="109" spans="4:57">
      <c r="D109" s="114">
        <f t="shared" si="49"/>
        <v>41173</v>
      </c>
      <c r="E109" s="115">
        <f t="shared" si="91"/>
        <v>0.44999999999999962</v>
      </c>
      <c r="F109" s="116">
        <f t="shared" si="50"/>
        <v>2456191.9500000002</v>
      </c>
      <c r="G109" s="117">
        <f t="shared" si="51"/>
        <v>0.12722655715264028</v>
      </c>
      <c r="I109" s="112">
        <f t="shared" si="52"/>
        <v>180.72046522331766</v>
      </c>
      <c r="J109" s="112">
        <f t="shared" si="53"/>
        <v>4937.5643366735767</v>
      </c>
      <c r="K109" s="112">
        <f t="shared" si="54"/>
        <v>1.6703283726375154E-2</v>
      </c>
      <c r="L109" s="112">
        <f t="shared" si="55"/>
        <v>-1.8604505769043096</v>
      </c>
      <c r="M109" s="112">
        <f t="shared" si="56"/>
        <v>178.86001464641336</v>
      </c>
      <c r="N109" s="112">
        <f t="shared" si="57"/>
        <v>4935.7038860966722</v>
      </c>
      <c r="O109" s="112">
        <f t="shared" si="58"/>
        <v>1.0038625462536455</v>
      </c>
      <c r="P109" s="112">
        <f t="shared" si="59"/>
        <v>178.85842046751776</v>
      </c>
      <c r="Q109" s="112">
        <f t="shared" si="60"/>
        <v>23.437636634141789</v>
      </c>
      <c r="R109" s="112">
        <f t="shared" si="61"/>
        <v>23.436316855257331</v>
      </c>
      <c r="S109" s="112">
        <f t="shared" si="47"/>
        <v>178.9525757617929</v>
      </c>
      <c r="T109" s="112">
        <f t="shared" si="62"/>
        <v>0.45401460027568658</v>
      </c>
      <c r="U109" s="112">
        <f t="shared" si="63"/>
        <v>4.3023297916187649E-2</v>
      </c>
      <c r="V109" s="112">
        <f t="shared" si="64"/>
        <v>7.0371301984187999</v>
      </c>
      <c r="W109" s="112">
        <f t="shared" si="65"/>
        <v>91.411953533443665</v>
      </c>
      <c r="X109" s="115">
        <f t="shared" si="66"/>
        <v>0.51455754847332025</v>
      </c>
      <c r="Y109" s="115">
        <f t="shared" si="67"/>
        <v>0.26063545532486565</v>
      </c>
      <c r="Z109" s="115">
        <f t="shared" si="68"/>
        <v>0.76847964162177484</v>
      </c>
      <c r="AA109" s="118">
        <f t="shared" si="69"/>
        <v>731.29562826754932</v>
      </c>
      <c r="AB109" s="112">
        <f t="shared" si="70"/>
        <v>627.03713019841825</v>
      </c>
      <c r="AC109" s="112">
        <f t="shared" si="71"/>
        <v>-23.240717450395437</v>
      </c>
      <c r="AD109" s="112">
        <f t="shared" si="72"/>
        <v>43.203777916295856</v>
      </c>
      <c r="AE109" s="112">
        <f t="shared" si="73"/>
        <v>46.796222083704144</v>
      </c>
      <c r="AF109" s="112">
        <f t="shared" si="74"/>
        <v>1.5141337226905204E-2</v>
      </c>
      <c r="AG109" s="112">
        <f t="shared" si="75"/>
        <v>46.811363420931052</v>
      </c>
      <c r="AH109" s="112">
        <f t="shared" si="76"/>
        <v>144.80411428266711</v>
      </c>
      <c r="AJ109" s="119">
        <f t="shared" si="77"/>
        <v>0.44999999999999962</v>
      </c>
      <c r="AK109" s="112">
        <f t="shared" si="78"/>
        <v>0</v>
      </c>
      <c r="AL109" s="112">
        <f t="shared" si="79"/>
        <v>0</v>
      </c>
      <c r="AM109" s="116">
        <f t="shared" si="80"/>
        <v>0</v>
      </c>
      <c r="AN109" s="116">
        <f t="shared" si="92"/>
        <v>0</v>
      </c>
      <c r="AO109" s="116">
        <f t="shared" si="93"/>
        <v>0</v>
      </c>
      <c r="AQ109" s="131">
        <f t="shared" si="81"/>
        <v>0</v>
      </c>
      <c r="AR109" s="131">
        <f t="shared" si="82"/>
        <v>0</v>
      </c>
      <c r="AS109" s="131">
        <f t="shared" si="83"/>
        <v>0</v>
      </c>
      <c r="AT109" s="131">
        <f t="shared" si="84"/>
        <v>0</v>
      </c>
      <c r="AU109" s="131">
        <f t="shared" si="85"/>
        <v>0</v>
      </c>
      <c r="AV109" s="131">
        <f t="shared" si="86"/>
        <v>0</v>
      </c>
      <c r="AW109" s="131">
        <f t="shared" si="87"/>
        <v>0</v>
      </c>
      <c r="AX109" s="131">
        <f t="shared" si="88"/>
        <v>0</v>
      </c>
      <c r="AY109" s="131">
        <f t="shared" si="89"/>
        <v>0</v>
      </c>
      <c r="AZ109" s="131">
        <f t="shared" si="90"/>
        <v>0</v>
      </c>
      <c r="BE109" s="116">
        <f t="shared" si="48"/>
        <v>0</v>
      </c>
    </row>
    <row r="110" spans="4:57">
      <c r="D110" s="114">
        <f t="shared" si="49"/>
        <v>41173</v>
      </c>
      <c r="E110" s="115">
        <f t="shared" si="91"/>
        <v>0.45416666666666627</v>
      </c>
      <c r="F110" s="116">
        <f t="shared" si="50"/>
        <v>2456191.9541666666</v>
      </c>
      <c r="G110" s="117">
        <f t="shared" si="51"/>
        <v>0.12722667122974962</v>
      </c>
      <c r="I110" s="112">
        <f t="shared" si="52"/>
        <v>180.72457208708329</v>
      </c>
      <c r="J110" s="112">
        <f t="shared" si="53"/>
        <v>4937.5684433411689</v>
      </c>
      <c r="K110" s="112">
        <f t="shared" si="54"/>
        <v>1.6703283721576017E-2</v>
      </c>
      <c r="L110" s="112">
        <f t="shared" si="55"/>
        <v>-1.8604826743503138</v>
      </c>
      <c r="M110" s="112">
        <f t="shared" si="56"/>
        <v>178.86408941273297</v>
      </c>
      <c r="N110" s="112">
        <f t="shared" si="57"/>
        <v>4935.7079606668185</v>
      </c>
      <c r="O110" s="112">
        <f t="shared" si="58"/>
        <v>1.0038613859479499</v>
      </c>
      <c r="P110" s="112">
        <f t="shared" si="59"/>
        <v>178.86249522434767</v>
      </c>
      <c r="Q110" s="112">
        <f t="shared" si="60"/>
        <v>23.437636632658307</v>
      </c>
      <c r="R110" s="112">
        <f t="shared" si="61"/>
        <v>23.436316845326598</v>
      </c>
      <c r="S110" s="112">
        <f t="shared" si="47"/>
        <v>178.95631459606892</v>
      </c>
      <c r="T110" s="112">
        <f t="shared" si="62"/>
        <v>0.45239421881630332</v>
      </c>
      <c r="U110" s="112">
        <f t="shared" si="63"/>
        <v>4.3023297878689942E-2</v>
      </c>
      <c r="V110" s="112">
        <f t="shared" si="64"/>
        <v>7.0386032466215598</v>
      </c>
      <c r="W110" s="112">
        <f t="shared" si="65"/>
        <v>91.410686852756442</v>
      </c>
      <c r="X110" s="115">
        <f t="shared" si="66"/>
        <v>0.51455652552317954</v>
      </c>
      <c r="Y110" s="115">
        <f t="shared" si="67"/>
        <v>0.26063795093218944</v>
      </c>
      <c r="Z110" s="115">
        <f t="shared" si="68"/>
        <v>0.76847510011416964</v>
      </c>
      <c r="AA110" s="118">
        <f t="shared" si="69"/>
        <v>731.28549482205153</v>
      </c>
      <c r="AB110" s="112">
        <f t="shared" si="70"/>
        <v>633.03860324662094</v>
      </c>
      <c r="AC110" s="112">
        <f t="shared" si="71"/>
        <v>-21.740349188344766</v>
      </c>
      <c r="AD110" s="112">
        <f t="shared" si="72"/>
        <v>42.54052223554141</v>
      </c>
      <c r="AE110" s="112">
        <f t="shared" si="73"/>
        <v>47.45947776445859</v>
      </c>
      <c r="AF110" s="112">
        <f t="shared" si="74"/>
        <v>1.4794569799016184E-2</v>
      </c>
      <c r="AG110" s="112">
        <f t="shared" si="75"/>
        <v>47.474272334257606</v>
      </c>
      <c r="AH110" s="112">
        <f t="shared" si="76"/>
        <v>146.78220824908766</v>
      </c>
      <c r="AJ110" s="119">
        <f t="shared" si="77"/>
        <v>0.45416666666666627</v>
      </c>
      <c r="AK110" s="112">
        <f t="shared" si="78"/>
        <v>0</v>
      </c>
      <c r="AL110" s="112">
        <f t="shared" si="79"/>
        <v>0</v>
      </c>
      <c r="AM110" s="116">
        <f t="shared" si="80"/>
        <v>0</v>
      </c>
      <c r="AN110" s="116">
        <f t="shared" si="92"/>
        <v>0</v>
      </c>
      <c r="AO110" s="116">
        <f t="shared" si="93"/>
        <v>0</v>
      </c>
      <c r="AQ110" s="131">
        <f t="shared" si="81"/>
        <v>0</v>
      </c>
      <c r="AR110" s="131">
        <f t="shared" si="82"/>
        <v>0</v>
      </c>
      <c r="AS110" s="131">
        <f t="shared" si="83"/>
        <v>0</v>
      </c>
      <c r="AT110" s="131">
        <f t="shared" si="84"/>
        <v>0</v>
      </c>
      <c r="AU110" s="131">
        <f t="shared" si="85"/>
        <v>0</v>
      </c>
      <c r="AV110" s="131">
        <f t="shared" si="86"/>
        <v>0</v>
      </c>
      <c r="AW110" s="131">
        <f t="shared" si="87"/>
        <v>0</v>
      </c>
      <c r="AX110" s="131">
        <f t="shared" si="88"/>
        <v>0</v>
      </c>
      <c r="AY110" s="131">
        <f t="shared" si="89"/>
        <v>0</v>
      </c>
      <c r="AZ110" s="131">
        <f t="shared" si="90"/>
        <v>0</v>
      </c>
      <c r="BE110" s="116">
        <f t="shared" si="48"/>
        <v>0</v>
      </c>
    </row>
    <row r="111" spans="4:57">
      <c r="D111" s="114">
        <f t="shared" si="49"/>
        <v>41173</v>
      </c>
      <c r="E111" s="115">
        <f t="shared" si="91"/>
        <v>0.45833333333333293</v>
      </c>
      <c r="F111" s="116">
        <f t="shared" si="50"/>
        <v>2456191.9583333335</v>
      </c>
      <c r="G111" s="117">
        <f t="shared" si="51"/>
        <v>0.1272267853068717</v>
      </c>
      <c r="I111" s="112">
        <f t="shared" si="52"/>
        <v>180.7286789513073</v>
      </c>
      <c r="J111" s="112">
        <f t="shared" si="53"/>
        <v>4937.5725500092194</v>
      </c>
      <c r="K111" s="112">
        <f t="shared" si="54"/>
        <v>1.670328371677688E-2</v>
      </c>
      <c r="L111" s="112">
        <f t="shared" si="55"/>
        <v>-1.860514762380965</v>
      </c>
      <c r="M111" s="112">
        <f t="shared" si="56"/>
        <v>178.86816418892633</v>
      </c>
      <c r="N111" s="112">
        <f t="shared" si="57"/>
        <v>4935.7120352468382</v>
      </c>
      <c r="O111" s="112">
        <f t="shared" si="58"/>
        <v>1.0038602256211047</v>
      </c>
      <c r="P111" s="112">
        <f t="shared" si="59"/>
        <v>178.86656999105125</v>
      </c>
      <c r="Q111" s="112">
        <f t="shared" si="60"/>
        <v>23.437636631174829</v>
      </c>
      <c r="R111" s="112">
        <f t="shared" si="61"/>
        <v>23.436316835395889</v>
      </c>
      <c r="S111" s="112">
        <f t="shared" si="47"/>
        <v>178.96005343773541</v>
      </c>
      <c r="T111" s="112">
        <f t="shared" si="62"/>
        <v>0.45077383150549655</v>
      </c>
      <c r="U111" s="112">
        <f t="shared" si="63"/>
        <v>4.3023297841192347E-2</v>
      </c>
      <c r="V111" s="112">
        <f t="shared" si="64"/>
        <v>7.0400762696188881</v>
      </c>
      <c r="W111" s="112">
        <f t="shared" si="65"/>
        <v>91.409420169596146</v>
      </c>
      <c r="X111" s="115">
        <f t="shared" si="66"/>
        <v>0.51455550259054239</v>
      </c>
      <c r="Y111" s="115">
        <f t="shared" si="67"/>
        <v>0.26064044656388641</v>
      </c>
      <c r="Z111" s="115">
        <f t="shared" si="68"/>
        <v>0.76847055861719837</v>
      </c>
      <c r="AA111" s="118">
        <f t="shared" si="69"/>
        <v>731.27536135676917</v>
      </c>
      <c r="AB111" s="112">
        <f t="shared" si="70"/>
        <v>639.04007626961834</v>
      </c>
      <c r="AC111" s="112">
        <f t="shared" si="71"/>
        <v>-20.239980932595415</v>
      </c>
      <c r="AD111" s="112">
        <f t="shared" si="72"/>
        <v>41.911857471621012</v>
      </c>
      <c r="AE111" s="112">
        <f t="shared" si="73"/>
        <v>48.088142528378988</v>
      </c>
      <c r="AF111" s="112">
        <f t="shared" si="74"/>
        <v>1.4472577746847582E-2</v>
      </c>
      <c r="AG111" s="112">
        <f t="shared" si="75"/>
        <v>48.102615106125839</v>
      </c>
      <c r="AH111" s="112">
        <f t="shared" si="76"/>
        <v>148.80930546941329</v>
      </c>
      <c r="AJ111" s="119">
        <f t="shared" si="77"/>
        <v>0.45833333333333293</v>
      </c>
      <c r="AK111" s="112">
        <f t="shared" si="78"/>
        <v>0</v>
      </c>
      <c r="AL111" s="112">
        <f t="shared" si="79"/>
        <v>1</v>
      </c>
      <c r="AM111" s="116">
        <f t="shared" si="80"/>
        <v>0.7443420268110652</v>
      </c>
      <c r="AN111" s="116">
        <f t="shared" si="92"/>
        <v>7.443420268110626E-2</v>
      </c>
      <c r="AO111" s="116">
        <f t="shared" si="93"/>
        <v>9.9999999999999645E-2</v>
      </c>
      <c r="AQ111" s="131">
        <f t="shared" si="81"/>
        <v>9.9999999999999645E-2</v>
      </c>
      <c r="AR111" s="131">
        <f t="shared" si="82"/>
        <v>7.443420268110626E-2</v>
      </c>
      <c r="AS111" s="131">
        <f t="shared" si="83"/>
        <v>7.4434202681105998E-3</v>
      </c>
      <c r="AT111" s="131">
        <f t="shared" si="84"/>
        <v>7.4434202681105733E-4</v>
      </c>
      <c r="AU111" s="131">
        <f t="shared" si="85"/>
        <v>7.4434202681105473E-5</v>
      </c>
      <c r="AV111" s="131">
        <f t="shared" si="86"/>
        <v>9.9999999999999291E-3</v>
      </c>
      <c r="AW111" s="131">
        <f t="shared" si="87"/>
        <v>9.999999999999894E-4</v>
      </c>
      <c r="AX111" s="131">
        <f t="shared" si="88"/>
        <v>9.9999999999998582E-5</v>
      </c>
      <c r="AY111" s="131">
        <f t="shared" si="89"/>
        <v>9.9999999999998229E-6</v>
      </c>
      <c r="AZ111" s="131">
        <f t="shared" si="90"/>
        <v>9.9999999999997878E-7</v>
      </c>
      <c r="BE111" s="116">
        <f t="shared" si="48"/>
        <v>7.4423097434150598E-2</v>
      </c>
    </row>
    <row r="112" spans="4:57">
      <c r="D112" s="114">
        <f t="shared" si="49"/>
        <v>41173</v>
      </c>
      <c r="E112" s="115">
        <f t="shared" si="91"/>
        <v>0.46249999999999958</v>
      </c>
      <c r="F112" s="116">
        <f t="shared" si="50"/>
        <v>2456191.9624999999</v>
      </c>
      <c r="G112" s="117">
        <f t="shared" si="51"/>
        <v>0.12722689938398102</v>
      </c>
      <c r="I112" s="112">
        <f t="shared" si="52"/>
        <v>180.73278581507202</v>
      </c>
      <c r="J112" s="112">
        <f t="shared" si="53"/>
        <v>4937.5766566768098</v>
      </c>
      <c r="K112" s="112">
        <f t="shared" si="54"/>
        <v>1.6703283711977743E-2</v>
      </c>
      <c r="L112" s="112">
        <f t="shared" si="55"/>
        <v>-1.8605468409888837</v>
      </c>
      <c r="M112" s="112">
        <f t="shared" si="56"/>
        <v>178.87223897408313</v>
      </c>
      <c r="N112" s="112">
        <f t="shared" si="57"/>
        <v>4935.716109835821</v>
      </c>
      <c r="O112" s="112">
        <f t="shared" si="58"/>
        <v>1.0038590652733752</v>
      </c>
      <c r="P112" s="112">
        <f t="shared" si="59"/>
        <v>178.87064476671821</v>
      </c>
      <c r="Q112" s="112">
        <f t="shared" si="60"/>
        <v>23.437636629691347</v>
      </c>
      <c r="R112" s="112">
        <f t="shared" si="61"/>
        <v>23.436316825465195</v>
      </c>
      <c r="S112" s="112">
        <f t="shared" si="47"/>
        <v>178.96379228596305</v>
      </c>
      <c r="T112" s="112">
        <f t="shared" si="62"/>
        <v>0.44915343871215718</v>
      </c>
      <c r="U112" s="112">
        <f t="shared" si="63"/>
        <v>4.3023297803694807E-2</v>
      </c>
      <c r="V112" s="112">
        <f t="shared" si="64"/>
        <v>7.0415492670573387</v>
      </c>
      <c r="W112" s="112">
        <f t="shared" si="65"/>
        <v>91.408153484248487</v>
      </c>
      <c r="X112" s="115">
        <f t="shared" si="66"/>
        <v>0.5145544796756546</v>
      </c>
      <c r="Y112" s="115">
        <f t="shared" si="67"/>
        <v>0.26064294221940881</v>
      </c>
      <c r="Z112" s="115">
        <f t="shared" si="68"/>
        <v>0.76846601713190044</v>
      </c>
      <c r="AA112" s="118">
        <f t="shared" si="69"/>
        <v>731.2652278739879</v>
      </c>
      <c r="AB112" s="112">
        <f t="shared" si="70"/>
        <v>645.04154926705678</v>
      </c>
      <c r="AC112" s="112">
        <f t="shared" si="71"/>
        <v>-18.739612683235805</v>
      </c>
      <c r="AD112" s="112">
        <f t="shared" si="72"/>
        <v>41.319423033080902</v>
      </c>
      <c r="AE112" s="112">
        <f t="shared" si="73"/>
        <v>48.680576966919098</v>
      </c>
      <c r="AF112" s="112">
        <f t="shared" si="74"/>
        <v>1.4174858072536557E-2</v>
      </c>
      <c r="AG112" s="112">
        <f t="shared" si="75"/>
        <v>48.694751824991634</v>
      </c>
      <c r="AH112" s="112">
        <f t="shared" si="76"/>
        <v>150.88491151827213</v>
      </c>
      <c r="AJ112" s="119">
        <f t="shared" si="77"/>
        <v>0.46249999999999958</v>
      </c>
      <c r="AK112" s="112">
        <f t="shared" si="78"/>
        <v>0</v>
      </c>
      <c r="AL112" s="112">
        <f t="shared" si="79"/>
        <v>1</v>
      </c>
      <c r="AM112" s="116">
        <f t="shared" si="80"/>
        <v>0.7512036755630056</v>
      </c>
      <c r="AN112" s="116">
        <f t="shared" si="92"/>
        <v>0.14955457023740654</v>
      </c>
      <c r="AO112" s="116">
        <f t="shared" si="93"/>
        <v>0.19999999999999929</v>
      </c>
      <c r="AQ112" s="131">
        <f t="shared" si="81"/>
        <v>0.19999999999999929</v>
      </c>
      <c r="AR112" s="131">
        <f t="shared" si="82"/>
        <v>0.14955457023740654</v>
      </c>
      <c r="AS112" s="131">
        <f t="shared" si="83"/>
        <v>2.99109140474812E-2</v>
      </c>
      <c r="AT112" s="131">
        <f t="shared" si="84"/>
        <v>5.9821828094962191E-3</v>
      </c>
      <c r="AU112" s="131">
        <f t="shared" si="85"/>
        <v>1.1964365618992395E-3</v>
      </c>
      <c r="AV112" s="131">
        <f t="shared" si="86"/>
        <v>3.9999999999999716E-2</v>
      </c>
      <c r="AW112" s="131">
        <f t="shared" si="87"/>
        <v>7.9999999999999152E-3</v>
      </c>
      <c r="AX112" s="131">
        <f t="shared" si="88"/>
        <v>1.5999999999999773E-3</v>
      </c>
      <c r="AY112" s="131">
        <f t="shared" si="89"/>
        <v>3.1999999999999433E-4</v>
      </c>
      <c r="AZ112" s="131">
        <f t="shared" si="90"/>
        <v>6.3999999999998642E-5</v>
      </c>
      <c r="BE112" s="116">
        <f t="shared" si="48"/>
        <v>0.14953954030460401</v>
      </c>
    </row>
    <row r="113" spans="4:57">
      <c r="D113" s="114">
        <f t="shared" si="49"/>
        <v>41173</v>
      </c>
      <c r="E113" s="115">
        <f t="shared" si="91"/>
        <v>0.46666666666666623</v>
      </c>
      <c r="F113" s="116">
        <f t="shared" si="50"/>
        <v>2456191.9666666668</v>
      </c>
      <c r="G113" s="117">
        <f t="shared" si="51"/>
        <v>0.1272270134611031</v>
      </c>
      <c r="I113" s="112">
        <f t="shared" si="52"/>
        <v>180.73689267929512</v>
      </c>
      <c r="J113" s="112">
        <f t="shared" si="53"/>
        <v>4937.5807633448603</v>
      </c>
      <c r="K113" s="112">
        <f t="shared" si="54"/>
        <v>1.6703283707178603E-2</v>
      </c>
      <c r="L113" s="112">
        <f t="shared" si="55"/>
        <v>-1.8605789101810528</v>
      </c>
      <c r="M113" s="112">
        <f t="shared" si="56"/>
        <v>178.87631376911406</v>
      </c>
      <c r="N113" s="112">
        <f t="shared" si="57"/>
        <v>4935.7201844346791</v>
      </c>
      <c r="O113" s="112">
        <f t="shared" si="58"/>
        <v>1.0038579049045078</v>
      </c>
      <c r="P113" s="112">
        <f t="shared" si="59"/>
        <v>178.87471955225922</v>
      </c>
      <c r="Q113" s="112">
        <f t="shared" si="60"/>
        <v>23.437636628207869</v>
      </c>
      <c r="R113" s="112">
        <f t="shared" si="61"/>
        <v>23.436316815534521</v>
      </c>
      <c r="S113" s="112">
        <f t="shared" si="47"/>
        <v>178.96753114159344</v>
      </c>
      <c r="T113" s="112">
        <f t="shared" si="62"/>
        <v>0.44753304008102729</v>
      </c>
      <c r="U113" s="112">
        <f t="shared" si="63"/>
        <v>4.3023297766197351E-2</v>
      </c>
      <c r="V113" s="112">
        <f t="shared" si="64"/>
        <v>7.0430222392418589</v>
      </c>
      <c r="W113" s="112">
        <f t="shared" si="65"/>
        <v>91.406886796433128</v>
      </c>
      <c r="X113" s="115">
        <f t="shared" si="66"/>
        <v>0.51455345677830422</v>
      </c>
      <c r="Y113" s="115">
        <f t="shared" si="67"/>
        <v>0.26064543789932332</v>
      </c>
      <c r="Z113" s="115">
        <f t="shared" si="68"/>
        <v>0.76846147565728518</v>
      </c>
      <c r="AA113" s="118">
        <f t="shared" si="69"/>
        <v>731.25509437146502</v>
      </c>
      <c r="AB113" s="112">
        <f t="shared" si="70"/>
        <v>651.04302223924117</v>
      </c>
      <c r="AC113" s="112">
        <f t="shared" si="71"/>
        <v>-17.239244440189708</v>
      </c>
      <c r="AD113" s="112">
        <f t="shared" si="72"/>
        <v>40.764855139791202</v>
      </c>
      <c r="AE113" s="112">
        <f t="shared" si="73"/>
        <v>49.235144860208798</v>
      </c>
      <c r="AF113" s="112">
        <f t="shared" si="74"/>
        <v>1.3901001486247001E-2</v>
      </c>
      <c r="AG113" s="112">
        <f t="shared" si="75"/>
        <v>49.249045861695045</v>
      </c>
      <c r="AH113" s="112">
        <f t="shared" si="76"/>
        <v>153.00813766132262</v>
      </c>
      <c r="AJ113" s="119">
        <f t="shared" si="77"/>
        <v>0.46666666666666623</v>
      </c>
      <c r="AK113" s="112">
        <f t="shared" si="78"/>
        <v>0</v>
      </c>
      <c r="AL113" s="112">
        <f t="shared" si="79"/>
        <v>1</v>
      </c>
      <c r="AM113" s="116">
        <f t="shared" si="80"/>
        <v>0.75755411396553807</v>
      </c>
      <c r="AN113" s="116">
        <f t="shared" si="92"/>
        <v>0.22530998163396007</v>
      </c>
      <c r="AO113" s="116">
        <f t="shared" si="93"/>
        <v>0.29999999999999893</v>
      </c>
      <c r="AQ113" s="131">
        <f t="shared" si="81"/>
        <v>0.29999999999999893</v>
      </c>
      <c r="AR113" s="131">
        <f t="shared" si="82"/>
        <v>0.22530998163396007</v>
      </c>
      <c r="AS113" s="131">
        <f t="shared" si="83"/>
        <v>6.7592994490187783E-2</v>
      </c>
      <c r="AT113" s="131">
        <f t="shared" si="84"/>
        <v>2.0277898347056261E-2</v>
      </c>
      <c r="AU113" s="131">
        <f t="shared" si="85"/>
        <v>6.0833695041168567E-3</v>
      </c>
      <c r="AV113" s="131">
        <f t="shared" si="86"/>
        <v>8.9999999999999358E-2</v>
      </c>
      <c r="AW113" s="131">
        <f t="shared" si="87"/>
        <v>2.6999999999999712E-2</v>
      </c>
      <c r="AX113" s="131">
        <f t="shared" si="88"/>
        <v>8.0999999999998851E-3</v>
      </c>
      <c r="AY113" s="131">
        <f t="shared" si="89"/>
        <v>2.4299999999999569E-3</v>
      </c>
      <c r="AZ113" s="131">
        <f t="shared" si="90"/>
        <v>7.2899999999998443E-4</v>
      </c>
      <c r="BE113" s="116">
        <f t="shared" si="48"/>
        <v>0.22529583004187773</v>
      </c>
    </row>
    <row r="114" spans="4:57">
      <c r="D114" s="114">
        <f t="shared" si="49"/>
        <v>41173</v>
      </c>
      <c r="E114" s="115">
        <f t="shared" si="91"/>
        <v>0.47083333333333288</v>
      </c>
      <c r="F114" s="116">
        <f t="shared" si="50"/>
        <v>2456191.9708333332</v>
      </c>
      <c r="G114" s="117">
        <f t="shared" si="51"/>
        <v>0.12722712753821244</v>
      </c>
      <c r="I114" s="112">
        <f t="shared" si="52"/>
        <v>180.74099954305984</v>
      </c>
      <c r="J114" s="112">
        <f t="shared" si="53"/>
        <v>4937.5848700124516</v>
      </c>
      <c r="K114" s="112">
        <f t="shared" si="54"/>
        <v>1.6703283702379466E-2</v>
      </c>
      <c r="L114" s="112">
        <f t="shared" si="55"/>
        <v>-1.8606109699500908</v>
      </c>
      <c r="M114" s="112">
        <f t="shared" si="56"/>
        <v>178.88038857310974</v>
      </c>
      <c r="N114" s="112">
        <f t="shared" si="57"/>
        <v>4935.7242590425012</v>
      </c>
      <c r="O114" s="112">
        <f t="shared" si="58"/>
        <v>1.0038567445147673</v>
      </c>
      <c r="P114" s="112">
        <f t="shared" si="59"/>
        <v>178.87879434676495</v>
      </c>
      <c r="Q114" s="112">
        <f t="shared" si="60"/>
        <v>23.437636626724387</v>
      </c>
      <c r="R114" s="112">
        <f t="shared" si="61"/>
        <v>23.436316805603866</v>
      </c>
      <c r="S114" s="112">
        <f t="shared" si="47"/>
        <v>178.97127000379811</v>
      </c>
      <c r="T114" s="112">
        <f t="shared" si="62"/>
        <v>0.44591263598060427</v>
      </c>
      <c r="U114" s="112">
        <f t="shared" si="63"/>
        <v>4.302329772869995E-2</v>
      </c>
      <c r="V114" s="112">
        <f t="shared" si="64"/>
        <v>7.0444951858192804</v>
      </c>
      <c r="W114" s="112">
        <f t="shared" si="65"/>
        <v>91.405620106435535</v>
      </c>
      <c r="X114" s="115">
        <f t="shared" si="66"/>
        <v>0.51455243389873662</v>
      </c>
      <c r="Y114" s="115">
        <f t="shared" si="67"/>
        <v>0.26064793360308236</v>
      </c>
      <c r="Z114" s="115">
        <f t="shared" si="68"/>
        <v>0.76845693419439087</v>
      </c>
      <c r="AA114" s="118">
        <f t="shared" si="69"/>
        <v>731.24496085148428</v>
      </c>
      <c r="AB114" s="112">
        <f t="shared" si="70"/>
        <v>657.04449518581862</v>
      </c>
      <c r="AC114" s="112">
        <f t="shared" si="71"/>
        <v>-15.738876203545345</v>
      </c>
      <c r="AD114" s="112">
        <f t="shared" si="72"/>
        <v>40.24977162413564</v>
      </c>
      <c r="AE114" s="112">
        <f t="shared" si="73"/>
        <v>49.75022837586436</v>
      </c>
      <c r="AF114" s="112">
        <f t="shared" si="74"/>
        <v>1.3650681169727093E-2</v>
      </c>
      <c r="AG114" s="112">
        <f t="shared" si="75"/>
        <v>49.763879057034089</v>
      </c>
      <c r="AH114" s="112">
        <f t="shared" si="76"/>
        <v>155.17766716401013</v>
      </c>
      <c r="AJ114" s="119">
        <f t="shared" si="77"/>
        <v>0.47083333333333288</v>
      </c>
      <c r="AK114" s="112">
        <f t="shared" si="78"/>
        <v>0</v>
      </c>
      <c r="AL114" s="112">
        <f t="shared" si="79"/>
        <v>1</v>
      </c>
      <c r="AM114" s="116">
        <f t="shared" si="80"/>
        <v>0.76338896138732981</v>
      </c>
      <c r="AN114" s="116">
        <f t="shared" si="92"/>
        <v>0.30164887777269278</v>
      </c>
      <c r="AO114" s="116">
        <f t="shared" si="93"/>
        <v>0.39999999999999858</v>
      </c>
      <c r="AQ114" s="131">
        <f t="shared" si="81"/>
        <v>0.39999999999999858</v>
      </c>
      <c r="AR114" s="131">
        <f t="shared" si="82"/>
        <v>0.30164887777269278</v>
      </c>
      <c r="AS114" s="131">
        <f t="shared" si="83"/>
        <v>0.12065955110907668</v>
      </c>
      <c r="AT114" s="131">
        <f t="shared" si="84"/>
        <v>4.8263820443630499E-2</v>
      </c>
      <c r="AU114" s="131">
        <f t="shared" si="85"/>
        <v>1.9305528177452132E-2</v>
      </c>
      <c r="AV114" s="131">
        <f t="shared" si="86"/>
        <v>0.15999999999999887</v>
      </c>
      <c r="AW114" s="131">
        <f t="shared" si="87"/>
        <v>6.3999999999999321E-2</v>
      </c>
      <c r="AX114" s="131">
        <f t="shared" si="88"/>
        <v>2.5599999999999637E-2</v>
      </c>
      <c r="AY114" s="131">
        <f t="shared" si="89"/>
        <v>1.0239999999999819E-2</v>
      </c>
      <c r="AZ114" s="131">
        <f t="shared" si="90"/>
        <v>4.0959999999999131E-3</v>
      </c>
      <c r="BE114" s="116">
        <f t="shared" si="48"/>
        <v>0.3016384680764892</v>
      </c>
    </row>
    <row r="115" spans="4:57">
      <c r="D115" s="114">
        <f t="shared" si="49"/>
        <v>41173</v>
      </c>
      <c r="E115" s="115">
        <f t="shared" si="91"/>
        <v>0.47499999999999953</v>
      </c>
      <c r="F115" s="116">
        <f t="shared" si="50"/>
        <v>2456191.9750000001</v>
      </c>
      <c r="G115" s="117">
        <f t="shared" si="51"/>
        <v>0.12722724161533452</v>
      </c>
      <c r="I115" s="112">
        <f t="shared" si="52"/>
        <v>180.74510640728386</v>
      </c>
      <c r="J115" s="112">
        <f t="shared" si="53"/>
        <v>4937.5889766805021</v>
      </c>
      <c r="K115" s="112">
        <f t="shared" si="54"/>
        <v>1.670328369758033E-2</v>
      </c>
      <c r="L115" s="112">
        <f t="shared" si="55"/>
        <v>-1.8606430203029647</v>
      </c>
      <c r="M115" s="112">
        <f t="shared" si="56"/>
        <v>178.88446338698088</v>
      </c>
      <c r="N115" s="112">
        <f t="shared" si="57"/>
        <v>4935.7283336601995</v>
      </c>
      <c r="O115" s="112">
        <f t="shared" si="58"/>
        <v>1.0038555841039001</v>
      </c>
      <c r="P115" s="112">
        <f t="shared" si="59"/>
        <v>178.88286915114605</v>
      </c>
      <c r="Q115" s="112">
        <f t="shared" si="60"/>
        <v>23.437636625240909</v>
      </c>
      <c r="R115" s="112">
        <f t="shared" si="61"/>
        <v>23.436316795673232</v>
      </c>
      <c r="S115" s="112">
        <f t="shared" si="47"/>
        <v>178.97500887341872</v>
      </c>
      <c r="T115" s="112">
        <f t="shared" si="62"/>
        <v>0.4442922260556294</v>
      </c>
      <c r="U115" s="112">
        <f t="shared" si="63"/>
        <v>4.3023297691202618E-2</v>
      </c>
      <c r="V115" s="112">
        <f t="shared" si="64"/>
        <v>7.0459681070944891</v>
      </c>
      <c r="W115" s="112">
        <f t="shared" si="65"/>
        <v>91.404353413975329</v>
      </c>
      <c r="X115" s="115">
        <f t="shared" si="66"/>
        <v>0.51455141103673996</v>
      </c>
      <c r="Y115" s="115">
        <f t="shared" si="67"/>
        <v>0.26065042933125293</v>
      </c>
      <c r="Z115" s="115">
        <f t="shared" si="68"/>
        <v>0.76845239274222699</v>
      </c>
      <c r="AA115" s="118">
        <f t="shared" si="69"/>
        <v>731.23482731180263</v>
      </c>
      <c r="AB115" s="112">
        <f t="shared" si="70"/>
        <v>663.04596810709381</v>
      </c>
      <c r="AC115" s="112">
        <f t="shared" si="71"/>
        <v>-14.238507973226547</v>
      </c>
      <c r="AD115" s="112">
        <f t="shared" si="72"/>
        <v>39.775755013197589</v>
      </c>
      <c r="AE115" s="112">
        <f t="shared" si="73"/>
        <v>50.224244986802411</v>
      </c>
      <c r="AF115" s="112">
        <f t="shared" si="74"/>
        <v>1.3423642100493795E-2</v>
      </c>
      <c r="AG115" s="112">
        <f t="shared" si="75"/>
        <v>50.237668628902902</v>
      </c>
      <c r="AH115" s="112">
        <f t="shared" si="76"/>
        <v>157.39172677619069</v>
      </c>
      <c r="AJ115" s="119">
        <f t="shared" si="77"/>
        <v>0.47499999999999953</v>
      </c>
      <c r="AK115" s="112">
        <f t="shared" si="78"/>
        <v>0</v>
      </c>
      <c r="AL115" s="112">
        <f t="shared" si="79"/>
        <v>1</v>
      </c>
      <c r="AM115" s="116">
        <f t="shared" si="80"/>
        <v>0.76870419227023634</v>
      </c>
      <c r="AN115" s="116">
        <f t="shared" si="92"/>
        <v>0.37851929699971615</v>
      </c>
      <c r="AO115" s="116">
        <f t="shared" si="93"/>
        <v>0.49999999999999822</v>
      </c>
      <c r="AQ115" s="131">
        <f t="shared" si="81"/>
        <v>0.49999999999999822</v>
      </c>
      <c r="AR115" s="131">
        <f t="shared" si="82"/>
        <v>0.37851929699971615</v>
      </c>
      <c r="AS115" s="131">
        <f t="shared" si="83"/>
        <v>0.18925964849985741</v>
      </c>
      <c r="AT115" s="131">
        <f t="shared" si="84"/>
        <v>9.4629824249928371E-2</v>
      </c>
      <c r="AU115" s="131">
        <f t="shared" si="85"/>
        <v>4.7314912124964012E-2</v>
      </c>
      <c r="AV115" s="131">
        <f t="shared" si="86"/>
        <v>0.24999999999999822</v>
      </c>
      <c r="AW115" s="131">
        <f t="shared" si="87"/>
        <v>0.12499999999999867</v>
      </c>
      <c r="AX115" s="131">
        <f t="shared" si="88"/>
        <v>6.2499999999999112E-2</v>
      </c>
      <c r="AY115" s="131">
        <f t="shared" si="89"/>
        <v>3.1249999999999445E-2</v>
      </c>
      <c r="AZ115" s="131">
        <f t="shared" si="90"/>
        <v>1.5624999999999667E-2</v>
      </c>
      <c r="BE115" s="116">
        <f t="shared" si="48"/>
        <v>0.37851395583895575</v>
      </c>
    </row>
    <row r="116" spans="4:57">
      <c r="D116" s="114">
        <f t="shared" si="49"/>
        <v>41173</v>
      </c>
      <c r="E116" s="115">
        <f t="shared" si="91"/>
        <v>0.47916666666666619</v>
      </c>
      <c r="F116" s="116">
        <f t="shared" si="50"/>
        <v>2456191.9791666665</v>
      </c>
      <c r="G116" s="117">
        <f t="shared" si="51"/>
        <v>0.12722735569244384</v>
      </c>
      <c r="I116" s="112">
        <f t="shared" si="52"/>
        <v>180.74921327104857</v>
      </c>
      <c r="J116" s="112">
        <f t="shared" si="53"/>
        <v>4937.5930833480934</v>
      </c>
      <c r="K116" s="112">
        <f t="shared" si="54"/>
        <v>1.6703283692781193E-2</v>
      </c>
      <c r="L116" s="112">
        <f t="shared" si="55"/>
        <v>-1.8606750612323031</v>
      </c>
      <c r="M116" s="112">
        <f t="shared" si="56"/>
        <v>178.88853820981626</v>
      </c>
      <c r="N116" s="112">
        <f t="shared" si="57"/>
        <v>4935.7324082868608</v>
      </c>
      <c r="O116" s="112">
        <f t="shared" si="58"/>
        <v>1.0038544236721725</v>
      </c>
      <c r="P116" s="112">
        <f t="shared" si="59"/>
        <v>178.88694396449137</v>
      </c>
      <c r="Q116" s="112">
        <f t="shared" si="60"/>
        <v>23.437636623757431</v>
      </c>
      <c r="R116" s="112">
        <f t="shared" si="61"/>
        <v>23.436316785742623</v>
      </c>
      <c r="S116" s="112">
        <f t="shared" si="47"/>
        <v>178.97874774962509</v>
      </c>
      <c r="T116" s="112">
        <f t="shared" si="62"/>
        <v>0.44267181067534012</v>
      </c>
      <c r="U116" s="112">
        <f t="shared" si="63"/>
        <v>4.3023297653705397E-2</v>
      </c>
      <c r="V116" s="112">
        <f t="shared" si="64"/>
        <v>7.0474410027137564</v>
      </c>
      <c r="W116" s="112">
        <f t="shared" si="65"/>
        <v>91.403086719338532</v>
      </c>
      <c r="X116" s="115">
        <f t="shared" si="66"/>
        <v>0.51455038819255994</v>
      </c>
      <c r="Y116" s="115">
        <f t="shared" si="67"/>
        <v>0.26065292508328625</v>
      </c>
      <c r="Z116" s="115">
        <f t="shared" si="68"/>
        <v>0.76844785130183357</v>
      </c>
      <c r="AA116" s="118">
        <f t="shared" si="69"/>
        <v>731.22469375470826</v>
      </c>
      <c r="AB116" s="112">
        <f t="shared" si="70"/>
        <v>669.04744100271307</v>
      </c>
      <c r="AC116" s="112">
        <f t="shared" si="71"/>
        <v>-12.738139749321732</v>
      </c>
      <c r="AD116" s="112">
        <f t="shared" si="72"/>
        <v>39.344334106046929</v>
      </c>
      <c r="AE116" s="112">
        <f t="shared" si="73"/>
        <v>50.655665893953071</v>
      </c>
      <c r="AF116" s="112">
        <f t="shared" si="74"/>
        <v>1.3219690862237152E-2</v>
      </c>
      <c r="AG116" s="112">
        <f t="shared" si="75"/>
        <v>50.668885584815307</v>
      </c>
      <c r="AH116" s="112">
        <f t="shared" si="76"/>
        <v>159.64806534688466</v>
      </c>
      <c r="AJ116" s="119">
        <f t="shared" si="77"/>
        <v>0.47916666666666619</v>
      </c>
      <c r="AK116" s="112">
        <f t="shared" si="78"/>
        <v>0</v>
      </c>
      <c r="AL116" s="112">
        <f t="shared" si="79"/>
        <v>1</v>
      </c>
      <c r="AM116" s="116">
        <f t="shared" si="80"/>
        <v>0.77349613879677992</v>
      </c>
      <c r="AN116" s="116">
        <f t="shared" si="92"/>
        <v>0.45586891087939385</v>
      </c>
      <c r="AO116" s="116">
        <f t="shared" si="93"/>
        <v>0.59999999999999787</v>
      </c>
      <c r="AQ116" s="131">
        <f t="shared" si="81"/>
        <v>0.59999999999999787</v>
      </c>
      <c r="AR116" s="131">
        <f t="shared" si="82"/>
        <v>0.45586891087939385</v>
      </c>
      <c r="AS116" s="131">
        <f t="shared" si="83"/>
        <v>0.27352134652763532</v>
      </c>
      <c r="AT116" s="131">
        <f t="shared" si="84"/>
        <v>0.16411280791658062</v>
      </c>
      <c r="AU116" s="131">
        <f t="shared" si="85"/>
        <v>9.846768474994802E-2</v>
      </c>
      <c r="AV116" s="131">
        <f t="shared" si="86"/>
        <v>0.35999999999999743</v>
      </c>
      <c r="AW116" s="131">
        <f t="shared" si="87"/>
        <v>0.21599999999999769</v>
      </c>
      <c r="AX116" s="131">
        <f t="shared" si="88"/>
        <v>0.12959999999999816</v>
      </c>
      <c r="AY116" s="131">
        <f t="shared" si="89"/>
        <v>7.7759999999998622E-2</v>
      </c>
      <c r="AZ116" s="131">
        <f t="shared" si="90"/>
        <v>4.6655999999999004E-2</v>
      </c>
      <c r="BE116" s="116">
        <f t="shared" si="48"/>
        <v>0.45586879475979508</v>
      </c>
    </row>
    <row r="117" spans="4:57">
      <c r="D117" s="114">
        <f t="shared" si="49"/>
        <v>41173</v>
      </c>
      <c r="E117" s="115">
        <f t="shared" si="91"/>
        <v>0.48333333333333284</v>
      </c>
      <c r="F117" s="116">
        <f t="shared" si="50"/>
        <v>2456191.9833333334</v>
      </c>
      <c r="G117" s="117">
        <f t="shared" si="51"/>
        <v>0.12722746976956592</v>
      </c>
      <c r="I117" s="112">
        <f t="shared" si="52"/>
        <v>180.75332013527168</v>
      </c>
      <c r="J117" s="112">
        <f t="shared" si="53"/>
        <v>4937.597190016143</v>
      </c>
      <c r="K117" s="112">
        <f t="shared" si="54"/>
        <v>1.6703283687982056E-2</v>
      </c>
      <c r="L117" s="112">
        <f t="shared" si="55"/>
        <v>-1.8607070927450631</v>
      </c>
      <c r="M117" s="112">
        <f t="shared" si="56"/>
        <v>178.89261304252662</v>
      </c>
      <c r="N117" s="112">
        <f t="shared" si="57"/>
        <v>4935.7364829233984</v>
      </c>
      <c r="O117" s="112">
        <f t="shared" si="58"/>
        <v>1.0038532632193296</v>
      </c>
      <c r="P117" s="112">
        <f t="shared" si="59"/>
        <v>178.89101878771157</v>
      </c>
      <c r="Q117" s="112">
        <f t="shared" si="60"/>
        <v>23.437636622273949</v>
      </c>
      <c r="R117" s="112">
        <f t="shared" si="61"/>
        <v>23.436316775812024</v>
      </c>
      <c r="S117" s="112">
        <f t="shared" si="47"/>
        <v>178.98248663325884</v>
      </c>
      <c r="T117" s="112">
        <f t="shared" si="62"/>
        <v>0.44105138948446643</v>
      </c>
      <c r="U117" s="112">
        <f t="shared" si="63"/>
        <v>4.3023297616208218E-2</v>
      </c>
      <c r="V117" s="112">
        <f t="shared" si="64"/>
        <v>7.0489138729819372</v>
      </c>
      <c r="W117" s="112">
        <f t="shared" si="65"/>
        <v>91.401820022244806</v>
      </c>
      <c r="X117" s="115">
        <f t="shared" si="66"/>
        <v>0.51454936536598472</v>
      </c>
      <c r="Y117" s="115">
        <f t="shared" si="67"/>
        <v>0.26065542085974913</v>
      </c>
      <c r="Z117" s="115">
        <f t="shared" si="68"/>
        <v>0.76844330987222031</v>
      </c>
      <c r="AA117" s="118">
        <f t="shared" si="69"/>
        <v>731.21456017795845</v>
      </c>
      <c r="AB117" s="112">
        <f t="shared" si="70"/>
        <v>675.0489138729813</v>
      </c>
      <c r="AC117" s="112">
        <f t="shared" si="71"/>
        <v>-11.237771531754674</v>
      </c>
      <c r="AD117" s="112">
        <f t="shared" si="72"/>
        <v>38.956964375814039</v>
      </c>
      <c r="AE117" s="112">
        <f t="shared" si="73"/>
        <v>51.043035624185961</v>
      </c>
      <c r="AF117" s="112">
        <f t="shared" si="74"/>
        <v>1.3038685919727127E-2</v>
      </c>
      <c r="AG117" s="112">
        <f t="shared" si="75"/>
        <v>51.056074310105686</v>
      </c>
      <c r="AH117" s="112">
        <f t="shared" si="76"/>
        <v>161.94394155152111</v>
      </c>
      <c r="AJ117" s="119">
        <f t="shared" si="77"/>
        <v>0.48333333333333284</v>
      </c>
      <c r="AK117" s="112">
        <f t="shared" si="78"/>
        <v>0</v>
      </c>
      <c r="AL117" s="112">
        <f t="shared" si="79"/>
        <v>1</v>
      </c>
      <c r="AM117" s="116">
        <f t="shared" si="80"/>
        <v>0.77776149329860622</v>
      </c>
      <c r="AN117" s="116">
        <f t="shared" si="92"/>
        <v>0.53364506020925417</v>
      </c>
      <c r="AO117" s="116">
        <f t="shared" si="93"/>
        <v>0.69999999999999751</v>
      </c>
      <c r="AQ117" s="131">
        <f t="shared" si="81"/>
        <v>0.69999999999999751</v>
      </c>
      <c r="AR117" s="131">
        <f t="shared" si="82"/>
        <v>0.53364506020925417</v>
      </c>
      <c r="AS117" s="131">
        <f t="shared" si="83"/>
        <v>0.37355154214647657</v>
      </c>
      <c r="AT117" s="131">
        <f t="shared" si="84"/>
        <v>0.26148607950253266</v>
      </c>
      <c r="AU117" s="131">
        <f t="shared" si="85"/>
        <v>0.1830402556517722</v>
      </c>
      <c r="AV117" s="131">
        <f t="shared" si="86"/>
        <v>0.48999999999999649</v>
      </c>
      <c r="AW117" s="131">
        <f t="shared" si="87"/>
        <v>0.34299999999999631</v>
      </c>
      <c r="AX117" s="131">
        <f t="shared" si="88"/>
        <v>0.24009999999999657</v>
      </c>
      <c r="AY117" s="131">
        <f t="shared" si="89"/>
        <v>0.168069999999997</v>
      </c>
      <c r="AZ117" s="131">
        <f t="shared" si="90"/>
        <v>0.11764899999999748</v>
      </c>
      <c r="BE117" s="116">
        <f t="shared" si="48"/>
        <v>0.53364948626952446</v>
      </c>
    </row>
    <row r="118" spans="4:57">
      <c r="D118" s="114">
        <f t="shared" si="49"/>
        <v>41173</v>
      </c>
      <c r="E118" s="115">
        <f t="shared" si="91"/>
        <v>0.48749999999999949</v>
      </c>
      <c r="F118" s="116">
        <f t="shared" si="50"/>
        <v>2456191.9874999998</v>
      </c>
      <c r="G118" s="117">
        <f t="shared" si="51"/>
        <v>0.12722758384667526</v>
      </c>
      <c r="I118" s="112">
        <f t="shared" si="52"/>
        <v>180.7574269990364</v>
      </c>
      <c r="J118" s="112">
        <f t="shared" si="53"/>
        <v>4937.6012966837352</v>
      </c>
      <c r="K118" s="112">
        <f t="shared" si="54"/>
        <v>1.6703283683182916E-2</v>
      </c>
      <c r="L118" s="112">
        <f t="shared" si="55"/>
        <v>-1.8607391148338961</v>
      </c>
      <c r="M118" s="112">
        <f t="shared" si="56"/>
        <v>178.89668788420249</v>
      </c>
      <c r="N118" s="112">
        <f t="shared" si="57"/>
        <v>4935.7405575689017</v>
      </c>
      <c r="O118" s="112">
        <f t="shared" si="58"/>
        <v>1.0038521027456369</v>
      </c>
      <c r="P118" s="112">
        <f t="shared" si="59"/>
        <v>178.89509361989724</v>
      </c>
      <c r="Q118" s="112">
        <f t="shared" si="60"/>
        <v>23.437636620790471</v>
      </c>
      <c r="R118" s="112">
        <f t="shared" si="61"/>
        <v>23.43631676588145</v>
      </c>
      <c r="S118" s="112">
        <f t="shared" si="47"/>
        <v>178.98622552349147</v>
      </c>
      <c r="T118" s="112">
        <f t="shared" si="62"/>
        <v>0.43943096285156891</v>
      </c>
      <c r="U118" s="112">
        <f t="shared" si="63"/>
        <v>4.302329757871113E-2</v>
      </c>
      <c r="V118" s="112">
        <f t="shared" si="64"/>
        <v>7.050386717545968</v>
      </c>
      <c r="W118" s="112">
        <f t="shared" si="65"/>
        <v>91.400553322979633</v>
      </c>
      <c r="X118" s="115">
        <f t="shared" si="66"/>
        <v>0.51454834255725979</v>
      </c>
      <c r="Y118" s="115">
        <f t="shared" si="67"/>
        <v>0.26065791666009414</v>
      </c>
      <c r="Z118" s="115">
        <f t="shared" si="68"/>
        <v>0.76843876845442538</v>
      </c>
      <c r="AA118" s="118">
        <f t="shared" si="69"/>
        <v>731.20442658383706</v>
      </c>
      <c r="AB118" s="112">
        <f t="shared" si="70"/>
        <v>681.05038671754528</v>
      </c>
      <c r="AC118" s="112">
        <f t="shared" si="71"/>
        <v>-9.7374033206136801</v>
      </c>
      <c r="AD118" s="112">
        <f t="shared" si="72"/>
        <v>38.615007624145015</v>
      </c>
      <c r="AE118" s="112">
        <f t="shared" si="73"/>
        <v>51.384992375854985</v>
      </c>
      <c r="AF118" s="112">
        <f t="shared" si="74"/>
        <v>1.2880528377166071E-2</v>
      </c>
      <c r="AG118" s="112">
        <f t="shared" si="75"/>
        <v>51.397872904232152</v>
      </c>
      <c r="AH118" s="112">
        <f t="shared" si="76"/>
        <v>164.27612258541171</v>
      </c>
      <c r="AJ118" s="119">
        <f t="shared" si="77"/>
        <v>0.48749999999999949</v>
      </c>
      <c r="AK118" s="112">
        <f t="shared" si="78"/>
        <v>0</v>
      </c>
      <c r="AL118" s="112">
        <f t="shared" si="79"/>
        <v>1</v>
      </c>
      <c r="AM118" s="116">
        <f t="shared" si="80"/>
        <v>0.78149731045962456</v>
      </c>
      <c r="AN118" s="116">
        <f t="shared" si="92"/>
        <v>0.61179479125521641</v>
      </c>
      <c r="AO118" s="116">
        <f t="shared" si="93"/>
        <v>0.79999999999999716</v>
      </c>
      <c r="AQ118" s="131">
        <f t="shared" si="81"/>
        <v>0.79999999999999716</v>
      </c>
      <c r="AR118" s="131">
        <f t="shared" si="82"/>
        <v>0.61179479125521641</v>
      </c>
      <c r="AS118" s="131">
        <f t="shared" si="83"/>
        <v>0.48943583300417137</v>
      </c>
      <c r="AT118" s="131">
        <f t="shared" si="84"/>
        <v>0.39154866640333574</v>
      </c>
      <c r="AU118" s="131">
        <f t="shared" si="85"/>
        <v>0.31323893312266748</v>
      </c>
      <c r="AV118" s="131">
        <f t="shared" si="86"/>
        <v>0.63999999999999546</v>
      </c>
      <c r="AW118" s="131">
        <f t="shared" si="87"/>
        <v>0.51199999999999457</v>
      </c>
      <c r="AX118" s="131">
        <f t="shared" si="88"/>
        <v>0.40959999999999419</v>
      </c>
      <c r="AY118" s="131">
        <f t="shared" si="89"/>
        <v>0.3276799999999942</v>
      </c>
      <c r="AZ118" s="131">
        <f t="shared" si="90"/>
        <v>0.26214399999999444</v>
      </c>
      <c r="BE118" s="116">
        <f t="shared" si="48"/>
        <v>0.61180253179866151</v>
      </c>
    </row>
    <row r="119" spans="4:57">
      <c r="D119" s="114">
        <f t="shared" si="49"/>
        <v>41173</v>
      </c>
      <c r="E119" s="115">
        <f t="shared" si="91"/>
        <v>0.49166666666666614</v>
      </c>
      <c r="F119" s="116">
        <f t="shared" si="50"/>
        <v>2456191.9916666667</v>
      </c>
      <c r="G119" s="117">
        <f t="shared" si="51"/>
        <v>0.12722769792379734</v>
      </c>
      <c r="I119" s="112">
        <f t="shared" si="52"/>
        <v>180.76153386326041</v>
      </c>
      <c r="J119" s="112">
        <f t="shared" si="53"/>
        <v>4937.6054033517848</v>
      </c>
      <c r="K119" s="112">
        <f t="shared" si="54"/>
        <v>1.6703283678383779E-2</v>
      </c>
      <c r="L119" s="112">
        <f t="shared" si="55"/>
        <v>-1.8607711275057359</v>
      </c>
      <c r="M119" s="112">
        <f t="shared" si="56"/>
        <v>178.90076273575468</v>
      </c>
      <c r="N119" s="112">
        <f t="shared" si="57"/>
        <v>4935.7446322242795</v>
      </c>
      <c r="O119" s="112">
        <f t="shared" si="58"/>
        <v>1.0038509422508415</v>
      </c>
      <c r="P119" s="112">
        <f t="shared" si="59"/>
        <v>178.89916846195916</v>
      </c>
      <c r="Q119" s="112">
        <f t="shared" si="60"/>
        <v>23.437636619306989</v>
      </c>
      <c r="R119" s="112">
        <f t="shared" si="61"/>
        <v>23.436316755950891</v>
      </c>
      <c r="S119" s="112">
        <f t="shared" si="47"/>
        <v>178.98996442116467</v>
      </c>
      <c r="T119" s="112">
        <f t="shared" si="62"/>
        <v>0.43781053042131657</v>
      </c>
      <c r="U119" s="112">
        <f t="shared" si="63"/>
        <v>4.3023297541214083E-2</v>
      </c>
      <c r="V119" s="112">
        <f t="shared" si="64"/>
        <v>7.0518595367106283</v>
      </c>
      <c r="W119" s="112">
        <f t="shared" si="65"/>
        <v>91.399286621262604</v>
      </c>
      <c r="X119" s="115">
        <f t="shared" si="66"/>
        <v>0.51454731976617318</v>
      </c>
      <c r="Y119" s="115">
        <f t="shared" si="67"/>
        <v>0.26066041248488819</v>
      </c>
      <c r="Z119" s="115">
        <f t="shared" si="68"/>
        <v>0.76843422704745823</v>
      </c>
      <c r="AA119" s="118">
        <f t="shared" si="69"/>
        <v>731.19429297010083</v>
      </c>
      <c r="AB119" s="112">
        <f t="shared" si="70"/>
        <v>687.0518595367098</v>
      </c>
      <c r="AC119" s="112">
        <f t="shared" si="71"/>
        <v>-8.2370351158225503</v>
      </c>
      <c r="AD119" s="112">
        <f t="shared" si="72"/>
        <v>38.319711427863886</v>
      </c>
      <c r="AE119" s="112">
        <f t="shared" si="73"/>
        <v>51.680288572136114</v>
      </c>
      <c r="AF119" s="112">
        <f t="shared" si="74"/>
        <v>1.2745153285407535E-2</v>
      </c>
      <c r="AG119" s="112">
        <f t="shared" si="75"/>
        <v>51.693033725421522</v>
      </c>
      <c r="AH119" s="112">
        <f t="shared" si="76"/>
        <v>166.64089540854945</v>
      </c>
      <c r="AJ119" s="119">
        <f t="shared" si="77"/>
        <v>0.49166666666666614</v>
      </c>
      <c r="AK119" s="112">
        <f t="shared" si="78"/>
        <v>0</v>
      </c>
      <c r="AL119" s="112">
        <f t="shared" si="79"/>
        <v>1</v>
      </c>
      <c r="AM119" s="116">
        <f t="shared" si="80"/>
        <v>0.78470100925362052</v>
      </c>
      <c r="AN119" s="116">
        <f t="shared" si="92"/>
        <v>0.69026489218057818</v>
      </c>
      <c r="AO119" s="116">
        <f t="shared" si="93"/>
        <v>0.8999999999999968</v>
      </c>
      <c r="AQ119" s="131">
        <f t="shared" si="81"/>
        <v>0.8999999999999968</v>
      </c>
      <c r="AR119" s="131">
        <f t="shared" si="82"/>
        <v>0.69026489218057818</v>
      </c>
      <c r="AS119" s="131">
        <f t="shared" si="83"/>
        <v>0.6212384029625182</v>
      </c>
      <c r="AT119" s="131">
        <f t="shared" si="84"/>
        <v>0.55911456266626436</v>
      </c>
      <c r="AU119" s="131">
        <f t="shared" si="85"/>
        <v>0.50320310639963617</v>
      </c>
      <c r="AV119" s="131">
        <f t="shared" si="86"/>
        <v>0.80999999999999428</v>
      </c>
      <c r="AW119" s="131">
        <f t="shared" si="87"/>
        <v>0.72899999999999221</v>
      </c>
      <c r="AX119" s="131">
        <f t="shared" si="88"/>
        <v>0.65609999999999069</v>
      </c>
      <c r="AY119" s="131">
        <f t="shared" si="89"/>
        <v>0.59048999999998952</v>
      </c>
      <c r="AZ119" s="131">
        <f t="shared" si="90"/>
        <v>0.53144099999998873</v>
      </c>
      <c r="BE119" s="116">
        <f t="shared" si="48"/>
        <v>0.69027443277772349</v>
      </c>
    </row>
    <row r="120" spans="4:57">
      <c r="D120" s="114">
        <f t="shared" si="49"/>
        <v>41173</v>
      </c>
      <c r="E120" s="115">
        <f t="shared" si="91"/>
        <v>0.49583333333333279</v>
      </c>
      <c r="F120" s="116">
        <f t="shared" si="50"/>
        <v>2456191.9958333331</v>
      </c>
      <c r="G120" s="117">
        <f t="shared" si="51"/>
        <v>0.12722781200090666</v>
      </c>
      <c r="I120" s="112">
        <f t="shared" si="52"/>
        <v>180.76564072702513</v>
      </c>
      <c r="J120" s="112">
        <f t="shared" si="53"/>
        <v>4937.6095100193761</v>
      </c>
      <c r="K120" s="112">
        <f t="shared" si="54"/>
        <v>1.6703283673584642E-2</v>
      </c>
      <c r="L120" s="112">
        <f t="shared" si="55"/>
        <v>-1.860803130753238</v>
      </c>
      <c r="M120" s="112">
        <f t="shared" si="56"/>
        <v>178.9048375962719</v>
      </c>
      <c r="N120" s="112">
        <f t="shared" si="57"/>
        <v>4935.748706888623</v>
      </c>
      <c r="O120" s="112">
        <f t="shared" si="58"/>
        <v>1.0038497817352083</v>
      </c>
      <c r="P120" s="112">
        <f t="shared" si="59"/>
        <v>178.90324331298606</v>
      </c>
      <c r="Q120" s="112">
        <f t="shared" si="60"/>
        <v>23.437636617823511</v>
      </c>
      <c r="R120" s="112">
        <f t="shared" si="61"/>
        <v>23.43631674602036</v>
      </c>
      <c r="S120" s="112">
        <f t="shared" si="47"/>
        <v>178.99370332544825</v>
      </c>
      <c r="T120" s="112">
        <f t="shared" si="62"/>
        <v>0.43619009256299945</v>
      </c>
      <c r="U120" s="112">
        <f t="shared" si="63"/>
        <v>4.3023297503717167E-2</v>
      </c>
      <c r="V120" s="112">
        <f t="shared" si="64"/>
        <v>7.0533323301222755</v>
      </c>
      <c r="W120" s="112">
        <f t="shared" si="65"/>
        <v>91.398019917379784</v>
      </c>
      <c r="X120" s="115">
        <f t="shared" si="66"/>
        <v>0.51454629699297061</v>
      </c>
      <c r="Y120" s="115">
        <f t="shared" si="67"/>
        <v>0.2606629083335823</v>
      </c>
      <c r="Z120" s="115">
        <f t="shared" si="68"/>
        <v>0.76842968565235892</v>
      </c>
      <c r="AA120" s="118">
        <f t="shared" si="69"/>
        <v>731.18415933903827</v>
      </c>
      <c r="AB120" s="112">
        <f t="shared" si="70"/>
        <v>693.05333233012152</v>
      </c>
      <c r="AC120" s="112">
        <f t="shared" si="71"/>
        <v>-6.7366669174696199</v>
      </c>
      <c r="AD120" s="112">
        <f t="shared" si="72"/>
        <v>38.072188993613423</v>
      </c>
      <c r="AE120" s="112">
        <f t="shared" si="73"/>
        <v>51.927811006386577</v>
      </c>
      <c r="AF120" s="112">
        <f t="shared" si="74"/>
        <v>1.2632521594155741E-2</v>
      </c>
      <c r="AG120" s="112">
        <f t="shared" si="75"/>
        <v>51.940443527980733</v>
      </c>
      <c r="AH120" s="112">
        <f t="shared" si="76"/>
        <v>169.03409167143036</v>
      </c>
      <c r="AJ120" s="119">
        <f t="shared" si="77"/>
        <v>0.49583333333333279</v>
      </c>
      <c r="AK120" s="112">
        <f t="shared" si="78"/>
        <v>0</v>
      </c>
      <c r="AL120" s="112">
        <f t="shared" si="79"/>
        <v>1</v>
      </c>
      <c r="AM120" s="116">
        <f t="shared" si="80"/>
        <v>0.78737037467173854</v>
      </c>
      <c r="AN120" s="116">
        <f t="shared" si="92"/>
        <v>0.76900192964775171</v>
      </c>
      <c r="AO120" s="116">
        <f t="shared" si="93"/>
        <v>0.99999999999999645</v>
      </c>
      <c r="AQ120" s="131">
        <f t="shared" si="81"/>
        <v>0.99999999999999645</v>
      </c>
      <c r="AR120" s="131">
        <f t="shared" si="82"/>
        <v>0.76900192964775171</v>
      </c>
      <c r="AS120" s="131">
        <f t="shared" si="83"/>
        <v>0.76900192964774894</v>
      </c>
      <c r="AT120" s="131">
        <f t="shared" si="84"/>
        <v>0.76900192964774627</v>
      </c>
      <c r="AU120" s="131">
        <f t="shared" si="85"/>
        <v>0.7690019296477435</v>
      </c>
      <c r="AV120" s="131">
        <f t="shared" si="86"/>
        <v>0.99999999999999289</v>
      </c>
      <c r="AW120" s="131">
        <f t="shared" si="87"/>
        <v>0.99999999999998934</v>
      </c>
      <c r="AX120" s="131">
        <f t="shared" si="88"/>
        <v>0.99999999999998579</v>
      </c>
      <c r="AY120" s="131">
        <f t="shared" si="89"/>
        <v>0.99999999999998224</v>
      </c>
      <c r="AZ120" s="131">
        <f t="shared" si="90"/>
        <v>0.99999999999997868</v>
      </c>
      <c r="BE120" s="116">
        <f t="shared" si="48"/>
        <v>0.76901169063722807</v>
      </c>
    </row>
    <row r="121" spans="4:57">
      <c r="D121" s="114">
        <f t="shared" si="49"/>
        <v>41173</v>
      </c>
      <c r="E121" s="115">
        <f>E120+0.1/24</f>
        <v>0.49999999999999944</v>
      </c>
      <c r="F121" s="116">
        <f t="shared" si="50"/>
        <v>2456192</v>
      </c>
      <c r="G121" s="117">
        <f t="shared" si="51"/>
        <v>0.12722792607802874</v>
      </c>
      <c r="I121" s="112">
        <f t="shared" si="52"/>
        <v>180.76974759124823</v>
      </c>
      <c r="J121" s="112">
        <f t="shared" si="53"/>
        <v>4937.6136166874267</v>
      </c>
      <c r="K121" s="112">
        <f t="shared" si="54"/>
        <v>1.6703283668785505E-2</v>
      </c>
      <c r="L121" s="112">
        <f t="shared" si="55"/>
        <v>-1.8608351245833521</v>
      </c>
      <c r="M121" s="112">
        <f t="shared" si="56"/>
        <v>178.90891246666487</v>
      </c>
      <c r="N121" s="112">
        <f t="shared" si="57"/>
        <v>4935.7527815628437</v>
      </c>
      <c r="O121" s="112">
        <f t="shared" si="58"/>
        <v>1.0038486211984834</v>
      </c>
      <c r="P121" s="112">
        <f t="shared" si="59"/>
        <v>178.90731817388863</v>
      </c>
      <c r="Q121" s="112">
        <f t="shared" si="60"/>
        <v>23.437636616340029</v>
      </c>
      <c r="R121" s="112">
        <f t="shared" si="61"/>
        <v>23.436316736089839</v>
      </c>
      <c r="S121" s="112">
        <f t="shared" si="47"/>
        <v>178.99744223718378</v>
      </c>
      <c r="T121" s="112">
        <f t="shared" si="62"/>
        <v>0.43456964892134631</v>
      </c>
      <c r="U121" s="112">
        <f t="shared" si="63"/>
        <v>4.3023297466220273E-2</v>
      </c>
      <c r="V121" s="112">
        <f t="shared" si="64"/>
        <v>7.0548050980857404</v>
      </c>
      <c r="W121" s="112">
        <f t="shared" si="65"/>
        <v>91.396753211050807</v>
      </c>
      <c r="X121" s="115">
        <f t="shared" si="66"/>
        <v>0.51454527423744045</v>
      </c>
      <c r="Y121" s="115">
        <f t="shared" si="67"/>
        <v>0.26066540420674378</v>
      </c>
      <c r="Z121" s="115">
        <f t="shared" si="68"/>
        <v>0.76842514426813713</v>
      </c>
      <c r="AA121" s="118">
        <f t="shared" si="69"/>
        <v>731.17402568840646</v>
      </c>
      <c r="AB121" s="112">
        <f t="shared" si="70"/>
        <v>699.0548050980849</v>
      </c>
      <c r="AC121" s="112">
        <f t="shared" si="71"/>
        <v>-5.2362987254787754</v>
      </c>
      <c r="AD121" s="112">
        <f t="shared" si="72"/>
        <v>37.873400107394218</v>
      </c>
      <c r="AE121" s="112">
        <f t="shared" si="73"/>
        <v>52.126599892605782</v>
      </c>
      <c r="AF121" s="112">
        <f t="shared" si="74"/>
        <v>1.2542612877440037E-2</v>
      </c>
      <c r="AG121" s="112">
        <f t="shared" si="75"/>
        <v>52.139142505483221</v>
      </c>
      <c r="AH121" s="112">
        <f t="shared" si="76"/>
        <v>171.4511268539502</v>
      </c>
      <c r="AJ121" s="119">
        <f t="shared" si="77"/>
        <v>0.49999999999999944</v>
      </c>
      <c r="AK121" s="112">
        <f t="shared" si="78"/>
        <v>1</v>
      </c>
      <c r="AL121" s="112">
        <f t="shared" si="79"/>
        <v>1</v>
      </c>
      <c r="AM121" s="116">
        <f t="shared" si="80"/>
        <v>0.78950355917944015</v>
      </c>
      <c r="AN121" s="116">
        <f t="shared" si="92"/>
        <v>0.84795228556569546</v>
      </c>
      <c r="AO121" s="116">
        <f t="shared" si="93"/>
        <v>1.0999999999999961</v>
      </c>
      <c r="AQ121" s="131">
        <f t="shared" si="81"/>
        <v>1.0999999999999961</v>
      </c>
      <c r="AR121" s="131">
        <f t="shared" si="82"/>
        <v>0.84795228556569546</v>
      </c>
      <c r="AS121" s="131">
        <f t="shared" si="83"/>
        <v>0.93274751412226165</v>
      </c>
      <c r="AT121" s="131">
        <f t="shared" si="84"/>
        <v>1.0260222655344842</v>
      </c>
      <c r="AU121" s="131">
        <f t="shared" si="85"/>
        <v>1.1286244920879285</v>
      </c>
      <c r="AV121" s="131">
        <f t="shared" si="86"/>
        <v>1.2099999999999913</v>
      </c>
      <c r="AW121" s="131">
        <f t="shared" si="87"/>
        <v>1.3309999999999858</v>
      </c>
      <c r="AX121" s="131">
        <f t="shared" si="88"/>
        <v>1.4640999999999789</v>
      </c>
      <c r="AY121" s="131">
        <f t="shared" si="89"/>
        <v>1.610509999999971</v>
      </c>
      <c r="AZ121" s="131">
        <f t="shared" si="90"/>
        <v>1.7715609999999617</v>
      </c>
      <c r="BE121" s="116">
        <f t="shared" si="48"/>
        <v>0.84796080680769248</v>
      </c>
    </row>
    <row r="122" spans="4:57">
      <c r="D122" s="114">
        <f t="shared" si="49"/>
        <v>41173</v>
      </c>
      <c r="E122" s="115">
        <f t="shared" si="91"/>
        <v>0.5041666666666661</v>
      </c>
      <c r="F122" s="116">
        <f t="shared" si="50"/>
        <v>2456192.0041666669</v>
      </c>
      <c r="G122" s="117">
        <f t="shared" si="51"/>
        <v>0.12722804015515082</v>
      </c>
      <c r="I122" s="112">
        <f t="shared" si="52"/>
        <v>180.77385445547225</v>
      </c>
      <c r="J122" s="112">
        <f t="shared" si="53"/>
        <v>4937.6177233554763</v>
      </c>
      <c r="K122" s="112">
        <f t="shared" si="54"/>
        <v>1.6703283663986365E-2</v>
      </c>
      <c r="L122" s="112">
        <f t="shared" si="55"/>
        <v>-1.8608671089922886</v>
      </c>
      <c r="M122" s="112">
        <f t="shared" si="56"/>
        <v>178.91298734647995</v>
      </c>
      <c r="N122" s="112">
        <f t="shared" si="57"/>
        <v>4935.7568562464839</v>
      </c>
      <c r="O122" s="112">
        <f t="shared" si="58"/>
        <v>1.003847460640803</v>
      </c>
      <c r="P122" s="112">
        <f t="shared" si="59"/>
        <v>178.91139304421327</v>
      </c>
      <c r="Q122" s="112">
        <f t="shared" si="60"/>
        <v>23.437636614856551</v>
      </c>
      <c r="R122" s="112">
        <f t="shared" si="61"/>
        <v>23.436316726159344</v>
      </c>
      <c r="S122" s="112">
        <f t="shared" si="47"/>
        <v>179.00118115596106</v>
      </c>
      <c r="T122" s="112">
        <f t="shared" si="62"/>
        <v>0.43294919968362705</v>
      </c>
      <c r="U122" s="112">
        <f t="shared" si="63"/>
        <v>4.3023297428723468E-2</v>
      </c>
      <c r="V122" s="112">
        <f t="shared" si="64"/>
        <v>7.0562778404125899</v>
      </c>
      <c r="W122" s="112">
        <f t="shared" si="65"/>
        <v>91.395486502419459</v>
      </c>
      <c r="X122" s="115">
        <f t="shared" si="66"/>
        <v>0.5145442514997135</v>
      </c>
      <c r="Y122" s="115">
        <f t="shared" si="67"/>
        <v>0.2606679001041039</v>
      </c>
      <c r="Z122" s="115">
        <f t="shared" si="68"/>
        <v>0.7684206028953231</v>
      </c>
      <c r="AA122" s="118">
        <f t="shared" si="69"/>
        <v>731.16389201935567</v>
      </c>
      <c r="AB122" s="112">
        <f t="shared" si="70"/>
        <v>705.05627784041178</v>
      </c>
      <c r="AC122" s="112">
        <f t="shared" si="71"/>
        <v>-3.7359305398970548</v>
      </c>
      <c r="AD122" s="112">
        <f t="shared" si="72"/>
        <v>37.724133880650776</v>
      </c>
      <c r="AE122" s="112">
        <f t="shared" si="73"/>
        <v>52.275866119349224</v>
      </c>
      <c r="AF122" s="112">
        <f t="shared" si="74"/>
        <v>1.2475418972477434E-2</v>
      </c>
      <c r="AG122" s="112">
        <f t="shared" si="75"/>
        <v>52.288341538321703</v>
      </c>
      <c r="AH122" s="112">
        <f t="shared" si="76"/>
        <v>173.88705340530828</v>
      </c>
      <c r="AJ122" s="119">
        <f t="shared" si="77"/>
        <v>0.5041666666666661</v>
      </c>
      <c r="AK122" s="112">
        <f t="shared" si="78"/>
        <v>0</v>
      </c>
      <c r="AL122" s="112">
        <f t="shared" si="79"/>
        <v>1</v>
      </c>
      <c r="AM122" s="116">
        <f t="shared" si="80"/>
        <v>0.79109908395809736</v>
      </c>
      <c r="AN122" s="116">
        <f t="shared" si="92"/>
        <v>0.92706219396150491</v>
      </c>
      <c r="AO122" s="116">
        <f t="shared" si="93"/>
        <v>1.1999999999999957</v>
      </c>
      <c r="AQ122" s="131">
        <f t="shared" si="81"/>
        <v>1.1999999999999957</v>
      </c>
      <c r="AR122" s="131">
        <f t="shared" si="82"/>
        <v>0.92706219396150491</v>
      </c>
      <c r="AS122" s="131">
        <f t="shared" si="83"/>
        <v>1.112474632753802</v>
      </c>
      <c r="AT122" s="131">
        <f t="shared" si="84"/>
        <v>1.3349695593045576</v>
      </c>
      <c r="AU122" s="131">
        <f t="shared" si="85"/>
        <v>1.6019634711654633</v>
      </c>
      <c r="AV122" s="131">
        <f t="shared" si="86"/>
        <v>1.4399999999999897</v>
      </c>
      <c r="AW122" s="131">
        <f t="shared" si="87"/>
        <v>1.7279999999999816</v>
      </c>
      <c r="AX122" s="131">
        <f t="shared" si="88"/>
        <v>2.0735999999999706</v>
      </c>
      <c r="AY122" s="131">
        <f t="shared" si="89"/>
        <v>2.4883199999999559</v>
      </c>
      <c r="AZ122" s="131">
        <f t="shared" si="90"/>
        <v>2.9859839999999362</v>
      </c>
      <c r="BE122" s="116">
        <f t="shared" si="48"/>
        <v>0.92706828271963437</v>
      </c>
    </row>
    <row r="123" spans="4:57">
      <c r="D123" s="114">
        <f t="shared" si="49"/>
        <v>41173</v>
      </c>
      <c r="E123" s="115">
        <f t="shared" si="91"/>
        <v>0.50833333333333275</v>
      </c>
      <c r="F123" s="116">
        <f t="shared" si="50"/>
        <v>2456192.0083333333</v>
      </c>
      <c r="G123" s="117">
        <f t="shared" si="51"/>
        <v>0.12722815423226017</v>
      </c>
      <c r="I123" s="112">
        <f t="shared" si="52"/>
        <v>180.77796131923787</v>
      </c>
      <c r="J123" s="112">
        <f t="shared" si="53"/>
        <v>4937.6218300230685</v>
      </c>
      <c r="K123" s="112">
        <f t="shared" si="54"/>
        <v>1.6703283659187228E-2</v>
      </c>
      <c r="L123" s="112">
        <f t="shared" si="55"/>
        <v>-1.8608990839762893</v>
      </c>
      <c r="M123" s="112">
        <f t="shared" si="56"/>
        <v>178.9170622352616</v>
      </c>
      <c r="N123" s="112">
        <f t="shared" si="57"/>
        <v>4935.7609309390918</v>
      </c>
      <c r="O123" s="112">
        <f t="shared" si="58"/>
        <v>1.0038463000623015</v>
      </c>
      <c r="P123" s="112">
        <f t="shared" si="59"/>
        <v>178.91546792350439</v>
      </c>
      <c r="Q123" s="112">
        <f t="shared" si="60"/>
        <v>23.437636613373069</v>
      </c>
      <c r="R123" s="112">
        <f t="shared" si="61"/>
        <v>23.436316716228866</v>
      </c>
      <c r="S123" s="112">
        <f t="shared" si="47"/>
        <v>179.004920081368</v>
      </c>
      <c r="T123" s="112">
        <f t="shared" si="62"/>
        <v>0.43132874503791185</v>
      </c>
      <c r="U123" s="112">
        <f t="shared" si="63"/>
        <v>4.3023297391226747E-2</v>
      </c>
      <c r="V123" s="112">
        <f t="shared" si="64"/>
        <v>7.0577505569139349</v>
      </c>
      <c r="W123" s="112">
        <f t="shared" si="65"/>
        <v>91.394219791630107</v>
      </c>
      <c r="X123" s="115">
        <f t="shared" si="66"/>
        <v>0.51454322877992087</v>
      </c>
      <c r="Y123" s="115">
        <f t="shared" si="67"/>
        <v>0.26067039602539277</v>
      </c>
      <c r="Z123" s="115">
        <f t="shared" si="68"/>
        <v>0.76841606153444897</v>
      </c>
      <c r="AA123" s="118">
        <f t="shared" si="69"/>
        <v>731.15375833304086</v>
      </c>
      <c r="AB123" s="112">
        <f t="shared" si="70"/>
        <v>711.05775055691311</v>
      </c>
      <c r="AC123" s="112">
        <f t="shared" si="71"/>
        <v>-2.2355623607717234</v>
      </c>
      <c r="AD123" s="112">
        <f t="shared" si="72"/>
        <v>37.624993986736776</v>
      </c>
      <c r="AE123" s="112">
        <f t="shared" si="73"/>
        <v>52.375006013263224</v>
      </c>
      <c r="AF123" s="112">
        <f t="shared" si="74"/>
        <v>1.2430938680796734E-2</v>
      </c>
      <c r="AG123" s="112">
        <f t="shared" si="75"/>
        <v>52.387436951944018</v>
      </c>
      <c r="AH123" s="112">
        <f t="shared" si="76"/>
        <v>176.33662686463322</v>
      </c>
      <c r="AJ123" s="119">
        <f t="shared" si="77"/>
        <v>0.50833333333333275</v>
      </c>
      <c r="AK123" s="112">
        <f t="shared" si="78"/>
        <v>0</v>
      </c>
      <c r="AL123" s="112">
        <f t="shared" si="79"/>
        <v>1</v>
      </c>
      <c r="AM123" s="116">
        <f t="shared" si="80"/>
        <v>0.79215583988377014</v>
      </c>
      <c r="AN123" s="116">
        <f t="shared" si="92"/>
        <v>1.0062777779498817</v>
      </c>
      <c r="AO123" s="116">
        <f t="shared" si="93"/>
        <v>1.2999999999999954</v>
      </c>
      <c r="AQ123" s="131">
        <f t="shared" si="81"/>
        <v>1.2999999999999954</v>
      </c>
      <c r="AR123" s="131">
        <f t="shared" si="82"/>
        <v>1.0062777779498817</v>
      </c>
      <c r="AS123" s="131">
        <f t="shared" si="83"/>
        <v>1.3081611113348415</v>
      </c>
      <c r="AT123" s="131">
        <f t="shared" si="84"/>
        <v>1.700609444735288</v>
      </c>
      <c r="AU123" s="131">
        <f t="shared" si="85"/>
        <v>2.2107922781558664</v>
      </c>
      <c r="AV123" s="131">
        <f t="shared" si="86"/>
        <v>1.689999999999988</v>
      </c>
      <c r="AW123" s="131">
        <f t="shared" si="87"/>
        <v>2.1969999999999765</v>
      </c>
      <c r="AX123" s="131">
        <f t="shared" si="88"/>
        <v>2.8560999999999592</v>
      </c>
      <c r="AY123" s="131">
        <f t="shared" si="89"/>
        <v>3.7129299999999339</v>
      </c>
      <c r="AZ123" s="131">
        <f t="shared" si="90"/>
        <v>4.8268089999998969</v>
      </c>
      <c r="BE123" s="116">
        <f t="shared" si="48"/>
        <v>1.006280619803571</v>
      </c>
    </row>
    <row r="124" spans="4:57">
      <c r="D124" s="114">
        <f t="shared" si="49"/>
        <v>41173</v>
      </c>
      <c r="E124" s="115">
        <f t="shared" si="91"/>
        <v>0.5124999999999994</v>
      </c>
      <c r="F124" s="116">
        <f t="shared" si="50"/>
        <v>2456192.0125000002</v>
      </c>
      <c r="G124" s="117">
        <f t="shared" si="51"/>
        <v>0.12722826830938225</v>
      </c>
      <c r="I124" s="112">
        <f t="shared" si="52"/>
        <v>180.78206818346098</v>
      </c>
      <c r="J124" s="112">
        <f t="shared" si="53"/>
        <v>4937.6259366911181</v>
      </c>
      <c r="K124" s="112">
        <f t="shared" si="54"/>
        <v>1.6703283654388092E-2</v>
      </c>
      <c r="L124" s="112">
        <f t="shared" si="55"/>
        <v>-1.8609310495422766</v>
      </c>
      <c r="M124" s="112">
        <f t="shared" si="56"/>
        <v>178.92113713391871</v>
      </c>
      <c r="N124" s="112">
        <f t="shared" si="57"/>
        <v>4935.765005641576</v>
      </c>
      <c r="O124" s="112">
        <f t="shared" si="58"/>
        <v>1.0038451394627264</v>
      </c>
      <c r="P124" s="112">
        <f t="shared" si="59"/>
        <v>178.91954281267093</v>
      </c>
      <c r="Q124" s="112">
        <f t="shared" si="60"/>
        <v>23.437636611889591</v>
      </c>
      <c r="R124" s="112">
        <f t="shared" si="61"/>
        <v>23.436316706298406</v>
      </c>
      <c r="S124" s="112">
        <f t="shared" si="47"/>
        <v>179.00865901424459</v>
      </c>
      <c r="T124" s="112">
        <f t="shared" si="62"/>
        <v>0.42970828462962685</v>
      </c>
      <c r="U124" s="112">
        <f t="shared" si="63"/>
        <v>4.3023297353730096E-2</v>
      </c>
      <c r="V124" s="112">
        <f t="shared" si="64"/>
        <v>7.0592232478938914</v>
      </c>
      <c r="W124" s="112">
        <f t="shared" si="65"/>
        <v>91.392953078402954</v>
      </c>
      <c r="X124" s="115">
        <f t="shared" si="66"/>
        <v>0.5145422060778515</v>
      </c>
      <c r="Y124" s="115">
        <f t="shared" si="67"/>
        <v>0.26067289197117666</v>
      </c>
      <c r="Z124" s="115">
        <f t="shared" si="68"/>
        <v>0.7684115201845263</v>
      </c>
      <c r="AA124" s="118">
        <f t="shared" si="69"/>
        <v>731.14362462722363</v>
      </c>
      <c r="AB124" s="112">
        <f t="shared" si="70"/>
        <v>717.05922324789299</v>
      </c>
      <c r="AC124" s="112">
        <f t="shared" si="71"/>
        <v>-0.73519418802675318</v>
      </c>
      <c r="AD124" s="112">
        <f t="shared" si="72"/>
        <v>37.576387011896898</v>
      </c>
      <c r="AE124" s="112">
        <f t="shared" si="73"/>
        <v>52.423612988103102</v>
      </c>
      <c r="AF124" s="112">
        <f t="shared" si="74"/>
        <v>1.2409173669077496E-2</v>
      </c>
      <c r="AG124" s="112">
        <f t="shared" si="75"/>
        <v>52.436022161772179</v>
      </c>
      <c r="AH124" s="112">
        <f t="shared" si="76"/>
        <v>178.79438311275806</v>
      </c>
      <c r="AJ124" s="119">
        <f t="shared" si="77"/>
        <v>0.5124999999999994</v>
      </c>
      <c r="AK124" s="112">
        <f t="shared" si="78"/>
        <v>0</v>
      </c>
      <c r="AL124" s="112">
        <f t="shared" si="79"/>
        <v>1</v>
      </c>
      <c r="AM124" s="116">
        <f t="shared" si="80"/>
        <v>0.79267308826015792</v>
      </c>
      <c r="AN124" s="116">
        <f t="shared" si="92"/>
        <v>1.0855450867758973</v>
      </c>
      <c r="AO124" s="116">
        <f t="shared" si="93"/>
        <v>1.399999999999995</v>
      </c>
      <c r="AQ124" s="131">
        <f t="shared" si="81"/>
        <v>1.399999999999995</v>
      </c>
      <c r="AR124" s="131">
        <f t="shared" si="82"/>
        <v>1.0855450867758973</v>
      </c>
      <c r="AS124" s="131">
        <f t="shared" si="83"/>
        <v>1.5197631214862508</v>
      </c>
      <c r="AT124" s="131">
        <f t="shared" si="84"/>
        <v>2.1276683700807437</v>
      </c>
      <c r="AU124" s="131">
        <f t="shared" si="85"/>
        <v>2.9787357181130303</v>
      </c>
      <c r="AV124" s="131">
        <f t="shared" si="86"/>
        <v>1.959999999999986</v>
      </c>
      <c r="AW124" s="131">
        <f t="shared" si="87"/>
        <v>2.7439999999999705</v>
      </c>
      <c r="AX124" s="131">
        <f t="shared" si="88"/>
        <v>3.8415999999999451</v>
      </c>
      <c r="AY124" s="131">
        <f t="shared" si="89"/>
        <v>5.378239999999904</v>
      </c>
      <c r="AZ124" s="131">
        <f t="shared" si="90"/>
        <v>7.5295359999998386</v>
      </c>
      <c r="BE124" s="116">
        <f t="shared" si="48"/>
        <v>1.0855443194900201</v>
      </c>
    </row>
    <row r="125" spans="4:57">
      <c r="D125" s="114">
        <f t="shared" si="49"/>
        <v>41173</v>
      </c>
      <c r="E125" s="115">
        <f t="shared" si="91"/>
        <v>0.51666666666666605</v>
      </c>
      <c r="F125" s="116">
        <f t="shared" si="50"/>
        <v>2456192.0166666666</v>
      </c>
      <c r="G125" s="117">
        <f t="shared" si="51"/>
        <v>0.12722838238649156</v>
      </c>
      <c r="I125" s="112">
        <f t="shared" si="52"/>
        <v>180.78617504722479</v>
      </c>
      <c r="J125" s="112">
        <f t="shared" si="53"/>
        <v>4937.6300433587094</v>
      </c>
      <c r="K125" s="112">
        <f t="shared" si="54"/>
        <v>1.6703283649588955E-2</v>
      </c>
      <c r="L125" s="112">
        <f t="shared" si="55"/>
        <v>-1.8609630056829185</v>
      </c>
      <c r="M125" s="112">
        <f t="shared" si="56"/>
        <v>178.92521204154187</v>
      </c>
      <c r="N125" s="112">
        <f t="shared" si="57"/>
        <v>4935.7690803530268</v>
      </c>
      <c r="O125" s="112">
        <f t="shared" si="58"/>
        <v>1.0038439788423423</v>
      </c>
      <c r="P125" s="112">
        <f t="shared" si="59"/>
        <v>178.92361771080348</v>
      </c>
      <c r="Q125" s="112">
        <f t="shared" si="60"/>
        <v>23.437636610406113</v>
      </c>
      <c r="R125" s="112">
        <f t="shared" si="61"/>
        <v>23.436316696367971</v>
      </c>
      <c r="S125" s="112">
        <f t="shared" si="47"/>
        <v>179.01239795376236</v>
      </c>
      <c r="T125" s="112">
        <f t="shared" si="62"/>
        <v>0.42808781882729552</v>
      </c>
      <c r="U125" s="112">
        <f t="shared" si="63"/>
        <v>4.3023297316233521E-2</v>
      </c>
      <c r="V125" s="112">
        <f t="shared" si="64"/>
        <v>7.0606959129994689</v>
      </c>
      <c r="W125" s="112">
        <f t="shared" si="65"/>
        <v>91.391686363023453</v>
      </c>
      <c r="X125" s="115">
        <f t="shared" si="66"/>
        <v>0.51454118339375043</v>
      </c>
      <c r="Y125" s="115">
        <f t="shared" si="67"/>
        <v>0.2606753879409075</v>
      </c>
      <c r="Z125" s="115">
        <f t="shared" si="68"/>
        <v>0.76840697884659337</v>
      </c>
      <c r="AA125" s="118">
        <f t="shared" si="69"/>
        <v>731.13349090418762</v>
      </c>
      <c r="AB125" s="112">
        <f t="shared" si="70"/>
        <v>723.06069591299854</v>
      </c>
      <c r="AC125" s="112">
        <f t="shared" si="71"/>
        <v>0.76517397824963496</v>
      </c>
      <c r="AD125" s="112">
        <f t="shared" si="72"/>
        <v>37.578514435149614</v>
      </c>
      <c r="AE125" s="112">
        <f t="shared" si="73"/>
        <v>52.421485564850386</v>
      </c>
      <c r="AF125" s="112">
        <f t="shared" si="74"/>
        <v>1.2410125685623221E-2</v>
      </c>
      <c r="AG125" s="112">
        <f t="shared" si="75"/>
        <v>52.433895690536012</v>
      </c>
      <c r="AH125" s="112">
        <f t="shared" si="76"/>
        <v>181.25472415090078</v>
      </c>
      <c r="AJ125" s="119">
        <f t="shared" si="77"/>
        <v>0.51666666666666605</v>
      </c>
      <c r="AK125" s="112">
        <f t="shared" si="78"/>
        <v>0</v>
      </c>
      <c r="AL125" s="112">
        <f t="shared" si="79"/>
        <v>1</v>
      </c>
      <c r="AM125" s="116">
        <f t="shared" si="80"/>
        <v>0.79265046132421313</v>
      </c>
      <c r="AN125" s="116">
        <f t="shared" si="92"/>
        <v>1.1648101329083183</v>
      </c>
      <c r="AO125" s="116">
        <f t="shared" si="93"/>
        <v>1.4999999999999947</v>
      </c>
      <c r="AQ125" s="131">
        <f t="shared" si="81"/>
        <v>1.4999999999999947</v>
      </c>
      <c r="AR125" s="131">
        <f t="shared" si="82"/>
        <v>1.1648101329083183</v>
      </c>
      <c r="AS125" s="131">
        <f t="shared" si="83"/>
        <v>1.7472151993624712</v>
      </c>
      <c r="AT125" s="131">
        <f t="shared" si="84"/>
        <v>2.6208227990436974</v>
      </c>
      <c r="AU125" s="131">
        <f t="shared" si="85"/>
        <v>3.9312341985655324</v>
      </c>
      <c r="AV125" s="131">
        <f t="shared" si="86"/>
        <v>2.249999999999984</v>
      </c>
      <c r="AW125" s="131">
        <f t="shared" si="87"/>
        <v>3.374999999999964</v>
      </c>
      <c r="AX125" s="131">
        <f t="shared" si="88"/>
        <v>5.0624999999999281</v>
      </c>
      <c r="AY125" s="131">
        <f t="shared" si="89"/>
        <v>7.593749999999865</v>
      </c>
      <c r="AZ125" s="131">
        <f t="shared" si="90"/>
        <v>11.390624999999757</v>
      </c>
      <c r="BE125" s="116">
        <f t="shared" si="48"/>
        <v>1.1648058832094987</v>
      </c>
    </row>
    <row r="126" spans="4:57">
      <c r="D126" s="114">
        <f t="shared" si="49"/>
        <v>41173</v>
      </c>
      <c r="E126" s="115">
        <f t="shared" si="91"/>
        <v>0.5208333333333327</v>
      </c>
      <c r="F126" s="116">
        <f t="shared" si="50"/>
        <v>2456192.0208333335</v>
      </c>
      <c r="G126" s="117">
        <f t="shared" si="51"/>
        <v>0.12722849646361364</v>
      </c>
      <c r="I126" s="112">
        <f t="shared" si="52"/>
        <v>180.7902819114488</v>
      </c>
      <c r="J126" s="112">
        <f t="shared" si="53"/>
        <v>4937.6341500267599</v>
      </c>
      <c r="K126" s="112">
        <f t="shared" si="54"/>
        <v>1.6703283644789818E-2</v>
      </c>
      <c r="L126" s="112">
        <f t="shared" si="55"/>
        <v>-1.8609949524051519</v>
      </c>
      <c r="M126" s="112">
        <f t="shared" si="56"/>
        <v>178.92928695904365</v>
      </c>
      <c r="N126" s="112">
        <f t="shared" si="57"/>
        <v>4935.7731550743547</v>
      </c>
      <c r="O126" s="112">
        <f t="shared" si="58"/>
        <v>1.0038428182008956</v>
      </c>
      <c r="P126" s="112">
        <f t="shared" si="59"/>
        <v>178.92769261881455</v>
      </c>
      <c r="Q126" s="112">
        <f t="shared" si="60"/>
        <v>23.437636608922631</v>
      </c>
      <c r="R126" s="112">
        <f t="shared" si="61"/>
        <v>23.43631668643755</v>
      </c>
      <c r="S126" s="112">
        <f t="shared" si="47"/>
        <v>179.01613690076456</v>
      </c>
      <c r="T126" s="112">
        <f t="shared" si="62"/>
        <v>0.42646734727494712</v>
      </c>
      <c r="U126" s="112">
        <f t="shared" si="63"/>
        <v>4.3023297278737022E-2</v>
      </c>
      <c r="V126" s="112">
        <f t="shared" si="64"/>
        <v>7.062168552536038</v>
      </c>
      <c r="W126" s="112">
        <f t="shared" si="65"/>
        <v>91.390419645210713</v>
      </c>
      <c r="X126" s="115">
        <f t="shared" si="66"/>
        <v>0.51454016072740549</v>
      </c>
      <c r="Y126" s="115">
        <f t="shared" si="67"/>
        <v>0.26067788393515351</v>
      </c>
      <c r="Z126" s="115">
        <f t="shared" si="68"/>
        <v>0.76840243751965742</v>
      </c>
      <c r="AA126" s="118">
        <f t="shared" si="69"/>
        <v>731.1233571616857</v>
      </c>
      <c r="AB126" s="112">
        <f t="shared" si="70"/>
        <v>729.06216855253513</v>
      </c>
      <c r="AC126" s="112">
        <f t="shared" si="71"/>
        <v>2.2655421381337817</v>
      </c>
      <c r="AD126" s="112">
        <f t="shared" si="72"/>
        <v>37.631368608067802</v>
      </c>
      <c r="AE126" s="112">
        <f t="shared" si="73"/>
        <v>52.368631391932198</v>
      </c>
      <c r="AF126" s="112">
        <f t="shared" si="74"/>
        <v>1.2433795178606113E-2</v>
      </c>
      <c r="AG126" s="112">
        <f t="shared" si="75"/>
        <v>52.381065187110806</v>
      </c>
      <c r="AH126" s="112">
        <f t="shared" si="76"/>
        <v>183.71200919826259</v>
      </c>
      <c r="AJ126" s="119">
        <f t="shared" si="77"/>
        <v>0.5208333333333327</v>
      </c>
      <c r="AK126" s="112">
        <f t="shared" si="78"/>
        <v>0</v>
      </c>
      <c r="AL126" s="112">
        <f t="shared" si="79"/>
        <v>1</v>
      </c>
      <c r="AM126" s="116">
        <f t="shared" si="80"/>
        <v>0.79208796247625823</v>
      </c>
      <c r="AN126" s="116">
        <f t="shared" si="92"/>
        <v>1.2440189291559438</v>
      </c>
      <c r="AO126" s="116">
        <f t="shared" si="93"/>
        <v>1.5999999999999943</v>
      </c>
      <c r="AQ126" s="131">
        <f t="shared" si="81"/>
        <v>1.5999999999999943</v>
      </c>
      <c r="AR126" s="131">
        <f t="shared" si="82"/>
        <v>1.2440189291559438</v>
      </c>
      <c r="AS126" s="131">
        <f t="shared" si="83"/>
        <v>1.9904302866495029</v>
      </c>
      <c r="AT126" s="131">
        <f t="shared" si="84"/>
        <v>3.1846884586391937</v>
      </c>
      <c r="AU126" s="131">
        <f t="shared" si="85"/>
        <v>5.0955015338226914</v>
      </c>
      <c r="AV126" s="131">
        <f t="shared" si="86"/>
        <v>2.5599999999999818</v>
      </c>
      <c r="AW126" s="131">
        <f t="shared" si="87"/>
        <v>4.0959999999999566</v>
      </c>
      <c r="AX126" s="131">
        <f t="shared" si="88"/>
        <v>6.5535999999999071</v>
      </c>
      <c r="AY126" s="131">
        <f t="shared" si="89"/>
        <v>10.485759999999814</v>
      </c>
      <c r="AZ126" s="131">
        <f t="shared" si="90"/>
        <v>16.777215999999644</v>
      </c>
      <c r="BE126" s="116">
        <f t="shared" si="48"/>
        <v>1.244011812392525</v>
      </c>
    </row>
    <row r="127" spans="4:57">
      <c r="D127" s="114">
        <f t="shared" si="49"/>
        <v>41173</v>
      </c>
      <c r="E127" s="115">
        <f t="shared" si="91"/>
        <v>0.52499999999999936</v>
      </c>
      <c r="F127" s="116">
        <f t="shared" si="50"/>
        <v>2456192.0249999999</v>
      </c>
      <c r="G127" s="117">
        <f t="shared" si="51"/>
        <v>0.12722861054072299</v>
      </c>
      <c r="I127" s="112">
        <f t="shared" si="52"/>
        <v>180.79438877521443</v>
      </c>
      <c r="J127" s="112">
        <f t="shared" si="53"/>
        <v>4937.6382566943512</v>
      </c>
      <c r="K127" s="112">
        <f t="shared" si="54"/>
        <v>1.6703283639990678E-2</v>
      </c>
      <c r="L127" s="112">
        <f t="shared" si="55"/>
        <v>-1.8610268897016293</v>
      </c>
      <c r="M127" s="112">
        <f t="shared" si="56"/>
        <v>178.9333618855128</v>
      </c>
      <c r="N127" s="112">
        <f t="shared" si="57"/>
        <v>4935.7772298046493</v>
      </c>
      <c r="O127" s="112">
        <f t="shared" si="58"/>
        <v>1.0038416575386522</v>
      </c>
      <c r="P127" s="112">
        <f t="shared" si="59"/>
        <v>178.93176753579294</v>
      </c>
      <c r="Q127" s="112">
        <f t="shared" si="60"/>
        <v>23.437636607439153</v>
      </c>
      <c r="R127" s="112">
        <f t="shared" si="61"/>
        <v>23.436316676507154</v>
      </c>
      <c r="S127" s="112">
        <f t="shared" si="47"/>
        <v>179.01987585442109</v>
      </c>
      <c r="T127" s="112">
        <f t="shared" si="62"/>
        <v>0.42484687034181434</v>
      </c>
      <c r="U127" s="112">
        <f t="shared" si="63"/>
        <v>4.3023297241240585E-2</v>
      </c>
      <c r="V127" s="112">
        <f t="shared" si="64"/>
        <v>7.0636411661499423</v>
      </c>
      <c r="W127" s="112">
        <f t="shared" si="65"/>
        <v>91.389152925250727</v>
      </c>
      <c r="X127" s="115">
        <f t="shared" si="66"/>
        <v>0.51453913807906249</v>
      </c>
      <c r="Y127" s="115">
        <f t="shared" si="67"/>
        <v>0.26068037995336601</v>
      </c>
      <c r="Z127" s="115">
        <f t="shared" si="68"/>
        <v>0.76839789620475896</v>
      </c>
      <c r="AA127" s="118">
        <f t="shared" si="69"/>
        <v>731.11322340200581</v>
      </c>
      <c r="AB127" s="112">
        <f t="shared" si="70"/>
        <v>735.06364116614907</v>
      </c>
      <c r="AC127" s="112">
        <f t="shared" si="71"/>
        <v>3.7659102915372671</v>
      </c>
      <c r="AD127" s="112">
        <f t="shared" si="72"/>
        <v>37.73473291607332</v>
      </c>
      <c r="AE127" s="112">
        <f t="shared" si="73"/>
        <v>52.26526708392668</v>
      </c>
      <c r="AF127" s="112">
        <f t="shared" si="74"/>
        <v>1.2480181356946025E-2</v>
      </c>
      <c r="AG127" s="112">
        <f t="shared" si="75"/>
        <v>52.277747265283629</v>
      </c>
      <c r="AH127" s="112">
        <f t="shared" si="76"/>
        <v>186.16064750658012</v>
      </c>
      <c r="AJ127" s="119">
        <f t="shared" si="77"/>
        <v>0.52499999999999936</v>
      </c>
      <c r="AK127" s="112">
        <f t="shared" si="78"/>
        <v>0</v>
      </c>
      <c r="AL127" s="112">
        <f t="shared" si="79"/>
        <v>1</v>
      </c>
      <c r="AM127" s="116">
        <f t="shared" si="80"/>
        <v>0.79098596629359486</v>
      </c>
      <c r="AN127" s="116">
        <f t="shared" si="92"/>
        <v>1.323117525785303</v>
      </c>
      <c r="AO127" s="116">
        <f t="shared" si="93"/>
        <v>1.699999999999994</v>
      </c>
      <c r="AQ127" s="131">
        <f t="shared" si="81"/>
        <v>1.699999999999994</v>
      </c>
      <c r="AR127" s="131">
        <f t="shared" si="82"/>
        <v>1.323117525785303</v>
      </c>
      <c r="AS127" s="131">
        <f t="shared" si="83"/>
        <v>2.2492997938350072</v>
      </c>
      <c r="AT127" s="131">
        <f t="shared" si="84"/>
        <v>3.823809649519498</v>
      </c>
      <c r="AU127" s="131">
        <f t="shared" si="85"/>
        <v>6.5004764041831233</v>
      </c>
      <c r="AV127" s="131">
        <f t="shared" si="86"/>
        <v>2.8899999999999793</v>
      </c>
      <c r="AW127" s="131">
        <f t="shared" si="87"/>
        <v>4.912999999999947</v>
      </c>
      <c r="AX127" s="131">
        <f t="shared" si="88"/>
        <v>8.3520999999998793</v>
      </c>
      <c r="AY127" s="131">
        <f t="shared" si="89"/>
        <v>14.198569999999744</v>
      </c>
      <c r="AZ127" s="131">
        <f t="shared" si="90"/>
        <v>24.137568999999477</v>
      </c>
      <c r="BE127" s="116">
        <f t="shared" si="48"/>
        <v>1.3231086084696158</v>
      </c>
    </row>
    <row r="128" spans="4:57">
      <c r="D128" s="114">
        <f t="shared" si="49"/>
        <v>41173</v>
      </c>
      <c r="E128" s="115">
        <f t="shared" si="91"/>
        <v>0.52916666666666601</v>
      </c>
      <c r="F128" s="116">
        <f t="shared" si="50"/>
        <v>2456192.0291666668</v>
      </c>
      <c r="G128" s="117">
        <f t="shared" si="51"/>
        <v>0.12722872461784507</v>
      </c>
      <c r="I128" s="112">
        <f t="shared" si="52"/>
        <v>180.79849563943844</v>
      </c>
      <c r="J128" s="112">
        <f t="shared" si="53"/>
        <v>4937.6423633624017</v>
      </c>
      <c r="K128" s="112">
        <f t="shared" si="54"/>
        <v>1.6703283635191541E-2</v>
      </c>
      <c r="L128" s="112">
        <f t="shared" si="55"/>
        <v>-1.8610588175792917</v>
      </c>
      <c r="M128" s="112">
        <f t="shared" si="56"/>
        <v>178.93743682185914</v>
      </c>
      <c r="N128" s="112">
        <f t="shared" si="57"/>
        <v>4935.7813045448229</v>
      </c>
      <c r="O128" s="112">
        <f t="shared" si="58"/>
        <v>1.0038404968553576</v>
      </c>
      <c r="P128" s="112">
        <f t="shared" si="59"/>
        <v>178.93584246264848</v>
      </c>
      <c r="Q128" s="112">
        <f t="shared" si="60"/>
        <v>23.437636605955671</v>
      </c>
      <c r="R128" s="112">
        <f t="shared" si="61"/>
        <v>23.436316666576772</v>
      </c>
      <c r="S128" s="112">
        <f t="shared" si="47"/>
        <v>179.0236148155727</v>
      </c>
      <c r="T128" s="112">
        <f t="shared" si="62"/>
        <v>0.42322638767297827</v>
      </c>
      <c r="U128" s="112">
        <f t="shared" si="63"/>
        <v>4.3023297203744225E-2</v>
      </c>
      <c r="V128" s="112">
        <f t="shared" si="64"/>
        <v>7.0651137541456759</v>
      </c>
      <c r="W128" s="112">
        <f t="shared" si="65"/>
        <v>91.387886202863456</v>
      </c>
      <c r="X128" s="115">
        <f t="shared" si="66"/>
        <v>0.51453811544850991</v>
      </c>
      <c r="Y128" s="115">
        <f t="shared" si="67"/>
        <v>0.26068287599611145</v>
      </c>
      <c r="Z128" s="115">
        <f t="shared" si="68"/>
        <v>0.76839335490090832</v>
      </c>
      <c r="AA128" s="118">
        <f t="shared" si="69"/>
        <v>731.10308962290765</v>
      </c>
      <c r="AB128" s="112">
        <f t="shared" si="70"/>
        <v>741.06511375414482</v>
      </c>
      <c r="AC128" s="112">
        <f t="shared" si="71"/>
        <v>5.2662784385362045</v>
      </c>
      <c r="AD128" s="112">
        <f t="shared" si="72"/>
        <v>37.888186119378204</v>
      </c>
      <c r="AE128" s="112">
        <f t="shared" si="73"/>
        <v>52.111813880621796</v>
      </c>
      <c r="AF128" s="112">
        <f t="shared" si="74"/>
        <v>1.2549283694730917E-2</v>
      </c>
      <c r="AG128" s="112">
        <f t="shared" si="75"/>
        <v>52.124363164316527</v>
      </c>
      <c r="AH128" s="112">
        <f t="shared" si="76"/>
        <v>188.59518916641915</v>
      </c>
      <c r="AJ128" s="119">
        <f t="shared" si="77"/>
        <v>0.52916666666666601</v>
      </c>
      <c r="AK128" s="112">
        <f t="shared" si="78"/>
        <v>0</v>
      </c>
      <c r="AL128" s="112">
        <f t="shared" si="79"/>
        <v>1</v>
      </c>
      <c r="AM128" s="116">
        <f t="shared" si="80"/>
        <v>0.78934521826596682</v>
      </c>
      <c r="AN128" s="116">
        <f t="shared" si="92"/>
        <v>1.4020520476118994</v>
      </c>
      <c r="AO128" s="116">
        <f t="shared" si="93"/>
        <v>1.7999999999999936</v>
      </c>
      <c r="AQ128" s="131">
        <f t="shared" si="81"/>
        <v>1.7999999999999936</v>
      </c>
      <c r="AR128" s="131">
        <f t="shared" si="82"/>
        <v>1.4020520476118994</v>
      </c>
      <c r="AS128" s="131">
        <f t="shared" si="83"/>
        <v>2.5236936857014101</v>
      </c>
      <c r="AT128" s="131">
        <f t="shared" si="84"/>
        <v>4.5426486342625223</v>
      </c>
      <c r="AU128" s="131">
        <f t="shared" si="85"/>
        <v>8.1767675416725094</v>
      </c>
      <c r="AV128" s="131">
        <f t="shared" si="86"/>
        <v>3.2399999999999771</v>
      </c>
      <c r="AW128" s="131">
        <f t="shared" si="87"/>
        <v>5.8319999999999377</v>
      </c>
      <c r="AX128" s="131">
        <f t="shared" si="88"/>
        <v>10.497599999999851</v>
      </c>
      <c r="AY128" s="131">
        <f t="shared" si="89"/>
        <v>18.895679999999665</v>
      </c>
      <c r="AZ128" s="131">
        <f t="shared" si="90"/>
        <v>34.012223999999279</v>
      </c>
      <c r="BE128" s="116">
        <f t="shared" si="48"/>
        <v>1.4020427728712888</v>
      </c>
    </row>
    <row r="129" spans="4:57">
      <c r="D129" s="114">
        <f t="shared" si="49"/>
        <v>41173</v>
      </c>
      <c r="E129" s="115">
        <f t="shared" si="91"/>
        <v>0.53333333333333266</v>
      </c>
      <c r="F129" s="116">
        <f t="shared" si="50"/>
        <v>2456192.0333333332</v>
      </c>
      <c r="G129" s="117">
        <f t="shared" si="51"/>
        <v>0.12722883869495438</v>
      </c>
      <c r="I129" s="112">
        <f t="shared" si="52"/>
        <v>180.80260250320134</v>
      </c>
      <c r="J129" s="112">
        <f t="shared" si="53"/>
        <v>4937.6464700299921</v>
      </c>
      <c r="K129" s="112">
        <f t="shared" si="54"/>
        <v>1.6703283630392404E-2</v>
      </c>
      <c r="L129" s="112">
        <f t="shared" si="55"/>
        <v>-1.8610907360307893</v>
      </c>
      <c r="M129" s="112">
        <f t="shared" si="56"/>
        <v>178.94151176717054</v>
      </c>
      <c r="N129" s="112">
        <f t="shared" si="57"/>
        <v>4935.7853792939613</v>
      </c>
      <c r="O129" s="112">
        <f t="shared" si="58"/>
        <v>1.0038393361512781</v>
      </c>
      <c r="P129" s="112">
        <f t="shared" si="59"/>
        <v>178.93991739846902</v>
      </c>
      <c r="Q129" s="112">
        <f t="shared" si="60"/>
        <v>23.437636604472193</v>
      </c>
      <c r="R129" s="112">
        <f t="shared" si="61"/>
        <v>23.436316656646412</v>
      </c>
      <c r="S129" s="112">
        <f t="shared" si="47"/>
        <v>179.02735378338843</v>
      </c>
      <c r="T129" s="112">
        <f t="shared" si="62"/>
        <v>0.42160589963806722</v>
      </c>
      <c r="U129" s="112">
        <f t="shared" si="63"/>
        <v>4.3023297166247941E-2</v>
      </c>
      <c r="V129" s="112">
        <f t="shared" si="64"/>
        <v>7.0665863161692668</v>
      </c>
      <c r="W129" s="112">
        <f t="shared" si="65"/>
        <v>91.386619478335163</v>
      </c>
      <c r="X129" s="115">
        <f t="shared" si="66"/>
        <v>0.51453709283599358</v>
      </c>
      <c r="Y129" s="115">
        <f t="shared" si="67"/>
        <v>0.26068537206284037</v>
      </c>
      <c r="Z129" s="115">
        <f t="shared" si="68"/>
        <v>0.76838881360914679</v>
      </c>
      <c r="AA129" s="118">
        <f t="shared" si="69"/>
        <v>731.0929558266813</v>
      </c>
      <c r="AB129" s="112">
        <f t="shared" si="70"/>
        <v>747.06658631616824</v>
      </c>
      <c r="AC129" s="112">
        <f t="shared" si="71"/>
        <v>6.7666465790420602</v>
      </c>
      <c r="AD129" s="112">
        <f t="shared" si="72"/>
        <v>38.091110665881097</v>
      </c>
      <c r="AE129" s="112">
        <f t="shared" si="73"/>
        <v>51.908889334118903</v>
      </c>
      <c r="AF129" s="112">
        <f t="shared" si="74"/>
        <v>1.2641104830013085E-2</v>
      </c>
      <c r="AG129" s="112">
        <f t="shared" si="75"/>
        <v>51.921530438948913</v>
      </c>
      <c r="AH129" s="112">
        <f t="shared" si="76"/>
        <v>191.010410325321</v>
      </c>
      <c r="AJ129" s="119">
        <f t="shared" si="77"/>
        <v>0.53333333333333266</v>
      </c>
      <c r="AK129" s="112">
        <f t="shared" si="78"/>
        <v>0</v>
      </c>
      <c r="AL129" s="112">
        <f t="shared" si="79"/>
        <v>1</v>
      </c>
      <c r="AM129" s="116">
        <f t="shared" si="80"/>
        <v>0.78716683431529044</v>
      </c>
      <c r="AN129" s="116">
        <f t="shared" si="92"/>
        <v>1.4807687310434281</v>
      </c>
      <c r="AO129" s="116">
        <f t="shared" si="93"/>
        <v>1.8999999999999932</v>
      </c>
      <c r="AQ129" s="131">
        <f t="shared" si="81"/>
        <v>1.8999999999999932</v>
      </c>
      <c r="AR129" s="131">
        <f t="shared" si="82"/>
        <v>1.4807687310434281</v>
      </c>
      <c r="AS129" s="131">
        <f t="shared" si="83"/>
        <v>2.8134605889825033</v>
      </c>
      <c r="AT129" s="131">
        <f t="shared" si="84"/>
        <v>5.345575119066738</v>
      </c>
      <c r="AU129" s="131">
        <f t="shared" si="85"/>
        <v>10.156592726226766</v>
      </c>
      <c r="AV129" s="131">
        <f t="shared" si="86"/>
        <v>3.6099999999999746</v>
      </c>
      <c r="AW129" s="131">
        <f t="shared" si="87"/>
        <v>6.8589999999999272</v>
      </c>
      <c r="AX129" s="131">
        <f t="shared" si="88"/>
        <v>13.032099999999817</v>
      </c>
      <c r="AY129" s="131">
        <f t="shared" si="89"/>
        <v>24.760989999999563</v>
      </c>
      <c r="AZ129" s="131">
        <f t="shared" si="90"/>
        <v>47.045880999999007</v>
      </c>
      <c r="BE129" s="116">
        <f t="shared" si="48"/>
        <v>1.4807608070280611</v>
      </c>
    </row>
    <row r="130" spans="4:57">
      <c r="D130" s="114">
        <f t="shared" si="49"/>
        <v>41173</v>
      </c>
      <c r="E130" s="115">
        <f t="shared" si="91"/>
        <v>0.53749999999999931</v>
      </c>
      <c r="F130" s="116">
        <f t="shared" si="50"/>
        <v>2456192.0375000001</v>
      </c>
      <c r="G130" s="117">
        <f t="shared" si="51"/>
        <v>0.12722895277207646</v>
      </c>
      <c r="I130" s="112">
        <f t="shared" si="52"/>
        <v>180.80670936742536</v>
      </c>
      <c r="J130" s="112">
        <f t="shared" si="53"/>
        <v>4937.6505766980426</v>
      </c>
      <c r="K130" s="112">
        <f t="shared" si="54"/>
        <v>1.6703283625593267E-2</v>
      </c>
      <c r="L130" s="112">
        <f t="shared" si="55"/>
        <v>-1.8611226450630705</v>
      </c>
      <c r="M130" s="112">
        <f t="shared" si="56"/>
        <v>178.94558672236229</v>
      </c>
      <c r="N130" s="112">
        <f t="shared" si="57"/>
        <v>4935.7894540529796</v>
      </c>
      <c r="O130" s="112">
        <f t="shared" si="58"/>
        <v>1.0038381754261592</v>
      </c>
      <c r="P130" s="112">
        <f t="shared" si="59"/>
        <v>178.94399234416983</v>
      </c>
      <c r="Q130" s="112">
        <f t="shared" si="60"/>
        <v>23.437636602988711</v>
      </c>
      <c r="R130" s="112">
        <f t="shared" si="61"/>
        <v>23.436316646716069</v>
      </c>
      <c r="S130" s="112">
        <f t="shared" ref="S130:S193" si="94">DEGREES(ATAN2(COS(RADIANS(P130)),COS(RADIANS(R130))*SIN(RADIANS(P130))))</f>
        <v>179.0310927587141</v>
      </c>
      <c r="T130" s="112">
        <f t="shared" si="62"/>
        <v>0.41998540587998606</v>
      </c>
      <c r="U130" s="112">
        <f t="shared" si="63"/>
        <v>4.3023297128751727E-2</v>
      </c>
      <c r="V130" s="112">
        <f t="shared" si="64"/>
        <v>7.0680588525270389</v>
      </c>
      <c r="W130" s="112">
        <f t="shared" si="65"/>
        <v>91.385352751384104</v>
      </c>
      <c r="X130" s="115">
        <f t="shared" si="66"/>
        <v>0.51453607024130066</v>
      </c>
      <c r="Y130" s="115">
        <f t="shared" si="67"/>
        <v>0.26068786815412259</v>
      </c>
      <c r="Z130" s="115">
        <f t="shared" si="68"/>
        <v>0.76838427232847872</v>
      </c>
      <c r="AA130" s="118">
        <f t="shared" si="69"/>
        <v>731.08282201107284</v>
      </c>
      <c r="AB130" s="112">
        <f t="shared" si="70"/>
        <v>753.06805885252606</v>
      </c>
      <c r="AC130" s="112">
        <f t="shared" si="71"/>
        <v>8.2670147131315161</v>
      </c>
      <c r="AD130" s="112">
        <f t="shared" si="72"/>
        <v>38.342704602527157</v>
      </c>
      <c r="AE130" s="112">
        <f t="shared" si="73"/>
        <v>51.657295397472843</v>
      </c>
      <c r="AF130" s="112">
        <f t="shared" si="74"/>
        <v>1.2755654773804054E-2</v>
      </c>
      <c r="AG130" s="112">
        <f t="shared" si="75"/>
        <v>51.670051052246649</v>
      </c>
      <c r="AH130" s="112">
        <f t="shared" si="76"/>
        <v>193.40138964989566</v>
      </c>
      <c r="AJ130" s="119">
        <f t="shared" si="77"/>
        <v>0.53749999999999931</v>
      </c>
      <c r="AK130" s="112">
        <f t="shared" si="78"/>
        <v>0</v>
      </c>
      <c r="AL130" s="112">
        <f t="shared" si="79"/>
        <v>1</v>
      </c>
      <c r="AM130" s="116">
        <f t="shared" si="80"/>
        <v>0.78445230003760247</v>
      </c>
      <c r="AN130" s="116">
        <f t="shared" si="92"/>
        <v>1.559213961047188</v>
      </c>
      <c r="AO130" s="116">
        <f t="shared" si="93"/>
        <v>1.9999999999999929</v>
      </c>
      <c r="AQ130" s="131">
        <f t="shared" si="81"/>
        <v>1.9999999999999929</v>
      </c>
      <c r="AR130" s="131">
        <f t="shared" si="82"/>
        <v>1.559213961047188</v>
      </c>
      <c r="AS130" s="131">
        <f t="shared" si="83"/>
        <v>3.1184279220943649</v>
      </c>
      <c r="AT130" s="131">
        <f t="shared" si="84"/>
        <v>6.2368558441887076</v>
      </c>
      <c r="AU130" s="131">
        <f t="shared" si="85"/>
        <v>12.473711688377371</v>
      </c>
      <c r="AV130" s="131">
        <f t="shared" si="86"/>
        <v>3.9999999999999716</v>
      </c>
      <c r="AW130" s="131">
        <f t="shared" si="87"/>
        <v>7.9999999999999147</v>
      </c>
      <c r="AX130" s="131">
        <f t="shared" si="88"/>
        <v>15.999999999999773</v>
      </c>
      <c r="AY130" s="131">
        <f t="shared" si="89"/>
        <v>31.999999999999432</v>
      </c>
      <c r="AZ130" s="131">
        <f t="shared" si="90"/>
        <v>63.999999999998636</v>
      </c>
      <c r="BE130" s="116">
        <f t="shared" ref="BE130:BE193" si="95">$BC$21*AO130+$BC$22*AO130^2+$BC$23*AO130^3</f>
        <v>1.5592092123704506</v>
      </c>
    </row>
    <row r="131" spans="4:57">
      <c r="D131" s="114">
        <f t="shared" ref="D131:D194" si="96">$B$7</f>
        <v>41173</v>
      </c>
      <c r="E131" s="115">
        <f t="shared" si="91"/>
        <v>0.54166666666666596</v>
      </c>
      <c r="F131" s="116">
        <f t="shared" ref="F131:F194" si="97">D131+2415018.5+E131-$B$5/24</f>
        <v>2456192.0416666665</v>
      </c>
      <c r="G131" s="117">
        <f t="shared" ref="G131:G194" si="98">(F131-2451545)/36525</f>
        <v>0.12722906684918581</v>
      </c>
      <c r="I131" s="112">
        <f t="shared" ref="I131:I194" si="99">MOD(280.46646+G131*(36000.76983 + G131*0.0003032),360)</f>
        <v>180.81081623119098</v>
      </c>
      <c r="J131" s="112">
        <f t="shared" ref="J131:J194" si="100">357.52911+G131*(35999.05029 - 0.0001537*G131)</f>
        <v>4937.6546833656339</v>
      </c>
      <c r="K131" s="112">
        <f t="shared" ref="K131:K194" si="101">0.016708634-G131*(0.000042037+0.0000001267*G131)</f>
        <v>1.6703283620794131E-2</v>
      </c>
      <c r="L131" s="112">
        <f t="shared" ref="L131:L194" si="102">SIN(RADIANS(J131))*(1.914602-G131*(0.004817+0.000014*G131))+SIN(RADIANS(2*J131))*(0.019993-0.000101*G131)+SIN(RADIANS(3*J131))*0.000289</f>
        <v>-1.8611545446687905</v>
      </c>
      <c r="M131" s="112">
        <f t="shared" ref="M131:M194" si="103">I131+L131</f>
        <v>178.94966168652221</v>
      </c>
      <c r="N131" s="112">
        <f t="shared" ref="N131:N194" si="104">J131+L131</f>
        <v>4935.7935288209655</v>
      </c>
      <c r="O131" s="112">
        <f t="shared" ref="O131:O194" si="105">(1.000001018*(1-K131*K131))/(1+K131*COS(RADIANS(N131)))</f>
        <v>1.0038370146802662</v>
      </c>
      <c r="P131" s="112">
        <f t="shared" ref="P131:P194" si="106">M131-0.00569-0.00478*SIN(RADIANS(125.04-1934.136*G131))</f>
        <v>178.94806729883874</v>
      </c>
      <c r="Q131" s="112">
        <f t="shared" ref="Q131:Q194" si="107">23+(26+((21.448-G131*(46.815+G131*(0.00059-G131*0.001813))))/60)/60</f>
        <v>23.437636601505233</v>
      </c>
      <c r="R131" s="112">
        <f t="shared" ref="R131:R194" si="108">Q131+0.00256*COS(RADIANS(125.04-1934.136*G131))</f>
        <v>23.436316636785751</v>
      </c>
      <c r="S131" s="112">
        <f t="shared" si="94"/>
        <v>179.03483174071869</v>
      </c>
      <c r="T131" s="112">
        <f t="shared" ref="T131:T194" si="109">DEGREES(ASIN(SIN(RADIANS(R131))*SIN(RADIANS(P131))))</f>
        <v>0.41836490676837423</v>
      </c>
      <c r="U131" s="112">
        <f t="shared" ref="U131:U194" si="110">TAN(RADIANS(R131/2))*TAN(RADIANS(R131/2))</f>
        <v>4.3023297091255602E-2</v>
      </c>
      <c r="V131" s="112">
        <f t="shared" ref="V131:V194" si="111">4*DEGREES(U131*SIN(2*RADIANS(I131))-2*K131*SIN(RADIANS(J131))+4*K131*U131*SIN(RADIANS(J131))*COS(2*RADIANS(I131))-0.5*U131*U131*SIN(4*RADIANS(I131))-1.25*K131*K131*SIN(2*RADIANS(J131)))</f>
        <v>7.0695313628650309</v>
      </c>
      <c r="W131" s="112">
        <f t="shared" ref="W131:W194" si="112">DEGREES(ACOS(COS(RADIANS(90.833))/(COS(RADIANS($B$3))*COS(RADIANS(T131)))-TAN(RADIANS($B$3))*TAN(RADIANS(T131))))</f>
        <v>91.3840860222966</v>
      </c>
      <c r="X131" s="115">
        <f t="shared" ref="X131:X194" si="113">(720-4*$B$4-V131+$B$5*60)/1440</f>
        <v>0.51453504766467706</v>
      </c>
      <c r="Y131" s="115">
        <f t="shared" ref="Y131:Y194" si="114">X131-W131*4/1440</f>
        <v>0.26069036426940873</v>
      </c>
      <c r="Z131" s="115">
        <f t="shared" ref="Z131:Z194" si="115">X131+W131*4/1440</f>
        <v>0.76837973105994539</v>
      </c>
      <c r="AA131" s="118">
        <f t="shared" ref="AA131:AA194" si="116">8*W131</f>
        <v>731.0726881783728</v>
      </c>
      <c r="AB131" s="112">
        <f t="shared" ref="AB131:AB194" si="117">MOD(E131*1440+V131+4*$B$4-60*$B$5,1440)</f>
        <v>759.06953136286404</v>
      </c>
      <c r="AC131" s="112">
        <f t="shared" ref="AC131:AC194" si="118">IF(AB131/4&lt;0,AB131/4+180,AB131/4-180)</f>
        <v>9.7673828407160102</v>
      </c>
      <c r="AD131" s="112">
        <f t="shared" ref="AD131:AD194" si="119">DEGREES(ACOS(SIN(RADIANS($B$3))*SIN(RADIANS(T131))+COS(RADIANS($B$3))*COS(RADIANS(T131))*COS(RADIANS(AC131))))</f>
        <v>38.641996552983983</v>
      </c>
      <c r="AE131" s="112">
        <f t="shared" ref="AE131:AE194" si="120">90-AD131</f>
        <v>51.358003447016017</v>
      </c>
      <c r="AF131" s="112">
        <f t="shared" ref="AF131:AF194" si="121">IF(AE131&gt;85,0,IF(AE131&gt;5,58.1/TAN(RADIANS(AE131))-0.07/POWER(TAN(RADIANS(AE131)),3)+0.000086/POWER(TAN(RADIANS(AE131)),5),IF(AE131&gt;-0.575,1735+AE131*(-518.2+AE131*(103.4+AE131*(-12.79+AE131*0.711))),-20.772/TAN(RADIANS(AE131)))))/3600</f>
        <v>1.2892956307985792E-2</v>
      </c>
      <c r="AG131" s="112">
        <f t="shared" ref="AG131:AG194" si="122">AE131+AF131</f>
        <v>51.370896403324004</v>
      </c>
      <c r="AH131" s="112">
        <f t="shared" ref="AH131:AH194" si="123">IF(AC131&gt;0,MOD(DEGREES(ACOS(((SIN(RADIANS($B$3))*COS(RADIANS(AD131)))-SIN(RADIANS(T131)))/(COS(RADIANS($B$3))*SIN(RADIANS(AD131)))))+180,360),MOD(540-DEGREES(ACOS(((SIN(RADIANS($B$3))*COS(RADIANS(AD131)))-SIN(RADIANS(T131)))/(COS(RADIANS($B$3))*SIN(RADIANS(AD131))))),360))</f>
        <v>195.76357348204073</v>
      </c>
      <c r="AJ131" s="119">
        <f t="shared" ref="AJ131:AJ194" si="124">E131</f>
        <v>0.54166666666666596</v>
      </c>
      <c r="AK131" s="112">
        <f t="shared" ref="AK131:AK194" si="125">IF(AND(AJ131&gt;0.499,AJ131&lt;0.501),1,0)</f>
        <v>0</v>
      </c>
      <c r="AL131" s="112">
        <f t="shared" ref="AL131:AL194" si="126">IF(AND(AJ131&gt;0.499-$AI$2/2/24,AJ131&lt;0.501+$AI$2/2/24),1,0)</f>
        <v>1</v>
      </c>
      <c r="AM131" s="116">
        <f t="shared" ref="AM131:AM194" si="127">AL131*SIN(RADIANS(MAX(0,AG131)))*IF(AG131&lt;40,1,1)</f>
        <v>0.78120346973123911</v>
      </c>
      <c r="AN131" s="116">
        <f t="shared" si="92"/>
        <v>1.6373343080203115</v>
      </c>
      <c r="AO131" s="116">
        <f t="shared" si="93"/>
        <v>2.0999999999999925</v>
      </c>
      <c r="AQ131" s="131">
        <f t="shared" ref="AQ131:AQ194" si="128">AO131</f>
        <v>2.0999999999999925</v>
      </c>
      <c r="AR131" s="131">
        <f t="shared" ref="AR131:AR194" si="129">AN131</f>
        <v>1.6373343080203115</v>
      </c>
      <c r="AS131" s="131">
        <f t="shared" ref="AS131:AS194" si="130">AQ131*AR131</f>
        <v>3.4384020468426422</v>
      </c>
      <c r="AT131" s="131">
        <f t="shared" ref="AT131:AT194" si="131">AQ131^2*AR131</f>
        <v>7.2206442983695229</v>
      </c>
      <c r="AU131" s="131">
        <f t="shared" ref="AU131:AU194" si="132">AQ131^3*AR131</f>
        <v>15.163353026575944</v>
      </c>
      <c r="AV131" s="131">
        <f t="shared" ref="AV131:AV194" si="133">AQ131^2</f>
        <v>4.4099999999999691</v>
      </c>
      <c r="AW131" s="131">
        <f t="shared" ref="AW131:AW194" si="134">AQ131^3</f>
        <v>9.2609999999999015</v>
      </c>
      <c r="AX131" s="131">
        <f t="shared" ref="AX131:AX194" si="135">AQ131^4</f>
        <v>19.448099999999727</v>
      </c>
      <c r="AY131" s="131">
        <f t="shared" ref="AY131:AY194" si="136">AQ131^5</f>
        <v>40.84100999999928</v>
      </c>
      <c r="AZ131" s="131">
        <f t="shared" ref="AZ131:AZ194" si="137">AQ131^6</f>
        <v>85.766120999998193</v>
      </c>
      <c r="BE131" s="116">
        <f t="shared" si="95"/>
        <v>1.637334490328975</v>
      </c>
    </row>
    <row r="132" spans="4:57">
      <c r="D132" s="114">
        <f t="shared" si="96"/>
        <v>41173</v>
      </c>
      <c r="E132" s="115">
        <f t="shared" ref="E132:E195" si="138">E131+0.1/24</f>
        <v>0.54583333333333262</v>
      </c>
      <c r="F132" s="116">
        <f t="shared" si="97"/>
        <v>2456192.0458333334</v>
      </c>
      <c r="G132" s="117">
        <f t="shared" si="98"/>
        <v>0.12722918092630789</v>
      </c>
      <c r="I132" s="112">
        <f t="shared" si="99"/>
        <v>180.814923095415</v>
      </c>
      <c r="J132" s="112">
        <f t="shared" si="100"/>
        <v>4937.6587900336845</v>
      </c>
      <c r="K132" s="112">
        <f t="shared" si="101"/>
        <v>1.670328361599499E-2</v>
      </c>
      <c r="L132" s="112">
        <f t="shared" si="102"/>
        <v>-1.8611864348548806</v>
      </c>
      <c r="M132" s="112">
        <f t="shared" si="103"/>
        <v>178.95373666056011</v>
      </c>
      <c r="N132" s="112">
        <f t="shared" si="104"/>
        <v>4935.7976035988295</v>
      </c>
      <c r="O132" s="112">
        <f t="shared" si="105"/>
        <v>1.0038358539133461</v>
      </c>
      <c r="P132" s="112">
        <f t="shared" si="106"/>
        <v>178.95214226338558</v>
      </c>
      <c r="Q132" s="112">
        <f t="shared" si="107"/>
        <v>23.437636600021751</v>
      </c>
      <c r="R132" s="112">
        <f t="shared" si="108"/>
        <v>23.436316626855447</v>
      </c>
      <c r="S132" s="112">
        <f t="shared" si="94"/>
        <v>179.03857073024295</v>
      </c>
      <c r="T132" s="112">
        <f t="shared" si="109"/>
        <v>0.41674440194830142</v>
      </c>
      <c r="U132" s="112">
        <f t="shared" si="110"/>
        <v>4.3023297053759534E-2</v>
      </c>
      <c r="V132" s="112">
        <f t="shared" si="111"/>
        <v>7.0710038474877175</v>
      </c>
      <c r="W132" s="112">
        <f t="shared" si="112"/>
        <v>91.38281929079254</v>
      </c>
      <c r="X132" s="115">
        <f t="shared" si="113"/>
        <v>0.51453402510591129</v>
      </c>
      <c r="Y132" s="115">
        <f t="shared" si="114"/>
        <v>0.26069286040926531</v>
      </c>
      <c r="Z132" s="115">
        <f t="shared" si="115"/>
        <v>0.76837518980255726</v>
      </c>
      <c r="AA132" s="118">
        <f t="shared" si="116"/>
        <v>731.06255432634032</v>
      </c>
      <c r="AB132" s="112">
        <f t="shared" si="117"/>
        <v>765.07100384748674</v>
      </c>
      <c r="AC132" s="112">
        <f t="shared" si="118"/>
        <v>11.267750961871684</v>
      </c>
      <c r="AD132" s="112">
        <f t="shared" si="119"/>
        <v>38.987863135158364</v>
      </c>
      <c r="AE132" s="112">
        <f t="shared" si="120"/>
        <v>51.012136864841636</v>
      </c>
      <c r="AF132" s="112">
        <f t="shared" si="121"/>
        <v>1.3053051435686167E-2</v>
      </c>
      <c r="AG132" s="112">
        <f t="shared" si="122"/>
        <v>51.02518991627732</v>
      </c>
      <c r="AH132" s="112">
        <f t="shared" si="123"/>
        <v>198.0928279053243</v>
      </c>
      <c r="AJ132" s="119">
        <f t="shared" si="124"/>
        <v>0.54583333333333262</v>
      </c>
      <c r="AK132" s="112">
        <f t="shared" si="125"/>
        <v>0</v>
      </c>
      <c r="AL132" s="112">
        <f t="shared" si="126"/>
        <v>0</v>
      </c>
      <c r="AM132" s="116">
        <f t="shared" si="127"/>
        <v>0</v>
      </c>
      <c r="AN132" s="116">
        <f t="shared" ref="AN132:AN195" si="139">AM132*(AJ132-AJ131)*24+AN131</f>
        <v>1.6373343080203115</v>
      </c>
      <c r="AO132" s="116">
        <f t="shared" ref="AO132:AO195" si="140">IF(AL132=1,(AJ132-AJ131)*24+AO131,AO131)</f>
        <v>2.0999999999999925</v>
      </c>
      <c r="AQ132" s="131">
        <f t="shared" si="128"/>
        <v>2.0999999999999925</v>
      </c>
      <c r="AR132" s="131">
        <f t="shared" si="129"/>
        <v>1.6373343080203115</v>
      </c>
      <c r="AS132" s="131">
        <f t="shared" si="130"/>
        <v>3.4384020468426422</v>
      </c>
      <c r="AT132" s="131">
        <f t="shared" si="131"/>
        <v>7.2206442983695229</v>
      </c>
      <c r="AU132" s="131">
        <f t="shared" si="132"/>
        <v>15.163353026575944</v>
      </c>
      <c r="AV132" s="131">
        <f t="shared" si="133"/>
        <v>4.4099999999999691</v>
      </c>
      <c r="AW132" s="131">
        <f t="shared" si="134"/>
        <v>9.2609999999999015</v>
      </c>
      <c r="AX132" s="131">
        <f t="shared" si="135"/>
        <v>19.448099999999727</v>
      </c>
      <c r="AY132" s="131">
        <f t="shared" si="136"/>
        <v>40.84100999999928</v>
      </c>
      <c r="AZ132" s="131">
        <f t="shared" si="137"/>
        <v>85.766120999998193</v>
      </c>
      <c r="BE132" s="116">
        <f t="shared" si="95"/>
        <v>1.637334490328975</v>
      </c>
    </row>
    <row r="133" spans="4:57">
      <c r="D133" s="114">
        <f t="shared" si="96"/>
        <v>41173</v>
      </c>
      <c r="E133" s="115">
        <f t="shared" si="138"/>
        <v>0.54999999999999927</v>
      </c>
      <c r="F133" s="116">
        <f t="shared" si="97"/>
        <v>2456192.0499999998</v>
      </c>
      <c r="G133" s="117">
        <f t="shared" si="98"/>
        <v>0.1272292950034172</v>
      </c>
      <c r="I133" s="112">
        <f t="shared" si="99"/>
        <v>180.8190299591779</v>
      </c>
      <c r="J133" s="112">
        <f t="shared" si="100"/>
        <v>4937.6628967012748</v>
      </c>
      <c r="K133" s="112">
        <f t="shared" si="101"/>
        <v>1.6703283611195854E-2</v>
      </c>
      <c r="L133" s="112">
        <f t="shared" si="102"/>
        <v>-1.8612183156139934</v>
      </c>
      <c r="M133" s="112">
        <f t="shared" si="103"/>
        <v>178.9578116435639</v>
      </c>
      <c r="N133" s="112">
        <f t="shared" si="104"/>
        <v>4935.801678385661</v>
      </c>
      <c r="O133" s="112">
        <f t="shared" si="105"/>
        <v>1.0038346931256639</v>
      </c>
      <c r="P133" s="112">
        <f t="shared" si="106"/>
        <v>178.95621723689825</v>
      </c>
      <c r="Q133" s="112">
        <f t="shared" si="107"/>
        <v>23.437636598538273</v>
      </c>
      <c r="R133" s="112">
        <f t="shared" si="108"/>
        <v>23.436316616925168</v>
      </c>
      <c r="S133" s="112">
        <f t="shared" si="94"/>
        <v>179.04230972645604</v>
      </c>
      <c r="T133" s="112">
        <f t="shared" si="109"/>
        <v>0.41512389178937747</v>
      </c>
      <c r="U133" s="112">
        <f t="shared" si="110"/>
        <v>4.3023297016263548E-2</v>
      </c>
      <c r="V133" s="112">
        <f t="shared" si="111"/>
        <v>7.0724763060411044</v>
      </c>
      <c r="W133" s="112">
        <f t="shared" si="112"/>
        <v>91.381552557158273</v>
      </c>
      <c r="X133" s="115">
        <f t="shared" si="113"/>
        <v>0.51453300256524925</v>
      </c>
      <c r="Y133" s="115">
        <f t="shared" si="114"/>
        <v>0.26069535657314297</v>
      </c>
      <c r="Z133" s="115">
        <f t="shared" si="115"/>
        <v>0.7683706485573556</v>
      </c>
      <c r="AA133" s="118">
        <f t="shared" si="116"/>
        <v>731.05242045726618</v>
      </c>
      <c r="AB133" s="112">
        <f t="shared" si="117"/>
        <v>771.07247630604013</v>
      </c>
      <c r="AC133" s="112">
        <f t="shared" si="118"/>
        <v>12.768119076510033</v>
      </c>
      <c r="AD133" s="112">
        <f t="shared" si="119"/>
        <v>39.379048120086146</v>
      </c>
      <c r="AE133" s="112">
        <f t="shared" si="120"/>
        <v>50.620951879913854</v>
      </c>
      <c r="AF133" s="112">
        <f t="shared" si="121"/>
        <v>1.3236008734616778E-2</v>
      </c>
      <c r="AG133" s="112">
        <f t="shared" si="122"/>
        <v>50.634187888648469</v>
      </c>
      <c r="AH133" s="112">
        <f t="shared" si="123"/>
        <v>200.38547676310506</v>
      </c>
      <c r="AJ133" s="119">
        <f t="shared" si="124"/>
        <v>0.54999999999999927</v>
      </c>
      <c r="AK133" s="112">
        <f t="shared" si="125"/>
        <v>0</v>
      </c>
      <c r="AL133" s="112">
        <f t="shared" si="126"/>
        <v>0</v>
      </c>
      <c r="AM133" s="116">
        <f t="shared" si="127"/>
        <v>0</v>
      </c>
      <c r="AN133" s="116">
        <f t="shared" si="139"/>
        <v>1.6373343080203115</v>
      </c>
      <c r="AO133" s="116">
        <f t="shared" si="140"/>
        <v>2.0999999999999925</v>
      </c>
      <c r="AQ133" s="131">
        <f t="shared" si="128"/>
        <v>2.0999999999999925</v>
      </c>
      <c r="AR133" s="131">
        <f t="shared" si="129"/>
        <v>1.6373343080203115</v>
      </c>
      <c r="AS133" s="131">
        <f t="shared" si="130"/>
        <v>3.4384020468426422</v>
      </c>
      <c r="AT133" s="131">
        <f t="shared" si="131"/>
        <v>7.2206442983695229</v>
      </c>
      <c r="AU133" s="131">
        <f t="shared" si="132"/>
        <v>15.163353026575944</v>
      </c>
      <c r="AV133" s="131">
        <f t="shared" si="133"/>
        <v>4.4099999999999691</v>
      </c>
      <c r="AW133" s="131">
        <f t="shared" si="134"/>
        <v>9.2609999999999015</v>
      </c>
      <c r="AX133" s="131">
        <f t="shared" si="135"/>
        <v>19.448099999999727</v>
      </c>
      <c r="AY133" s="131">
        <f t="shared" si="136"/>
        <v>40.84100999999928</v>
      </c>
      <c r="AZ133" s="131">
        <f t="shared" si="137"/>
        <v>85.766120999998193</v>
      </c>
      <c r="BE133" s="116">
        <f t="shared" si="95"/>
        <v>1.637334490328975</v>
      </c>
    </row>
    <row r="134" spans="4:57">
      <c r="D134" s="114">
        <f t="shared" si="96"/>
        <v>41173</v>
      </c>
      <c r="E134" s="115">
        <f t="shared" si="138"/>
        <v>0.55416666666666592</v>
      </c>
      <c r="F134" s="116">
        <f t="shared" si="97"/>
        <v>2456192.0541666667</v>
      </c>
      <c r="G134" s="117">
        <f t="shared" si="98"/>
        <v>0.12722940908053929</v>
      </c>
      <c r="I134" s="112">
        <f t="shared" si="99"/>
        <v>180.82313682340191</v>
      </c>
      <c r="J134" s="112">
        <f t="shared" si="100"/>
        <v>4937.6670033693254</v>
      </c>
      <c r="K134" s="112">
        <f t="shared" si="101"/>
        <v>1.6703283606396717E-2</v>
      </c>
      <c r="L134" s="112">
        <f t="shared" si="102"/>
        <v>-1.8612501869530829</v>
      </c>
      <c r="M134" s="112">
        <f t="shared" si="103"/>
        <v>178.96188663644884</v>
      </c>
      <c r="N134" s="112">
        <f t="shared" si="104"/>
        <v>4935.8057531823724</v>
      </c>
      <c r="O134" s="112">
        <f t="shared" si="105"/>
        <v>1.0038335323169654</v>
      </c>
      <c r="P134" s="112">
        <f t="shared" si="106"/>
        <v>178.96029222029202</v>
      </c>
      <c r="Q134" s="112">
        <f t="shared" si="107"/>
        <v>23.437636597054794</v>
      </c>
      <c r="R134" s="112">
        <f t="shared" si="108"/>
        <v>23.436316606994907</v>
      </c>
      <c r="S134" s="112">
        <f t="shared" si="94"/>
        <v>179.04604873020367</v>
      </c>
      <c r="T134" s="112">
        <f t="shared" si="109"/>
        <v>0.41350337593451653</v>
      </c>
      <c r="U134" s="112">
        <f t="shared" si="110"/>
        <v>4.3023296978767646E-2</v>
      </c>
      <c r="V134" s="112">
        <f t="shared" si="111"/>
        <v>7.0739487388315609</v>
      </c>
      <c r="W134" s="112">
        <f t="shared" si="112"/>
        <v>91.380285821112011</v>
      </c>
      <c r="X134" s="115">
        <f t="shared" si="113"/>
        <v>0.51453198004247813</v>
      </c>
      <c r="Y134" s="115">
        <f t="shared" si="114"/>
        <v>0.26069785276161145</v>
      </c>
      <c r="Z134" s="115">
        <f t="shared" si="115"/>
        <v>0.76836610732334476</v>
      </c>
      <c r="AA134" s="118">
        <f t="shared" si="116"/>
        <v>731.04228656889609</v>
      </c>
      <c r="AB134" s="112">
        <f t="shared" si="117"/>
        <v>777.0739487388305</v>
      </c>
      <c r="AC134" s="112">
        <f t="shared" si="118"/>
        <v>14.268487184707624</v>
      </c>
      <c r="AD134" s="112">
        <f t="shared" si="119"/>
        <v>39.814182631806119</v>
      </c>
      <c r="AE134" s="112">
        <f t="shared" si="120"/>
        <v>50.185817368193881</v>
      </c>
      <c r="AF134" s="112">
        <f t="shared" si="121"/>
        <v>1.3441931474750776E-2</v>
      </c>
      <c r="AG134" s="112">
        <f t="shared" si="122"/>
        <v>50.199259299668633</v>
      </c>
      <c r="AH134" s="112">
        <f t="shared" si="123"/>
        <v>202.63832548187156</v>
      </c>
      <c r="AJ134" s="119">
        <f t="shared" si="124"/>
        <v>0.55416666666666592</v>
      </c>
      <c r="AK134" s="112">
        <f t="shared" si="125"/>
        <v>0</v>
      </c>
      <c r="AL134" s="112">
        <f t="shared" si="126"/>
        <v>0</v>
      </c>
      <c r="AM134" s="116">
        <f t="shared" si="127"/>
        <v>0</v>
      </c>
      <c r="AN134" s="116">
        <f t="shared" si="139"/>
        <v>1.6373343080203115</v>
      </c>
      <c r="AO134" s="116">
        <f t="shared" si="140"/>
        <v>2.0999999999999925</v>
      </c>
      <c r="AQ134" s="131">
        <f t="shared" si="128"/>
        <v>2.0999999999999925</v>
      </c>
      <c r="AR134" s="131">
        <f t="shared" si="129"/>
        <v>1.6373343080203115</v>
      </c>
      <c r="AS134" s="131">
        <f t="shared" si="130"/>
        <v>3.4384020468426422</v>
      </c>
      <c r="AT134" s="131">
        <f t="shared" si="131"/>
        <v>7.2206442983695229</v>
      </c>
      <c r="AU134" s="131">
        <f t="shared" si="132"/>
        <v>15.163353026575944</v>
      </c>
      <c r="AV134" s="131">
        <f t="shared" si="133"/>
        <v>4.4099999999999691</v>
      </c>
      <c r="AW134" s="131">
        <f t="shared" si="134"/>
        <v>9.2609999999999015</v>
      </c>
      <c r="AX134" s="131">
        <f t="shared" si="135"/>
        <v>19.448099999999727</v>
      </c>
      <c r="AY134" s="131">
        <f t="shared" si="136"/>
        <v>40.84100999999928</v>
      </c>
      <c r="AZ134" s="131">
        <f t="shared" si="137"/>
        <v>85.766120999998193</v>
      </c>
      <c r="BE134" s="116">
        <f t="shared" si="95"/>
        <v>1.637334490328975</v>
      </c>
    </row>
    <row r="135" spans="4:57">
      <c r="D135" s="114">
        <f t="shared" si="96"/>
        <v>41173</v>
      </c>
      <c r="E135" s="115">
        <f t="shared" si="138"/>
        <v>0.55833333333333257</v>
      </c>
      <c r="F135" s="116">
        <f t="shared" si="97"/>
        <v>2456192.0583333331</v>
      </c>
      <c r="G135" s="117">
        <f t="shared" si="98"/>
        <v>0.12722952315764863</v>
      </c>
      <c r="I135" s="112">
        <f t="shared" si="99"/>
        <v>180.82724368716754</v>
      </c>
      <c r="J135" s="112">
        <f t="shared" si="100"/>
        <v>4937.6711100369166</v>
      </c>
      <c r="K135" s="112">
        <f t="shared" si="101"/>
        <v>1.670328360159758E-2</v>
      </c>
      <c r="L135" s="112">
        <f t="shared" si="102"/>
        <v>-1.861282048864805</v>
      </c>
      <c r="M135" s="112">
        <f t="shared" si="103"/>
        <v>178.96596163830273</v>
      </c>
      <c r="N135" s="112">
        <f t="shared" si="104"/>
        <v>4935.8098279880514</v>
      </c>
      <c r="O135" s="112">
        <f t="shared" si="105"/>
        <v>1.0038323714875168</v>
      </c>
      <c r="P135" s="112">
        <f t="shared" si="106"/>
        <v>178.96436721265468</v>
      </c>
      <c r="Q135" s="112">
        <f t="shared" si="107"/>
        <v>23.437636595571313</v>
      </c>
      <c r="R135" s="112">
        <f t="shared" si="108"/>
        <v>23.436316597064664</v>
      </c>
      <c r="S135" s="112">
        <f t="shared" si="94"/>
        <v>179.04978774065478</v>
      </c>
      <c r="T135" s="112">
        <f t="shared" si="109"/>
        <v>0.41188285475336978</v>
      </c>
      <c r="U135" s="112">
        <f t="shared" si="110"/>
        <v>4.3023296941271799E-2</v>
      </c>
      <c r="V135" s="112">
        <f t="shared" si="111"/>
        <v>7.0754211455051195</v>
      </c>
      <c r="W135" s="112">
        <f t="shared" si="112"/>
        <v>91.379019082940061</v>
      </c>
      <c r="X135" s="115">
        <f t="shared" si="113"/>
        <v>0.51453095753784361</v>
      </c>
      <c r="Y135" s="115">
        <f t="shared" si="114"/>
        <v>0.2607003489741212</v>
      </c>
      <c r="Z135" s="115">
        <f t="shared" si="115"/>
        <v>0.76836156610156603</v>
      </c>
      <c r="AA135" s="118">
        <f t="shared" si="116"/>
        <v>731.03215266352049</v>
      </c>
      <c r="AB135" s="112">
        <f t="shared" si="117"/>
        <v>783.07542114550404</v>
      </c>
      <c r="AC135" s="112">
        <f t="shared" si="118"/>
        <v>15.768855286376009</v>
      </c>
      <c r="AD135" s="112">
        <f t="shared" si="119"/>
        <v>40.291805704282446</v>
      </c>
      <c r="AE135" s="112">
        <f t="shared" si="120"/>
        <v>49.708194295717554</v>
      </c>
      <c r="AF135" s="112">
        <f t="shared" si="121"/>
        <v>1.3670966373862347E-2</v>
      </c>
      <c r="AG135" s="112">
        <f t="shared" si="122"/>
        <v>49.72186526209142</v>
      </c>
      <c r="AH135" s="112">
        <f t="shared" si="123"/>
        <v>204.84867128064741</v>
      </c>
      <c r="AJ135" s="119">
        <f t="shared" si="124"/>
        <v>0.55833333333333257</v>
      </c>
      <c r="AK135" s="112">
        <f t="shared" si="125"/>
        <v>0</v>
      </c>
      <c r="AL135" s="112">
        <f t="shared" si="126"/>
        <v>0</v>
      </c>
      <c r="AM135" s="116">
        <f t="shared" si="127"/>
        <v>0</v>
      </c>
      <c r="AN135" s="116">
        <f t="shared" si="139"/>
        <v>1.6373343080203115</v>
      </c>
      <c r="AO135" s="116">
        <f t="shared" si="140"/>
        <v>2.0999999999999925</v>
      </c>
      <c r="AQ135" s="131">
        <f t="shared" si="128"/>
        <v>2.0999999999999925</v>
      </c>
      <c r="AR135" s="131">
        <f t="shared" si="129"/>
        <v>1.6373343080203115</v>
      </c>
      <c r="AS135" s="131">
        <f t="shared" si="130"/>
        <v>3.4384020468426422</v>
      </c>
      <c r="AT135" s="131">
        <f t="shared" si="131"/>
        <v>7.2206442983695229</v>
      </c>
      <c r="AU135" s="131">
        <f t="shared" si="132"/>
        <v>15.163353026575944</v>
      </c>
      <c r="AV135" s="131">
        <f t="shared" si="133"/>
        <v>4.4099999999999691</v>
      </c>
      <c r="AW135" s="131">
        <f t="shared" si="134"/>
        <v>9.2609999999999015</v>
      </c>
      <c r="AX135" s="131">
        <f t="shared" si="135"/>
        <v>19.448099999999727</v>
      </c>
      <c r="AY135" s="131">
        <f t="shared" si="136"/>
        <v>40.84100999999928</v>
      </c>
      <c r="AZ135" s="131">
        <f t="shared" si="137"/>
        <v>85.766120999998193</v>
      </c>
      <c r="BE135" s="116">
        <f t="shared" si="95"/>
        <v>1.637334490328975</v>
      </c>
    </row>
    <row r="136" spans="4:57">
      <c r="D136" s="114">
        <f t="shared" si="96"/>
        <v>41173</v>
      </c>
      <c r="E136" s="115">
        <f t="shared" si="138"/>
        <v>0.56249999999999922</v>
      </c>
      <c r="F136" s="116">
        <f t="shared" si="97"/>
        <v>2456192.0625</v>
      </c>
      <c r="G136" s="117">
        <f t="shared" si="98"/>
        <v>0.12722963723477071</v>
      </c>
      <c r="I136" s="112">
        <f t="shared" si="99"/>
        <v>180.83135055139155</v>
      </c>
      <c r="J136" s="112">
        <f t="shared" si="100"/>
        <v>4937.6752167049672</v>
      </c>
      <c r="K136" s="112">
        <f t="shared" si="101"/>
        <v>1.670328359679844E-2</v>
      </c>
      <c r="L136" s="112">
        <f t="shared" si="102"/>
        <v>-1.8613139013560847</v>
      </c>
      <c r="M136" s="112">
        <f t="shared" si="103"/>
        <v>178.97003665003547</v>
      </c>
      <c r="N136" s="112">
        <f t="shared" si="104"/>
        <v>4935.8139028036112</v>
      </c>
      <c r="O136" s="112">
        <f t="shared" si="105"/>
        <v>1.0038312106370637</v>
      </c>
      <c r="P136" s="112">
        <f t="shared" si="106"/>
        <v>178.96844221489613</v>
      </c>
      <c r="Q136" s="112">
        <f t="shared" si="107"/>
        <v>23.437636594087834</v>
      </c>
      <c r="R136" s="112">
        <f t="shared" si="108"/>
        <v>23.436316587134442</v>
      </c>
      <c r="S136" s="112">
        <f t="shared" si="94"/>
        <v>179.05352675865026</v>
      </c>
      <c r="T136" s="112">
        <f t="shared" si="109"/>
        <v>0.41026232789098566</v>
      </c>
      <c r="U136" s="112">
        <f t="shared" si="110"/>
        <v>4.3023296903776036E-2</v>
      </c>
      <c r="V136" s="112">
        <f t="shared" si="111"/>
        <v>7.0768935263662112</v>
      </c>
      <c r="W136" s="112">
        <f t="shared" si="112"/>
        <v>91.377752342362356</v>
      </c>
      <c r="X136" s="115">
        <f t="shared" si="113"/>
        <v>0.51452993505113453</v>
      </c>
      <c r="Y136" s="115">
        <f t="shared" si="114"/>
        <v>0.2607028452112391</v>
      </c>
      <c r="Z136" s="115">
        <f t="shared" si="115"/>
        <v>0.76835702489102997</v>
      </c>
      <c r="AA136" s="118">
        <f t="shared" si="116"/>
        <v>731.02201873889885</v>
      </c>
      <c r="AB136" s="112">
        <f t="shared" si="117"/>
        <v>789.0768935263651</v>
      </c>
      <c r="AC136" s="112">
        <f t="shared" si="118"/>
        <v>17.269223381591274</v>
      </c>
      <c r="AD136" s="112">
        <f t="shared" si="119"/>
        <v>40.810384586256554</v>
      </c>
      <c r="AE136" s="112">
        <f t="shared" si="120"/>
        <v>49.189615413743446</v>
      </c>
      <c r="AF136" s="112">
        <f t="shared" si="121"/>
        <v>1.3923312898030286E-2</v>
      </c>
      <c r="AG136" s="112">
        <f t="shared" si="122"/>
        <v>49.203538726641476</v>
      </c>
      <c r="AH136" s="112">
        <f t="shared" si="123"/>
        <v>207.0143009412896</v>
      </c>
      <c r="AJ136" s="119">
        <f t="shared" si="124"/>
        <v>0.56249999999999922</v>
      </c>
      <c r="AK136" s="112">
        <f t="shared" si="125"/>
        <v>0</v>
      </c>
      <c r="AL136" s="112">
        <f t="shared" si="126"/>
        <v>0</v>
      </c>
      <c r="AM136" s="116">
        <f t="shared" si="127"/>
        <v>0</v>
      </c>
      <c r="AN136" s="116">
        <f t="shared" si="139"/>
        <v>1.6373343080203115</v>
      </c>
      <c r="AO136" s="116">
        <f t="shared" si="140"/>
        <v>2.0999999999999925</v>
      </c>
      <c r="AQ136" s="131">
        <f t="shared" si="128"/>
        <v>2.0999999999999925</v>
      </c>
      <c r="AR136" s="131">
        <f t="shared" si="129"/>
        <v>1.6373343080203115</v>
      </c>
      <c r="AS136" s="131">
        <f t="shared" si="130"/>
        <v>3.4384020468426422</v>
      </c>
      <c r="AT136" s="131">
        <f t="shared" si="131"/>
        <v>7.2206442983695229</v>
      </c>
      <c r="AU136" s="131">
        <f t="shared" si="132"/>
        <v>15.163353026575944</v>
      </c>
      <c r="AV136" s="131">
        <f t="shared" si="133"/>
        <v>4.4099999999999691</v>
      </c>
      <c r="AW136" s="131">
        <f t="shared" si="134"/>
        <v>9.2609999999999015</v>
      </c>
      <c r="AX136" s="131">
        <f t="shared" si="135"/>
        <v>19.448099999999727</v>
      </c>
      <c r="AY136" s="131">
        <f t="shared" si="136"/>
        <v>40.84100999999928</v>
      </c>
      <c r="AZ136" s="131">
        <f t="shared" si="137"/>
        <v>85.766120999998193</v>
      </c>
      <c r="BE136" s="116">
        <f t="shared" si="95"/>
        <v>1.637334490328975</v>
      </c>
    </row>
    <row r="137" spans="4:57">
      <c r="D137" s="114">
        <f t="shared" si="96"/>
        <v>41173</v>
      </c>
      <c r="E137" s="115">
        <f t="shared" si="138"/>
        <v>0.56666666666666587</v>
      </c>
      <c r="F137" s="116">
        <f t="shared" si="97"/>
        <v>2456192.0666666669</v>
      </c>
      <c r="G137" s="117">
        <f t="shared" si="98"/>
        <v>0.12722975131189279</v>
      </c>
      <c r="I137" s="112">
        <f t="shared" si="99"/>
        <v>180.83545741561466</v>
      </c>
      <c r="J137" s="112">
        <f t="shared" si="100"/>
        <v>4937.6793233730177</v>
      </c>
      <c r="K137" s="112">
        <f t="shared" si="101"/>
        <v>1.6703283591999303E-2</v>
      </c>
      <c r="L137" s="112">
        <f t="shared" si="102"/>
        <v>-1.8613457444231547</v>
      </c>
      <c r="M137" s="112">
        <f t="shared" si="103"/>
        <v>178.97411167119151</v>
      </c>
      <c r="N137" s="112">
        <f t="shared" si="104"/>
        <v>4935.8179776285942</v>
      </c>
      <c r="O137" s="112">
        <f t="shared" si="105"/>
        <v>1.003830049765742</v>
      </c>
      <c r="P137" s="112">
        <f t="shared" si="106"/>
        <v>178.9725172265608</v>
      </c>
      <c r="Q137" s="112">
        <f t="shared" si="107"/>
        <v>23.437636592604353</v>
      </c>
      <c r="R137" s="112">
        <f t="shared" si="108"/>
        <v>23.436316577204234</v>
      </c>
      <c r="S137" s="112">
        <f t="shared" si="94"/>
        <v>179.05726578377812</v>
      </c>
      <c r="T137" s="112">
        <f t="shared" si="109"/>
        <v>0.40864179553540703</v>
      </c>
      <c r="U137" s="112">
        <f t="shared" si="110"/>
        <v>4.3023296866280342E-2</v>
      </c>
      <c r="V137" s="112">
        <f t="shared" si="111"/>
        <v>7.0783658812258894</v>
      </c>
      <c r="W137" s="112">
        <f t="shared" si="112"/>
        <v>91.376485599523249</v>
      </c>
      <c r="X137" s="115">
        <f t="shared" si="113"/>
        <v>0.51452891258248201</v>
      </c>
      <c r="Y137" s="115">
        <f t="shared" si="114"/>
        <v>0.2607053414726952</v>
      </c>
      <c r="Z137" s="115">
        <f t="shared" si="115"/>
        <v>0.76835248369226883</v>
      </c>
      <c r="AA137" s="118">
        <f t="shared" si="116"/>
        <v>731.011884796186</v>
      </c>
      <c r="AB137" s="112">
        <f t="shared" si="117"/>
        <v>795.07836588122473</v>
      </c>
      <c r="AC137" s="112">
        <f t="shared" si="118"/>
        <v>18.769591470306182</v>
      </c>
      <c r="AD137" s="112">
        <f t="shared" si="119"/>
        <v>41.368334261143325</v>
      </c>
      <c r="AE137" s="112">
        <f t="shared" si="120"/>
        <v>48.631665738856675</v>
      </c>
      <c r="AF137" s="112">
        <f t="shared" si="121"/>
        <v>1.4199233044909528E-2</v>
      </c>
      <c r="AG137" s="112">
        <f t="shared" si="122"/>
        <v>48.645864971901588</v>
      </c>
      <c r="AH137" s="112">
        <f t="shared" si="123"/>
        <v>209.13347774870314</v>
      </c>
      <c r="AJ137" s="119">
        <f t="shared" si="124"/>
        <v>0.56666666666666587</v>
      </c>
      <c r="AK137" s="112">
        <f t="shared" si="125"/>
        <v>0</v>
      </c>
      <c r="AL137" s="112">
        <f t="shared" si="126"/>
        <v>0</v>
      </c>
      <c r="AM137" s="116">
        <f t="shared" si="127"/>
        <v>0</v>
      </c>
      <c r="AN137" s="116">
        <f t="shared" si="139"/>
        <v>1.6373343080203115</v>
      </c>
      <c r="AO137" s="116">
        <f t="shared" si="140"/>
        <v>2.0999999999999925</v>
      </c>
      <c r="AQ137" s="131">
        <f t="shared" si="128"/>
        <v>2.0999999999999925</v>
      </c>
      <c r="AR137" s="131">
        <f t="shared" si="129"/>
        <v>1.6373343080203115</v>
      </c>
      <c r="AS137" s="131">
        <f t="shared" si="130"/>
        <v>3.4384020468426422</v>
      </c>
      <c r="AT137" s="131">
        <f t="shared" si="131"/>
        <v>7.2206442983695229</v>
      </c>
      <c r="AU137" s="131">
        <f t="shared" si="132"/>
        <v>15.163353026575944</v>
      </c>
      <c r="AV137" s="131">
        <f t="shared" si="133"/>
        <v>4.4099999999999691</v>
      </c>
      <c r="AW137" s="131">
        <f t="shared" si="134"/>
        <v>9.2609999999999015</v>
      </c>
      <c r="AX137" s="131">
        <f t="shared" si="135"/>
        <v>19.448099999999727</v>
      </c>
      <c r="AY137" s="131">
        <f t="shared" si="136"/>
        <v>40.84100999999928</v>
      </c>
      <c r="AZ137" s="131">
        <f t="shared" si="137"/>
        <v>85.766120999998193</v>
      </c>
      <c r="BE137" s="116">
        <f t="shared" si="95"/>
        <v>1.637334490328975</v>
      </c>
    </row>
    <row r="138" spans="4:57">
      <c r="D138" s="114">
        <f t="shared" si="96"/>
        <v>41173</v>
      </c>
      <c r="E138" s="115">
        <f t="shared" si="138"/>
        <v>0.57083333333333253</v>
      </c>
      <c r="F138" s="116">
        <f t="shared" si="97"/>
        <v>2456192.0708333333</v>
      </c>
      <c r="G138" s="117">
        <f t="shared" si="98"/>
        <v>0.12722986538900211</v>
      </c>
      <c r="I138" s="112">
        <f t="shared" si="99"/>
        <v>180.83956427937846</v>
      </c>
      <c r="J138" s="112">
        <f t="shared" si="100"/>
        <v>4937.683430040609</v>
      </c>
      <c r="K138" s="112">
        <f t="shared" si="101"/>
        <v>1.6703283587200166E-2</v>
      </c>
      <c r="L138" s="112">
        <f t="shared" si="102"/>
        <v>-1.861377578062255</v>
      </c>
      <c r="M138" s="112">
        <f t="shared" si="103"/>
        <v>178.97818670131622</v>
      </c>
      <c r="N138" s="112">
        <f t="shared" si="104"/>
        <v>4935.8220524625467</v>
      </c>
      <c r="O138" s="112">
        <f t="shared" si="105"/>
        <v>1.003828888873687</v>
      </c>
      <c r="P138" s="112">
        <f t="shared" si="106"/>
        <v>178.97659224719408</v>
      </c>
      <c r="Q138" s="112">
        <f t="shared" si="107"/>
        <v>23.437636591120874</v>
      </c>
      <c r="R138" s="112">
        <f t="shared" si="108"/>
        <v>23.436316567274055</v>
      </c>
      <c r="S138" s="112">
        <f t="shared" si="94"/>
        <v>179.06100481562714</v>
      </c>
      <c r="T138" s="112">
        <f t="shared" si="109"/>
        <v>0.40702125787432414</v>
      </c>
      <c r="U138" s="112">
        <f t="shared" si="110"/>
        <v>4.3023296828784731E-2</v>
      </c>
      <c r="V138" s="112">
        <f t="shared" si="111"/>
        <v>7.0798382098955228</v>
      </c>
      <c r="W138" s="112">
        <f t="shared" si="112"/>
        <v>91.375218854566825</v>
      </c>
      <c r="X138" s="115">
        <f t="shared" si="113"/>
        <v>0.51452789013201694</v>
      </c>
      <c r="Y138" s="115">
        <f t="shared" si="114"/>
        <v>0.26070783775822021</v>
      </c>
      <c r="Z138" s="115">
        <f t="shared" si="115"/>
        <v>0.76834794250581373</v>
      </c>
      <c r="AA138" s="118">
        <f t="shared" si="116"/>
        <v>731.0017508365346</v>
      </c>
      <c r="AB138" s="112">
        <f t="shared" si="117"/>
        <v>801.07983820989443</v>
      </c>
      <c r="AC138" s="112">
        <f t="shared" si="118"/>
        <v>20.269959552473608</v>
      </c>
      <c r="AD138" s="112">
        <f t="shared" si="119"/>
        <v>41.964035762246354</v>
      </c>
      <c r="AE138" s="112">
        <f t="shared" si="120"/>
        <v>48.035964237753646</v>
      </c>
      <c r="AF138" s="112">
        <f t="shared" si="121"/>
        <v>1.4499061594548755E-2</v>
      </c>
      <c r="AG138" s="112">
        <f t="shared" si="122"/>
        <v>48.050463299348195</v>
      </c>
      <c r="AH138" s="112">
        <f t="shared" si="123"/>
        <v>211.20491947380984</v>
      </c>
      <c r="AJ138" s="119">
        <f t="shared" si="124"/>
        <v>0.57083333333333253</v>
      </c>
      <c r="AK138" s="112">
        <f t="shared" si="125"/>
        <v>0</v>
      </c>
      <c r="AL138" s="112">
        <f t="shared" si="126"/>
        <v>0</v>
      </c>
      <c r="AM138" s="116">
        <f t="shared" si="127"/>
        <v>0</v>
      </c>
      <c r="AN138" s="116">
        <f t="shared" si="139"/>
        <v>1.6373343080203115</v>
      </c>
      <c r="AO138" s="116">
        <f t="shared" si="140"/>
        <v>2.0999999999999925</v>
      </c>
      <c r="AQ138" s="131">
        <f t="shared" si="128"/>
        <v>2.0999999999999925</v>
      </c>
      <c r="AR138" s="131">
        <f t="shared" si="129"/>
        <v>1.6373343080203115</v>
      </c>
      <c r="AS138" s="131">
        <f t="shared" si="130"/>
        <v>3.4384020468426422</v>
      </c>
      <c r="AT138" s="131">
        <f t="shared" si="131"/>
        <v>7.2206442983695229</v>
      </c>
      <c r="AU138" s="131">
        <f t="shared" si="132"/>
        <v>15.163353026575944</v>
      </c>
      <c r="AV138" s="131">
        <f t="shared" si="133"/>
        <v>4.4099999999999691</v>
      </c>
      <c r="AW138" s="131">
        <f t="shared" si="134"/>
        <v>9.2609999999999015</v>
      </c>
      <c r="AX138" s="131">
        <f t="shared" si="135"/>
        <v>19.448099999999727</v>
      </c>
      <c r="AY138" s="131">
        <f t="shared" si="136"/>
        <v>40.84100999999928</v>
      </c>
      <c r="AZ138" s="131">
        <f t="shared" si="137"/>
        <v>85.766120999998193</v>
      </c>
      <c r="BE138" s="116">
        <f t="shared" si="95"/>
        <v>1.637334490328975</v>
      </c>
    </row>
    <row r="139" spans="4:57">
      <c r="D139" s="114">
        <f t="shared" si="96"/>
        <v>41173</v>
      </c>
      <c r="E139" s="115">
        <f t="shared" si="138"/>
        <v>0.57499999999999918</v>
      </c>
      <c r="F139" s="116">
        <f t="shared" si="97"/>
        <v>2456192.0750000002</v>
      </c>
      <c r="G139" s="117">
        <f t="shared" si="98"/>
        <v>0.12722997946612419</v>
      </c>
      <c r="I139" s="112">
        <f t="shared" si="99"/>
        <v>180.84367114360248</v>
      </c>
      <c r="J139" s="112">
        <f t="shared" si="100"/>
        <v>4937.6875367086586</v>
      </c>
      <c r="K139" s="112">
        <f t="shared" si="101"/>
        <v>1.670328358240103E-2</v>
      </c>
      <c r="L139" s="112">
        <f t="shared" si="102"/>
        <v>-1.8614094022802958</v>
      </c>
      <c r="M139" s="112">
        <f t="shared" si="103"/>
        <v>178.98226174132219</v>
      </c>
      <c r="N139" s="112">
        <f t="shared" si="104"/>
        <v>4935.8261273063781</v>
      </c>
      <c r="O139" s="112">
        <f t="shared" si="105"/>
        <v>1.003827727960646</v>
      </c>
      <c r="P139" s="112">
        <f t="shared" si="106"/>
        <v>178.98066727770859</v>
      </c>
      <c r="Q139" s="112">
        <f t="shared" si="107"/>
        <v>23.437636589637393</v>
      </c>
      <c r="R139" s="112">
        <f t="shared" si="108"/>
        <v>23.436316557343886</v>
      </c>
      <c r="S139" s="112">
        <f t="shared" si="94"/>
        <v>179.06474385504072</v>
      </c>
      <c r="T139" s="112">
        <f t="shared" si="109"/>
        <v>0.40540071455170135</v>
      </c>
      <c r="U139" s="112">
        <f t="shared" si="110"/>
        <v>4.3023296791289176E-2</v>
      </c>
      <c r="V139" s="112">
        <f t="shared" si="111"/>
        <v>7.0813105126804032</v>
      </c>
      <c r="W139" s="112">
        <f t="shared" si="112"/>
        <v>91.373952107212148</v>
      </c>
      <c r="X139" s="115">
        <f t="shared" si="113"/>
        <v>0.51452686769952749</v>
      </c>
      <c r="Y139" s="115">
        <f t="shared" si="114"/>
        <v>0.26071033406838262</v>
      </c>
      <c r="Z139" s="115">
        <f t="shared" si="115"/>
        <v>0.76834340133067236</v>
      </c>
      <c r="AA139" s="118">
        <f t="shared" si="116"/>
        <v>730.99161685769718</v>
      </c>
      <c r="AB139" s="112">
        <f t="shared" si="117"/>
        <v>807.08131051267924</v>
      </c>
      <c r="AC139" s="112">
        <f t="shared" si="118"/>
        <v>21.770327628169809</v>
      </c>
      <c r="AD139" s="112">
        <f t="shared" si="119"/>
        <v>42.595852965125474</v>
      </c>
      <c r="AE139" s="112">
        <f t="shared" si="120"/>
        <v>47.404147034874526</v>
      </c>
      <c r="AF139" s="112">
        <f t="shared" si="121"/>
        <v>1.4823216855320578E-2</v>
      </c>
      <c r="AG139" s="112">
        <f t="shared" si="122"/>
        <v>47.418970251729846</v>
      </c>
      <c r="AH139" s="112">
        <f t="shared" si="123"/>
        <v>213.22776937995403</v>
      </c>
      <c r="AJ139" s="119">
        <f t="shared" si="124"/>
        <v>0.57499999999999918</v>
      </c>
      <c r="AK139" s="112">
        <f t="shared" si="125"/>
        <v>0</v>
      </c>
      <c r="AL139" s="112">
        <f t="shared" si="126"/>
        <v>0</v>
      </c>
      <c r="AM139" s="116">
        <f t="shared" si="127"/>
        <v>0</v>
      </c>
      <c r="AN139" s="116">
        <f t="shared" si="139"/>
        <v>1.6373343080203115</v>
      </c>
      <c r="AO139" s="116">
        <f t="shared" si="140"/>
        <v>2.0999999999999925</v>
      </c>
      <c r="AQ139" s="131">
        <f t="shared" si="128"/>
        <v>2.0999999999999925</v>
      </c>
      <c r="AR139" s="131">
        <f t="shared" si="129"/>
        <v>1.6373343080203115</v>
      </c>
      <c r="AS139" s="131">
        <f t="shared" si="130"/>
        <v>3.4384020468426422</v>
      </c>
      <c r="AT139" s="131">
        <f t="shared" si="131"/>
        <v>7.2206442983695229</v>
      </c>
      <c r="AU139" s="131">
        <f t="shared" si="132"/>
        <v>15.163353026575944</v>
      </c>
      <c r="AV139" s="131">
        <f t="shared" si="133"/>
        <v>4.4099999999999691</v>
      </c>
      <c r="AW139" s="131">
        <f t="shared" si="134"/>
        <v>9.2609999999999015</v>
      </c>
      <c r="AX139" s="131">
        <f t="shared" si="135"/>
        <v>19.448099999999727</v>
      </c>
      <c r="AY139" s="131">
        <f t="shared" si="136"/>
        <v>40.84100999999928</v>
      </c>
      <c r="AZ139" s="131">
        <f t="shared" si="137"/>
        <v>85.766120999998193</v>
      </c>
      <c r="BE139" s="116">
        <f t="shared" si="95"/>
        <v>1.637334490328975</v>
      </c>
    </row>
    <row r="140" spans="4:57">
      <c r="D140" s="114">
        <f t="shared" si="96"/>
        <v>41173</v>
      </c>
      <c r="E140" s="115">
        <f t="shared" si="138"/>
        <v>0.57916666666666583</v>
      </c>
      <c r="F140" s="116">
        <f t="shared" si="97"/>
        <v>2456192.0791666666</v>
      </c>
      <c r="G140" s="117">
        <f t="shared" si="98"/>
        <v>0.12723009354323353</v>
      </c>
      <c r="I140" s="112">
        <f t="shared" si="99"/>
        <v>180.84777800736811</v>
      </c>
      <c r="J140" s="112">
        <f t="shared" si="100"/>
        <v>4937.6916433762508</v>
      </c>
      <c r="K140" s="112">
        <f t="shared" si="101"/>
        <v>1.6703283577601889E-2</v>
      </c>
      <c r="L140" s="112">
        <f t="shared" si="102"/>
        <v>-1.8614412170699774</v>
      </c>
      <c r="M140" s="112">
        <f t="shared" si="103"/>
        <v>178.98633679029814</v>
      </c>
      <c r="N140" s="112">
        <f t="shared" si="104"/>
        <v>4935.8302021591808</v>
      </c>
      <c r="O140" s="112">
        <f t="shared" si="105"/>
        <v>1.0038265670268829</v>
      </c>
      <c r="P140" s="112">
        <f t="shared" si="106"/>
        <v>178.984742317193</v>
      </c>
      <c r="Q140" s="112">
        <f t="shared" si="107"/>
        <v>23.437636588153914</v>
      </c>
      <c r="R140" s="112">
        <f t="shared" si="108"/>
        <v>23.436316547413746</v>
      </c>
      <c r="S140" s="112">
        <f t="shared" si="94"/>
        <v>179.06848290118856</v>
      </c>
      <c r="T140" s="112">
        <f t="shared" si="109"/>
        <v>0.40378016593683858</v>
      </c>
      <c r="U140" s="112">
        <f t="shared" si="110"/>
        <v>4.3023296753793717E-2</v>
      </c>
      <c r="V140" s="112">
        <f t="shared" si="111"/>
        <v>7.0827827892270099</v>
      </c>
      <c r="W140" s="112">
        <f t="shared" si="112"/>
        <v>91.372685357745269</v>
      </c>
      <c r="X140" s="115">
        <f t="shared" si="113"/>
        <v>0.51452584528525902</v>
      </c>
      <c r="Y140" s="115">
        <f t="shared" si="114"/>
        <v>0.26071283040263327</v>
      </c>
      <c r="Z140" s="115">
        <f t="shared" si="115"/>
        <v>0.76833886016788477</v>
      </c>
      <c r="AA140" s="118">
        <f t="shared" si="116"/>
        <v>730.98148286196215</v>
      </c>
      <c r="AB140" s="112">
        <f t="shared" si="117"/>
        <v>813.0827827892258</v>
      </c>
      <c r="AC140" s="112">
        <f t="shared" si="118"/>
        <v>23.270695697306451</v>
      </c>
      <c r="AD140" s="112">
        <f t="shared" si="119"/>
        <v>43.262147644237679</v>
      </c>
      <c r="AE140" s="112">
        <f t="shared" si="120"/>
        <v>46.737852355762321</v>
      </c>
      <c r="AF140" s="112">
        <f t="shared" si="121"/>
        <v>1.5172211980547771E-2</v>
      </c>
      <c r="AG140" s="112">
        <f t="shared" si="122"/>
        <v>46.75302456774287</v>
      </c>
      <c r="AH140" s="112">
        <f t="shared" si="123"/>
        <v>215.20156220644765</v>
      </c>
      <c r="AJ140" s="119">
        <f t="shared" si="124"/>
        <v>0.57916666666666583</v>
      </c>
      <c r="AK140" s="112">
        <f t="shared" si="125"/>
        <v>0</v>
      </c>
      <c r="AL140" s="112">
        <f t="shared" si="126"/>
        <v>0</v>
      </c>
      <c r="AM140" s="116">
        <f t="shared" si="127"/>
        <v>0</v>
      </c>
      <c r="AN140" s="116">
        <f t="shared" si="139"/>
        <v>1.6373343080203115</v>
      </c>
      <c r="AO140" s="116">
        <f t="shared" si="140"/>
        <v>2.0999999999999925</v>
      </c>
      <c r="AQ140" s="131">
        <f t="shared" si="128"/>
        <v>2.0999999999999925</v>
      </c>
      <c r="AR140" s="131">
        <f t="shared" si="129"/>
        <v>1.6373343080203115</v>
      </c>
      <c r="AS140" s="131">
        <f t="shared" si="130"/>
        <v>3.4384020468426422</v>
      </c>
      <c r="AT140" s="131">
        <f t="shared" si="131"/>
        <v>7.2206442983695229</v>
      </c>
      <c r="AU140" s="131">
        <f t="shared" si="132"/>
        <v>15.163353026575944</v>
      </c>
      <c r="AV140" s="131">
        <f t="shared" si="133"/>
        <v>4.4099999999999691</v>
      </c>
      <c r="AW140" s="131">
        <f t="shared" si="134"/>
        <v>9.2609999999999015</v>
      </c>
      <c r="AX140" s="131">
        <f t="shared" si="135"/>
        <v>19.448099999999727</v>
      </c>
      <c r="AY140" s="131">
        <f t="shared" si="136"/>
        <v>40.84100999999928</v>
      </c>
      <c r="AZ140" s="131">
        <f t="shared" si="137"/>
        <v>85.766120999998193</v>
      </c>
      <c r="BE140" s="116">
        <f t="shared" si="95"/>
        <v>1.637334490328975</v>
      </c>
    </row>
    <row r="141" spans="4:57">
      <c r="D141" s="114">
        <f t="shared" si="96"/>
        <v>41173</v>
      </c>
      <c r="E141" s="115">
        <f t="shared" si="138"/>
        <v>0.58333333333333248</v>
      </c>
      <c r="F141" s="116">
        <f t="shared" si="97"/>
        <v>2456192.0833333335</v>
      </c>
      <c r="G141" s="117">
        <f t="shared" si="98"/>
        <v>0.12723020762035561</v>
      </c>
      <c r="I141" s="112">
        <f t="shared" si="99"/>
        <v>180.85188487159121</v>
      </c>
      <c r="J141" s="112">
        <f t="shared" si="100"/>
        <v>4937.6957500443004</v>
      </c>
      <c r="K141" s="112">
        <f t="shared" si="101"/>
        <v>1.6703283572802752E-2</v>
      </c>
      <c r="L141" s="112">
        <f t="shared" si="102"/>
        <v>-1.861473022438187</v>
      </c>
      <c r="M141" s="112">
        <f t="shared" si="103"/>
        <v>178.99041184915302</v>
      </c>
      <c r="N141" s="112">
        <f t="shared" si="104"/>
        <v>4935.8342770218624</v>
      </c>
      <c r="O141" s="112">
        <f t="shared" si="105"/>
        <v>1.0038254060721452</v>
      </c>
      <c r="P141" s="112">
        <f t="shared" si="106"/>
        <v>178.98881736655625</v>
      </c>
      <c r="Q141" s="112">
        <f t="shared" si="107"/>
        <v>23.437636586670433</v>
      </c>
      <c r="R141" s="112">
        <f t="shared" si="108"/>
        <v>23.436316537483616</v>
      </c>
      <c r="S141" s="112">
        <f t="shared" si="94"/>
        <v>179.0722219549107</v>
      </c>
      <c r="T141" s="112">
        <f t="shared" si="109"/>
        <v>0.40215961167515668</v>
      </c>
      <c r="U141" s="112">
        <f t="shared" si="110"/>
        <v>4.3023296716298315E-2</v>
      </c>
      <c r="V141" s="112">
        <f t="shared" si="111"/>
        <v>7.0842550398393653</v>
      </c>
      <c r="W141" s="112">
        <f t="shared" si="112"/>
        <v>91.371418605886376</v>
      </c>
      <c r="X141" s="115">
        <f t="shared" si="113"/>
        <v>0.51452482288900048</v>
      </c>
      <c r="Y141" s="115">
        <f t="shared" si="114"/>
        <v>0.2607153267615383</v>
      </c>
      <c r="Z141" s="115">
        <f t="shared" si="115"/>
        <v>0.76833431901646265</v>
      </c>
      <c r="AA141" s="118">
        <f t="shared" si="116"/>
        <v>730.97134884709101</v>
      </c>
      <c r="AB141" s="112">
        <f t="shared" si="117"/>
        <v>819.08425503983813</v>
      </c>
      <c r="AC141" s="112">
        <f t="shared" si="118"/>
        <v>24.771063759959532</v>
      </c>
      <c r="AD141" s="112">
        <f t="shared" si="119"/>
        <v>43.961292683579032</v>
      </c>
      <c r="AE141" s="112">
        <f t="shared" si="120"/>
        <v>46.038707316420968</v>
      </c>
      <c r="AF141" s="112">
        <f t="shared" si="121"/>
        <v>1.5546666984180597E-2</v>
      </c>
      <c r="AG141" s="112">
        <f t="shared" si="122"/>
        <v>46.054253983405147</v>
      </c>
      <c r="AH141" s="112">
        <f t="shared" si="123"/>
        <v>217.12618694863841</v>
      </c>
      <c r="AJ141" s="119">
        <f t="shared" si="124"/>
        <v>0.58333333333333248</v>
      </c>
      <c r="AK141" s="112">
        <f t="shared" si="125"/>
        <v>0</v>
      </c>
      <c r="AL141" s="112">
        <f t="shared" si="126"/>
        <v>0</v>
      </c>
      <c r="AM141" s="116">
        <f t="shared" si="127"/>
        <v>0</v>
      </c>
      <c r="AN141" s="116">
        <f t="shared" si="139"/>
        <v>1.6373343080203115</v>
      </c>
      <c r="AO141" s="116">
        <f t="shared" si="140"/>
        <v>2.0999999999999925</v>
      </c>
      <c r="AQ141" s="131">
        <f t="shared" si="128"/>
        <v>2.0999999999999925</v>
      </c>
      <c r="AR141" s="131">
        <f t="shared" si="129"/>
        <v>1.6373343080203115</v>
      </c>
      <c r="AS141" s="131">
        <f t="shared" si="130"/>
        <v>3.4384020468426422</v>
      </c>
      <c r="AT141" s="131">
        <f t="shared" si="131"/>
        <v>7.2206442983695229</v>
      </c>
      <c r="AU141" s="131">
        <f t="shared" si="132"/>
        <v>15.163353026575944</v>
      </c>
      <c r="AV141" s="131">
        <f t="shared" si="133"/>
        <v>4.4099999999999691</v>
      </c>
      <c r="AW141" s="131">
        <f t="shared" si="134"/>
        <v>9.2609999999999015</v>
      </c>
      <c r="AX141" s="131">
        <f t="shared" si="135"/>
        <v>19.448099999999727</v>
      </c>
      <c r="AY141" s="131">
        <f t="shared" si="136"/>
        <v>40.84100999999928</v>
      </c>
      <c r="AZ141" s="131">
        <f t="shared" si="137"/>
        <v>85.766120999998193</v>
      </c>
      <c r="BE141" s="116">
        <f t="shared" si="95"/>
        <v>1.637334490328975</v>
      </c>
    </row>
    <row r="142" spans="4:57">
      <c r="D142" s="114">
        <f t="shared" si="96"/>
        <v>41173</v>
      </c>
      <c r="E142" s="115">
        <f t="shared" si="138"/>
        <v>0.58749999999999913</v>
      </c>
      <c r="F142" s="116">
        <f t="shared" si="97"/>
        <v>2456192.0874999999</v>
      </c>
      <c r="G142" s="117">
        <f t="shared" si="98"/>
        <v>0.12723032169746493</v>
      </c>
      <c r="I142" s="112">
        <f t="shared" si="99"/>
        <v>180.85599173535593</v>
      </c>
      <c r="J142" s="112">
        <f t="shared" si="100"/>
        <v>4937.6998567118908</v>
      </c>
      <c r="K142" s="112">
        <f t="shared" si="101"/>
        <v>1.6703283568003616E-2</v>
      </c>
      <c r="L142" s="112">
        <f t="shared" si="102"/>
        <v>-1.8615048183776224</v>
      </c>
      <c r="M142" s="112">
        <f t="shared" si="103"/>
        <v>178.9944869169783</v>
      </c>
      <c r="N142" s="112">
        <f t="shared" si="104"/>
        <v>4935.8383518935134</v>
      </c>
      <c r="O142" s="112">
        <f t="shared" si="105"/>
        <v>1.0038242450966977</v>
      </c>
      <c r="P142" s="112">
        <f t="shared" si="106"/>
        <v>178.99289242488987</v>
      </c>
      <c r="Q142" s="112">
        <f t="shared" si="107"/>
        <v>23.437636585186954</v>
      </c>
      <c r="R142" s="112">
        <f t="shared" si="108"/>
        <v>23.436316527553515</v>
      </c>
      <c r="S142" s="112">
        <f t="shared" si="94"/>
        <v>179.07596101537953</v>
      </c>
      <c r="T142" s="112">
        <f t="shared" si="109"/>
        <v>0.40053905213482344</v>
      </c>
      <c r="U142" s="112">
        <f t="shared" si="110"/>
        <v>4.3023296678802996E-2</v>
      </c>
      <c r="V142" s="112">
        <f t="shared" si="111"/>
        <v>7.085727264164837</v>
      </c>
      <c r="W142" s="112">
        <f t="shared" si="112"/>
        <v>91.370151851920639</v>
      </c>
      <c r="X142" s="115">
        <f t="shared" si="113"/>
        <v>0.51452380051099667</v>
      </c>
      <c r="Y142" s="115">
        <f t="shared" si="114"/>
        <v>0.26071782314455044</v>
      </c>
      <c r="Z142" s="115">
        <f t="shared" si="115"/>
        <v>0.76832977787744294</v>
      </c>
      <c r="AA142" s="118">
        <f t="shared" si="116"/>
        <v>730.96121481536511</v>
      </c>
      <c r="AB142" s="112">
        <f t="shared" si="117"/>
        <v>825.08572726416355</v>
      </c>
      <c r="AC142" s="112">
        <f t="shared" si="118"/>
        <v>26.271431816040888</v>
      </c>
      <c r="AD142" s="112">
        <f t="shared" si="119"/>
        <v>44.691683404074993</v>
      </c>
      <c r="AE142" s="112">
        <f t="shared" si="120"/>
        <v>45.308316595925007</v>
      </c>
      <c r="AF142" s="112">
        <f t="shared" si="121"/>
        <v>1.5947321629459277E-2</v>
      </c>
      <c r="AG142" s="112">
        <f t="shared" si="122"/>
        <v>45.324263917554468</v>
      </c>
      <c r="AH142" s="112">
        <f t="shared" si="123"/>
        <v>219.00184805244561</v>
      </c>
      <c r="AJ142" s="119">
        <f t="shared" si="124"/>
        <v>0.58749999999999913</v>
      </c>
      <c r="AK142" s="112">
        <f t="shared" si="125"/>
        <v>0</v>
      </c>
      <c r="AL142" s="112">
        <f t="shared" si="126"/>
        <v>0</v>
      </c>
      <c r="AM142" s="116">
        <f t="shared" si="127"/>
        <v>0</v>
      </c>
      <c r="AN142" s="116">
        <f t="shared" si="139"/>
        <v>1.6373343080203115</v>
      </c>
      <c r="AO142" s="116">
        <f t="shared" si="140"/>
        <v>2.0999999999999925</v>
      </c>
      <c r="AQ142" s="131">
        <f t="shared" si="128"/>
        <v>2.0999999999999925</v>
      </c>
      <c r="AR142" s="131">
        <f t="shared" si="129"/>
        <v>1.6373343080203115</v>
      </c>
      <c r="AS142" s="131">
        <f t="shared" si="130"/>
        <v>3.4384020468426422</v>
      </c>
      <c r="AT142" s="131">
        <f t="shared" si="131"/>
        <v>7.2206442983695229</v>
      </c>
      <c r="AU142" s="131">
        <f t="shared" si="132"/>
        <v>15.163353026575944</v>
      </c>
      <c r="AV142" s="131">
        <f t="shared" si="133"/>
        <v>4.4099999999999691</v>
      </c>
      <c r="AW142" s="131">
        <f t="shared" si="134"/>
        <v>9.2609999999999015</v>
      </c>
      <c r="AX142" s="131">
        <f t="shared" si="135"/>
        <v>19.448099999999727</v>
      </c>
      <c r="AY142" s="131">
        <f t="shared" si="136"/>
        <v>40.84100999999928</v>
      </c>
      <c r="AZ142" s="131">
        <f t="shared" si="137"/>
        <v>85.766120999998193</v>
      </c>
      <c r="BE142" s="116">
        <f t="shared" si="95"/>
        <v>1.637334490328975</v>
      </c>
    </row>
    <row r="143" spans="4:57">
      <c r="D143" s="114">
        <f t="shared" si="96"/>
        <v>41173</v>
      </c>
      <c r="E143" s="115">
        <f t="shared" si="138"/>
        <v>0.59166666666666579</v>
      </c>
      <c r="F143" s="116">
        <f t="shared" si="97"/>
        <v>2456192.0916666668</v>
      </c>
      <c r="G143" s="117">
        <f t="shared" si="98"/>
        <v>0.12723043577458701</v>
      </c>
      <c r="I143" s="112">
        <f t="shared" si="99"/>
        <v>180.86009859957903</v>
      </c>
      <c r="J143" s="112">
        <f t="shared" si="100"/>
        <v>4937.7039633799423</v>
      </c>
      <c r="K143" s="112">
        <f t="shared" si="101"/>
        <v>1.6703283563204479E-2</v>
      </c>
      <c r="L143" s="112">
        <f t="shared" si="102"/>
        <v>-1.8615366048952051</v>
      </c>
      <c r="M143" s="112">
        <f t="shared" si="103"/>
        <v>178.99856199468383</v>
      </c>
      <c r="N143" s="112">
        <f t="shared" si="104"/>
        <v>4935.842426775047</v>
      </c>
      <c r="O143" s="112">
        <f t="shared" si="105"/>
        <v>1.0038230841002864</v>
      </c>
      <c r="P143" s="112">
        <f t="shared" si="106"/>
        <v>178.99696749310368</v>
      </c>
      <c r="Q143" s="112">
        <f t="shared" si="107"/>
        <v>23.437636583703476</v>
      </c>
      <c r="R143" s="112">
        <f t="shared" si="108"/>
        <v>23.436316517623428</v>
      </c>
      <c r="S143" s="112">
        <f t="shared" si="94"/>
        <v>179.0797000834358</v>
      </c>
      <c r="T143" s="112">
        <f t="shared" si="109"/>
        <v>0.3989184869609354</v>
      </c>
      <c r="U143" s="112">
        <f t="shared" si="110"/>
        <v>4.3023296641307746E-2</v>
      </c>
      <c r="V143" s="112">
        <f t="shared" si="111"/>
        <v>7.087199462507864</v>
      </c>
      <c r="W143" s="112">
        <f t="shared" si="112"/>
        <v>91.368885095568004</v>
      </c>
      <c r="X143" s="115">
        <f t="shared" si="113"/>
        <v>0.5145227781510362</v>
      </c>
      <c r="Y143" s="115">
        <f t="shared" si="114"/>
        <v>0.26072031955223618</v>
      </c>
      <c r="Z143" s="115">
        <f t="shared" si="115"/>
        <v>0.76832523674983622</v>
      </c>
      <c r="AA143" s="118">
        <f t="shared" si="116"/>
        <v>730.95108076454403</v>
      </c>
      <c r="AB143" s="112">
        <f t="shared" si="117"/>
        <v>831.08719946250665</v>
      </c>
      <c r="AC143" s="112">
        <f t="shared" si="118"/>
        <v>27.771799865626662</v>
      </c>
      <c r="AD143" s="112">
        <f t="shared" si="119"/>
        <v>45.45174704987798</v>
      </c>
      <c r="AE143" s="112">
        <f t="shared" si="120"/>
        <v>44.54825295012202</v>
      </c>
      <c r="AF143" s="112">
        <f t="shared" si="121"/>
        <v>1.637504942315731E-2</v>
      </c>
      <c r="AG143" s="112">
        <f t="shared" si="122"/>
        <v>44.564627999545181</v>
      </c>
      <c r="AH143" s="112">
        <f t="shared" si="123"/>
        <v>220.82902639090833</v>
      </c>
      <c r="AJ143" s="119">
        <f t="shared" si="124"/>
        <v>0.59166666666666579</v>
      </c>
      <c r="AK143" s="112">
        <f t="shared" si="125"/>
        <v>0</v>
      </c>
      <c r="AL143" s="112">
        <f t="shared" si="126"/>
        <v>0</v>
      </c>
      <c r="AM143" s="116">
        <f t="shared" si="127"/>
        <v>0</v>
      </c>
      <c r="AN143" s="116">
        <f t="shared" si="139"/>
        <v>1.6373343080203115</v>
      </c>
      <c r="AO143" s="116">
        <f t="shared" si="140"/>
        <v>2.0999999999999925</v>
      </c>
      <c r="AQ143" s="131">
        <f t="shared" si="128"/>
        <v>2.0999999999999925</v>
      </c>
      <c r="AR143" s="131">
        <f t="shared" si="129"/>
        <v>1.6373343080203115</v>
      </c>
      <c r="AS143" s="131">
        <f t="shared" si="130"/>
        <v>3.4384020468426422</v>
      </c>
      <c r="AT143" s="131">
        <f t="shared" si="131"/>
        <v>7.2206442983695229</v>
      </c>
      <c r="AU143" s="131">
        <f t="shared" si="132"/>
        <v>15.163353026575944</v>
      </c>
      <c r="AV143" s="131">
        <f t="shared" si="133"/>
        <v>4.4099999999999691</v>
      </c>
      <c r="AW143" s="131">
        <f t="shared" si="134"/>
        <v>9.2609999999999015</v>
      </c>
      <c r="AX143" s="131">
        <f t="shared" si="135"/>
        <v>19.448099999999727</v>
      </c>
      <c r="AY143" s="131">
        <f t="shared" si="136"/>
        <v>40.84100999999928</v>
      </c>
      <c r="AZ143" s="131">
        <f t="shared" si="137"/>
        <v>85.766120999998193</v>
      </c>
      <c r="BE143" s="116">
        <f t="shared" si="95"/>
        <v>1.637334490328975</v>
      </c>
    </row>
    <row r="144" spans="4:57">
      <c r="D144" s="114">
        <f t="shared" si="96"/>
        <v>41173</v>
      </c>
      <c r="E144" s="115">
        <f t="shared" si="138"/>
        <v>0.59583333333333244</v>
      </c>
      <c r="F144" s="116">
        <f t="shared" si="97"/>
        <v>2456192.0958333332</v>
      </c>
      <c r="G144" s="117">
        <f t="shared" si="98"/>
        <v>0.12723054985169635</v>
      </c>
      <c r="I144" s="112">
        <f t="shared" si="99"/>
        <v>180.86420546334466</v>
      </c>
      <c r="J144" s="112">
        <f t="shared" si="100"/>
        <v>4937.7080700475326</v>
      </c>
      <c r="K144" s="112">
        <f t="shared" si="101"/>
        <v>1.6703283558405342E-2</v>
      </c>
      <c r="L144" s="112">
        <f t="shared" si="102"/>
        <v>-1.8615683819835993</v>
      </c>
      <c r="M144" s="112">
        <f t="shared" si="103"/>
        <v>179.00263708136106</v>
      </c>
      <c r="N144" s="112">
        <f t="shared" si="104"/>
        <v>4935.8465016655491</v>
      </c>
      <c r="O144" s="112">
        <f t="shared" si="105"/>
        <v>1.0038219230831773</v>
      </c>
      <c r="P144" s="112">
        <f t="shared" si="106"/>
        <v>179.00104257028912</v>
      </c>
      <c r="Q144" s="112">
        <f t="shared" si="107"/>
        <v>23.437636582219994</v>
      </c>
      <c r="R144" s="112">
        <f t="shared" si="108"/>
        <v>23.436316507693363</v>
      </c>
      <c r="S144" s="112">
        <f t="shared" si="94"/>
        <v>179.08343915825185</v>
      </c>
      <c r="T144" s="112">
        <f t="shared" si="109"/>
        <v>0.39729791652168095</v>
      </c>
      <c r="U144" s="112">
        <f t="shared" si="110"/>
        <v>4.3023296603812579E-2</v>
      </c>
      <c r="V144" s="112">
        <f t="shared" si="111"/>
        <v>7.088671634515685</v>
      </c>
      <c r="W144" s="112">
        <f t="shared" si="112"/>
        <v>91.367618337113655</v>
      </c>
      <c r="X144" s="115">
        <f t="shared" si="113"/>
        <v>0.5145217558093641</v>
      </c>
      <c r="Y144" s="115">
        <f t="shared" si="114"/>
        <v>0.26072281598404839</v>
      </c>
      <c r="Z144" s="115">
        <f t="shared" si="115"/>
        <v>0.76832069563467975</v>
      </c>
      <c r="AA144" s="118">
        <f t="shared" si="116"/>
        <v>730.94094669690924</v>
      </c>
      <c r="AB144" s="112">
        <f t="shared" si="117"/>
        <v>837.08867163451441</v>
      </c>
      <c r="AC144" s="112">
        <f t="shared" si="118"/>
        <v>29.272167908628603</v>
      </c>
      <c r="AD144" s="112">
        <f t="shared" si="119"/>
        <v>46.239950516578581</v>
      </c>
      <c r="AE144" s="112">
        <f t="shared" si="120"/>
        <v>43.760049483421419</v>
      </c>
      <c r="AF144" s="112">
        <f t="shared" si="121"/>
        <v>1.6830872997987571E-2</v>
      </c>
      <c r="AG144" s="112">
        <f t="shared" si="122"/>
        <v>43.776880356419404</v>
      </c>
      <c r="AH144" s="112">
        <f t="shared" si="123"/>
        <v>222.60844113211985</v>
      </c>
      <c r="AJ144" s="119">
        <f t="shared" si="124"/>
        <v>0.59583333333333244</v>
      </c>
      <c r="AK144" s="112">
        <f t="shared" si="125"/>
        <v>0</v>
      </c>
      <c r="AL144" s="112">
        <f t="shared" si="126"/>
        <v>0</v>
      </c>
      <c r="AM144" s="116">
        <f t="shared" si="127"/>
        <v>0</v>
      </c>
      <c r="AN144" s="116">
        <f t="shared" si="139"/>
        <v>1.6373343080203115</v>
      </c>
      <c r="AO144" s="116">
        <f t="shared" si="140"/>
        <v>2.0999999999999925</v>
      </c>
      <c r="AQ144" s="131">
        <f t="shared" si="128"/>
        <v>2.0999999999999925</v>
      </c>
      <c r="AR144" s="131">
        <f t="shared" si="129"/>
        <v>1.6373343080203115</v>
      </c>
      <c r="AS144" s="131">
        <f t="shared" si="130"/>
        <v>3.4384020468426422</v>
      </c>
      <c r="AT144" s="131">
        <f t="shared" si="131"/>
        <v>7.2206442983695229</v>
      </c>
      <c r="AU144" s="131">
        <f t="shared" si="132"/>
        <v>15.163353026575944</v>
      </c>
      <c r="AV144" s="131">
        <f t="shared" si="133"/>
        <v>4.4099999999999691</v>
      </c>
      <c r="AW144" s="131">
        <f t="shared" si="134"/>
        <v>9.2609999999999015</v>
      </c>
      <c r="AX144" s="131">
        <f t="shared" si="135"/>
        <v>19.448099999999727</v>
      </c>
      <c r="AY144" s="131">
        <f t="shared" si="136"/>
        <v>40.84100999999928</v>
      </c>
      <c r="AZ144" s="131">
        <f t="shared" si="137"/>
        <v>85.766120999998193</v>
      </c>
      <c r="BE144" s="116">
        <f t="shared" si="95"/>
        <v>1.637334490328975</v>
      </c>
    </row>
    <row r="145" spans="4:57">
      <c r="D145" s="114">
        <f t="shared" si="96"/>
        <v>41173</v>
      </c>
      <c r="E145" s="115">
        <f t="shared" si="138"/>
        <v>0.59999999999999909</v>
      </c>
      <c r="F145" s="116">
        <f t="shared" si="97"/>
        <v>2456192.1</v>
      </c>
      <c r="G145" s="117">
        <f t="shared" si="98"/>
        <v>0.12723066392881843</v>
      </c>
      <c r="I145" s="112">
        <f t="shared" si="99"/>
        <v>180.86831232756776</v>
      </c>
      <c r="J145" s="112">
        <f t="shared" si="100"/>
        <v>4937.7121767155841</v>
      </c>
      <c r="K145" s="112">
        <f t="shared" si="101"/>
        <v>1.6703283553606202E-2</v>
      </c>
      <c r="L145" s="112">
        <f t="shared" si="102"/>
        <v>-1.861600149649735</v>
      </c>
      <c r="M145" s="112">
        <f t="shared" si="103"/>
        <v>179.00671217791802</v>
      </c>
      <c r="N145" s="112">
        <f t="shared" si="104"/>
        <v>4935.8505765659347</v>
      </c>
      <c r="O145" s="112">
        <f t="shared" si="105"/>
        <v>1.0038207620451158</v>
      </c>
      <c r="P145" s="112">
        <f t="shared" si="106"/>
        <v>179.00511765735425</v>
      </c>
      <c r="Q145" s="112">
        <f t="shared" si="107"/>
        <v>23.437636580736516</v>
      </c>
      <c r="R145" s="112">
        <f t="shared" si="108"/>
        <v>23.436316497763315</v>
      </c>
      <c r="S145" s="112">
        <f t="shared" si="94"/>
        <v>179.08717824066684</v>
      </c>
      <c r="T145" s="112">
        <f t="shared" si="109"/>
        <v>0.39567734046282449</v>
      </c>
      <c r="U145" s="112">
        <f t="shared" si="110"/>
        <v>4.3023296566317475E-2</v>
      </c>
      <c r="V145" s="112">
        <f t="shared" si="111"/>
        <v>7.0901437804921779</v>
      </c>
      <c r="W145" s="112">
        <f t="shared" si="112"/>
        <v>91.366351576278063</v>
      </c>
      <c r="X145" s="115">
        <f t="shared" si="113"/>
        <v>0.51452073348576932</v>
      </c>
      <c r="Y145" s="115">
        <f t="shared" si="114"/>
        <v>0.26072531244055247</v>
      </c>
      <c r="Z145" s="115">
        <f t="shared" si="115"/>
        <v>0.76831615453098623</v>
      </c>
      <c r="AA145" s="118">
        <f t="shared" si="116"/>
        <v>730.93081261022451</v>
      </c>
      <c r="AB145" s="112">
        <f t="shared" si="117"/>
        <v>843.09014378049085</v>
      </c>
      <c r="AC145" s="112">
        <f t="shared" si="118"/>
        <v>30.772535945122712</v>
      </c>
      <c r="AD145" s="112">
        <f t="shared" si="119"/>
        <v>47.054806453178351</v>
      </c>
      <c r="AE145" s="112">
        <f t="shared" si="120"/>
        <v>42.945193546821649</v>
      </c>
      <c r="AF145" s="112">
        <f t="shared" si="121"/>
        <v>1.7315981233510937E-2</v>
      </c>
      <c r="AG145" s="112">
        <f t="shared" si="122"/>
        <v>42.962509528055158</v>
      </c>
      <c r="AH145" s="112">
        <f t="shared" si="123"/>
        <v>224.34101334562092</v>
      </c>
      <c r="AJ145" s="119">
        <f t="shared" si="124"/>
        <v>0.59999999999999909</v>
      </c>
      <c r="AK145" s="112">
        <f t="shared" si="125"/>
        <v>0</v>
      </c>
      <c r="AL145" s="112">
        <f t="shared" si="126"/>
        <v>0</v>
      </c>
      <c r="AM145" s="116">
        <f t="shared" si="127"/>
        <v>0</v>
      </c>
      <c r="AN145" s="116">
        <f t="shared" si="139"/>
        <v>1.6373343080203115</v>
      </c>
      <c r="AO145" s="116">
        <f t="shared" si="140"/>
        <v>2.0999999999999925</v>
      </c>
      <c r="AQ145" s="131">
        <f t="shared" si="128"/>
        <v>2.0999999999999925</v>
      </c>
      <c r="AR145" s="131">
        <f t="shared" si="129"/>
        <v>1.6373343080203115</v>
      </c>
      <c r="AS145" s="131">
        <f t="shared" si="130"/>
        <v>3.4384020468426422</v>
      </c>
      <c r="AT145" s="131">
        <f t="shared" si="131"/>
        <v>7.2206442983695229</v>
      </c>
      <c r="AU145" s="131">
        <f t="shared" si="132"/>
        <v>15.163353026575944</v>
      </c>
      <c r="AV145" s="131">
        <f t="shared" si="133"/>
        <v>4.4099999999999691</v>
      </c>
      <c r="AW145" s="131">
        <f t="shared" si="134"/>
        <v>9.2609999999999015</v>
      </c>
      <c r="AX145" s="131">
        <f t="shared" si="135"/>
        <v>19.448099999999727</v>
      </c>
      <c r="AY145" s="131">
        <f t="shared" si="136"/>
        <v>40.84100999999928</v>
      </c>
      <c r="AZ145" s="131">
        <f t="shared" si="137"/>
        <v>85.766120999998193</v>
      </c>
      <c r="BE145" s="116">
        <f t="shared" si="95"/>
        <v>1.637334490328975</v>
      </c>
    </row>
    <row r="146" spans="4:57">
      <c r="D146" s="114">
        <f t="shared" si="96"/>
        <v>41173</v>
      </c>
      <c r="E146" s="115">
        <f t="shared" si="138"/>
        <v>0.60416666666666574</v>
      </c>
      <c r="F146" s="116">
        <f t="shared" si="97"/>
        <v>2456192.1041666665</v>
      </c>
      <c r="G146" s="117">
        <f t="shared" si="98"/>
        <v>0.12723077800592775</v>
      </c>
      <c r="I146" s="112">
        <f t="shared" si="99"/>
        <v>180.87241919133248</v>
      </c>
      <c r="J146" s="112">
        <f t="shared" si="100"/>
        <v>4937.7162833831735</v>
      </c>
      <c r="K146" s="112">
        <f t="shared" si="101"/>
        <v>1.6703283548807065E-2</v>
      </c>
      <c r="L146" s="112">
        <f t="shared" si="102"/>
        <v>-1.8616319078862749</v>
      </c>
      <c r="M146" s="112">
        <f t="shared" si="103"/>
        <v>179.01078728344621</v>
      </c>
      <c r="N146" s="112">
        <f t="shared" si="104"/>
        <v>4935.854651475287</v>
      </c>
      <c r="O146" s="112">
        <f t="shared" si="105"/>
        <v>1.0038196009863691</v>
      </c>
      <c r="P146" s="112">
        <f t="shared" si="106"/>
        <v>179.00919275339052</v>
      </c>
      <c r="Q146" s="112">
        <f t="shared" si="107"/>
        <v>23.437636579253034</v>
      </c>
      <c r="R146" s="112">
        <f t="shared" si="108"/>
        <v>23.436316487833288</v>
      </c>
      <c r="S146" s="112">
        <f t="shared" si="94"/>
        <v>179.09091732985311</v>
      </c>
      <c r="T146" s="112">
        <f t="shared" si="109"/>
        <v>0.39405675915258576</v>
      </c>
      <c r="U146" s="112">
        <f t="shared" si="110"/>
        <v>4.3023296528822454E-2</v>
      </c>
      <c r="V146" s="112">
        <f t="shared" si="111"/>
        <v>7.0916159000845784</v>
      </c>
      <c r="W146" s="112">
        <f t="shared" si="112"/>
        <v>91.365084813346428</v>
      </c>
      <c r="X146" s="115">
        <f t="shared" si="113"/>
        <v>0.51451971118049689</v>
      </c>
      <c r="Y146" s="115">
        <f t="shared" si="114"/>
        <v>0.26072780892120123</v>
      </c>
      <c r="Z146" s="115">
        <f t="shared" si="115"/>
        <v>0.76831161343979248</v>
      </c>
      <c r="AA146" s="118">
        <f t="shared" si="116"/>
        <v>730.92067850677142</v>
      </c>
      <c r="AB146" s="112">
        <f t="shared" si="117"/>
        <v>849.09161590008318</v>
      </c>
      <c r="AC146" s="112">
        <f t="shared" si="118"/>
        <v>32.272903975020796</v>
      </c>
      <c r="AD146" s="112">
        <f t="shared" si="119"/>
        <v>47.894877882388016</v>
      </c>
      <c r="AE146" s="112">
        <f t="shared" si="120"/>
        <v>42.105122117611984</v>
      </c>
      <c r="AF146" s="112">
        <f t="shared" si="121"/>
        <v>1.7831748529468509E-2</v>
      </c>
      <c r="AG146" s="112">
        <f t="shared" si="122"/>
        <v>42.122953866141451</v>
      </c>
      <c r="AH146" s="112">
        <f t="shared" si="123"/>
        <v>226.02783196069285</v>
      </c>
      <c r="AJ146" s="119">
        <f t="shared" si="124"/>
        <v>0.60416666666666574</v>
      </c>
      <c r="AK146" s="112">
        <f t="shared" si="125"/>
        <v>0</v>
      </c>
      <c r="AL146" s="112">
        <f t="shared" si="126"/>
        <v>0</v>
      </c>
      <c r="AM146" s="116">
        <f t="shared" si="127"/>
        <v>0</v>
      </c>
      <c r="AN146" s="116">
        <f t="shared" si="139"/>
        <v>1.6373343080203115</v>
      </c>
      <c r="AO146" s="116">
        <f t="shared" si="140"/>
        <v>2.0999999999999925</v>
      </c>
      <c r="AQ146" s="131">
        <f t="shared" si="128"/>
        <v>2.0999999999999925</v>
      </c>
      <c r="AR146" s="131">
        <f t="shared" si="129"/>
        <v>1.6373343080203115</v>
      </c>
      <c r="AS146" s="131">
        <f t="shared" si="130"/>
        <v>3.4384020468426422</v>
      </c>
      <c r="AT146" s="131">
        <f t="shared" si="131"/>
        <v>7.2206442983695229</v>
      </c>
      <c r="AU146" s="131">
        <f t="shared" si="132"/>
        <v>15.163353026575944</v>
      </c>
      <c r="AV146" s="131">
        <f t="shared" si="133"/>
        <v>4.4099999999999691</v>
      </c>
      <c r="AW146" s="131">
        <f t="shared" si="134"/>
        <v>9.2609999999999015</v>
      </c>
      <c r="AX146" s="131">
        <f t="shared" si="135"/>
        <v>19.448099999999727</v>
      </c>
      <c r="AY146" s="131">
        <f t="shared" si="136"/>
        <v>40.84100999999928</v>
      </c>
      <c r="AZ146" s="131">
        <f t="shared" si="137"/>
        <v>85.766120999998193</v>
      </c>
      <c r="BE146" s="116">
        <f t="shared" si="95"/>
        <v>1.637334490328975</v>
      </c>
    </row>
    <row r="147" spans="4:57">
      <c r="D147" s="114">
        <f t="shared" si="96"/>
        <v>41173</v>
      </c>
      <c r="E147" s="115">
        <f t="shared" si="138"/>
        <v>0.60833333333333239</v>
      </c>
      <c r="F147" s="116">
        <f t="shared" si="97"/>
        <v>2456192.1083333334</v>
      </c>
      <c r="G147" s="117">
        <f t="shared" si="98"/>
        <v>0.12723089208304983</v>
      </c>
      <c r="I147" s="112">
        <f t="shared" si="99"/>
        <v>180.8765260555565</v>
      </c>
      <c r="J147" s="112">
        <f t="shared" si="100"/>
        <v>4937.720390051225</v>
      </c>
      <c r="K147" s="112">
        <f t="shared" si="101"/>
        <v>1.6703283544007928E-2</v>
      </c>
      <c r="L147" s="112">
        <f t="shared" si="102"/>
        <v>-1.8616636567001568</v>
      </c>
      <c r="M147" s="112">
        <f t="shared" si="103"/>
        <v>179.01486239885634</v>
      </c>
      <c r="N147" s="112">
        <f t="shared" si="104"/>
        <v>4935.8587263945246</v>
      </c>
      <c r="O147" s="112">
        <f t="shared" si="105"/>
        <v>1.003818439906681</v>
      </c>
      <c r="P147" s="112">
        <f t="shared" si="106"/>
        <v>179.01326785930868</v>
      </c>
      <c r="Q147" s="112">
        <f t="shared" si="107"/>
        <v>23.437636577769556</v>
      </c>
      <c r="R147" s="112">
        <f t="shared" si="108"/>
        <v>23.436316477903279</v>
      </c>
      <c r="S147" s="112">
        <f t="shared" si="94"/>
        <v>179.09465642665228</v>
      </c>
      <c r="T147" s="112">
        <f t="shared" si="109"/>
        <v>0.39243617223566557</v>
      </c>
      <c r="U147" s="112">
        <f t="shared" si="110"/>
        <v>4.3023296491327495E-2</v>
      </c>
      <c r="V147" s="112">
        <f t="shared" si="111"/>
        <v>7.0930879935976856</v>
      </c>
      <c r="W147" s="112">
        <f t="shared" si="112"/>
        <v>91.363818048038368</v>
      </c>
      <c r="X147" s="115">
        <f t="shared" si="113"/>
        <v>0.51451868889333496</v>
      </c>
      <c r="Y147" s="115">
        <f t="shared" si="114"/>
        <v>0.26073030542656173</v>
      </c>
      <c r="Z147" s="115">
        <f t="shared" si="115"/>
        <v>0.7683070723601082</v>
      </c>
      <c r="AA147" s="118">
        <f t="shared" si="116"/>
        <v>730.91054438430695</v>
      </c>
      <c r="AB147" s="112">
        <f t="shared" si="117"/>
        <v>855.09308799359633</v>
      </c>
      <c r="AC147" s="112">
        <f t="shared" si="118"/>
        <v>33.773271998399082</v>
      </c>
      <c r="AD147" s="112">
        <f t="shared" si="119"/>
        <v>48.758781507813616</v>
      </c>
      <c r="AE147" s="112">
        <f t="shared" si="120"/>
        <v>41.241218492186384</v>
      </c>
      <c r="AF147" s="112">
        <f t="shared" si="121"/>
        <v>1.8379756733795473E-2</v>
      </c>
      <c r="AG147" s="112">
        <f t="shared" si="122"/>
        <v>41.259598248920177</v>
      </c>
      <c r="AH147" s="112">
        <f t="shared" si="123"/>
        <v>227.67012247461892</v>
      </c>
      <c r="AJ147" s="119">
        <f t="shared" si="124"/>
        <v>0.60833333333333239</v>
      </c>
      <c r="AK147" s="112">
        <f t="shared" si="125"/>
        <v>0</v>
      </c>
      <c r="AL147" s="112">
        <f t="shared" si="126"/>
        <v>0</v>
      </c>
      <c r="AM147" s="116">
        <f t="shared" si="127"/>
        <v>0</v>
      </c>
      <c r="AN147" s="116">
        <f t="shared" si="139"/>
        <v>1.6373343080203115</v>
      </c>
      <c r="AO147" s="116">
        <f t="shared" si="140"/>
        <v>2.0999999999999925</v>
      </c>
      <c r="AQ147" s="131">
        <f t="shared" si="128"/>
        <v>2.0999999999999925</v>
      </c>
      <c r="AR147" s="131">
        <f t="shared" si="129"/>
        <v>1.6373343080203115</v>
      </c>
      <c r="AS147" s="131">
        <f t="shared" si="130"/>
        <v>3.4384020468426422</v>
      </c>
      <c r="AT147" s="131">
        <f t="shared" si="131"/>
        <v>7.2206442983695229</v>
      </c>
      <c r="AU147" s="131">
        <f t="shared" si="132"/>
        <v>15.163353026575944</v>
      </c>
      <c r="AV147" s="131">
        <f t="shared" si="133"/>
        <v>4.4099999999999691</v>
      </c>
      <c r="AW147" s="131">
        <f t="shared" si="134"/>
        <v>9.2609999999999015</v>
      </c>
      <c r="AX147" s="131">
        <f t="shared" si="135"/>
        <v>19.448099999999727</v>
      </c>
      <c r="AY147" s="131">
        <f t="shared" si="136"/>
        <v>40.84100999999928</v>
      </c>
      <c r="AZ147" s="131">
        <f t="shared" si="137"/>
        <v>85.766120999998193</v>
      </c>
      <c r="BE147" s="116">
        <f t="shared" si="95"/>
        <v>1.637334490328975</v>
      </c>
    </row>
    <row r="148" spans="4:57">
      <c r="D148" s="114">
        <f t="shared" si="96"/>
        <v>41173</v>
      </c>
      <c r="E148" s="115">
        <f t="shared" si="138"/>
        <v>0.61249999999999905</v>
      </c>
      <c r="F148" s="116">
        <f t="shared" si="97"/>
        <v>2456192.1124999998</v>
      </c>
      <c r="G148" s="117">
        <f t="shared" si="98"/>
        <v>0.12723100616015917</v>
      </c>
      <c r="I148" s="112">
        <f t="shared" si="99"/>
        <v>180.88063291932122</v>
      </c>
      <c r="J148" s="112">
        <f t="shared" si="100"/>
        <v>4937.7244967188162</v>
      </c>
      <c r="K148" s="112">
        <f t="shared" si="101"/>
        <v>1.6703283539208792E-2</v>
      </c>
      <c r="L148" s="112">
        <f t="shared" si="102"/>
        <v>-1.8616953960840534</v>
      </c>
      <c r="M148" s="112">
        <f t="shared" si="103"/>
        <v>179.01893752323716</v>
      </c>
      <c r="N148" s="112">
        <f t="shared" si="104"/>
        <v>4935.8628013227326</v>
      </c>
      <c r="O148" s="112">
        <f t="shared" si="105"/>
        <v>1.0038172788063182</v>
      </c>
      <c r="P148" s="112">
        <f t="shared" si="106"/>
        <v>179.01734297419748</v>
      </c>
      <c r="Q148" s="112">
        <f t="shared" si="107"/>
        <v>23.437636576286074</v>
      </c>
      <c r="R148" s="112">
        <f t="shared" si="108"/>
        <v>23.436316467973292</v>
      </c>
      <c r="S148" s="112">
        <f t="shared" si="94"/>
        <v>179.0983955302342</v>
      </c>
      <c r="T148" s="112">
        <f t="shared" si="109"/>
        <v>0.39081558008133715</v>
      </c>
      <c r="U148" s="112">
        <f t="shared" si="110"/>
        <v>4.3023296453832613E-2</v>
      </c>
      <c r="V148" s="112">
        <f t="shared" si="111"/>
        <v>7.0945600606778596</v>
      </c>
      <c r="W148" s="112">
        <f t="shared" si="112"/>
        <v>91.362551280639934</v>
      </c>
      <c r="X148" s="115">
        <f t="shared" si="113"/>
        <v>0.51451766662452925</v>
      </c>
      <c r="Y148" s="115">
        <f t="shared" si="114"/>
        <v>0.260732801956085</v>
      </c>
      <c r="Z148" s="115">
        <f t="shared" si="115"/>
        <v>0.76830253129297343</v>
      </c>
      <c r="AA148" s="118">
        <f t="shared" si="116"/>
        <v>730.90041024511947</v>
      </c>
      <c r="AB148" s="112">
        <f t="shared" si="117"/>
        <v>861.09456006067649</v>
      </c>
      <c r="AC148" s="112">
        <f t="shared" si="118"/>
        <v>35.273640015169121</v>
      </c>
      <c r="AD148" s="112">
        <f t="shared" si="119"/>
        <v>49.645189869018544</v>
      </c>
      <c r="AE148" s="112">
        <f t="shared" si="120"/>
        <v>40.354810130981456</v>
      </c>
      <c r="AF148" s="112">
        <f t="shared" si="121"/>
        <v>1.8961820319521497E-2</v>
      </c>
      <c r="AG148" s="112">
        <f t="shared" si="122"/>
        <v>40.373771951300974</v>
      </c>
      <c r="AH148" s="112">
        <f t="shared" si="123"/>
        <v>229.26921863702341</v>
      </c>
      <c r="AJ148" s="119">
        <f t="shared" si="124"/>
        <v>0.61249999999999905</v>
      </c>
      <c r="AK148" s="112">
        <f t="shared" si="125"/>
        <v>0</v>
      </c>
      <c r="AL148" s="112">
        <f t="shared" si="126"/>
        <v>0</v>
      </c>
      <c r="AM148" s="116">
        <f t="shared" si="127"/>
        <v>0</v>
      </c>
      <c r="AN148" s="116">
        <f t="shared" si="139"/>
        <v>1.6373343080203115</v>
      </c>
      <c r="AO148" s="116">
        <f t="shared" si="140"/>
        <v>2.0999999999999925</v>
      </c>
      <c r="AQ148" s="131">
        <f t="shared" si="128"/>
        <v>2.0999999999999925</v>
      </c>
      <c r="AR148" s="131">
        <f t="shared" si="129"/>
        <v>1.6373343080203115</v>
      </c>
      <c r="AS148" s="131">
        <f t="shared" si="130"/>
        <v>3.4384020468426422</v>
      </c>
      <c r="AT148" s="131">
        <f t="shared" si="131"/>
        <v>7.2206442983695229</v>
      </c>
      <c r="AU148" s="131">
        <f t="shared" si="132"/>
        <v>15.163353026575944</v>
      </c>
      <c r="AV148" s="131">
        <f t="shared" si="133"/>
        <v>4.4099999999999691</v>
      </c>
      <c r="AW148" s="131">
        <f t="shared" si="134"/>
        <v>9.2609999999999015</v>
      </c>
      <c r="AX148" s="131">
        <f t="shared" si="135"/>
        <v>19.448099999999727</v>
      </c>
      <c r="AY148" s="131">
        <f t="shared" si="136"/>
        <v>40.84100999999928</v>
      </c>
      <c r="AZ148" s="131">
        <f t="shared" si="137"/>
        <v>85.766120999998193</v>
      </c>
      <c r="BE148" s="116">
        <f t="shared" si="95"/>
        <v>1.637334490328975</v>
      </c>
    </row>
    <row r="149" spans="4:57">
      <c r="D149" s="114">
        <f t="shared" si="96"/>
        <v>41173</v>
      </c>
      <c r="E149" s="115">
        <f t="shared" si="138"/>
        <v>0.6166666666666657</v>
      </c>
      <c r="F149" s="116">
        <f t="shared" si="97"/>
        <v>2456192.1166666667</v>
      </c>
      <c r="G149" s="117">
        <f t="shared" si="98"/>
        <v>0.12723112023728125</v>
      </c>
      <c r="I149" s="112">
        <f t="shared" si="99"/>
        <v>180.88473978354432</v>
      </c>
      <c r="J149" s="112">
        <f t="shared" si="100"/>
        <v>4937.7286033868668</v>
      </c>
      <c r="K149" s="112">
        <f t="shared" si="101"/>
        <v>1.6703283534409651E-2</v>
      </c>
      <c r="L149" s="112">
        <f t="shared" si="102"/>
        <v>-1.8617271260448678</v>
      </c>
      <c r="M149" s="112">
        <f t="shared" si="103"/>
        <v>179.02301265749946</v>
      </c>
      <c r="N149" s="112">
        <f t="shared" si="104"/>
        <v>4935.8668762608222</v>
      </c>
      <c r="O149" s="112">
        <f t="shared" si="105"/>
        <v>1.0038161176850273</v>
      </c>
      <c r="P149" s="112">
        <f t="shared" si="106"/>
        <v>179.0214180989677</v>
      </c>
      <c r="Q149" s="112">
        <f t="shared" si="107"/>
        <v>23.437636574802596</v>
      </c>
      <c r="R149" s="112">
        <f t="shared" si="108"/>
        <v>23.436316458043322</v>
      </c>
      <c r="S149" s="112">
        <f t="shared" si="94"/>
        <v>179.10213464144059</v>
      </c>
      <c r="T149" s="112">
        <f t="shared" si="109"/>
        <v>0.3891949823342809</v>
      </c>
      <c r="U149" s="112">
        <f t="shared" si="110"/>
        <v>4.3023296416337821E-2</v>
      </c>
      <c r="V149" s="112">
        <f t="shared" si="111"/>
        <v>7.0960321016297971</v>
      </c>
      <c r="W149" s="112">
        <f t="shared" si="112"/>
        <v>91.361284510870732</v>
      </c>
      <c r="X149" s="115">
        <f t="shared" si="113"/>
        <v>0.51451664437386824</v>
      </c>
      <c r="Y149" s="115">
        <f t="shared" si="114"/>
        <v>0.26073529851033844</v>
      </c>
      <c r="Z149" s="115">
        <f t="shared" si="115"/>
        <v>0.76829799023739809</v>
      </c>
      <c r="AA149" s="118">
        <f t="shared" si="116"/>
        <v>730.89027608696586</v>
      </c>
      <c r="AB149" s="112">
        <f t="shared" si="117"/>
        <v>867.09603210162845</v>
      </c>
      <c r="AC149" s="112">
        <f t="shared" si="118"/>
        <v>36.774008025407113</v>
      </c>
      <c r="AD149" s="112">
        <f t="shared" si="119"/>
        <v>50.552832513193664</v>
      </c>
      <c r="AE149" s="112">
        <f t="shared" si="120"/>
        <v>39.447167486806336</v>
      </c>
      <c r="AF149" s="112">
        <f t="shared" si="121"/>
        <v>1.9580015532433121E-2</v>
      </c>
      <c r="AG149" s="112">
        <f t="shared" si="122"/>
        <v>39.466747502338769</v>
      </c>
      <c r="AH149" s="112">
        <f t="shared" si="123"/>
        <v>230.82653718706564</v>
      </c>
      <c r="AJ149" s="119">
        <f t="shared" si="124"/>
        <v>0.6166666666666657</v>
      </c>
      <c r="AK149" s="112">
        <f t="shared" si="125"/>
        <v>0</v>
      </c>
      <c r="AL149" s="112">
        <f t="shared" si="126"/>
        <v>0</v>
      </c>
      <c r="AM149" s="116">
        <f t="shared" si="127"/>
        <v>0</v>
      </c>
      <c r="AN149" s="116">
        <f t="shared" si="139"/>
        <v>1.6373343080203115</v>
      </c>
      <c r="AO149" s="116">
        <f t="shared" si="140"/>
        <v>2.0999999999999925</v>
      </c>
      <c r="AQ149" s="131">
        <f t="shared" si="128"/>
        <v>2.0999999999999925</v>
      </c>
      <c r="AR149" s="131">
        <f t="shared" si="129"/>
        <v>1.6373343080203115</v>
      </c>
      <c r="AS149" s="131">
        <f t="shared" si="130"/>
        <v>3.4384020468426422</v>
      </c>
      <c r="AT149" s="131">
        <f t="shared" si="131"/>
        <v>7.2206442983695229</v>
      </c>
      <c r="AU149" s="131">
        <f t="shared" si="132"/>
        <v>15.163353026575944</v>
      </c>
      <c r="AV149" s="131">
        <f t="shared" si="133"/>
        <v>4.4099999999999691</v>
      </c>
      <c r="AW149" s="131">
        <f t="shared" si="134"/>
        <v>9.2609999999999015</v>
      </c>
      <c r="AX149" s="131">
        <f t="shared" si="135"/>
        <v>19.448099999999727</v>
      </c>
      <c r="AY149" s="131">
        <f t="shared" si="136"/>
        <v>40.84100999999928</v>
      </c>
      <c r="AZ149" s="131">
        <f t="shared" si="137"/>
        <v>85.766120999998193</v>
      </c>
      <c r="BE149" s="116">
        <f t="shared" si="95"/>
        <v>1.637334490328975</v>
      </c>
    </row>
    <row r="150" spans="4:57">
      <c r="D150" s="114">
        <f t="shared" si="96"/>
        <v>41173</v>
      </c>
      <c r="E150" s="115">
        <f t="shared" si="138"/>
        <v>0.62083333333333235</v>
      </c>
      <c r="F150" s="116">
        <f t="shared" si="97"/>
        <v>2456192.1208333331</v>
      </c>
      <c r="G150" s="117">
        <f t="shared" si="98"/>
        <v>0.1272312343143906</v>
      </c>
      <c r="I150" s="112">
        <f t="shared" si="99"/>
        <v>180.88884664730995</v>
      </c>
      <c r="J150" s="112">
        <f t="shared" si="100"/>
        <v>4937.732710054458</v>
      </c>
      <c r="K150" s="112">
        <f t="shared" si="101"/>
        <v>1.6703283529610514E-2</v>
      </c>
      <c r="L150" s="112">
        <f t="shared" si="102"/>
        <v>-1.8617588465753019</v>
      </c>
      <c r="M150" s="112">
        <f t="shared" si="103"/>
        <v>179.02708780073465</v>
      </c>
      <c r="N150" s="112">
        <f t="shared" si="104"/>
        <v>4935.8709512078831</v>
      </c>
      <c r="O150" s="112">
        <f t="shared" si="105"/>
        <v>1.0038149565430734</v>
      </c>
      <c r="P150" s="112">
        <f t="shared" si="106"/>
        <v>179.02549323271074</v>
      </c>
      <c r="Q150" s="112">
        <f t="shared" si="107"/>
        <v>23.437636573319118</v>
      </c>
      <c r="R150" s="112">
        <f t="shared" si="108"/>
        <v>23.436316448113377</v>
      </c>
      <c r="S150" s="112">
        <f t="shared" si="94"/>
        <v>179.1058737594436</v>
      </c>
      <c r="T150" s="112">
        <f t="shared" si="109"/>
        <v>0.38757437936273853</v>
      </c>
      <c r="U150" s="112">
        <f t="shared" si="110"/>
        <v>4.3023296378843091E-2</v>
      </c>
      <c r="V150" s="112">
        <f t="shared" si="111"/>
        <v>7.0975041161008434</v>
      </c>
      <c r="W150" s="112">
        <f t="shared" si="112"/>
        <v>91.360017739016001</v>
      </c>
      <c r="X150" s="115">
        <f t="shared" si="113"/>
        <v>0.51451562214159663</v>
      </c>
      <c r="Y150" s="115">
        <f t="shared" si="114"/>
        <v>0.26073779508877443</v>
      </c>
      <c r="Z150" s="115">
        <f t="shared" si="115"/>
        <v>0.76829344919441889</v>
      </c>
      <c r="AA150" s="118">
        <f t="shared" si="116"/>
        <v>730.88014191212801</v>
      </c>
      <c r="AB150" s="112">
        <f t="shared" si="117"/>
        <v>873.09750411609946</v>
      </c>
      <c r="AC150" s="112">
        <f t="shared" si="118"/>
        <v>38.274376029024864</v>
      </c>
      <c r="AD150" s="112">
        <f t="shared" si="119"/>
        <v>51.480496332748437</v>
      </c>
      <c r="AE150" s="112">
        <f t="shared" si="120"/>
        <v>38.519503667251563</v>
      </c>
      <c r="AF150" s="112">
        <f t="shared" si="121"/>
        <v>2.0236714375184369E-2</v>
      </c>
      <c r="AG150" s="112">
        <f t="shared" si="122"/>
        <v>38.53974038162675</v>
      </c>
      <c r="AH150" s="112">
        <f t="shared" si="123"/>
        <v>232.34355561472603</v>
      </c>
      <c r="AJ150" s="119">
        <f t="shared" si="124"/>
        <v>0.62083333333333235</v>
      </c>
      <c r="AK150" s="112">
        <f t="shared" si="125"/>
        <v>0</v>
      </c>
      <c r="AL150" s="112">
        <f t="shared" si="126"/>
        <v>0</v>
      </c>
      <c r="AM150" s="116">
        <f t="shared" si="127"/>
        <v>0</v>
      </c>
      <c r="AN150" s="116">
        <f t="shared" si="139"/>
        <v>1.6373343080203115</v>
      </c>
      <c r="AO150" s="116">
        <f t="shared" si="140"/>
        <v>2.0999999999999925</v>
      </c>
      <c r="AQ150" s="131">
        <f t="shared" si="128"/>
        <v>2.0999999999999925</v>
      </c>
      <c r="AR150" s="131">
        <f t="shared" si="129"/>
        <v>1.6373343080203115</v>
      </c>
      <c r="AS150" s="131">
        <f t="shared" si="130"/>
        <v>3.4384020468426422</v>
      </c>
      <c r="AT150" s="131">
        <f t="shared" si="131"/>
        <v>7.2206442983695229</v>
      </c>
      <c r="AU150" s="131">
        <f t="shared" si="132"/>
        <v>15.163353026575944</v>
      </c>
      <c r="AV150" s="131">
        <f t="shared" si="133"/>
        <v>4.4099999999999691</v>
      </c>
      <c r="AW150" s="131">
        <f t="shared" si="134"/>
        <v>9.2609999999999015</v>
      </c>
      <c r="AX150" s="131">
        <f t="shared" si="135"/>
        <v>19.448099999999727</v>
      </c>
      <c r="AY150" s="131">
        <f t="shared" si="136"/>
        <v>40.84100999999928</v>
      </c>
      <c r="AZ150" s="131">
        <f t="shared" si="137"/>
        <v>85.766120999998193</v>
      </c>
      <c r="BE150" s="116">
        <f t="shared" si="95"/>
        <v>1.637334490328975</v>
      </c>
    </row>
    <row r="151" spans="4:57">
      <c r="D151" s="114">
        <f t="shared" si="96"/>
        <v>41173</v>
      </c>
      <c r="E151" s="115">
        <f t="shared" si="138"/>
        <v>0.624999999999999</v>
      </c>
      <c r="F151" s="116">
        <f t="shared" si="97"/>
        <v>2456192.125</v>
      </c>
      <c r="G151" s="117">
        <f t="shared" si="98"/>
        <v>0.12723134839151265</v>
      </c>
      <c r="I151" s="112">
        <f t="shared" si="99"/>
        <v>180.89295351153305</v>
      </c>
      <c r="J151" s="112">
        <f t="shared" si="100"/>
        <v>4937.7368167225068</v>
      </c>
      <c r="K151" s="112">
        <f t="shared" si="101"/>
        <v>1.6703283524811378E-2</v>
      </c>
      <c r="L151" s="112">
        <f t="shared" si="102"/>
        <v>-1.8617905576822364</v>
      </c>
      <c r="M151" s="112">
        <f t="shared" si="103"/>
        <v>179.03116295385081</v>
      </c>
      <c r="N151" s="112">
        <f t="shared" si="104"/>
        <v>4935.8750261648247</v>
      </c>
      <c r="O151" s="112">
        <f t="shared" si="105"/>
        <v>1.0038137953802029</v>
      </c>
      <c r="P151" s="112">
        <f t="shared" si="106"/>
        <v>179.02956837633468</v>
      </c>
      <c r="Q151" s="112">
        <f t="shared" si="107"/>
        <v>23.437636571835636</v>
      </c>
      <c r="R151" s="112">
        <f t="shared" si="108"/>
        <v>23.436316438183443</v>
      </c>
      <c r="S151" s="112">
        <f t="shared" si="94"/>
        <v>179.10961288508253</v>
      </c>
      <c r="T151" s="112">
        <f t="shared" si="109"/>
        <v>0.38595377081247245</v>
      </c>
      <c r="U151" s="112">
        <f t="shared" si="110"/>
        <v>4.3023296341348417E-2</v>
      </c>
      <c r="V151" s="112">
        <f t="shared" si="111"/>
        <v>7.0989761043947075</v>
      </c>
      <c r="W151" s="112">
        <f t="shared" si="112"/>
        <v>91.358750964796172</v>
      </c>
      <c r="X151" s="115">
        <f t="shared" si="113"/>
        <v>0.51451459992750359</v>
      </c>
      <c r="Y151" s="115">
        <f t="shared" si="114"/>
        <v>0.26074029169195867</v>
      </c>
      <c r="Z151" s="115">
        <f t="shared" si="115"/>
        <v>0.76828890816304851</v>
      </c>
      <c r="AA151" s="118">
        <f t="shared" si="116"/>
        <v>730.87000771836938</v>
      </c>
      <c r="AB151" s="112">
        <f t="shared" si="117"/>
        <v>879.09897610439327</v>
      </c>
      <c r="AC151" s="112">
        <f t="shared" si="118"/>
        <v>39.774744026098318</v>
      </c>
      <c r="AD151" s="112">
        <f t="shared" si="119"/>
        <v>52.42702521737003</v>
      </c>
      <c r="AE151" s="112">
        <f t="shared" si="120"/>
        <v>37.57297478262997</v>
      </c>
      <c r="AF151" s="112">
        <f t="shared" si="121"/>
        <v>2.0934624490550474E-2</v>
      </c>
      <c r="AG151" s="112">
        <f t="shared" si="122"/>
        <v>37.59390940712052</v>
      </c>
      <c r="AH151" s="112">
        <f t="shared" si="123"/>
        <v>233.82179282890706</v>
      </c>
      <c r="AJ151" s="119">
        <f t="shared" si="124"/>
        <v>0.624999999999999</v>
      </c>
      <c r="AK151" s="112">
        <f t="shared" si="125"/>
        <v>0</v>
      </c>
      <c r="AL151" s="112">
        <f t="shared" si="126"/>
        <v>0</v>
      </c>
      <c r="AM151" s="116">
        <f t="shared" si="127"/>
        <v>0</v>
      </c>
      <c r="AN151" s="116">
        <f t="shared" si="139"/>
        <v>1.6373343080203115</v>
      </c>
      <c r="AO151" s="116">
        <f t="shared" si="140"/>
        <v>2.0999999999999925</v>
      </c>
      <c r="AQ151" s="131">
        <f t="shared" si="128"/>
        <v>2.0999999999999925</v>
      </c>
      <c r="AR151" s="131">
        <f t="shared" si="129"/>
        <v>1.6373343080203115</v>
      </c>
      <c r="AS151" s="131">
        <f t="shared" si="130"/>
        <v>3.4384020468426422</v>
      </c>
      <c r="AT151" s="131">
        <f t="shared" si="131"/>
        <v>7.2206442983695229</v>
      </c>
      <c r="AU151" s="131">
        <f t="shared" si="132"/>
        <v>15.163353026575944</v>
      </c>
      <c r="AV151" s="131">
        <f t="shared" si="133"/>
        <v>4.4099999999999691</v>
      </c>
      <c r="AW151" s="131">
        <f t="shared" si="134"/>
        <v>9.2609999999999015</v>
      </c>
      <c r="AX151" s="131">
        <f t="shared" si="135"/>
        <v>19.448099999999727</v>
      </c>
      <c r="AY151" s="131">
        <f t="shared" si="136"/>
        <v>40.84100999999928</v>
      </c>
      <c r="AZ151" s="131">
        <f t="shared" si="137"/>
        <v>85.766120999998193</v>
      </c>
      <c r="BE151" s="116">
        <f t="shared" si="95"/>
        <v>1.637334490328975</v>
      </c>
    </row>
    <row r="152" spans="4:57">
      <c r="D152" s="114">
        <f t="shared" si="96"/>
        <v>41173</v>
      </c>
      <c r="E152" s="115">
        <f t="shared" si="138"/>
        <v>0.62916666666666565</v>
      </c>
      <c r="F152" s="116">
        <f t="shared" si="97"/>
        <v>2456192.1291666669</v>
      </c>
      <c r="G152" s="117">
        <f t="shared" si="98"/>
        <v>0.12723146246863473</v>
      </c>
      <c r="I152" s="112">
        <f t="shared" si="99"/>
        <v>180.89706037575706</v>
      </c>
      <c r="J152" s="112">
        <f t="shared" si="100"/>
        <v>4937.7409233905582</v>
      </c>
      <c r="K152" s="112">
        <f t="shared" si="101"/>
        <v>1.6703283520012237E-2</v>
      </c>
      <c r="L152" s="112">
        <f t="shared" si="102"/>
        <v>-1.8618222593619531</v>
      </c>
      <c r="M152" s="112">
        <f t="shared" si="103"/>
        <v>179.03523811639511</v>
      </c>
      <c r="N152" s="112">
        <f t="shared" si="104"/>
        <v>4935.879101131196</v>
      </c>
      <c r="O152" s="112">
        <f t="shared" si="105"/>
        <v>1.0038126341965505</v>
      </c>
      <c r="P152" s="112">
        <f t="shared" si="106"/>
        <v>179.03364352938669</v>
      </c>
      <c r="Q152" s="112">
        <f t="shared" si="107"/>
        <v>23.437636570352158</v>
      </c>
      <c r="R152" s="112">
        <f t="shared" si="108"/>
        <v>23.436316428253537</v>
      </c>
      <c r="S152" s="112">
        <f t="shared" si="94"/>
        <v>179.11335201794785</v>
      </c>
      <c r="T152" s="112">
        <f t="shared" si="109"/>
        <v>0.38433315687044756</v>
      </c>
      <c r="U152" s="112">
        <f t="shared" si="110"/>
        <v>4.3023296303853861E-2</v>
      </c>
      <c r="V152" s="112">
        <f t="shared" si="111"/>
        <v>7.1004480663234952</v>
      </c>
      <c r="W152" s="112">
        <f t="shared" si="112"/>
        <v>91.357484188354803</v>
      </c>
      <c r="X152" s="115">
        <f t="shared" si="113"/>
        <v>0.5145135777317198</v>
      </c>
      <c r="Y152" s="115">
        <f t="shared" si="114"/>
        <v>0.26074278831962311</v>
      </c>
      <c r="Z152" s="115">
        <f t="shared" si="115"/>
        <v>0.76828436714381643</v>
      </c>
      <c r="AA152" s="118">
        <f t="shared" si="116"/>
        <v>730.85987350683843</v>
      </c>
      <c r="AB152" s="112">
        <f t="shared" si="117"/>
        <v>885.10044806632197</v>
      </c>
      <c r="AC152" s="112">
        <f t="shared" si="118"/>
        <v>41.275112016580493</v>
      </c>
      <c r="AD152" s="112">
        <f t="shared" si="119"/>
        <v>53.391319144741018</v>
      </c>
      <c r="AE152" s="112">
        <f t="shared" si="120"/>
        <v>36.608680855258982</v>
      </c>
      <c r="AF152" s="112">
        <f t="shared" si="121"/>
        <v>2.1676836240812482E-2</v>
      </c>
      <c r="AG152" s="112">
        <f t="shared" si="122"/>
        <v>36.630357691499796</v>
      </c>
      <c r="AH152" s="112">
        <f t="shared" si="123"/>
        <v>235.26279256391592</v>
      </c>
      <c r="AJ152" s="119">
        <f t="shared" si="124"/>
        <v>0.62916666666666565</v>
      </c>
      <c r="AK152" s="112">
        <f t="shared" si="125"/>
        <v>0</v>
      </c>
      <c r="AL152" s="112">
        <f t="shared" si="126"/>
        <v>0</v>
      </c>
      <c r="AM152" s="116">
        <f t="shared" si="127"/>
        <v>0</v>
      </c>
      <c r="AN152" s="116">
        <f t="shared" si="139"/>
        <v>1.6373343080203115</v>
      </c>
      <c r="AO152" s="116">
        <f t="shared" si="140"/>
        <v>2.0999999999999925</v>
      </c>
      <c r="AQ152" s="131">
        <f t="shared" si="128"/>
        <v>2.0999999999999925</v>
      </c>
      <c r="AR152" s="131">
        <f t="shared" si="129"/>
        <v>1.6373343080203115</v>
      </c>
      <c r="AS152" s="131">
        <f t="shared" si="130"/>
        <v>3.4384020468426422</v>
      </c>
      <c r="AT152" s="131">
        <f t="shared" si="131"/>
        <v>7.2206442983695229</v>
      </c>
      <c r="AU152" s="131">
        <f t="shared" si="132"/>
        <v>15.163353026575944</v>
      </c>
      <c r="AV152" s="131">
        <f t="shared" si="133"/>
        <v>4.4099999999999691</v>
      </c>
      <c r="AW152" s="131">
        <f t="shared" si="134"/>
        <v>9.2609999999999015</v>
      </c>
      <c r="AX152" s="131">
        <f t="shared" si="135"/>
        <v>19.448099999999727</v>
      </c>
      <c r="AY152" s="131">
        <f t="shared" si="136"/>
        <v>40.84100999999928</v>
      </c>
      <c r="AZ152" s="131">
        <f t="shared" si="137"/>
        <v>85.766120999998193</v>
      </c>
      <c r="BE152" s="116">
        <f t="shared" si="95"/>
        <v>1.637334490328975</v>
      </c>
    </row>
    <row r="153" spans="4:57">
      <c r="D153" s="114">
        <f t="shared" si="96"/>
        <v>41173</v>
      </c>
      <c r="E153" s="115">
        <f t="shared" si="138"/>
        <v>0.6333333333333323</v>
      </c>
      <c r="F153" s="116">
        <f t="shared" si="97"/>
        <v>2456192.1333333333</v>
      </c>
      <c r="G153" s="117">
        <f t="shared" si="98"/>
        <v>0.12723157654574407</v>
      </c>
      <c r="I153" s="112">
        <f t="shared" si="99"/>
        <v>180.90116723952087</v>
      </c>
      <c r="J153" s="112">
        <f t="shared" si="100"/>
        <v>4937.7450300581486</v>
      </c>
      <c r="K153" s="112">
        <f t="shared" si="101"/>
        <v>1.6703283515213101E-2</v>
      </c>
      <c r="L153" s="112">
        <f t="shared" si="102"/>
        <v>-1.8618539516106754</v>
      </c>
      <c r="M153" s="112">
        <f t="shared" si="103"/>
        <v>179.0393132879102</v>
      </c>
      <c r="N153" s="112">
        <f t="shared" si="104"/>
        <v>4935.8831761065376</v>
      </c>
      <c r="O153" s="112">
        <f t="shared" si="105"/>
        <v>1.0038114729922527</v>
      </c>
      <c r="P153" s="112">
        <f t="shared" si="106"/>
        <v>179.03771869140948</v>
      </c>
      <c r="Q153" s="112">
        <f t="shared" si="107"/>
        <v>23.437636568868676</v>
      </c>
      <c r="R153" s="112">
        <f t="shared" si="108"/>
        <v>23.436316418323646</v>
      </c>
      <c r="S153" s="112">
        <f t="shared" si="94"/>
        <v>179.11709115762588</v>
      </c>
      <c r="T153" s="112">
        <f t="shared" si="109"/>
        <v>0.38271253772541997</v>
      </c>
      <c r="U153" s="112">
        <f t="shared" si="110"/>
        <v>4.302329626635934E-2</v>
      </c>
      <c r="V153" s="112">
        <f t="shared" si="111"/>
        <v>7.1019200016975859</v>
      </c>
      <c r="W153" s="112">
        <f t="shared" si="112"/>
        <v>91.356217409836788</v>
      </c>
      <c r="X153" s="115">
        <f t="shared" si="113"/>
        <v>0.51451255555437669</v>
      </c>
      <c r="Y153" s="115">
        <f t="shared" si="114"/>
        <v>0.26074528497149674</v>
      </c>
      <c r="Z153" s="115">
        <f t="shared" si="115"/>
        <v>0.76827982613725665</v>
      </c>
      <c r="AA153" s="118">
        <f t="shared" si="116"/>
        <v>730.8497392786943</v>
      </c>
      <c r="AB153" s="112">
        <f t="shared" si="117"/>
        <v>891.10192000169616</v>
      </c>
      <c r="AC153" s="112">
        <f t="shared" si="118"/>
        <v>42.775480000424039</v>
      </c>
      <c r="AD153" s="112">
        <f t="shared" si="119"/>
        <v>54.372332829025801</v>
      </c>
      <c r="AE153" s="112">
        <f t="shared" si="120"/>
        <v>35.627667170974199</v>
      </c>
      <c r="AF153" s="112">
        <f t="shared" si="121"/>
        <v>2.2466878595905085E-2</v>
      </c>
      <c r="AG153" s="112">
        <f t="shared" si="122"/>
        <v>35.650134049570106</v>
      </c>
      <c r="AH153" s="112">
        <f t="shared" si="123"/>
        <v>236.66810931378467</v>
      </c>
      <c r="AJ153" s="119">
        <f t="shared" si="124"/>
        <v>0.6333333333333323</v>
      </c>
      <c r="AK153" s="112">
        <f t="shared" si="125"/>
        <v>0</v>
      </c>
      <c r="AL153" s="112">
        <f t="shared" si="126"/>
        <v>0</v>
      </c>
      <c r="AM153" s="116">
        <f t="shared" si="127"/>
        <v>0</v>
      </c>
      <c r="AN153" s="116">
        <f t="shared" si="139"/>
        <v>1.6373343080203115</v>
      </c>
      <c r="AO153" s="116">
        <f t="shared" si="140"/>
        <v>2.0999999999999925</v>
      </c>
      <c r="AQ153" s="131">
        <f t="shared" si="128"/>
        <v>2.0999999999999925</v>
      </c>
      <c r="AR153" s="131">
        <f t="shared" si="129"/>
        <v>1.6373343080203115</v>
      </c>
      <c r="AS153" s="131">
        <f t="shared" si="130"/>
        <v>3.4384020468426422</v>
      </c>
      <c r="AT153" s="131">
        <f t="shared" si="131"/>
        <v>7.2206442983695229</v>
      </c>
      <c r="AU153" s="131">
        <f t="shared" si="132"/>
        <v>15.163353026575944</v>
      </c>
      <c r="AV153" s="131">
        <f t="shared" si="133"/>
        <v>4.4099999999999691</v>
      </c>
      <c r="AW153" s="131">
        <f t="shared" si="134"/>
        <v>9.2609999999999015</v>
      </c>
      <c r="AX153" s="131">
        <f t="shared" si="135"/>
        <v>19.448099999999727</v>
      </c>
      <c r="AY153" s="131">
        <f t="shared" si="136"/>
        <v>40.84100999999928</v>
      </c>
      <c r="AZ153" s="131">
        <f t="shared" si="137"/>
        <v>85.766120999998193</v>
      </c>
      <c r="BE153" s="116">
        <f t="shared" si="95"/>
        <v>1.637334490328975</v>
      </c>
    </row>
    <row r="154" spans="4:57">
      <c r="D154" s="114">
        <f t="shared" si="96"/>
        <v>41173</v>
      </c>
      <c r="E154" s="115">
        <f t="shared" si="138"/>
        <v>0.63749999999999896</v>
      </c>
      <c r="F154" s="116">
        <f t="shared" si="97"/>
        <v>2456192.1375000002</v>
      </c>
      <c r="G154" s="117">
        <f t="shared" si="98"/>
        <v>0.12723169062286616</v>
      </c>
      <c r="I154" s="112">
        <f t="shared" si="99"/>
        <v>180.90527410374489</v>
      </c>
      <c r="J154" s="112">
        <f t="shared" si="100"/>
        <v>4937.7491367262</v>
      </c>
      <c r="K154" s="112">
        <f t="shared" si="101"/>
        <v>1.6703283510413964E-2</v>
      </c>
      <c r="L154" s="112">
        <f t="shared" si="102"/>
        <v>-1.8618856344353154</v>
      </c>
      <c r="M154" s="112">
        <f t="shared" si="103"/>
        <v>179.04338846930958</v>
      </c>
      <c r="N154" s="112">
        <f t="shared" si="104"/>
        <v>4935.8872510917645</v>
      </c>
      <c r="O154" s="112">
        <f t="shared" si="105"/>
        <v>1.0038103117670552</v>
      </c>
      <c r="P154" s="112">
        <f t="shared" si="106"/>
        <v>179.04179386331646</v>
      </c>
      <c r="Q154" s="112">
        <f t="shared" si="107"/>
        <v>23.437636567385198</v>
      </c>
      <c r="R154" s="112">
        <f t="shared" si="108"/>
        <v>23.436316408393775</v>
      </c>
      <c r="S154" s="112">
        <f t="shared" si="94"/>
        <v>179.12083030496072</v>
      </c>
      <c r="T154" s="112">
        <f t="shared" si="109"/>
        <v>0.38109191302102657</v>
      </c>
      <c r="U154" s="112">
        <f t="shared" si="110"/>
        <v>4.3023296228864909E-2</v>
      </c>
      <c r="V154" s="112">
        <f t="shared" si="111"/>
        <v>7.1033919108225971</v>
      </c>
      <c r="W154" s="112">
        <f t="shared" si="112"/>
        <v>91.35495062896095</v>
      </c>
      <c r="X154" s="115">
        <f t="shared" si="113"/>
        <v>0.51451153339526212</v>
      </c>
      <c r="Y154" s="115">
        <f t="shared" si="114"/>
        <v>0.26074778164814838</v>
      </c>
      <c r="Z154" s="115">
        <f t="shared" si="115"/>
        <v>0.76827528514237586</v>
      </c>
      <c r="AA154" s="118">
        <f t="shared" si="116"/>
        <v>730.8396050316876</v>
      </c>
      <c r="AB154" s="112">
        <f t="shared" si="117"/>
        <v>897.10339191082107</v>
      </c>
      <c r="AC154" s="112">
        <f t="shared" si="118"/>
        <v>44.275847977705268</v>
      </c>
      <c r="AD154" s="112">
        <f t="shared" si="119"/>
        <v>55.36907402575855</v>
      </c>
      <c r="AE154" s="112">
        <f t="shared" si="120"/>
        <v>34.63092597424145</v>
      </c>
      <c r="AF154" s="112">
        <f t="shared" si="121"/>
        <v>2.3308785837627573E-2</v>
      </c>
      <c r="AG154" s="112">
        <f t="shared" si="122"/>
        <v>34.654234760079078</v>
      </c>
      <c r="AH154" s="112">
        <f t="shared" si="123"/>
        <v>238.03929656748986</v>
      </c>
      <c r="AJ154" s="119">
        <f t="shared" si="124"/>
        <v>0.63749999999999896</v>
      </c>
      <c r="AK154" s="112">
        <f t="shared" si="125"/>
        <v>0</v>
      </c>
      <c r="AL154" s="112">
        <f t="shared" si="126"/>
        <v>0</v>
      </c>
      <c r="AM154" s="116">
        <f t="shared" si="127"/>
        <v>0</v>
      </c>
      <c r="AN154" s="116">
        <f t="shared" si="139"/>
        <v>1.6373343080203115</v>
      </c>
      <c r="AO154" s="116">
        <f t="shared" si="140"/>
        <v>2.0999999999999925</v>
      </c>
      <c r="AQ154" s="131">
        <f t="shared" si="128"/>
        <v>2.0999999999999925</v>
      </c>
      <c r="AR154" s="131">
        <f t="shared" si="129"/>
        <v>1.6373343080203115</v>
      </c>
      <c r="AS154" s="131">
        <f t="shared" si="130"/>
        <v>3.4384020468426422</v>
      </c>
      <c r="AT154" s="131">
        <f t="shared" si="131"/>
        <v>7.2206442983695229</v>
      </c>
      <c r="AU154" s="131">
        <f t="shared" si="132"/>
        <v>15.163353026575944</v>
      </c>
      <c r="AV154" s="131">
        <f t="shared" si="133"/>
        <v>4.4099999999999691</v>
      </c>
      <c r="AW154" s="131">
        <f t="shared" si="134"/>
        <v>9.2609999999999015</v>
      </c>
      <c r="AX154" s="131">
        <f t="shared" si="135"/>
        <v>19.448099999999727</v>
      </c>
      <c r="AY154" s="131">
        <f t="shared" si="136"/>
        <v>40.84100999999928</v>
      </c>
      <c r="AZ154" s="131">
        <f t="shared" si="137"/>
        <v>85.766120999998193</v>
      </c>
      <c r="BE154" s="116">
        <f t="shared" si="95"/>
        <v>1.637334490328975</v>
      </c>
    </row>
    <row r="155" spans="4:57">
      <c r="D155" s="114">
        <f t="shared" si="96"/>
        <v>41173</v>
      </c>
      <c r="E155" s="115">
        <f t="shared" si="138"/>
        <v>0.64166666666666561</v>
      </c>
      <c r="F155" s="116">
        <f t="shared" si="97"/>
        <v>2456192.1416666666</v>
      </c>
      <c r="G155" s="117">
        <f t="shared" si="98"/>
        <v>0.1272318046999755</v>
      </c>
      <c r="I155" s="112">
        <f t="shared" si="99"/>
        <v>180.90938096751051</v>
      </c>
      <c r="J155" s="112">
        <f t="shared" si="100"/>
        <v>4937.7532433937922</v>
      </c>
      <c r="K155" s="112">
        <f t="shared" si="101"/>
        <v>1.6703283505614827E-2</v>
      </c>
      <c r="L155" s="112">
        <f t="shared" si="102"/>
        <v>-1.8619173078285736</v>
      </c>
      <c r="M155" s="112">
        <f t="shared" si="103"/>
        <v>179.04746365968194</v>
      </c>
      <c r="N155" s="112">
        <f t="shared" si="104"/>
        <v>4935.8913260859636</v>
      </c>
      <c r="O155" s="112">
        <f t="shared" si="105"/>
        <v>1.0038091505212237</v>
      </c>
      <c r="P155" s="112">
        <f t="shared" si="106"/>
        <v>179.04586904419637</v>
      </c>
      <c r="Q155" s="112">
        <f t="shared" si="107"/>
        <v>23.437636565901716</v>
      </c>
      <c r="R155" s="112">
        <f t="shared" si="108"/>
        <v>23.436316398463923</v>
      </c>
      <c r="S155" s="112">
        <f t="shared" si="94"/>
        <v>179.12456945912226</v>
      </c>
      <c r="T155" s="112">
        <f t="shared" si="109"/>
        <v>0.37947128312655365</v>
      </c>
      <c r="U155" s="112">
        <f t="shared" si="110"/>
        <v>4.302329619137054E-2</v>
      </c>
      <c r="V155" s="112">
        <f t="shared" si="111"/>
        <v>7.1048637933449745</v>
      </c>
      <c r="W155" s="112">
        <f t="shared" si="112"/>
        <v>91.353683846013297</v>
      </c>
      <c r="X155" s="115">
        <f t="shared" si="113"/>
        <v>0.51451051125462155</v>
      </c>
      <c r="Y155" s="115">
        <f t="shared" si="114"/>
        <v>0.26075027834902909</v>
      </c>
      <c r="Z155" s="115">
        <f t="shared" si="115"/>
        <v>0.76827074416021401</v>
      </c>
      <c r="AA155" s="118">
        <f t="shared" si="116"/>
        <v>730.82947076810638</v>
      </c>
      <c r="AB155" s="112">
        <f t="shared" si="117"/>
        <v>903.1048637933435</v>
      </c>
      <c r="AC155" s="112">
        <f t="shared" si="118"/>
        <v>45.776215948335874</v>
      </c>
      <c r="AD155" s="112">
        <f t="shared" si="119"/>
        <v>56.380601577797172</v>
      </c>
      <c r="AE155" s="112">
        <f t="shared" si="120"/>
        <v>33.619398422202828</v>
      </c>
      <c r="AF155" s="112">
        <f t="shared" si="121"/>
        <v>2.420717760423971E-2</v>
      </c>
      <c r="AG155" s="112">
        <f t="shared" si="122"/>
        <v>33.643605599807067</v>
      </c>
      <c r="AH155" s="112">
        <f t="shared" si="123"/>
        <v>239.37789711129648</v>
      </c>
      <c r="AJ155" s="119">
        <f t="shared" si="124"/>
        <v>0.64166666666666561</v>
      </c>
      <c r="AK155" s="112">
        <f t="shared" si="125"/>
        <v>0</v>
      </c>
      <c r="AL155" s="112">
        <f t="shared" si="126"/>
        <v>0</v>
      </c>
      <c r="AM155" s="116">
        <f t="shared" si="127"/>
        <v>0</v>
      </c>
      <c r="AN155" s="116">
        <f t="shared" si="139"/>
        <v>1.6373343080203115</v>
      </c>
      <c r="AO155" s="116">
        <f t="shared" si="140"/>
        <v>2.0999999999999925</v>
      </c>
      <c r="AQ155" s="131">
        <f t="shared" si="128"/>
        <v>2.0999999999999925</v>
      </c>
      <c r="AR155" s="131">
        <f t="shared" si="129"/>
        <v>1.6373343080203115</v>
      </c>
      <c r="AS155" s="131">
        <f t="shared" si="130"/>
        <v>3.4384020468426422</v>
      </c>
      <c r="AT155" s="131">
        <f t="shared" si="131"/>
        <v>7.2206442983695229</v>
      </c>
      <c r="AU155" s="131">
        <f t="shared" si="132"/>
        <v>15.163353026575944</v>
      </c>
      <c r="AV155" s="131">
        <f t="shared" si="133"/>
        <v>4.4099999999999691</v>
      </c>
      <c r="AW155" s="131">
        <f t="shared" si="134"/>
        <v>9.2609999999999015</v>
      </c>
      <c r="AX155" s="131">
        <f t="shared" si="135"/>
        <v>19.448099999999727</v>
      </c>
      <c r="AY155" s="131">
        <f t="shared" si="136"/>
        <v>40.84100999999928</v>
      </c>
      <c r="AZ155" s="131">
        <f t="shared" si="137"/>
        <v>85.766120999998193</v>
      </c>
      <c r="BE155" s="116">
        <f t="shared" si="95"/>
        <v>1.637334490328975</v>
      </c>
    </row>
    <row r="156" spans="4:57">
      <c r="D156" s="114">
        <f t="shared" si="96"/>
        <v>41173</v>
      </c>
      <c r="E156" s="115">
        <f t="shared" si="138"/>
        <v>0.64583333333333226</v>
      </c>
      <c r="F156" s="116">
        <f t="shared" si="97"/>
        <v>2456192.1458333335</v>
      </c>
      <c r="G156" s="117">
        <f t="shared" si="98"/>
        <v>0.12723191877709755</v>
      </c>
      <c r="I156" s="112">
        <f t="shared" si="99"/>
        <v>180.91348783173362</v>
      </c>
      <c r="J156" s="112">
        <f t="shared" si="100"/>
        <v>4937.757350061841</v>
      </c>
      <c r="K156" s="112">
        <f t="shared" si="101"/>
        <v>1.670328350081569E-2</v>
      </c>
      <c r="L156" s="112">
        <f t="shared" si="102"/>
        <v>-1.8619489717973126</v>
      </c>
      <c r="M156" s="112">
        <f t="shared" si="103"/>
        <v>179.0515388599363</v>
      </c>
      <c r="N156" s="112">
        <f t="shared" si="104"/>
        <v>4935.8954010900434</v>
      </c>
      <c r="O156" s="112">
        <f t="shared" si="105"/>
        <v>1.0038079892545053</v>
      </c>
      <c r="P156" s="112">
        <f t="shared" si="106"/>
        <v>179.04994423495822</v>
      </c>
      <c r="Q156" s="112">
        <f t="shared" si="107"/>
        <v>23.437636564418238</v>
      </c>
      <c r="R156" s="112">
        <f t="shared" si="108"/>
        <v>23.436316388534092</v>
      </c>
      <c r="S156" s="112">
        <f t="shared" si="94"/>
        <v>179.12830862095052</v>
      </c>
      <c r="T156" s="112">
        <f t="shared" si="109"/>
        <v>0.37785064768738791</v>
      </c>
      <c r="U156" s="112">
        <f t="shared" si="110"/>
        <v>4.3023296153876255E-2</v>
      </c>
      <c r="V156" s="112">
        <f t="shared" si="111"/>
        <v>7.1063356495686625</v>
      </c>
      <c r="W156" s="112">
        <f t="shared" si="112"/>
        <v>91.352417060714018</v>
      </c>
      <c r="X156" s="115">
        <f t="shared" si="113"/>
        <v>0.51450948913224392</v>
      </c>
      <c r="Y156" s="115">
        <f t="shared" si="114"/>
        <v>0.26075277507470501</v>
      </c>
      <c r="Z156" s="115">
        <f t="shared" si="115"/>
        <v>0.76826620318978289</v>
      </c>
      <c r="AA156" s="118">
        <f t="shared" si="116"/>
        <v>730.81933648571214</v>
      </c>
      <c r="AB156" s="112">
        <f t="shared" si="117"/>
        <v>909.10633564956709</v>
      </c>
      <c r="AC156" s="112">
        <f t="shared" si="118"/>
        <v>47.276583912391771</v>
      </c>
      <c r="AD156" s="112">
        <f t="shared" si="119"/>
        <v>57.406023279581738</v>
      </c>
      <c r="AE156" s="112">
        <f t="shared" si="120"/>
        <v>32.593976720418262</v>
      </c>
      <c r="AF156" s="112">
        <f t="shared" si="121"/>
        <v>2.516735548080672E-2</v>
      </c>
      <c r="AG156" s="112">
        <f t="shared" si="122"/>
        <v>32.619144075899065</v>
      </c>
      <c r="AH156" s="112">
        <f t="shared" si="123"/>
        <v>240.68543516312934</v>
      </c>
      <c r="AJ156" s="119">
        <f t="shared" si="124"/>
        <v>0.64583333333333226</v>
      </c>
      <c r="AK156" s="112">
        <f t="shared" si="125"/>
        <v>0</v>
      </c>
      <c r="AL156" s="112">
        <f t="shared" si="126"/>
        <v>0</v>
      </c>
      <c r="AM156" s="116">
        <f t="shared" si="127"/>
        <v>0</v>
      </c>
      <c r="AN156" s="116">
        <f t="shared" si="139"/>
        <v>1.6373343080203115</v>
      </c>
      <c r="AO156" s="116">
        <f t="shared" si="140"/>
        <v>2.0999999999999925</v>
      </c>
      <c r="AQ156" s="131">
        <f t="shared" si="128"/>
        <v>2.0999999999999925</v>
      </c>
      <c r="AR156" s="131">
        <f t="shared" si="129"/>
        <v>1.6373343080203115</v>
      </c>
      <c r="AS156" s="131">
        <f t="shared" si="130"/>
        <v>3.4384020468426422</v>
      </c>
      <c r="AT156" s="131">
        <f t="shared" si="131"/>
        <v>7.2206442983695229</v>
      </c>
      <c r="AU156" s="131">
        <f t="shared" si="132"/>
        <v>15.163353026575944</v>
      </c>
      <c r="AV156" s="131">
        <f t="shared" si="133"/>
        <v>4.4099999999999691</v>
      </c>
      <c r="AW156" s="131">
        <f t="shared" si="134"/>
        <v>9.2609999999999015</v>
      </c>
      <c r="AX156" s="131">
        <f t="shared" si="135"/>
        <v>19.448099999999727</v>
      </c>
      <c r="AY156" s="131">
        <f t="shared" si="136"/>
        <v>40.84100999999928</v>
      </c>
      <c r="AZ156" s="131">
        <f t="shared" si="137"/>
        <v>85.766120999998193</v>
      </c>
      <c r="BE156" s="116">
        <f t="shared" si="95"/>
        <v>1.637334490328975</v>
      </c>
    </row>
    <row r="157" spans="4:57">
      <c r="D157" s="114">
        <f t="shared" si="96"/>
        <v>41173</v>
      </c>
      <c r="E157" s="115">
        <f t="shared" si="138"/>
        <v>0.64999999999999891</v>
      </c>
      <c r="F157" s="116">
        <f t="shared" si="97"/>
        <v>2456192.15</v>
      </c>
      <c r="G157" s="117">
        <f t="shared" si="98"/>
        <v>0.12723203285420689</v>
      </c>
      <c r="I157" s="112">
        <f t="shared" si="99"/>
        <v>180.91759469549743</v>
      </c>
      <c r="J157" s="112">
        <f t="shared" si="100"/>
        <v>4937.7614567294322</v>
      </c>
      <c r="K157" s="112">
        <f t="shared" si="101"/>
        <v>1.670328349601655E-2</v>
      </c>
      <c r="L157" s="112">
        <f t="shared" si="102"/>
        <v>-1.8619806263342817</v>
      </c>
      <c r="M157" s="112">
        <f t="shared" si="103"/>
        <v>179.05561406916314</v>
      </c>
      <c r="N157" s="112">
        <f t="shared" si="104"/>
        <v>4935.8994761030981</v>
      </c>
      <c r="O157" s="112">
        <f t="shared" si="105"/>
        <v>1.0038068279671637</v>
      </c>
      <c r="P157" s="112">
        <f t="shared" si="106"/>
        <v>179.05401943469246</v>
      </c>
      <c r="Q157" s="112">
        <f t="shared" si="107"/>
        <v>23.437636562934756</v>
      </c>
      <c r="R157" s="112">
        <f t="shared" si="108"/>
        <v>23.436316378604278</v>
      </c>
      <c r="S157" s="112">
        <f t="shared" si="94"/>
        <v>179.13204778961685</v>
      </c>
      <c r="T157" s="112">
        <f t="shared" si="109"/>
        <v>0.37623000707214904</v>
      </c>
      <c r="U157" s="112">
        <f t="shared" si="110"/>
        <v>4.3023296116382032E-2</v>
      </c>
      <c r="V157" s="112">
        <f t="shared" si="111"/>
        <v>7.1078074791408845</v>
      </c>
      <c r="W157" s="112">
        <f t="shared" si="112"/>
        <v>91.351150273348637</v>
      </c>
      <c r="X157" s="115">
        <f t="shared" si="113"/>
        <v>0.51450846702837438</v>
      </c>
      <c r="Y157" s="115">
        <f t="shared" si="114"/>
        <v>0.26075527182462815</v>
      </c>
      <c r="Z157" s="115">
        <f t="shared" si="115"/>
        <v>0.76826166223212056</v>
      </c>
      <c r="AA157" s="118">
        <f t="shared" si="116"/>
        <v>730.80920218678909</v>
      </c>
      <c r="AB157" s="112">
        <f t="shared" si="117"/>
        <v>915.1078074791393</v>
      </c>
      <c r="AC157" s="112">
        <f t="shared" si="118"/>
        <v>48.776951869784824</v>
      </c>
      <c r="AD157" s="112">
        <f t="shared" si="119"/>
        <v>58.444493615811652</v>
      </c>
      <c r="AE157" s="112">
        <f t="shared" si="120"/>
        <v>31.555506384188348</v>
      </c>
      <c r="AF157" s="112">
        <f t="shared" si="121"/>
        <v>2.6195420223201031E-2</v>
      </c>
      <c r="AG157" s="112">
        <f t="shared" si="122"/>
        <v>31.581701804411548</v>
      </c>
      <c r="AH157" s="112">
        <f t="shared" si="123"/>
        <v>241.96341011930338</v>
      </c>
      <c r="AJ157" s="119">
        <f t="shared" si="124"/>
        <v>0.64999999999999891</v>
      </c>
      <c r="AK157" s="112">
        <f t="shared" si="125"/>
        <v>0</v>
      </c>
      <c r="AL157" s="112">
        <f t="shared" si="126"/>
        <v>0</v>
      </c>
      <c r="AM157" s="116">
        <f t="shared" si="127"/>
        <v>0</v>
      </c>
      <c r="AN157" s="116">
        <f t="shared" si="139"/>
        <v>1.6373343080203115</v>
      </c>
      <c r="AO157" s="116">
        <f t="shared" si="140"/>
        <v>2.0999999999999925</v>
      </c>
      <c r="AQ157" s="131">
        <f t="shared" si="128"/>
        <v>2.0999999999999925</v>
      </c>
      <c r="AR157" s="131">
        <f t="shared" si="129"/>
        <v>1.6373343080203115</v>
      </c>
      <c r="AS157" s="131">
        <f t="shared" si="130"/>
        <v>3.4384020468426422</v>
      </c>
      <c r="AT157" s="131">
        <f t="shared" si="131"/>
        <v>7.2206442983695229</v>
      </c>
      <c r="AU157" s="131">
        <f t="shared" si="132"/>
        <v>15.163353026575944</v>
      </c>
      <c r="AV157" s="131">
        <f t="shared" si="133"/>
        <v>4.4099999999999691</v>
      </c>
      <c r="AW157" s="131">
        <f t="shared" si="134"/>
        <v>9.2609999999999015</v>
      </c>
      <c r="AX157" s="131">
        <f t="shared" si="135"/>
        <v>19.448099999999727</v>
      </c>
      <c r="AY157" s="131">
        <f t="shared" si="136"/>
        <v>40.84100999999928</v>
      </c>
      <c r="AZ157" s="131">
        <f t="shared" si="137"/>
        <v>85.766120999998193</v>
      </c>
      <c r="BE157" s="116">
        <f t="shared" si="95"/>
        <v>1.637334490328975</v>
      </c>
    </row>
    <row r="158" spans="4:57">
      <c r="D158" s="114">
        <f t="shared" si="96"/>
        <v>41173</v>
      </c>
      <c r="E158" s="115">
        <f t="shared" si="138"/>
        <v>0.65416666666666556</v>
      </c>
      <c r="F158" s="116">
        <f t="shared" si="97"/>
        <v>2456192.1541666668</v>
      </c>
      <c r="G158" s="117">
        <f t="shared" si="98"/>
        <v>0.12723214693132898</v>
      </c>
      <c r="I158" s="112">
        <f t="shared" si="99"/>
        <v>180.92170155972144</v>
      </c>
      <c r="J158" s="112">
        <f t="shared" si="100"/>
        <v>4937.7655633974828</v>
      </c>
      <c r="K158" s="112">
        <f t="shared" si="101"/>
        <v>1.6703283491217413E-2</v>
      </c>
      <c r="L158" s="112">
        <f t="shared" si="102"/>
        <v>-1.8620122714463461</v>
      </c>
      <c r="M158" s="112">
        <f t="shared" si="103"/>
        <v>179.05968928827511</v>
      </c>
      <c r="N158" s="112">
        <f t="shared" si="104"/>
        <v>4935.9035511260363</v>
      </c>
      <c r="O158" s="112">
        <f t="shared" si="105"/>
        <v>1.0038056666589461</v>
      </c>
      <c r="P158" s="112">
        <f t="shared" si="106"/>
        <v>179.05809464431181</v>
      </c>
      <c r="Q158" s="112">
        <f t="shared" si="107"/>
        <v>23.437636561451278</v>
      </c>
      <c r="R158" s="112">
        <f t="shared" si="108"/>
        <v>23.436316368674486</v>
      </c>
      <c r="S158" s="112">
        <f t="shared" si="94"/>
        <v>179.13578696596474</v>
      </c>
      <c r="T158" s="112">
        <f t="shared" si="109"/>
        <v>0.37460936092474562</v>
      </c>
      <c r="U158" s="112">
        <f t="shared" si="110"/>
        <v>4.3023296078887906E-2</v>
      </c>
      <c r="V158" s="112">
        <f t="shared" si="111"/>
        <v>7.1092792823667894</v>
      </c>
      <c r="W158" s="112">
        <f t="shared" si="112"/>
        <v>91.349883483636148</v>
      </c>
      <c r="X158" s="115">
        <f t="shared" si="113"/>
        <v>0.51450744494280087</v>
      </c>
      <c r="Y158" s="115">
        <f t="shared" si="114"/>
        <v>0.26075776859936711</v>
      </c>
      <c r="Z158" s="115">
        <f t="shared" si="115"/>
        <v>0.76825712128623458</v>
      </c>
      <c r="AA158" s="118">
        <f t="shared" si="116"/>
        <v>730.79906786908919</v>
      </c>
      <c r="AB158" s="112">
        <f t="shared" si="117"/>
        <v>921.10927928236515</v>
      </c>
      <c r="AC158" s="112">
        <f t="shared" si="118"/>
        <v>50.277319820591288</v>
      </c>
      <c r="AD158" s="112">
        <f t="shared" si="119"/>
        <v>59.495211430125615</v>
      </c>
      <c r="AE158" s="112">
        <f t="shared" si="120"/>
        <v>30.504788569874385</v>
      </c>
      <c r="AF158" s="112">
        <f t="shared" si="121"/>
        <v>2.7298414893841948E-2</v>
      </c>
      <c r="AG158" s="112">
        <f t="shared" si="122"/>
        <v>30.532086984768227</v>
      </c>
      <c r="AH158" s="112">
        <f t="shared" si="123"/>
        <v>243.21329170081606</v>
      </c>
      <c r="AJ158" s="119">
        <f t="shared" si="124"/>
        <v>0.65416666666666556</v>
      </c>
      <c r="AK158" s="112">
        <f t="shared" si="125"/>
        <v>0</v>
      </c>
      <c r="AL158" s="112">
        <f t="shared" si="126"/>
        <v>0</v>
      </c>
      <c r="AM158" s="116">
        <f t="shared" si="127"/>
        <v>0</v>
      </c>
      <c r="AN158" s="116">
        <f t="shared" si="139"/>
        <v>1.6373343080203115</v>
      </c>
      <c r="AO158" s="116">
        <f t="shared" si="140"/>
        <v>2.0999999999999925</v>
      </c>
      <c r="AQ158" s="131">
        <f t="shared" si="128"/>
        <v>2.0999999999999925</v>
      </c>
      <c r="AR158" s="131">
        <f t="shared" si="129"/>
        <v>1.6373343080203115</v>
      </c>
      <c r="AS158" s="131">
        <f t="shared" si="130"/>
        <v>3.4384020468426422</v>
      </c>
      <c r="AT158" s="131">
        <f t="shared" si="131"/>
        <v>7.2206442983695229</v>
      </c>
      <c r="AU158" s="131">
        <f t="shared" si="132"/>
        <v>15.163353026575944</v>
      </c>
      <c r="AV158" s="131">
        <f t="shared" si="133"/>
        <v>4.4099999999999691</v>
      </c>
      <c r="AW158" s="131">
        <f t="shared" si="134"/>
        <v>9.2609999999999015</v>
      </c>
      <c r="AX158" s="131">
        <f t="shared" si="135"/>
        <v>19.448099999999727</v>
      </c>
      <c r="AY158" s="131">
        <f t="shared" si="136"/>
        <v>40.84100999999928</v>
      </c>
      <c r="AZ158" s="131">
        <f t="shared" si="137"/>
        <v>85.766120999998193</v>
      </c>
      <c r="BE158" s="116">
        <f t="shared" si="95"/>
        <v>1.637334490328975</v>
      </c>
    </row>
    <row r="159" spans="4:57">
      <c r="D159" s="114">
        <f t="shared" si="96"/>
        <v>41173</v>
      </c>
      <c r="E159" s="115">
        <f t="shared" si="138"/>
        <v>0.65833333333333222</v>
      </c>
      <c r="F159" s="116">
        <f t="shared" si="97"/>
        <v>2456192.1583333332</v>
      </c>
      <c r="G159" s="117">
        <f t="shared" si="98"/>
        <v>0.12723226100843832</v>
      </c>
      <c r="I159" s="112">
        <f t="shared" si="99"/>
        <v>180.92580842348707</v>
      </c>
      <c r="J159" s="112">
        <f t="shared" si="100"/>
        <v>4937.769670065074</v>
      </c>
      <c r="K159" s="112">
        <f t="shared" si="101"/>
        <v>1.6703283486418277E-2</v>
      </c>
      <c r="L159" s="112">
        <f t="shared" si="102"/>
        <v>-1.8620439071262271</v>
      </c>
      <c r="M159" s="112">
        <f t="shared" si="103"/>
        <v>179.06376451636083</v>
      </c>
      <c r="N159" s="112">
        <f t="shared" si="104"/>
        <v>4935.9076261579476</v>
      </c>
      <c r="O159" s="112">
        <f t="shared" si="105"/>
        <v>1.0038045053301183</v>
      </c>
      <c r="P159" s="112">
        <f t="shared" si="106"/>
        <v>179.06216986290482</v>
      </c>
      <c r="Q159" s="112">
        <f t="shared" si="107"/>
        <v>23.4376365599678</v>
      </c>
      <c r="R159" s="112">
        <f t="shared" si="108"/>
        <v>23.436316358744715</v>
      </c>
      <c r="S159" s="112">
        <f t="shared" si="94"/>
        <v>179.13952614916388</v>
      </c>
      <c r="T159" s="112">
        <f t="shared" si="109"/>
        <v>0.37298870961453656</v>
      </c>
      <c r="U159" s="112">
        <f t="shared" si="110"/>
        <v>4.3023296041393842E-2</v>
      </c>
      <c r="V159" s="112">
        <f t="shared" si="111"/>
        <v>7.1107510588928937</v>
      </c>
      <c r="W159" s="112">
        <f t="shared" si="112"/>
        <v>91.348616691862659</v>
      </c>
      <c r="X159" s="115">
        <f t="shared" si="113"/>
        <v>0.51450642287576887</v>
      </c>
      <c r="Y159" s="115">
        <f t="shared" si="114"/>
        <v>0.2607602653983726</v>
      </c>
      <c r="Z159" s="115">
        <f t="shared" si="115"/>
        <v>0.76825258035316513</v>
      </c>
      <c r="AA159" s="118">
        <f t="shared" si="116"/>
        <v>730.78893353490128</v>
      </c>
      <c r="AB159" s="112">
        <f t="shared" si="117"/>
        <v>927.11075105889131</v>
      </c>
      <c r="AC159" s="112">
        <f t="shared" si="118"/>
        <v>51.777687764722828</v>
      </c>
      <c r="AD159" s="112">
        <f t="shared" si="119"/>
        <v>60.557417559603877</v>
      </c>
      <c r="AE159" s="112">
        <f t="shared" si="120"/>
        <v>29.442582440396123</v>
      </c>
      <c r="AF159" s="112">
        <f t="shared" si="121"/>
        <v>2.8484500758525134E-2</v>
      </c>
      <c r="AG159" s="112">
        <f t="shared" si="122"/>
        <v>29.47106694115465</v>
      </c>
      <c r="AH159" s="112">
        <f t="shared" si="123"/>
        <v>244.43651631002516</v>
      </c>
      <c r="AJ159" s="119">
        <f t="shared" si="124"/>
        <v>0.65833333333333222</v>
      </c>
      <c r="AK159" s="112">
        <f t="shared" si="125"/>
        <v>0</v>
      </c>
      <c r="AL159" s="112">
        <f t="shared" si="126"/>
        <v>0</v>
      </c>
      <c r="AM159" s="116">
        <f t="shared" si="127"/>
        <v>0</v>
      </c>
      <c r="AN159" s="116">
        <f t="shared" si="139"/>
        <v>1.6373343080203115</v>
      </c>
      <c r="AO159" s="116">
        <f t="shared" si="140"/>
        <v>2.0999999999999925</v>
      </c>
      <c r="AQ159" s="131">
        <f t="shared" si="128"/>
        <v>2.0999999999999925</v>
      </c>
      <c r="AR159" s="131">
        <f t="shared" si="129"/>
        <v>1.6373343080203115</v>
      </c>
      <c r="AS159" s="131">
        <f t="shared" si="130"/>
        <v>3.4384020468426422</v>
      </c>
      <c r="AT159" s="131">
        <f t="shared" si="131"/>
        <v>7.2206442983695229</v>
      </c>
      <c r="AU159" s="131">
        <f t="shared" si="132"/>
        <v>15.163353026575944</v>
      </c>
      <c r="AV159" s="131">
        <f t="shared" si="133"/>
        <v>4.4099999999999691</v>
      </c>
      <c r="AW159" s="131">
        <f t="shared" si="134"/>
        <v>9.2609999999999015</v>
      </c>
      <c r="AX159" s="131">
        <f t="shared" si="135"/>
        <v>19.448099999999727</v>
      </c>
      <c r="AY159" s="131">
        <f t="shared" si="136"/>
        <v>40.84100999999928</v>
      </c>
      <c r="AZ159" s="131">
        <f t="shared" si="137"/>
        <v>85.766120999998193</v>
      </c>
      <c r="BE159" s="116">
        <f t="shared" si="95"/>
        <v>1.637334490328975</v>
      </c>
    </row>
    <row r="160" spans="4:57">
      <c r="D160" s="114">
        <f t="shared" si="96"/>
        <v>41173</v>
      </c>
      <c r="E160" s="115">
        <f t="shared" si="138"/>
        <v>0.66249999999999887</v>
      </c>
      <c r="F160" s="116">
        <f t="shared" si="97"/>
        <v>2456192.1625000001</v>
      </c>
      <c r="G160" s="117">
        <f t="shared" si="98"/>
        <v>0.1272323750855604</v>
      </c>
      <c r="I160" s="112">
        <f t="shared" si="99"/>
        <v>180.92991528771108</v>
      </c>
      <c r="J160" s="112">
        <f t="shared" si="100"/>
        <v>4937.7737767331255</v>
      </c>
      <c r="K160" s="112">
        <f t="shared" si="101"/>
        <v>1.670328348161914E-2</v>
      </c>
      <c r="L160" s="112">
        <f t="shared" si="102"/>
        <v>-1.8620755333808057</v>
      </c>
      <c r="M160" s="112">
        <f t="shared" si="103"/>
        <v>179.06783975433027</v>
      </c>
      <c r="N160" s="112">
        <f t="shared" si="104"/>
        <v>4935.911701199745</v>
      </c>
      <c r="O160" s="112">
        <f t="shared" si="105"/>
        <v>1.003803343980425</v>
      </c>
      <c r="P160" s="112">
        <f t="shared" si="106"/>
        <v>179.06624509138152</v>
      </c>
      <c r="Q160" s="112">
        <f t="shared" si="107"/>
        <v>23.437636558484318</v>
      </c>
      <c r="R160" s="112">
        <f t="shared" si="108"/>
        <v>23.436316348814962</v>
      </c>
      <c r="S160" s="112">
        <f t="shared" si="94"/>
        <v>179.14326534005519</v>
      </c>
      <c r="T160" s="112">
        <f t="shared" si="109"/>
        <v>0.37136805278651297</v>
      </c>
      <c r="U160" s="112">
        <f t="shared" si="110"/>
        <v>4.3023296003899848E-2</v>
      </c>
      <c r="V160" s="112">
        <f t="shared" si="111"/>
        <v>7.1122228090235087</v>
      </c>
      <c r="W160" s="112">
        <f t="shared" si="112"/>
        <v>91.347349897748046</v>
      </c>
      <c r="X160" s="115">
        <f t="shared" si="113"/>
        <v>0.51450540082706708</v>
      </c>
      <c r="Y160" s="115">
        <f t="shared" si="114"/>
        <v>0.2607627622222114</v>
      </c>
      <c r="Z160" s="115">
        <f t="shared" si="115"/>
        <v>0.76824803943192277</v>
      </c>
      <c r="AA160" s="118">
        <f t="shared" si="116"/>
        <v>730.77879918198437</v>
      </c>
      <c r="AB160" s="112">
        <f t="shared" si="117"/>
        <v>933.11222280902189</v>
      </c>
      <c r="AC160" s="112">
        <f t="shared" si="118"/>
        <v>53.278055702255472</v>
      </c>
      <c r="AD160" s="112">
        <f t="shared" si="119"/>
        <v>61.630392472918501</v>
      </c>
      <c r="AE160" s="112">
        <f t="shared" si="120"/>
        <v>28.369607527081499</v>
      </c>
      <c r="AF160" s="112">
        <f t="shared" si="121"/>
        <v>2.9763174937986702E-2</v>
      </c>
      <c r="AG160" s="112">
        <f t="shared" si="122"/>
        <v>28.399370702019485</v>
      </c>
      <c r="AH160" s="112">
        <f t="shared" si="123"/>
        <v>245.63448441921989</v>
      </c>
      <c r="AJ160" s="119">
        <f t="shared" si="124"/>
        <v>0.66249999999999887</v>
      </c>
      <c r="AK160" s="112">
        <f t="shared" si="125"/>
        <v>0</v>
      </c>
      <c r="AL160" s="112">
        <f t="shared" si="126"/>
        <v>0</v>
      </c>
      <c r="AM160" s="116">
        <f t="shared" si="127"/>
        <v>0</v>
      </c>
      <c r="AN160" s="116">
        <f t="shared" si="139"/>
        <v>1.6373343080203115</v>
      </c>
      <c r="AO160" s="116">
        <f t="shared" si="140"/>
        <v>2.0999999999999925</v>
      </c>
      <c r="AQ160" s="131">
        <f t="shared" si="128"/>
        <v>2.0999999999999925</v>
      </c>
      <c r="AR160" s="131">
        <f t="shared" si="129"/>
        <v>1.6373343080203115</v>
      </c>
      <c r="AS160" s="131">
        <f t="shared" si="130"/>
        <v>3.4384020468426422</v>
      </c>
      <c r="AT160" s="131">
        <f t="shared" si="131"/>
        <v>7.2206442983695229</v>
      </c>
      <c r="AU160" s="131">
        <f t="shared" si="132"/>
        <v>15.163353026575944</v>
      </c>
      <c r="AV160" s="131">
        <f t="shared" si="133"/>
        <v>4.4099999999999691</v>
      </c>
      <c r="AW160" s="131">
        <f t="shared" si="134"/>
        <v>9.2609999999999015</v>
      </c>
      <c r="AX160" s="131">
        <f t="shared" si="135"/>
        <v>19.448099999999727</v>
      </c>
      <c r="AY160" s="131">
        <f t="shared" si="136"/>
        <v>40.84100999999928</v>
      </c>
      <c r="AZ160" s="131">
        <f t="shared" si="137"/>
        <v>85.766120999998193</v>
      </c>
      <c r="BE160" s="116">
        <f t="shared" si="95"/>
        <v>1.637334490328975</v>
      </c>
    </row>
    <row r="161" spans="4:57">
      <c r="D161" s="114">
        <f t="shared" si="96"/>
        <v>41173</v>
      </c>
      <c r="E161" s="115">
        <f t="shared" si="138"/>
        <v>0.66666666666666552</v>
      </c>
      <c r="F161" s="116">
        <f t="shared" si="97"/>
        <v>2456192.1666666665</v>
      </c>
      <c r="G161" s="117">
        <f t="shared" si="98"/>
        <v>0.12723248916266972</v>
      </c>
      <c r="I161" s="112">
        <f t="shared" si="99"/>
        <v>180.93402215147489</v>
      </c>
      <c r="J161" s="112">
        <f t="shared" si="100"/>
        <v>4937.7778834007149</v>
      </c>
      <c r="K161" s="112">
        <f t="shared" si="101"/>
        <v>1.6703283476819999E-2</v>
      </c>
      <c r="L161" s="112">
        <f t="shared" si="102"/>
        <v>-1.8621071502027815</v>
      </c>
      <c r="M161" s="112">
        <f t="shared" si="103"/>
        <v>179.07191500127212</v>
      </c>
      <c r="N161" s="112">
        <f t="shared" si="104"/>
        <v>4935.915776250512</v>
      </c>
      <c r="O161" s="112">
        <f t="shared" si="105"/>
        <v>1.003802182610134</v>
      </c>
      <c r="P161" s="112">
        <f t="shared" si="106"/>
        <v>179.07032032883055</v>
      </c>
      <c r="Q161" s="112">
        <f t="shared" si="107"/>
        <v>23.43763655700084</v>
      </c>
      <c r="R161" s="112">
        <f t="shared" si="108"/>
        <v>23.436316338885231</v>
      </c>
      <c r="S161" s="112">
        <f t="shared" si="94"/>
        <v>179.14700453780847</v>
      </c>
      <c r="T161" s="112">
        <f t="shared" si="109"/>
        <v>0.36974739081000446</v>
      </c>
      <c r="U161" s="112">
        <f t="shared" si="110"/>
        <v>4.3023295966405951E-2</v>
      </c>
      <c r="V161" s="112">
        <f t="shared" si="111"/>
        <v>7.1136945324050638</v>
      </c>
      <c r="W161" s="112">
        <f t="shared" si="112"/>
        <v>91.346083101578358</v>
      </c>
      <c r="X161" s="115">
        <f t="shared" si="113"/>
        <v>0.514504378796941</v>
      </c>
      <c r="Y161" s="115">
        <f t="shared" si="114"/>
        <v>0.26076525907033443</v>
      </c>
      <c r="Z161" s="115">
        <f t="shared" si="115"/>
        <v>0.76824349852354756</v>
      </c>
      <c r="AA161" s="118">
        <f t="shared" si="116"/>
        <v>730.76866481262687</v>
      </c>
      <c r="AB161" s="112">
        <f t="shared" si="117"/>
        <v>939.11369453240331</v>
      </c>
      <c r="AC161" s="112">
        <f t="shared" si="118"/>
        <v>54.778423633100829</v>
      </c>
      <c r="AD161" s="112">
        <f t="shared" si="119"/>
        <v>62.713453932734687</v>
      </c>
      <c r="AE161" s="112">
        <f t="shared" si="120"/>
        <v>27.286546067265313</v>
      </c>
      <c r="AF161" s="112">
        <f t="shared" si="121"/>
        <v>3.1145541707508852E-2</v>
      </c>
      <c r="AG161" s="112">
        <f t="shared" si="122"/>
        <v>27.317691608972822</v>
      </c>
      <c r="AH161" s="112">
        <f t="shared" si="123"/>
        <v>246.80855883803866</v>
      </c>
      <c r="AJ161" s="119">
        <f t="shared" si="124"/>
        <v>0.66666666666666552</v>
      </c>
      <c r="AK161" s="112">
        <f t="shared" si="125"/>
        <v>0</v>
      </c>
      <c r="AL161" s="112">
        <f t="shared" si="126"/>
        <v>0</v>
      </c>
      <c r="AM161" s="116">
        <f t="shared" si="127"/>
        <v>0</v>
      </c>
      <c r="AN161" s="116">
        <f t="shared" si="139"/>
        <v>1.6373343080203115</v>
      </c>
      <c r="AO161" s="116">
        <f t="shared" si="140"/>
        <v>2.0999999999999925</v>
      </c>
      <c r="AQ161" s="131">
        <f t="shared" si="128"/>
        <v>2.0999999999999925</v>
      </c>
      <c r="AR161" s="131">
        <f t="shared" si="129"/>
        <v>1.6373343080203115</v>
      </c>
      <c r="AS161" s="131">
        <f t="shared" si="130"/>
        <v>3.4384020468426422</v>
      </c>
      <c r="AT161" s="131">
        <f t="shared" si="131"/>
        <v>7.2206442983695229</v>
      </c>
      <c r="AU161" s="131">
        <f t="shared" si="132"/>
        <v>15.163353026575944</v>
      </c>
      <c r="AV161" s="131">
        <f t="shared" si="133"/>
        <v>4.4099999999999691</v>
      </c>
      <c r="AW161" s="131">
        <f t="shared" si="134"/>
        <v>9.2609999999999015</v>
      </c>
      <c r="AX161" s="131">
        <f t="shared" si="135"/>
        <v>19.448099999999727</v>
      </c>
      <c r="AY161" s="131">
        <f t="shared" si="136"/>
        <v>40.84100999999928</v>
      </c>
      <c r="AZ161" s="131">
        <f t="shared" si="137"/>
        <v>85.766120999998193</v>
      </c>
      <c r="BE161" s="116">
        <f t="shared" si="95"/>
        <v>1.637334490328975</v>
      </c>
    </row>
    <row r="162" spans="4:57">
      <c r="D162" s="114">
        <f t="shared" si="96"/>
        <v>41173</v>
      </c>
      <c r="E162" s="115">
        <f t="shared" si="138"/>
        <v>0.67083333333333217</v>
      </c>
      <c r="F162" s="116">
        <f t="shared" si="97"/>
        <v>2456192.1708333334</v>
      </c>
      <c r="G162" s="117">
        <f t="shared" si="98"/>
        <v>0.1272326032397918</v>
      </c>
      <c r="I162" s="112">
        <f t="shared" si="99"/>
        <v>180.93812901569891</v>
      </c>
      <c r="J162" s="112">
        <f t="shared" si="100"/>
        <v>4937.7819900687664</v>
      </c>
      <c r="K162" s="112">
        <f t="shared" si="101"/>
        <v>1.6703283472020863E-2</v>
      </c>
      <c r="L162" s="112">
        <f t="shared" si="102"/>
        <v>-1.8621387575990636</v>
      </c>
      <c r="M162" s="112">
        <f t="shared" si="103"/>
        <v>179.07599025809984</v>
      </c>
      <c r="N162" s="112">
        <f t="shared" si="104"/>
        <v>4935.9198513111669</v>
      </c>
      <c r="O162" s="112">
        <f t="shared" si="105"/>
        <v>1.0038010212189894</v>
      </c>
      <c r="P162" s="112">
        <f t="shared" si="106"/>
        <v>179.07439557616539</v>
      </c>
      <c r="Q162" s="112">
        <f t="shared" si="107"/>
        <v>23.437636555517358</v>
      </c>
      <c r="R162" s="112">
        <f t="shared" si="108"/>
        <v>23.436316328955513</v>
      </c>
      <c r="S162" s="112">
        <f t="shared" si="94"/>
        <v>179.15074374326787</v>
      </c>
      <c r="T162" s="112">
        <f t="shared" si="109"/>
        <v>0.36812672332861529</v>
      </c>
      <c r="U162" s="112">
        <f t="shared" si="110"/>
        <v>4.3023295928912096E-2</v>
      </c>
      <c r="V162" s="112">
        <f t="shared" si="111"/>
        <v>7.115166229343175</v>
      </c>
      <c r="W162" s="112">
        <f t="shared" si="112"/>
        <v>91.344816303072378</v>
      </c>
      <c r="X162" s="115">
        <f t="shared" si="113"/>
        <v>0.51450335678517833</v>
      </c>
      <c r="Y162" s="115">
        <f t="shared" si="114"/>
        <v>0.26076775594331064</v>
      </c>
      <c r="Z162" s="115">
        <f t="shared" si="115"/>
        <v>0.76823895762704608</v>
      </c>
      <c r="AA162" s="118">
        <f t="shared" si="116"/>
        <v>730.75853042457902</v>
      </c>
      <c r="AB162" s="112">
        <f t="shared" si="117"/>
        <v>945.11516622934153</v>
      </c>
      <c r="AC162" s="112">
        <f t="shared" si="118"/>
        <v>56.278791557335381</v>
      </c>
      <c r="AD162" s="112">
        <f t="shared" si="119"/>
        <v>63.80595470707398</v>
      </c>
      <c r="AE162" s="112">
        <f t="shared" si="120"/>
        <v>26.19404529292602</v>
      </c>
      <c r="AF162" s="112">
        <f t="shared" si="121"/>
        <v>3.2644653357811304E-2</v>
      </c>
      <c r="AG162" s="112">
        <f t="shared" si="122"/>
        <v>26.22668994628383</v>
      </c>
      <c r="AH162" s="112">
        <f t="shared" si="123"/>
        <v>247.96006371723132</v>
      </c>
      <c r="AJ162" s="119">
        <f t="shared" si="124"/>
        <v>0.67083333333333217</v>
      </c>
      <c r="AK162" s="112">
        <f t="shared" si="125"/>
        <v>0</v>
      </c>
      <c r="AL162" s="112">
        <f t="shared" si="126"/>
        <v>0</v>
      </c>
      <c r="AM162" s="116">
        <f t="shared" si="127"/>
        <v>0</v>
      </c>
      <c r="AN162" s="116">
        <f t="shared" si="139"/>
        <v>1.6373343080203115</v>
      </c>
      <c r="AO162" s="116">
        <f t="shared" si="140"/>
        <v>2.0999999999999925</v>
      </c>
      <c r="AQ162" s="131">
        <f t="shared" si="128"/>
        <v>2.0999999999999925</v>
      </c>
      <c r="AR162" s="131">
        <f t="shared" si="129"/>
        <v>1.6373343080203115</v>
      </c>
      <c r="AS162" s="131">
        <f t="shared" si="130"/>
        <v>3.4384020468426422</v>
      </c>
      <c r="AT162" s="131">
        <f t="shared" si="131"/>
        <v>7.2206442983695229</v>
      </c>
      <c r="AU162" s="131">
        <f t="shared" si="132"/>
        <v>15.163353026575944</v>
      </c>
      <c r="AV162" s="131">
        <f t="shared" si="133"/>
        <v>4.4099999999999691</v>
      </c>
      <c r="AW162" s="131">
        <f t="shared" si="134"/>
        <v>9.2609999999999015</v>
      </c>
      <c r="AX162" s="131">
        <f t="shared" si="135"/>
        <v>19.448099999999727</v>
      </c>
      <c r="AY162" s="131">
        <f t="shared" si="136"/>
        <v>40.84100999999928</v>
      </c>
      <c r="AZ162" s="131">
        <f t="shared" si="137"/>
        <v>85.766120999998193</v>
      </c>
      <c r="BE162" s="116">
        <f t="shared" si="95"/>
        <v>1.637334490328975</v>
      </c>
    </row>
    <row r="163" spans="4:57">
      <c r="D163" s="114">
        <f t="shared" si="96"/>
        <v>41173</v>
      </c>
      <c r="E163" s="115">
        <f t="shared" si="138"/>
        <v>0.67499999999999882</v>
      </c>
      <c r="F163" s="116">
        <f t="shared" si="97"/>
        <v>2456192.1749999998</v>
      </c>
      <c r="G163" s="117">
        <f t="shared" si="98"/>
        <v>0.12723271731690114</v>
      </c>
      <c r="I163" s="112">
        <f t="shared" si="99"/>
        <v>180.94223587946362</v>
      </c>
      <c r="J163" s="112">
        <f t="shared" si="100"/>
        <v>4937.7860967363567</v>
      </c>
      <c r="K163" s="112">
        <f t="shared" si="101"/>
        <v>1.6703283467221726E-2</v>
      </c>
      <c r="L163" s="112">
        <f t="shared" si="102"/>
        <v>-1.8621703555623492</v>
      </c>
      <c r="M163" s="112">
        <f t="shared" si="103"/>
        <v>179.08006552390128</v>
      </c>
      <c r="N163" s="112">
        <f t="shared" si="104"/>
        <v>4935.923926380794</v>
      </c>
      <c r="O163" s="112">
        <f t="shared" si="105"/>
        <v>1.0037998598072579</v>
      </c>
      <c r="P163" s="112">
        <f t="shared" si="106"/>
        <v>179.0784708324739</v>
      </c>
      <c r="Q163" s="112">
        <f t="shared" si="107"/>
        <v>23.43763655403388</v>
      </c>
      <c r="R163" s="112">
        <f t="shared" si="108"/>
        <v>23.436316319025821</v>
      </c>
      <c r="S163" s="112">
        <f t="shared" si="94"/>
        <v>179.15448295560236</v>
      </c>
      <c r="T163" s="112">
        <f t="shared" si="109"/>
        <v>0.36650605071199943</v>
      </c>
      <c r="U163" s="112">
        <f t="shared" si="110"/>
        <v>4.3023295891418324E-2</v>
      </c>
      <c r="V163" s="112">
        <f t="shared" si="111"/>
        <v>7.1166378994839583</v>
      </c>
      <c r="W163" s="112">
        <f t="shared" si="112"/>
        <v>91.343549502516424</v>
      </c>
      <c r="X163" s="115">
        <f t="shared" si="113"/>
        <v>0.51450233479202501</v>
      </c>
      <c r="Y163" s="115">
        <f t="shared" si="114"/>
        <v>0.26077025284059052</v>
      </c>
      <c r="Z163" s="115">
        <f t="shared" si="115"/>
        <v>0.76823441674345949</v>
      </c>
      <c r="AA163" s="118">
        <f t="shared" si="116"/>
        <v>730.74839602013139</v>
      </c>
      <c r="AB163" s="112">
        <f t="shared" si="117"/>
        <v>951.11663789948227</v>
      </c>
      <c r="AC163" s="112">
        <f t="shared" si="118"/>
        <v>57.779159474870568</v>
      </c>
      <c r="AD163" s="112">
        <f t="shared" si="119"/>
        <v>64.907280339290821</v>
      </c>
      <c r="AE163" s="112">
        <f t="shared" si="120"/>
        <v>25.092719660709179</v>
      </c>
      <c r="AF163" s="112">
        <f t="shared" si="121"/>
        <v>3.4275942103011249E-2</v>
      </c>
      <c r="AG163" s="112">
        <f t="shared" si="122"/>
        <v>25.12699560281219</v>
      </c>
      <c r="AH163" s="112">
        <f t="shared" si="123"/>
        <v>249.09028417057465</v>
      </c>
      <c r="AJ163" s="119">
        <f t="shared" si="124"/>
        <v>0.67499999999999882</v>
      </c>
      <c r="AK163" s="112">
        <f t="shared" si="125"/>
        <v>0</v>
      </c>
      <c r="AL163" s="112">
        <f t="shared" si="126"/>
        <v>0</v>
      </c>
      <c r="AM163" s="116">
        <f t="shared" si="127"/>
        <v>0</v>
      </c>
      <c r="AN163" s="116">
        <f t="shared" si="139"/>
        <v>1.6373343080203115</v>
      </c>
      <c r="AO163" s="116">
        <f t="shared" si="140"/>
        <v>2.0999999999999925</v>
      </c>
      <c r="AQ163" s="131">
        <f t="shared" si="128"/>
        <v>2.0999999999999925</v>
      </c>
      <c r="AR163" s="131">
        <f t="shared" si="129"/>
        <v>1.6373343080203115</v>
      </c>
      <c r="AS163" s="131">
        <f t="shared" si="130"/>
        <v>3.4384020468426422</v>
      </c>
      <c r="AT163" s="131">
        <f t="shared" si="131"/>
        <v>7.2206442983695229</v>
      </c>
      <c r="AU163" s="131">
        <f t="shared" si="132"/>
        <v>15.163353026575944</v>
      </c>
      <c r="AV163" s="131">
        <f t="shared" si="133"/>
        <v>4.4099999999999691</v>
      </c>
      <c r="AW163" s="131">
        <f t="shared" si="134"/>
        <v>9.2609999999999015</v>
      </c>
      <c r="AX163" s="131">
        <f t="shared" si="135"/>
        <v>19.448099999999727</v>
      </c>
      <c r="AY163" s="131">
        <f t="shared" si="136"/>
        <v>40.84100999999928</v>
      </c>
      <c r="AZ163" s="131">
        <f t="shared" si="137"/>
        <v>85.766120999998193</v>
      </c>
      <c r="BE163" s="116">
        <f t="shared" si="95"/>
        <v>1.637334490328975</v>
      </c>
    </row>
    <row r="164" spans="4:57">
      <c r="D164" s="114">
        <f t="shared" si="96"/>
        <v>41173</v>
      </c>
      <c r="E164" s="115">
        <f t="shared" si="138"/>
        <v>0.67916666666666548</v>
      </c>
      <c r="F164" s="116">
        <f t="shared" si="97"/>
        <v>2456192.1791666667</v>
      </c>
      <c r="G164" s="117">
        <f t="shared" si="98"/>
        <v>0.12723283139402322</v>
      </c>
      <c r="I164" s="112">
        <f t="shared" si="99"/>
        <v>180.94634274368764</v>
      </c>
      <c r="J164" s="112">
        <f t="shared" si="100"/>
        <v>4937.7902034044082</v>
      </c>
      <c r="K164" s="112">
        <f t="shared" si="101"/>
        <v>1.6703283462422589E-2</v>
      </c>
      <c r="L164" s="112">
        <f t="shared" si="102"/>
        <v>-1.8622019440995301</v>
      </c>
      <c r="M164" s="112">
        <f t="shared" si="103"/>
        <v>179.08414079958811</v>
      </c>
      <c r="N164" s="112">
        <f t="shared" si="104"/>
        <v>4935.9280014603082</v>
      </c>
      <c r="O164" s="112">
        <f t="shared" si="105"/>
        <v>1.0037986983746847</v>
      </c>
      <c r="P164" s="112">
        <f t="shared" si="106"/>
        <v>179.08254609866773</v>
      </c>
      <c r="Q164" s="112">
        <f t="shared" si="107"/>
        <v>23.437636552550398</v>
      </c>
      <c r="R164" s="112">
        <f t="shared" si="108"/>
        <v>23.436316309096142</v>
      </c>
      <c r="S164" s="112">
        <f t="shared" si="94"/>
        <v>179.15822217565446</v>
      </c>
      <c r="T164" s="112">
        <f t="shared" si="109"/>
        <v>0.36488537260446918</v>
      </c>
      <c r="U164" s="112">
        <f t="shared" si="110"/>
        <v>4.3023295853924622E-2</v>
      </c>
      <c r="V164" s="112">
        <f t="shared" si="111"/>
        <v>7.1181095431323778</v>
      </c>
      <c r="W164" s="112">
        <f t="shared" si="112"/>
        <v>91.342282699629834</v>
      </c>
      <c r="X164" s="115">
        <f t="shared" si="113"/>
        <v>0.51450131281726919</v>
      </c>
      <c r="Y164" s="115">
        <f t="shared" si="114"/>
        <v>0.2607727497627419</v>
      </c>
      <c r="Z164" s="115">
        <f t="shared" si="115"/>
        <v>0.76822987587179647</v>
      </c>
      <c r="AA164" s="118">
        <f t="shared" si="116"/>
        <v>730.73826159703867</v>
      </c>
      <c r="AB164" s="112">
        <f t="shared" si="117"/>
        <v>957.11810954313069</v>
      </c>
      <c r="AC164" s="112">
        <f t="shared" si="118"/>
        <v>59.279527385782671</v>
      </c>
      <c r="AD164" s="112">
        <f t="shared" si="119"/>
        <v>66.016846992111439</v>
      </c>
      <c r="AE164" s="112">
        <f t="shared" si="120"/>
        <v>23.983153007888561</v>
      </c>
      <c r="AF164" s="112">
        <f t="shared" si="121"/>
        <v>3.6057772404556619E-2</v>
      </c>
      <c r="AG164" s="112">
        <f t="shared" si="122"/>
        <v>24.019210780293118</v>
      </c>
      <c r="AH164" s="112">
        <f t="shared" si="123"/>
        <v>250.20046640519286</v>
      </c>
      <c r="AJ164" s="119">
        <f t="shared" si="124"/>
        <v>0.67916666666666548</v>
      </c>
      <c r="AK164" s="112">
        <f t="shared" si="125"/>
        <v>0</v>
      </c>
      <c r="AL164" s="112">
        <f t="shared" si="126"/>
        <v>0</v>
      </c>
      <c r="AM164" s="116">
        <f t="shared" si="127"/>
        <v>0</v>
      </c>
      <c r="AN164" s="116">
        <f t="shared" si="139"/>
        <v>1.6373343080203115</v>
      </c>
      <c r="AO164" s="116">
        <f t="shared" si="140"/>
        <v>2.0999999999999925</v>
      </c>
      <c r="AQ164" s="131">
        <f t="shared" si="128"/>
        <v>2.0999999999999925</v>
      </c>
      <c r="AR164" s="131">
        <f t="shared" si="129"/>
        <v>1.6373343080203115</v>
      </c>
      <c r="AS164" s="131">
        <f t="shared" si="130"/>
        <v>3.4384020468426422</v>
      </c>
      <c r="AT164" s="131">
        <f t="shared" si="131"/>
        <v>7.2206442983695229</v>
      </c>
      <c r="AU164" s="131">
        <f t="shared" si="132"/>
        <v>15.163353026575944</v>
      </c>
      <c r="AV164" s="131">
        <f t="shared" si="133"/>
        <v>4.4099999999999691</v>
      </c>
      <c r="AW164" s="131">
        <f t="shared" si="134"/>
        <v>9.2609999999999015</v>
      </c>
      <c r="AX164" s="131">
        <f t="shared" si="135"/>
        <v>19.448099999999727</v>
      </c>
      <c r="AY164" s="131">
        <f t="shared" si="136"/>
        <v>40.84100999999928</v>
      </c>
      <c r="AZ164" s="131">
        <f t="shared" si="137"/>
        <v>85.766120999998193</v>
      </c>
      <c r="BE164" s="116">
        <f t="shared" si="95"/>
        <v>1.637334490328975</v>
      </c>
    </row>
    <row r="165" spans="4:57">
      <c r="D165" s="114">
        <f t="shared" si="96"/>
        <v>41173</v>
      </c>
      <c r="E165" s="115">
        <f t="shared" si="138"/>
        <v>0.68333333333333213</v>
      </c>
      <c r="F165" s="116">
        <f t="shared" si="97"/>
        <v>2456192.1833333331</v>
      </c>
      <c r="G165" s="117">
        <f t="shared" si="98"/>
        <v>0.12723294547113254</v>
      </c>
      <c r="I165" s="112">
        <f t="shared" si="99"/>
        <v>180.95044960745236</v>
      </c>
      <c r="J165" s="112">
        <f t="shared" si="100"/>
        <v>4937.7943100719986</v>
      </c>
      <c r="K165" s="112">
        <f t="shared" si="101"/>
        <v>1.6703283457623449E-2</v>
      </c>
      <c r="L165" s="112">
        <f t="shared" si="102"/>
        <v>-1.8622335232033154</v>
      </c>
      <c r="M165" s="112">
        <f t="shared" si="103"/>
        <v>179.08821608424904</v>
      </c>
      <c r="N165" s="112">
        <f t="shared" si="104"/>
        <v>4935.9320765487955</v>
      </c>
      <c r="O165" s="112">
        <f t="shared" si="105"/>
        <v>1.0037975369215357</v>
      </c>
      <c r="P165" s="112">
        <f t="shared" si="106"/>
        <v>179.08662137383558</v>
      </c>
      <c r="Q165" s="112">
        <f t="shared" si="107"/>
        <v>23.43763655106692</v>
      </c>
      <c r="R165" s="112">
        <f t="shared" si="108"/>
        <v>23.436316299166492</v>
      </c>
      <c r="S165" s="112">
        <f t="shared" si="94"/>
        <v>179.16196140259393</v>
      </c>
      <c r="T165" s="112">
        <f t="shared" si="109"/>
        <v>0.36326468937536588</v>
      </c>
      <c r="U165" s="112">
        <f t="shared" si="110"/>
        <v>4.3023295816431016E-2</v>
      </c>
      <c r="V165" s="112">
        <f t="shared" si="111"/>
        <v>7.1195811599348824</v>
      </c>
      <c r="W165" s="112">
        <f t="shared" si="112"/>
        <v>91.3410158946987</v>
      </c>
      <c r="X165" s="115">
        <f t="shared" si="113"/>
        <v>0.51450029086115634</v>
      </c>
      <c r="Y165" s="115">
        <f t="shared" si="114"/>
        <v>0.26077524670921548</v>
      </c>
      <c r="Z165" s="115">
        <f t="shared" si="115"/>
        <v>0.7682253350130972</v>
      </c>
      <c r="AA165" s="118">
        <f t="shared" si="116"/>
        <v>730.7281271575896</v>
      </c>
      <c r="AB165" s="112">
        <f t="shared" si="117"/>
        <v>963.1195811599332</v>
      </c>
      <c r="AC165" s="112">
        <f t="shared" si="118"/>
        <v>60.779895289983301</v>
      </c>
      <c r="AD165" s="112">
        <f t="shared" si="119"/>
        <v>67.134099367827403</v>
      </c>
      <c r="AE165" s="112">
        <f t="shared" si="120"/>
        <v>22.865900632172597</v>
      </c>
      <c r="AF165" s="112">
        <f t="shared" si="121"/>
        <v>3.8012154300881139E-2</v>
      </c>
      <c r="AG165" s="112">
        <f t="shared" si="122"/>
        <v>22.903912786473477</v>
      </c>
      <c r="AH165" s="112">
        <f t="shared" si="123"/>
        <v>251.29181827243434</v>
      </c>
      <c r="AJ165" s="119">
        <f t="shared" si="124"/>
        <v>0.68333333333333213</v>
      </c>
      <c r="AK165" s="112">
        <f t="shared" si="125"/>
        <v>0</v>
      </c>
      <c r="AL165" s="112">
        <f t="shared" si="126"/>
        <v>0</v>
      </c>
      <c r="AM165" s="116">
        <f t="shared" si="127"/>
        <v>0</v>
      </c>
      <c r="AN165" s="116">
        <f t="shared" si="139"/>
        <v>1.6373343080203115</v>
      </c>
      <c r="AO165" s="116">
        <f t="shared" si="140"/>
        <v>2.0999999999999925</v>
      </c>
      <c r="AQ165" s="131">
        <f t="shared" si="128"/>
        <v>2.0999999999999925</v>
      </c>
      <c r="AR165" s="131">
        <f t="shared" si="129"/>
        <v>1.6373343080203115</v>
      </c>
      <c r="AS165" s="131">
        <f t="shared" si="130"/>
        <v>3.4384020468426422</v>
      </c>
      <c r="AT165" s="131">
        <f t="shared" si="131"/>
        <v>7.2206442983695229</v>
      </c>
      <c r="AU165" s="131">
        <f t="shared" si="132"/>
        <v>15.163353026575944</v>
      </c>
      <c r="AV165" s="131">
        <f t="shared" si="133"/>
        <v>4.4099999999999691</v>
      </c>
      <c r="AW165" s="131">
        <f t="shared" si="134"/>
        <v>9.2609999999999015</v>
      </c>
      <c r="AX165" s="131">
        <f t="shared" si="135"/>
        <v>19.448099999999727</v>
      </c>
      <c r="AY165" s="131">
        <f t="shared" si="136"/>
        <v>40.84100999999928</v>
      </c>
      <c r="AZ165" s="131">
        <f t="shared" si="137"/>
        <v>85.766120999998193</v>
      </c>
      <c r="BE165" s="116">
        <f t="shared" si="95"/>
        <v>1.637334490328975</v>
      </c>
    </row>
    <row r="166" spans="4:57">
      <c r="D166" s="114">
        <f t="shared" si="96"/>
        <v>41173</v>
      </c>
      <c r="E166" s="115">
        <f t="shared" si="138"/>
        <v>0.68749999999999878</v>
      </c>
      <c r="F166" s="116">
        <f t="shared" si="97"/>
        <v>2456192.1875</v>
      </c>
      <c r="G166" s="117">
        <f t="shared" si="98"/>
        <v>0.12723305954825462</v>
      </c>
      <c r="I166" s="112">
        <f t="shared" si="99"/>
        <v>180.95455647167546</v>
      </c>
      <c r="J166" s="112">
        <f t="shared" si="100"/>
        <v>4937.7984167400482</v>
      </c>
      <c r="K166" s="112">
        <f t="shared" si="101"/>
        <v>1.6703283452824312E-2</v>
      </c>
      <c r="L166" s="112">
        <f t="shared" si="102"/>
        <v>-1.8622650928805791</v>
      </c>
      <c r="M166" s="112">
        <f t="shared" si="103"/>
        <v>179.09229137879487</v>
      </c>
      <c r="N166" s="112">
        <f t="shared" si="104"/>
        <v>4935.9361516471672</v>
      </c>
      <c r="O166" s="112">
        <f t="shared" si="105"/>
        <v>1.0037963754475581</v>
      </c>
      <c r="P166" s="112">
        <f t="shared" si="106"/>
        <v>179.09069665888831</v>
      </c>
      <c r="Q166" s="112">
        <f t="shared" si="107"/>
        <v>23.437636549583438</v>
      </c>
      <c r="R166" s="112">
        <f t="shared" si="108"/>
        <v>23.436316289236853</v>
      </c>
      <c r="S166" s="112">
        <f t="shared" si="94"/>
        <v>179.16570063726255</v>
      </c>
      <c r="T166" s="112">
        <f t="shared" si="109"/>
        <v>0.36164400066932467</v>
      </c>
      <c r="U166" s="112">
        <f t="shared" si="110"/>
        <v>4.3023295778937452E-2</v>
      </c>
      <c r="V166" s="112">
        <f t="shared" si="111"/>
        <v>7.1210527501960641</v>
      </c>
      <c r="W166" s="112">
        <f t="shared" si="112"/>
        <v>91.339749087442584</v>
      </c>
      <c r="X166" s="115">
        <f t="shared" si="113"/>
        <v>0.51449926892347497</v>
      </c>
      <c r="Y166" s="115">
        <f t="shared" si="114"/>
        <v>0.26077774368057893</v>
      </c>
      <c r="Z166" s="115">
        <f t="shared" si="115"/>
        <v>0.76822079416637101</v>
      </c>
      <c r="AA166" s="118">
        <f t="shared" si="116"/>
        <v>730.71799269954067</v>
      </c>
      <c r="AB166" s="112">
        <f t="shared" si="117"/>
        <v>969.12105275019439</v>
      </c>
      <c r="AC166" s="112">
        <f t="shared" si="118"/>
        <v>62.280263187548599</v>
      </c>
      <c r="AD166" s="112">
        <f t="shared" si="119"/>
        <v>68.258508713791855</v>
      </c>
      <c r="AE166" s="112">
        <f t="shared" si="120"/>
        <v>21.741491286208145</v>
      </c>
      <c r="AF166" s="112">
        <f t="shared" si="121"/>
        <v>4.0165674597720427E-2</v>
      </c>
      <c r="AG166" s="112">
        <f t="shared" si="122"/>
        <v>21.781656960805865</v>
      </c>
      <c r="AH166" s="112">
        <f t="shared" si="123"/>
        <v>252.36551015711478</v>
      </c>
      <c r="AJ166" s="119">
        <f t="shared" si="124"/>
        <v>0.68749999999999878</v>
      </c>
      <c r="AK166" s="112">
        <f t="shared" si="125"/>
        <v>0</v>
      </c>
      <c r="AL166" s="112">
        <f t="shared" si="126"/>
        <v>0</v>
      </c>
      <c r="AM166" s="116">
        <f t="shared" si="127"/>
        <v>0</v>
      </c>
      <c r="AN166" s="116">
        <f t="shared" si="139"/>
        <v>1.6373343080203115</v>
      </c>
      <c r="AO166" s="116">
        <f t="shared" si="140"/>
        <v>2.0999999999999925</v>
      </c>
      <c r="AQ166" s="131">
        <f t="shared" si="128"/>
        <v>2.0999999999999925</v>
      </c>
      <c r="AR166" s="131">
        <f t="shared" si="129"/>
        <v>1.6373343080203115</v>
      </c>
      <c r="AS166" s="131">
        <f t="shared" si="130"/>
        <v>3.4384020468426422</v>
      </c>
      <c r="AT166" s="131">
        <f t="shared" si="131"/>
        <v>7.2206442983695229</v>
      </c>
      <c r="AU166" s="131">
        <f t="shared" si="132"/>
        <v>15.163353026575944</v>
      </c>
      <c r="AV166" s="131">
        <f t="shared" si="133"/>
        <v>4.4099999999999691</v>
      </c>
      <c r="AW166" s="131">
        <f t="shared" si="134"/>
        <v>9.2609999999999015</v>
      </c>
      <c r="AX166" s="131">
        <f t="shared" si="135"/>
        <v>19.448099999999727</v>
      </c>
      <c r="AY166" s="131">
        <f t="shared" si="136"/>
        <v>40.84100999999928</v>
      </c>
      <c r="AZ166" s="131">
        <f t="shared" si="137"/>
        <v>85.766120999998193</v>
      </c>
      <c r="BE166" s="116">
        <f t="shared" si="95"/>
        <v>1.637334490328975</v>
      </c>
    </row>
    <row r="167" spans="4:57">
      <c r="D167" s="114">
        <f t="shared" si="96"/>
        <v>41173</v>
      </c>
      <c r="E167" s="115">
        <f t="shared" si="138"/>
        <v>0.69166666666666543</v>
      </c>
      <c r="F167" s="116">
        <f t="shared" si="97"/>
        <v>2456192.1916666669</v>
      </c>
      <c r="G167" s="117">
        <f t="shared" si="98"/>
        <v>0.1272331736253767</v>
      </c>
      <c r="I167" s="112">
        <f t="shared" si="99"/>
        <v>180.95866333589947</v>
      </c>
      <c r="J167" s="112">
        <f t="shared" si="100"/>
        <v>4937.8025234080997</v>
      </c>
      <c r="K167" s="112">
        <f t="shared" si="101"/>
        <v>1.6703283448025175E-2</v>
      </c>
      <c r="L167" s="112">
        <f t="shared" si="102"/>
        <v>-1.8622966531276011</v>
      </c>
      <c r="M167" s="112">
        <f t="shared" si="103"/>
        <v>179.09636668277187</v>
      </c>
      <c r="N167" s="112">
        <f t="shared" si="104"/>
        <v>4935.9402267549722</v>
      </c>
      <c r="O167" s="112">
        <f t="shared" si="105"/>
        <v>1.0037952139528856</v>
      </c>
      <c r="P167" s="112">
        <f t="shared" si="106"/>
        <v>179.09477195337212</v>
      </c>
      <c r="Q167" s="112">
        <f t="shared" si="107"/>
        <v>23.43763654809996</v>
      </c>
      <c r="R167" s="112">
        <f t="shared" si="108"/>
        <v>23.436316279307238</v>
      </c>
      <c r="S167" s="112">
        <f t="shared" si="94"/>
        <v>179.16943987924989</v>
      </c>
      <c r="T167" s="112">
        <f t="shared" si="109"/>
        <v>0.36002330667369886</v>
      </c>
      <c r="U167" s="112">
        <f t="shared" si="110"/>
        <v>4.3023295741443993E-2</v>
      </c>
      <c r="V167" s="112">
        <f t="shared" si="111"/>
        <v>7.122524313727701</v>
      </c>
      <c r="W167" s="112">
        <f t="shared" si="112"/>
        <v>91.338482278005316</v>
      </c>
      <c r="X167" s="115">
        <f t="shared" si="113"/>
        <v>0.51449824700435576</v>
      </c>
      <c r="Y167" s="115">
        <f t="shared" si="114"/>
        <v>0.26078024067656319</v>
      </c>
      <c r="Z167" s="115">
        <f t="shared" si="115"/>
        <v>0.76821625333214838</v>
      </c>
      <c r="AA167" s="118">
        <f t="shared" si="116"/>
        <v>730.70785822404252</v>
      </c>
      <c r="AB167" s="112">
        <f t="shared" si="117"/>
        <v>975.12252431372588</v>
      </c>
      <c r="AC167" s="112">
        <f t="shared" si="118"/>
        <v>63.780631078431469</v>
      </c>
      <c r="AD167" s="112">
        <f t="shared" si="119"/>
        <v>69.389570910463689</v>
      </c>
      <c r="AE167" s="112">
        <f t="shared" si="120"/>
        <v>20.610429089536311</v>
      </c>
      <c r="AF167" s="112">
        <f t="shared" si="121"/>
        <v>4.2550726605054247E-2</v>
      </c>
      <c r="AG167" s="112">
        <f t="shared" si="122"/>
        <v>20.652979816141364</v>
      </c>
      <c r="AH167" s="112">
        <f t="shared" si="123"/>
        <v>253.42267614197416</v>
      </c>
      <c r="AJ167" s="119">
        <f t="shared" si="124"/>
        <v>0.69166666666666543</v>
      </c>
      <c r="AK167" s="112">
        <f t="shared" si="125"/>
        <v>0</v>
      </c>
      <c r="AL167" s="112">
        <f t="shared" si="126"/>
        <v>0</v>
      </c>
      <c r="AM167" s="116">
        <f t="shared" si="127"/>
        <v>0</v>
      </c>
      <c r="AN167" s="116">
        <f t="shared" si="139"/>
        <v>1.6373343080203115</v>
      </c>
      <c r="AO167" s="116">
        <f t="shared" si="140"/>
        <v>2.0999999999999925</v>
      </c>
      <c r="AQ167" s="131">
        <f t="shared" si="128"/>
        <v>2.0999999999999925</v>
      </c>
      <c r="AR167" s="131">
        <f t="shared" si="129"/>
        <v>1.6373343080203115</v>
      </c>
      <c r="AS167" s="131">
        <f t="shared" si="130"/>
        <v>3.4384020468426422</v>
      </c>
      <c r="AT167" s="131">
        <f t="shared" si="131"/>
        <v>7.2206442983695229</v>
      </c>
      <c r="AU167" s="131">
        <f t="shared" si="132"/>
        <v>15.163353026575944</v>
      </c>
      <c r="AV167" s="131">
        <f t="shared" si="133"/>
        <v>4.4099999999999691</v>
      </c>
      <c r="AW167" s="131">
        <f t="shared" si="134"/>
        <v>9.2609999999999015</v>
      </c>
      <c r="AX167" s="131">
        <f t="shared" si="135"/>
        <v>19.448099999999727</v>
      </c>
      <c r="AY167" s="131">
        <f t="shared" si="136"/>
        <v>40.84100999999928</v>
      </c>
      <c r="AZ167" s="131">
        <f t="shared" si="137"/>
        <v>85.766120999998193</v>
      </c>
      <c r="BE167" s="116">
        <f t="shared" si="95"/>
        <v>1.637334490328975</v>
      </c>
    </row>
    <row r="168" spans="4:57">
      <c r="D168" s="114">
        <f t="shared" si="96"/>
        <v>41173</v>
      </c>
      <c r="E168" s="115">
        <f t="shared" si="138"/>
        <v>0.69583333333333208</v>
      </c>
      <c r="F168" s="116">
        <f t="shared" si="97"/>
        <v>2456192.1958333333</v>
      </c>
      <c r="G168" s="117">
        <f t="shared" si="98"/>
        <v>0.12723328770248604</v>
      </c>
      <c r="I168" s="112">
        <f t="shared" si="99"/>
        <v>180.96277019966419</v>
      </c>
      <c r="J168" s="112">
        <f t="shared" si="100"/>
        <v>4937.80663007569</v>
      </c>
      <c r="K168" s="112">
        <f t="shared" si="101"/>
        <v>1.6703283443226039E-2</v>
      </c>
      <c r="L168" s="112">
        <f t="shared" si="102"/>
        <v>-1.8623282039406224</v>
      </c>
      <c r="M168" s="112">
        <f t="shared" si="103"/>
        <v>179.10044199572357</v>
      </c>
      <c r="N168" s="112">
        <f t="shared" si="104"/>
        <v>4935.9443018717493</v>
      </c>
      <c r="O168" s="112">
        <f t="shared" si="105"/>
        <v>1.0037940524376556</v>
      </c>
      <c r="P168" s="112">
        <f t="shared" si="106"/>
        <v>179.09884725683057</v>
      </c>
      <c r="Q168" s="112">
        <f t="shared" si="107"/>
        <v>23.437636546616481</v>
      </c>
      <c r="R168" s="112">
        <f t="shared" si="108"/>
        <v>23.436316269377642</v>
      </c>
      <c r="S168" s="112">
        <f t="shared" si="94"/>
        <v>179.17317912814312</v>
      </c>
      <c r="T168" s="112">
        <f t="shared" si="109"/>
        <v>0.35840260757691511</v>
      </c>
      <c r="U168" s="112">
        <f t="shared" si="110"/>
        <v>4.3023295703950588E-2</v>
      </c>
      <c r="V168" s="112">
        <f t="shared" si="111"/>
        <v>7.1239958503405125</v>
      </c>
      <c r="W168" s="112">
        <f t="shared" si="112"/>
        <v>91.337215466531561</v>
      </c>
      <c r="X168" s="115">
        <f t="shared" si="113"/>
        <v>0.51449722510393014</v>
      </c>
      <c r="Y168" s="115">
        <f t="shared" si="114"/>
        <v>0.26078273769689803</v>
      </c>
      <c r="Z168" s="115">
        <f t="shared" si="115"/>
        <v>0.76821171251096221</v>
      </c>
      <c r="AA168" s="118">
        <f t="shared" si="116"/>
        <v>730.69772373225248</v>
      </c>
      <c r="AB168" s="112">
        <f t="shared" si="117"/>
        <v>981.1239958503387</v>
      </c>
      <c r="AC168" s="112">
        <f t="shared" si="118"/>
        <v>65.280998962584675</v>
      </c>
      <c r="AD168" s="112">
        <f t="shared" si="119"/>
        <v>70.526804645980292</v>
      </c>
      <c r="AE168" s="112">
        <f t="shared" si="120"/>
        <v>19.473195354019708</v>
      </c>
      <c r="AF168" s="112">
        <f t="shared" si="121"/>
        <v>4.5207154643488415E-2</v>
      </c>
      <c r="AG168" s="112">
        <f t="shared" si="122"/>
        <v>19.518402508663197</v>
      </c>
      <c r="AH168" s="112">
        <f t="shared" si="123"/>
        <v>254.46441538801832</v>
      </c>
      <c r="AJ168" s="119">
        <f t="shared" si="124"/>
        <v>0.69583333333333208</v>
      </c>
      <c r="AK168" s="112">
        <f t="shared" si="125"/>
        <v>0</v>
      </c>
      <c r="AL168" s="112">
        <f t="shared" si="126"/>
        <v>0</v>
      </c>
      <c r="AM168" s="116">
        <f t="shared" si="127"/>
        <v>0</v>
      </c>
      <c r="AN168" s="116">
        <f t="shared" si="139"/>
        <v>1.6373343080203115</v>
      </c>
      <c r="AO168" s="116">
        <f t="shared" si="140"/>
        <v>2.0999999999999925</v>
      </c>
      <c r="AQ168" s="131">
        <f t="shared" si="128"/>
        <v>2.0999999999999925</v>
      </c>
      <c r="AR168" s="131">
        <f t="shared" si="129"/>
        <v>1.6373343080203115</v>
      </c>
      <c r="AS168" s="131">
        <f t="shared" si="130"/>
        <v>3.4384020468426422</v>
      </c>
      <c r="AT168" s="131">
        <f t="shared" si="131"/>
        <v>7.2206442983695229</v>
      </c>
      <c r="AU168" s="131">
        <f t="shared" si="132"/>
        <v>15.163353026575944</v>
      </c>
      <c r="AV168" s="131">
        <f t="shared" si="133"/>
        <v>4.4099999999999691</v>
      </c>
      <c r="AW168" s="131">
        <f t="shared" si="134"/>
        <v>9.2609999999999015</v>
      </c>
      <c r="AX168" s="131">
        <f t="shared" si="135"/>
        <v>19.448099999999727</v>
      </c>
      <c r="AY168" s="131">
        <f t="shared" si="136"/>
        <v>40.84100999999928</v>
      </c>
      <c r="AZ168" s="131">
        <f t="shared" si="137"/>
        <v>85.766120999998193</v>
      </c>
      <c r="BE168" s="116">
        <f t="shared" si="95"/>
        <v>1.637334490328975</v>
      </c>
    </row>
    <row r="169" spans="4:57">
      <c r="D169" s="114">
        <f t="shared" si="96"/>
        <v>41173</v>
      </c>
      <c r="E169" s="115">
        <f t="shared" si="138"/>
        <v>0.69999999999999873</v>
      </c>
      <c r="F169" s="116">
        <f t="shared" si="97"/>
        <v>2456192.2000000002</v>
      </c>
      <c r="G169" s="117">
        <f t="shared" si="98"/>
        <v>0.12723340177960812</v>
      </c>
      <c r="I169" s="112">
        <f t="shared" si="99"/>
        <v>180.96687706388821</v>
      </c>
      <c r="J169" s="112">
        <f t="shared" si="100"/>
        <v>4937.8107367437415</v>
      </c>
      <c r="K169" s="112">
        <f t="shared" si="101"/>
        <v>1.6703283438426898E-2</v>
      </c>
      <c r="L169" s="112">
        <f t="shared" si="102"/>
        <v>-1.862359745326541</v>
      </c>
      <c r="M169" s="112">
        <f t="shared" si="103"/>
        <v>179.10451731856168</v>
      </c>
      <c r="N169" s="112">
        <f t="shared" si="104"/>
        <v>4935.9483769984154</v>
      </c>
      <c r="O169" s="112">
        <f t="shared" si="105"/>
        <v>1.0037928909016127</v>
      </c>
      <c r="P169" s="112">
        <f t="shared" si="106"/>
        <v>179.10292257017537</v>
      </c>
      <c r="Q169" s="112">
        <f t="shared" si="107"/>
        <v>23.437636545133</v>
      </c>
      <c r="R169" s="112">
        <f t="shared" si="108"/>
        <v>23.436316259448063</v>
      </c>
      <c r="S169" s="112">
        <f t="shared" si="94"/>
        <v>179.17691838478473</v>
      </c>
      <c r="T169" s="112">
        <f t="shared" si="109"/>
        <v>0.35678190302329416</v>
      </c>
      <c r="U169" s="112">
        <f t="shared" si="110"/>
        <v>4.302329566645726E-2</v>
      </c>
      <c r="V169" s="112">
        <f t="shared" si="111"/>
        <v>7.1254673603394796</v>
      </c>
      <c r="W169" s="112">
        <f t="shared" si="112"/>
        <v>91.33594865274064</v>
      </c>
      <c r="X169" s="115">
        <f t="shared" si="113"/>
        <v>0.51449620322198641</v>
      </c>
      <c r="Y169" s="115">
        <f t="shared" si="114"/>
        <v>0.26078523474215132</v>
      </c>
      <c r="Z169" s="115">
        <f t="shared" si="115"/>
        <v>0.76820717170182151</v>
      </c>
      <c r="AA169" s="118">
        <f t="shared" si="116"/>
        <v>730.68758922192512</v>
      </c>
      <c r="AB169" s="112">
        <f t="shared" si="117"/>
        <v>987.12546736033767</v>
      </c>
      <c r="AC169" s="112">
        <f t="shared" si="118"/>
        <v>66.781366840084416</v>
      </c>
      <c r="AD169" s="112">
        <f t="shared" si="119"/>
        <v>71.66974967448806</v>
      </c>
      <c r="AE169" s="112">
        <f t="shared" si="120"/>
        <v>18.33025032551194</v>
      </c>
      <c r="AF169" s="112">
        <f t="shared" si="121"/>
        <v>4.8184483302874538E-2</v>
      </c>
      <c r="AG169" s="112">
        <f t="shared" si="122"/>
        <v>18.378434808814816</v>
      </c>
      <c r="AH169" s="112">
        <f t="shared" si="123"/>
        <v>255.49179368458488</v>
      </c>
      <c r="AJ169" s="119">
        <f t="shared" si="124"/>
        <v>0.69999999999999873</v>
      </c>
      <c r="AK169" s="112">
        <f t="shared" si="125"/>
        <v>0</v>
      </c>
      <c r="AL169" s="112">
        <f t="shared" si="126"/>
        <v>0</v>
      </c>
      <c r="AM169" s="116">
        <f t="shared" si="127"/>
        <v>0</v>
      </c>
      <c r="AN169" s="116">
        <f t="shared" si="139"/>
        <v>1.6373343080203115</v>
      </c>
      <c r="AO169" s="116">
        <f t="shared" si="140"/>
        <v>2.0999999999999925</v>
      </c>
      <c r="AQ169" s="131">
        <f t="shared" si="128"/>
        <v>2.0999999999999925</v>
      </c>
      <c r="AR169" s="131">
        <f t="shared" si="129"/>
        <v>1.6373343080203115</v>
      </c>
      <c r="AS169" s="131">
        <f t="shared" si="130"/>
        <v>3.4384020468426422</v>
      </c>
      <c r="AT169" s="131">
        <f t="shared" si="131"/>
        <v>7.2206442983695229</v>
      </c>
      <c r="AU169" s="131">
        <f t="shared" si="132"/>
        <v>15.163353026575944</v>
      </c>
      <c r="AV169" s="131">
        <f t="shared" si="133"/>
        <v>4.4099999999999691</v>
      </c>
      <c r="AW169" s="131">
        <f t="shared" si="134"/>
        <v>9.2609999999999015</v>
      </c>
      <c r="AX169" s="131">
        <f t="shared" si="135"/>
        <v>19.448099999999727</v>
      </c>
      <c r="AY169" s="131">
        <f t="shared" si="136"/>
        <v>40.84100999999928</v>
      </c>
      <c r="AZ169" s="131">
        <f t="shared" si="137"/>
        <v>85.766120999998193</v>
      </c>
      <c r="BE169" s="116">
        <f t="shared" si="95"/>
        <v>1.637334490328975</v>
      </c>
    </row>
    <row r="170" spans="4:57">
      <c r="D170" s="114">
        <f t="shared" si="96"/>
        <v>41173</v>
      </c>
      <c r="E170" s="115">
        <f t="shared" si="138"/>
        <v>0.70416666666666539</v>
      </c>
      <c r="F170" s="116">
        <f t="shared" si="97"/>
        <v>2456192.2041666666</v>
      </c>
      <c r="G170" s="117">
        <f t="shared" si="98"/>
        <v>0.12723351585671744</v>
      </c>
      <c r="I170" s="112">
        <f t="shared" si="99"/>
        <v>180.97098392765201</v>
      </c>
      <c r="J170" s="112">
        <f t="shared" si="100"/>
        <v>4937.8148434113309</v>
      </c>
      <c r="K170" s="112">
        <f t="shared" si="101"/>
        <v>1.6703283433627761E-2</v>
      </c>
      <c r="L170" s="112">
        <f t="shared" si="102"/>
        <v>-1.8623912772780467</v>
      </c>
      <c r="M170" s="112">
        <f t="shared" si="103"/>
        <v>179.10859265037396</v>
      </c>
      <c r="N170" s="112">
        <f t="shared" si="104"/>
        <v>4935.9524521340527</v>
      </c>
      <c r="O170" s="112">
        <f t="shared" si="105"/>
        <v>1.0037917293450247</v>
      </c>
      <c r="P170" s="112">
        <f t="shared" si="106"/>
        <v>179.10699789249429</v>
      </c>
      <c r="Q170" s="112">
        <f t="shared" si="107"/>
        <v>23.437636543649521</v>
      </c>
      <c r="R170" s="112">
        <f t="shared" si="108"/>
        <v>23.436316249518509</v>
      </c>
      <c r="S170" s="112">
        <f t="shared" si="94"/>
        <v>179.18065764834373</v>
      </c>
      <c r="T170" s="112">
        <f t="shared" si="109"/>
        <v>0.35516119338250357</v>
      </c>
      <c r="U170" s="112">
        <f t="shared" si="110"/>
        <v>4.3023295628964016E-2</v>
      </c>
      <c r="V170" s="112">
        <f t="shared" si="111"/>
        <v>7.1269388433706711</v>
      </c>
      <c r="W170" s="112">
        <f t="shared" si="112"/>
        <v>91.334681836918918</v>
      </c>
      <c r="X170" s="115">
        <f t="shared" si="113"/>
        <v>0.51449518135877037</v>
      </c>
      <c r="Y170" s="115">
        <f t="shared" si="114"/>
        <v>0.26078773181177339</v>
      </c>
      <c r="Z170" s="115">
        <f t="shared" si="115"/>
        <v>0.76820263090576735</v>
      </c>
      <c r="AA170" s="118">
        <f t="shared" si="116"/>
        <v>730.67745469535134</v>
      </c>
      <c r="AB170" s="112">
        <f t="shared" si="117"/>
        <v>993.12693884336886</v>
      </c>
      <c r="AC170" s="112">
        <f t="shared" si="118"/>
        <v>68.281734710842215</v>
      </c>
      <c r="AD170" s="112">
        <f t="shared" si="119"/>
        <v>72.817965154408753</v>
      </c>
      <c r="AE170" s="112">
        <f t="shared" si="120"/>
        <v>17.182034845591247</v>
      </c>
      <c r="AF170" s="112">
        <f t="shared" si="121"/>
        <v>5.1544984184855112E-2</v>
      </c>
      <c r="AG170" s="112">
        <f t="shared" si="122"/>
        <v>17.233579829776101</v>
      </c>
      <c r="AH170" s="112">
        <f t="shared" si="123"/>
        <v>256.50584513092053</v>
      </c>
      <c r="AJ170" s="119">
        <f t="shared" si="124"/>
        <v>0.70416666666666539</v>
      </c>
      <c r="AK170" s="112">
        <f t="shared" si="125"/>
        <v>0</v>
      </c>
      <c r="AL170" s="112">
        <f t="shared" si="126"/>
        <v>0</v>
      </c>
      <c r="AM170" s="116">
        <f t="shared" si="127"/>
        <v>0</v>
      </c>
      <c r="AN170" s="116">
        <f t="shared" si="139"/>
        <v>1.6373343080203115</v>
      </c>
      <c r="AO170" s="116">
        <f t="shared" si="140"/>
        <v>2.0999999999999925</v>
      </c>
      <c r="AQ170" s="131">
        <f t="shared" si="128"/>
        <v>2.0999999999999925</v>
      </c>
      <c r="AR170" s="131">
        <f t="shared" si="129"/>
        <v>1.6373343080203115</v>
      </c>
      <c r="AS170" s="131">
        <f t="shared" si="130"/>
        <v>3.4384020468426422</v>
      </c>
      <c r="AT170" s="131">
        <f t="shared" si="131"/>
        <v>7.2206442983695229</v>
      </c>
      <c r="AU170" s="131">
        <f t="shared" si="132"/>
        <v>15.163353026575944</v>
      </c>
      <c r="AV170" s="131">
        <f t="shared" si="133"/>
        <v>4.4099999999999691</v>
      </c>
      <c r="AW170" s="131">
        <f t="shared" si="134"/>
        <v>9.2609999999999015</v>
      </c>
      <c r="AX170" s="131">
        <f t="shared" si="135"/>
        <v>19.448099999999727</v>
      </c>
      <c r="AY170" s="131">
        <f t="shared" si="136"/>
        <v>40.84100999999928</v>
      </c>
      <c r="AZ170" s="131">
        <f t="shared" si="137"/>
        <v>85.766120999998193</v>
      </c>
      <c r="BE170" s="116">
        <f t="shared" si="95"/>
        <v>1.637334490328975</v>
      </c>
    </row>
    <row r="171" spans="4:57">
      <c r="D171" s="114">
        <f t="shared" si="96"/>
        <v>41173</v>
      </c>
      <c r="E171" s="115">
        <f t="shared" si="138"/>
        <v>0.70833333333333204</v>
      </c>
      <c r="F171" s="116">
        <f t="shared" si="97"/>
        <v>2456192.2083333335</v>
      </c>
      <c r="G171" s="117">
        <f t="shared" si="98"/>
        <v>0.12723362993383952</v>
      </c>
      <c r="I171" s="112">
        <f t="shared" si="99"/>
        <v>180.97509079187603</v>
      </c>
      <c r="J171" s="112">
        <f t="shared" si="100"/>
        <v>4937.8189500793824</v>
      </c>
      <c r="K171" s="112">
        <f t="shared" si="101"/>
        <v>1.6703283428828625E-2</v>
      </c>
      <c r="L171" s="112">
        <f t="shared" si="102"/>
        <v>-1.8624227998020471</v>
      </c>
      <c r="M171" s="112">
        <f t="shared" si="103"/>
        <v>179.11266799207399</v>
      </c>
      <c r="N171" s="112">
        <f t="shared" si="104"/>
        <v>4935.9565272795808</v>
      </c>
      <c r="O171" s="112">
        <f t="shared" si="105"/>
        <v>1.0037905677676349</v>
      </c>
      <c r="P171" s="112">
        <f t="shared" si="106"/>
        <v>179.1110732247009</v>
      </c>
      <c r="Q171" s="112">
        <f t="shared" si="107"/>
        <v>23.43763654216604</v>
      </c>
      <c r="R171" s="112">
        <f t="shared" si="108"/>
        <v>23.436316239588969</v>
      </c>
      <c r="S171" s="112">
        <f t="shared" si="94"/>
        <v>179.18439691966432</v>
      </c>
      <c r="T171" s="112">
        <f t="shared" si="109"/>
        <v>0.35354047829811475</v>
      </c>
      <c r="U171" s="112">
        <f t="shared" si="110"/>
        <v>4.3023295591470834E-2</v>
      </c>
      <c r="V171" s="112">
        <f t="shared" si="111"/>
        <v>7.1284102997397287</v>
      </c>
      <c r="W171" s="112">
        <f t="shared" si="112"/>
        <v>91.333415018785104</v>
      </c>
      <c r="X171" s="115">
        <f t="shared" si="113"/>
        <v>0.51449415951406963</v>
      </c>
      <c r="Y171" s="115">
        <f t="shared" si="114"/>
        <v>0.26079022890633324</v>
      </c>
      <c r="Z171" s="115">
        <f t="shared" si="115"/>
        <v>0.76819809012180595</v>
      </c>
      <c r="AA171" s="118">
        <f t="shared" si="116"/>
        <v>730.66732015028083</v>
      </c>
      <c r="AB171" s="112">
        <f t="shared" si="117"/>
        <v>999.12841029973788</v>
      </c>
      <c r="AC171" s="112">
        <f t="shared" si="118"/>
        <v>69.78210257493447</v>
      </c>
      <c r="AD171" s="112">
        <f t="shared" si="119"/>
        <v>73.971028067191611</v>
      </c>
      <c r="AE171" s="112">
        <f t="shared" si="120"/>
        <v>16.028971932808389</v>
      </c>
      <c r="AF171" s="112">
        <f t="shared" si="121"/>
        <v>5.5367962432971499E-2</v>
      </c>
      <c r="AG171" s="112">
        <f t="shared" si="122"/>
        <v>16.08433989524136</v>
      </c>
      <c r="AH171" s="112">
        <f t="shared" si="123"/>
        <v>257.50757391379784</v>
      </c>
      <c r="AJ171" s="119">
        <f t="shared" si="124"/>
        <v>0.70833333333333204</v>
      </c>
      <c r="AK171" s="112">
        <f t="shared" si="125"/>
        <v>0</v>
      </c>
      <c r="AL171" s="112">
        <f t="shared" si="126"/>
        <v>0</v>
      </c>
      <c r="AM171" s="116">
        <f t="shared" si="127"/>
        <v>0</v>
      </c>
      <c r="AN171" s="116">
        <f t="shared" si="139"/>
        <v>1.6373343080203115</v>
      </c>
      <c r="AO171" s="116">
        <f t="shared" si="140"/>
        <v>2.0999999999999925</v>
      </c>
      <c r="AQ171" s="131">
        <f t="shared" si="128"/>
        <v>2.0999999999999925</v>
      </c>
      <c r="AR171" s="131">
        <f t="shared" si="129"/>
        <v>1.6373343080203115</v>
      </c>
      <c r="AS171" s="131">
        <f t="shared" si="130"/>
        <v>3.4384020468426422</v>
      </c>
      <c r="AT171" s="131">
        <f t="shared" si="131"/>
        <v>7.2206442983695229</v>
      </c>
      <c r="AU171" s="131">
        <f t="shared" si="132"/>
        <v>15.163353026575944</v>
      </c>
      <c r="AV171" s="131">
        <f t="shared" si="133"/>
        <v>4.4099999999999691</v>
      </c>
      <c r="AW171" s="131">
        <f t="shared" si="134"/>
        <v>9.2609999999999015</v>
      </c>
      <c r="AX171" s="131">
        <f t="shared" si="135"/>
        <v>19.448099999999727</v>
      </c>
      <c r="AY171" s="131">
        <f t="shared" si="136"/>
        <v>40.84100999999928</v>
      </c>
      <c r="AZ171" s="131">
        <f t="shared" si="137"/>
        <v>85.766120999998193</v>
      </c>
      <c r="BE171" s="116">
        <f t="shared" si="95"/>
        <v>1.637334490328975</v>
      </c>
    </row>
    <row r="172" spans="4:57">
      <c r="D172" s="114">
        <f t="shared" si="96"/>
        <v>41173</v>
      </c>
      <c r="E172" s="115">
        <f t="shared" si="138"/>
        <v>0.71249999999999869</v>
      </c>
      <c r="F172" s="116">
        <f t="shared" si="97"/>
        <v>2456192.2124999999</v>
      </c>
      <c r="G172" s="117">
        <f t="shared" si="98"/>
        <v>0.12723374401094886</v>
      </c>
      <c r="I172" s="112">
        <f t="shared" si="99"/>
        <v>180.97919765564075</v>
      </c>
      <c r="J172" s="112">
        <f t="shared" si="100"/>
        <v>4937.8230567469736</v>
      </c>
      <c r="K172" s="112">
        <f t="shared" si="101"/>
        <v>1.6703283424029488E-2</v>
      </c>
      <c r="L172" s="112">
        <f t="shared" si="102"/>
        <v>-1.8624543128912594</v>
      </c>
      <c r="M172" s="112">
        <f t="shared" si="103"/>
        <v>179.11674334274949</v>
      </c>
      <c r="N172" s="112">
        <f t="shared" si="104"/>
        <v>4935.9606024340828</v>
      </c>
      <c r="O172" s="112">
        <f t="shared" si="105"/>
        <v>1.0037894061697106</v>
      </c>
      <c r="P172" s="112">
        <f t="shared" si="106"/>
        <v>179.11514856588292</v>
      </c>
      <c r="Q172" s="112">
        <f t="shared" si="107"/>
        <v>23.437636540682561</v>
      </c>
      <c r="R172" s="112">
        <f t="shared" si="108"/>
        <v>23.43631622965945</v>
      </c>
      <c r="S172" s="112">
        <f t="shared" si="94"/>
        <v>179.18813619791533</v>
      </c>
      <c r="T172" s="112">
        <f t="shared" si="109"/>
        <v>0.35191975813984666</v>
      </c>
      <c r="U172" s="112">
        <f t="shared" si="110"/>
        <v>4.3023295553977728E-2</v>
      </c>
      <c r="V172" s="112">
        <f t="shared" si="111"/>
        <v>7.1298817290928085</v>
      </c>
      <c r="W172" s="112">
        <f t="shared" si="112"/>
        <v>91.332148198625603</v>
      </c>
      <c r="X172" s="115">
        <f t="shared" si="113"/>
        <v>0.51449313768812999</v>
      </c>
      <c r="Y172" s="115">
        <f t="shared" si="114"/>
        <v>0.26079272602528109</v>
      </c>
      <c r="Z172" s="115">
        <f t="shared" si="115"/>
        <v>0.76819354935097883</v>
      </c>
      <c r="AA172" s="118">
        <f t="shared" si="116"/>
        <v>730.65718558900483</v>
      </c>
      <c r="AB172" s="112">
        <f t="shared" si="117"/>
        <v>1005.129881729091</v>
      </c>
      <c r="AC172" s="112">
        <f t="shared" si="118"/>
        <v>71.28247043227276</v>
      </c>
      <c r="AD172" s="112">
        <f t="shared" si="119"/>
        <v>75.12853170812572</v>
      </c>
      <c r="AE172" s="112">
        <f t="shared" si="120"/>
        <v>14.87146829187428</v>
      </c>
      <c r="AF172" s="112">
        <f t="shared" si="121"/>
        <v>5.9755851679248871E-2</v>
      </c>
      <c r="AG172" s="112">
        <f t="shared" si="122"/>
        <v>14.931224143553528</v>
      </c>
      <c r="AH172" s="112">
        <f t="shared" si="123"/>
        <v>258.49795615820699</v>
      </c>
      <c r="AJ172" s="119">
        <f t="shared" si="124"/>
        <v>0.71249999999999869</v>
      </c>
      <c r="AK172" s="112">
        <f t="shared" si="125"/>
        <v>0</v>
      </c>
      <c r="AL172" s="112">
        <f t="shared" si="126"/>
        <v>0</v>
      </c>
      <c r="AM172" s="116">
        <f t="shared" si="127"/>
        <v>0</v>
      </c>
      <c r="AN172" s="116">
        <f t="shared" si="139"/>
        <v>1.6373343080203115</v>
      </c>
      <c r="AO172" s="116">
        <f t="shared" si="140"/>
        <v>2.0999999999999925</v>
      </c>
      <c r="AQ172" s="131">
        <f t="shared" si="128"/>
        <v>2.0999999999999925</v>
      </c>
      <c r="AR172" s="131">
        <f t="shared" si="129"/>
        <v>1.6373343080203115</v>
      </c>
      <c r="AS172" s="131">
        <f t="shared" si="130"/>
        <v>3.4384020468426422</v>
      </c>
      <c r="AT172" s="131">
        <f t="shared" si="131"/>
        <v>7.2206442983695229</v>
      </c>
      <c r="AU172" s="131">
        <f t="shared" si="132"/>
        <v>15.163353026575944</v>
      </c>
      <c r="AV172" s="131">
        <f t="shared" si="133"/>
        <v>4.4099999999999691</v>
      </c>
      <c r="AW172" s="131">
        <f t="shared" si="134"/>
        <v>9.2609999999999015</v>
      </c>
      <c r="AX172" s="131">
        <f t="shared" si="135"/>
        <v>19.448099999999727</v>
      </c>
      <c r="AY172" s="131">
        <f t="shared" si="136"/>
        <v>40.84100999999928</v>
      </c>
      <c r="AZ172" s="131">
        <f t="shared" si="137"/>
        <v>85.766120999998193</v>
      </c>
      <c r="BE172" s="116">
        <f t="shared" si="95"/>
        <v>1.637334490328975</v>
      </c>
    </row>
    <row r="173" spans="4:57">
      <c r="D173" s="114">
        <f t="shared" si="96"/>
        <v>41173</v>
      </c>
      <c r="E173" s="115">
        <f t="shared" si="138"/>
        <v>0.71666666666666534</v>
      </c>
      <c r="F173" s="116">
        <f t="shared" si="97"/>
        <v>2456192.2166666668</v>
      </c>
      <c r="G173" s="117">
        <f t="shared" si="98"/>
        <v>0.12723385808807094</v>
      </c>
      <c r="I173" s="112">
        <f t="shared" si="99"/>
        <v>180.98330451986476</v>
      </c>
      <c r="J173" s="112">
        <f t="shared" si="100"/>
        <v>4937.8271634150242</v>
      </c>
      <c r="K173" s="112">
        <f t="shared" si="101"/>
        <v>1.6703283419230348E-2</v>
      </c>
      <c r="L173" s="112">
        <f t="shared" si="102"/>
        <v>-1.8624858165525384</v>
      </c>
      <c r="M173" s="112">
        <f t="shared" si="103"/>
        <v>179.12081870331221</v>
      </c>
      <c r="N173" s="112">
        <f t="shared" si="104"/>
        <v>4935.964677598472</v>
      </c>
      <c r="O173" s="112">
        <f t="shared" si="105"/>
        <v>1.003788244550998</v>
      </c>
      <c r="P173" s="112">
        <f t="shared" si="106"/>
        <v>179.11922391695208</v>
      </c>
      <c r="Q173" s="112">
        <f t="shared" si="107"/>
        <v>23.43763653919908</v>
      </c>
      <c r="R173" s="112">
        <f t="shared" si="108"/>
        <v>23.436316219729949</v>
      </c>
      <c r="S173" s="112">
        <f t="shared" si="94"/>
        <v>179.19187548393944</v>
      </c>
      <c r="T173" s="112">
        <f t="shared" si="109"/>
        <v>0.35029903255197853</v>
      </c>
      <c r="U173" s="112">
        <f t="shared" si="110"/>
        <v>4.3023295516484691E-2</v>
      </c>
      <c r="V173" s="112">
        <f t="shared" si="111"/>
        <v>7.1313531317347385</v>
      </c>
      <c r="W173" s="112">
        <f t="shared" si="112"/>
        <v>91.330881376159709</v>
      </c>
      <c r="X173" s="115">
        <f t="shared" si="113"/>
        <v>0.51449211588073973</v>
      </c>
      <c r="Y173" s="115">
        <f t="shared" si="114"/>
        <v>0.26079522316918496</v>
      </c>
      <c r="Z173" s="115">
        <f t="shared" si="115"/>
        <v>0.76818900859229444</v>
      </c>
      <c r="AA173" s="118">
        <f t="shared" si="116"/>
        <v>730.64705100927767</v>
      </c>
      <c r="AB173" s="112">
        <f t="shared" si="117"/>
        <v>1011.131353131733</v>
      </c>
      <c r="AC173" s="112">
        <f t="shared" si="118"/>
        <v>72.782838282933255</v>
      </c>
      <c r="AD173" s="112">
        <f t="shared" si="119"/>
        <v>76.290084249700101</v>
      </c>
      <c r="AE173" s="112">
        <f t="shared" si="120"/>
        <v>13.709915750299899</v>
      </c>
      <c r="AF173" s="112">
        <f t="shared" si="121"/>
        <v>6.4843040073162467E-2</v>
      </c>
      <c r="AG173" s="112">
        <f t="shared" si="122"/>
        <v>13.774758790373062</v>
      </c>
      <c r="AH173" s="112">
        <f t="shared" si="123"/>
        <v>259.47794182581003</v>
      </c>
      <c r="AJ173" s="119">
        <f t="shared" si="124"/>
        <v>0.71666666666666534</v>
      </c>
      <c r="AK173" s="112">
        <f t="shared" si="125"/>
        <v>0</v>
      </c>
      <c r="AL173" s="112">
        <f t="shared" si="126"/>
        <v>0</v>
      </c>
      <c r="AM173" s="116">
        <f t="shared" si="127"/>
        <v>0</v>
      </c>
      <c r="AN173" s="116">
        <f t="shared" si="139"/>
        <v>1.6373343080203115</v>
      </c>
      <c r="AO173" s="116">
        <f t="shared" si="140"/>
        <v>2.0999999999999925</v>
      </c>
      <c r="AQ173" s="131">
        <f t="shared" si="128"/>
        <v>2.0999999999999925</v>
      </c>
      <c r="AR173" s="131">
        <f t="shared" si="129"/>
        <v>1.6373343080203115</v>
      </c>
      <c r="AS173" s="131">
        <f t="shared" si="130"/>
        <v>3.4384020468426422</v>
      </c>
      <c r="AT173" s="131">
        <f t="shared" si="131"/>
        <v>7.2206442983695229</v>
      </c>
      <c r="AU173" s="131">
        <f t="shared" si="132"/>
        <v>15.163353026575944</v>
      </c>
      <c r="AV173" s="131">
        <f t="shared" si="133"/>
        <v>4.4099999999999691</v>
      </c>
      <c r="AW173" s="131">
        <f t="shared" si="134"/>
        <v>9.2609999999999015</v>
      </c>
      <c r="AX173" s="131">
        <f t="shared" si="135"/>
        <v>19.448099999999727</v>
      </c>
      <c r="AY173" s="131">
        <f t="shared" si="136"/>
        <v>40.84100999999928</v>
      </c>
      <c r="AZ173" s="131">
        <f t="shared" si="137"/>
        <v>85.766120999998193</v>
      </c>
      <c r="BE173" s="116">
        <f t="shared" si="95"/>
        <v>1.637334490328975</v>
      </c>
    </row>
    <row r="174" spans="4:57">
      <c r="D174" s="114">
        <f t="shared" si="96"/>
        <v>41173</v>
      </c>
      <c r="E174" s="115">
        <f t="shared" si="138"/>
        <v>0.72083333333333199</v>
      </c>
      <c r="F174" s="116">
        <f t="shared" si="97"/>
        <v>2456192.2208333332</v>
      </c>
      <c r="G174" s="117">
        <f t="shared" si="98"/>
        <v>0.12723397216518026</v>
      </c>
      <c r="I174" s="112">
        <f t="shared" si="99"/>
        <v>180.98741138362857</v>
      </c>
      <c r="J174" s="112">
        <f t="shared" si="100"/>
        <v>4937.8312700826145</v>
      </c>
      <c r="K174" s="112">
        <f t="shared" si="101"/>
        <v>1.6703283414431211E-2</v>
      </c>
      <c r="L174" s="112">
        <f t="shared" si="102"/>
        <v>-1.862517310778631</v>
      </c>
      <c r="M174" s="112">
        <f t="shared" si="103"/>
        <v>179.12489407284994</v>
      </c>
      <c r="N174" s="112">
        <f t="shared" si="104"/>
        <v>4935.9687527718361</v>
      </c>
      <c r="O174" s="112">
        <f t="shared" si="105"/>
        <v>1.0037870829117621</v>
      </c>
      <c r="P174" s="112">
        <f t="shared" si="106"/>
        <v>179.12329927699622</v>
      </c>
      <c r="Q174" s="112">
        <f t="shared" si="107"/>
        <v>23.437636537715601</v>
      </c>
      <c r="R174" s="112">
        <f t="shared" si="108"/>
        <v>23.436316209800474</v>
      </c>
      <c r="S174" s="112">
        <f t="shared" si="94"/>
        <v>179.19561477690559</v>
      </c>
      <c r="T174" s="112">
        <f t="shared" si="109"/>
        <v>0.34867830190417981</v>
      </c>
      <c r="U174" s="112">
        <f t="shared" si="110"/>
        <v>4.3023295478991745E-2</v>
      </c>
      <c r="V174" s="112">
        <f t="shared" si="111"/>
        <v>7.1328245073117866</v>
      </c>
      <c r="W174" s="112">
        <f t="shared" si="112"/>
        <v>91.329614551673771</v>
      </c>
      <c r="X174" s="115">
        <f t="shared" si="113"/>
        <v>0.51449109409214466</v>
      </c>
      <c r="Y174" s="115">
        <f t="shared" si="114"/>
        <v>0.26079772033749532</v>
      </c>
      <c r="Z174" s="115">
        <f t="shared" si="115"/>
        <v>0.76818446784679395</v>
      </c>
      <c r="AA174" s="118">
        <f t="shared" si="116"/>
        <v>730.63691641339017</v>
      </c>
      <c r="AB174" s="112">
        <f t="shared" si="117"/>
        <v>1017.13282450731</v>
      </c>
      <c r="AC174" s="112">
        <f t="shared" si="118"/>
        <v>74.283206126827508</v>
      </c>
      <c r="AD174" s="112">
        <f t="shared" si="119"/>
        <v>77.455307368195506</v>
      </c>
      <c r="AE174" s="112">
        <f t="shared" si="120"/>
        <v>12.544692631804494</v>
      </c>
      <c r="AF174" s="112">
        <f t="shared" si="121"/>
        <v>7.0808897965988604E-2</v>
      </c>
      <c r="AG174" s="112">
        <f t="shared" si="122"/>
        <v>12.615501529770484</v>
      </c>
      <c r="AH174" s="112">
        <f t="shared" si="123"/>
        <v>260.44845664771185</v>
      </c>
      <c r="AJ174" s="119">
        <f t="shared" si="124"/>
        <v>0.72083333333333199</v>
      </c>
      <c r="AK174" s="112">
        <f t="shared" si="125"/>
        <v>0</v>
      </c>
      <c r="AL174" s="112">
        <f t="shared" si="126"/>
        <v>0</v>
      </c>
      <c r="AM174" s="116">
        <f t="shared" si="127"/>
        <v>0</v>
      </c>
      <c r="AN174" s="116">
        <f t="shared" si="139"/>
        <v>1.6373343080203115</v>
      </c>
      <c r="AO174" s="116">
        <f t="shared" si="140"/>
        <v>2.0999999999999925</v>
      </c>
      <c r="AQ174" s="131">
        <f t="shared" si="128"/>
        <v>2.0999999999999925</v>
      </c>
      <c r="AR174" s="131">
        <f t="shared" si="129"/>
        <v>1.6373343080203115</v>
      </c>
      <c r="AS174" s="131">
        <f t="shared" si="130"/>
        <v>3.4384020468426422</v>
      </c>
      <c r="AT174" s="131">
        <f t="shared" si="131"/>
        <v>7.2206442983695229</v>
      </c>
      <c r="AU174" s="131">
        <f t="shared" si="132"/>
        <v>15.163353026575944</v>
      </c>
      <c r="AV174" s="131">
        <f t="shared" si="133"/>
        <v>4.4099999999999691</v>
      </c>
      <c r="AW174" s="131">
        <f t="shared" si="134"/>
        <v>9.2609999999999015</v>
      </c>
      <c r="AX174" s="131">
        <f t="shared" si="135"/>
        <v>19.448099999999727</v>
      </c>
      <c r="AY174" s="131">
        <f t="shared" si="136"/>
        <v>40.84100999999928</v>
      </c>
      <c r="AZ174" s="131">
        <f t="shared" si="137"/>
        <v>85.766120999998193</v>
      </c>
      <c r="BE174" s="116">
        <f t="shared" si="95"/>
        <v>1.637334490328975</v>
      </c>
    </row>
    <row r="175" spans="4:57">
      <c r="D175" s="114">
        <f t="shared" si="96"/>
        <v>41173</v>
      </c>
      <c r="E175" s="115">
        <f t="shared" si="138"/>
        <v>0.72499999999999865</v>
      </c>
      <c r="F175" s="116">
        <f t="shared" si="97"/>
        <v>2456192.2250000001</v>
      </c>
      <c r="G175" s="117">
        <f t="shared" si="98"/>
        <v>0.12723408624230234</v>
      </c>
      <c r="I175" s="112">
        <f t="shared" si="99"/>
        <v>180.99151824785258</v>
      </c>
      <c r="J175" s="112">
        <f t="shared" si="100"/>
        <v>4937.8353767506642</v>
      </c>
      <c r="K175" s="112">
        <f t="shared" si="101"/>
        <v>1.6703283409632074E-2</v>
      </c>
      <c r="L175" s="112">
        <f t="shared" si="102"/>
        <v>-1.8625487955763869</v>
      </c>
      <c r="M175" s="112">
        <f t="shared" si="103"/>
        <v>179.12896945227621</v>
      </c>
      <c r="N175" s="112">
        <f t="shared" si="104"/>
        <v>4935.9728279550882</v>
      </c>
      <c r="O175" s="112">
        <f t="shared" si="105"/>
        <v>1.003785921251749</v>
      </c>
      <c r="P175" s="112">
        <f t="shared" si="106"/>
        <v>179.12737464692881</v>
      </c>
      <c r="Q175" s="112">
        <f t="shared" si="107"/>
        <v>23.43763653623212</v>
      </c>
      <c r="R175" s="112">
        <f t="shared" si="108"/>
        <v>23.436316199871012</v>
      </c>
      <c r="S175" s="112">
        <f t="shared" si="94"/>
        <v>179.19935407765786</v>
      </c>
      <c r="T175" s="112">
        <f t="shared" si="109"/>
        <v>0.34705756584006142</v>
      </c>
      <c r="U175" s="112">
        <f t="shared" si="110"/>
        <v>4.3023295441498861E-2</v>
      </c>
      <c r="V175" s="112">
        <f t="shared" si="111"/>
        <v>7.1342958561293877</v>
      </c>
      <c r="W175" s="112">
        <f t="shared" si="112"/>
        <v>91.328347724886555</v>
      </c>
      <c r="X175" s="115">
        <f t="shared" si="113"/>
        <v>0.5144900723221324</v>
      </c>
      <c r="Y175" s="115">
        <f t="shared" si="114"/>
        <v>0.26080021753078086</v>
      </c>
      <c r="Z175" s="115">
        <f t="shared" si="115"/>
        <v>0.76817992711348393</v>
      </c>
      <c r="AA175" s="118">
        <f t="shared" si="116"/>
        <v>730.62678179909244</v>
      </c>
      <c r="AB175" s="112">
        <f t="shared" si="117"/>
        <v>1023.1342958561274</v>
      </c>
      <c r="AC175" s="112">
        <f t="shared" si="118"/>
        <v>75.783573964031859</v>
      </c>
      <c r="AD175" s="112">
        <f t="shared" si="119"/>
        <v>78.623834933425329</v>
      </c>
      <c r="AE175" s="112">
        <f t="shared" si="120"/>
        <v>11.376165066574671</v>
      </c>
      <c r="AF175" s="112">
        <f t="shared" si="121"/>
        <v>7.7897382895718861E-2</v>
      </c>
      <c r="AG175" s="112">
        <f t="shared" si="122"/>
        <v>11.45406244947039</v>
      </c>
      <c r="AH175" s="112">
        <f t="shared" si="123"/>
        <v>261.41040407423395</v>
      </c>
      <c r="AJ175" s="119">
        <f t="shared" si="124"/>
        <v>0.72499999999999865</v>
      </c>
      <c r="AK175" s="112">
        <f t="shared" si="125"/>
        <v>0</v>
      </c>
      <c r="AL175" s="112">
        <f t="shared" si="126"/>
        <v>0</v>
      </c>
      <c r="AM175" s="116">
        <f t="shared" si="127"/>
        <v>0</v>
      </c>
      <c r="AN175" s="116">
        <f t="shared" si="139"/>
        <v>1.6373343080203115</v>
      </c>
      <c r="AO175" s="116">
        <f t="shared" si="140"/>
        <v>2.0999999999999925</v>
      </c>
      <c r="AQ175" s="131">
        <f t="shared" si="128"/>
        <v>2.0999999999999925</v>
      </c>
      <c r="AR175" s="131">
        <f t="shared" si="129"/>
        <v>1.6373343080203115</v>
      </c>
      <c r="AS175" s="131">
        <f t="shared" si="130"/>
        <v>3.4384020468426422</v>
      </c>
      <c r="AT175" s="131">
        <f t="shared" si="131"/>
        <v>7.2206442983695229</v>
      </c>
      <c r="AU175" s="131">
        <f t="shared" si="132"/>
        <v>15.163353026575944</v>
      </c>
      <c r="AV175" s="131">
        <f t="shared" si="133"/>
        <v>4.4099999999999691</v>
      </c>
      <c r="AW175" s="131">
        <f t="shared" si="134"/>
        <v>9.2609999999999015</v>
      </c>
      <c r="AX175" s="131">
        <f t="shared" si="135"/>
        <v>19.448099999999727</v>
      </c>
      <c r="AY175" s="131">
        <f t="shared" si="136"/>
        <v>40.84100999999928</v>
      </c>
      <c r="AZ175" s="131">
        <f t="shared" si="137"/>
        <v>85.766120999998193</v>
      </c>
      <c r="BE175" s="116">
        <f t="shared" si="95"/>
        <v>1.637334490328975</v>
      </c>
    </row>
    <row r="176" spans="4:57">
      <c r="D176" s="114">
        <f t="shared" si="96"/>
        <v>41173</v>
      </c>
      <c r="E176" s="115">
        <f t="shared" si="138"/>
        <v>0.7291666666666653</v>
      </c>
      <c r="F176" s="116">
        <f t="shared" si="97"/>
        <v>2456192.2291666665</v>
      </c>
      <c r="G176" s="117">
        <f t="shared" si="98"/>
        <v>0.12723420031941168</v>
      </c>
      <c r="I176" s="112">
        <f t="shared" si="99"/>
        <v>180.99562511161821</v>
      </c>
      <c r="J176" s="112">
        <f t="shared" si="100"/>
        <v>4937.8394834182563</v>
      </c>
      <c r="K176" s="112">
        <f t="shared" si="101"/>
        <v>1.6703283404832934E-2</v>
      </c>
      <c r="L176" s="112">
        <f t="shared" si="102"/>
        <v>-1.8625802709385761</v>
      </c>
      <c r="M176" s="112">
        <f t="shared" si="103"/>
        <v>179.13304484067964</v>
      </c>
      <c r="N176" s="112">
        <f t="shared" si="104"/>
        <v>4935.9769031473179</v>
      </c>
      <c r="O176" s="112">
        <f t="shared" si="105"/>
        <v>1.0037847595712241</v>
      </c>
      <c r="P176" s="112">
        <f t="shared" si="106"/>
        <v>179.13145002583852</v>
      </c>
      <c r="Q176" s="112">
        <f t="shared" si="107"/>
        <v>23.437636534748641</v>
      </c>
      <c r="R176" s="112">
        <f t="shared" si="108"/>
        <v>23.436316189941575</v>
      </c>
      <c r="S176" s="112">
        <f t="shared" si="94"/>
        <v>179.20309338536615</v>
      </c>
      <c r="T176" s="112">
        <f t="shared" si="109"/>
        <v>0.34543682472893905</v>
      </c>
      <c r="U176" s="112">
        <f t="shared" si="110"/>
        <v>4.3023295404006068E-2</v>
      </c>
      <c r="V176" s="112">
        <f t="shared" si="111"/>
        <v>7.1357671778341727</v>
      </c>
      <c r="W176" s="112">
        <f t="shared" si="112"/>
        <v>91.327080896084112</v>
      </c>
      <c r="X176" s="115">
        <f t="shared" si="113"/>
        <v>0.51448905057094851</v>
      </c>
      <c r="Y176" s="115">
        <f t="shared" si="114"/>
        <v>0.26080271474849265</v>
      </c>
      <c r="Z176" s="115">
        <f t="shared" si="115"/>
        <v>0.76817538639340444</v>
      </c>
      <c r="AA176" s="118">
        <f t="shared" si="116"/>
        <v>730.6166471686729</v>
      </c>
      <c r="AB176" s="112">
        <f t="shared" si="117"/>
        <v>1029.1357671778321</v>
      </c>
      <c r="AC176" s="112">
        <f t="shared" si="118"/>
        <v>77.28394179445803</v>
      </c>
      <c r="AD176" s="112">
        <f t="shared" si="119"/>
        <v>79.795311751999137</v>
      </c>
      <c r="AE176" s="112">
        <f t="shared" si="120"/>
        <v>10.204688248000863</v>
      </c>
      <c r="AF176" s="112">
        <f t="shared" si="121"/>
        <v>8.6447080962187048E-2</v>
      </c>
      <c r="AG176" s="112">
        <f t="shared" si="122"/>
        <v>10.291135328963051</v>
      </c>
      <c r="AH176" s="112">
        <f t="shared" si="123"/>
        <v>262.36466723502559</v>
      </c>
      <c r="AJ176" s="119">
        <f t="shared" si="124"/>
        <v>0.7291666666666653</v>
      </c>
      <c r="AK176" s="112">
        <f t="shared" si="125"/>
        <v>0</v>
      </c>
      <c r="AL176" s="112">
        <f t="shared" si="126"/>
        <v>0</v>
      </c>
      <c r="AM176" s="116">
        <f t="shared" si="127"/>
        <v>0</v>
      </c>
      <c r="AN176" s="116">
        <f t="shared" si="139"/>
        <v>1.6373343080203115</v>
      </c>
      <c r="AO176" s="116">
        <f t="shared" si="140"/>
        <v>2.0999999999999925</v>
      </c>
      <c r="AQ176" s="131">
        <f t="shared" si="128"/>
        <v>2.0999999999999925</v>
      </c>
      <c r="AR176" s="131">
        <f t="shared" si="129"/>
        <v>1.6373343080203115</v>
      </c>
      <c r="AS176" s="131">
        <f t="shared" si="130"/>
        <v>3.4384020468426422</v>
      </c>
      <c r="AT176" s="131">
        <f t="shared" si="131"/>
        <v>7.2206442983695229</v>
      </c>
      <c r="AU176" s="131">
        <f t="shared" si="132"/>
        <v>15.163353026575944</v>
      </c>
      <c r="AV176" s="131">
        <f t="shared" si="133"/>
        <v>4.4099999999999691</v>
      </c>
      <c r="AW176" s="131">
        <f t="shared" si="134"/>
        <v>9.2609999999999015</v>
      </c>
      <c r="AX176" s="131">
        <f t="shared" si="135"/>
        <v>19.448099999999727</v>
      </c>
      <c r="AY176" s="131">
        <f t="shared" si="136"/>
        <v>40.84100999999928</v>
      </c>
      <c r="AZ176" s="131">
        <f t="shared" si="137"/>
        <v>85.766120999998193</v>
      </c>
      <c r="BE176" s="116">
        <f t="shared" si="95"/>
        <v>1.637334490328975</v>
      </c>
    </row>
    <row r="177" spans="4:57">
      <c r="D177" s="114">
        <f t="shared" si="96"/>
        <v>41173</v>
      </c>
      <c r="E177" s="115">
        <f t="shared" si="138"/>
        <v>0.73333333333333195</v>
      </c>
      <c r="F177" s="116">
        <f t="shared" si="97"/>
        <v>2456192.2333333334</v>
      </c>
      <c r="G177" s="117">
        <f t="shared" si="98"/>
        <v>0.12723431439653377</v>
      </c>
      <c r="I177" s="112">
        <f t="shared" si="99"/>
        <v>180.99973197584222</v>
      </c>
      <c r="J177" s="112">
        <f t="shared" si="100"/>
        <v>4937.8435900863069</v>
      </c>
      <c r="K177" s="112">
        <f t="shared" si="101"/>
        <v>1.6703283400033797E-2</v>
      </c>
      <c r="L177" s="112">
        <f t="shared" si="102"/>
        <v>-1.862611736872019</v>
      </c>
      <c r="M177" s="112">
        <f t="shared" si="103"/>
        <v>179.1371202389702</v>
      </c>
      <c r="N177" s="112">
        <f t="shared" si="104"/>
        <v>4935.9809783494347</v>
      </c>
      <c r="O177" s="112">
        <f t="shared" si="105"/>
        <v>1.0037835978699339</v>
      </c>
      <c r="P177" s="112">
        <f t="shared" si="106"/>
        <v>179.13552541463528</v>
      </c>
      <c r="Q177" s="112">
        <f t="shared" si="107"/>
        <v>23.437636533265163</v>
      </c>
      <c r="R177" s="112">
        <f t="shared" si="108"/>
        <v>23.436316180012156</v>
      </c>
      <c r="S177" s="112">
        <f t="shared" si="94"/>
        <v>179.20683270087125</v>
      </c>
      <c r="T177" s="112">
        <f t="shared" si="109"/>
        <v>0.34381607821584004</v>
      </c>
      <c r="U177" s="112">
        <f t="shared" si="110"/>
        <v>4.302329536651333E-2</v>
      </c>
      <c r="V177" s="112">
        <f t="shared" si="111"/>
        <v>7.1372384727302602</v>
      </c>
      <c r="W177" s="112">
        <f t="shared" si="112"/>
        <v>91.325814064986361</v>
      </c>
      <c r="X177" s="115">
        <f t="shared" si="113"/>
        <v>0.51448802883838174</v>
      </c>
      <c r="Y177" s="115">
        <f t="shared" si="114"/>
        <v>0.26080521199119738</v>
      </c>
      <c r="Z177" s="115">
        <f t="shared" si="115"/>
        <v>0.76817084568556604</v>
      </c>
      <c r="AA177" s="118">
        <f t="shared" si="116"/>
        <v>730.60651251989088</v>
      </c>
      <c r="AB177" s="112">
        <f t="shared" si="117"/>
        <v>1035.1372384727283</v>
      </c>
      <c r="AC177" s="112">
        <f t="shared" si="118"/>
        <v>78.784309618182078</v>
      </c>
      <c r="AD177" s="112">
        <f t="shared" si="119"/>
        <v>80.969392363800253</v>
      </c>
      <c r="AE177" s="112">
        <f t="shared" si="120"/>
        <v>9.0306076361997469</v>
      </c>
      <c r="AF177" s="112">
        <f t="shared" si="121"/>
        <v>9.6937879454998016E-2</v>
      </c>
      <c r="AG177" s="112">
        <f t="shared" si="122"/>
        <v>9.1275455156547451</v>
      </c>
      <c r="AH177" s="112">
        <f t="shared" si="123"/>
        <v>263.31211089791623</v>
      </c>
      <c r="AJ177" s="119">
        <f t="shared" si="124"/>
        <v>0.73333333333333195</v>
      </c>
      <c r="AK177" s="112">
        <f t="shared" si="125"/>
        <v>0</v>
      </c>
      <c r="AL177" s="112">
        <f t="shared" si="126"/>
        <v>0</v>
      </c>
      <c r="AM177" s="116">
        <f t="shared" si="127"/>
        <v>0</v>
      </c>
      <c r="AN177" s="116">
        <f t="shared" si="139"/>
        <v>1.6373343080203115</v>
      </c>
      <c r="AO177" s="116">
        <f t="shared" si="140"/>
        <v>2.0999999999999925</v>
      </c>
      <c r="AQ177" s="131">
        <f t="shared" si="128"/>
        <v>2.0999999999999925</v>
      </c>
      <c r="AR177" s="131">
        <f t="shared" si="129"/>
        <v>1.6373343080203115</v>
      </c>
      <c r="AS177" s="131">
        <f t="shared" si="130"/>
        <v>3.4384020468426422</v>
      </c>
      <c r="AT177" s="131">
        <f t="shared" si="131"/>
        <v>7.2206442983695229</v>
      </c>
      <c r="AU177" s="131">
        <f t="shared" si="132"/>
        <v>15.163353026575944</v>
      </c>
      <c r="AV177" s="131">
        <f t="shared" si="133"/>
        <v>4.4099999999999691</v>
      </c>
      <c r="AW177" s="131">
        <f t="shared" si="134"/>
        <v>9.2609999999999015</v>
      </c>
      <c r="AX177" s="131">
        <f t="shared" si="135"/>
        <v>19.448099999999727</v>
      </c>
      <c r="AY177" s="131">
        <f t="shared" si="136"/>
        <v>40.84100999999928</v>
      </c>
      <c r="AZ177" s="131">
        <f t="shared" si="137"/>
        <v>85.766120999998193</v>
      </c>
      <c r="BE177" s="116">
        <f t="shared" si="95"/>
        <v>1.637334490328975</v>
      </c>
    </row>
    <row r="178" spans="4:57">
      <c r="D178" s="114">
        <f t="shared" si="96"/>
        <v>41173</v>
      </c>
      <c r="E178" s="115">
        <f t="shared" si="138"/>
        <v>0.7374999999999986</v>
      </c>
      <c r="F178" s="116">
        <f t="shared" si="97"/>
        <v>2456192.2374999998</v>
      </c>
      <c r="G178" s="117">
        <f t="shared" si="98"/>
        <v>0.12723442847364308</v>
      </c>
      <c r="I178" s="112">
        <f t="shared" si="99"/>
        <v>181.00383883960512</v>
      </c>
      <c r="J178" s="112">
        <f t="shared" si="100"/>
        <v>4937.8476967538973</v>
      </c>
      <c r="K178" s="112">
        <f t="shared" si="101"/>
        <v>1.670328339523466E-2</v>
      </c>
      <c r="L178" s="112">
        <f t="shared" si="102"/>
        <v>-1.8626431933694783</v>
      </c>
      <c r="M178" s="112">
        <f t="shared" si="103"/>
        <v>179.14119564623564</v>
      </c>
      <c r="N178" s="112">
        <f t="shared" si="104"/>
        <v>4935.9850535605274</v>
      </c>
      <c r="O178" s="112">
        <f t="shared" si="105"/>
        <v>1.0037824361481442</v>
      </c>
      <c r="P178" s="112">
        <f t="shared" si="106"/>
        <v>179.13960081240688</v>
      </c>
      <c r="Q178" s="112">
        <f t="shared" si="107"/>
        <v>23.437636531781681</v>
      </c>
      <c r="R178" s="112">
        <f t="shared" si="108"/>
        <v>23.436316170082751</v>
      </c>
      <c r="S178" s="112">
        <f t="shared" si="94"/>
        <v>179.21057202334217</v>
      </c>
      <c r="T178" s="112">
        <f t="shared" si="109"/>
        <v>0.34219532667043534</v>
      </c>
      <c r="U178" s="112">
        <f t="shared" si="110"/>
        <v>4.3023295329020661E-2</v>
      </c>
      <c r="V178" s="112">
        <f t="shared" si="111"/>
        <v>7.1387097404639679</v>
      </c>
      <c r="W178" s="112">
        <f t="shared" si="112"/>
        <v>91.324547231879606</v>
      </c>
      <c r="X178" s="115">
        <f t="shared" si="113"/>
        <v>0.51448700712467788</v>
      </c>
      <c r="Y178" s="115">
        <f t="shared" si="114"/>
        <v>0.26080770925834562</v>
      </c>
      <c r="Z178" s="115">
        <f t="shared" si="115"/>
        <v>0.76816630499101013</v>
      </c>
      <c r="AA178" s="118">
        <f t="shared" si="116"/>
        <v>730.59637785503685</v>
      </c>
      <c r="AB178" s="112">
        <f t="shared" si="117"/>
        <v>1041.138709740462</v>
      </c>
      <c r="AC178" s="112">
        <f t="shared" si="118"/>
        <v>80.284677435115498</v>
      </c>
      <c r="AD178" s="112">
        <f t="shared" si="119"/>
        <v>82.14573988199534</v>
      </c>
      <c r="AE178" s="112">
        <f t="shared" si="120"/>
        <v>7.8542601180046603</v>
      </c>
      <c r="AF178" s="112">
        <f t="shared" si="121"/>
        <v>0.11006373454382251</v>
      </c>
      <c r="AG178" s="112">
        <f t="shared" si="122"/>
        <v>7.9643238525484827</v>
      </c>
      <c r="AH178" s="112">
        <f t="shared" si="123"/>
        <v>264.25358342463954</v>
      </c>
      <c r="AJ178" s="119">
        <f t="shared" si="124"/>
        <v>0.7374999999999986</v>
      </c>
      <c r="AK178" s="112">
        <f t="shared" si="125"/>
        <v>0</v>
      </c>
      <c r="AL178" s="112">
        <f t="shared" si="126"/>
        <v>0</v>
      </c>
      <c r="AM178" s="116">
        <f t="shared" si="127"/>
        <v>0</v>
      </c>
      <c r="AN178" s="116">
        <f t="shared" si="139"/>
        <v>1.6373343080203115</v>
      </c>
      <c r="AO178" s="116">
        <f t="shared" si="140"/>
        <v>2.0999999999999925</v>
      </c>
      <c r="AQ178" s="131">
        <f t="shared" si="128"/>
        <v>2.0999999999999925</v>
      </c>
      <c r="AR178" s="131">
        <f t="shared" si="129"/>
        <v>1.6373343080203115</v>
      </c>
      <c r="AS178" s="131">
        <f t="shared" si="130"/>
        <v>3.4384020468426422</v>
      </c>
      <c r="AT178" s="131">
        <f t="shared" si="131"/>
        <v>7.2206442983695229</v>
      </c>
      <c r="AU178" s="131">
        <f t="shared" si="132"/>
        <v>15.163353026575944</v>
      </c>
      <c r="AV178" s="131">
        <f t="shared" si="133"/>
        <v>4.4099999999999691</v>
      </c>
      <c r="AW178" s="131">
        <f t="shared" si="134"/>
        <v>9.2609999999999015</v>
      </c>
      <c r="AX178" s="131">
        <f t="shared" si="135"/>
        <v>19.448099999999727</v>
      </c>
      <c r="AY178" s="131">
        <f t="shared" si="136"/>
        <v>40.84100999999928</v>
      </c>
      <c r="AZ178" s="131">
        <f t="shared" si="137"/>
        <v>85.766120999998193</v>
      </c>
      <c r="BE178" s="116">
        <f t="shared" si="95"/>
        <v>1.637334490328975</v>
      </c>
    </row>
    <row r="179" spans="4:57">
      <c r="D179" s="114">
        <f t="shared" si="96"/>
        <v>41173</v>
      </c>
      <c r="E179" s="115">
        <f t="shared" si="138"/>
        <v>0.74166666666666525</v>
      </c>
      <c r="F179" s="116">
        <f t="shared" si="97"/>
        <v>2456192.2416666667</v>
      </c>
      <c r="G179" s="117">
        <f t="shared" si="98"/>
        <v>0.12723454255076516</v>
      </c>
      <c r="I179" s="112">
        <f t="shared" si="99"/>
        <v>181.00794570382914</v>
      </c>
      <c r="J179" s="112">
        <f t="shared" si="100"/>
        <v>4937.8518034219478</v>
      </c>
      <c r="K179" s="112">
        <f t="shared" si="101"/>
        <v>1.6703283390435524E-2</v>
      </c>
      <c r="L179" s="112">
        <f t="shared" si="102"/>
        <v>-1.8626746404378012</v>
      </c>
      <c r="M179" s="112">
        <f t="shared" si="103"/>
        <v>179.14527106339133</v>
      </c>
      <c r="N179" s="112">
        <f t="shared" si="104"/>
        <v>4935.9891287815099</v>
      </c>
      <c r="O179" s="112">
        <f t="shared" si="105"/>
        <v>1.0037812744056003</v>
      </c>
      <c r="P179" s="112">
        <f t="shared" si="106"/>
        <v>179.14367622006867</v>
      </c>
      <c r="Q179" s="112">
        <f t="shared" si="107"/>
        <v>23.437636530298203</v>
      </c>
      <c r="R179" s="112">
        <f t="shared" si="108"/>
        <v>23.436316160153371</v>
      </c>
      <c r="S179" s="112">
        <f t="shared" si="94"/>
        <v>179.21431135362474</v>
      </c>
      <c r="T179" s="112">
        <f t="shared" si="109"/>
        <v>0.34057456973559624</v>
      </c>
      <c r="U179" s="112">
        <f t="shared" si="110"/>
        <v>4.3023295291528083E-2</v>
      </c>
      <c r="V179" s="112">
        <f t="shared" si="111"/>
        <v>7.1401809813413077</v>
      </c>
      <c r="W179" s="112">
        <f t="shared" si="112"/>
        <v>91.323280396482076</v>
      </c>
      <c r="X179" s="115">
        <f t="shared" si="113"/>
        <v>0.51448598542962409</v>
      </c>
      <c r="Y179" s="115">
        <f t="shared" si="114"/>
        <v>0.26081020655050724</v>
      </c>
      <c r="Z179" s="115">
        <f t="shared" si="115"/>
        <v>0.76816176430874095</v>
      </c>
      <c r="AA179" s="118">
        <f t="shared" si="116"/>
        <v>730.58624317185661</v>
      </c>
      <c r="AB179" s="112">
        <f t="shared" si="117"/>
        <v>1047.1401809813392</v>
      </c>
      <c r="AC179" s="112">
        <f t="shared" si="118"/>
        <v>81.7850452453348</v>
      </c>
      <c r="AD179" s="112">
        <f t="shared" si="119"/>
        <v>83.32402487623132</v>
      </c>
      <c r="AE179" s="112">
        <f t="shared" si="120"/>
        <v>6.67597512376868</v>
      </c>
      <c r="AF179" s="112">
        <f t="shared" si="121"/>
        <v>0.12684448260627024</v>
      </c>
      <c r="AG179" s="112">
        <f t="shared" si="122"/>
        <v>6.8028196063749498</v>
      </c>
      <c r="AH179" s="112">
        <f t="shared" si="123"/>
        <v>265.18991871584365</v>
      </c>
      <c r="AJ179" s="119">
        <f t="shared" si="124"/>
        <v>0.74166666666666525</v>
      </c>
      <c r="AK179" s="112">
        <f t="shared" si="125"/>
        <v>0</v>
      </c>
      <c r="AL179" s="112">
        <f t="shared" si="126"/>
        <v>0</v>
      </c>
      <c r="AM179" s="116">
        <f t="shared" si="127"/>
        <v>0</v>
      </c>
      <c r="AN179" s="116">
        <f t="shared" si="139"/>
        <v>1.6373343080203115</v>
      </c>
      <c r="AO179" s="116">
        <f t="shared" si="140"/>
        <v>2.0999999999999925</v>
      </c>
      <c r="AQ179" s="131">
        <f t="shared" si="128"/>
        <v>2.0999999999999925</v>
      </c>
      <c r="AR179" s="131">
        <f t="shared" si="129"/>
        <v>1.6373343080203115</v>
      </c>
      <c r="AS179" s="131">
        <f t="shared" si="130"/>
        <v>3.4384020468426422</v>
      </c>
      <c r="AT179" s="131">
        <f t="shared" si="131"/>
        <v>7.2206442983695229</v>
      </c>
      <c r="AU179" s="131">
        <f t="shared" si="132"/>
        <v>15.163353026575944</v>
      </c>
      <c r="AV179" s="131">
        <f t="shared" si="133"/>
        <v>4.4099999999999691</v>
      </c>
      <c r="AW179" s="131">
        <f t="shared" si="134"/>
        <v>9.2609999999999015</v>
      </c>
      <c r="AX179" s="131">
        <f t="shared" si="135"/>
        <v>19.448099999999727</v>
      </c>
      <c r="AY179" s="131">
        <f t="shared" si="136"/>
        <v>40.84100999999928</v>
      </c>
      <c r="AZ179" s="131">
        <f t="shared" si="137"/>
        <v>85.766120999998193</v>
      </c>
      <c r="BE179" s="116">
        <f t="shared" si="95"/>
        <v>1.637334490328975</v>
      </c>
    </row>
    <row r="180" spans="4:57">
      <c r="D180" s="114">
        <f t="shared" si="96"/>
        <v>41173</v>
      </c>
      <c r="E180" s="115">
        <f t="shared" si="138"/>
        <v>0.7458333333333319</v>
      </c>
      <c r="F180" s="116">
        <f t="shared" si="97"/>
        <v>2456192.2458333331</v>
      </c>
      <c r="G180" s="117">
        <f t="shared" si="98"/>
        <v>0.1272346566278745</v>
      </c>
      <c r="I180" s="112">
        <f t="shared" si="99"/>
        <v>181.01205256759476</v>
      </c>
      <c r="J180" s="112">
        <f t="shared" si="100"/>
        <v>4937.8559100895391</v>
      </c>
      <c r="K180" s="112">
        <f t="shared" si="101"/>
        <v>1.6703283385636383E-2</v>
      </c>
      <c r="L180" s="112">
        <f t="shared" si="102"/>
        <v>-1.862706078069748</v>
      </c>
      <c r="M180" s="112">
        <f t="shared" si="103"/>
        <v>179.14934648952502</v>
      </c>
      <c r="N180" s="112">
        <f t="shared" si="104"/>
        <v>4935.9932040114691</v>
      </c>
      <c r="O180" s="112">
        <f t="shared" si="105"/>
        <v>1.0037801126425681</v>
      </c>
      <c r="P180" s="112">
        <f t="shared" si="106"/>
        <v>179.14775163670836</v>
      </c>
      <c r="Q180" s="112">
        <f t="shared" si="107"/>
        <v>23.437636528814721</v>
      </c>
      <c r="R180" s="112">
        <f t="shared" si="108"/>
        <v>23.436316150224009</v>
      </c>
      <c r="S180" s="112">
        <f t="shared" si="94"/>
        <v>179.21805069088791</v>
      </c>
      <c r="T180" s="112">
        <f t="shared" si="109"/>
        <v>0.33895380778101458</v>
      </c>
      <c r="U180" s="112">
        <f t="shared" si="110"/>
        <v>4.3023295254035553E-2</v>
      </c>
      <c r="V180" s="112">
        <f t="shared" si="111"/>
        <v>7.1416521950085823</v>
      </c>
      <c r="W180" s="112">
        <f t="shared" si="112"/>
        <v>91.322013559080105</v>
      </c>
      <c r="X180" s="115">
        <f t="shared" si="113"/>
        <v>0.51448496375346631</v>
      </c>
      <c r="Y180" s="115">
        <f t="shared" si="114"/>
        <v>0.26081270386713268</v>
      </c>
      <c r="Z180" s="115">
        <f t="shared" si="115"/>
        <v>0.76815722363979999</v>
      </c>
      <c r="AA180" s="118">
        <f t="shared" si="116"/>
        <v>730.57610847264084</v>
      </c>
      <c r="AB180" s="112">
        <f t="shared" si="117"/>
        <v>1053.1416521950066</v>
      </c>
      <c r="AC180" s="112">
        <f t="shared" si="118"/>
        <v>83.28541304875165</v>
      </c>
      <c r="AD180" s="112">
        <f t="shared" si="119"/>
        <v>84.503924289404225</v>
      </c>
      <c r="AE180" s="112">
        <f t="shared" si="120"/>
        <v>5.4960757105957754</v>
      </c>
      <c r="AF180" s="112">
        <f t="shared" si="121"/>
        <v>0.14879833962032107</v>
      </c>
      <c r="AG180" s="112">
        <f t="shared" si="122"/>
        <v>5.6448740502160968</v>
      </c>
      <c r="AH180" s="112">
        <f t="shared" si="123"/>
        <v>266.12193814684099</v>
      </c>
      <c r="AJ180" s="119">
        <f t="shared" si="124"/>
        <v>0.7458333333333319</v>
      </c>
      <c r="AK180" s="112">
        <f t="shared" si="125"/>
        <v>0</v>
      </c>
      <c r="AL180" s="112">
        <f t="shared" si="126"/>
        <v>0</v>
      </c>
      <c r="AM180" s="116">
        <f t="shared" si="127"/>
        <v>0</v>
      </c>
      <c r="AN180" s="116">
        <f t="shared" si="139"/>
        <v>1.6373343080203115</v>
      </c>
      <c r="AO180" s="116">
        <f t="shared" si="140"/>
        <v>2.0999999999999925</v>
      </c>
      <c r="AQ180" s="131">
        <f t="shared" si="128"/>
        <v>2.0999999999999925</v>
      </c>
      <c r="AR180" s="131">
        <f t="shared" si="129"/>
        <v>1.6373343080203115</v>
      </c>
      <c r="AS180" s="131">
        <f t="shared" si="130"/>
        <v>3.4384020468426422</v>
      </c>
      <c r="AT180" s="131">
        <f t="shared" si="131"/>
        <v>7.2206442983695229</v>
      </c>
      <c r="AU180" s="131">
        <f t="shared" si="132"/>
        <v>15.163353026575944</v>
      </c>
      <c r="AV180" s="131">
        <f t="shared" si="133"/>
        <v>4.4099999999999691</v>
      </c>
      <c r="AW180" s="131">
        <f t="shared" si="134"/>
        <v>9.2609999999999015</v>
      </c>
      <c r="AX180" s="131">
        <f t="shared" si="135"/>
        <v>19.448099999999727</v>
      </c>
      <c r="AY180" s="131">
        <f t="shared" si="136"/>
        <v>40.84100999999928</v>
      </c>
      <c r="AZ180" s="131">
        <f t="shared" si="137"/>
        <v>85.766120999998193</v>
      </c>
      <c r="BE180" s="116">
        <f t="shared" si="95"/>
        <v>1.637334490328975</v>
      </c>
    </row>
    <row r="181" spans="4:57">
      <c r="D181" s="114">
        <f t="shared" si="96"/>
        <v>41173</v>
      </c>
      <c r="E181" s="115">
        <f t="shared" si="138"/>
        <v>0.74999999999999856</v>
      </c>
      <c r="F181" s="116">
        <f t="shared" si="97"/>
        <v>2456192.25</v>
      </c>
      <c r="G181" s="117">
        <f t="shared" si="98"/>
        <v>0.12723477070499659</v>
      </c>
      <c r="I181" s="112">
        <f t="shared" si="99"/>
        <v>181.01615943181878</v>
      </c>
      <c r="J181" s="112">
        <f t="shared" si="100"/>
        <v>4937.8600167575896</v>
      </c>
      <c r="K181" s="112">
        <f t="shared" si="101"/>
        <v>1.6703283380837246E-2</v>
      </c>
      <c r="L181" s="112">
        <f t="shared" si="102"/>
        <v>-1.8627375062721496</v>
      </c>
      <c r="M181" s="112">
        <f t="shared" si="103"/>
        <v>179.15342192554664</v>
      </c>
      <c r="N181" s="112">
        <f t="shared" si="104"/>
        <v>4935.9972792513172</v>
      </c>
      <c r="O181" s="112">
        <f t="shared" si="105"/>
        <v>1.003778950858794</v>
      </c>
      <c r="P181" s="112">
        <f t="shared" si="106"/>
        <v>179.15182706323597</v>
      </c>
      <c r="Q181" s="112">
        <f t="shared" si="107"/>
        <v>23.437636527331243</v>
      </c>
      <c r="R181" s="112">
        <f t="shared" si="108"/>
        <v>23.436316140294668</v>
      </c>
      <c r="S181" s="112">
        <f t="shared" si="94"/>
        <v>179.22179003597259</v>
      </c>
      <c r="T181" s="112">
        <f t="shared" si="109"/>
        <v>0.33733304045168649</v>
      </c>
      <c r="U181" s="112">
        <f t="shared" si="110"/>
        <v>4.3023295216543127E-2</v>
      </c>
      <c r="V181" s="112">
        <f t="shared" si="111"/>
        <v>7.1431233817699482</v>
      </c>
      <c r="W181" s="112">
        <f t="shared" si="112"/>
        <v>91.320746719393583</v>
      </c>
      <c r="X181" s="115">
        <f t="shared" si="113"/>
        <v>0.51448394209599313</v>
      </c>
      <c r="Y181" s="115">
        <f t="shared" si="114"/>
        <v>0.26081520120878876</v>
      </c>
      <c r="Z181" s="115">
        <f t="shared" si="115"/>
        <v>0.7681526829831975</v>
      </c>
      <c r="AA181" s="118">
        <f t="shared" si="116"/>
        <v>730.56597375514866</v>
      </c>
      <c r="AB181" s="112">
        <f t="shared" si="117"/>
        <v>1059.143123381768</v>
      </c>
      <c r="AC181" s="112">
        <f t="shared" si="118"/>
        <v>84.785780845441991</v>
      </c>
      <c r="AD181" s="112">
        <f t="shared" si="119"/>
        <v>85.685120387728915</v>
      </c>
      <c r="AE181" s="112">
        <f t="shared" si="120"/>
        <v>4.3148796122710849</v>
      </c>
      <c r="AF181" s="112">
        <f t="shared" si="121"/>
        <v>0.17864472661783687</v>
      </c>
      <c r="AG181" s="112">
        <f t="shared" si="122"/>
        <v>4.4935243388889221</v>
      </c>
      <c r="AH181" s="112">
        <f t="shared" si="123"/>
        <v>267.05045248923687</v>
      </c>
      <c r="AJ181" s="119">
        <f t="shared" si="124"/>
        <v>0.74999999999999856</v>
      </c>
      <c r="AK181" s="112">
        <f t="shared" si="125"/>
        <v>0</v>
      </c>
      <c r="AL181" s="112">
        <f t="shared" si="126"/>
        <v>0</v>
      </c>
      <c r="AM181" s="116">
        <f t="shared" si="127"/>
        <v>0</v>
      </c>
      <c r="AN181" s="116">
        <f t="shared" si="139"/>
        <v>1.6373343080203115</v>
      </c>
      <c r="AO181" s="116">
        <f t="shared" si="140"/>
        <v>2.0999999999999925</v>
      </c>
      <c r="AQ181" s="131">
        <f t="shared" si="128"/>
        <v>2.0999999999999925</v>
      </c>
      <c r="AR181" s="131">
        <f t="shared" si="129"/>
        <v>1.6373343080203115</v>
      </c>
      <c r="AS181" s="131">
        <f t="shared" si="130"/>
        <v>3.4384020468426422</v>
      </c>
      <c r="AT181" s="131">
        <f t="shared" si="131"/>
        <v>7.2206442983695229</v>
      </c>
      <c r="AU181" s="131">
        <f t="shared" si="132"/>
        <v>15.163353026575944</v>
      </c>
      <c r="AV181" s="131">
        <f t="shared" si="133"/>
        <v>4.4099999999999691</v>
      </c>
      <c r="AW181" s="131">
        <f t="shared" si="134"/>
        <v>9.2609999999999015</v>
      </c>
      <c r="AX181" s="131">
        <f t="shared" si="135"/>
        <v>19.448099999999727</v>
      </c>
      <c r="AY181" s="131">
        <f t="shared" si="136"/>
        <v>40.84100999999928</v>
      </c>
      <c r="AZ181" s="131">
        <f t="shared" si="137"/>
        <v>85.766120999998193</v>
      </c>
      <c r="BE181" s="116">
        <f t="shared" si="95"/>
        <v>1.637334490328975</v>
      </c>
    </row>
    <row r="182" spans="4:57">
      <c r="D182" s="114">
        <f t="shared" si="96"/>
        <v>41173</v>
      </c>
      <c r="E182" s="115">
        <f t="shared" si="138"/>
        <v>0.75416666666666521</v>
      </c>
      <c r="F182" s="116">
        <f t="shared" si="97"/>
        <v>2456192.2541666669</v>
      </c>
      <c r="G182" s="117">
        <f t="shared" si="98"/>
        <v>0.12723488478211867</v>
      </c>
      <c r="I182" s="112">
        <f t="shared" si="99"/>
        <v>181.02026629604188</v>
      </c>
      <c r="J182" s="112">
        <f t="shared" si="100"/>
        <v>4937.8641234256411</v>
      </c>
      <c r="K182" s="112">
        <f t="shared" si="101"/>
        <v>1.670328337603811E-2</v>
      </c>
      <c r="L182" s="112">
        <f t="shared" si="102"/>
        <v>-1.862768925041296</v>
      </c>
      <c r="M182" s="112">
        <f t="shared" si="103"/>
        <v>179.15749737100057</v>
      </c>
      <c r="N182" s="112">
        <f t="shared" si="104"/>
        <v>4936.0013545005995</v>
      </c>
      <c r="O182" s="112">
        <f t="shared" si="105"/>
        <v>1.0037777890544128</v>
      </c>
      <c r="P182" s="112">
        <f t="shared" si="106"/>
        <v>179.1559024991958</v>
      </c>
      <c r="Q182" s="112">
        <f t="shared" si="107"/>
        <v>23.437636525847761</v>
      </c>
      <c r="R182" s="112">
        <f t="shared" si="108"/>
        <v>23.436316130365345</v>
      </c>
      <c r="S182" s="112">
        <f t="shared" si="94"/>
        <v>179.22552938846667</v>
      </c>
      <c r="T182" s="112">
        <f t="shared" si="109"/>
        <v>0.33571226793572784</v>
      </c>
      <c r="U182" s="112">
        <f t="shared" si="110"/>
        <v>4.302329517905075E-2</v>
      </c>
      <c r="V182" s="112">
        <f t="shared" si="111"/>
        <v>7.1445945414365912</v>
      </c>
      <c r="W182" s="112">
        <f t="shared" si="112"/>
        <v>91.319479877566906</v>
      </c>
      <c r="X182" s="115">
        <f t="shared" si="113"/>
        <v>0.51448292045733568</v>
      </c>
      <c r="Y182" s="115">
        <f t="shared" si="114"/>
        <v>0.26081769857520537</v>
      </c>
      <c r="Z182" s="115">
        <f t="shared" si="115"/>
        <v>0.76814814233946604</v>
      </c>
      <c r="AA182" s="118">
        <f t="shared" si="116"/>
        <v>730.55583902053525</v>
      </c>
      <c r="AB182" s="112">
        <f t="shared" si="117"/>
        <v>1065.1445945414346</v>
      </c>
      <c r="AC182" s="112">
        <f t="shared" si="118"/>
        <v>86.286148635358643</v>
      </c>
      <c r="AD182" s="112">
        <f t="shared" si="119"/>
        <v>86.867299734760806</v>
      </c>
      <c r="AE182" s="112">
        <f t="shared" si="120"/>
        <v>3.132700265239194</v>
      </c>
      <c r="AF182" s="112">
        <f t="shared" si="121"/>
        <v>0.22267986977028437</v>
      </c>
      <c r="AG182" s="112">
        <f t="shared" si="122"/>
        <v>3.3553801350094785</v>
      </c>
      <c r="AH182" s="112">
        <f t="shared" si="123"/>
        <v>267.9762638219936</v>
      </c>
      <c r="AJ182" s="119">
        <f t="shared" si="124"/>
        <v>0.75416666666666521</v>
      </c>
      <c r="AK182" s="112">
        <f t="shared" si="125"/>
        <v>0</v>
      </c>
      <c r="AL182" s="112">
        <f t="shared" si="126"/>
        <v>0</v>
      </c>
      <c r="AM182" s="116">
        <f t="shared" si="127"/>
        <v>0</v>
      </c>
      <c r="AN182" s="116">
        <f t="shared" si="139"/>
        <v>1.6373343080203115</v>
      </c>
      <c r="AO182" s="116">
        <f t="shared" si="140"/>
        <v>2.0999999999999925</v>
      </c>
      <c r="AQ182" s="131">
        <f t="shared" si="128"/>
        <v>2.0999999999999925</v>
      </c>
      <c r="AR182" s="131">
        <f t="shared" si="129"/>
        <v>1.6373343080203115</v>
      </c>
      <c r="AS182" s="131">
        <f t="shared" si="130"/>
        <v>3.4384020468426422</v>
      </c>
      <c r="AT182" s="131">
        <f t="shared" si="131"/>
        <v>7.2206442983695229</v>
      </c>
      <c r="AU182" s="131">
        <f t="shared" si="132"/>
        <v>15.163353026575944</v>
      </c>
      <c r="AV182" s="131">
        <f t="shared" si="133"/>
        <v>4.4099999999999691</v>
      </c>
      <c r="AW182" s="131">
        <f t="shared" si="134"/>
        <v>9.2609999999999015</v>
      </c>
      <c r="AX182" s="131">
        <f t="shared" si="135"/>
        <v>19.448099999999727</v>
      </c>
      <c r="AY182" s="131">
        <f t="shared" si="136"/>
        <v>40.84100999999928</v>
      </c>
      <c r="AZ182" s="131">
        <f t="shared" si="137"/>
        <v>85.766120999998193</v>
      </c>
      <c r="BE182" s="116">
        <f t="shared" si="95"/>
        <v>1.637334490328975</v>
      </c>
    </row>
    <row r="183" spans="4:57">
      <c r="D183" s="114">
        <f t="shared" si="96"/>
        <v>41173</v>
      </c>
      <c r="E183" s="115">
        <f t="shared" si="138"/>
        <v>0.75833333333333186</v>
      </c>
      <c r="F183" s="116">
        <f t="shared" si="97"/>
        <v>2456192.2583333333</v>
      </c>
      <c r="G183" s="117">
        <f t="shared" si="98"/>
        <v>0.12723499885922798</v>
      </c>
      <c r="I183" s="112">
        <f t="shared" si="99"/>
        <v>181.02437315980569</v>
      </c>
      <c r="J183" s="112">
        <f t="shared" si="100"/>
        <v>4937.8682300932305</v>
      </c>
      <c r="K183" s="112">
        <f t="shared" si="101"/>
        <v>1.6703283371238973E-2</v>
      </c>
      <c r="L183" s="112">
        <f t="shared" si="102"/>
        <v>-1.8628003343734503</v>
      </c>
      <c r="M183" s="112">
        <f t="shared" si="103"/>
        <v>179.16157282543224</v>
      </c>
      <c r="N183" s="112">
        <f t="shared" si="104"/>
        <v>4936.0054297588567</v>
      </c>
      <c r="O183" s="112">
        <f t="shared" si="105"/>
        <v>1.0037766272295621</v>
      </c>
      <c r="P183" s="112">
        <f t="shared" si="106"/>
        <v>179.15997794413332</v>
      </c>
      <c r="Q183" s="112">
        <f t="shared" si="107"/>
        <v>23.437636524364283</v>
      </c>
      <c r="R183" s="112">
        <f t="shared" si="108"/>
        <v>23.436316120436043</v>
      </c>
      <c r="S183" s="112">
        <f t="shared" si="94"/>
        <v>179.22926874795905</v>
      </c>
      <c r="T183" s="112">
        <f t="shared" si="109"/>
        <v>0.33409149042080022</v>
      </c>
      <c r="U183" s="112">
        <f t="shared" si="110"/>
        <v>4.3023295141558476E-2</v>
      </c>
      <c r="V183" s="112">
        <f t="shared" si="111"/>
        <v>7.1460656738198933</v>
      </c>
      <c r="W183" s="112">
        <f t="shared" si="112"/>
        <v>91.318213033744115</v>
      </c>
      <c r="X183" s="115">
        <f t="shared" si="113"/>
        <v>0.51448189883762507</v>
      </c>
      <c r="Y183" s="115">
        <f t="shared" si="114"/>
        <v>0.26082019596611367</v>
      </c>
      <c r="Z183" s="115">
        <f t="shared" si="115"/>
        <v>0.76814360170913654</v>
      </c>
      <c r="AA183" s="118">
        <f t="shared" si="116"/>
        <v>730.54570426995292</v>
      </c>
      <c r="AB183" s="112">
        <f t="shared" si="117"/>
        <v>1071.1460656738179</v>
      </c>
      <c r="AC183" s="112">
        <f t="shared" si="118"/>
        <v>87.786516418454482</v>
      </c>
      <c r="AD183" s="112">
        <f t="shared" si="119"/>
        <v>88.050152188178558</v>
      </c>
      <c r="AE183" s="112">
        <f t="shared" si="120"/>
        <v>1.9498478118214422</v>
      </c>
      <c r="AF183" s="112">
        <f t="shared" si="121"/>
        <v>0.28699141415530005</v>
      </c>
      <c r="AG183" s="112">
        <f t="shared" si="122"/>
        <v>2.236839225976742</v>
      </c>
      <c r="AH183" s="112">
        <f t="shared" si="123"/>
        <v>268.90016742967674</v>
      </c>
      <c r="AJ183" s="119">
        <f t="shared" si="124"/>
        <v>0.75833333333333186</v>
      </c>
      <c r="AK183" s="112">
        <f t="shared" si="125"/>
        <v>0</v>
      </c>
      <c r="AL183" s="112">
        <f t="shared" si="126"/>
        <v>0</v>
      </c>
      <c r="AM183" s="116">
        <f t="shared" si="127"/>
        <v>0</v>
      </c>
      <c r="AN183" s="116">
        <f t="shared" si="139"/>
        <v>1.6373343080203115</v>
      </c>
      <c r="AO183" s="116">
        <f t="shared" si="140"/>
        <v>2.0999999999999925</v>
      </c>
      <c r="AQ183" s="131">
        <f t="shared" si="128"/>
        <v>2.0999999999999925</v>
      </c>
      <c r="AR183" s="131">
        <f t="shared" si="129"/>
        <v>1.6373343080203115</v>
      </c>
      <c r="AS183" s="131">
        <f t="shared" si="130"/>
        <v>3.4384020468426422</v>
      </c>
      <c r="AT183" s="131">
        <f t="shared" si="131"/>
        <v>7.2206442983695229</v>
      </c>
      <c r="AU183" s="131">
        <f t="shared" si="132"/>
        <v>15.163353026575944</v>
      </c>
      <c r="AV183" s="131">
        <f t="shared" si="133"/>
        <v>4.4099999999999691</v>
      </c>
      <c r="AW183" s="131">
        <f t="shared" si="134"/>
        <v>9.2609999999999015</v>
      </c>
      <c r="AX183" s="131">
        <f t="shared" si="135"/>
        <v>19.448099999999727</v>
      </c>
      <c r="AY183" s="131">
        <f t="shared" si="136"/>
        <v>40.84100999999928</v>
      </c>
      <c r="AZ183" s="131">
        <f t="shared" si="137"/>
        <v>85.766120999998193</v>
      </c>
      <c r="BE183" s="116">
        <f t="shared" si="95"/>
        <v>1.637334490328975</v>
      </c>
    </row>
    <row r="184" spans="4:57">
      <c r="D184" s="114">
        <f t="shared" si="96"/>
        <v>41173</v>
      </c>
      <c r="E184" s="115">
        <f t="shared" si="138"/>
        <v>0.76249999999999851</v>
      </c>
      <c r="F184" s="116">
        <f t="shared" si="97"/>
        <v>2456192.2625000002</v>
      </c>
      <c r="G184" s="117">
        <f t="shared" si="98"/>
        <v>0.12723511293635006</v>
      </c>
      <c r="I184" s="112">
        <f t="shared" si="99"/>
        <v>181.0284800240297</v>
      </c>
      <c r="J184" s="112">
        <f t="shared" si="100"/>
        <v>4937.8723367612811</v>
      </c>
      <c r="K184" s="112">
        <f t="shared" si="101"/>
        <v>1.6703283366439833E-2</v>
      </c>
      <c r="L184" s="112">
        <f t="shared" si="102"/>
        <v>-1.8628317342754681</v>
      </c>
      <c r="M184" s="112">
        <f t="shared" si="103"/>
        <v>179.16564828975424</v>
      </c>
      <c r="N184" s="112">
        <f t="shared" si="104"/>
        <v>4936.0095050270056</v>
      </c>
      <c r="O184" s="112">
        <f t="shared" si="105"/>
        <v>1.0037754653839857</v>
      </c>
      <c r="P184" s="112">
        <f t="shared" si="106"/>
        <v>179.1640533989611</v>
      </c>
      <c r="Q184" s="112">
        <f t="shared" si="107"/>
        <v>23.437636522880801</v>
      </c>
      <c r="R184" s="112">
        <f t="shared" si="108"/>
        <v>23.436316110506759</v>
      </c>
      <c r="S184" s="112">
        <f t="shared" si="94"/>
        <v>179.23300811529307</v>
      </c>
      <c r="T184" s="112">
        <f t="shared" si="109"/>
        <v>0.3324707075508665</v>
      </c>
      <c r="U184" s="112">
        <f t="shared" si="110"/>
        <v>4.3023295104066252E-2</v>
      </c>
      <c r="V184" s="112">
        <f t="shared" si="111"/>
        <v>7.1475367792249971</v>
      </c>
      <c r="W184" s="112">
        <f t="shared" si="112"/>
        <v>91.316946187644305</v>
      </c>
      <c r="X184" s="115">
        <f t="shared" si="113"/>
        <v>0.51448087723664926</v>
      </c>
      <c r="Y184" s="115">
        <f t="shared" si="114"/>
        <v>0.26082269338208175</v>
      </c>
      <c r="Z184" s="115">
        <f t="shared" si="115"/>
        <v>0.76813906109121677</v>
      </c>
      <c r="AA184" s="118">
        <f t="shared" si="116"/>
        <v>730.53556950115444</v>
      </c>
      <c r="AB184" s="112">
        <f t="shared" si="117"/>
        <v>1077.1475367792229</v>
      </c>
      <c r="AC184" s="112">
        <f t="shared" si="118"/>
        <v>89.286884194805737</v>
      </c>
      <c r="AD184" s="112">
        <f t="shared" si="119"/>
        <v>89.233369913131796</v>
      </c>
      <c r="AE184" s="112">
        <f t="shared" si="120"/>
        <v>0.76663008686820433</v>
      </c>
      <c r="AF184" s="112">
        <f t="shared" si="121"/>
        <v>0.38694043751599722</v>
      </c>
      <c r="AG184" s="112">
        <f t="shared" si="122"/>
        <v>1.1535705243842016</v>
      </c>
      <c r="AH184" s="112">
        <f t="shared" si="123"/>
        <v>269.82295369035495</v>
      </c>
      <c r="AJ184" s="119">
        <f t="shared" si="124"/>
        <v>0.76249999999999851</v>
      </c>
      <c r="AK184" s="112">
        <f t="shared" si="125"/>
        <v>0</v>
      </c>
      <c r="AL184" s="112">
        <f t="shared" si="126"/>
        <v>0</v>
      </c>
      <c r="AM184" s="116">
        <f t="shared" si="127"/>
        <v>0</v>
      </c>
      <c r="AN184" s="116">
        <f t="shared" si="139"/>
        <v>1.6373343080203115</v>
      </c>
      <c r="AO184" s="116">
        <f t="shared" si="140"/>
        <v>2.0999999999999925</v>
      </c>
      <c r="AQ184" s="131">
        <f t="shared" si="128"/>
        <v>2.0999999999999925</v>
      </c>
      <c r="AR184" s="131">
        <f t="shared" si="129"/>
        <v>1.6373343080203115</v>
      </c>
      <c r="AS184" s="131">
        <f t="shared" si="130"/>
        <v>3.4384020468426422</v>
      </c>
      <c r="AT184" s="131">
        <f t="shared" si="131"/>
        <v>7.2206442983695229</v>
      </c>
      <c r="AU184" s="131">
        <f t="shared" si="132"/>
        <v>15.163353026575944</v>
      </c>
      <c r="AV184" s="131">
        <f t="shared" si="133"/>
        <v>4.4099999999999691</v>
      </c>
      <c r="AW184" s="131">
        <f t="shared" si="134"/>
        <v>9.2609999999999015</v>
      </c>
      <c r="AX184" s="131">
        <f t="shared" si="135"/>
        <v>19.448099999999727</v>
      </c>
      <c r="AY184" s="131">
        <f t="shared" si="136"/>
        <v>40.84100999999928</v>
      </c>
      <c r="AZ184" s="131">
        <f t="shared" si="137"/>
        <v>85.766120999998193</v>
      </c>
      <c r="BE184" s="116">
        <f t="shared" si="95"/>
        <v>1.637334490328975</v>
      </c>
    </row>
    <row r="185" spans="4:57">
      <c r="D185" s="114">
        <f t="shared" si="96"/>
        <v>41173</v>
      </c>
      <c r="E185" s="115">
        <f t="shared" si="138"/>
        <v>0.76666666666666516</v>
      </c>
      <c r="F185" s="116">
        <f t="shared" si="97"/>
        <v>2456192.2666666666</v>
      </c>
      <c r="G185" s="117">
        <f t="shared" si="98"/>
        <v>0.12723522701345941</v>
      </c>
      <c r="I185" s="112">
        <f t="shared" si="99"/>
        <v>181.03258688779533</v>
      </c>
      <c r="J185" s="112">
        <f t="shared" si="100"/>
        <v>4937.8764434288723</v>
      </c>
      <c r="K185" s="112">
        <f t="shared" si="101"/>
        <v>1.6703283361640696E-2</v>
      </c>
      <c r="L185" s="112">
        <f t="shared" si="102"/>
        <v>-1.8628631247401148</v>
      </c>
      <c r="M185" s="112">
        <f t="shared" si="103"/>
        <v>179.16972376305523</v>
      </c>
      <c r="N185" s="112">
        <f t="shared" si="104"/>
        <v>4936.0135803041321</v>
      </c>
      <c r="O185" s="112">
        <f t="shared" si="105"/>
        <v>1.0037743035179507</v>
      </c>
      <c r="P185" s="112">
        <f t="shared" si="106"/>
        <v>179.16812886276782</v>
      </c>
      <c r="Q185" s="112">
        <f t="shared" si="107"/>
        <v>23.437636521397323</v>
      </c>
      <c r="R185" s="112">
        <f t="shared" si="108"/>
        <v>23.436316100577496</v>
      </c>
      <c r="S185" s="112">
        <f t="shared" si="94"/>
        <v>179.23674748963847</v>
      </c>
      <c r="T185" s="112">
        <f t="shared" si="109"/>
        <v>0.33084991969526667</v>
      </c>
      <c r="U185" s="112">
        <f t="shared" si="110"/>
        <v>4.3023295066574117E-2</v>
      </c>
      <c r="V185" s="112">
        <f t="shared" si="111"/>
        <v>7.1490078572985176</v>
      </c>
      <c r="W185" s="112">
        <f t="shared" si="112"/>
        <v>91.31567933955354</v>
      </c>
      <c r="X185" s="115">
        <f t="shared" si="113"/>
        <v>0.51447985565465382</v>
      </c>
      <c r="Y185" s="115">
        <f t="shared" si="114"/>
        <v>0.26082519082256067</v>
      </c>
      <c r="Z185" s="115">
        <f t="shared" si="115"/>
        <v>0.76813452048674691</v>
      </c>
      <c r="AA185" s="118">
        <f t="shared" si="116"/>
        <v>730.52543471642832</v>
      </c>
      <c r="AB185" s="112">
        <f t="shared" si="117"/>
        <v>1083.1490078572963</v>
      </c>
      <c r="AC185" s="112">
        <f t="shared" si="118"/>
        <v>90.787251964324071</v>
      </c>
      <c r="AD185" s="112">
        <f t="shared" si="119"/>
        <v>90.416646406012944</v>
      </c>
      <c r="AE185" s="112">
        <f t="shared" si="120"/>
        <v>-0.41664640601294423</v>
      </c>
      <c r="AF185" s="112">
        <f t="shared" si="121"/>
        <v>0.54716730674311909</v>
      </c>
      <c r="AG185" s="112">
        <f t="shared" si="122"/>
        <v>0.13052090073017486</v>
      </c>
      <c r="AH185" s="112">
        <f t="shared" si="123"/>
        <v>270.74540995606299</v>
      </c>
      <c r="AJ185" s="119">
        <f t="shared" si="124"/>
        <v>0.76666666666666516</v>
      </c>
      <c r="AK185" s="112">
        <f t="shared" si="125"/>
        <v>0</v>
      </c>
      <c r="AL185" s="112">
        <f t="shared" si="126"/>
        <v>0</v>
      </c>
      <c r="AM185" s="116">
        <f t="shared" si="127"/>
        <v>0</v>
      </c>
      <c r="AN185" s="116">
        <f t="shared" si="139"/>
        <v>1.6373343080203115</v>
      </c>
      <c r="AO185" s="116">
        <f t="shared" si="140"/>
        <v>2.0999999999999925</v>
      </c>
      <c r="AQ185" s="131">
        <f t="shared" si="128"/>
        <v>2.0999999999999925</v>
      </c>
      <c r="AR185" s="131">
        <f t="shared" si="129"/>
        <v>1.6373343080203115</v>
      </c>
      <c r="AS185" s="131">
        <f t="shared" si="130"/>
        <v>3.4384020468426422</v>
      </c>
      <c r="AT185" s="131">
        <f t="shared" si="131"/>
        <v>7.2206442983695229</v>
      </c>
      <c r="AU185" s="131">
        <f t="shared" si="132"/>
        <v>15.163353026575944</v>
      </c>
      <c r="AV185" s="131">
        <f t="shared" si="133"/>
        <v>4.4099999999999691</v>
      </c>
      <c r="AW185" s="131">
        <f t="shared" si="134"/>
        <v>9.2609999999999015</v>
      </c>
      <c r="AX185" s="131">
        <f t="shared" si="135"/>
        <v>19.448099999999727</v>
      </c>
      <c r="AY185" s="131">
        <f t="shared" si="136"/>
        <v>40.84100999999928</v>
      </c>
      <c r="AZ185" s="131">
        <f t="shared" si="137"/>
        <v>85.766120999998193</v>
      </c>
      <c r="BE185" s="116">
        <f t="shared" si="95"/>
        <v>1.637334490328975</v>
      </c>
    </row>
    <row r="186" spans="4:57">
      <c r="D186" s="114">
        <f t="shared" si="96"/>
        <v>41173</v>
      </c>
      <c r="E186" s="115">
        <f t="shared" si="138"/>
        <v>0.77083333333333182</v>
      </c>
      <c r="F186" s="116">
        <f t="shared" si="97"/>
        <v>2456192.2708333335</v>
      </c>
      <c r="G186" s="117">
        <f t="shared" si="98"/>
        <v>0.12723534109058149</v>
      </c>
      <c r="I186" s="112">
        <f t="shared" si="99"/>
        <v>181.03669375201844</v>
      </c>
      <c r="J186" s="112">
        <f t="shared" si="100"/>
        <v>4937.8805500969229</v>
      </c>
      <c r="K186" s="112">
        <f t="shared" si="101"/>
        <v>1.6703283356841559E-2</v>
      </c>
      <c r="L186" s="112">
        <f t="shared" si="102"/>
        <v>-1.8628945057742103</v>
      </c>
      <c r="M186" s="112">
        <f t="shared" si="103"/>
        <v>179.17379924624422</v>
      </c>
      <c r="N186" s="112">
        <f t="shared" si="104"/>
        <v>4936.0176555911485</v>
      </c>
      <c r="O186" s="112">
        <f t="shared" si="105"/>
        <v>1.0037731416312023</v>
      </c>
      <c r="P186" s="112">
        <f t="shared" si="106"/>
        <v>179.17220433646247</v>
      </c>
      <c r="Q186" s="112">
        <f t="shared" si="107"/>
        <v>23.437636519913845</v>
      </c>
      <c r="R186" s="112">
        <f t="shared" si="108"/>
        <v>23.436316090648255</v>
      </c>
      <c r="S186" s="112">
        <f t="shared" si="94"/>
        <v>179.24048687183532</v>
      </c>
      <c r="T186" s="112">
        <f t="shared" si="109"/>
        <v>0.32922912649938002</v>
      </c>
      <c r="U186" s="112">
        <f t="shared" si="110"/>
        <v>4.3023295029082059E-2</v>
      </c>
      <c r="V186" s="112">
        <f t="shared" si="111"/>
        <v>7.1504789083442759</v>
      </c>
      <c r="W186" s="112">
        <f t="shared" si="112"/>
        <v>91.31441248919198</v>
      </c>
      <c r="X186" s="115">
        <f t="shared" si="113"/>
        <v>0.51447883409142758</v>
      </c>
      <c r="Y186" s="115">
        <f t="shared" si="114"/>
        <v>0.26082768828811653</v>
      </c>
      <c r="Z186" s="115">
        <f t="shared" si="115"/>
        <v>0.76812997989473863</v>
      </c>
      <c r="AA186" s="118">
        <f t="shared" si="116"/>
        <v>730.51529991353584</v>
      </c>
      <c r="AB186" s="112">
        <f t="shared" si="117"/>
        <v>1089.1504789083419</v>
      </c>
      <c r="AC186" s="112">
        <f t="shared" si="118"/>
        <v>92.287619727085485</v>
      </c>
      <c r="AD186" s="112">
        <f t="shared" si="119"/>
        <v>91.599675527588474</v>
      </c>
      <c r="AE186" s="112">
        <f t="shared" si="120"/>
        <v>-1.5996755275884738</v>
      </c>
      <c r="AF186" s="112">
        <f t="shared" si="121"/>
        <v>0.20661111401590851</v>
      </c>
      <c r="AG186" s="112">
        <f t="shared" si="122"/>
        <v>-1.3930644135725652</v>
      </c>
      <c r="AH186" s="112">
        <f t="shared" si="123"/>
        <v>271.66832242492069</v>
      </c>
      <c r="AJ186" s="119">
        <f t="shared" si="124"/>
        <v>0.77083333333333182</v>
      </c>
      <c r="AK186" s="112">
        <f t="shared" si="125"/>
        <v>0</v>
      </c>
      <c r="AL186" s="112">
        <f t="shared" si="126"/>
        <v>0</v>
      </c>
      <c r="AM186" s="116">
        <f t="shared" si="127"/>
        <v>0</v>
      </c>
      <c r="AN186" s="116">
        <f t="shared" si="139"/>
        <v>1.6373343080203115</v>
      </c>
      <c r="AO186" s="116">
        <f t="shared" si="140"/>
        <v>2.0999999999999925</v>
      </c>
      <c r="AQ186" s="131">
        <f t="shared" si="128"/>
        <v>2.0999999999999925</v>
      </c>
      <c r="AR186" s="131">
        <f t="shared" si="129"/>
        <v>1.6373343080203115</v>
      </c>
      <c r="AS186" s="131">
        <f t="shared" si="130"/>
        <v>3.4384020468426422</v>
      </c>
      <c r="AT186" s="131">
        <f t="shared" si="131"/>
        <v>7.2206442983695229</v>
      </c>
      <c r="AU186" s="131">
        <f t="shared" si="132"/>
        <v>15.163353026575944</v>
      </c>
      <c r="AV186" s="131">
        <f t="shared" si="133"/>
        <v>4.4099999999999691</v>
      </c>
      <c r="AW186" s="131">
        <f t="shared" si="134"/>
        <v>9.2609999999999015</v>
      </c>
      <c r="AX186" s="131">
        <f t="shared" si="135"/>
        <v>19.448099999999727</v>
      </c>
      <c r="AY186" s="131">
        <f t="shared" si="136"/>
        <v>40.84100999999928</v>
      </c>
      <c r="AZ186" s="131">
        <f t="shared" si="137"/>
        <v>85.766120999998193</v>
      </c>
      <c r="BE186" s="116">
        <f t="shared" si="95"/>
        <v>1.637334490328975</v>
      </c>
    </row>
    <row r="187" spans="4:57">
      <c r="D187" s="114">
        <f t="shared" si="96"/>
        <v>41173</v>
      </c>
      <c r="E187" s="115">
        <f t="shared" si="138"/>
        <v>0.77499999999999847</v>
      </c>
      <c r="F187" s="116">
        <f t="shared" si="97"/>
        <v>2456192.2749999999</v>
      </c>
      <c r="G187" s="117">
        <f t="shared" si="98"/>
        <v>0.1272354551676908</v>
      </c>
      <c r="I187" s="112">
        <f t="shared" si="99"/>
        <v>181.04080061578225</v>
      </c>
      <c r="J187" s="112">
        <f t="shared" si="100"/>
        <v>4937.8846567645141</v>
      </c>
      <c r="K187" s="112">
        <f t="shared" si="101"/>
        <v>1.6703283352042419E-2</v>
      </c>
      <c r="L187" s="112">
        <f t="shared" si="102"/>
        <v>-1.8629258773705366</v>
      </c>
      <c r="M187" s="112">
        <f t="shared" si="103"/>
        <v>179.1778747384117</v>
      </c>
      <c r="N187" s="112">
        <f t="shared" si="104"/>
        <v>4936.0217308871433</v>
      </c>
      <c r="O187" s="112">
        <f t="shared" si="105"/>
        <v>1.003771979724007</v>
      </c>
      <c r="P187" s="112">
        <f t="shared" si="106"/>
        <v>179.17627981913554</v>
      </c>
      <c r="Q187" s="112">
        <f t="shared" si="107"/>
        <v>23.437636518430363</v>
      </c>
      <c r="R187" s="112">
        <f t="shared" si="108"/>
        <v>23.436316080719028</v>
      </c>
      <c r="S187" s="112">
        <f t="shared" si="94"/>
        <v>179.24422626105502</v>
      </c>
      <c r="T187" s="112">
        <f t="shared" si="109"/>
        <v>0.32760832833180842</v>
      </c>
      <c r="U187" s="112">
        <f t="shared" si="110"/>
        <v>4.3023294991590057E-2</v>
      </c>
      <c r="V187" s="112">
        <f t="shared" si="111"/>
        <v>7.1519499320095381</v>
      </c>
      <c r="W187" s="112">
        <f t="shared" si="112"/>
        <v>91.313145636845121</v>
      </c>
      <c r="X187" s="115">
        <f t="shared" si="113"/>
        <v>0.51447781254721558</v>
      </c>
      <c r="Y187" s="115">
        <f t="shared" si="114"/>
        <v>0.26083018577820138</v>
      </c>
      <c r="Z187" s="115">
        <f t="shared" si="115"/>
        <v>0.76812543931622979</v>
      </c>
      <c r="AA187" s="118">
        <f t="shared" si="116"/>
        <v>730.50516509476097</v>
      </c>
      <c r="AB187" s="112">
        <f t="shared" si="117"/>
        <v>1095.1519499320073</v>
      </c>
      <c r="AC187" s="112">
        <f t="shared" si="118"/>
        <v>93.787987483001814</v>
      </c>
      <c r="AD187" s="112">
        <f t="shared" si="119"/>
        <v>92.782150536390532</v>
      </c>
      <c r="AE187" s="112">
        <f t="shared" si="120"/>
        <v>-2.7821505363905317</v>
      </c>
      <c r="AF187" s="112">
        <f t="shared" si="121"/>
        <v>0.11873432810138931</v>
      </c>
      <c r="AG187" s="112">
        <f t="shared" si="122"/>
        <v>-2.6634162082891422</v>
      </c>
      <c r="AH187" s="112">
        <f t="shared" si="123"/>
        <v>272.59247801073872</v>
      </c>
      <c r="AJ187" s="119">
        <f t="shared" si="124"/>
        <v>0.77499999999999847</v>
      </c>
      <c r="AK187" s="112">
        <f t="shared" si="125"/>
        <v>0</v>
      </c>
      <c r="AL187" s="112">
        <f t="shared" si="126"/>
        <v>0</v>
      </c>
      <c r="AM187" s="116">
        <f t="shared" si="127"/>
        <v>0</v>
      </c>
      <c r="AN187" s="116">
        <f t="shared" si="139"/>
        <v>1.6373343080203115</v>
      </c>
      <c r="AO187" s="116">
        <f t="shared" si="140"/>
        <v>2.0999999999999925</v>
      </c>
      <c r="AQ187" s="131">
        <f t="shared" si="128"/>
        <v>2.0999999999999925</v>
      </c>
      <c r="AR187" s="131">
        <f t="shared" si="129"/>
        <v>1.6373343080203115</v>
      </c>
      <c r="AS187" s="131">
        <f t="shared" si="130"/>
        <v>3.4384020468426422</v>
      </c>
      <c r="AT187" s="131">
        <f t="shared" si="131"/>
        <v>7.2206442983695229</v>
      </c>
      <c r="AU187" s="131">
        <f t="shared" si="132"/>
        <v>15.163353026575944</v>
      </c>
      <c r="AV187" s="131">
        <f t="shared" si="133"/>
        <v>4.4099999999999691</v>
      </c>
      <c r="AW187" s="131">
        <f t="shared" si="134"/>
        <v>9.2609999999999015</v>
      </c>
      <c r="AX187" s="131">
        <f t="shared" si="135"/>
        <v>19.448099999999727</v>
      </c>
      <c r="AY187" s="131">
        <f t="shared" si="136"/>
        <v>40.84100999999928</v>
      </c>
      <c r="AZ187" s="131">
        <f t="shared" si="137"/>
        <v>85.766120999998193</v>
      </c>
      <c r="BE187" s="116">
        <f t="shared" si="95"/>
        <v>1.637334490328975</v>
      </c>
    </row>
    <row r="188" spans="4:57">
      <c r="D188" s="114">
        <f t="shared" si="96"/>
        <v>41173</v>
      </c>
      <c r="E188" s="115">
        <f t="shared" si="138"/>
        <v>0.77916666666666512</v>
      </c>
      <c r="F188" s="116">
        <f t="shared" si="97"/>
        <v>2456192.2791666668</v>
      </c>
      <c r="G188" s="117">
        <f t="shared" si="98"/>
        <v>0.12723556924481288</v>
      </c>
      <c r="I188" s="112">
        <f t="shared" si="99"/>
        <v>181.04490748000626</v>
      </c>
      <c r="J188" s="112">
        <f t="shared" si="100"/>
        <v>4937.8887634325638</v>
      </c>
      <c r="K188" s="112">
        <f t="shared" si="101"/>
        <v>1.6703283347243282E-2</v>
      </c>
      <c r="L188" s="112">
        <f t="shared" si="102"/>
        <v>-1.8629572395359042</v>
      </c>
      <c r="M188" s="112">
        <f t="shared" si="103"/>
        <v>179.18195024047034</v>
      </c>
      <c r="N188" s="112">
        <f t="shared" si="104"/>
        <v>4936.0258061930281</v>
      </c>
      <c r="O188" s="112">
        <f t="shared" si="105"/>
        <v>1.0037708177961102</v>
      </c>
      <c r="P188" s="112">
        <f t="shared" si="106"/>
        <v>179.18035531169974</v>
      </c>
      <c r="Q188" s="112">
        <f t="shared" si="107"/>
        <v>23.437636516946885</v>
      </c>
      <c r="R188" s="112">
        <f t="shared" si="108"/>
        <v>23.436316070789825</v>
      </c>
      <c r="S188" s="112">
        <f t="shared" si="94"/>
        <v>179.24796565814106</v>
      </c>
      <c r="T188" s="112">
        <f t="shared" si="109"/>
        <v>0.32598752483646365</v>
      </c>
      <c r="U188" s="112">
        <f t="shared" si="110"/>
        <v>4.3023294954098151E-2</v>
      </c>
      <c r="V188" s="112">
        <f t="shared" si="111"/>
        <v>7.1534209285992896</v>
      </c>
      <c r="W188" s="112">
        <f t="shared" si="112"/>
        <v>91.311878782231986</v>
      </c>
      <c r="X188" s="115">
        <f t="shared" si="113"/>
        <v>0.51447679102180599</v>
      </c>
      <c r="Y188" s="115">
        <f t="shared" si="114"/>
        <v>0.26083268329338383</v>
      </c>
      <c r="Z188" s="115">
        <f t="shared" si="115"/>
        <v>0.76812089875022815</v>
      </c>
      <c r="AA188" s="118">
        <f t="shared" si="116"/>
        <v>730.49503025785589</v>
      </c>
      <c r="AB188" s="112">
        <f t="shared" si="117"/>
        <v>1101.1534209285969</v>
      </c>
      <c r="AC188" s="112">
        <f t="shared" si="118"/>
        <v>95.288355232149229</v>
      </c>
      <c r="AD188" s="112">
        <f t="shared" si="119"/>
        <v>93.96376312235104</v>
      </c>
      <c r="AE188" s="112">
        <f t="shared" si="120"/>
        <v>-3.9637631223510397</v>
      </c>
      <c r="AF188" s="112">
        <f t="shared" si="121"/>
        <v>8.3271643769060044E-2</v>
      </c>
      <c r="AG188" s="112">
        <f t="shared" si="122"/>
        <v>-3.8804914785819795</v>
      </c>
      <c r="AH188" s="112">
        <f t="shared" si="123"/>
        <v>273.51866620857362</v>
      </c>
      <c r="AJ188" s="119">
        <f t="shared" si="124"/>
        <v>0.77916666666666512</v>
      </c>
      <c r="AK188" s="112">
        <f t="shared" si="125"/>
        <v>0</v>
      </c>
      <c r="AL188" s="112">
        <f t="shared" si="126"/>
        <v>0</v>
      </c>
      <c r="AM188" s="116">
        <f t="shared" si="127"/>
        <v>0</v>
      </c>
      <c r="AN188" s="116">
        <f t="shared" si="139"/>
        <v>1.6373343080203115</v>
      </c>
      <c r="AO188" s="116">
        <f t="shared" si="140"/>
        <v>2.0999999999999925</v>
      </c>
      <c r="AQ188" s="131">
        <f t="shared" si="128"/>
        <v>2.0999999999999925</v>
      </c>
      <c r="AR188" s="131">
        <f t="shared" si="129"/>
        <v>1.6373343080203115</v>
      </c>
      <c r="AS188" s="131">
        <f t="shared" si="130"/>
        <v>3.4384020468426422</v>
      </c>
      <c r="AT188" s="131">
        <f t="shared" si="131"/>
        <v>7.2206442983695229</v>
      </c>
      <c r="AU188" s="131">
        <f t="shared" si="132"/>
        <v>15.163353026575944</v>
      </c>
      <c r="AV188" s="131">
        <f t="shared" si="133"/>
        <v>4.4099999999999691</v>
      </c>
      <c r="AW188" s="131">
        <f t="shared" si="134"/>
        <v>9.2609999999999015</v>
      </c>
      <c r="AX188" s="131">
        <f t="shared" si="135"/>
        <v>19.448099999999727</v>
      </c>
      <c r="AY188" s="131">
        <f t="shared" si="136"/>
        <v>40.84100999999928</v>
      </c>
      <c r="AZ188" s="131">
        <f t="shared" si="137"/>
        <v>85.766120999998193</v>
      </c>
      <c r="BE188" s="116">
        <f t="shared" si="95"/>
        <v>1.637334490328975</v>
      </c>
    </row>
    <row r="189" spans="4:57">
      <c r="D189" s="114">
        <f t="shared" si="96"/>
        <v>41173</v>
      </c>
      <c r="E189" s="115">
        <f t="shared" si="138"/>
        <v>0.78333333333333177</v>
      </c>
      <c r="F189" s="116">
        <f t="shared" si="97"/>
        <v>2456192.2833333332</v>
      </c>
      <c r="G189" s="117">
        <f t="shared" si="98"/>
        <v>0.12723568332192223</v>
      </c>
      <c r="I189" s="112">
        <f t="shared" si="99"/>
        <v>181.04901434377189</v>
      </c>
      <c r="J189" s="112">
        <f t="shared" si="100"/>
        <v>4937.892870100156</v>
      </c>
      <c r="K189" s="112">
        <f t="shared" si="101"/>
        <v>1.6703283342444145E-2</v>
      </c>
      <c r="L189" s="112">
        <f t="shared" si="102"/>
        <v>-1.8629885922631171</v>
      </c>
      <c r="M189" s="112">
        <f t="shared" si="103"/>
        <v>179.18602575150877</v>
      </c>
      <c r="N189" s="112">
        <f t="shared" si="104"/>
        <v>4936.0298815078932</v>
      </c>
      <c r="O189" s="112">
        <f t="shared" si="105"/>
        <v>1.0037696558477773</v>
      </c>
      <c r="P189" s="112">
        <f t="shared" si="106"/>
        <v>179.18443081324364</v>
      </c>
      <c r="Q189" s="112">
        <f t="shared" si="107"/>
        <v>23.437636515463403</v>
      </c>
      <c r="R189" s="112">
        <f t="shared" si="108"/>
        <v>23.436316060860637</v>
      </c>
      <c r="S189" s="112">
        <f t="shared" si="94"/>
        <v>179.25170506226306</v>
      </c>
      <c r="T189" s="112">
        <f t="shared" si="109"/>
        <v>0.3243667163827274</v>
      </c>
      <c r="U189" s="112">
        <f t="shared" si="110"/>
        <v>4.3023294916606288E-2</v>
      </c>
      <c r="V189" s="112">
        <f t="shared" si="111"/>
        <v>7.1548918977602787</v>
      </c>
      <c r="W189" s="112">
        <f t="shared" si="112"/>
        <v>91.310611925638682</v>
      </c>
      <c r="X189" s="115">
        <f t="shared" si="113"/>
        <v>0.51447576951544427</v>
      </c>
      <c r="Y189" s="115">
        <f t="shared" si="114"/>
        <v>0.26083518083311458</v>
      </c>
      <c r="Z189" s="115">
        <f t="shared" si="115"/>
        <v>0.76811635819777391</v>
      </c>
      <c r="AA189" s="118">
        <f t="shared" si="116"/>
        <v>730.48489540510946</v>
      </c>
      <c r="AB189" s="112">
        <f t="shared" si="117"/>
        <v>1107.154891897758</v>
      </c>
      <c r="AC189" s="112">
        <f t="shared" si="118"/>
        <v>96.788722974439509</v>
      </c>
      <c r="AD189" s="112">
        <f t="shared" si="119"/>
        <v>95.14420243145932</v>
      </c>
      <c r="AE189" s="112">
        <f t="shared" si="120"/>
        <v>-5.1442024314593198</v>
      </c>
      <c r="AF189" s="112">
        <f t="shared" si="121"/>
        <v>6.4093094570822767E-2</v>
      </c>
      <c r="AG189" s="112">
        <f t="shared" si="122"/>
        <v>-5.0801093368884969</v>
      </c>
      <c r="AH189" s="112">
        <f t="shared" si="123"/>
        <v>274.44768096210595</v>
      </c>
      <c r="AJ189" s="119">
        <f t="shared" si="124"/>
        <v>0.78333333333333177</v>
      </c>
      <c r="AK189" s="112">
        <f t="shared" si="125"/>
        <v>0</v>
      </c>
      <c r="AL189" s="112">
        <f t="shared" si="126"/>
        <v>0</v>
      </c>
      <c r="AM189" s="116">
        <f t="shared" si="127"/>
        <v>0</v>
      </c>
      <c r="AN189" s="116">
        <f t="shared" si="139"/>
        <v>1.6373343080203115</v>
      </c>
      <c r="AO189" s="116">
        <f t="shared" si="140"/>
        <v>2.0999999999999925</v>
      </c>
      <c r="AQ189" s="131">
        <f t="shared" si="128"/>
        <v>2.0999999999999925</v>
      </c>
      <c r="AR189" s="131">
        <f t="shared" si="129"/>
        <v>1.6373343080203115</v>
      </c>
      <c r="AS189" s="131">
        <f t="shared" si="130"/>
        <v>3.4384020468426422</v>
      </c>
      <c r="AT189" s="131">
        <f t="shared" si="131"/>
        <v>7.2206442983695229</v>
      </c>
      <c r="AU189" s="131">
        <f t="shared" si="132"/>
        <v>15.163353026575944</v>
      </c>
      <c r="AV189" s="131">
        <f t="shared" si="133"/>
        <v>4.4099999999999691</v>
      </c>
      <c r="AW189" s="131">
        <f t="shared" si="134"/>
        <v>9.2609999999999015</v>
      </c>
      <c r="AX189" s="131">
        <f t="shared" si="135"/>
        <v>19.448099999999727</v>
      </c>
      <c r="AY189" s="131">
        <f t="shared" si="136"/>
        <v>40.84100999999928</v>
      </c>
      <c r="AZ189" s="131">
        <f t="shared" si="137"/>
        <v>85.766120999998193</v>
      </c>
      <c r="BE189" s="116">
        <f t="shared" si="95"/>
        <v>1.637334490328975</v>
      </c>
    </row>
    <row r="190" spans="4:57">
      <c r="D190" s="114">
        <f t="shared" si="96"/>
        <v>41173</v>
      </c>
      <c r="E190" s="115">
        <f t="shared" si="138"/>
        <v>0.78749999999999842</v>
      </c>
      <c r="F190" s="116">
        <f t="shared" si="97"/>
        <v>2456192.2875000001</v>
      </c>
      <c r="G190" s="117">
        <f t="shared" si="98"/>
        <v>0.12723579739904431</v>
      </c>
      <c r="I190" s="112">
        <f t="shared" si="99"/>
        <v>181.05312120799499</v>
      </c>
      <c r="J190" s="112">
        <f t="shared" si="100"/>
        <v>4937.8969767682056</v>
      </c>
      <c r="K190" s="112">
        <f t="shared" si="101"/>
        <v>1.6703283337645008E-2</v>
      </c>
      <c r="L190" s="112">
        <f t="shared" si="102"/>
        <v>-1.8630199355589629</v>
      </c>
      <c r="M190" s="112">
        <f t="shared" si="103"/>
        <v>179.19010127243604</v>
      </c>
      <c r="N190" s="112">
        <f t="shared" si="104"/>
        <v>4936.0339568326463</v>
      </c>
      <c r="O190" s="112">
        <f t="shared" si="105"/>
        <v>1.0037684938787557</v>
      </c>
      <c r="P190" s="112">
        <f t="shared" si="106"/>
        <v>179.18850632467633</v>
      </c>
      <c r="Q190" s="112">
        <f t="shared" si="107"/>
        <v>23.437636513979925</v>
      </c>
      <c r="R190" s="112">
        <f t="shared" si="108"/>
        <v>23.43631605093147</v>
      </c>
      <c r="S190" s="112">
        <f t="shared" si="94"/>
        <v>179.2554444742612</v>
      </c>
      <c r="T190" s="112">
        <f t="shared" si="109"/>
        <v>0.32274590261593794</v>
      </c>
      <c r="U190" s="112">
        <f t="shared" si="110"/>
        <v>4.3023294879114507E-2</v>
      </c>
      <c r="V190" s="112">
        <f t="shared" si="111"/>
        <v>7.1563628397962118</v>
      </c>
      <c r="W190" s="112">
        <f t="shared" si="112"/>
        <v>91.309345066785355</v>
      </c>
      <c r="X190" s="115">
        <f t="shared" si="113"/>
        <v>0.51447474802791926</v>
      </c>
      <c r="Y190" s="115">
        <f t="shared" si="114"/>
        <v>0.26083767839795996</v>
      </c>
      <c r="Z190" s="115">
        <f t="shared" si="115"/>
        <v>0.7681118176578785</v>
      </c>
      <c r="AA190" s="118">
        <f t="shared" si="116"/>
        <v>730.47476053428284</v>
      </c>
      <c r="AB190" s="112">
        <f t="shared" si="117"/>
        <v>1113.1563628397939</v>
      </c>
      <c r="AC190" s="112">
        <f t="shared" si="118"/>
        <v>98.289090709948482</v>
      </c>
      <c r="AD190" s="112">
        <f t="shared" si="119"/>
        <v>96.323154081432421</v>
      </c>
      <c r="AE190" s="112">
        <f t="shared" si="120"/>
        <v>-6.3231540814324205</v>
      </c>
      <c r="AF190" s="112">
        <f t="shared" si="121"/>
        <v>5.2071072042670197E-2</v>
      </c>
      <c r="AG190" s="112">
        <f t="shared" si="122"/>
        <v>-6.2710830093897503</v>
      </c>
      <c r="AH190" s="112">
        <f t="shared" si="123"/>
        <v>275.38032253096878</v>
      </c>
      <c r="AJ190" s="119">
        <f t="shared" si="124"/>
        <v>0.78749999999999842</v>
      </c>
      <c r="AK190" s="112">
        <f t="shared" si="125"/>
        <v>0</v>
      </c>
      <c r="AL190" s="112">
        <f t="shared" si="126"/>
        <v>0</v>
      </c>
      <c r="AM190" s="116">
        <f t="shared" si="127"/>
        <v>0</v>
      </c>
      <c r="AN190" s="116">
        <f t="shared" si="139"/>
        <v>1.6373343080203115</v>
      </c>
      <c r="AO190" s="116">
        <f t="shared" si="140"/>
        <v>2.0999999999999925</v>
      </c>
      <c r="AQ190" s="131">
        <f t="shared" si="128"/>
        <v>2.0999999999999925</v>
      </c>
      <c r="AR190" s="131">
        <f t="shared" si="129"/>
        <v>1.6373343080203115</v>
      </c>
      <c r="AS190" s="131">
        <f t="shared" si="130"/>
        <v>3.4384020468426422</v>
      </c>
      <c r="AT190" s="131">
        <f t="shared" si="131"/>
        <v>7.2206442983695229</v>
      </c>
      <c r="AU190" s="131">
        <f t="shared" si="132"/>
        <v>15.163353026575944</v>
      </c>
      <c r="AV190" s="131">
        <f t="shared" si="133"/>
        <v>4.4099999999999691</v>
      </c>
      <c r="AW190" s="131">
        <f t="shared" si="134"/>
        <v>9.2609999999999015</v>
      </c>
      <c r="AX190" s="131">
        <f t="shared" si="135"/>
        <v>19.448099999999727</v>
      </c>
      <c r="AY190" s="131">
        <f t="shared" si="136"/>
        <v>40.84100999999928</v>
      </c>
      <c r="AZ190" s="131">
        <f t="shared" si="137"/>
        <v>85.766120999998193</v>
      </c>
      <c r="BE190" s="116">
        <f t="shared" si="95"/>
        <v>1.637334490328975</v>
      </c>
    </row>
    <row r="191" spans="4:57">
      <c r="D191" s="114">
        <f t="shared" si="96"/>
        <v>41173</v>
      </c>
      <c r="E191" s="115">
        <f t="shared" si="138"/>
        <v>0.79166666666666508</v>
      </c>
      <c r="F191" s="116">
        <f t="shared" si="97"/>
        <v>2456192.2916666665</v>
      </c>
      <c r="G191" s="117">
        <f t="shared" si="98"/>
        <v>0.12723591147615362</v>
      </c>
      <c r="I191" s="112">
        <f t="shared" si="99"/>
        <v>181.0572280717588</v>
      </c>
      <c r="J191" s="112">
        <f t="shared" si="100"/>
        <v>4937.9010834357969</v>
      </c>
      <c r="K191" s="112">
        <f t="shared" si="101"/>
        <v>1.6703283332845868E-2</v>
      </c>
      <c r="L191" s="112">
        <f t="shared" si="102"/>
        <v>-1.8630512694162507</v>
      </c>
      <c r="M191" s="112">
        <f t="shared" si="103"/>
        <v>179.19417680234255</v>
      </c>
      <c r="N191" s="112">
        <f t="shared" si="104"/>
        <v>4936.0380321663806</v>
      </c>
      <c r="O191" s="112">
        <f t="shared" si="105"/>
        <v>1.003767331889309</v>
      </c>
      <c r="P191" s="112">
        <f t="shared" si="106"/>
        <v>179.1925818450882</v>
      </c>
      <c r="Q191" s="112">
        <f t="shared" si="107"/>
        <v>23.437636512496443</v>
      </c>
      <c r="R191" s="112">
        <f t="shared" si="108"/>
        <v>23.436316041002325</v>
      </c>
      <c r="S191" s="112">
        <f t="shared" si="94"/>
        <v>179.25918389330684</v>
      </c>
      <c r="T191" s="112">
        <f t="shared" si="109"/>
        <v>0.32112508390473926</v>
      </c>
      <c r="U191" s="112">
        <f t="shared" si="110"/>
        <v>4.3023294841622824E-2</v>
      </c>
      <c r="V191" s="112">
        <f t="shared" si="111"/>
        <v>7.1578337543544288</v>
      </c>
      <c r="W191" s="112">
        <f t="shared" si="112"/>
        <v>91.3080782059575</v>
      </c>
      <c r="X191" s="115">
        <f t="shared" si="113"/>
        <v>0.5144737265594761</v>
      </c>
      <c r="Y191" s="115">
        <f t="shared" si="114"/>
        <v>0.26084017598737191</v>
      </c>
      <c r="Z191" s="115">
        <f t="shared" si="115"/>
        <v>0.76810727713158022</v>
      </c>
      <c r="AA191" s="118">
        <f t="shared" si="116"/>
        <v>730.46462564766</v>
      </c>
      <c r="AB191" s="112">
        <f t="shared" si="117"/>
        <v>1119.1578337543522</v>
      </c>
      <c r="AC191" s="112">
        <f t="shared" si="118"/>
        <v>99.789458438588042</v>
      </c>
      <c r="AD191" s="112">
        <f t="shared" si="119"/>
        <v>97.500299159152192</v>
      </c>
      <c r="AE191" s="112">
        <f t="shared" si="120"/>
        <v>-7.5002991591521919</v>
      </c>
      <c r="AF191" s="112">
        <f t="shared" si="121"/>
        <v>4.3825732983491503E-2</v>
      </c>
      <c r="AG191" s="112">
        <f t="shared" si="122"/>
        <v>-7.4564734261687002</v>
      </c>
      <c r="AH191" s="112">
        <f t="shared" si="123"/>
        <v>276.31739936330359</v>
      </c>
      <c r="AJ191" s="119">
        <f t="shared" si="124"/>
        <v>0.79166666666666508</v>
      </c>
      <c r="AK191" s="112">
        <f t="shared" si="125"/>
        <v>0</v>
      </c>
      <c r="AL191" s="112">
        <f t="shared" si="126"/>
        <v>0</v>
      </c>
      <c r="AM191" s="116">
        <f t="shared" si="127"/>
        <v>0</v>
      </c>
      <c r="AN191" s="116">
        <f t="shared" si="139"/>
        <v>1.6373343080203115</v>
      </c>
      <c r="AO191" s="116">
        <f t="shared" si="140"/>
        <v>2.0999999999999925</v>
      </c>
      <c r="AQ191" s="131">
        <f t="shared" si="128"/>
        <v>2.0999999999999925</v>
      </c>
      <c r="AR191" s="131">
        <f t="shared" si="129"/>
        <v>1.6373343080203115</v>
      </c>
      <c r="AS191" s="131">
        <f t="shared" si="130"/>
        <v>3.4384020468426422</v>
      </c>
      <c r="AT191" s="131">
        <f t="shared" si="131"/>
        <v>7.2206442983695229</v>
      </c>
      <c r="AU191" s="131">
        <f t="shared" si="132"/>
        <v>15.163353026575944</v>
      </c>
      <c r="AV191" s="131">
        <f t="shared" si="133"/>
        <v>4.4099999999999691</v>
      </c>
      <c r="AW191" s="131">
        <f t="shared" si="134"/>
        <v>9.2609999999999015</v>
      </c>
      <c r="AX191" s="131">
        <f t="shared" si="135"/>
        <v>19.448099999999727</v>
      </c>
      <c r="AY191" s="131">
        <f t="shared" si="136"/>
        <v>40.84100999999928</v>
      </c>
      <c r="AZ191" s="131">
        <f t="shared" si="137"/>
        <v>85.766120999998193</v>
      </c>
      <c r="BE191" s="116">
        <f t="shared" si="95"/>
        <v>1.637334490328975</v>
      </c>
    </row>
    <row r="192" spans="4:57">
      <c r="D192" s="114">
        <f t="shared" si="96"/>
        <v>41173</v>
      </c>
      <c r="E192" s="115">
        <f t="shared" si="138"/>
        <v>0.79583333333333173</v>
      </c>
      <c r="F192" s="116">
        <f t="shared" si="97"/>
        <v>2456192.2958333334</v>
      </c>
      <c r="G192" s="117">
        <f t="shared" si="98"/>
        <v>0.12723602555327571</v>
      </c>
      <c r="I192" s="112">
        <f t="shared" si="99"/>
        <v>181.06133493598281</v>
      </c>
      <c r="J192" s="112">
        <f t="shared" si="100"/>
        <v>4937.9051901038465</v>
      </c>
      <c r="K192" s="112">
        <f t="shared" si="101"/>
        <v>1.6703283328046731E-2</v>
      </c>
      <c r="L192" s="112">
        <f t="shared" si="102"/>
        <v>-1.8630825938417761</v>
      </c>
      <c r="M192" s="112">
        <f t="shared" si="103"/>
        <v>179.19825234214105</v>
      </c>
      <c r="N192" s="112">
        <f t="shared" si="104"/>
        <v>4936.0421075100048</v>
      </c>
      <c r="O192" s="112">
        <f t="shared" si="105"/>
        <v>1.0037661698791849</v>
      </c>
      <c r="P192" s="112">
        <f t="shared" si="106"/>
        <v>179.19665737539199</v>
      </c>
      <c r="Q192" s="112">
        <f t="shared" si="107"/>
        <v>23.437636511012965</v>
      </c>
      <c r="R192" s="112">
        <f t="shared" si="108"/>
        <v>23.436316031073201</v>
      </c>
      <c r="S192" s="112">
        <f t="shared" si="94"/>
        <v>179.2629233202434</v>
      </c>
      <c r="T192" s="112">
        <f t="shared" si="109"/>
        <v>0.31950425989304176</v>
      </c>
      <c r="U192" s="112">
        <f t="shared" si="110"/>
        <v>4.3023294804131203E-2</v>
      </c>
      <c r="V192" s="112">
        <f t="shared" si="111"/>
        <v>7.1593046417398902</v>
      </c>
      <c r="W192" s="112">
        <f t="shared" si="112"/>
        <v>91.30681134287417</v>
      </c>
      <c r="X192" s="115">
        <f t="shared" si="113"/>
        <v>0.51447270510990284</v>
      </c>
      <c r="Y192" s="115">
        <f t="shared" si="114"/>
        <v>0.26084267360191904</v>
      </c>
      <c r="Z192" s="115">
        <f t="shared" si="115"/>
        <v>0.76810273661788664</v>
      </c>
      <c r="AA192" s="118">
        <f t="shared" si="116"/>
        <v>730.45449074299336</v>
      </c>
      <c r="AB192" s="112">
        <f t="shared" si="117"/>
        <v>1125.1593046417377</v>
      </c>
      <c r="AC192" s="112">
        <f t="shared" si="118"/>
        <v>101.28982616043442</v>
      </c>
      <c r="AD192" s="112">
        <f t="shared" si="119"/>
        <v>98.675313199825027</v>
      </c>
      <c r="AE192" s="112">
        <f t="shared" si="120"/>
        <v>-8.6753131998250268</v>
      </c>
      <c r="AF192" s="112">
        <f t="shared" si="121"/>
        <v>3.7816084520827374E-2</v>
      </c>
      <c r="AG192" s="112">
        <f t="shared" si="122"/>
        <v>-8.6374971153041997</v>
      </c>
      <c r="AH192" s="112">
        <f t="shared" si="123"/>
        <v>277.25972997079248</v>
      </c>
      <c r="AJ192" s="119">
        <f t="shared" si="124"/>
        <v>0.79583333333333173</v>
      </c>
      <c r="AK192" s="112">
        <f t="shared" si="125"/>
        <v>0</v>
      </c>
      <c r="AL192" s="112">
        <f t="shared" si="126"/>
        <v>0</v>
      </c>
      <c r="AM192" s="116">
        <f t="shared" si="127"/>
        <v>0</v>
      </c>
      <c r="AN192" s="116">
        <f t="shared" si="139"/>
        <v>1.6373343080203115</v>
      </c>
      <c r="AO192" s="116">
        <f t="shared" si="140"/>
        <v>2.0999999999999925</v>
      </c>
      <c r="AQ192" s="131">
        <f t="shared" si="128"/>
        <v>2.0999999999999925</v>
      </c>
      <c r="AR192" s="131">
        <f t="shared" si="129"/>
        <v>1.6373343080203115</v>
      </c>
      <c r="AS192" s="131">
        <f t="shared" si="130"/>
        <v>3.4384020468426422</v>
      </c>
      <c r="AT192" s="131">
        <f t="shared" si="131"/>
        <v>7.2206442983695229</v>
      </c>
      <c r="AU192" s="131">
        <f t="shared" si="132"/>
        <v>15.163353026575944</v>
      </c>
      <c r="AV192" s="131">
        <f t="shared" si="133"/>
        <v>4.4099999999999691</v>
      </c>
      <c r="AW192" s="131">
        <f t="shared" si="134"/>
        <v>9.2609999999999015</v>
      </c>
      <c r="AX192" s="131">
        <f t="shared" si="135"/>
        <v>19.448099999999727</v>
      </c>
      <c r="AY192" s="131">
        <f t="shared" si="136"/>
        <v>40.84100999999928</v>
      </c>
      <c r="AZ192" s="131">
        <f t="shared" si="137"/>
        <v>85.766120999998193</v>
      </c>
      <c r="BE192" s="116">
        <f t="shared" si="95"/>
        <v>1.637334490328975</v>
      </c>
    </row>
    <row r="193" spans="4:57">
      <c r="D193" s="114">
        <f t="shared" si="96"/>
        <v>41173</v>
      </c>
      <c r="E193" s="115">
        <f t="shared" si="138"/>
        <v>0.79999999999999838</v>
      </c>
      <c r="F193" s="116">
        <f t="shared" si="97"/>
        <v>2456192.2999999998</v>
      </c>
      <c r="G193" s="117">
        <f t="shared" si="98"/>
        <v>0.12723613963038505</v>
      </c>
      <c r="I193" s="112">
        <f t="shared" si="99"/>
        <v>181.06544179974844</v>
      </c>
      <c r="J193" s="112">
        <f t="shared" si="100"/>
        <v>4937.9092967714387</v>
      </c>
      <c r="K193" s="112">
        <f t="shared" si="101"/>
        <v>1.6703283323247595E-2</v>
      </c>
      <c r="L193" s="112">
        <f t="shared" si="102"/>
        <v>-1.8631139088283521</v>
      </c>
      <c r="M193" s="112">
        <f t="shared" si="103"/>
        <v>179.20232789092009</v>
      </c>
      <c r="N193" s="112">
        <f t="shared" si="104"/>
        <v>4936.0461828626103</v>
      </c>
      <c r="O193" s="112">
        <f t="shared" si="105"/>
        <v>1.003765007848648</v>
      </c>
      <c r="P193" s="112">
        <f t="shared" si="106"/>
        <v>179.20073291467628</v>
      </c>
      <c r="Q193" s="112">
        <f t="shared" si="107"/>
        <v>23.437636509529483</v>
      </c>
      <c r="R193" s="112">
        <f t="shared" si="108"/>
        <v>23.436316021144091</v>
      </c>
      <c r="S193" s="112">
        <f t="shared" si="94"/>
        <v>179.2666627542406</v>
      </c>
      <c r="T193" s="112">
        <f t="shared" si="109"/>
        <v>0.3178834309502091</v>
      </c>
      <c r="U193" s="112">
        <f t="shared" si="110"/>
        <v>4.3023294766639637E-2</v>
      </c>
      <c r="V193" s="112">
        <f t="shared" si="111"/>
        <v>7.1607755015993506</v>
      </c>
      <c r="W193" s="112">
        <f t="shared" si="112"/>
        <v>91.305544477821428</v>
      </c>
      <c r="X193" s="115">
        <f t="shared" si="113"/>
        <v>0.51447168367944485</v>
      </c>
      <c r="Y193" s="115">
        <f t="shared" si="114"/>
        <v>0.260845171241052</v>
      </c>
      <c r="Z193" s="115">
        <f t="shared" si="115"/>
        <v>0.76809819611783769</v>
      </c>
      <c r="AA193" s="118">
        <f t="shared" si="116"/>
        <v>730.44435582257142</v>
      </c>
      <c r="AB193" s="112">
        <f t="shared" si="117"/>
        <v>1131.1607755015971</v>
      </c>
      <c r="AC193" s="112">
        <f t="shared" si="118"/>
        <v>102.79019387539927</v>
      </c>
      <c r="AD193" s="112">
        <f t="shared" si="119"/>
        <v>99.84786513856001</v>
      </c>
      <c r="AE193" s="112">
        <f t="shared" si="120"/>
        <v>-9.8478651385600102</v>
      </c>
      <c r="AF193" s="112">
        <f t="shared" si="121"/>
        <v>3.3239156450636499E-2</v>
      </c>
      <c r="AG193" s="112">
        <f t="shared" si="122"/>
        <v>-9.8146259821093729</v>
      </c>
      <c r="AH193" s="112">
        <f t="shared" si="123"/>
        <v>278.20814481024672</v>
      </c>
      <c r="AJ193" s="119">
        <f t="shared" si="124"/>
        <v>0.79999999999999838</v>
      </c>
      <c r="AK193" s="112">
        <f t="shared" si="125"/>
        <v>0</v>
      </c>
      <c r="AL193" s="112">
        <f t="shared" si="126"/>
        <v>0</v>
      </c>
      <c r="AM193" s="116">
        <f t="shared" si="127"/>
        <v>0</v>
      </c>
      <c r="AN193" s="116">
        <f t="shared" si="139"/>
        <v>1.6373343080203115</v>
      </c>
      <c r="AO193" s="116">
        <f t="shared" si="140"/>
        <v>2.0999999999999925</v>
      </c>
      <c r="AQ193" s="131">
        <f t="shared" si="128"/>
        <v>2.0999999999999925</v>
      </c>
      <c r="AR193" s="131">
        <f t="shared" si="129"/>
        <v>1.6373343080203115</v>
      </c>
      <c r="AS193" s="131">
        <f t="shared" si="130"/>
        <v>3.4384020468426422</v>
      </c>
      <c r="AT193" s="131">
        <f t="shared" si="131"/>
        <v>7.2206442983695229</v>
      </c>
      <c r="AU193" s="131">
        <f t="shared" si="132"/>
        <v>15.163353026575944</v>
      </c>
      <c r="AV193" s="131">
        <f t="shared" si="133"/>
        <v>4.4099999999999691</v>
      </c>
      <c r="AW193" s="131">
        <f t="shared" si="134"/>
        <v>9.2609999999999015</v>
      </c>
      <c r="AX193" s="131">
        <f t="shared" si="135"/>
        <v>19.448099999999727</v>
      </c>
      <c r="AY193" s="131">
        <f t="shared" si="136"/>
        <v>40.84100999999928</v>
      </c>
      <c r="AZ193" s="131">
        <f t="shared" si="137"/>
        <v>85.766120999998193</v>
      </c>
      <c r="BE193" s="116">
        <f t="shared" si="95"/>
        <v>1.637334490328975</v>
      </c>
    </row>
    <row r="194" spans="4:57">
      <c r="D194" s="114">
        <f t="shared" si="96"/>
        <v>41173</v>
      </c>
      <c r="E194" s="115">
        <f t="shared" si="138"/>
        <v>0.80416666666666503</v>
      </c>
      <c r="F194" s="116">
        <f t="shared" si="97"/>
        <v>2456192.3041666667</v>
      </c>
      <c r="G194" s="117">
        <f t="shared" si="98"/>
        <v>0.12723625370750713</v>
      </c>
      <c r="I194" s="112">
        <f t="shared" si="99"/>
        <v>181.06954866397155</v>
      </c>
      <c r="J194" s="112">
        <f t="shared" si="100"/>
        <v>4937.9134034394892</v>
      </c>
      <c r="K194" s="112">
        <f t="shared" si="101"/>
        <v>1.6703283318448454E-2</v>
      </c>
      <c r="L194" s="112">
        <f t="shared" si="102"/>
        <v>-1.8631452143827649</v>
      </c>
      <c r="M194" s="112">
        <f t="shared" si="103"/>
        <v>179.20640344958878</v>
      </c>
      <c r="N194" s="112">
        <f t="shared" si="104"/>
        <v>4936.0502582251065</v>
      </c>
      <c r="O194" s="112">
        <f t="shared" si="105"/>
        <v>1.0037638457974447</v>
      </c>
      <c r="P194" s="112">
        <f t="shared" si="106"/>
        <v>179.20480846385016</v>
      </c>
      <c r="Q194" s="112">
        <f t="shared" si="107"/>
        <v>23.437636508046005</v>
      </c>
      <c r="R194" s="112">
        <f t="shared" si="108"/>
        <v>23.436316011215006</v>
      </c>
      <c r="S194" s="112">
        <f t="shared" ref="S194:S241" si="141">DEGREES(ATAN2(COS(RADIANS(P194)),COS(RADIANS(R194))*SIN(RADIANS(P194))))</f>
        <v>179.27040219613858</v>
      </c>
      <c r="T194" s="112">
        <f t="shared" si="109"/>
        <v>0.31626259672157842</v>
      </c>
      <c r="U194" s="112">
        <f t="shared" si="110"/>
        <v>4.3023294729148169E-2</v>
      </c>
      <c r="V194" s="112">
        <f t="shared" si="111"/>
        <v>7.1622463342365217</v>
      </c>
      <c r="W194" s="112">
        <f t="shared" si="112"/>
        <v>91.304277610519449</v>
      </c>
      <c r="X194" s="115">
        <f t="shared" si="113"/>
        <v>0.51447066226789129</v>
      </c>
      <c r="Y194" s="115">
        <f t="shared" si="114"/>
        <v>0.26084766890533728</v>
      </c>
      <c r="Z194" s="115">
        <f t="shared" si="115"/>
        <v>0.76809365563044529</v>
      </c>
      <c r="AA194" s="118">
        <f t="shared" si="116"/>
        <v>730.43422088415559</v>
      </c>
      <c r="AB194" s="112">
        <f t="shared" si="117"/>
        <v>1137.1622463342342</v>
      </c>
      <c r="AC194" s="112">
        <f t="shared" si="118"/>
        <v>104.29056158355854</v>
      </c>
      <c r="AD194" s="112">
        <f t="shared" si="119"/>
        <v>101.01761623428538</v>
      </c>
      <c r="AE194" s="112">
        <f t="shared" si="120"/>
        <v>-11.017616234285384</v>
      </c>
      <c r="AF194" s="112">
        <f t="shared" si="121"/>
        <v>2.9635426746718613E-2</v>
      </c>
      <c r="AG194" s="112">
        <f t="shared" si="122"/>
        <v>-10.987980807538666</v>
      </c>
      <c r="AH194" s="112">
        <f t="shared" si="123"/>
        <v>279.1634881674637</v>
      </c>
      <c r="AJ194" s="119">
        <f t="shared" si="124"/>
        <v>0.80416666666666503</v>
      </c>
      <c r="AK194" s="112">
        <f t="shared" si="125"/>
        <v>0</v>
      </c>
      <c r="AL194" s="112">
        <f t="shared" si="126"/>
        <v>0</v>
      </c>
      <c r="AM194" s="116">
        <f t="shared" si="127"/>
        <v>0</v>
      </c>
      <c r="AN194" s="116">
        <f t="shared" si="139"/>
        <v>1.6373343080203115</v>
      </c>
      <c r="AO194" s="116">
        <f t="shared" si="140"/>
        <v>2.0999999999999925</v>
      </c>
      <c r="AQ194" s="131">
        <f t="shared" si="128"/>
        <v>2.0999999999999925</v>
      </c>
      <c r="AR194" s="131">
        <f t="shared" si="129"/>
        <v>1.6373343080203115</v>
      </c>
      <c r="AS194" s="131">
        <f t="shared" si="130"/>
        <v>3.4384020468426422</v>
      </c>
      <c r="AT194" s="131">
        <f t="shared" si="131"/>
        <v>7.2206442983695229</v>
      </c>
      <c r="AU194" s="131">
        <f t="shared" si="132"/>
        <v>15.163353026575944</v>
      </c>
      <c r="AV194" s="131">
        <f t="shared" si="133"/>
        <v>4.4099999999999691</v>
      </c>
      <c r="AW194" s="131">
        <f t="shared" si="134"/>
        <v>9.2609999999999015</v>
      </c>
      <c r="AX194" s="131">
        <f t="shared" si="135"/>
        <v>19.448099999999727</v>
      </c>
      <c r="AY194" s="131">
        <f t="shared" si="136"/>
        <v>40.84100999999928</v>
      </c>
      <c r="AZ194" s="131">
        <f t="shared" si="137"/>
        <v>85.766120999998193</v>
      </c>
      <c r="BE194" s="116">
        <f t="shared" ref="BE194:BE241" si="142">$BC$21*AO194+$BC$22*AO194^2+$BC$23*AO194^3</f>
        <v>1.637334490328975</v>
      </c>
    </row>
    <row r="195" spans="4:57">
      <c r="D195" s="114">
        <f t="shared" ref="D195:D241" si="143">$B$7</f>
        <v>41173</v>
      </c>
      <c r="E195" s="115">
        <f t="shared" si="138"/>
        <v>0.80833333333333168</v>
      </c>
      <c r="F195" s="116">
        <f t="shared" ref="F195:F241" si="144">D195+2415018.5+E195-$B$5/24</f>
        <v>2456192.3083333331</v>
      </c>
      <c r="G195" s="117">
        <f t="shared" ref="G195:G241" si="145">(F195-2451545)/36525</f>
        <v>0.12723636778461644</v>
      </c>
      <c r="I195" s="112">
        <f t="shared" ref="I195:I241" si="146">MOD(280.46646+G195*(36000.76983 + G195*0.0003032),360)</f>
        <v>181.07365552773626</v>
      </c>
      <c r="J195" s="112">
        <f t="shared" ref="J195:J241" si="147">357.52911+G195*(35999.05029 - 0.0001537*G195)</f>
        <v>4937.9175101070796</v>
      </c>
      <c r="K195" s="112">
        <f t="shared" ref="K195:K241" si="148">0.016708634-G195*(0.000042037+0.0000001267*G195)</f>
        <v>1.6703283313649318E-2</v>
      </c>
      <c r="L195" s="112">
        <f t="shared" ref="L195:L241" si="149">SIN(RADIANS(J195))*(1.914602-G195*(0.004817+0.000014*G195))+SIN(RADIANS(2*J195))*(0.019993-0.000101*G195)+SIN(RADIANS(3*J195))*0.000289</f>
        <v>-1.8631765104978124</v>
      </c>
      <c r="M195" s="112">
        <f t="shared" ref="M195:M241" si="150">I195+L195</f>
        <v>179.21047901723844</v>
      </c>
      <c r="N195" s="112">
        <f t="shared" ref="N195:N241" si="151">J195+L195</f>
        <v>4936.0543335965822</v>
      </c>
      <c r="O195" s="112">
        <f t="shared" ref="O195:O241" si="152">(1.000001018*(1-K195*K195))/(1+K195*COS(RADIANS(N195)))</f>
        <v>1.0037626837258409</v>
      </c>
      <c r="P195" s="112">
        <f t="shared" ref="P195:P241" si="153">M195-0.00569-0.00478*SIN(RADIANS(125.04-1934.136*G195))</f>
        <v>179.20888402200492</v>
      </c>
      <c r="Q195" s="112">
        <f t="shared" ref="Q195:Q241" si="154">23+(26+((21.448-G195*(46.815+G195*(0.00059-G195*0.001813))))/60)/60</f>
        <v>23.437636506562527</v>
      </c>
      <c r="R195" s="112">
        <f t="shared" ref="R195:R241" si="155">Q195+0.00256*COS(RADIANS(125.04-1934.136*G195))</f>
        <v>23.436316001285938</v>
      </c>
      <c r="S195" s="112">
        <f t="shared" si="141"/>
        <v>179.27414164510949</v>
      </c>
      <c r="T195" s="112">
        <f t="shared" ref="T195:T241" si="156">DEGREES(ASIN(SIN(RADIANS(R195))*SIN(RADIANS(P195))))</f>
        <v>0.31464175757545099</v>
      </c>
      <c r="U195" s="112">
        <f t="shared" ref="U195:U241" si="157">TAN(RADIANS(R195/2))*TAN(RADIANS(R195/2))</f>
        <v>4.302329469165677E-2</v>
      </c>
      <c r="V195" s="112">
        <f t="shared" ref="V195:V241" si="158">4*DEGREES(U195*SIN(2*RADIANS(I195))-2*K195*SIN(RADIANS(J195))+4*K195*U195*SIN(RADIANS(J195))*COS(2*RADIANS(I195))-0.5*U195*U195*SIN(4*RADIANS(I195))-1.25*K195*K195*SIN(2*RADIANS(J195)))</f>
        <v>7.1637171392989991</v>
      </c>
      <c r="W195" s="112">
        <f t="shared" ref="W195:W241" si="159">DEGREES(ACOS(COS(RADIANS(90.833))/(COS(RADIANS($B$3))*COS(RADIANS(T195)))-TAN(RADIANS($B$3))*TAN(RADIANS(T195))))</f>
        <v>91.303010741253445</v>
      </c>
      <c r="X195" s="115">
        <f t="shared" ref="X195:X241" si="160">(720-4*$B$4-V195+$B$5*60)/1440</f>
        <v>0.51446964087548674</v>
      </c>
      <c r="Y195" s="115">
        <f t="shared" ref="Y195:Y241" si="161">X195-W195*4/1440</f>
        <v>0.26085016659422716</v>
      </c>
      <c r="Z195" s="115">
        <f t="shared" ref="Z195:Z241" si="162">X195+W195*4/1440</f>
        <v>0.76808911515674638</v>
      </c>
      <c r="AA195" s="118">
        <f t="shared" ref="AA195:AA241" si="163">8*W195</f>
        <v>730.42408593002756</v>
      </c>
      <c r="AB195" s="112">
        <f t="shared" ref="AB195:AB241" si="164">MOD(E195*1440+V195+4*$B$4-60*$B$5,1440)</f>
        <v>1143.1637171392968</v>
      </c>
      <c r="AC195" s="112">
        <f t="shared" ref="AC195:AC241" si="165">IF(AB195/4&lt;0,AB195/4+180,AB195/4-180)</f>
        <v>105.79092928482419</v>
      </c>
      <c r="AD195" s="112">
        <f t="shared" ref="AD195:AD241" si="166">DEGREES(ACOS(SIN(RADIANS($B$3))*SIN(RADIANS(T195))+COS(RADIANS($B$3))*COS(RADIANS(T195))*COS(RADIANS(AC195))))</f>
        <v>102.18421895662814</v>
      </c>
      <c r="AE195" s="112">
        <f t="shared" ref="AE195:AE241" si="167">90-AD195</f>
        <v>-12.184218956628143</v>
      </c>
      <c r="AF195" s="112">
        <f t="shared" ref="AF195:AF241" si="168">IF(AE195&gt;85,0,IF(AE195&gt;5,58.1/TAN(RADIANS(AE195))-0.07/POWER(TAN(RADIANS(AE195)),3)+0.000086/POWER(TAN(RADIANS(AE195)),5),IF(AE195&gt;-0.575,1735+AE195*(-518.2+AE195*(103.4+AE195*(-12.79+AE195*0.711))),-20.772/TAN(RADIANS(AE195)))))/3600</f>
        <v>2.6722939068677391E-2</v>
      </c>
      <c r="AG195" s="112">
        <f t="shared" ref="AG195:AG241" si="169">AE195+AF195</f>
        <v>-12.157496017559467</v>
      </c>
      <c r="AH195" s="112">
        <f t="shared" ref="AH195:AH241" si="170">IF(AC195&gt;0,MOD(DEGREES(ACOS(((SIN(RADIANS($B$3))*COS(RADIANS(AD195)))-SIN(RADIANS(T195)))/(COS(RADIANS($B$3))*SIN(RADIANS(AD195)))))+180,360),MOD(540-DEGREES(ACOS(((SIN(RADIANS($B$3))*COS(RADIANS(AD195)))-SIN(RADIANS(T195)))/(COS(RADIANS($B$3))*SIN(RADIANS(AD195))))),360))</f>
        <v>280.12662004550737</v>
      </c>
      <c r="AJ195" s="119">
        <f t="shared" ref="AJ195:AJ241" si="171">E195</f>
        <v>0.80833333333333168</v>
      </c>
      <c r="AK195" s="112">
        <f t="shared" ref="AK195:AK241" si="172">IF(AND(AJ195&gt;0.499,AJ195&lt;0.501),1,0)</f>
        <v>0</v>
      </c>
      <c r="AL195" s="112">
        <f t="shared" ref="AL195:AL241" si="173">IF(AND(AJ195&gt;0.499-$AI$2/2/24,AJ195&lt;0.501+$AI$2/2/24),1,0)</f>
        <v>0</v>
      </c>
      <c r="AM195" s="116">
        <f t="shared" ref="AM195:AM241" si="174">AL195*SIN(RADIANS(MAX(0,AG195)))*IF(AG195&lt;40,1,1)</f>
        <v>0</v>
      </c>
      <c r="AN195" s="116">
        <f t="shared" si="139"/>
        <v>1.6373343080203115</v>
      </c>
      <c r="AO195" s="116">
        <f t="shared" si="140"/>
        <v>2.0999999999999925</v>
      </c>
      <c r="AQ195" s="131">
        <f t="shared" ref="AQ195:AQ241" si="175">AO195</f>
        <v>2.0999999999999925</v>
      </c>
      <c r="AR195" s="131">
        <f t="shared" ref="AR195:AR241" si="176">AN195</f>
        <v>1.6373343080203115</v>
      </c>
      <c r="AS195" s="131">
        <f t="shared" ref="AS195:AS241" si="177">AQ195*AR195</f>
        <v>3.4384020468426422</v>
      </c>
      <c r="AT195" s="131">
        <f t="shared" ref="AT195:AT241" si="178">AQ195^2*AR195</f>
        <v>7.2206442983695229</v>
      </c>
      <c r="AU195" s="131">
        <f t="shared" ref="AU195:AU241" si="179">AQ195^3*AR195</f>
        <v>15.163353026575944</v>
      </c>
      <c r="AV195" s="131">
        <f t="shared" ref="AV195:AV241" si="180">AQ195^2</f>
        <v>4.4099999999999691</v>
      </c>
      <c r="AW195" s="131">
        <f t="shared" ref="AW195:AW241" si="181">AQ195^3</f>
        <v>9.2609999999999015</v>
      </c>
      <c r="AX195" s="131">
        <f t="shared" ref="AX195:AX241" si="182">AQ195^4</f>
        <v>19.448099999999727</v>
      </c>
      <c r="AY195" s="131">
        <f t="shared" ref="AY195:AY241" si="183">AQ195^5</f>
        <v>40.84100999999928</v>
      </c>
      <c r="AZ195" s="131">
        <f t="shared" ref="AZ195:AZ241" si="184">AQ195^6</f>
        <v>85.766120999998193</v>
      </c>
      <c r="BE195" s="116">
        <f t="shared" si="142"/>
        <v>1.637334490328975</v>
      </c>
    </row>
    <row r="196" spans="4:57">
      <c r="D196" s="114">
        <f t="shared" si="143"/>
        <v>41173</v>
      </c>
      <c r="E196" s="115">
        <f t="shared" ref="E196:E241" si="185">E195+0.1/24</f>
        <v>0.81249999999999833</v>
      </c>
      <c r="F196" s="116">
        <f t="shared" si="144"/>
        <v>2456192.3125</v>
      </c>
      <c r="G196" s="117">
        <f t="shared" si="145"/>
        <v>0.12723648186173853</v>
      </c>
      <c r="I196" s="112">
        <f t="shared" si="146"/>
        <v>181.07776239196028</v>
      </c>
      <c r="J196" s="112">
        <f t="shared" si="147"/>
        <v>4937.9216167751301</v>
      </c>
      <c r="K196" s="112">
        <f t="shared" si="148"/>
        <v>1.6703283308850181E-2</v>
      </c>
      <c r="L196" s="112">
        <f t="shared" si="149"/>
        <v>-1.8632077971803072</v>
      </c>
      <c r="M196" s="112">
        <f t="shared" si="150"/>
        <v>179.21455459477997</v>
      </c>
      <c r="N196" s="112">
        <f t="shared" si="151"/>
        <v>4936.0584089779495</v>
      </c>
      <c r="O196" s="112">
        <f t="shared" si="152"/>
        <v>1.0037615216335825</v>
      </c>
      <c r="P196" s="112">
        <f t="shared" si="153"/>
        <v>179.21295959005153</v>
      </c>
      <c r="Q196" s="112">
        <f t="shared" si="154"/>
        <v>23.437636505079045</v>
      </c>
      <c r="R196" s="112">
        <f t="shared" si="155"/>
        <v>23.436315991356889</v>
      </c>
      <c r="S196" s="112">
        <f t="shared" si="141"/>
        <v>179.27788110199518</v>
      </c>
      <c r="T196" s="112">
        <f t="shared" si="156"/>
        <v>0.31302091315642511</v>
      </c>
      <c r="U196" s="112">
        <f t="shared" si="157"/>
        <v>4.3023294654165434E-2</v>
      </c>
      <c r="V196" s="112">
        <f t="shared" si="158"/>
        <v>7.1651879170911963</v>
      </c>
      <c r="W196" s="112">
        <f t="shared" si="159"/>
        <v>91.301743869743021</v>
      </c>
      <c r="X196" s="115">
        <f t="shared" si="160"/>
        <v>0.51446861950202005</v>
      </c>
      <c r="Y196" s="115">
        <f t="shared" si="161"/>
        <v>0.26085266430828946</v>
      </c>
      <c r="Z196" s="115">
        <f t="shared" si="162"/>
        <v>0.76808457469575064</v>
      </c>
      <c r="AA196" s="118">
        <f t="shared" si="163"/>
        <v>730.41395095794417</v>
      </c>
      <c r="AB196" s="112">
        <f t="shared" si="164"/>
        <v>1149.1651879170886</v>
      </c>
      <c r="AC196" s="112">
        <f t="shared" si="165"/>
        <v>107.29129697927215</v>
      </c>
      <c r="AD196" s="112">
        <f t="shared" si="166"/>
        <v>103.34731583564995</v>
      </c>
      <c r="AE196" s="112">
        <f t="shared" si="167"/>
        <v>-13.347315835649951</v>
      </c>
      <c r="AF196" s="112">
        <f t="shared" si="168"/>
        <v>2.4319095112535532E-2</v>
      </c>
      <c r="AG196" s="112">
        <f t="shared" si="169"/>
        <v>-13.322996740537416</v>
      </c>
      <c r="AH196" s="112">
        <f t="shared" si="170"/>
        <v>281.09841805076383</v>
      </c>
      <c r="AJ196" s="119">
        <f t="shared" si="171"/>
        <v>0.81249999999999833</v>
      </c>
      <c r="AK196" s="112">
        <f t="shared" si="172"/>
        <v>0</v>
      </c>
      <c r="AL196" s="112">
        <f t="shared" si="173"/>
        <v>0</v>
      </c>
      <c r="AM196" s="116">
        <f t="shared" si="174"/>
        <v>0</v>
      </c>
      <c r="AN196" s="116">
        <f t="shared" ref="AN196:AN241" si="186">AM196*(AJ196-AJ195)*24+AN195</f>
        <v>1.6373343080203115</v>
      </c>
      <c r="AO196" s="116">
        <f t="shared" ref="AO196:AO241" si="187">IF(AL196=1,(AJ196-AJ195)*24+AO195,AO195)</f>
        <v>2.0999999999999925</v>
      </c>
      <c r="AQ196" s="131">
        <f t="shared" si="175"/>
        <v>2.0999999999999925</v>
      </c>
      <c r="AR196" s="131">
        <f t="shared" si="176"/>
        <v>1.6373343080203115</v>
      </c>
      <c r="AS196" s="131">
        <f t="shared" si="177"/>
        <v>3.4384020468426422</v>
      </c>
      <c r="AT196" s="131">
        <f t="shared" si="178"/>
        <v>7.2206442983695229</v>
      </c>
      <c r="AU196" s="131">
        <f t="shared" si="179"/>
        <v>15.163353026575944</v>
      </c>
      <c r="AV196" s="131">
        <f t="shared" si="180"/>
        <v>4.4099999999999691</v>
      </c>
      <c r="AW196" s="131">
        <f t="shared" si="181"/>
        <v>9.2609999999999015</v>
      </c>
      <c r="AX196" s="131">
        <f t="shared" si="182"/>
        <v>19.448099999999727</v>
      </c>
      <c r="AY196" s="131">
        <f t="shared" si="183"/>
        <v>40.84100999999928</v>
      </c>
      <c r="AZ196" s="131">
        <f t="shared" si="184"/>
        <v>85.766120999998193</v>
      </c>
      <c r="BE196" s="116">
        <f t="shared" si="142"/>
        <v>1.637334490328975</v>
      </c>
    </row>
    <row r="197" spans="4:57">
      <c r="D197" s="114">
        <f t="shared" si="143"/>
        <v>41173</v>
      </c>
      <c r="E197" s="115">
        <f t="shared" si="185"/>
        <v>0.81666666666666499</v>
      </c>
      <c r="F197" s="116">
        <f t="shared" si="144"/>
        <v>2456192.3166666669</v>
      </c>
      <c r="G197" s="117">
        <f t="shared" si="145"/>
        <v>0.12723659593886061</v>
      </c>
      <c r="I197" s="112">
        <f t="shared" si="146"/>
        <v>181.08186925618429</v>
      </c>
      <c r="J197" s="112">
        <f t="shared" si="147"/>
        <v>4937.9257234431798</v>
      </c>
      <c r="K197" s="112">
        <f t="shared" si="148"/>
        <v>1.6703283304051044E-2</v>
      </c>
      <c r="L197" s="112">
        <f t="shared" si="149"/>
        <v>-1.8632390744265372</v>
      </c>
      <c r="M197" s="112">
        <f t="shared" si="150"/>
        <v>179.21863018175776</v>
      </c>
      <c r="N197" s="112">
        <f t="shared" si="151"/>
        <v>4936.0624843687528</v>
      </c>
      <c r="O197" s="112">
        <f t="shared" si="152"/>
        <v>1.0037603595208051</v>
      </c>
      <c r="P197" s="112">
        <f t="shared" si="153"/>
        <v>179.21703516753431</v>
      </c>
      <c r="Q197" s="112">
        <f t="shared" si="154"/>
        <v>23.437636503595566</v>
      </c>
      <c r="R197" s="112">
        <f t="shared" si="155"/>
        <v>23.43631598142786</v>
      </c>
      <c r="S197" s="112">
        <f t="shared" si="141"/>
        <v>179.28162056638354</v>
      </c>
      <c r="T197" s="112">
        <f t="shared" si="156"/>
        <v>0.31140006365262035</v>
      </c>
      <c r="U197" s="112">
        <f t="shared" si="157"/>
        <v>4.3023294616674174E-2</v>
      </c>
      <c r="V197" s="112">
        <f t="shared" si="158"/>
        <v>7.1666586674242669</v>
      </c>
      <c r="W197" s="112">
        <f t="shared" si="159"/>
        <v>91.300476996132559</v>
      </c>
      <c r="X197" s="115">
        <f t="shared" si="160"/>
        <v>0.514467598147622</v>
      </c>
      <c r="Y197" s="115">
        <f t="shared" si="161"/>
        <v>0.26085516204725379</v>
      </c>
      <c r="Z197" s="115">
        <f t="shared" si="162"/>
        <v>0.76808003424799021</v>
      </c>
      <c r="AA197" s="118">
        <f t="shared" si="163"/>
        <v>730.40381596906047</v>
      </c>
      <c r="AB197" s="112">
        <f t="shared" si="164"/>
        <v>1155.1666586674219</v>
      </c>
      <c r="AC197" s="112">
        <f t="shared" si="165"/>
        <v>108.79166466685547</v>
      </c>
      <c r="AD197" s="112">
        <f t="shared" si="166"/>
        <v>104.50653826518511</v>
      </c>
      <c r="AE197" s="112">
        <f t="shared" si="167"/>
        <v>-14.506538265185114</v>
      </c>
      <c r="AF197" s="112">
        <f t="shared" si="168"/>
        <v>2.2300436115871909E-2</v>
      </c>
      <c r="AG197" s="112">
        <f t="shared" si="169"/>
        <v>-14.484237829069242</v>
      </c>
      <c r="AH197" s="112">
        <f t="shared" si="170"/>
        <v>282.07977927593322</v>
      </c>
      <c r="AJ197" s="119">
        <f t="shared" si="171"/>
        <v>0.81666666666666499</v>
      </c>
      <c r="AK197" s="112">
        <f t="shared" si="172"/>
        <v>0</v>
      </c>
      <c r="AL197" s="112">
        <f t="shared" si="173"/>
        <v>0</v>
      </c>
      <c r="AM197" s="116">
        <f t="shared" si="174"/>
        <v>0</v>
      </c>
      <c r="AN197" s="116">
        <f t="shared" si="186"/>
        <v>1.6373343080203115</v>
      </c>
      <c r="AO197" s="116">
        <f t="shared" si="187"/>
        <v>2.0999999999999925</v>
      </c>
      <c r="AQ197" s="131">
        <f t="shared" si="175"/>
        <v>2.0999999999999925</v>
      </c>
      <c r="AR197" s="131">
        <f t="shared" si="176"/>
        <v>1.6373343080203115</v>
      </c>
      <c r="AS197" s="131">
        <f t="shared" si="177"/>
        <v>3.4384020468426422</v>
      </c>
      <c r="AT197" s="131">
        <f t="shared" si="178"/>
        <v>7.2206442983695229</v>
      </c>
      <c r="AU197" s="131">
        <f t="shared" si="179"/>
        <v>15.163353026575944</v>
      </c>
      <c r="AV197" s="131">
        <f t="shared" si="180"/>
        <v>4.4099999999999691</v>
      </c>
      <c r="AW197" s="131">
        <f t="shared" si="181"/>
        <v>9.2609999999999015</v>
      </c>
      <c r="AX197" s="131">
        <f t="shared" si="182"/>
        <v>19.448099999999727</v>
      </c>
      <c r="AY197" s="131">
        <f t="shared" si="183"/>
        <v>40.84100999999928</v>
      </c>
      <c r="AZ197" s="131">
        <f t="shared" si="184"/>
        <v>85.766120999998193</v>
      </c>
      <c r="BE197" s="116">
        <f t="shared" si="142"/>
        <v>1.637334490328975</v>
      </c>
    </row>
    <row r="198" spans="4:57">
      <c r="D198" s="114">
        <f t="shared" si="143"/>
        <v>41173</v>
      </c>
      <c r="E198" s="115">
        <f t="shared" si="185"/>
        <v>0.82083333333333164</v>
      </c>
      <c r="F198" s="116">
        <f t="shared" si="144"/>
        <v>2456192.3208333333</v>
      </c>
      <c r="G198" s="117">
        <f t="shared" si="145"/>
        <v>0.12723671001596995</v>
      </c>
      <c r="I198" s="112">
        <f t="shared" si="146"/>
        <v>181.0859761199481</v>
      </c>
      <c r="J198" s="112">
        <f t="shared" si="147"/>
        <v>4937.9298301107719</v>
      </c>
      <c r="K198" s="112">
        <f t="shared" si="148"/>
        <v>1.6703283299251904E-2</v>
      </c>
      <c r="L198" s="112">
        <f t="shared" si="149"/>
        <v>-1.8632703422328261</v>
      </c>
      <c r="M198" s="112">
        <f t="shared" si="150"/>
        <v>179.22270577771528</v>
      </c>
      <c r="N198" s="112">
        <f t="shared" si="151"/>
        <v>4936.0665597685393</v>
      </c>
      <c r="O198" s="112">
        <f t="shared" si="152"/>
        <v>1.0037591973876439</v>
      </c>
      <c r="P198" s="112">
        <f t="shared" si="153"/>
        <v>179.22111075399675</v>
      </c>
      <c r="Q198" s="112">
        <f t="shared" si="154"/>
        <v>23.437636502112085</v>
      </c>
      <c r="R198" s="112">
        <f t="shared" si="155"/>
        <v>23.43631597149885</v>
      </c>
      <c r="S198" s="112">
        <f t="shared" si="141"/>
        <v>179.28536003786164</v>
      </c>
      <c r="T198" s="112">
        <f t="shared" si="156"/>
        <v>0.30977920925249131</v>
      </c>
      <c r="U198" s="112">
        <f t="shared" si="157"/>
        <v>4.3023294579183004E-2</v>
      </c>
      <c r="V198" s="112">
        <f t="shared" si="158"/>
        <v>7.168129390109188</v>
      </c>
      <c r="W198" s="112">
        <f t="shared" si="159"/>
        <v>91.299210120566741</v>
      </c>
      <c r="X198" s="115">
        <f t="shared" si="160"/>
        <v>0.51446657681242414</v>
      </c>
      <c r="Y198" s="115">
        <f t="shared" si="161"/>
        <v>0.26085765981084985</v>
      </c>
      <c r="Z198" s="115">
        <f t="shared" si="162"/>
        <v>0.76807549381399842</v>
      </c>
      <c r="AA198" s="118">
        <f t="shared" si="163"/>
        <v>730.39368096453393</v>
      </c>
      <c r="AB198" s="112">
        <f t="shared" si="164"/>
        <v>1161.1681293901067</v>
      </c>
      <c r="AC198" s="112">
        <f t="shared" si="165"/>
        <v>110.29203234752669</v>
      </c>
      <c r="AD198" s="112">
        <f t="shared" si="166"/>
        <v>105.66150525869917</v>
      </c>
      <c r="AE198" s="112">
        <f t="shared" si="167"/>
        <v>-15.661505258699165</v>
      </c>
      <c r="AF198" s="112">
        <f t="shared" si="168"/>
        <v>2.0580497274032918E-2</v>
      </c>
      <c r="AG198" s="112">
        <f t="shared" si="169"/>
        <v>-15.640924761425133</v>
      </c>
      <c r="AH198" s="112">
        <f t="shared" si="170"/>
        <v>283.07162217066985</v>
      </c>
      <c r="AJ198" s="119">
        <f t="shared" si="171"/>
        <v>0.82083333333333164</v>
      </c>
      <c r="AK198" s="112">
        <f t="shared" si="172"/>
        <v>0</v>
      </c>
      <c r="AL198" s="112">
        <f t="shared" si="173"/>
        <v>0</v>
      </c>
      <c r="AM198" s="116">
        <f t="shared" si="174"/>
        <v>0</v>
      </c>
      <c r="AN198" s="116">
        <f t="shared" si="186"/>
        <v>1.6373343080203115</v>
      </c>
      <c r="AO198" s="116">
        <f t="shared" si="187"/>
        <v>2.0999999999999925</v>
      </c>
      <c r="AQ198" s="131">
        <f t="shared" si="175"/>
        <v>2.0999999999999925</v>
      </c>
      <c r="AR198" s="131">
        <f t="shared" si="176"/>
        <v>1.6373343080203115</v>
      </c>
      <c r="AS198" s="131">
        <f t="shared" si="177"/>
        <v>3.4384020468426422</v>
      </c>
      <c r="AT198" s="131">
        <f t="shared" si="178"/>
        <v>7.2206442983695229</v>
      </c>
      <c r="AU198" s="131">
        <f t="shared" si="179"/>
        <v>15.163353026575944</v>
      </c>
      <c r="AV198" s="131">
        <f t="shared" si="180"/>
        <v>4.4099999999999691</v>
      </c>
      <c r="AW198" s="131">
        <f t="shared" si="181"/>
        <v>9.2609999999999015</v>
      </c>
      <c r="AX198" s="131">
        <f t="shared" si="182"/>
        <v>19.448099999999727</v>
      </c>
      <c r="AY198" s="131">
        <f t="shared" si="183"/>
        <v>40.84100999999928</v>
      </c>
      <c r="AZ198" s="131">
        <f t="shared" si="184"/>
        <v>85.766120999998193</v>
      </c>
      <c r="BE198" s="116">
        <f t="shared" si="142"/>
        <v>1.637334490328975</v>
      </c>
    </row>
    <row r="199" spans="4:57">
      <c r="D199" s="114">
        <f t="shared" si="143"/>
        <v>41173</v>
      </c>
      <c r="E199" s="115">
        <f t="shared" si="185"/>
        <v>0.82499999999999829</v>
      </c>
      <c r="F199" s="116">
        <f t="shared" si="144"/>
        <v>2456192.3250000002</v>
      </c>
      <c r="G199" s="117">
        <f t="shared" si="145"/>
        <v>0.12723682409309203</v>
      </c>
      <c r="I199" s="112">
        <f t="shared" si="146"/>
        <v>181.09008298417211</v>
      </c>
      <c r="J199" s="112">
        <f t="shared" si="147"/>
        <v>4937.9339367788225</v>
      </c>
      <c r="K199" s="112">
        <f t="shared" si="148"/>
        <v>1.6703283294452767E-2</v>
      </c>
      <c r="L199" s="112">
        <f t="shared" si="149"/>
        <v>-1.8633016006059477</v>
      </c>
      <c r="M199" s="112">
        <f t="shared" si="150"/>
        <v>179.22678138356616</v>
      </c>
      <c r="N199" s="112">
        <f t="shared" si="151"/>
        <v>4936.0706351782164</v>
      </c>
      <c r="O199" s="112">
        <f t="shared" si="152"/>
        <v>1.0037580352338458</v>
      </c>
      <c r="P199" s="112">
        <f t="shared" si="153"/>
        <v>179.22518635035252</v>
      </c>
      <c r="Q199" s="112">
        <f t="shared" si="154"/>
        <v>23.437636500628606</v>
      </c>
      <c r="R199" s="112">
        <f t="shared" si="155"/>
        <v>23.436315961569861</v>
      </c>
      <c r="S199" s="112">
        <f t="shared" si="141"/>
        <v>179.2890995172738</v>
      </c>
      <c r="T199" s="112">
        <f t="shared" si="156"/>
        <v>0.30815834959956245</v>
      </c>
      <c r="U199" s="112">
        <f t="shared" si="157"/>
        <v>4.3023294541691903E-2</v>
      </c>
      <c r="V199" s="112">
        <f t="shared" si="158"/>
        <v>7.1696000854511261</v>
      </c>
      <c r="W199" s="112">
        <f t="shared" si="159"/>
        <v>91.297943242764291</v>
      </c>
      <c r="X199" s="115">
        <f t="shared" si="160"/>
        <v>0.51446555549621442</v>
      </c>
      <c r="Y199" s="115">
        <f t="shared" si="161"/>
        <v>0.26086015759964692</v>
      </c>
      <c r="Z199" s="115">
        <f t="shared" si="162"/>
        <v>0.76807095339278186</v>
      </c>
      <c r="AA199" s="118">
        <f t="shared" si="163"/>
        <v>730.38354594211432</v>
      </c>
      <c r="AB199" s="112">
        <f t="shared" si="164"/>
        <v>1167.1696000854486</v>
      </c>
      <c r="AC199" s="112">
        <f t="shared" si="165"/>
        <v>111.79240002136214</v>
      </c>
      <c r="AD199" s="112">
        <f t="shared" si="166"/>
        <v>106.81182215157219</v>
      </c>
      <c r="AE199" s="112">
        <f t="shared" si="167"/>
        <v>-16.811822151572187</v>
      </c>
      <c r="AF199" s="112">
        <f t="shared" si="168"/>
        <v>1.9096920323805108E-2</v>
      </c>
      <c r="AG199" s="112">
        <f t="shared" si="169"/>
        <v>-16.792725231248383</v>
      </c>
      <c r="AH199" s="112">
        <f t="shared" si="170"/>
        <v>284.07488839244365</v>
      </c>
      <c r="AJ199" s="119">
        <f t="shared" si="171"/>
        <v>0.82499999999999829</v>
      </c>
      <c r="AK199" s="112">
        <f t="shared" si="172"/>
        <v>0</v>
      </c>
      <c r="AL199" s="112">
        <f t="shared" si="173"/>
        <v>0</v>
      </c>
      <c r="AM199" s="116">
        <f t="shared" si="174"/>
        <v>0</v>
      </c>
      <c r="AN199" s="116">
        <f t="shared" si="186"/>
        <v>1.6373343080203115</v>
      </c>
      <c r="AO199" s="116">
        <f t="shared" si="187"/>
        <v>2.0999999999999925</v>
      </c>
      <c r="AQ199" s="131">
        <f t="shared" si="175"/>
        <v>2.0999999999999925</v>
      </c>
      <c r="AR199" s="131">
        <f t="shared" si="176"/>
        <v>1.6373343080203115</v>
      </c>
      <c r="AS199" s="131">
        <f t="shared" si="177"/>
        <v>3.4384020468426422</v>
      </c>
      <c r="AT199" s="131">
        <f t="shared" si="178"/>
        <v>7.2206442983695229</v>
      </c>
      <c r="AU199" s="131">
        <f t="shared" si="179"/>
        <v>15.163353026575944</v>
      </c>
      <c r="AV199" s="131">
        <f t="shared" si="180"/>
        <v>4.4099999999999691</v>
      </c>
      <c r="AW199" s="131">
        <f t="shared" si="181"/>
        <v>9.2609999999999015</v>
      </c>
      <c r="AX199" s="131">
        <f t="shared" si="182"/>
        <v>19.448099999999727</v>
      </c>
      <c r="AY199" s="131">
        <f t="shared" si="183"/>
        <v>40.84100999999928</v>
      </c>
      <c r="AZ199" s="131">
        <f t="shared" si="184"/>
        <v>85.766120999998193</v>
      </c>
      <c r="BE199" s="116">
        <f t="shared" si="142"/>
        <v>1.637334490328975</v>
      </c>
    </row>
    <row r="200" spans="4:57">
      <c r="D200" s="114">
        <f t="shared" si="143"/>
        <v>41173</v>
      </c>
      <c r="E200" s="115">
        <f t="shared" si="185"/>
        <v>0.82916666666666494</v>
      </c>
      <c r="F200" s="116">
        <f t="shared" si="144"/>
        <v>2456192.3291666666</v>
      </c>
      <c r="G200" s="117">
        <f t="shared" si="145"/>
        <v>0.12723693817020135</v>
      </c>
      <c r="I200" s="112">
        <f t="shared" si="146"/>
        <v>181.09418984793683</v>
      </c>
      <c r="J200" s="112">
        <f t="shared" si="147"/>
        <v>4937.9380434464128</v>
      </c>
      <c r="K200" s="112">
        <f t="shared" si="148"/>
        <v>1.670328328965363E-2</v>
      </c>
      <c r="L200" s="112">
        <f t="shared" si="149"/>
        <v>-1.8633328495387131</v>
      </c>
      <c r="M200" s="112">
        <f t="shared" si="150"/>
        <v>179.23085699839811</v>
      </c>
      <c r="N200" s="112">
        <f t="shared" si="151"/>
        <v>4936.074710596874</v>
      </c>
      <c r="O200" s="112">
        <f t="shared" si="152"/>
        <v>1.0037568730596766</v>
      </c>
      <c r="P200" s="112">
        <f t="shared" si="153"/>
        <v>179.22926195568928</v>
      </c>
      <c r="Q200" s="112">
        <f t="shared" si="154"/>
        <v>23.437636499145125</v>
      </c>
      <c r="R200" s="112">
        <f t="shared" si="155"/>
        <v>23.436315951640889</v>
      </c>
      <c r="S200" s="112">
        <f t="shared" si="141"/>
        <v>179.29283900378891</v>
      </c>
      <c r="T200" s="112">
        <f t="shared" si="156"/>
        <v>0.30653748506356432</v>
      </c>
      <c r="U200" s="112">
        <f t="shared" si="157"/>
        <v>4.3023294504200858E-2</v>
      </c>
      <c r="V200" s="112">
        <f t="shared" si="158"/>
        <v>7.1710707530965205</v>
      </c>
      <c r="W200" s="112">
        <f t="shared" si="159"/>
        <v>91.296676363011585</v>
      </c>
      <c r="X200" s="115">
        <f t="shared" si="160"/>
        <v>0.51446453419923854</v>
      </c>
      <c r="Y200" s="115">
        <f t="shared" si="161"/>
        <v>0.26086265541309528</v>
      </c>
      <c r="Z200" s="115">
        <f t="shared" si="162"/>
        <v>0.76806641298538181</v>
      </c>
      <c r="AA200" s="118">
        <f t="shared" si="163"/>
        <v>730.37341090409268</v>
      </c>
      <c r="AB200" s="112">
        <f t="shared" si="164"/>
        <v>1173.171070753094</v>
      </c>
      <c r="AC200" s="112">
        <f t="shared" si="165"/>
        <v>113.2927676882735</v>
      </c>
      <c r="AD200" s="112">
        <f t="shared" si="166"/>
        <v>107.95707924377977</v>
      </c>
      <c r="AE200" s="112">
        <f t="shared" si="167"/>
        <v>-17.957079243779773</v>
      </c>
      <c r="AF200" s="112">
        <f t="shared" si="168"/>
        <v>1.780360291782929E-2</v>
      </c>
      <c r="AG200" s="112">
        <f t="shared" si="169"/>
        <v>-17.939275640861943</v>
      </c>
      <c r="AH200" s="112">
        <f t="shared" si="170"/>
        <v>285.09054462752908</v>
      </c>
      <c r="AJ200" s="119">
        <f t="shared" si="171"/>
        <v>0.82916666666666494</v>
      </c>
      <c r="AK200" s="112">
        <f t="shared" si="172"/>
        <v>0</v>
      </c>
      <c r="AL200" s="112">
        <f t="shared" si="173"/>
        <v>0</v>
      </c>
      <c r="AM200" s="116">
        <f t="shared" si="174"/>
        <v>0</v>
      </c>
      <c r="AN200" s="116">
        <f t="shared" si="186"/>
        <v>1.6373343080203115</v>
      </c>
      <c r="AO200" s="116">
        <f t="shared" si="187"/>
        <v>2.0999999999999925</v>
      </c>
      <c r="AQ200" s="131">
        <f t="shared" si="175"/>
        <v>2.0999999999999925</v>
      </c>
      <c r="AR200" s="131">
        <f t="shared" si="176"/>
        <v>1.6373343080203115</v>
      </c>
      <c r="AS200" s="131">
        <f t="shared" si="177"/>
        <v>3.4384020468426422</v>
      </c>
      <c r="AT200" s="131">
        <f t="shared" si="178"/>
        <v>7.2206442983695229</v>
      </c>
      <c r="AU200" s="131">
        <f t="shared" si="179"/>
        <v>15.163353026575944</v>
      </c>
      <c r="AV200" s="131">
        <f t="shared" si="180"/>
        <v>4.4099999999999691</v>
      </c>
      <c r="AW200" s="131">
        <f t="shared" si="181"/>
        <v>9.2609999999999015</v>
      </c>
      <c r="AX200" s="131">
        <f t="shared" si="182"/>
        <v>19.448099999999727</v>
      </c>
      <c r="AY200" s="131">
        <f t="shared" si="183"/>
        <v>40.84100999999928</v>
      </c>
      <c r="AZ200" s="131">
        <f t="shared" si="184"/>
        <v>85.766120999998193</v>
      </c>
      <c r="BE200" s="116">
        <f t="shared" si="142"/>
        <v>1.637334490328975</v>
      </c>
    </row>
    <row r="201" spans="4:57">
      <c r="D201" s="114">
        <f t="shared" si="143"/>
        <v>41173</v>
      </c>
      <c r="E201" s="115">
        <f t="shared" si="185"/>
        <v>0.83333333333333159</v>
      </c>
      <c r="F201" s="116">
        <f t="shared" si="144"/>
        <v>2456192.3333333335</v>
      </c>
      <c r="G201" s="117">
        <f t="shared" si="145"/>
        <v>0.12723705224732343</v>
      </c>
      <c r="I201" s="112">
        <f t="shared" si="146"/>
        <v>181.09829671216085</v>
      </c>
      <c r="J201" s="112">
        <f t="shared" si="147"/>
        <v>4937.9421501144634</v>
      </c>
      <c r="K201" s="112">
        <f t="shared" si="148"/>
        <v>1.670328328485449E-2</v>
      </c>
      <c r="L201" s="112">
        <f t="shared" si="149"/>
        <v>-1.8633640890379233</v>
      </c>
      <c r="M201" s="112">
        <f t="shared" si="150"/>
        <v>179.23493262312292</v>
      </c>
      <c r="N201" s="112">
        <f t="shared" si="151"/>
        <v>4936.0787860254259</v>
      </c>
      <c r="O201" s="112">
        <f t="shared" si="152"/>
        <v>1.0037557108648814</v>
      </c>
      <c r="P201" s="112">
        <f t="shared" si="153"/>
        <v>179.23333757091885</v>
      </c>
      <c r="Q201" s="112">
        <f t="shared" si="154"/>
        <v>23.437636497661646</v>
      </c>
      <c r="R201" s="112">
        <f t="shared" si="155"/>
        <v>23.436315941711939</v>
      </c>
      <c r="S201" s="112">
        <f t="shared" si="141"/>
        <v>179.29657849824957</v>
      </c>
      <c r="T201" s="112">
        <f t="shared" si="156"/>
        <v>0.30491661528875991</v>
      </c>
      <c r="U201" s="112">
        <f t="shared" si="157"/>
        <v>4.3023294466709897E-2</v>
      </c>
      <c r="V201" s="112">
        <f t="shared" si="158"/>
        <v>7.1725413933500537</v>
      </c>
      <c r="W201" s="112">
        <f t="shared" si="159"/>
        <v>91.295409481027917</v>
      </c>
      <c r="X201" s="115">
        <f t="shared" si="160"/>
        <v>0.51446351292128467</v>
      </c>
      <c r="Y201" s="115">
        <f t="shared" si="161"/>
        <v>0.26086515325176268</v>
      </c>
      <c r="Z201" s="115">
        <f t="shared" si="162"/>
        <v>0.7680618725908066</v>
      </c>
      <c r="AA201" s="118">
        <f t="shared" si="163"/>
        <v>730.36327584822334</v>
      </c>
      <c r="AB201" s="112">
        <f t="shared" si="164"/>
        <v>1179.1725413933475</v>
      </c>
      <c r="AC201" s="112">
        <f t="shared" si="165"/>
        <v>114.79313534833688</v>
      </c>
      <c r="AD201" s="112">
        <f t="shared" si="166"/>
        <v>109.09685038232864</v>
      </c>
      <c r="AE201" s="112">
        <f t="shared" si="167"/>
        <v>-19.09685038232864</v>
      </c>
      <c r="AF201" s="112">
        <f t="shared" si="168"/>
        <v>1.6665728645135873E-2</v>
      </c>
      <c r="AG201" s="112">
        <f t="shared" si="169"/>
        <v>-19.080184653683503</v>
      </c>
      <c r="AH201" s="112">
        <f t="shared" si="170"/>
        <v>286.11958436478358</v>
      </c>
      <c r="AJ201" s="119">
        <f t="shared" si="171"/>
        <v>0.83333333333333159</v>
      </c>
      <c r="AK201" s="112">
        <f t="shared" si="172"/>
        <v>0</v>
      </c>
      <c r="AL201" s="112">
        <f t="shared" si="173"/>
        <v>0</v>
      </c>
      <c r="AM201" s="116">
        <f t="shared" si="174"/>
        <v>0</v>
      </c>
      <c r="AN201" s="116">
        <f t="shared" si="186"/>
        <v>1.6373343080203115</v>
      </c>
      <c r="AO201" s="116">
        <f t="shared" si="187"/>
        <v>2.0999999999999925</v>
      </c>
      <c r="AQ201" s="131">
        <f t="shared" si="175"/>
        <v>2.0999999999999925</v>
      </c>
      <c r="AR201" s="131">
        <f t="shared" si="176"/>
        <v>1.6373343080203115</v>
      </c>
      <c r="AS201" s="131">
        <f t="shared" si="177"/>
        <v>3.4384020468426422</v>
      </c>
      <c r="AT201" s="131">
        <f t="shared" si="178"/>
        <v>7.2206442983695229</v>
      </c>
      <c r="AU201" s="131">
        <f t="shared" si="179"/>
        <v>15.163353026575944</v>
      </c>
      <c r="AV201" s="131">
        <f t="shared" si="180"/>
        <v>4.4099999999999691</v>
      </c>
      <c r="AW201" s="131">
        <f t="shared" si="181"/>
        <v>9.2609999999999015</v>
      </c>
      <c r="AX201" s="131">
        <f t="shared" si="182"/>
        <v>19.448099999999727</v>
      </c>
      <c r="AY201" s="131">
        <f t="shared" si="183"/>
        <v>40.84100999999928</v>
      </c>
      <c r="AZ201" s="131">
        <f t="shared" si="184"/>
        <v>85.766120999998193</v>
      </c>
      <c r="BE201" s="116">
        <f t="shared" si="142"/>
        <v>1.637334490328975</v>
      </c>
    </row>
    <row r="202" spans="4:57">
      <c r="D202" s="114">
        <f t="shared" si="143"/>
        <v>41173</v>
      </c>
      <c r="E202" s="115">
        <f t="shared" si="185"/>
        <v>0.83749999999999825</v>
      </c>
      <c r="F202" s="116">
        <f t="shared" si="144"/>
        <v>2456192.3374999999</v>
      </c>
      <c r="G202" s="117">
        <f t="shared" si="145"/>
        <v>0.12723716632443277</v>
      </c>
      <c r="I202" s="112">
        <f t="shared" si="146"/>
        <v>181.10240357592465</v>
      </c>
      <c r="J202" s="112">
        <f t="shared" si="147"/>
        <v>4937.9462567820547</v>
      </c>
      <c r="K202" s="112">
        <f t="shared" si="148"/>
        <v>1.6703283280055353E-2</v>
      </c>
      <c r="L202" s="112">
        <f t="shared" si="149"/>
        <v>-1.8633953190963803</v>
      </c>
      <c r="M202" s="112">
        <f t="shared" si="150"/>
        <v>179.23900825682827</v>
      </c>
      <c r="N202" s="112">
        <f t="shared" si="151"/>
        <v>4936.0828614629581</v>
      </c>
      <c r="O202" s="112">
        <f t="shared" si="152"/>
        <v>1.0037545486497264</v>
      </c>
      <c r="P202" s="112">
        <f t="shared" si="153"/>
        <v>179.23741319512888</v>
      </c>
      <c r="Q202" s="112">
        <f t="shared" si="154"/>
        <v>23.437636496178168</v>
      </c>
      <c r="R202" s="112">
        <f t="shared" si="155"/>
        <v>23.43631593178301</v>
      </c>
      <c r="S202" s="112">
        <f t="shared" si="141"/>
        <v>179.30031799982461</v>
      </c>
      <c r="T202" s="112">
        <f t="shared" si="156"/>
        <v>0.30329574064490061</v>
      </c>
      <c r="U202" s="112">
        <f t="shared" si="157"/>
        <v>4.3023294429219025E-2</v>
      </c>
      <c r="V202" s="112">
        <f t="shared" si="158"/>
        <v>7.1740120058581045</v>
      </c>
      <c r="W202" s="112">
        <f t="shared" si="159"/>
        <v>91.294142597099665</v>
      </c>
      <c r="X202" s="115">
        <f t="shared" si="160"/>
        <v>0.5144624916625985</v>
      </c>
      <c r="Y202" s="115">
        <f t="shared" si="161"/>
        <v>0.26086765111509941</v>
      </c>
      <c r="Z202" s="115">
        <f t="shared" si="162"/>
        <v>0.76805733221009764</v>
      </c>
      <c r="AA202" s="118">
        <f t="shared" si="163"/>
        <v>730.35314077679732</v>
      </c>
      <c r="AB202" s="112">
        <f t="shared" si="164"/>
        <v>1185.1740120058555</v>
      </c>
      <c r="AC202" s="112">
        <f t="shared" si="165"/>
        <v>116.29350300146388</v>
      </c>
      <c r="AD202" s="112">
        <f t="shared" si="166"/>
        <v>110.23069147477896</v>
      </c>
      <c r="AE202" s="112">
        <f t="shared" si="167"/>
        <v>-20.230691474778965</v>
      </c>
      <c r="AF202" s="112">
        <f t="shared" si="168"/>
        <v>1.56565156281472E-2</v>
      </c>
      <c r="AG202" s="112">
        <f t="shared" si="169"/>
        <v>-20.215034959150817</v>
      </c>
      <c r="AH202" s="112">
        <f t="shared" si="170"/>
        <v>287.16302960775073</v>
      </c>
      <c r="AJ202" s="119">
        <f t="shared" si="171"/>
        <v>0.83749999999999825</v>
      </c>
      <c r="AK202" s="112">
        <f t="shared" si="172"/>
        <v>0</v>
      </c>
      <c r="AL202" s="112">
        <f t="shared" si="173"/>
        <v>0</v>
      </c>
      <c r="AM202" s="116">
        <f t="shared" si="174"/>
        <v>0</v>
      </c>
      <c r="AN202" s="116">
        <f t="shared" si="186"/>
        <v>1.6373343080203115</v>
      </c>
      <c r="AO202" s="116">
        <f t="shared" si="187"/>
        <v>2.0999999999999925</v>
      </c>
      <c r="AQ202" s="131">
        <f t="shared" si="175"/>
        <v>2.0999999999999925</v>
      </c>
      <c r="AR202" s="131">
        <f t="shared" si="176"/>
        <v>1.6373343080203115</v>
      </c>
      <c r="AS202" s="131">
        <f t="shared" si="177"/>
        <v>3.4384020468426422</v>
      </c>
      <c r="AT202" s="131">
        <f t="shared" si="178"/>
        <v>7.2206442983695229</v>
      </c>
      <c r="AU202" s="131">
        <f t="shared" si="179"/>
        <v>15.163353026575944</v>
      </c>
      <c r="AV202" s="131">
        <f t="shared" si="180"/>
        <v>4.4099999999999691</v>
      </c>
      <c r="AW202" s="131">
        <f t="shared" si="181"/>
        <v>9.2609999999999015</v>
      </c>
      <c r="AX202" s="131">
        <f t="shared" si="182"/>
        <v>19.448099999999727</v>
      </c>
      <c r="AY202" s="131">
        <f t="shared" si="183"/>
        <v>40.84100999999928</v>
      </c>
      <c r="AZ202" s="131">
        <f t="shared" si="184"/>
        <v>85.766120999998193</v>
      </c>
      <c r="BE202" s="116">
        <f t="shared" si="142"/>
        <v>1.637334490328975</v>
      </c>
    </row>
    <row r="203" spans="4:57">
      <c r="D203" s="114">
        <f t="shared" si="143"/>
        <v>41173</v>
      </c>
      <c r="E203" s="115">
        <f t="shared" si="185"/>
        <v>0.8416666666666649</v>
      </c>
      <c r="F203" s="116">
        <f t="shared" si="144"/>
        <v>2456192.3416666668</v>
      </c>
      <c r="G203" s="117">
        <f t="shared" si="145"/>
        <v>0.12723728040155485</v>
      </c>
      <c r="I203" s="112">
        <f t="shared" si="146"/>
        <v>181.10651044014867</v>
      </c>
      <c r="J203" s="112">
        <f t="shared" si="147"/>
        <v>4937.9503634501052</v>
      </c>
      <c r="K203" s="112">
        <f t="shared" si="148"/>
        <v>1.6703283275256216E-2</v>
      </c>
      <c r="L203" s="112">
        <f t="shared" si="149"/>
        <v>-1.8634265397208878</v>
      </c>
      <c r="M203" s="112">
        <f t="shared" si="150"/>
        <v>179.24308390042779</v>
      </c>
      <c r="N203" s="112">
        <f t="shared" si="151"/>
        <v>4936.0869369103839</v>
      </c>
      <c r="O203" s="112">
        <f t="shared" si="152"/>
        <v>1.0037533864139574</v>
      </c>
      <c r="P203" s="112">
        <f t="shared" si="153"/>
        <v>179.24148882923305</v>
      </c>
      <c r="Q203" s="112">
        <f t="shared" si="154"/>
        <v>23.437636494694686</v>
      </c>
      <c r="R203" s="112">
        <f t="shared" si="155"/>
        <v>23.436315921854099</v>
      </c>
      <c r="S203" s="112">
        <f t="shared" si="141"/>
        <v>179.30405750935839</v>
      </c>
      <c r="T203" s="112">
        <f t="shared" si="156"/>
        <v>0.30167486077550021</v>
      </c>
      <c r="U203" s="112">
        <f t="shared" si="157"/>
        <v>4.3023294391728195E-2</v>
      </c>
      <c r="V203" s="112">
        <f t="shared" si="158"/>
        <v>7.1754825909259736</v>
      </c>
      <c r="W203" s="112">
        <f t="shared" si="159"/>
        <v>91.29287571094558</v>
      </c>
      <c r="X203" s="115">
        <f t="shared" si="160"/>
        <v>0.51446147042296808</v>
      </c>
      <c r="Y203" s="115">
        <f t="shared" si="161"/>
        <v>0.26087014900367478</v>
      </c>
      <c r="Z203" s="115">
        <f t="shared" si="162"/>
        <v>0.76805279184226138</v>
      </c>
      <c r="AA203" s="118">
        <f t="shared" si="163"/>
        <v>730.34300568756464</v>
      </c>
      <c r="AB203" s="112">
        <f t="shared" si="164"/>
        <v>1191.1754825909234</v>
      </c>
      <c r="AC203" s="112">
        <f t="shared" si="165"/>
        <v>117.79387064773084</v>
      </c>
      <c r="AD203" s="112">
        <f t="shared" si="166"/>
        <v>111.3581389349322</v>
      </c>
      <c r="AE203" s="112">
        <f t="shared" si="167"/>
        <v>-21.3581389349322</v>
      </c>
      <c r="AF203" s="112">
        <f t="shared" si="168"/>
        <v>1.475502818367184E-2</v>
      </c>
      <c r="AG203" s="112">
        <f t="shared" si="169"/>
        <v>-21.343383906748528</v>
      </c>
      <c r="AH203" s="112">
        <f t="shared" si="170"/>
        <v>288.22193249892791</v>
      </c>
      <c r="AJ203" s="119">
        <f t="shared" si="171"/>
        <v>0.8416666666666649</v>
      </c>
      <c r="AK203" s="112">
        <f t="shared" si="172"/>
        <v>0</v>
      </c>
      <c r="AL203" s="112">
        <f t="shared" si="173"/>
        <v>0</v>
      </c>
      <c r="AM203" s="116">
        <f t="shared" si="174"/>
        <v>0</v>
      </c>
      <c r="AN203" s="116">
        <f t="shared" si="186"/>
        <v>1.6373343080203115</v>
      </c>
      <c r="AO203" s="116">
        <f t="shared" si="187"/>
        <v>2.0999999999999925</v>
      </c>
      <c r="AQ203" s="131">
        <f t="shared" si="175"/>
        <v>2.0999999999999925</v>
      </c>
      <c r="AR203" s="131">
        <f t="shared" si="176"/>
        <v>1.6373343080203115</v>
      </c>
      <c r="AS203" s="131">
        <f t="shared" si="177"/>
        <v>3.4384020468426422</v>
      </c>
      <c r="AT203" s="131">
        <f t="shared" si="178"/>
        <v>7.2206442983695229</v>
      </c>
      <c r="AU203" s="131">
        <f t="shared" si="179"/>
        <v>15.163353026575944</v>
      </c>
      <c r="AV203" s="131">
        <f t="shared" si="180"/>
        <v>4.4099999999999691</v>
      </c>
      <c r="AW203" s="131">
        <f t="shared" si="181"/>
        <v>9.2609999999999015</v>
      </c>
      <c r="AX203" s="131">
        <f t="shared" si="182"/>
        <v>19.448099999999727</v>
      </c>
      <c r="AY203" s="131">
        <f t="shared" si="183"/>
        <v>40.84100999999928</v>
      </c>
      <c r="AZ203" s="131">
        <f t="shared" si="184"/>
        <v>85.766120999998193</v>
      </c>
      <c r="BE203" s="116">
        <f t="shared" si="142"/>
        <v>1.637334490328975</v>
      </c>
    </row>
    <row r="204" spans="4:57">
      <c r="D204" s="114">
        <f t="shared" si="143"/>
        <v>41173</v>
      </c>
      <c r="E204" s="115">
        <f t="shared" si="185"/>
        <v>0.84583333333333155</v>
      </c>
      <c r="F204" s="116">
        <f t="shared" si="144"/>
        <v>2456192.3458333332</v>
      </c>
      <c r="G204" s="117">
        <f t="shared" si="145"/>
        <v>0.12723739447866417</v>
      </c>
      <c r="I204" s="112">
        <f t="shared" si="146"/>
        <v>181.11061730391339</v>
      </c>
      <c r="J204" s="112">
        <f t="shared" si="147"/>
        <v>4937.9544701176965</v>
      </c>
      <c r="K204" s="112">
        <f t="shared" si="148"/>
        <v>1.670328327045708E-2</v>
      </c>
      <c r="L204" s="112">
        <f t="shared" si="149"/>
        <v>-1.86345775090424</v>
      </c>
      <c r="M204" s="112">
        <f t="shared" si="150"/>
        <v>179.24715955300914</v>
      </c>
      <c r="N204" s="112">
        <f t="shared" si="151"/>
        <v>4936.0910123667918</v>
      </c>
      <c r="O204" s="112">
        <f t="shared" si="152"/>
        <v>1.0037522241578403</v>
      </c>
      <c r="P204" s="112">
        <f t="shared" si="153"/>
        <v>179.24556447231896</v>
      </c>
      <c r="Q204" s="112">
        <f t="shared" si="154"/>
        <v>23.437636493211208</v>
      </c>
      <c r="R204" s="112">
        <f t="shared" si="155"/>
        <v>23.43631591192521</v>
      </c>
      <c r="S204" s="112">
        <f t="shared" si="141"/>
        <v>179.3077970260197</v>
      </c>
      <c r="T204" s="112">
        <f t="shared" si="156"/>
        <v>0.30005397605031081</v>
      </c>
      <c r="U204" s="112">
        <f t="shared" si="157"/>
        <v>4.302329435423749E-2</v>
      </c>
      <c r="V204" s="112">
        <f t="shared" si="158"/>
        <v>7.1769531482000231</v>
      </c>
      <c r="W204" s="112">
        <f t="shared" si="159"/>
        <v>91.291608822852012</v>
      </c>
      <c r="X204" s="115">
        <f t="shared" si="160"/>
        <v>0.51446044920263889</v>
      </c>
      <c r="Y204" s="115">
        <f t="shared" si="161"/>
        <v>0.26087264691693884</v>
      </c>
      <c r="Z204" s="115">
        <f t="shared" si="162"/>
        <v>0.76804825148833888</v>
      </c>
      <c r="AA204" s="118">
        <f t="shared" si="163"/>
        <v>730.3328705828161</v>
      </c>
      <c r="AB204" s="112">
        <f t="shared" si="164"/>
        <v>1197.1769531481975</v>
      </c>
      <c r="AC204" s="112">
        <f t="shared" si="165"/>
        <v>119.29423828704938</v>
      </c>
      <c r="AD204" s="112">
        <f t="shared" si="166"/>
        <v>112.47870805275097</v>
      </c>
      <c r="AE204" s="112">
        <f t="shared" si="167"/>
        <v>-22.478708052750974</v>
      </c>
      <c r="AF204" s="112">
        <f t="shared" si="168"/>
        <v>1.3944667026902429E-2</v>
      </c>
      <c r="AG204" s="112">
        <f t="shared" si="169"/>
        <v>-22.464763385724073</v>
      </c>
      <c r="AH204" s="112">
        <f t="shared" si="170"/>
        <v>289.29737683250005</v>
      </c>
      <c r="AJ204" s="119">
        <f t="shared" si="171"/>
        <v>0.84583333333333155</v>
      </c>
      <c r="AK204" s="112">
        <f t="shared" si="172"/>
        <v>0</v>
      </c>
      <c r="AL204" s="112">
        <f t="shared" si="173"/>
        <v>0</v>
      </c>
      <c r="AM204" s="116">
        <f t="shared" si="174"/>
        <v>0</v>
      </c>
      <c r="AN204" s="116">
        <f t="shared" si="186"/>
        <v>1.6373343080203115</v>
      </c>
      <c r="AO204" s="116">
        <f t="shared" si="187"/>
        <v>2.0999999999999925</v>
      </c>
      <c r="AQ204" s="131">
        <f t="shared" si="175"/>
        <v>2.0999999999999925</v>
      </c>
      <c r="AR204" s="131">
        <f t="shared" si="176"/>
        <v>1.6373343080203115</v>
      </c>
      <c r="AS204" s="131">
        <f t="shared" si="177"/>
        <v>3.4384020468426422</v>
      </c>
      <c r="AT204" s="131">
        <f t="shared" si="178"/>
        <v>7.2206442983695229</v>
      </c>
      <c r="AU204" s="131">
        <f t="shared" si="179"/>
        <v>15.163353026575944</v>
      </c>
      <c r="AV204" s="131">
        <f t="shared" si="180"/>
        <v>4.4099999999999691</v>
      </c>
      <c r="AW204" s="131">
        <f t="shared" si="181"/>
        <v>9.2609999999999015</v>
      </c>
      <c r="AX204" s="131">
        <f t="shared" si="182"/>
        <v>19.448099999999727</v>
      </c>
      <c r="AY204" s="131">
        <f t="shared" si="183"/>
        <v>40.84100999999928</v>
      </c>
      <c r="AZ204" s="131">
        <f t="shared" si="184"/>
        <v>85.766120999998193</v>
      </c>
      <c r="BE204" s="116">
        <f t="shared" si="142"/>
        <v>1.637334490328975</v>
      </c>
    </row>
    <row r="205" spans="4:57">
      <c r="D205" s="114">
        <f t="shared" si="143"/>
        <v>41173</v>
      </c>
      <c r="E205" s="115">
        <f t="shared" si="185"/>
        <v>0.8499999999999982</v>
      </c>
      <c r="F205" s="116">
        <f t="shared" si="144"/>
        <v>2456192.35</v>
      </c>
      <c r="G205" s="117">
        <f t="shared" si="145"/>
        <v>0.12723750855578625</v>
      </c>
      <c r="I205" s="112">
        <f t="shared" si="146"/>
        <v>181.1147241681374</v>
      </c>
      <c r="J205" s="112">
        <f t="shared" si="147"/>
        <v>4937.9585767857461</v>
      </c>
      <c r="K205" s="112">
        <f t="shared" si="148"/>
        <v>1.6703283265657939E-2</v>
      </c>
      <c r="L205" s="112">
        <f t="shared" si="149"/>
        <v>-1.8634889526532299</v>
      </c>
      <c r="M205" s="112">
        <f t="shared" si="150"/>
        <v>179.25123521548417</v>
      </c>
      <c r="N205" s="112">
        <f t="shared" si="151"/>
        <v>4936.0950878330932</v>
      </c>
      <c r="O205" s="112">
        <f t="shared" si="152"/>
        <v>1.0037510618811207</v>
      </c>
      <c r="P205" s="112">
        <f t="shared" si="153"/>
        <v>179.2496401252985</v>
      </c>
      <c r="Q205" s="112">
        <f t="shared" si="154"/>
        <v>23.437636491727726</v>
      </c>
      <c r="R205" s="112">
        <f t="shared" si="155"/>
        <v>23.436315901996334</v>
      </c>
      <c r="S205" s="112">
        <f t="shared" si="141"/>
        <v>179.3115365506512</v>
      </c>
      <c r="T205" s="112">
        <f t="shared" si="156"/>
        <v>0.29843308611358454</v>
      </c>
      <c r="U205" s="112">
        <f t="shared" si="157"/>
        <v>4.3023294316746799E-2</v>
      </c>
      <c r="V205" s="112">
        <f t="shared" si="158"/>
        <v>7.1784236779849078</v>
      </c>
      <c r="W205" s="112">
        <f t="shared" si="159"/>
        <v>91.290341932538254</v>
      </c>
      <c r="X205" s="115">
        <f t="shared" si="160"/>
        <v>0.51445942800139932</v>
      </c>
      <c r="Y205" s="115">
        <f t="shared" si="161"/>
        <v>0.26087514485545971</v>
      </c>
      <c r="Z205" s="115">
        <f t="shared" si="162"/>
        <v>0.76804371114733894</v>
      </c>
      <c r="AA205" s="118">
        <f t="shared" si="163"/>
        <v>730.32273546030603</v>
      </c>
      <c r="AB205" s="112">
        <f t="shared" si="164"/>
        <v>1203.1784236779824</v>
      </c>
      <c r="AC205" s="112">
        <f t="shared" si="165"/>
        <v>120.79460591949561</v>
      </c>
      <c r="AD205" s="112">
        <f t="shared" si="166"/>
        <v>113.59189129087137</v>
      </c>
      <c r="AE205" s="112">
        <f t="shared" si="167"/>
        <v>-23.591891290871374</v>
      </c>
      <c r="AF205" s="112">
        <f t="shared" si="168"/>
        <v>1.3212104637596258E-2</v>
      </c>
      <c r="AG205" s="112">
        <f t="shared" si="169"/>
        <v>-23.578679186233778</v>
      </c>
      <c r="AH205" s="112">
        <f t="shared" si="170"/>
        <v>290.39047941853596</v>
      </c>
      <c r="AJ205" s="119">
        <f t="shared" si="171"/>
        <v>0.8499999999999982</v>
      </c>
      <c r="AK205" s="112">
        <f t="shared" si="172"/>
        <v>0</v>
      </c>
      <c r="AL205" s="112">
        <f t="shared" si="173"/>
        <v>0</v>
      </c>
      <c r="AM205" s="116">
        <f t="shared" si="174"/>
        <v>0</v>
      </c>
      <c r="AN205" s="116">
        <f t="shared" si="186"/>
        <v>1.6373343080203115</v>
      </c>
      <c r="AO205" s="116">
        <f t="shared" si="187"/>
        <v>2.0999999999999925</v>
      </c>
      <c r="AQ205" s="131">
        <f t="shared" si="175"/>
        <v>2.0999999999999925</v>
      </c>
      <c r="AR205" s="131">
        <f t="shared" si="176"/>
        <v>1.6373343080203115</v>
      </c>
      <c r="AS205" s="131">
        <f t="shared" si="177"/>
        <v>3.4384020468426422</v>
      </c>
      <c r="AT205" s="131">
        <f t="shared" si="178"/>
        <v>7.2206442983695229</v>
      </c>
      <c r="AU205" s="131">
        <f t="shared" si="179"/>
        <v>15.163353026575944</v>
      </c>
      <c r="AV205" s="131">
        <f t="shared" si="180"/>
        <v>4.4099999999999691</v>
      </c>
      <c r="AW205" s="131">
        <f t="shared" si="181"/>
        <v>9.2609999999999015</v>
      </c>
      <c r="AX205" s="131">
        <f t="shared" si="182"/>
        <v>19.448099999999727</v>
      </c>
      <c r="AY205" s="131">
        <f t="shared" si="183"/>
        <v>40.84100999999928</v>
      </c>
      <c r="AZ205" s="131">
        <f t="shared" si="184"/>
        <v>85.766120999998193</v>
      </c>
      <c r="BE205" s="116">
        <f t="shared" si="142"/>
        <v>1.637334490328975</v>
      </c>
    </row>
    <row r="206" spans="4:57">
      <c r="D206" s="114">
        <f t="shared" si="143"/>
        <v>41173</v>
      </c>
      <c r="E206" s="115">
        <f t="shared" si="185"/>
        <v>0.85416666666666485</v>
      </c>
      <c r="F206" s="116">
        <f t="shared" si="144"/>
        <v>2456192.3541666665</v>
      </c>
      <c r="G206" s="117">
        <f t="shared" si="145"/>
        <v>0.12723762263289559</v>
      </c>
      <c r="I206" s="112">
        <f t="shared" si="146"/>
        <v>181.11883103190121</v>
      </c>
      <c r="J206" s="112">
        <f t="shared" si="147"/>
        <v>4937.9626834533383</v>
      </c>
      <c r="K206" s="112">
        <f t="shared" si="148"/>
        <v>1.6703283260858803E-2</v>
      </c>
      <c r="L206" s="112">
        <f t="shared" si="149"/>
        <v>-1.8635201449606926</v>
      </c>
      <c r="M206" s="112">
        <f t="shared" si="150"/>
        <v>179.25531088694052</v>
      </c>
      <c r="N206" s="112">
        <f t="shared" si="151"/>
        <v>4936.0991633083777</v>
      </c>
      <c r="O206" s="112">
        <f t="shared" si="152"/>
        <v>1.0037498995840648</v>
      </c>
      <c r="P206" s="112">
        <f t="shared" si="153"/>
        <v>179.2537157872593</v>
      </c>
      <c r="Q206" s="112">
        <f t="shared" si="154"/>
        <v>23.437636490244248</v>
      </c>
      <c r="R206" s="112">
        <f t="shared" si="155"/>
        <v>23.436315892067483</v>
      </c>
      <c r="S206" s="112">
        <f t="shared" si="141"/>
        <v>179.31527608242175</v>
      </c>
      <c r="T206" s="112">
        <f t="shared" si="156"/>
        <v>0.29681219133506437</v>
      </c>
      <c r="U206" s="112">
        <f t="shared" si="157"/>
        <v>4.3023294279256219E-2</v>
      </c>
      <c r="V206" s="112">
        <f t="shared" si="158"/>
        <v>7.179894179927123</v>
      </c>
      <c r="W206" s="112">
        <f t="shared" si="159"/>
        <v>91.289075040290712</v>
      </c>
      <c r="X206" s="115">
        <f t="shared" si="160"/>
        <v>0.51445840681949506</v>
      </c>
      <c r="Y206" s="115">
        <f t="shared" si="161"/>
        <v>0.26087764281868753</v>
      </c>
      <c r="Z206" s="115">
        <f t="shared" si="162"/>
        <v>0.7680391708203026</v>
      </c>
      <c r="AA206" s="118">
        <f t="shared" si="163"/>
        <v>730.31260032232569</v>
      </c>
      <c r="AB206" s="112">
        <f t="shared" si="164"/>
        <v>1209.1798941799245</v>
      </c>
      <c r="AC206" s="112">
        <f t="shared" si="165"/>
        <v>122.29497354498113</v>
      </c>
      <c r="AD206" s="112">
        <f t="shared" si="166"/>
        <v>114.69715650136143</v>
      </c>
      <c r="AE206" s="112">
        <f t="shared" si="167"/>
        <v>-24.697156501361434</v>
      </c>
      <c r="AF206" s="112">
        <f t="shared" si="168"/>
        <v>1.254651985518628E-2</v>
      </c>
      <c r="AG206" s="112">
        <f t="shared" si="169"/>
        <v>-24.684609981506249</v>
      </c>
      <c r="AH206" s="112">
        <f t="shared" si="170"/>
        <v>291.50239126239615</v>
      </c>
      <c r="AJ206" s="119">
        <f t="shared" si="171"/>
        <v>0.85416666666666485</v>
      </c>
      <c r="AK206" s="112">
        <f t="shared" si="172"/>
        <v>0</v>
      </c>
      <c r="AL206" s="112">
        <f t="shared" si="173"/>
        <v>0</v>
      </c>
      <c r="AM206" s="116">
        <f t="shared" si="174"/>
        <v>0</v>
      </c>
      <c r="AN206" s="116">
        <f t="shared" si="186"/>
        <v>1.6373343080203115</v>
      </c>
      <c r="AO206" s="116">
        <f t="shared" si="187"/>
        <v>2.0999999999999925</v>
      </c>
      <c r="AQ206" s="131">
        <f t="shared" si="175"/>
        <v>2.0999999999999925</v>
      </c>
      <c r="AR206" s="131">
        <f t="shared" si="176"/>
        <v>1.6373343080203115</v>
      </c>
      <c r="AS206" s="131">
        <f t="shared" si="177"/>
        <v>3.4384020468426422</v>
      </c>
      <c r="AT206" s="131">
        <f t="shared" si="178"/>
        <v>7.2206442983695229</v>
      </c>
      <c r="AU206" s="131">
        <f t="shared" si="179"/>
        <v>15.163353026575944</v>
      </c>
      <c r="AV206" s="131">
        <f t="shared" si="180"/>
        <v>4.4099999999999691</v>
      </c>
      <c r="AW206" s="131">
        <f t="shared" si="181"/>
        <v>9.2609999999999015</v>
      </c>
      <c r="AX206" s="131">
        <f t="shared" si="182"/>
        <v>19.448099999999727</v>
      </c>
      <c r="AY206" s="131">
        <f t="shared" si="183"/>
        <v>40.84100999999928</v>
      </c>
      <c r="AZ206" s="131">
        <f t="shared" si="184"/>
        <v>85.766120999998193</v>
      </c>
      <c r="BE206" s="116">
        <f t="shared" si="142"/>
        <v>1.637334490328975</v>
      </c>
    </row>
    <row r="207" spans="4:57">
      <c r="D207" s="114">
        <f t="shared" si="143"/>
        <v>41173</v>
      </c>
      <c r="E207" s="115">
        <f t="shared" si="185"/>
        <v>0.85833333333333151</v>
      </c>
      <c r="F207" s="116">
        <f t="shared" si="144"/>
        <v>2456192.3583333334</v>
      </c>
      <c r="G207" s="117">
        <f t="shared" si="145"/>
        <v>0.12723773671001767</v>
      </c>
      <c r="I207" s="112">
        <f t="shared" si="146"/>
        <v>181.12293789612522</v>
      </c>
      <c r="J207" s="112">
        <f t="shared" si="147"/>
        <v>4937.9667901213879</v>
      </c>
      <c r="K207" s="112">
        <f t="shared" si="148"/>
        <v>1.6703283256059666E-2</v>
      </c>
      <c r="L207" s="112">
        <f t="shared" si="149"/>
        <v>-1.8635513278333808</v>
      </c>
      <c r="M207" s="112">
        <f t="shared" si="150"/>
        <v>179.25938656829183</v>
      </c>
      <c r="N207" s="112">
        <f t="shared" si="151"/>
        <v>4936.1032387935547</v>
      </c>
      <c r="O207" s="112">
        <f t="shared" si="152"/>
        <v>1.0037487372664184</v>
      </c>
      <c r="P207" s="112">
        <f t="shared" si="153"/>
        <v>179.257791459115</v>
      </c>
      <c r="Q207" s="112">
        <f t="shared" si="154"/>
        <v>23.437636488760766</v>
      </c>
      <c r="R207" s="112">
        <f t="shared" si="155"/>
        <v>23.436315882138647</v>
      </c>
      <c r="S207" s="112">
        <f t="shared" si="141"/>
        <v>179.31901562217561</v>
      </c>
      <c r="T207" s="112">
        <f t="shared" si="156"/>
        <v>0.29519129135828326</v>
      </c>
      <c r="U207" s="112">
        <f t="shared" si="157"/>
        <v>4.3023294241765694E-2</v>
      </c>
      <c r="V207" s="112">
        <f t="shared" si="158"/>
        <v>7.1813646543317819</v>
      </c>
      <c r="W207" s="112">
        <f t="shared" si="159"/>
        <v>91.287808145828109</v>
      </c>
      <c r="X207" s="115">
        <f t="shared" si="160"/>
        <v>0.51445738565671406</v>
      </c>
      <c r="Y207" s="115">
        <f t="shared" si="161"/>
        <v>0.26088014080719152</v>
      </c>
      <c r="Z207" s="115">
        <f t="shared" si="162"/>
        <v>0.76803463050623666</v>
      </c>
      <c r="AA207" s="118">
        <f t="shared" si="163"/>
        <v>730.30246516662487</v>
      </c>
      <c r="AB207" s="112">
        <f t="shared" si="164"/>
        <v>1215.1813646543289</v>
      </c>
      <c r="AC207" s="112">
        <f t="shared" si="165"/>
        <v>123.79534116358224</v>
      </c>
      <c r="AD207" s="112">
        <f t="shared" si="166"/>
        <v>115.79394506724107</v>
      </c>
      <c r="AE207" s="112">
        <f t="shared" si="167"/>
        <v>-25.793945067241069</v>
      </c>
      <c r="AF207" s="112">
        <f t="shared" si="168"/>
        <v>1.1939037994257067E-2</v>
      </c>
      <c r="AG207" s="112">
        <f t="shared" si="169"/>
        <v>-25.782006029246812</v>
      </c>
      <c r="AH207" s="112">
        <f t="shared" si="170"/>
        <v>292.63429850794995</v>
      </c>
      <c r="AJ207" s="119">
        <f t="shared" si="171"/>
        <v>0.85833333333333151</v>
      </c>
      <c r="AK207" s="112">
        <f t="shared" si="172"/>
        <v>0</v>
      </c>
      <c r="AL207" s="112">
        <f t="shared" si="173"/>
        <v>0</v>
      </c>
      <c r="AM207" s="116">
        <f t="shared" si="174"/>
        <v>0</v>
      </c>
      <c r="AN207" s="116">
        <f t="shared" si="186"/>
        <v>1.6373343080203115</v>
      </c>
      <c r="AO207" s="116">
        <f t="shared" si="187"/>
        <v>2.0999999999999925</v>
      </c>
      <c r="AQ207" s="131">
        <f t="shared" si="175"/>
        <v>2.0999999999999925</v>
      </c>
      <c r="AR207" s="131">
        <f t="shared" si="176"/>
        <v>1.6373343080203115</v>
      </c>
      <c r="AS207" s="131">
        <f t="shared" si="177"/>
        <v>3.4384020468426422</v>
      </c>
      <c r="AT207" s="131">
        <f t="shared" si="178"/>
        <v>7.2206442983695229</v>
      </c>
      <c r="AU207" s="131">
        <f t="shared" si="179"/>
        <v>15.163353026575944</v>
      </c>
      <c r="AV207" s="131">
        <f t="shared" si="180"/>
        <v>4.4099999999999691</v>
      </c>
      <c r="AW207" s="131">
        <f t="shared" si="181"/>
        <v>9.2609999999999015</v>
      </c>
      <c r="AX207" s="131">
        <f t="shared" si="182"/>
        <v>19.448099999999727</v>
      </c>
      <c r="AY207" s="131">
        <f t="shared" si="183"/>
        <v>40.84100999999928</v>
      </c>
      <c r="AZ207" s="131">
        <f t="shared" si="184"/>
        <v>85.766120999998193</v>
      </c>
      <c r="BE207" s="116">
        <f t="shared" si="142"/>
        <v>1.637334490328975</v>
      </c>
    </row>
    <row r="208" spans="4:57">
      <c r="D208" s="114">
        <f t="shared" si="143"/>
        <v>41173</v>
      </c>
      <c r="E208" s="115">
        <f t="shared" si="185"/>
        <v>0.86249999999999816</v>
      </c>
      <c r="F208" s="116">
        <f t="shared" si="144"/>
        <v>2456192.3624999998</v>
      </c>
      <c r="G208" s="117">
        <f t="shared" si="145"/>
        <v>0.12723785078712699</v>
      </c>
      <c r="I208" s="112">
        <f t="shared" si="146"/>
        <v>181.12704475988994</v>
      </c>
      <c r="J208" s="112">
        <f t="shared" si="147"/>
        <v>4937.9708967889792</v>
      </c>
      <c r="K208" s="112">
        <f t="shared" si="148"/>
        <v>1.6703283251260526E-2</v>
      </c>
      <c r="L208" s="112">
        <f t="shared" si="149"/>
        <v>-1.8635825012641394</v>
      </c>
      <c r="M208" s="112">
        <f t="shared" si="150"/>
        <v>179.26346225862579</v>
      </c>
      <c r="N208" s="112">
        <f t="shared" si="151"/>
        <v>4936.1073142877149</v>
      </c>
      <c r="O208" s="112">
        <f t="shared" si="152"/>
        <v>1.003747574928447</v>
      </c>
      <c r="P208" s="112">
        <f t="shared" si="153"/>
        <v>179.2618671399533</v>
      </c>
      <c r="Q208" s="112">
        <f t="shared" si="154"/>
        <v>23.437636487277288</v>
      </c>
      <c r="R208" s="112">
        <f t="shared" si="155"/>
        <v>23.436315872209839</v>
      </c>
      <c r="S208" s="112">
        <f t="shared" si="141"/>
        <v>179.32275516908174</v>
      </c>
      <c r="T208" s="112">
        <f t="shared" si="156"/>
        <v>0.29357038655295459</v>
      </c>
      <c r="U208" s="112">
        <f t="shared" si="157"/>
        <v>4.3023294204275267E-2</v>
      </c>
      <c r="V208" s="112">
        <f t="shared" si="158"/>
        <v>7.1828351008454288</v>
      </c>
      <c r="W208" s="112">
        <f t="shared" si="159"/>
        <v>91.28654124943678</v>
      </c>
      <c r="X208" s="115">
        <f t="shared" si="160"/>
        <v>0.51445636451330179</v>
      </c>
      <c r="Y208" s="115">
        <f t="shared" si="161"/>
        <v>0.26088263882042184</v>
      </c>
      <c r="Z208" s="115">
        <f t="shared" si="162"/>
        <v>0.76803009020618174</v>
      </c>
      <c r="AA208" s="118">
        <f t="shared" si="163"/>
        <v>730.29232999549424</v>
      </c>
      <c r="AB208" s="112">
        <f t="shared" si="164"/>
        <v>1221.1828351008428</v>
      </c>
      <c r="AC208" s="112">
        <f t="shared" si="165"/>
        <v>125.2957087752107</v>
      </c>
      <c r="AD208" s="112">
        <f t="shared" si="166"/>
        <v>116.88166996506155</v>
      </c>
      <c r="AE208" s="112">
        <f t="shared" si="167"/>
        <v>-26.881669965061548</v>
      </c>
      <c r="AF208" s="112">
        <f t="shared" si="168"/>
        <v>1.1382314880227194E-2</v>
      </c>
      <c r="AG208" s="112">
        <f t="shared" si="169"/>
        <v>-26.870287650181321</v>
      </c>
      <c r="AH208" s="112">
        <f t="shared" si="170"/>
        <v>293.78742309187237</v>
      </c>
      <c r="AJ208" s="119">
        <f t="shared" si="171"/>
        <v>0.86249999999999816</v>
      </c>
      <c r="AK208" s="112">
        <f t="shared" si="172"/>
        <v>0</v>
      </c>
      <c r="AL208" s="112">
        <f t="shared" si="173"/>
        <v>0</v>
      </c>
      <c r="AM208" s="116">
        <f t="shared" si="174"/>
        <v>0</v>
      </c>
      <c r="AN208" s="116">
        <f t="shared" si="186"/>
        <v>1.6373343080203115</v>
      </c>
      <c r="AO208" s="116">
        <f t="shared" si="187"/>
        <v>2.0999999999999925</v>
      </c>
      <c r="AQ208" s="131">
        <f t="shared" si="175"/>
        <v>2.0999999999999925</v>
      </c>
      <c r="AR208" s="131">
        <f t="shared" si="176"/>
        <v>1.6373343080203115</v>
      </c>
      <c r="AS208" s="131">
        <f t="shared" si="177"/>
        <v>3.4384020468426422</v>
      </c>
      <c r="AT208" s="131">
        <f t="shared" si="178"/>
        <v>7.2206442983695229</v>
      </c>
      <c r="AU208" s="131">
        <f t="shared" si="179"/>
        <v>15.163353026575944</v>
      </c>
      <c r="AV208" s="131">
        <f t="shared" si="180"/>
        <v>4.4099999999999691</v>
      </c>
      <c r="AW208" s="131">
        <f t="shared" si="181"/>
        <v>9.2609999999999015</v>
      </c>
      <c r="AX208" s="131">
        <f t="shared" si="182"/>
        <v>19.448099999999727</v>
      </c>
      <c r="AY208" s="131">
        <f t="shared" si="183"/>
        <v>40.84100999999928</v>
      </c>
      <c r="AZ208" s="131">
        <f t="shared" si="184"/>
        <v>85.766120999998193</v>
      </c>
      <c r="BE208" s="116">
        <f t="shared" si="142"/>
        <v>1.637334490328975</v>
      </c>
    </row>
    <row r="209" spans="4:57">
      <c r="D209" s="114">
        <f t="shared" si="143"/>
        <v>41173</v>
      </c>
      <c r="E209" s="115">
        <f t="shared" si="185"/>
        <v>0.86666666666666481</v>
      </c>
      <c r="F209" s="116">
        <f t="shared" si="144"/>
        <v>2456192.3666666667</v>
      </c>
      <c r="G209" s="117">
        <f t="shared" si="145"/>
        <v>0.12723796486424907</v>
      </c>
      <c r="I209" s="112">
        <f t="shared" si="146"/>
        <v>181.13115162411395</v>
      </c>
      <c r="J209" s="112">
        <f t="shared" si="147"/>
        <v>4937.9750034570297</v>
      </c>
      <c r="K209" s="112">
        <f t="shared" si="148"/>
        <v>1.6703283246461389E-2</v>
      </c>
      <c r="L209" s="112">
        <f t="shared" si="149"/>
        <v>-1.8636136652597362</v>
      </c>
      <c r="M209" s="112">
        <f t="shared" si="150"/>
        <v>179.26753795885421</v>
      </c>
      <c r="N209" s="112">
        <f t="shared" si="151"/>
        <v>4936.1113897917703</v>
      </c>
      <c r="O209" s="112">
        <f t="shared" si="152"/>
        <v>1.0037464125698965</v>
      </c>
      <c r="P209" s="112">
        <f t="shared" si="153"/>
        <v>179.26594283068596</v>
      </c>
      <c r="Q209" s="112">
        <f t="shared" si="154"/>
        <v>23.437636485793806</v>
      </c>
      <c r="R209" s="112">
        <f t="shared" si="155"/>
        <v>23.436315862281042</v>
      </c>
      <c r="S209" s="112">
        <f t="shared" si="141"/>
        <v>179.32649472398262</v>
      </c>
      <c r="T209" s="112">
        <f t="shared" si="156"/>
        <v>0.29194947656339038</v>
      </c>
      <c r="U209" s="112">
        <f t="shared" si="157"/>
        <v>4.3023294166784895E-2</v>
      </c>
      <c r="V209" s="112">
        <f t="shared" si="158"/>
        <v>7.1843055197726162</v>
      </c>
      <c r="W209" s="112">
        <f t="shared" si="159"/>
        <v>91.285274350836076</v>
      </c>
      <c r="X209" s="115">
        <f t="shared" si="160"/>
        <v>0.51445534338904686</v>
      </c>
      <c r="Y209" s="115">
        <f t="shared" si="161"/>
        <v>0.26088513685894665</v>
      </c>
      <c r="Z209" s="115">
        <f t="shared" si="162"/>
        <v>0.76802554991914707</v>
      </c>
      <c r="AA209" s="118">
        <f t="shared" si="163"/>
        <v>730.28219480668861</v>
      </c>
      <c r="AB209" s="112">
        <f t="shared" si="164"/>
        <v>1227.1843055197699</v>
      </c>
      <c r="AC209" s="112">
        <f t="shared" si="165"/>
        <v>126.79607637994246</v>
      </c>
      <c r="AD209" s="112">
        <f t="shared" si="166"/>
        <v>117.95971375650566</v>
      </c>
      <c r="AE209" s="112">
        <f t="shared" si="167"/>
        <v>-27.959713756505664</v>
      </c>
      <c r="AF209" s="112">
        <f t="shared" si="168"/>
        <v>1.0870223436359489E-2</v>
      </c>
      <c r="AG209" s="112">
        <f t="shared" si="169"/>
        <v>-27.948843533069304</v>
      </c>
      <c r="AH209" s="112">
        <f t="shared" si="170"/>
        <v>294.963023038958</v>
      </c>
      <c r="AJ209" s="119">
        <f t="shared" si="171"/>
        <v>0.86666666666666481</v>
      </c>
      <c r="AK209" s="112">
        <f t="shared" si="172"/>
        <v>0</v>
      </c>
      <c r="AL209" s="112">
        <f t="shared" si="173"/>
        <v>0</v>
      </c>
      <c r="AM209" s="116">
        <f t="shared" si="174"/>
        <v>0</v>
      </c>
      <c r="AN209" s="116">
        <f t="shared" si="186"/>
        <v>1.6373343080203115</v>
      </c>
      <c r="AO209" s="116">
        <f t="shared" si="187"/>
        <v>2.0999999999999925</v>
      </c>
      <c r="AQ209" s="131">
        <f t="shared" si="175"/>
        <v>2.0999999999999925</v>
      </c>
      <c r="AR209" s="131">
        <f t="shared" si="176"/>
        <v>1.6373343080203115</v>
      </c>
      <c r="AS209" s="131">
        <f t="shared" si="177"/>
        <v>3.4384020468426422</v>
      </c>
      <c r="AT209" s="131">
        <f t="shared" si="178"/>
        <v>7.2206442983695229</v>
      </c>
      <c r="AU209" s="131">
        <f t="shared" si="179"/>
        <v>15.163353026575944</v>
      </c>
      <c r="AV209" s="131">
        <f t="shared" si="180"/>
        <v>4.4099999999999691</v>
      </c>
      <c r="AW209" s="131">
        <f t="shared" si="181"/>
        <v>9.2609999999999015</v>
      </c>
      <c r="AX209" s="131">
        <f t="shared" si="182"/>
        <v>19.448099999999727</v>
      </c>
      <c r="AY209" s="131">
        <f t="shared" si="183"/>
        <v>40.84100999999928</v>
      </c>
      <c r="AZ209" s="131">
        <f t="shared" si="184"/>
        <v>85.766120999998193</v>
      </c>
      <c r="BE209" s="116">
        <f t="shared" si="142"/>
        <v>1.637334490328975</v>
      </c>
    </row>
    <row r="210" spans="4:57">
      <c r="D210" s="114">
        <f t="shared" si="143"/>
        <v>41173</v>
      </c>
      <c r="E210" s="115">
        <f t="shared" si="185"/>
        <v>0.87083333333333146</v>
      </c>
      <c r="F210" s="116">
        <f t="shared" si="144"/>
        <v>2456192.3708333331</v>
      </c>
      <c r="G210" s="117">
        <f t="shared" si="145"/>
        <v>0.12723807894135841</v>
      </c>
      <c r="I210" s="112">
        <f t="shared" si="146"/>
        <v>181.13525848787867</v>
      </c>
      <c r="J210" s="112">
        <f t="shared" si="147"/>
        <v>4937.979110124621</v>
      </c>
      <c r="K210" s="112">
        <f t="shared" si="148"/>
        <v>1.6703283241662252E-2</v>
      </c>
      <c r="L210" s="112">
        <f t="shared" si="149"/>
        <v>-1.8636448198130016</v>
      </c>
      <c r="M210" s="112">
        <f t="shared" si="150"/>
        <v>179.27161366806567</v>
      </c>
      <c r="N210" s="112">
        <f t="shared" si="151"/>
        <v>4936.1154653048079</v>
      </c>
      <c r="O210" s="112">
        <f t="shared" si="152"/>
        <v>1.0037452501910331</v>
      </c>
      <c r="P210" s="112">
        <f t="shared" si="153"/>
        <v>179.27001853040164</v>
      </c>
      <c r="Q210" s="112">
        <f t="shared" si="154"/>
        <v>23.437636484310328</v>
      </c>
      <c r="R210" s="112">
        <f t="shared" si="155"/>
        <v>23.436315852352269</v>
      </c>
      <c r="S210" s="112">
        <f t="shared" si="141"/>
        <v>179.33023428604812</v>
      </c>
      <c r="T210" s="112">
        <f t="shared" si="156"/>
        <v>0.29032856175889976</v>
      </c>
      <c r="U210" s="112">
        <f t="shared" si="157"/>
        <v>4.3023294129294613E-2</v>
      </c>
      <c r="V210" s="112">
        <f t="shared" si="158"/>
        <v>7.1857759107601309</v>
      </c>
      <c r="W210" s="112">
        <f t="shared" si="159"/>
        <v>91.28400745031206</v>
      </c>
      <c r="X210" s="115">
        <f t="shared" si="160"/>
        <v>0.5144543222841943</v>
      </c>
      <c r="Y210" s="115">
        <f t="shared" si="161"/>
        <v>0.26088763492221634</v>
      </c>
      <c r="Z210" s="115">
        <f t="shared" si="162"/>
        <v>0.76802100964617226</v>
      </c>
      <c r="AA210" s="118">
        <f t="shared" si="163"/>
        <v>730.27205960249648</v>
      </c>
      <c r="AB210" s="112">
        <f t="shared" si="164"/>
        <v>1233.1857759107575</v>
      </c>
      <c r="AC210" s="112">
        <f t="shared" si="165"/>
        <v>128.29644397768936</v>
      </c>
      <c r="AD210" s="112">
        <f t="shared" si="166"/>
        <v>119.02742650947964</v>
      </c>
      <c r="AE210" s="112">
        <f t="shared" si="167"/>
        <v>-29.027426509479639</v>
      </c>
      <c r="AF210" s="112">
        <f t="shared" si="168"/>
        <v>1.0397614512055601E-2</v>
      </c>
      <c r="AG210" s="112">
        <f t="shared" si="169"/>
        <v>-29.017028894967584</v>
      </c>
      <c r="AH210" s="112">
        <f t="shared" si="170"/>
        <v>296.16239232468729</v>
      </c>
      <c r="AJ210" s="119">
        <f t="shared" si="171"/>
        <v>0.87083333333333146</v>
      </c>
      <c r="AK210" s="112">
        <f t="shared" si="172"/>
        <v>0</v>
      </c>
      <c r="AL210" s="112">
        <f t="shared" si="173"/>
        <v>0</v>
      </c>
      <c r="AM210" s="116">
        <f t="shared" si="174"/>
        <v>0</v>
      </c>
      <c r="AN210" s="116">
        <f t="shared" si="186"/>
        <v>1.6373343080203115</v>
      </c>
      <c r="AO210" s="116">
        <f t="shared" si="187"/>
        <v>2.0999999999999925</v>
      </c>
      <c r="AQ210" s="131">
        <f t="shared" si="175"/>
        <v>2.0999999999999925</v>
      </c>
      <c r="AR210" s="131">
        <f t="shared" si="176"/>
        <v>1.6373343080203115</v>
      </c>
      <c r="AS210" s="131">
        <f t="shared" si="177"/>
        <v>3.4384020468426422</v>
      </c>
      <c r="AT210" s="131">
        <f t="shared" si="178"/>
        <v>7.2206442983695229</v>
      </c>
      <c r="AU210" s="131">
        <f t="shared" si="179"/>
        <v>15.163353026575944</v>
      </c>
      <c r="AV210" s="131">
        <f t="shared" si="180"/>
        <v>4.4099999999999691</v>
      </c>
      <c r="AW210" s="131">
        <f t="shared" si="181"/>
        <v>9.2609999999999015</v>
      </c>
      <c r="AX210" s="131">
        <f t="shared" si="182"/>
        <v>19.448099999999727</v>
      </c>
      <c r="AY210" s="131">
        <f t="shared" si="183"/>
        <v>40.84100999999928</v>
      </c>
      <c r="AZ210" s="131">
        <f t="shared" si="184"/>
        <v>85.766120999998193</v>
      </c>
      <c r="BE210" s="116">
        <f t="shared" si="142"/>
        <v>1.637334490328975</v>
      </c>
    </row>
    <row r="211" spans="4:57">
      <c r="D211" s="114">
        <f t="shared" si="143"/>
        <v>41173</v>
      </c>
      <c r="E211" s="115">
        <f t="shared" si="185"/>
        <v>0.87499999999999811</v>
      </c>
      <c r="F211" s="116">
        <f t="shared" si="144"/>
        <v>2456192.375</v>
      </c>
      <c r="G211" s="117">
        <f t="shared" si="145"/>
        <v>0.12723819301848049</v>
      </c>
      <c r="I211" s="112">
        <f t="shared" si="146"/>
        <v>181.13936535210269</v>
      </c>
      <c r="J211" s="112">
        <f t="shared" si="147"/>
        <v>4937.9832167926716</v>
      </c>
      <c r="K211" s="112">
        <f t="shared" si="148"/>
        <v>1.6703283236863115E-2</v>
      </c>
      <c r="L211" s="112">
        <f t="shared" si="149"/>
        <v>-1.8636759649307046</v>
      </c>
      <c r="M211" s="112">
        <f t="shared" si="150"/>
        <v>179.27568938717198</v>
      </c>
      <c r="N211" s="112">
        <f t="shared" si="151"/>
        <v>4936.1195408277408</v>
      </c>
      <c r="O211" s="112">
        <f t="shared" si="152"/>
        <v>1.0037440877916022</v>
      </c>
      <c r="P211" s="112">
        <f t="shared" si="153"/>
        <v>179.27409424001209</v>
      </c>
      <c r="Q211" s="112">
        <f t="shared" si="154"/>
        <v>23.43763648282685</v>
      </c>
      <c r="R211" s="112">
        <f t="shared" si="155"/>
        <v>23.436315842423515</v>
      </c>
      <c r="S211" s="112">
        <f t="shared" si="141"/>
        <v>179.33397385612068</v>
      </c>
      <c r="T211" s="112">
        <f t="shared" si="156"/>
        <v>0.28870764178380454</v>
      </c>
      <c r="U211" s="112">
        <f t="shared" si="157"/>
        <v>4.3023294091804387E-2</v>
      </c>
      <c r="V211" s="112">
        <f t="shared" si="158"/>
        <v>7.1872462741125389</v>
      </c>
      <c r="W211" s="112">
        <f t="shared" si="159"/>
        <v>91.282740547584041</v>
      </c>
      <c r="X211" s="115">
        <f t="shared" si="160"/>
        <v>0.51445330119853294</v>
      </c>
      <c r="Y211" s="115">
        <f t="shared" si="161"/>
        <v>0.2608901330107995</v>
      </c>
      <c r="Z211" s="115">
        <f t="shared" si="162"/>
        <v>0.76801646938626633</v>
      </c>
      <c r="AA211" s="118">
        <f t="shared" si="163"/>
        <v>730.26192438067233</v>
      </c>
      <c r="AB211" s="112">
        <f t="shared" si="164"/>
        <v>1239.1872462741098</v>
      </c>
      <c r="AC211" s="112">
        <f t="shared" si="165"/>
        <v>129.79681156852746</v>
      </c>
      <c r="AD211" s="112">
        <f t="shared" si="166"/>
        <v>120.08412366191648</v>
      </c>
      <c r="AE211" s="112">
        <f t="shared" si="167"/>
        <v>-30.084123661916479</v>
      </c>
      <c r="AF211" s="112">
        <f t="shared" si="168"/>
        <v>9.9601322320696777E-3</v>
      </c>
      <c r="AG211" s="112">
        <f t="shared" si="169"/>
        <v>-30.074163529684409</v>
      </c>
      <c r="AH211" s="112">
        <f t="shared" si="170"/>
        <v>297.38686021159151</v>
      </c>
      <c r="AJ211" s="119">
        <f t="shared" si="171"/>
        <v>0.87499999999999811</v>
      </c>
      <c r="AK211" s="112">
        <f t="shared" si="172"/>
        <v>0</v>
      </c>
      <c r="AL211" s="112">
        <f t="shared" si="173"/>
        <v>0</v>
      </c>
      <c r="AM211" s="116">
        <f t="shared" si="174"/>
        <v>0</v>
      </c>
      <c r="AN211" s="116">
        <f t="shared" si="186"/>
        <v>1.6373343080203115</v>
      </c>
      <c r="AO211" s="116">
        <f t="shared" si="187"/>
        <v>2.0999999999999925</v>
      </c>
      <c r="AQ211" s="131">
        <f t="shared" si="175"/>
        <v>2.0999999999999925</v>
      </c>
      <c r="AR211" s="131">
        <f t="shared" si="176"/>
        <v>1.6373343080203115</v>
      </c>
      <c r="AS211" s="131">
        <f t="shared" si="177"/>
        <v>3.4384020468426422</v>
      </c>
      <c r="AT211" s="131">
        <f t="shared" si="178"/>
        <v>7.2206442983695229</v>
      </c>
      <c r="AU211" s="131">
        <f t="shared" si="179"/>
        <v>15.163353026575944</v>
      </c>
      <c r="AV211" s="131">
        <f t="shared" si="180"/>
        <v>4.4099999999999691</v>
      </c>
      <c r="AW211" s="131">
        <f t="shared" si="181"/>
        <v>9.2609999999999015</v>
      </c>
      <c r="AX211" s="131">
        <f t="shared" si="182"/>
        <v>19.448099999999727</v>
      </c>
      <c r="AY211" s="131">
        <f t="shared" si="183"/>
        <v>40.84100999999928</v>
      </c>
      <c r="AZ211" s="131">
        <f t="shared" si="184"/>
        <v>85.766120999998193</v>
      </c>
      <c r="BE211" s="116">
        <f t="shared" si="142"/>
        <v>1.637334490328975</v>
      </c>
    </row>
    <row r="212" spans="4:57">
      <c r="D212" s="114">
        <f t="shared" si="143"/>
        <v>41173</v>
      </c>
      <c r="E212" s="115">
        <f t="shared" si="185"/>
        <v>0.87916666666666476</v>
      </c>
      <c r="F212" s="116">
        <f t="shared" si="144"/>
        <v>2456192.3791666669</v>
      </c>
      <c r="G212" s="117">
        <f t="shared" si="145"/>
        <v>0.12723830709560258</v>
      </c>
      <c r="I212" s="112">
        <f t="shared" si="146"/>
        <v>181.1434722163267</v>
      </c>
      <c r="J212" s="112">
        <f t="shared" si="147"/>
        <v>4937.9873234607212</v>
      </c>
      <c r="K212" s="112">
        <f t="shared" si="148"/>
        <v>1.6703283232063975E-2</v>
      </c>
      <c r="L212" s="112">
        <f t="shared" si="149"/>
        <v>-1.8637071006091563</v>
      </c>
      <c r="M212" s="112">
        <f t="shared" si="150"/>
        <v>179.27976511571754</v>
      </c>
      <c r="N212" s="112">
        <f t="shared" si="151"/>
        <v>4936.1236163601125</v>
      </c>
      <c r="O212" s="112">
        <f t="shared" si="152"/>
        <v>1.00374292537174</v>
      </c>
      <c r="P212" s="112">
        <f t="shared" si="153"/>
        <v>179.27816995906173</v>
      </c>
      <c r="Q212" s="112">
        <f t="shared" si="154"/>
        <v>23.437636481343368</v>
      </c>
      <c r="R212" s="112">
        <f t="shared" si="155"/>
        <v>23.436315832494778</v>
      </c>
      <c r="S212" s="112">
        <f t="shared" si="141"/>
        <v>179.33771343378837</v>
      </c>
      <c r="T212" s="112">
        <f t="shared" si="156"/>
        <v>0.28708671682615738</v>
      </c>
      <c r="U212" s="112">
        <f t="shared" si="157"/>
        <v>4.3023294054314237E-2</v>
      </c>
      <c r="V212" s="112">
        <f t="shared" si="158"/>
        <v>7.1887166096410535</v>
      </c>
      <c r="W212" s="112">
        <f t="shared" si="159"/>
        <v>91.281473642796399</v>
      </c>
      <c r="X212" s="115">
        <f t="shared" si="160"/>
        <v>0.5144522801321938</v>
      </c>
      <c r="Y212" s="115">
        <f t="shared" si="161"/>
        <v>0.26089263112442601</v>
      </c>
      <c r="Z212" s="115">
        <f t="shared" si="162"/>
        <v>0.76801192913996164</v>
      </c>
      <c r="AA212" s="118">
        <f t="shared" si="163"/>
        <v>730.25178914237119</v>
      </c>
      <c r="AB212" s="112">
        <f t="shared" si="164"/>
        <v>1245.1887166096383</v>
      </c>
      <c r="AC212" s="112">
        <f t="shared" si="165"/>
        <v>131.29717915240957</v>
      </c>
      <c r="AD212" s="112">
        <f t="shared" si="166"/>
        <v>121.12908383522202</v>
      </c>
      <c r="AE212" s="112">
        <f t="shared" si="167"/>
        <v>-31.129083835222019</v>
      </c>
      <c r="AF212" s="112">
        <f t="shared" si="168"/>
        <v>9.5540699178950327E-3</v>
      </c>
      <c r="AG212" s="112">
        <f t="shared" si="169"/>
        <v>-31.119529765304126</v>
      </c>
      <c r="AH212" s="112">
        <f t="shared" si="170"/>
        <v>298.6377899596925</v>
      </c>
      <c r="AJ212" s="119">
        <f t="shared" si="171"/>
        <v>0.87916666666666476</v>
      </c>
      <c r="AK212" s="112">
        <f t="shared" si="172"/>
        <v>0</v>
      </c>
      <c r="AL212" s="112">
        <f t="shared" si="173"/>
        <v>0</v>
      </c>
      <c r="AM212" s="116">
        <f t="shared" si="174"/>
        <v>0</v>
      </c>
      <c r="AN212" s="116">
        <f t="shared" si="186"/>
        <v>1.6373343080203115</v>
      </c>
      <c r="AO212" s="116">
        <f t="shared" si="187"/>
        <v>2.0999999999999925</v>
      </c>
      <c r="AQ212" s="131">
        <f t="shared" si="175"/>
        <v>2.0999999999999925</v>
      </c>
      <c r="AR212" s="131">
        <f t="shared" si="176"/>
        <v>1.6373343080203115</v>
      </c>
      <c r="AS212" s="131">
        <f t="shared" si="177"/>
        <v>3.4384020468426422</v>
      </c>
      <c r="AT212" s="131">
        <f t="shared" si="178"/>
        <v>7.2206442983695229</v>
      </c>
      <c r="AU212" s="131">
        <f t="shared" si="179"/>
        <v>15.163353026575944</v>
      </c>
      <c r="AV212" s="131">
        <f t="shared" si="180"/>
        <v>4.4099999999999691</v>
      </c>
      <c r="AW212" s="131">
        <f t="shared" si="181"/>
        <v>9.2609999999999015</v>
      </c>
      <c r="AX212" s="131">
        <f t="shared" si="182"/>
        <v>19.448099999999727</v>
      </c>
      <c r="AY212" s="131">
        <f t="shared" si="183"/>
        <v>40.84100999999928</v>
      </c>
      <c r="AZ212" s="131">
        <f t="shared" si="184"/>
        <v>85.766120999998193</v>
      </c>
      <c r="BE212" s="116">
        <f t="shared" si="142"/>
        <v>1.637334490328975</v>
      </c>
    </row>
    <row r="213" spans="4:57">
      <c r="D213" s="114">
        <f t="shared" si="143"/>
        <v>41173</v>
      </c>
      <c r="E213" s="115">
        <f t="shared" si="185"/>
        <v>0.88333333333333142</v>
      </c>
      <c r="F213" s="116">
        <f t="shared" si="144"/>
        <v>2456192.3833333333</v>
      </c>
      <c r="G213" s="117">
        <f t="shared" si="145"/>
        <v>0.12723842117271189</v>
      </c>
      <c r="I213" s="112">
        <f t="shared" si="146"/>
        <v>181.14757908009051</v>
      </c>
      <c r="J213" s="112">
        <f t="shared" si="147"/>
        <v>4937.9914301283125</v>
      </c>
      <c r="K213" s="112">
        <f t="shared" si="148"/>
        <v>1.6703283227264838E-2</v>
      </c>
      <c r="L213" s="112">
        <f t="shared" si="149"/>
        <v>-1.8637382268446898</v>
      </c>
      <c r="M213" s="112">
        <f t="shared" si="150"/>
        <v>179.28384085324581</v>
      </c>
      <c r="N213" s="112">
        <f t="shared" si="151"/>
        <v>4936.1276919014681</v>
      </c>
      <c r="O213" s="112">
        <f t="shared" si="152"/>
        <v>1.0037417629315821</v>
      </c>
      <c r="P213" s="112">
        <f t="shared" si="153"/>
        <v>179.28224568709402</v>
      </c>
      <c r="Q213" s="112">
        <f t="shared" si="154"/>
        <v>23.43763647985989</v>
      </c>
      <c r="R213" s="112">
        <f t="shared" si="155"/>
        <v>23.436315822566065</v>
      </c>
      <c r="S213" s="112">
        <f t="shared" si="141"/>
        <v>179.34145301863822</v>
      </c>
      <c r="T213" s="112">
        <f t="shared" si="156"/>
        <v>0.28546578707444631</v>
      </c>
      <c r="U213" s="112">
        <f t="shared" si="157"/>
        <v>4.3023294016824171E-2</v>
      </c>
      <c r="V213" s="112">
        <f t="shared" si="158"/>
        <v>7.1901869171566757</v>
      </c>
      <c r="W213" s="112">
        <f t="shared" si="159"/>
        <v>91.280206736093831</v>
      </c>
      <c r="X213" s="115">
        <f t="shared" si="160"/>
        <v>0.51445125908530787</v>
      </c>
      <c r="Y213" s="115">
        <f t="shared" si="161"/>
        <v>0.26089512926282499</v>
      </c>
      <c r="Z213" s="115">
        <f t="shared" si="162"/>
        <v>0.76800738890779074</v>
      </c>
      <c r="AA213" s="118">
        <f t="shared" si="163"/>
        <v>730.24165388875065</v>
      </c>
      <c r="AB213" s="112">
        <f t="shared" si="164"/>
        <v>1251.1901869171541</v>
      </c>
      <c r="AC213" s="112">
        <f t="shared" si="165"/>
        <v>132.79754672928851</v>
      </c>
      <c r="AD213" s="112">
        <f t="shared" si="166"/>
        <v>122.16154661721222</v>
      </c>
      <c r="AE213" s="112">
        <f t="shared" si="167"/>
        <v>-32.161546617212224</v>
      </c>
      <c r="AF213" s="112">
        <f t="shared" si="168"/>
        <v>9.1762565644518523E-3</v>
      </c>
      <c r="AG213" s="112">
        <f t="shared" si="169"/>
        <v>-32.152370360647772</v>
      </c>
      <c r="AH213" s="112">
        <f t="shared" si="170"/>
        <v>299.91657679032659</v>
      </c>
      <c r="AJ213" s="119">
        <f t="shared" si="171"/>
        <v>0.88333333333333142</v>
      </c>
      <c r="AK213" s="112">
        <f t="shared" si="172"/>
        <v>0</v>
      </c>
      <c r="AL213" s="112">
        <f t="shared" si="173"/>
        <v>0</v>
      </c>
      <c r="AM213" s="116">
        <f t="shared" si="174"/>
        <v>0</v>
      </c>
      <c r="AN213" s="116">
        <f t="shared" si="186"/>
        <v>1.6373343080203115</v>
      </c>
      <c r="AO213" s="116">
        <f t="shared" si="187"/>
        <v>2.0999999999999925</v>
      </c>
      <c r="AQ213" s="131">
        <f t="shared" si="175"/>
        <v>2.0999999999999925</v>
      </c>
      <c r="AR213" s="131">
        <f t="shared" si="176"/>
        <v>1.6373343080203115</v>
      </c>
      <c r="AS213" s="131">
        <f t="shared" si="177"/>
        <v>3.4384020468426422</v>
      </c>
      <c r="AT213" s="131">
        <f t="shared" si="178"/>
        <v>7.2206442983695229</v>
      </c>
      <c r="AU213" s="131">
        <f t="shared" si="179"/>
        <v>15.163353026575944</v>
      </c>
      <c r="AV213" s="131">
        <f t="shared" si="180"/>
        <v>4.4099999999999691</v>
      </c>
      <c r="AW213" s="131">
        <f t="shared" si="181"/>
        <v>9.2609999999999015</v>
      </c>
      <c r="AX213" s="131">
        <f t="shared" si="182"/>
        <v>19.448099999999727</v>
      </c>
      <c r="AY213" s="131">
        <f t="shared" si="183"/>
        <v>40.84100999999928</v>
      </c>
      <c r="AZ213" s="131">
        <f t="shared" si="184"/>
        <v>85.766120999998193</v>
      </c>
      <c r="BE213" s="116">
        <f t="shared" si="142"/>
        <v>1.637334490328975</v>
      </c>
    </row>
    <row r="214" spans="4:57">
      <c r="D214" s="114">
        <f t="shared" si="143"/>
        <v>41173</v>
      </c>
      <c r="E214" s="115">
        <f t="shared" si="185"/>
        <v>0.88749999999999807</v>
      </c>
      <c r="F214" s="116">
        <f t="shared" si="144"/>
        <v>2456192.3875000002</v>
      </c>
      <c r="G214" s="117">
        <f t="shared" si="145"/>
        <v>0.12723853524983397</v>
      </c>
      <c r="I214" s="112">
        <f t="shared" si="146"/>
        <v>181.15168594431361</v>
      </c>
      <c r="J214" s="112">
        <f t="shared" si="147"/>
        <v>4937.9955367963621</v>
      </c>
      <c r="K214" s="112">
        <f t="shared" si="148"/>
        <v>1.6703283222465701E-2</v>
      </c>
      <c r="L214" s="112">
        <f t="shared" si="149"/>
        <v>-1.8637693436440552</v>
      </c>
      <c r="M214" s="112">
        <f t="shared" si="150"/>
        <v>179.28791660066955</v>
      </c>
      <c r="N214" s="112">
        <f t="shared" si="151"/>
        <v>4936.1317674527181</v>
      </c>
      <c r="O214" s="112">
        <f t="shared" si="152"/>
        <v>1.0037406004708747</v>
      </c>
      <c r="P214" s="112">
        <f t="shared" si="153"/>
        <v>179.28632142502173</v>
      </c>
      <c r="Q214" s="112">
        <f t="shared" si="154"/>
        <v>23.437636478376408</v>
      </c>
      <c r="R214" s="112">
        <f t="shared" si="155"/>
        <v>23.436315812637368</v>
      </c>
      <c r="S214" s="112">
        <f t="shared" si="141"/>
        <v>179.34519261151368</v>
      </c>
      <c r="T214" s="112">
        <f t="shared" si="156"/>
        <v>0.28384485217254751</v>
      </c>
      <c r="U214" s="112">
        <f t="shared" si="157"/>
        <v>4.3023293979334166E-2</v>
      </c>
      <c r="V214" s="112">
        <f t="shared" si="158"/>
        <v>7.1916571969641856</v>
      </c>
      <c r="W214" s="112">
        <f t="shared" si="159"/>
        <v>91.278939827195344</v>
      </c>
      <c r="X214" s="115">
        <f t="shared" si="160"/>
        <v>0.51445023805766377</v>
      </c>
      <c r="Y214" s="115">
        <f t="shared" si="161"/>
        <v>0.26089762742656558</v>
      </c>
      <c r="Z214" s="115">
        <f t="shared" si="162"/>
        <v>0.76800284868876201</v>
      </c>
      <c r="AA214" s="118">
        <f t="shared" si="163"/>
        <v>730.23151861756276</v>
      </c>
      <c r="AB214" s="112">
        <f t="shared" si="164"/>
        <v>1257.1916571969614</v>
      </c>
      <c r="AC214" s="112">
        <f t="shared" si="165"/>
        <v>134.29791429924035</v>
      </c>
      <c r="AD214" s="112">
        <f t="shared" si="166"/>
        <v>123.18071033395817</v>
      </c>
      <c r="AE214" s="112">
        <f t="shared" si="167"/>
        <v>-33.180710333958174</v>
      </c>
      <c r="AF214" s="112">
        <f t="shared" si="168"/>
        <v>8.8239665867620616E-3</v>
      </c>
      <c r="AG214" s="112">
        <f t="shared" si="169"/>
        <v>-33.171886367371414</v>
      </c>
      <c r="AH214" s="112">
        <f t="shared" si="170"/>
        <v>301.22464497125065</v>
      </c>
      <c r="AJ214" s="119">
        <f t="shared" si="171"/>
        <v>0.88749999999999807</v>
      </c>
      <c r="AK214" s="112">
        <f t="shared" si="172"/>
        <v>0</v>
      </c>
      <c r="AL214" s="112">
        <f t="shared" si="173"/>
        <v>0</v>
      </c>
      <c r="AM214" s="116">
        <f t="shared" si="174"/>
        <v>0</v>
      </c>
      <c r="AN214" s="116">
        <f t="shared" si="186"/>
        <v>1.6373343080203115</v>
      </c>
      <c r="AO214" s="116">
        <f t="shared" si="187"/>
        <v>2.0999999999999925</v>
      </c>
      <c r="AQ214" s="131">
        <f t="shared" si="175"/>
        <v>2.0999999999999925</v>
      </c>
      <c r="AR214" s="131">
        <f t="shared" si="176"/>
        <v>1.6373343080203115</v>
      </c>
      <c r="AS214" s="131">
        <f t="shared" si="177"/>
        <v>3.4384020468426422</v>
      </c>
      <c r="AT214" s="131">
        <f t="shared" si="178"/>
        <v>7.2206442983695229</v>
      </c>
      <c r="AU214" s="131">
        <f t="shared" si="179"/>
        <v>15.163353026575944</v>
      </c>
      <c r="AV214" s="131">
        <f t="shared" si="180"/>
        <v>4.4099999999999691</v>
      </c>
      <c r="AW214" s="131">
        <f t="shared" si="181"/>
        <v>9.2609999999999015</v>
      </c>
      <c r="AX214" s="131">
        <f t="shared" si="182"/>
        <v>19.448099999999727</v>
      </c>
      <c r="AY214" s="131">
        <f t="shared" si="183"/>
        <v>40.84100999999928</v>
      </c>
      <c r="AZ214" s="131">
        <f t="shared" si="184"/>
        <v>85.766120999998193</v>
      </c>
      <c r="BE214" s="116">
        <f t="shared" si="142"/>
        <v>1.637334490328975</v>
      </c>
    </row>
    <row r="215" spans="4:57">
      <c r="D215" s="114">
        <f t="shared" si="143"/>
        <v>41173</v>
      </c>
      <c r="E215" s="115">
        <f t="shared" si="185"/>
        <v>0.89166666666666472</v>
      </c>
      <c r="F215" s="116">
        <f t="shared" si="144"/>
        <v>2456192.3916666666</v>
      </c>
      <c r="G215" s="117">
        <f t="shared" si="145"/>
        <v>0.12723864932694331</v>
      </c>
      <c r="I215" s="112">
        <f t="shared" si="146"/>
        <v>181.15579280807924</v>
      </c>
      <c r="J215" s="112">
        <f t="shared" si="147"/>
        <v>4937.9996434639543</v>
      </c>
      <c r="K215" s="112">
        <f t="shared" si="148"/>
        <v>1.6703283217666561E-2</v>
      </c>
      <c r="L215" s="112">
        <f t="shared" si="149"/>
        <v>-1.8638004510001136</v>
      </c>
      <c r="M215" s="112">
        <f t="shared" si="150"/>
        <v>179.29199235707912</v>
      </c>
      <c r="N215" s="112">
        <f t="shared" si="151"/>
        <v>4936.135843012954</v>
      </c>
      <c r="O215" s="112">
        <f t="shared" si="152"/>
        <v>1.003739437989883</v>
      </c>
      <c r="P215" s="112">
        <f t="shared" si="153"/>
        <v>179.29039717193521</v>
      </c>
      <c r="Q215" s="112">
        <f t="shared" si="154"/>
        <v>23.43763647689293</v>
      </c>
      <c r="R215" s="112">
        <f t="shared" si="155"/>
        <v>23.436315802708695</v>
      </c>
      <c r="S215" s="112">
        <f t="shared" si="141"/>
        <v>179.34893221158617</v>
      </c>
      <c r="T215" s="112">
        <f t="shared" si="156"/>
        <v>0.28222391248911421</v>
      </c>
      <c r="U215" s="112">
        <f t="shared" si="157"/>
        <v>4.3023293941844253E-2</v>
      </c>
      <c r="V215" s="112">
        <f t="shared" si="158"/>
        <v>7.1931274487110857</v>
      </c>
      <c r="W215" s="112">
        <f t="shared" si="159"/>
        <v>91.277672916386436</v>
      </c>
      <c r="X215" s="115">
        <f t="shared" si="160"/>
        <v>0.51444921704950619</v>
      </c>
      <c r="Y215" s="115">
        <f t="shared" si="161"/>
        <v>0.2609001256150994</v>
      </c>
      <c r="Z215" s="115">
        <f t="shared" si="162"/>
        <v>0.76799830848391304</v>
      </c>
      <c r="AA215" s="118">
        <f t="shared" si="163"/>
        <v>730.22138333109149</v>
      </c>
      <c r="AB215" s="112">
        <f t="shared" si="164"/>
        <v>1263.1931274487083</v>
      </c>
      <c r="AC215" s="112">
        <f t="shared" si="165"/>
        <v>135.79828186217708</v>
      </c>
      <c r="AD215" s="112">
        <f t="shared" si="166"/>
        <v>124.18572983577037</v>
      </c>
      <c r="AE215" s="112">
        <f t="shared" si="167"/>
        <v>-34.185729835770374</v>
      </c>
      <c r="AF215" s="112">
        <f t="shared" si="168"/>
        <v>8.4948474705663687E-3</v>
      </c>
      <c r="AG215" s="112">
        <f t="shared" si="169"/>
        <v>-34.177234988299809</v>
      </c>
      <c r="AH215" s="112">
        <f t="shared" si="170"/>
        <v>302.56344387492561</v>
      </c>
      <c r="AJ215" s="119">
        <f t="shared" si="171"/>
        <v>0.89166666666666472</v>
      </c>
      <c r="AK215" s="112">
        <f t="shared" si="172"/>
        <v>0</v>
      </c>
      <c r="AL215" s="112">
        <f t="shared" si="173"/>
        <v>0</v>
      </c>
      <c r="AM215" s="116">
        <f t="shared" si="174"/>
        <v>0</v>
      </c>
      <c r="AN215" s="116">
        <f t="shared" si="186"/>
        <v>1.6373343080203115</v>
      </c>
      <c r="AO215" s="116">
        <f t="shared" si="187"/>
        <v>2.0999999999999925</v>
      </c>
      <c r="AQ215" s="131">
        <f t="shared" si="175"/>
        <v>2.0999999999999925</v>
      </c>
      <c r="AR215" s="131">
        <f t="shared" si="176"/>
        <v>1.6373343080203115</v>
      </c>
      <c r="AS215" s="131">
        <f t="shared" si="177"/>
        <v>3.4384020468426422</v>
      </c>
      <c r="AT215" s="131">
        <f t="shared" si="178"/>
        <v>7.2206442983695229</v>
      </c>
      <c r="AU215" s="131">
        <f t="shared" si="179"/>
        <v>15.163353026575944</v>
      </c>
      <c r="AV215" s="131">
        <f t="shared" si="180"/>
        <v>4.4099999999999691</v>
      </c>
      <c r="AW215" s="131">
        <f t="shared" si="181"/>
        <v>9.2609999999999015</v>
      </c>
      <c r="AX215" s="131">
        <f t="shared" si="182"/>
        <v>19.448099999999727</v>
      </c>
      <c r="AY215" s="131">
        <f t="shared" si="183"/>
        <v>40.84100999999928</v>
      </c>
      <c r="AZ215" s="131">
        <f t="shared" si="184"/>
        <v>85.766120999998193</v>
      </c>
      <c r="BE215" s="116">
        <f t="shared" si="142"/>
        <v>1.637334490328975</v>
      </c>
    </row>
    <row r="216" spans="4:57">
      <c r="D216" s="114">
        <f t="shared" si="143"/>
        <v>41173</v>
      </c>
      <c r="E216" s="115">
        <f t="shared" si="185"/>
        <v>0.89583333333333137</v>
      </c>
      <c r="F216" s="116">
        <f t="shared" si="144"/>
        <v>2456192.3958333335</v>
      </c>
      <c r="G216" s="117">
        <f t="shared" si="145"/>
        <v>0.1272387634040654</v>
      </c>
      <c r="I216" s="112">
        <f t="shared" si="146"/>
        <v>181.15989967230325</v>
      </c>
      <c r="J216" s="112">
        <f t="shared" si="147"/>
        <v>4938.0037501320048</v>
      </c>
      <c r="K216" s="112">
        <f t="shared" si="148"/>
        <v>1.6703283212867424E-2</v>
      </c>
      <c r="L216" s="112">
        <f t="shared" si="149"/>
        <v>-1.8638315489196047</v>
      </c>
      <c r="M216" s="112">
        <f t="shared" si="150"/>
        <v>179.29606812338366</v>
      </c>
      <c r="N216" s="112">
        <f t="shared" si="151"/>
        <v>4936.1399185830851</v>
      </c>
      <c r="O216" s="112">
        <f t="shared" si="152"/>
        <v>1.003738275488353</v>
      </c>
      <c r="P216" s="112">
        <f t="shared" si="153"/>
        <v>179.2944729287436</v>
      </c>
      <c r="Q216" s="112">
        <f t="shared" si="154"/>
        <v>23.437636475409448</v>
      </c>
      <c r="R216" s="112">
        <f t="shared" si="155"/>
        <v>23.436315792780036</v>
      </c>
      <c r="S216" s="112">
        <f t="shared" si="141"/>
        <v>179.35267181969579</v>
      </c>
      <c r="T216" s="112">
        <f t="shared" si="156"/>
        <v>0.28060296766949938</v>
      </c>
      <c r="U216" s="112">
        <f t="shared" si="157"/>
        <v>4.3023293904354394E-2</v>
      </c>
      <c r="V216" s="112">
        <f t="shared" si="158"/>
        <v>7.1945976727009384</v>
      </c>
      <c r="W216" s="112">
        <f t="shared" si="159"/>
        <v>91.276406003387294</v>
      </c>
      <c r="X216" s="115">
        <f t="shared" si="160"/>
        <v>0.51444819606062431</v>
      </c>
      <c r="Y216" s="115">
        <f t="shared" si="161"/>
        <v>0.26090262382899293</v>
      </c>
      <c r="Z216" s="115">
        <f t="shared" si="162"/>
        <v>0.76799376829225574</v>
      </c>
      <c r="AA216" s="118">
        <f t="shared" si="163"/>
        <v>730.21124802709835</v>
      </c>
      <c r="AB216" s="112">
        <f t="shared" si="164"/>
        <v>1269.1945976726981</v>
      </c>
      <c r="AC216" s="112">
        <f t="shared" si="165"/>
        <v>137.29864941817453</v>
      </c>
      <c r="AD216" s="112">
        <f t="shared" si="166"/>
        <v>125.17571433509856</v>
      </c>
      <c r="AE216" s="112">
        <f t="shared" si="167"/>
        <v>-35.175714335098561</v>
      </c>
      <c r="AF216" s="112">
        <f t="shared" si="168"/>
        <v>8.186861327211619E-3</v>
      </c>
      <c r="AG216" s="112">
        <f t="shared" si="169"/>
        <v>-35.167527473771351</v>
      </c>
      <c r="AH216" s="112">
        <f t="shared" si="170"/>
        <v>303.93444284208169</v>
      </c>
      <c r="AJ216" s="119">
        <f t="shared" si="171"/>
        <v>0.89583333333333137</v>
      </c>
      <c r="AK216" s="112">
        <f t="shared" si="172"/>
        <v>0</v>
      </c>
      <c r="AL216" s="112">
        <f t="shared" si="173"/>
        <v>0</v>
      </c>
      <c r="AM216" s="116">
        <f t="shared" si="174"/>
        <v>0</v>
      </c>
      <c r="AN216" s="116">
        <f t="shared" si="186"/>
        <v>1.6373343080203115</v>
      </c>
      <c r="AO216" s="116">
        <f t="shared" si="187"/>
        <v>2.0999999999999925</v>
      </c>
      <c r="AQ216" s="131">
        <f t="shared" si="175"/>
        <v>2.0999999999999925</v>
      </c>
      <c r="AR216" s="131">
        <f t="shared" si="176"/>
        <v>1.6373343080203115</v>
      </c>
      <c r="AS216" s="131">
        <f t="shared" si="177"/>
        <v>3.4384020468426422</v>
      </c>
      <c r="AT216" s="131">
        <f t="shared" si="178"/>
        <v>7.2206442983695229</v>
      </c>
      <c r="AU216" s="131">
        <f t="shared" si="179"/>
        <v>15.163353026575944</v>
      </c>
      <c r="AV216" s="131">
        <f t="shared" si="180"/>
        <v>4.4099999999999691</v>
      </c>
      <c r="AW216" s="131">
        <f t="shared" si="181"/>
        <v>9.2609999999999015</v>
      </c>
      <c r="AX216" s="131">
        <f t="shared" si="182"/>
        <v>19.448099999999727</v>
      </c>
      <c r="AY216" s="131">
        <f t="shared" si="183"/>
        <v>40.84100999999928</v>
      </c>
      <c r="AZ216" s="131">
        <f t="shared" si="184"/>
        <v>85.766120999998193</v>
      </c>
      <c r="BE216" s="116">
        <f t="shared" si="142"/>
        <v>1.637334490328975</v>
      </c>
    </row>
    <row r="217" spans="4:57">
      <c r="D217" s="114">
        <f t="shared" si="143"/>
        <v>41173</v>
      </c>
      <c r="E217" s="115">
        <f t="shared" si="185"/>
        <v>0.89999999999999802</v>
      </c>
      <c r="F217" s="116">
        <f t="shared" si="144"/>
        <v>2456192.4</v>
      </c>
      <c r="G217" s="117">
        <f t="shared" si="145"/>
        <v>0.12723887748117474</v>
      </c>
      <c r="I217" s="112">
        <f t="shared" si="146"/>
        <v>181.16400653606797</v>
      </c>
      <c r="J217" s="112">
        <f t="shared" si="147"/>
        <v>4938.0078567995961</v>
      </c>
      <c r="K217" s="112">
        <f t="shared" si="148"/>
        <v>1.6703283208068288E-2</v>
      </c>
      <c r="L217" s="112">
        <f t="shared" si="149"/>
        <v>-1.8638626373953813</v>
      </c>
      <c r="M217" s="112">
        <f t="shared" si="150"/>
        <v>179.30014389867259</v>
      </c>
      <c r="N217" s="112">
        <f t="shared" si="151"/>
        <v>4936.1439941622011</v>
      </c>
      <c r="O217" s="112">
        <f t="shared" si="152"/>
        <v>1.0037371129665507</v>
      </c>
      <c r="P217" s="112">
        <f t="shared" si="153"/>
        <v>179.29854869453629</v>
      </c>
      <c r="Q217" s="112">
        <f t="shared" si="154"/>
        <v>23.43763647392597</v>
      </c>
      <c r="R217" s="112">
        <f t="shared" si="155"/>
        <v>23.436315782851398</v>
      </c>
      <c r="S217" s="112">
        <f t="shared" si="141"/>
        <v>179.35641143501297</v>
      </c>
      <c r="T217" s="112">
        <f t="shared" si="156"/>
        <v>0.27898201808274176</v>
      </c>
      <c r="U217" s="112">
        <f t="shared" si="157"/>
        <v>4.3023293866864626E-2</v>
      </c>
      <c r="V217" s="112">
        <f t="shared" si="158"/>
        <v>7.196067868580883</v>
      </c>
      <c r="W217" s="112">
        <f t="shared" si="159"/>
        <v>91.275139088483698</v>
      </c>
      <c r="X217" s="115">
        <f t="shared" si="160"/>
        <v>0.51444717509126325</v>
      </c>
      <c r="Y217" s="115">
        <f t="shared" si="161"/>
        <v>0.26090512206769745</v>
      </c>
      <c r="Z217" s="115">
        <f t="shared" si="162"/>
        <v>0.76798922811482906</v>
      </c>
      <c r="AA217" s="118">
        <f t="shared" si="163"/>
        <v>730.20111270786958</v>
      </c>
      <c r="AB217" s="112">
        <f t="shared" si="164"/>
        <v>1275.196067868578</v>
      </c>
      <c r="AC217" s="112">
        <f t="shared" si="165"/>
        <v>138.7990169671445</v>
      </c>
      <c r="AD217" s="112">
        <f t="shared" si="166"/>
        <v>126.14972533308168</v>
      </c>
      <c r="AE217" s="112">
        <f t="shared" si="167"/>
        <v>-36.149725333081676</v>
      </c>
      <c r="AF217" s="112">
        <f t="shared" si="168"/>
        <v>7.8982373436351019E-3</v>
      </c>
      <c r="AG217" s="112">
        <f t="shared" si="169"/>
        <v>-36.141827095738044</v>
      </c>
      <c r="AH217" s="112">
        <f t="shared" si="170"/>
        <v>305.33912467365627</v>
      </c>
      <c r="AJ217" s="119">
        <f t="shared" si="171"/>
        <v>0.89999999999999802</v>
      </c>
      <c r="AK217" s="112">
        <f t="shared" si="172"/>
        <v>0</v>
      </c>
      <c r="AL217" s="112">
        <f t="shared" si="173"/>
        <v>0</v>
      </c>
      <c r="AM217" s="116">
        <f t="shared" si="174"/>
        <v>0</v>
      </c>
      <c r="AN217" s="116">
        <f t="shared" si="186"/>
        <v>1.6373343080203115</v>
      </c>
      <c r="AO217" s="116">
        <f t="shared" si="187"/>
        <v>2.0999999999999925</v>
      </c>
      <c r="AQ217" s="131">
        <f t="shared" si="175"/>
        <v>2.0999999999999925</v>
      </c>
      <c r="AR217" s="131">
        <f t="shared" si="176"/>
        <v>1.6373343080203115</v>
      </c>
      <c r="AS217" s="131">
        <f t="shared" si="177"/>
        <v>3.4384020468426422</v>
      </c>
      <c r="AT217" s="131">
        <f t="shared" si="178"/>
        <v>7.2206442983695229</v>
      </c>
      <c r="AU217" s="131">
        <f t="shared" si="179"/>
        <v>15.163353026575944</v>
      </c>
      <c r="AV217" s="131">
        <f t="shared" si="180"/>
        <v>4.4099999999999691</v>
      </c>
      <c r="AW217" s="131">
        <f t="shared" si="181"/>
        <v>9.2609999999999015</v>
      </c>
      <c r="AX217" s="131">
        <f t="shared" si="182"/>
        <v>19.448099999999727</v>
      </c>
      <c r="AY217" s="131">
        <f t="shared" si="183"/>
        <v>40.84100999999928</v>
      </c>
      <c r="AZ217" s="131">
        <f t="shared" si="184"/>
        <v>85.766120999998193</v>
      </c>
      <c r="BE217" s="116">
        <f t="shared" si="142"/>
        <v>1.637334490328975</v>
      </c>
    </row>
    <row r="218" spans="4:57">
      <c r="D218" s="114">
        <f t="shared" si="143"/>
        <v>41173</v>
      </c>
      <c r="E218" s="115">
        <f t="shared" si="185"/>
        <v>0.90416666666666468</v>
      </c>
      <c r="F218" s="116">
        <f t="shared" si="144"/>
        <v>2456192.4041666668</v>
      </c>
      <c r="G218" s="117">
        <f t="shared" si="145"/>
        <v>0.12723899155829679</v>
      </c>
      <c r="I218" s="112">
        <f t="shared" si="146"/>
        <v>181.16811340029017</v>
      </c>
      <c r="J218" s="112">
        <f t="shared" si="147"/>
        <v>4938.0119634676457</v>
      </c>
      <c r="K218" s="112">
        <f t="shared" si="148"/>
        <v>1.6703283203269147E-2</v>
      </c>
      <c r="L218" s="112">
        <f t="shared" si="149"/>
        <v>-1.8638937164341911</v>
      </c>
      <c r="M218" s="112">
        <f t="shared" si="150"/>
        <v>179.30421968385599</v>
      </c>
      <c r="N218" s="112">
        <f t="shared" si="151"/>
        <v>4936.1480697512116</v>
      </c>
      <c r="O218" s="112">
        <f t="shared" si="152"/>
        <v>1.0037359504242225</v>
      </c>
      <c r="P218" s="112">
        <f t="shared" si="153"/>
        <v>179.30262447022344</v>
      </c>
      <c r="Q218" s="112">
        <f t="shared" si="154"/>
        <v>23.437636472442488</v>
      </c>
      <c r="R218" s="112">
        <f t="shared" si="155"/>
        <v>23.436315772922779</v>
      </c>
      <c r="S218" s="112">
        <f t="shared" si="141"/>
        <v>179.36015105837888</v>
      </c>
      <c r="T218" s="112">
        <f t="shared" si="156"/>
        <v>0.27736106337376887</v>
      </c>
      <c r="U218" s="112">
        <f t="shared" si="157"/>
        <v>4.302329382937492E-2</v>
      </c>
      <c r="V218" s="112">
        <f t="shared" si="158"/>
        <v>7.1975380366548221</v>
      </c>
      <c r="W218" s="112">
        <f t="shared" si="159"/>
        <v>91.273872171395539</v>
      </c>
      <c r="X218" s="115">
        <f t="shared" si="160"/>
        <v>0.51444615414121198</v>
      </c>
      <c r="Y218" s="115">
        <f t="shared" si="161"/>
        <v>0.26090762033177994</v>
      </c>
      <c r="Z218" s="115">
        <f t="shared" si="162"/>
        <v>0.76798468795064401</v>
      </c>
      <c r="AA218" s="118">
        <f t="shared" si="163"/>
        <v>730.19097737116431</v>
      </c>
      <c r="AB218" s="112">
        <f t="shared" si="164"/>
        <v>1281.1975380366518</v>
      </c>
      <c r="AC218" s="112">
        <f t="shared" si="165"/>
        <v>140.29938450916296</v>
      </c>
      <c r="AD218" s="112">
        <f t="shared" si="166"/>
        <v>127.10677469073488</v>
      </c>
      <c r="AE218" s="112">
        <f t="shared" si="167"/>
        <v>-37.106774690734881</v>
      </c>
      <c r="AF218" s="112">
        <f t="shared" si="168"/>
        <v>7.6274328354748889E-3</v>
      </c>
      <c r="AG218" s="112">
        <f t="shared" si="169"/>
        <v>-37.099147257899403</v>
      </c>
      <c r="AH218" s="112">
        <f t="shared" si="170"/>
        <v>306.77897755388994</v>
      </c>
      <c r="AJ218" s="119">
        <f t="shared" si="171"/>
        <v>0.90416666666666468</v>
      </c>
      <c r="AK218" s="112">
        <f t="shared" si="172"/>
        <v>0</v>
      </c>
      <c r="AL218" s="112">
        <f t="shared" si="173"/>
        <v>0</v>
      </c>
      <c r="AM218" s="116">
        <f t="shared" si="174"/>
        <v>0</v>
      </c>
      <c r="AN218" s="116">
        <f t="shared" si="186"/>
        <v>1.6373343080203115</v>
      </c>
      <c r="AO218" s="116">
        <f t="shared" si="187"/>
        <v>2.0999999999999925</v>
      </c>
      <c r="AQ218" s="131">
        <f t="shared" si="175"/>
        <v>2.0999999999999925</v>
      </c>
      <c r="AR218" s="131">
        <f t="shared" si="176"/>
        <v>1.6373343080203115</v>
      </c>
      <c r="AS218" s="131">
        <f t="shared" si="177"/>
        <v>3.4384020468426422</v>
      </c>
      <c r="AT218" s="131">
        <f t="shared" si="178"/>
        <v>7.2206442983695229</v>
      </c>
      <c r="AU218" s="131">
        <f t="shared" si="179"/>
        <v>15.163353026575944</v>
      </c>
      <c r="AV218" s="131">
        <f t="shared" si="180"/>
        <v>4.4099999999999691</v>
      </c>
      <c r="AW218" s="131">
        <f t="shared" si="181"/>
        <v>9.2609999999999015</v>
      </c>
      <c r="AX218" s="131">
        <f t="shared" si="182"/>
        <v>19.448099999999727</v>
      </c>
      <c r="AY218" s="131">
        <f t="shared" si="183"/>
        <v>40.84100999999928</v>
      </c>
      <c r="AZ218" s="131">
        <f t="shared" si="184"/>
        <v>85.766120999998193</v>
      </c>
      <c r="BE218" s="116">
        <f t="shared" si="142"/>
        <v>1.637334490328975</v>
      </c>
    </row>
    <row r="219" spans="4:57">
      <c r="D219" s="114">
        <f t="shared" si="143"/>
        <v>41173</v>
      </c>
      <c r="E219" s="115">
        <f t="shared" si="185"/>
        <v>0.90833333333333133</v>
      </c>
      <c r="F219" s="116">
        <f t="shared" si="144"/>
        <v>2456192.4083333332</v>
      </c>
      <c r="G219" s="117">
        <f t="shared" si="145"/>
        <v>0.12723910563540614</v>
      </c>
      <c r="I219" s="112">
        <f t="shared" si="146"/>
        <v>181.1722202640558</v>
      </c>
      <c r="J219" s="112">
        <f t="shared" si="147"/>
        <v>4938.016070135237</v>
      </c>
      <c r="K219" s="112">
        <f t="shared" si="148"/>
        <v>1.6703283198470011E-2</v>
      </c>
      <c r="L219" s="112">
        <f t="shared" si="149"/>
        <v>-1.8639247860288977</v>
      </c>
      <c r="M219" s="112">
        <f t="shared" si="150"/>
        <v>179.30829547802691</v>
      </c>
      <c r="N219" s="112">
        <f t="shared" si="151"/>
        <v>4936.1521453492078</v>
      </c>
      <c r="O219" s="112">
        <f t="shared" si="152"/>
        <v>1.0037347878616332</v>
      </c>
      <c r="P219" s="112">
        <f t="shared" si="153"/>
        <v>179.306700254898</v>
      </c>
      <c r="Q219" s="112">
        <f t="shared" si="154"/>
        <v>23.43763647095901</v>
      </c>
      <c r="R219" s="112">
        <f t="shared" si="155"/>
        <v>23.436315762994184</v>
      </c>
      <c r="S219" s="112">
        <f t="shared" si="141"/>
        <v>179.36389068896719</v>
      </c>
      <c r="T219" s="112">
        <f t="shared" si="156"/>
        <v>0.27574010391020326</v>
      </c>
      <c r="U219" s="112">
        <f t="shared" si="157"/>
        <v>4.3023293791885291E-2</v>
      </c>
      <c r="V219" s="112">
        <f t="shared" si="158"/>
        <v>7.1990081765711436</v>
      </c>
      <c r="W219" s="112">
        <f t="shared" si="159"/>
        <v>91.272605252407473</v>
      </c>
      <c r="X219" s="115">
        <f t="shared" si="160"/>
        <v>0.5144451332107145</v>
      </c>
      <c r="Y219" s="115">
        <f t="shared" si="161"/>
        <v>0.26091011862069374</v>
      </c>
      <c r="Z219" s="115">
        <f t="shared" si="162"/>
        <v>0.76798014780073531</v>
      </c>
      <c r="AA219" s="118">
        <f t="shared" si="163"/>
        <v>730.18084201925979</v>
      </c>
      <c r="AB219" s="112">
        <f t="shared" si="164"/>
        <v>1287.1990081765682</v>
      </c>
      <c r="AC219" s="112">
        <f t="shared" si="165"/>
        <v>141.79975204414205</v>
      </c>
      <c r="AD219" s="112">
        <f t="shared" si="166"/>
        <v>128.0458229005568</v>
      </c>
      <c r="AE219" s="112">
        <f t="shared" si="167"/>
        <v>-38.0458229005568</v>
      </c>
      <c r="AF219" s="112">
        <f t="shared" si="168"/>
        <v>7.3731011461682112E-3</v>
      </c>
      <c r="AG219" s="112">
        <f t="shared" si="169"/>
        <v>-38.038449799410628</v>
      </c>
      <c r="AH219" s="112">
        <f t="shared" si="170"/>
        <v>308.25548520396615</v>
      </c>
      <c r="AJ219" s="119">
        <f t="shared" si="171"/>
        <v>0.90833333333333133</v>
      </c>
      <c r="AK219" s="112">
        <f t="shared" si="172"/>
        <v>0</v>
      </c>
      <c r="AL219" s="112">
        <f t="shared" si="173"/>
        <v>0</v>
      </c>
      <c r="AM219" s="116">
        <f t="shared" si="174"/>
        <v>0</v>
      </c>
      <c r="AN219" s="116">
        <f t="shared" si="186"/>
        <v>1.6373343080203115</v>
      </c>
      <c r="AO219" s="116">
        <f t="shared" si="187"/>
        <v>2.0999999999999925</v>
      </c>
      <c r="AQ219" s="131">
        <f t="shared" si="175"/>
        <v>2.0999999999999925</v>
      </c>
      <c r="AR219" s="131">
        <f t="shared" si="176"/>
        <v>1.6373343080203115</v>
      </c>
      <c r="AS219" s="131">
        <f t="shared" si="177"/>
        <v>3.4384020468426422</v>
      </c>
      <c r="AT219" s="131">
        <f t="shared" si="178"/>
        <v>7.2206442983695229</v>
      </c>
      <c r="AU219" s="131">
        <f t="shared" si="179"/>
        <v>15.163353026575944</v>
      </c>
      <c r="AV219" s="131">
        <f t="shared" si="180"/>
        <v>4.4099999999999691</v>
      </c>
      <c r="AW219" s="131">
        <f t="shared" si="181"/>
        <v>9.2609999999999015</v>
      </c>
      <c r="AX219" s="131">
        <f t="shared" si="182"/>
        <v>19.448099999999727</v>
      </c>
      <c r="AY219" s="131">
        <f t="shared" si="183"/>
        <v>40.84100999999928</v>
      </c>
      <c r="AZ219" s="131">
        <f t="shared" si="184"/>
        <v>85.766120999998193</v>
      </c>
      <c r="BE219" s="116">
        <f t="shared" si="142"/>
        <v>1.637334490328975</v>
      </c>
    </row>
    <row r="220" spans="4:57">
      <c r="D220" s="114">
        <f t="shared" si="143"/>
        <v>41173</v>
      </c>
      <c r="E220" s="115">
        <f t="shared" si="185"/>
        <v>0.91249999999999798</v>
      </c>
      <c r="F220" s="116">
        <f t="shared" si="144"/>
        <v>2456192.4125000001</v>
      </c>
      <c r="G220" s="117">
        <f t="shared" si="145"/>
        <v>0.12723921971252822</v>
      </c>
      <c r="I220" s="112">
        <f t="shared" si="146"/>
        <v>181.17632712827981</v>
      </c>
      <c r="J220" s="112">
        <f t="shared" si="147"/>
        <v>4938.0201768032875</v>
      </c>
      <c r="K220" s="112">
        <f t="shared" si="148"/>
        <v>1.6703283193670874E-2</v>
      </c>
      <c r="L220" s="112">
        <f t="shared" si="149"/>
        <v>-1.8639558461862444</v>
      </c>
      <c r="M220" s="112">
        <f t="shared" si="150"/>
        <v>179.31237128209355</v>
      </c>
      <c r="N220" s="112">
        <f t="shared" si="151"/>
        <v>4936.1562209571011</v>
      </c>
      <c r="O220" s="112">
        <f t="shared" si="152"/>
        <v>1.0037336252785289</v>
      </c>
      <c r="P220" s="112">
        <f t="shared" si="153"/>
        <v>179.31077604946825</v>
      </c>
      <c r="Q220" s="112">
        <f t="shared" si="154"/>
        <v>23.437636469475532</v>
      </c>
      <c r="R220" s="112">
        <f t="shared" si="155"/>
        <v>23.436315753065607</v>
      </c>
      <c r="S220" s="112">
        <f t="shared" si="141"/>
        <v>179.36763032761721</v>
      </c>
      <c r="T220" s="112">
        <f t="shared" si="156"/>
        <v>0.2741191393377414</v>
      </c>
      <c r="U220" s="112">
        <f t="shared" si="157"/>
        <v>4.3023293754395744E-2</v>
      </c>
      <c r="V220" s="112">
        <f t="shared" si="158"/>
        <v>7.2004782886331249</v>
      </c>
      <c r="W220" s="112">
        <f t="shared" si="159"/>
        <v>91.271338331239974</v>
      </c>
      <c r="X220" s="115">
        <f t="shared" si="160"/>
        <v>0.51444411229956033</v>
      </c>
      <c r="Y220" s="115">
        <f t="shared" si="161"/>
        <v>0.26091261693500484</v>
      </c>
      <c r="Z220" s="115">
        <f t="shared" si="162"/>
        <v>0.76797560766411577</v>
      </c>
      <c r="AA220" s="118">
        <f t="shared" si="163"/>
        <v>730.17070664991979</v>
      </c>
      <c r="AB220" s="112">
        <f t="shared" si="164"/>
        <v>1293.2004782886302</v>
      </c>
      <c r="AC220" s="112">
        <f t="shared" si="165"/>
        <v>143.30011957215754</v>
      </c>
      <c r="AD220" s="112">
        <f t="shared" si="166"/>
        <v>128.96577763608076</v>
      </c>
      <c r="AE220" s="112">
        <f t="shared" si="167"/>
        <v>-38.965777636080759</v>
      </c>
      <c r="AF220" s="112">
        <f t="shared" si="168"/>
        <v>7.1340650275486242E-3</v>
      </c>
      <c r="AG220" s="112">
        <f t="shared" si="169"/>
        <v>-38.958643571053209</v>
      </c>
      <c r="AH220" s="112">
        <f t="shared" si="170"/>
        <v>309.77011505329142</v>
      </c>
      <c r="AJ220" s="119">
        <f t="shared" si="171"/>
        <v>0.91249999999999798</v>
      </c>
      <c r="AK220" s="112">
        <f t="shared" si="172"/>
        <v>0</v>
      </c>
      <c r="AL220" s="112">
        <f t="shared" si="173"/>
        <v>0</v>
      </c>
      <c r="AM220" s="116">
        <f t="shared" si="174"/>
        <v>0</v>
      </c>
      <c r="AN220" s="116">
        <f t="shared" si="186"/>
        <v>1.6373343080203115</v>
      </c>
      <c r="AO220" s="116">
        <f t="shared" si="187"/>
        <v>2.0999999999999925</v>
      </c>
      <c r="AQ220" s="131">
        <f t="shared" si="175"/>
        <v>2.0999999999999925</v>
      </c>
      <c r="AR220" s="131">
        <f t="shared" si="176"/>
        <v>1.6373343080203115</v>
      </c>
      <c r="AS220" s="131">
        <f t="shared" si="177"/>
        <v>3.4384020468426422</v>
      </c>
      <c r="AT220" s="131">
        <f t="shared" si="178"/>
        <v>7.2206442983695229</v>
      </c>
      <c r="AU220" s="131">
        <f t="shared" si="179"/>
        <v>15.163353026575944</v>
      </c>
      <c r="AV220" s="131">
        <f t="shared" si="180"/>
        <v>4.4099999999999691</v>
      </c>
      <c r="AW220" s="131">
        <f t="shared" si="181"/>
        <v>9.2609999999999015</v>
      </c>
      <c r="AX220" s="131">
        <f t="shared" si="182"/>
        <v>19.448099999999727</v>
      </c>
      <c r="AY220" s="131">
        <f t="shared" si="183"/>
        <v>40.84100999999928</v>
      </c>
      <c r="AZ220" s="131">
        <f t="shared" si="184"/>
        <v>85.766120999998193</v>
      </c>
      <c r="BE220" s="116">
        <f t="shared" si="142"/>
        <v>1.637334490328975</v>
      </c>
    </row>
    <row r="221" spans="4:57">
      <c r="D221" s="114">
        <f t="shared" si="143"/>
        <v>41173</v>
      </c>
      <c r="E221" s="115">
        <f t="shared" si="185"/>
        <v>0.91666666666666463</v>
      </c>
      <c r="F221" s="116">
        <f t="shared" si="144"/>
        <v>2456192.4166666665</v>
      </c>
      <c r="G221" s="117">
        <f t="shared" si="145"/>
        <v>0.12723933378963756</v>
      </c>
      <c r="I221" s="112">
        <f t="shared" si="146"/>
        <v>181.18043399204453</v>
      </c>
      <c r="J221" s="112">
        <f t="shared" si="147"/>
        <v>4938.0242834708797</v>
      </c>
      <c r="K221" s="112">
        <f t="shared" si="148"/>
        <v>1.6703283188871737E-2</v>
      </c>
      <c r="L221" s="112">
        <f t="shared" si="149"/>
        <v>-1.8639868968990936</v>
      </c>
      <c r="M221" s="112">
        <f t="shared" si="150"/>
        <v>179.31644709514543</v>
      </c>
      <c r="N221" s="112">
        <f t="shared" si="151"/>
        <v>4936.1602965739803</v>
      </c>
      <c r="O221" s="112">
        <f t="shared" si="152"/>
        <v>1.0037324626751758</v>
      </c>
      <c r="P221" s="112">
        <f t="shared" si="153"/>
        <v>179.31485185302367</v>
      </c>
      <c r="Q221" s="112">
        <f t="shared" si="154"/>
        <v>23.43763646799205</v>
      </c>
      <c r="R221" s="112">
        <f t="shared" si="155"/>
        <v>23.436315743137047</v>
      </c>
      <c r="S221" s="112">
        <f t="shared" si="141"/>
        <v>179.37136997349964</v>
      </c>
      <c r="T221" s="112">
        <f t="shared" si="156"/>
        <v>0.27249817002536253</v>
      </c>
      <c r="U221" s="112">
        <f t="shared" si="157"/>
        <v>4.3023293716906268E-2</v>
      </c>
      <c r="V221" s="112">
        <f t="shared" si="158"/>
        <v>7.2019483724879416</v>
      </c>
      <c r="W221" s="112">
        <f t="shared" si="159"/>
        <v>91.270071408178779</v>
      </c>
      <c r="X221" s="115">
        <f t="shared" si="160"/>
        <v>0.51444309140799449</v>
      </c>
      <c r="Y221" s="115">
        <f t="shared" si="161"/>
        <v>0.26091511527416456</v>
      </c>
      <c r="Z221" s="115">
        <f t="shared" si="162"/>
        <v>0.76797106754182443</v>
      </c>
      <c r="AA221" s="118">
        <f t="shared" si="163"/>
        <v>730.16057126543024</v>
      </c>
      <c r="AB221" s="112">
        <f t="shared" si="164"/>
        <v>1299.201948372485</v>
      </c>
      <c r="AC221" s="112">
        <f t="shared" si="165"/>
        <v>144.80048709312126</v>
      </c>
      <c r="AD221" s="112">
        <f t="shared" si="166"/>
        <v>129.86549265852534</v>
      </c>
      <c r="AE221" s="112">
        <f t="shared" si="167"/>
        <v>-39.865492658525341</v>
      </c>
      <c r="AF221" s="112">
        <f t="shared" si="168"/>
        <v>6.9092944380014995E-3</v>
      </c>
      <c r="AG221" s="112">
        <f t="shared" si="169"/>
        <v>-39.858583364087337</v>
      </c>
      <c r="AH221" s="112">
        <f t="shared" si="170"/>
        <v>311.3243042237209</v>
      </c>
      <c r="AJ221" s="119">
        <f t="shared" si="171"/>
        <v>0.91666666666666463</v>
      </c>
      <c r="AK221" s="112">
        <f t="shared" si="172"/>
        <v>0</v>
      </c>
      <c r="AL221" s="112">
        <f t="shared" si="173"/>
        <v>0</v>
      </c>
      <c r="AM221" s="116">
        <f t="shared" si="174"/>
        <v>0</v>
      </c>
      <c r="AN221" s="116">
        <f t="shared" si="186"/>
        <v>1.6373343080203115</v>
      </c>
      <c r="AO221" s="116">
        <f t="shared" si="187"/>
        <v>2.0999999999999925</v>
      </c>
      <c r="AQ221" s="131">
        <f t="shared" si="175"/>
        <v>2.0999999999999925</v>
      </c>
      <c r="AR221" s="131">
        <f t="shared" si="176"/>
        <v>1.6373343080203115</v>
      </c>
      <c r="AS221" s="131">
        <f t="shared" si="177"/>
        <v>3.4384020468426422</v>
      </c>
      <c r="AT221" s="131">
        <f t="shared" si="178"/>
        <v>7.2206442983695229</v>
      </c>
      <c r="AU221" s="131">
        <f t="shared" si="179"/>
        <v>15.163353026575944</v>
      </c>
      <c r="AV221" s="131">
        <f t="shared" si="180"/>
        <v>4.4099999999999691</v>
      </c>
      <c r="AW221" s="131">
        <f t="shared" si="181"/>
        <v>9.2609999999999015</v>
      </c>
      <c r="AX221" s="131">
        <f t="shared" si="182"/>
        <v>19.448099999999727</v>
      </c>
      <c r="AY221" s="131">
        <f t="shared" si="183"/>
        <v>40.84100999999928</v>
      </c>
      <c r="AZ221" s="131">
        <f t="shared" si="184"/>
        <v>85.766120999998193</v>
      </c>
      <c r="BE221" s="116">
        <f t="shared" si="142"/>
        <v>1.637334490328975</v>
      </c>
    </row>
    <row r="222" spans="4:57">
      <c r="D222" s="114">
        <f t="shared" si="143"/>
        <v>41173</v>
      </c>
      <c r="E222" s="115">
        <f t="shared" si="185"/>
        <v>0.92083333333333128</v>
      </c>
      <c r="F222" s="116">
        <f t="shared" si="144"/>
        <v>2456192.4208333334</v>
      </c>
      <c r="G222" s="117">
        <f t="shared" si="145"/>
        <v>0.12723944786675964</v>
      </c>
      <c r="I222" s="112">
        <f t="shared" si="146"/>
        <v>181.18454085626763</v>
      </c>
      <c r="J222" s="112">
        <f t="shared" si="147"/>
        <v>4938.0283901389294</v>
      </c>
      <c r="K222" s="112">
        <f t="shared" si="148"/>
        <v>1.6703283184072597E-2</v>
      </c>
      <c r="L222" s="112">
        <f t="shared" si="149"/>
        <v>-1.8640179381741717</v>
      </c>
      <c r="M222" s="112">
        <f t="shared" si="150"/>
        <v>179.32052291809345</v>
      </c>
      <c r="N222" s="112">
        <f t="shared" si="151"/>
        <v>4936.1643722007548</v>
      </c>
      <c r="O222" s="112">
        <f t="shared" si="152"/>
        <v>1.0037313000513197</v>
      </c>
      <c r="P222" s="112">
        <f t="shared" si="153"/>
        <v>179.31892766647516</v>
      </c>
      <c r="Q222" s="112">
        <f t="shared" si="154"/>
        <v>23.437636466508572</v>
      </c>
      <c r="R222" s="112">
        <f t="shared" si="155"/>
        <v>23.436315733208509</v>
      </c>
      <c r="S222" s="112">
        <f t="shared" si="141"/>
        <v>179.37510962745606</v>
      </c>
      <c r="T222" s="112">
        <f t="shared" si="156"/>
        <v>0.27087719561773055</v>
      </c>
      <c r="U222" s="112">
        <f t="shared" si="157"/>
        <v>4.3023293679416874E-2</v>
      </c>
      <c r="V222" s="112">
        <f t="shared" si="158"/>
        <v>7.2034184284397123</v>
      </c>
      <c r="W222" s="112">
        <f t="shared" si="159"/>
        <v>91.268804482943523</v>
      </c>
      <c r="X222" s="115">
        <f t="shared" si="160"/>
        <v>0.51444207053580571</v>
      </c>
      <c r="Y222" s="115">
        <f t="shared" si="161"/>
        <v>0.26091761363874039</v>
      </c>
      <c r="Z222" s="115">
        <f t="shared" si="162"/>
        <v>0.76796652743287108</v>
      </c>
      <c r="AA222" s="118">
        <f t="shared" si="163"/>
        <v>730.15043586354818</v>
      </c>
      <c r="AB222" s="112">
        <f t="shared" si="164"/>
        <v>1305.2034184284369</v>
      </c>
      <c r="AC222" s="112">
        <f t="shared" si="165"/>
        <v>146.30085460710922</v>
      </c>
      <c r="AD222" s="112">
        <f t="shared" si="166"/>
        <v>130.74376718316853</v>
      </c>
      <c r="AE222" s="112">
        <f t="shared" si="167"/>
        <v>-40.743767183168529</v>
      </c>
      <c r="AF222" s="112">
        <f t="shared" si="168"/>
        <v>6.6978879167404705E-3</v>
      </c>
      <c r="AG222" s="112">
        <f t="shared" si="169"/>
        <v>-40.737069295251786</v>
      </c>
      <c r="AH222" s="112">
        <f t="shared" si="170"/>
        <v>312.9194431265305</v>
      </c>
      <c r="AJ222" s="119">
        <f t="shared" si="171"/>
        <v>0.92083333333333128</v>
      </c>
      <c r="AK222" s="112">
        <f t="shared" si="172"/>
        <v>0</v>
      </c>
      <c r="AL222" s="112">
        <f t="shared" si="173"/>
        <v>0</v>
      </c>
      <c r="AM222" s="116">
        <f t="shared" si="174"/>
        <v>0</v>
      </c>
      <c r="AN222" s="116">
        <f t="shared" si="186"/>
        <v>1.6373343080203115</v>
      </c>
      <c r="AO222" s="116">
        <f t="shared" si="187"/>
        <v>2.0999999999999925</v>
      </c>
      <c r="AQ222" s="131">
        <f t="shared" si="175"/>
        <v>2.0999999999999925</v>
      </c>
      <c r="AR222" s="131">
        <f t="shared" si="176"/>
        <v>1.6373343080203115</v>
      </c>
      <c r="AS222" s="131">
        <f t="shared" si="177"/>
        <v>3.4384020468426422</v>
      </c>
      <c r="AT222" s="131">
        <f t="shared" si="178"/>
        <v>7.2206442983695229</v>
      </c>
      <c r="AU222" s="131">
        <f t="shared" si="179"/>
        <v>15.163353026575944</v>
      </c>
      <c r="AV222" s="131">
        <f t="shared" si="180"/>
        <v>4.4099999999999691</v>
      </c>
      <c r="AW222" s="131">
        <f t="shared" si="181"/>
        <v>9.2609999999999015</v>
      </c>
      <c r="AX222" s="131">
        <f t="shared" si="182"/>
        <v>19.448099999999727</v>
      </c>
      <c r="AY222" s="131">
        <f t="shared" si="183"/>
        <v>40.84100999999928</v>
      </c>
      <c r="AZ222" s="131">
        <f t="shared" si="184"/>
        <v>85.766120999998193</v>
      </c>
      <c r="BE222" s="116">
        <f t="shared" si="142"/>
        <v>1.637334490328975</v>
      </c>
    </row>
    <row r="223" spans="4:57">
      <c r="D223" s="114">
        <f t="shared" si="143"/>
        <v>41173</v>
      </c>
      <c r="E223" s="115">
        <f t="shared" si="185"/>
        <v>0.92499999999999793</v>
      </c>
      <c r="F223" s="116">
        <f t="shared" si="144"/>
        <v>2456192.4249999998</v>
      </c>
      <c r="G223" s="117">
        <f t="shared" si="145"/>
        <v>0.12723956194386896</v>
      </c>
      <c r="I223" s="112">
        <f t="shared" si="146"/>
        <v>181.18864772003235</v>
      </c>
      <c r="J223" s="112">
        <f t="shared" si="147"/>
        <v>4938.0324968065206</v>
      </c>
      <c r="K223" s="112">
        <f t="shared" si="148"/>
        <v>1.670328317927346E-2</v>
      </c>
      <c r="L223" s="112">
        <f t="shared" si="149"/>
        <v>-1.8640489700043574</v>
      </c>
      <c r="M223" s="112">
        <f t="shared" si="150"/>
        <v>179.324598750028</v>
      </c>
      <c r="N223" s="112">
        <f t="shared" si="151"/>
        <v>4936.168447836516</v>
      </c>
      <c r="O223" s="112">
        <f t="shared" si="152"/>
        <v>1.0037301374072263</v>
      </c>
      <c r="P223" s="112">
        <f t="shared" si="153"/>
        <v>179.32300348891314</v>
      </c>
      <c r="Q223" s="112">
        <f t="shared" si="154"/>
        <v>23.43763646502509</v>
      </c>
      <c r="R223" s="112">
        <f t="shared" si="155"/>
        <v>23.436315723279989</v>
      </c>
      <c r="S223" s="112">
        <f t="shared" si="141"/>
        <v>179.37884928865796</v>
      </c>
      <c r="T223" s="112">
        <f t="shared" si="156"/>
        <v>0.26925621648346121</v>
      </c>
      <c r="U223" s="112">
        <f t="shared" si="157"/>
        <v>4.3023293641927529E-2</v>
      </c>
      <c r="V223" s="112">
        <f t="shared" si="158"/>
        <v>7.2048884561359889</v>
      </c>
      <c r="W223" s="112">
        <f t="shared" si="159"/>
        <v>91.2675375558197</v>
      </c>
      <c r="X223" s="115">
        <f t="shared" si="160"/>
        <v>0.51444104968323889</v>
      </c>
      <c r="Y223" s="115">
        <f t="shared" si="161"/>
        <v>0.26092011202818416</v>
      </c>
      <c r="Z223" s="115">
        <f t="shared" si="162"/>
        <v>0.76796198733829368</v>
      </c>
      <c r="AA223" s="118">
        <f t="shared" si="163"/>
        <v>730.1403004465576</v>
      </c>
      <c r="AB223" s="112">
        <f t="shared" si="164"/>
        <v>1311.2048884561329</v>
      </c>
      <c r="AC223" s="112">
        <f t="shared" si="165"/>
        <v>147.80122211403324</v>
      </c>
      <c r="AD223" s="112">
        <f t="shared" si="166"/>
        <v>131.59934581045238</v>
      </c>
      <c r="AE223" s="112">
        <f t="shared" si="167"/>
        <v>-41.599345810452377</v>
      </c>
      <c r="AF223" s="112">
        <f t="shared" si="168"/>
        <v>6.4990568678391309E-3</v>
      </c>
      <c r="AG223" s="112">
        <f t="shared" si="169"/>
        <v>-41.592846753584539</v>
      </c>
      <c r="AH223" s="112">
        <f t="shared" si="170"/>
        <v>314.55685650207352</v>
      </c>
      <c r="AJ223" s="119">
        <f t="shared" si="171"/>
        <v>0.92499999999999793</v>
      </c>
      <c r="AK223" s="112">
        <f t="shared" si="172"/>
        <v>0</v>
      </c>
      <c r="AL223" s="112">
        <f t="shared" si="173"/>
        <v>0</v>
      </c>
      <c r="AM223" s="116">
        <f t="shared" si="174"/>
        <v>0</v>
      </c>
      <c r="AN223" s="116">
        <f t="shared" si="186"/>
        <v>1.6373343080203115</v>
      </c>
      <c r="AO223" s="116">
        <f t="shared" si="187"/>
        <v>2.0999999999999925</v>
      </c>
      <c r="AQ223" s="131">
        <f t="shared" si="175"/>
        <v>2.0999999999999925</v>
      </c>
      <c r="AR223" s="131">
        <f t="shared" si="176"/>
        <v>1.6373343080203115</v>
      </c>
      <c r="AS223" s="131">
        <f t="shared" si="177"/>
        <v>3.4384020468426422</v>
      </c>
      <c r="AT223" s="131">
        <f t="shared" si="178"/>
        <v>7.2206442983695229</v>
      </c>
      <c r="AU223" s="131">
        <f t="shared" si="179"/>
        <v>15.163353026575944</v>
      </c>
      <c r="AV223" s="131">
        <f t="shared" si="180"/>
        <v>4.4099999999999691</v>
      </c>
      <c r="AW223" s="131">
        <f t="shared" si="181"/>
        <v>9.2609999999999015</v>
      </c>
      <c r="AX223" s="131">
        <f t="shared" si="182"/>
        <v>19.448099999999727</v>
      </c>
      <c r="AY223" s="131">
        <f t="shared" si="183"/>
        <v>40.84100999999928</v>
      </c>
      <c r="AZ223" s="131">
        <f t="shared" si="184"/>
        <v>85.766120999998193</v>
      </c>
      <c r="BE223" s="116">
        <f t="shared" si="142"/>
        <v>1.637334490328975</v>
      </c>
    </row>
    <row r="224" spans="4:57">
      <c r="D224" s="114">
        <f t="shared" si="143"/>
        <v>41173</v>
      </c>
      <c r="E224" s="115">
        <f t="shared" si="185"/>
        <v>0.92916666666666459</v>
      </c>
      <c r="F224" s="116">
        <f t="shared" si="144"/>
        <v>2456192.4291666667</v>
      </c>
      <c r="G224" s="117">
        <f t="shared" si="145"/>
        <v>0.12723967602099104</v>
      </c>
      <c r="I224" s="112">
        <f t="shared" si="146"/>
        <v>181.19275458425636</v>
      </c>
      <c r="J224" s="112">
        <f t="shared" si="147"/>
        <v>4938.0366034745703</v>
      </c>
      <c r="K224" s="112">
        <f t="shared" si="148"/>
        <v>1.6703283174474323E-2</v>
      </c>
      <c r="L224" s="112">
        <f t="shared" si="149"/>
        <v>-1.86407999239638</v>
      </c>
      <c r="M224" s="112">
        <f t="shared" si="150"/>
        <v>179.32867459185999</v>
      </c>
      <c r="N224" s="112">
        <f t="shared" si="151"/>
        <v>4936.1725234821743</v>
      </c>
      <c r="O224" s="112">
        <f t="shared" si="152"/>
        <v>1.0037289747426414</v>
      </c>
      <c r="P224" s="112">
        <f t="shared" si="153"/>
        <v>179.32707932124848</v>
      </c>
      <c r="Q224" s="112">
        <f t="shared" si="154"/>
        <v>23.437636463541612</v>
      </c>
      <c r="R224" s="112">
        <f t="shared" si="155"/>
        <v>23.43631571335149</v>
      </c>
      <c r="S224" s="112">
        <f t="shared" si="141"/>
        <v>179.38258895794712</v>
      </c>
      <c r="T224" s="112">
        <f t="shared" si="156"/>
        <v>0.26763523226720781</v>
      </c>
      <c r="U224" s="112">
        <f t="shared" si="157"/>
        <v>4.3023293604438274E-2</v>
      </c>
      <c r="V224" s="112">
        <f t="shared" si="158"/>
        <v>7.2063584558808813</v>
      </c>
      <c r="W224" s="112">
        <f t="shared" si="159"/>
        <v>91.266270626526918</v>
      </c>
      <c r="X224" s="115">
        <f t="shared" si="160"/>
        <v>0.51444002885008278</v>
      </c>
      <c r="Y224" s="115">
        <f t="shared" si="161"/>
        <v>0.26092261044306359</v>
      </c>
      <c r="Z224" s="115">
        <f t="shared" si="162"/>
        <v>0.76795744725710202</v>
      </c>
      <c r="AA224" s="118">
        <f t="shared" si="163"/>
        <v>730.13016501221534</v>
      </c>
      <c r="AB224" s="112">
        <f t="shared" si="164"/>
        <v>1317.206358455878</v>
      </c>
      <c r="AC224" s="112">
        <f t="shared" si="165"/>
        <v>149.3015896139695</v>
      </c>
      <c r="AD224" s="112">
        <f t="shared" si="166"/>
        <v>132.43091915039443</v>
      </c>
      <c r="AE224" s="112">
        <f t="shared" si="167"/>
        <v>-42.430919150394431</v>
      </c>
      <c r="AF224" s="112">
        <f t="shared" si="168"/>
        <v>6.3121122174524015E-3</v>
      </c>
      <c r="AG224" s="112">
        <f t="shared" si="169"/>
        <v>-42.42460703817698</v>
      </c>
      <c r="AH224" s="112">
        <f t="shared" si="170"/>
        <v>316.23778176540702</v>
      </c>
      <c r="AJ224" s="119">
        <f t="shared" si="171"/>
        <v>0.92916666666666459</v>
      </c>
      <c r="AK224" s="112">
        <f t="shared" si="172"/>
        <v>0</v>
      </c>
      <c r="AL224" s="112">
        <f t="shared" si="173"/>
        <v>0</v>
      </c>
      <c r="AM224" s="116">
        <f t="shared" si="174"/>
        <v>0</v>
      </c>
      <c r="AN224" s="116">
        <f t="shared" si="186"/>
        <v>1.6373343080203115</v>
      </c>
      <c r="AO224" s="116">
        <f t="shared" si="187"/>
        <v>2.0999999999999925</v>
      </c>
      <c r="AQ224" s="131">
        <f t="shared" si="175"/>
        <v>2.0999999999999925</v>
      </c>
      <c r="AR224" s="131">
        <f t="shared" si="176"/>
        <v>1.6373343080203115</v>
      </c>
      <c r="AS224" s="131">
        <f t="shared" si="177"/>
        <v>3.4384020468426422</v>
      </c>
      <c r="AT224" s="131">
        <f t="shared" si="178"/>
        <v>7.2206442983695229</v>
      </c>
      <c r="AU224" s="131">
        <f t="shared" si="179"/>
        <v>15.163353026575944</v>
      </c>
      <c r="AV224" s="131">
        <f t="shared" si="180"/>
        <v>4.4099999999999691</v>
      </c>
      <c r="AW224" s="131">
        <f t="shared" si="181"/>
        <v>9.2609999999999015</v>
      </c>
      <c r="AX224" s="131">
        <f t="shared" si="182"/>
        <v>19.448099999999727</v>
      </c>
      <c r="AY224" s="131">
        <f t="shared" si="183"/>
        <v>40.84100999999928</v>
      </c>
      <c r="AZ224" s="131">
        <f t="shared" si="184"/>
        <v>85.766120999998193</v>
      </c>
      <c r="BE224" s="116">
        <f t="shared" si="142"/>
        <v>1.637334490328975</v>
      </c>
    </row>
    <row r="225" spans="4:57">
      <c r="D225" s="114">
        <f t="shared" si="143"/>
        <v>41173</v>
      </c>
      <c r="E225" s="115">
        <f t="shared" si="185"/>
        <v>0.93333333333333124</v>
      </c>
      <c r="F225" s="116">
        <f t="shared" si="144"/>
        <v>2456192.4333333331</v>
      </c>
      <c r="G225" s="117">
        <f t="shared" si="145"/>
        <v>0.12723979009810038</v>
      </c>
      <c r="I225" s="112">
        <f t="shared" si="146"/>
        <v>181.19686144802199</v>
      </c>
      <c r="J225" s="112">
        <f t="shared" si="147"/>
        <v>4938.0407101421624</v>
      </c>
      <c r="K225" s="112">
        <f t="shared" si="148"/>
        <v>1.6703283169675183E-2</v>
      </c>
      <c r="L225" s="112">
        <f t="shared" si="149"/>
        <v>-1.8641110053431216</v>
      </c>
      <c r="M225" s="112">
        <f t="shared" si="150"/>
        <v>179.33275044267887</v>
      </c>
      <c r="N225" s="112">
        <f t="shared" si="151"/>
        <v>4936.1765991368193</v>
      </c>
      <c r="O225" s="112">
        <f t="shared" si="152"/>
        <v>1.0037278120578308</v>
      </c>
      <c r="P225" s="112">
        <f t="shared" si="153"/>
        <v>179.33115516257067</v>
      </c>
      <c r="Q225" s="112">
        <f t="shared" si="154"/>
        <v>23.43763646205813</v>
      </c>
      <c r="R225" s="112">
        <f t="shared" si="155"/>
        <v>23.436315703423006</v>
      </c>
      <c r="S225" s="112">
        <f t="shared" si="141"/>
        <v>179.38632863449405</v>
      </c>
      <c r="T225" s="112">
        <f t="shared" si="156"/>
        <v>0.26601424333798135</v>
      </c>
      <c r="U225" s="112">
        <f t="shared" si="157"/>
        <v>4.3023293566949082E-2</v>
      </c>
      <c r="V225" s="112">
        <f t="shared" si="158"/>
        <v>7.2078284273216395</v>
      </c>
      <c r="W225" s="112">
        <f t="shared" si="159"/>
        <v>91.265003695350956</v>
      </c>
      <c r="X225" s="115">
        <f t="shared" si="160"/>
        <v>0.51443900803658227</v>
      </c>
      <c r="Y225" s="115">
        <f t="shared" si="161"/>
        <v>0.2609251088828296</v>
      </c>
      <c r="Z225" s="115">
        <f t="shared" si="162"/>
        <v>0.76795290719033493</v>
      </c>
      <c r="AA225" s="118">
        <f t="shared" si="163"/>
        <v>730.12002956280764</v>
      </c>
      <c r="AB225" s="112">
        <f t="shared" si="164"/>
        <v>1323.2078284273186</v>
      </c>
      <c r="AC225" s="112">
        <f t="shared" si="165"/>
        <v>150.80195710682966</v>
      </c>
      <c r="AD225" s="112">
        <f t="shared" si="166"/>
        <v>133.23712526961177</v>
      </c>
      <c r="AE225" s="112">
        <f t="shared" si="167"/>
        <v>-43.237125269611766</v>
      </c>
      <c r="AF225" s="112">
        <f t="shared" si="168"/>
        <v>6.1364530131459375E-3</v>
      </c>
      <c r="AG225" s="112">
        <f t="shared" si="169"/>
        <v>-43.230988816598618</v>
      </c>
      <c r="AH225" s="112">
        <f t="shared" si="170"/>
        <v>317.963344586586</v>
      </c>
      <c r="AJ225" s="119">
        <f t="shared" si="171"/>
        <v>0.93333333333333124</v>
      </c>
      <c r="AK225" s="112">
        <f t="shared" si="172"/>
        <v>0</v>
      </c>
      <c r="AL225" s="112">
        <f t="shared" si="173"/>
        <v>0</v>
      </c>
      <c r="AM225" s="116">
        <f t="shared" si="174"/>
        <v>0</v>
      </c>
      <c r="AN225" s="116">
        <f t="shared" si="186"/>
        <v>1.6373343080203115</v>
      </c>
      <c r="AO225" s="116">
        <f t="shared" si="187"/>
        <v>2.0999999999999925</v>
      </c>
      <c r="AQ225" s="131">
        <f t="shared" si="175"/>
        <v>2.0999999999999925</v>
      </c>
      <c r="AR225" s="131">
        <f t="shared" si="176"/>
        <v>1.6373343080203115</v>
      </c>
      <c r="AS225" s="131">
        <f t="shared" si="177"/>
        <v>3.4384020468426422</v>
      </c>
      <c r="AT225" s="131">
        <f t="shared" si="178"/>
        <v>7.2206442983695229</v>
      </c>
      <c r="AU225" s="131">
        <f t="shared" si="179"/>
        <v>15.163353026575944</v>
      </c>
      <c r="AV225" s="131">
        <f t="shared" si="180"/>
        <v>4.4099999999999691</v>
      </c>
      <c r="AW225" s="131">
        <f t="shared" si="181"/>
        <v>9.2609999999999015</v>
      </c>
      <c r="AX225" s="131">
        <f t="shared" si="182"/>
        <v>19.448099999999727</v>
      </c>
      <c r="AY225" s="131">
        <f t="shared" si="183"/>
        <v>40.84100999999928</v>
      </c>
      <c r="AZ225" s="131">
        <f t="shared" si="184"/>
        <v>85.766120999998193</v>
      </c>
      <c r="BE225" s="116">
        <f t="shared" si="142"/>
        <v>1.637334490328975</v>
      </c>
    </row>
    <row r="226" spans="4:57">
      <c r="D226" s="114">
        <f t="shared" si="143"/>
        <v>41173</v>
      </c>
      <c r="E226" s="115">
        <f t="shared" si="185"/>
        <v>0.93749999999999789</v>
      </c>
      <c r="F226" s="116">
        <f t="shared" si="144"/>
        <v>2456192.4375</v>
      </c>
      <c r="G226" s="117">
        <f t="shared" si="145"/>
        <v>0.12723990417522246</v>
      </c>
      <c r="I226" s="112">
        <f t="shared" si="146"/>
        <v>181.2009683122451</v>
      </c>
      <c r="J226" s="112">
        <f t="shared" si="147"/>
        <v>4938.044816810213</v>
      </c>
      <c r="K226" s="112">
        <f t="shared" si="148"/>
        <v>1.6703283164876046E-2</v>
      </c>
      <c r="L226" s="112">
        <f t="shared" si="149"/>
        <v>-1.8641420088513014</v>
      </c>
      <c r="M226" s="112">
        <f t="shared" si="150"/>
        <v>179.33682630339379</v>
      </c>
      <c r="N226" s="112">
        <f t="shared" si="151"/>
        <v>4936.1806748013614</v>
      </c>
      <c r="O226" s="112">
        <f t="shared" si="152"/>
        <v>1.0037266493525405</v>
      </c>
      <c r="P226" s="112">
        <f t="shared" si="153"/>
        <v>179.33523101378881</v>
      </c>
      <c r="Q226" s="112">
        <f t="shared" si="154"/>
        <v>23.437636460574652</v>
      </c>
      <c r="R226" s="112">
        <f t="shared" si="155"/>
        <v>23.436315693494546</v>
      </c>
      <c r="S226" s="112">
        <f t="shared" si="141"/>
        <v>179.39006831913881</v>
      </c>
      <c r="T226" s="112">
        <f t="shared" si="156"/>
        <v>0.26439324934112329</v>
      </c>
      <c r="U226" s="112">
        <f t="shared" si="157"/>
        <v>4.3023293529459973E-2</v>
      </c>
      <c r="V226" s="112">
        <f t="shared" si="158"/>
        <v>7.2092983707617586</v>
      </c>
      <c r="W226" s="112">
        <f t="shared" si="159"/>
        <v>91.263736762012016</v>
      </c>
      <c r="X226" s="115">
        <f t="shared" si="160"/>
        <v>0.51443798724252654</v>
      </c>
      <c r="Y226" s="115">
        <f t="shared" si="161"/>
        <v>0.26092760734804871</v>
      </c>
      <c r="Z226" s="115">
        <f t="shared" si="162"/>
        <v>0.76794836713700443</v>
      </c>
      <c r="AA226" s="118">
        <f t="shared" si="163"/>
        <v>730.10989409609613</v>
      </c>
      <c r="AB226" s="112">
        <f t="shared" si="164"/>
        <v>1329.2092983707589</v>
      </c>
      <c r="AC226" s="112">
        <f t="shared" si="165"/>
        <v>152.30232459268973</v>
      </c>
      <c r="AD226" s="112">
        <f t="shared" si="166"/>
        <v>134.01655211068126</v>
      </c>
      <c r="AE226" s="112">
        <f t="shared" si="167"/>
        <v>-44.016552110681261</v>
      </c>
      <c r="AF226" s="112">
        <f t="shared" si="168"/>
        <v>5.9715566120160535E-3</v>
      </c>
      <c r="AG226" s="112">
        <f t="shared" si="169"/>
        <v>-44.010580554069243</v>
      </c>
      <c r="AH226" s="112">
        <f t="shared" si="170"/>
        <v>319.73453171078074</v>
      </c>
      <c r="AJ226" s="119">
        <f t="shared" si="171"/>
        <v>0.93749999999999789</v>
      </c>
      <c r="AK226" s="112">
        <f t="shared" si="172"/>
        <v>0</v>
      </c>
      <c r="AL226" s="112">
        <f t="shared" si="173"/>
        <v>0</v>
      </c>
      <c r="AM226" s="116">
        <f t="shared" si="174"/>
        <v>0</v>
      </c>
      <c r="AN226" s="116">
        <f t="shared" si="186"/>
        <v>1.6373343080203115</v>
      </c>
      <c r="AO226" s="116">
        <f t="shared" si="187"/>
        <v>2.0999999999999925</v>
      </c>
      <c r="AQ226" s="131">
        <f t="shared" si="175"/>
        <v>2.0999999999999925</v>
      </c>
      <c r="AR226" s="131">
        <f t="shared" si="176"/>
        <v>1.6373343080203115</v>
      </c>
      <c r="AS226" s="131">
        <f t="shared" si="177"/>
        <v>3.4384020468426422</v>
      </c>
      <c r="AT226" s="131">
        <f t="shared" si="178"/>
        <v>7.2206442983695229</v>
      </c>
      <c r="AU226" s="131">
        <f t="shared" si="179"/>
        <v>15.163353026575944</v>
      </c>
      <c r="AV226" s="131">
        <f t="shared" si="180"/>
        <v>4.4099999999999691</v>
      </c>
      <c r="AW226" s="131">
        <f t="shared" si="181"/>
        <v>9.2609999999999015</v>
      </c>
      <c r="AX226" s="131">
        <f t="shared" si="182"/>
        <v>19.448099999999727</v>
      </c>
      <c r="AY226" s="131">
        <f t="shared" si="183"/>
        <v>40.84100999999928</v>
      </c>
      <c r="AZ226" s="131">
        <f t="shared" si="184"/>
        <v>85.766120999998193</v>
      </c>
      <c r="BE226" s="116">
        <f t="shared" si="142"/>
        <v>1.637334490328975</v>
      </c>
    </row>
    <row r="227" spans="4:57">
      <c r="D227" s="114">
        <f t="shared" si="143"/>
        <v>41173</v>
      </c>
      <c r="E227" s="115">
        <f t="shared" si="185"/>
        <v>0.94166666666666454</v>
      </c>
      <c r="F227" s="116">
        <f t="shared" si="144"/>
        <v>2456192.4416666669</v>
      </c>
      <c r="G227" s="117">
        <f t="shared" si="145"/>
        <v>0.12724001825234452</v>
      </c>
      <c r="I227" s="112">
        <f t="shared" si="146"/>
        <v>181.20507517646729</v>
      </c>
      <c r="J227" s="112">
        <f t="shared" si="147"/>
        <v>4938.0489234782617</v>
      </c>
      <c r="K227" s="112">
        <f t="shared" si="148"/>
        <v>1.6703283160076909E-2</v>
      </c>
      <c r="L227" s="112">
        <f t="shared" si="149"/>
        <v>-1.8641730029172472</v>
      </c>
      <c r="M227" s="112">
        <f t="shared" si="150"/>
        <v>179.34090217355003</v>
      </c>
      <c r="N227" s="112">
        <f t="shared" si="151"/>
        <v>4936.1847504753441</v>
      </c>
      <c r="O227" s="112">
        <f t="shared" si="152"/>
        <v>1.0037254866269067</v>
      </c>
      <c r="P227" s="112">
        <f t="shared" si="153"/>
        <v>179.33930687444823</v>
      </c>
      <c r="Q227" s="112">
        <f t="shared" si="154"/>
        <v>23.43763645909117</v>
      </c>
      <c r="R227" s="112">
        <f t="shared" si="155"/>
        <v>23.436315683566104</v>
      </c>
      <c r="S227" s="112">
        <f t="shared" si="141"/>
        <v>179.3938080114703</v>
      </c>
      <c r="T227" s="112">
        <f t="shared" si="156"/>
        <v>0.26277225046435554</v>
      </c>
      <c r="U227" s="112">
        <f t="shared" si="157"/>
        <v>4.3023293491970933E-2</v>
      </c>
      <c r="V227" s="112">
        <f t="shared" si="158"/>
        <v>7.2107682860127973</v>
      </c>
      <c r="W227" s="112">
        <f t="shared" si="159"/>
        <v>91.26246982665414</v>
      </c>
      <c r="X227" s="115">
        <f t="shared" si="160"/>
        <v>0.51443696646804671</v>
      </c>
      <c r="Y227" s="115">
        <f t="shared" si="161"/>
        <v>0.26093010583845189</v>
      </c>
      <c r="Z227" s="115">
        <f t="shared" si="162"/>
        <v>0.76794382709764153</v>
      </c>
      <c r="AA227" s="118">
        <f t="shared" si="163"/>
        <v>730.09975861323312</v>
      </c>
      <c r="AB227" s="112">
        <f t="shared" si="164"/>
        <v>1335.2107682860099</v>
      </c>
      <c r="AC227" s="112">
        <f t="shared" si="165"/>
        <v>153.80269207150246</v>
      </c>
      <c r="AD227" s="112">
        <f t="shared" si="166"/>
        <v>134.76774102861924</v>
      </c>
      <c r="AE227" s="112">
        <f t="shared" si="167"/>
        <v>-44.767741028619241</v>
      </c>
      <c r="AF227" s="112">
        <f t="shared" si="168"/>
        <v>5.8169701701749309E-3</v>
      </c>
      <c r="AG227" s="112">
        <f t="shared" si="169"/>
        <v>-44.761924058449068</v>
      </c>
      <c r="AH227" s="112">
        <f t="shared" si="170"/>
        <v>321.55216113783052</v>
      </c>
      <c r="AJ227" s="119">
        <f t="shared" si="171"/>
        <v>0.94166666666666454</v>
      </c>
      <c r="AK227" s="112">
        <f t="shared" si="172"/>
        <v>0</v>
      </c>
      <c r="AL227" s="112">
        <f t="shared" si="173"/>
        <v>0</v>
      </c>
      <c r="AM227" s="116">
        <f t="shared" si="174"/>
        <v>0</v>
      </c>
      <c r="AN227" s="116">
        <f t="shared" si="186"/>
        <v>1.6373343080203115</v>
      </c>
      <c r="AO227" s="116">
        <f t="shared" si="187"/>
        <v>2.0999999999999925</v>
      </c>
      <c r="AQ227" s="131">
        <f t="shared" si="175"/>
        <v>2.0999999999999925</v>
      </c>
      <c r="AR227" s="131">
        <f t="shared" si="176"/>
        <v>1.6373343080203115</v>
      </c>
      <c r="AS227" s="131">
        <f t="shared" si="177"/>
        <v>3.4384020468426422</v>
      </c>
      <c r="AT227" s="131">
        <f t="shared" si="178"/>
        <v>7.2206442983695229</v>
      </c>
      <c r="AU227" s="131">
        <f t="shared" si="179"/>
        <v>15.163353026575944</v>
      </c>
      <c r="AV227" s="131">
        <f t="shared" si="180"/>
        <v>4.4099999999999691</v>
      </c>
      <c r="AW227" s="131">
        <f t="shared" si="181"/>
        <v>9.2609999999999015</v>
      </c>
      <c r="AX227" s="131">
        <f t="shared" si="182"/>
        <v>19.448099999999727</v>
      </c>
      <c r="AY227" s="131">
        <f t="shared" si="183"/>
        <v>40.84100999999928</v>
      </c>
      <c r="AZ227" s="131">
        <f t="shared" si="184"/>
        <v>85.766120999998193</v>
      </c>
      <c r="BE227" s="116">
        <f t="shared" si="142"/>
        <v>1.637334490328975</v>
      </c>
    </row>
    <row r="228" spans="4:57">
      <c r="D228" s="114">
        <f t="shared" si="143"/>
        <v>41173</v>
      </c>
      <c r="E228" s="115">
        <f t="shared" si="185"/>
        <v>0.94583333333333119</v>
      </c>
      <c r="F228" s="116">
        <f t="shared" si="144"/>
        <v>2456192.4458333333</v>
      </c>
      <c r="G228" s="117">
        <f t="shared" si="145"/>
        <v>0.12724013232945386</v>
      </c>
      <c r="I228" s="112">
        <f t="shared" si="146"/>
        <v>181.20918204023292</v>
      </c>
      <c r="J228" s="112">
        <f t="shared" si="147"/>
        <v>4938.0530301458539</v>
      </c>
      <c r="K228" s="112">
        <f t="shared" si="148"/>
        <v>1.6703283155277769E-2</v>
      </c>
      <c r="L228" s="112">
        <f t="shared" si="149"/>
        <v>-1.8642039875373269</v>
      </c>
      <c r="M228" s="112">
        <f t="shared" si="150"/>
        <v>179.34497805269558</v>
      </c>
      <c r="N228" s="112">
        <f t="shared" si="151"/>
        <v>4936.1888261583163</v>
      </c>
      <c r="O228" s="112">
        <f t="shared" si="152"/>
        <v>1.0037243238810643</v>
      </c>
      <c r="P228" s="112">
        <f t="shared" si="153"/>
        <v>179.34338274409689</v>
      </c>
      <c r="Q228" s="112">
        <f t="shared" si="154"/>
        <v>23.437636457607692</v>
      </c>
      <c r="R228" s="112">
        <f t="shared" si="155"/>
        <v>23.436315673637683</v>
      </c>
      <c r="S228" s="112">
        <f t="shared" si="141"/>
        <v>179.39754771107968</v>
      </c>
      <c r="T228" s="112">
        <f t="shared" si="156"/>
        <v>0.26115124689436825</v>
      </c>
      <c r="U228" s="112">
        <f t="shared" si="157"/>
        <v>4.3023293454481963E-2</v>
      </c>
      <c r="V228" s="112">
        <f t="shared" si="158"/>
        <v>7.2122381728873473</v>
      </c>
      <c r="W228" s="112">
        <f t="shared" si="159"/>
        <v>91.26120288942063</v>
      </c>
      <c r="X228" s="115">
        <f t="shared" si="160"/>
        <v>0.51443594571327267</v>
      </c>
      <c r="Y228" s="115">
        <f t="shared" si="161"/>
        <v>0.26093260435377091</v>
      </c>
      <c r="Z228" s="115">
        <f t="shared" si="162"/>
        <v>0.76793928707277437</v>
      </c>
      <c r="AA228" s="118">
        <f t="shared" si="163"/>
        <v>730.08962311536504</v>
      </c>
      <c r="AB228" s="112">
        <f t="shared" si="164"/>
        <v>1341.2122381728841</v>
      </c>
      <c r="AC228" s="112">
        <f t="shared" si="165"/>
        <v>155.30305954322102</v>
      </c>
      <c r="AD228" s="112">
        <f t="shared" si="166"/>
        <v>135.48919159987696</v>
      </c>
      <c r="AE228" s="112">
        <f t="shared" si="167"/>
        <v>-45.48919159987696</v>
      </c>
      <c r="AF228" s="112">
        <f t="shared" si="168"/>
        <v>5.6723031945520594E-3</v>
      </c>
      <c r="AG228" s="112">
        <f t="shared" si="169"/>
        <v>-45.48351929668241</v>
      </c>
      <c r="AH228" s="112">
        <f t="shared" si="170"/>
        <v>323.41684991324644</v>
      </c>
      <c r="AJ228" s="119">
        <f t="shared" si="171"/>
        <v>0.94583333333333119</v>
      </c>
      <c r="AK228" s="112">
        <f t="shared" si="172"/>
        <v>0</v>
      </c>
      <c r="AL228" s="112">
        <f t="shared" si="173"/>
        <v>0</v>
      </c>
      <c r="AM228" s="116">
        <f t="shared" si="174"/>
        <v>0</v>
      </c>
      <c r="AN228" s="116">
        <f t="shared" si="186"/>
        <v>1.6373343080203115</v>
      </c>
      <c r="AO228" s="116">
        <f t="shared" si="187"/>
        <v>2.0999999999999925</v>
      </c>
      <c r="AQ228" s="131">
        <f t="shared" si="175"/>
        <v>2.0999999999999925</v>
      </c>
      <c r="AR228" s="131">
        <f t="shared" si="176"/>
        <v>1.6373343080203115</v>
      </c>
      <c r="AS228" s="131">
        <f t="shared" si="177"/>
        <v>3.4384020468426422</v>
      </c>
      <c r="AT228" s="131">
        <f t="shared" si="178"/>
        <v>7.2206442983695229</v>
      </c>
      <c r="AU228" s="131">
        <f t="shared" si="179"/>
        <v>15.163353026575944</v>
      </c>
      <c r="AV228" s="131">
        <f t="shared" si="180"/>
        <v>4.4099999999999691</v>
      </c>
      <c r="AW228" s="131">
        <f t="shared" si="181"/>
        <v>9.2609999999999015</v>
      </c>
      <c r="AX228" s="131">
        <f t="shared" si="182"/>
        <v>19.448099999999727</v>
      </c>
      <c r="AY228" s="131">
        <f t="shared" si="183"/>
        <v>40.84100999999928</v>
      </c>
      <c r="AZ228" s="131">
        <f t="shared" si="184"/>
        <v>85.766120999998193</v>
      </c>
      <c r="BE228" s="116">
        <f t="shared" si="142"/>
        <v>1.637334490328975</v>
      </c>
    </row>
    <row r="229" spans="4:57">
      <c r="D229" s="114">
        <f t="shared" si="143"/>
        <v>41173</v>
      </c>
      <c r="E229" s="115">
        <f t="shared" si="185"/>
        <v>0.94999999999999785</v>
      </c>
      <c r="F229" s="116">
        <f t="shared" si="144"/>
        <v>2456192.4500000002</v>
      </c>
      <c r="G229" s="117">
        <f t="shared" si="145"/>
        <v>0.12724024640657594</v>
      </c>
      <c r="I229" s="112">
        <f t="shared" si="146"/>
        <v>181.21328890445693</v>
      </c>
      <c r="J229" s="112">
        <f t="shared" si="147"/>
        <v>4938.0571368139035</v>
      </c>
      <c r="K229" s="112">
        <f t="shared" si="148"/>
        <v>1.6703283150478632E-2</v>
      </c>
      <c r="L229" s="112">
        <f t="shared" si="149"/>
        <v>-1.8642349627182413</v>
      </c>
      <c r="M229" s="112">
        <f t="shared" si="150"/>
        <v>179.3490539417387</v>
      </c>
      <c r="N229" s="112">
        <f t="shared" si="151"/>
        <v>4936.1929018511855</v>
      </c>
      <c r="O229" s="112">
        <f t="shared" si="152"/>
        <v>1.0037231611147595</v>
      </c>
      <c r="P229" s="112">
        <f t="shared" si="153"/>
        <v>179.34745862364306</v>
      </c>
      <c r="Q229" s="112">
        <f t="shared" si="154"/>
        <v>23.437636456124213</v>
      </c>
      <c r="R229" s="112">
        <f t="shared" si="155"/>
        <v>23.436315663709284</v>
      </c>
      <c r="S229" s="112">
        <f t="shared" si="141"/>
        <v>179.40128741880631</v>
      </c>
      <c r="T229" s="112">
        <f t="shared" si="156"/>
        <v>0.25953023827680632</v>
      </c>
      <c r="U229" s="112">
        <f t="shared" si="157"/>
        <v>4.3023293416993097E-2</v>
      </c>
      <c r="V229" s="112">
        <f t="shared" si="158"/>
        <v>7.2137080316885447</v>
      </c>
      <c r="W229" s="112">
        <f t="shared" si="159"/>
        <v>91.259935950031903</v>
      </c>
      <c r="X229" s="115">
        <f t="shared" si="160"/>
        <v>0.51443492497799415</v>
      </c>
      <c r="Y229" s="115">
        <f t="shared" si="161"/>
        <v>0.26093510289457217</v>
      </c>
      <c r="Z229" s="115">
        <f t="shared" si="162"/>
        <v>0.76793474706141618</v>
      </c>
      <c r="AA229" s="118">
        <f t="shared" si="163"/>
        <v>730.07948760025522</v>
      </c>
      <c r="AB229" s="112">
        <f t="shared" si="164"/>
        <v>1347.2137080316854</v>
      </c>
      <c r="AC229" s="112">
        <f t="shared" si="165"/>
        <v>156.80342700792136</v>
      </c>
      <c r="AD229" s="112">
        <f t="shared" si="166"/>
        <v>136.17936784725325</v>
      </c>
      <c r="AE229" s="112">
        <f t="shared" si="167"/>
        <v>-46.179367847253246</v>
      </c>
      <c r="AF229" s="112">
        <f t="shared" si="168"/>
        <v>5.5372209602236174E-3</v>
      </c>
      <c r="AG229" s="112">
        <f t="shared" si="169"/>
        <v>-46.173830626293025</v>
      </c>
      <c r="AH229" s="112">
        <f t="shared" si="170"/>
        <v>325.32897995237113</v>
      </c>
      <c r="AJ229" s="119">
        <f t="shared" si="171"/>
        <v>0.94999999999999785</v>
      </c>
      <c r="AK229" s="112">
        <f t="shared" si="172"/>
        <v>0</v>
      </c>
      <c r="AL229" s="112">
        <f t="shared" si="173"/>
        <v>0</v>
      </c>
      <c r="AM229" s="116">
        <f t="shared" si="174"/>
        <v>0</v>
      </c>
      <c r="AN229" s="116">
        <f t="shared" si="186"/>
        <v>1.6373343080203115</v>
      </c>
      <c r="AO229" s="116">
        <f t="shared" si="187"/>
        <v>2.0999999999999925</v>
      </c>
      <c r="AQ229" s="131">
        <f t="shared" si="175"/>
        <v>2.0999999999999925</v>
      </c>
      <c r="AR229" s="131">
        <f t="shared" si="176"/>
        <v>1.6373343080203115</v>
      </c>
      <c r="AS229" s="131">
        <f t="shared" si="177"/>
        <v>3.4384020468426422</v>
      </c>
      <c r="AT229" s="131">
        <f t="shared" si="178"/>
        <v>7.2206442983695229</v>
      </c>
      <c r="AU229" s="131">
        <f t="shared" si="179"/>
        <v>15.163353026575944</v>
      </c>
      <c r="AV229" s="131">
        <f t="shared" si="180"/>
        <v>4.4099999999999691</v>
      </c>
      <c r="AW229" s="131">
        <f t="shared" si="181"/>
        <v>9.2609999999999015</v>
      </c>
      <c r="AX229" s="131">
        <f t="shared" si="182"/>
        <v>19.448099999999727</v>
      </c>
      <c r="AY229" s="131">
        <f t="shared" si="183"/>
        <v>40.84100999999928</v>
      </c>
      <c r="AZ229" s="131">
        <f t="shared" si="184"/>
        <v>85.766120999998193</v>
      </c>
      <c r="BE229" s="116">
        <f t="shared" si="142"/>
        <v>1.637334490328975</v>
      </c>
    </row>
    <row r="230" spans="4:57">
      <c r="D230" s="114">
        <f t="shared" si="143"/>
        <v>41173</v>
      </c>
      <c r="E230" s="115">
        <f t="shared" si="185"/>
        <v>0.9541666666666645</v>
      </c>
      <c r="F230" s="116">
        <f t="shared" si="144"/>
        <v>2456192.4541666666</v>
      </c>
      <c r="G230" s="117">
        <f t="shared" si="145"/>
        <v>0.12724036048368528</v>
      </c>
      <c r="I230" s="112">
        <f t="shared" si="146"/>
        <v>181.21739576822165</v>
      </c>
      <c r="J230" s="112">
        <f t="shared" si="147"/>
        <v>4938.0612434814957</v>
      </c>
      <c r="K230" s="112">
        <f t="shared" si="148"/>
        <v>1.6703283145679496E-2</v>
      </c>
      <c r="L230" s="112">
        <f t="shared" si="149"/>
        <v>-1.8642659284528902</v>
      </c>
      <c r="M230" s="112">
        <f t="shared" si="150"/>
        <v>179.35312983976877</v>
      </c>
      <c r="N230" s="112">
        <f t="shared" si="151"/>
        <v>4936.1969775530424</v>
      </c>
      <c r="O230" s="112">
        <f t="shared" si="152"/>
        <v>1.0037219983282584</v>
      </c>
      <c r="P230" s="112">
        <f t="shared" si="153"/>
        <v>179.35153451217613</v>
      </c>
      <c r="Q230" s="112">
        <f t="shared" si="154"/>
        <v>23.437636454640732</v>
      </c>
      <c r="R230" s="112">
        <f t="shared" si="155"/>
        <v>23.436315653780898</v>
      </c>
      <c r="S230" s="112">
        <f t="shared" si="141"/>
        <v>179.40502713382065</v>
      </c>
      <c r="T230" s="112">
        <f t="shared" si="156"/>
        <v>0.25790922498075269</v>
      </c>
      <c r="U230" s="112">
        <f t="shared" si="157"/>
        <v>4.3023293379504265E-2</v>
      </c>
      <c r="V230" s="112">
        <f t="shared" si="158"/>
        <v>7.2151778620636842</v>
      </c>
      <c r="W230" s="112">
        <f t="shared" si="159"/>
        <v>91.258669008773794</v>
      </c>
      <c r="X230" s="115">
        <f t="shared" si="160"/>
        <v>0.51443390426245572</v>
      </c>
      <c r="Y230" s="115">
        <f t="shared" si="161"/>
        <v>0.26093760146030631</v>
      </c>
      <c r="Z230" s="115">
        <f t="shared" si="162"/>
        <v>0.76793020706460513</v>
      </c>
      <c r="AA230" s="118">
        <f t="shared" si="163"/>
        <v>730.06935207019035</v>
      </c>
      <c r="AB230" s="112">
        <f t="shared" si="164"/>
        <v>1353.2151778620605</v>
      </c>
      <c r="AC230" s="112">
        <f t="shared" si="165"/>
        <v>158.30379446551513</v>
      </c>
      <c r="AD230" s="112">
        <f t="shared" si="166"/>
        <v>136.83670600939615</v>
      </c>
      <c r="AE230" s="112">
        <f t="shared" si="167"/>
        <v>-46.836706009396153</v>
      </c>
      <c r="AF230" s="112">
        <f t="shared" si="168"/>
        <v>5.4114386300995075E-3</v>
      </c>
      <c r="AG230" s="112">
        <f t="shared" si="169"/>
        <v>-46.831294570766055</v>
      </c>
      <c r="AH230" s="112">
        <f t="shared" si="170"/>
        <v>327.28866251303714</v>
      </c>
      <c r="AJ230" s="119">
        <f t="shared" si="171"/>
        <v>0.9541666666666645</v>
      </c>
      <c r="AK230" s="112">
        <f t="shared" si="172"/>
        <v>0</v>
      </c>
      <c r="AL230" s="112">
        <f t="shared" si="173"/>
        <v>0</v>
      </c>
      <c r="AM230" s="116">
        <f t="shared" si="174"/>
        <v>0</v>
      </c>
      <c r="AN230" s="116">
        <f t="shared" si="186"/>
        <v>1.6373343080203115</v>
      </c>
      <c r="AO230" s="116">
        <f t="shared" si="187"/>
        <v>2.0999999999999925</v>
      </c>
      <c r="AQ230" s="131">
        <f t="shared" si="175"/>
        <v>2.0999999999999925</v>
      </c>
      <c r="AR230" s="131">
        <f t="shared" si="176"/>
        <v>1.6373343080203115</v>
      </c>
      <c r="AS230" s="131">
        <f t="shared" si="177"/>
        <v>3.4384020468426422</v>
      </c>
      <c r="AT230" s="131">
        <f t="shared" si="178"/>
        <v>7.2206442983695229</v>
      </c>
      <c r="AU230" s="131">
        <f t="shared" si="179"/>
        <v>15.163353026575944</v>
      </c>
      <c r="AV230" s="131">
        <f t="shared" si="180"/>
        <v>4.4099999999999691</v>
      </c>
      <c r="AW230" s="131">
        <f t="shared" si="181"/>
        <v>9.2609999999999015</v>
      </c>
      <c r="AX230" s="131">
        <f t="shared" si="182"/>
        <v>19.448099999999727</v>
      </c>
      <c r="AY230" s="131">
        <f t="shared" si="183"/>
        <v>40.84100999999928</v>
      </c>
      <c r="AZ230" s="131">
        <f t="shared" si="184"/>
        <v>85.766120999998193</v>
      </c>
      <c r="BE230" s="116">
        <f t="shared" si="142"/>
        <v>1.637334490328975</v>
      </c>
    </row>
    <row r="231" spans="4:57">
      <c r="D231" s="114">
        <f t="shared" si="143"/>
        <v>41173</v>
      </c>
      <c r="E231" s="115">
        <f t="shared" si="185"/>
        <v>0.95833333333333115</v>
      </c>
      <c r="F231" s="116">
        <f t="shared" si="144"/>
        <v>2456192.4583333335</v>
      </c>
      <c r="G231" s="117">
        <f t="shared" si="145"/>
        <v>0.12724047456080737</v>
      </c>
      <c r="I231" s="112">
        <f t="shared" si="146"/>
        <v>181.22150263244566</v>
      </c>
      <c r="J231" s="112">
        <f t="shared" si="147"/>
        <v>4938.0653501495453</v>
      </c>
      <c r="K231" s="112">
        <f t="shared" si="148"/>
        <v>1.6703283140880355E-2</v>
      </c>
      <c r="L231" s="112">
        <f t="shared" si="149"/>
        <v>-1.8642968847479753</v>
      </c>
      <c r="M231" s="112">
        <f t="shared" si="150"/>
        <v>179.35720574769769</v>
      </c>
      <c r="N231" s="112">
        <f t="shared" si="151"/>
        <v>4936.2010532647973</v>
      </c>
      <c r="O231" s="112">
        <f t="shared" si="152"/>
        <v>1.0037208355213068</v>
      </c>
      <c r="P231" s="112">
        <f t="shared" si="153"/>
        <v>179.35561041060797</v>
      </c>
      <c r="Q231" s="112">
        <f t="shared" si="154"/>
        <v>23.437636453157253</v>
      </c>
      <c r="R231" s="112">
        <f t="shared" si="155"/>
        <v>23.436315643852538</v>
      </c>
      <c r="S231" s="112">
        <f t="shared" si="141"/>
        <v>179.40876685696534</v>
      </c>
      <c r="T231" s="112">
        <f t="shared" si="156"/>
        <v>0.25628820665044516</v>
      </c>
      <c r="U231" s="112">
        <f t="shared" si="157"/>
        <v>4.3023293342015538E-2</v>
      </c>
      <c r="V231" s="112">
        <f t="shared" si="158"/>
        <v>7.2166476643171062</v>
      </c>
      <c r="W231" s="112">
        <f t="shared" si="159"/>
        <v>91.257402065365582</v>
      </c>
      <c r="X231" s="115">
        <f t="shared" si="160"/>
        <v>0.51443288356644645</v>
      </c>
      <c r="Y231" s="115">
        <f t="shared" si="161"/>
        <v>0.26094010005154206</v>
      </c>
      <c r="Z231" s="115">
        <f t="shared" si="162"/>
        <v>0.76792566708135079</v>
      </c>
      <c r="AA231" s="118">
        <f t="shared" si="163"/>
        <v>730.05921652292466</v>
      </c>
      <c r="AB231" s="112">
        <f t="shared" si="164"/>
        <v>1359.216647664314</v>
      </c>
      <c r="AC231" s="112">
        <f t="shared" si="165"/>
        <v>159.8041619160785</v>
      </c>
      <c r="AD231" s="112">
        <f t="shared" si="166"/>
        <v>137.459623964602</v>
      </c>
      <c r="AE231" s="112">
        <f t="shared" si="167"/>
        <v>-47.459623964602002</v>
      </c>
      <c r="AF231" s="112">
        <f t="shared" si="168"/>
        <v>5.294715940970007E-3</v>
      </c>
      <c r="AG231" s="112">
        <f t="shared" si="169"/>
        <v>-47.454329248661033</v>
      </c>
      <c r="AH231" s="112">
        <f t="shared" si="170"/>
        <v>329.2957021460918</v>
      </c>
      <c r="AJ231" s="119">
        <f t="shared" si="171"/>
        <v>0.95833333333333115</v>
      </c>
      <c r="AK231" s="112">
        <f t="shared" si="172"/>
        <v>0</v>
      </c>
      <c r="AL231" s="112">
        <f t="shared" si="173"/>
        <v>0</v>
      </c>
      <c r="AM231" s="116">
        <f t="shared" si="174"/>
        <v>0</v>
      </c>
      <c r="AN231" s="116">
        <f t="shared" si="186"/>
        <v>1.6373343080203115</v>
      </c>
      <c r="AO231" s="116">
        <f t="shared" si="187"/>
        <v>2.0999999999999925</v>
      </c>
      <c r="AQ231" s="131">
        <f t="shared" si="175"/>
        <v>2.0999999999999925</v>
      </c>
      <c r="AR231" s="131">
        <f t="shared" si="176"/>
        <v>1.6373343080203115</v>
      </c>
      <c r="AS231" s="131">
        <f t="shared" si="177"/>
        <v>3.4384020468426422</v>
      </c>
      <c r="AT231" s="131">
        <f t="shared" si="178"/>
        <v>7.2206442983695229</v>
      </c>
      <c r="AU231" s="131">
        <f t="shared" si="179"/>
        <v>15.163353026575944</v>
      </c>
      <c r="AV231" s="131">
        <f t="shared" si="180"/>
        <v>4.4099999999999691</v>
      </c>
      <c r="AW231" s="131">
        <f t="shared" si="181"/>
        <v>9.2609999999999015</v>
      </c>
      <c r="AX231" s="131">
        <f t="shared" si="182"/>
        <v>19.448099999999727</v>
      </c>
      <c r="AY231" s="131">
        <f t="shared" si="183"/>
        <v>40.84100999999928</v>
      </c>
      <c r="AZ231" s="131">
        <f t="shared" si="184"/>
        <v>85.766120999998193</v>
      </c>
      <c r="BE231" s="116">
        <f t="shared" si="142"/>
        <v>1.637334490328975</v>
      </c>
    </row>
    <row r="232" spans="4:57">
      <c r="D232" s="114">
        <f t="shared" si="143"/>
        <v>41173</v>
      </c>
      <c r="E232" s="115">
        <f t="shared" si="185"/>
        <v>0.9624999999999978</v>
      </c>
      <c r="F232" s="116">
        <f t="shared" si="144"/>
        <v>2456192.4624999999</v>
      </c>
      <c r="G232" s="117">
        <f t="shared" si="145"/>
        <v>0.12724058863791668</v>
      </c>
      <c r="I232" s="112">
        <f t="shared" si="146"/>
        <v>181.22560949620947</v>
      </c>
      <c r="J232" s="112">
        <f t="shared" si="147"/>
        <v>4938.0694568171366</v>
      </c>
      <c r="K232" s="112">
        <f t="shared" si="148"/>
        <v>1.6703283136081219E-2</v>
      </c>
      <c r="L232" s="112">
        <f t="shared" si="149"/>
        <v>-1.8643278315963947</v>
      </c>
      <c r="M232" s="112">
        <f t="shared" si="150"/>
        <v>179.36128166461307</v>
      </c>
      <c r="N232" s="112">
        <f t="shared" si="151"/>
        <v>4936.2051289855399</v>
      </c>
      <c r="O232" s="112">
        <f t="shared" si="152"/>
        <v>1.0037196726941704</v>
      </c>
      <c r="P232" s="112">
        <f t="shared" si="153"/>
        <v>179.35968631802623</v>
      </c>
      <c r="Q232" s="112">
        <f t="shared" si="154"/>
        <v>23.437636451673772</v>
      </c>
      <c r="R232" s="112">
        <f t="shared" si="155"/>
        <v>23.436315633924192</v>
      </c>
      <c r="S232" s="112">
        <f t="shared" si="141"/>
        <v>179.4125065874093</v>
      </c>
      <c r="T232" s="112">
        <f t="shared" si="156"/>
        <v>0.25466718365561564</v>
      </c>
      <c r="U232" s="112">
        <f t="shared" si="157"/>
        <v>4.3023293304526866E-2</v>
      </c>
      <c r="V232" s="112">
        <f t="shared" si="158"/>
        <v>7.2181174380954891</v>
      </c>
      <c r="W232" s="112">
        <f t="shared" si="159"/>
        <v>91.256135120093631</v>
      </c>
      <c r="X232" s="115">
        <f t="shared" si="160"/>
        <v>0.51443186289021148</v>
      </c>
      <c r="Y232" s="115">
        <f t="shared" si="161"/>
        <v>0.26094259866772918</v>
      </c>
      <c r="Z232" s="115">
        <f t="shared" si="162"/>
        <v>0.76792112711269378</v>
      </c>
      <c r="AA232" s="118">
        <f t="shared" si="163"/>
        <v>730.04908096074905</v>
      </c>
      <c r="AB232" s="112">
        <f t="shared" si="164"/>
        <v>1365.2181174380923</v>
      </c>
      <c r="AC232" s="112">
        <f t="shared" si="165"/>
        <v>161.30452935952309</v>
      </c>
      <c r="AD232" s="112">
        <f t="shared" si="166"/>
        <v>138.04653237106749</v>
      </c>
      <c r="AE232" s="112">
        <f t="shared" si="167"/>
        <v>-48.046532371067485</v>
      </c>
      <c r="AF232" s="112">
        <f t="shared" si="168"/>
        <v>5.1868523464830467E-3</v>
      </c>
      <c r="AG232" s="112">
        <f t="shared" si="169"/>
        <v>-48.041345518721002</v>
      </c>
      <c r="AH232" s="112">
        <f t="shared" si="170"/>
        <v>331.34956118642947</v>
      </c>
      <c r="AJ232" s="119">
        <f t="shared" si="171"/>
        <v>0.9624999999999978</v>
      </c>
      <c r="AK232" s="112">
        <f t="shared" si="172"/>
        <v>0</v>
      </c>
      <c r="AL232" s="112">
        <f t="shared" si="173"/>
        <v>0</v>
      </c>
      <c r="AM232" s="116">
        <f t="shared" si="174"/>
        <v>0</v>
      </c>
      <c r="AN232" s="116">
        <f t="shared" si="186"/>
        <v>1.6373343080203115</v>
      </c>
      <c r="AO232" s="116">
        <f t="shared" si="187"/>
        <v>2.0999999999999925</v>
      </c>
      <c r="AQ232" s="131">
        <f t="shared" si="175"/>
        <v>2.0999999999999925</v>
      </c>
      <c r="AR232" s="131">
        <f t="shared" si="176"/>
        <v>1.6373343080203115</v>
      </c>
      <c r="AS232" s="131">
        <f t="shared" si="177"/>
        <v>3.4384020468426422</v>
      </c>
      <c r="AT232" s="131">
        <f t="shared" si="178"/>
        <v>7.2206442983695229</v>
      </c>
      <c r="AU232" s="131">
        <f t="shared" si="179"/>
        <v>15.163353026575944</v>
      </c>
      <c r="AV232" s="131">
        <f t="shared" si="180"/>
        <v>4.4099999999999691</v>
      </c>
      <c r="AW232" s="131">
        <f t="shared" si="181"/>
        <v>9.2609999999999015</v>
      </c>
      <c r="AX232" s="131">
        <f t="shared" si="182"/>
        <v>19.448099999999727</v>
      </c>
      <c r="AY232" s="131">
        <f t="shared" si="183"/>
        <v>40.84100999999928</v>
      </c>
      <c r="AZ232" s="131">
        <f t="shared" si="184"/>
        <v>85.766120999998193</v>
      </c>
      <c r="BE232" s="116">
        <f t="shared" si="142"/>
        <v>1.637334490328975</v>
      </c>
    </row>
    <row r="233" spans="4:57">
      <c r="D233" s="114">
        <f t="shared" si="143"/>
        <v>41173</v>
      </c>
      <c r="E233" s="115">
        <f t="shared" si="185"/>
        <v>0.96666666666666445</v>
      </c>
      <c r="F233" s="116">
        <f t="shared" si="144"/>
        <v>2456192.4666666668</v>
      </c>
      <c r="G233" s="117">
        <f t="shared" si="145"/>
        <v>0.12724070271503876</v>
      </c>
      <c r="I233" s="112">
        <f t="shared" si="146"/>
        <v>181.22971636043349</v>
      </c>
      <c r="J233" s="112">
        <f t="shared" si="147"/>
        <v>4938.0735634851872</v>
      </c>
      <c r="K233" s="112">
        <f t="shared" si="148"/>
        <v>1.6703283131282082E-2</v>
      </c>
      <c r="L233" s="112">
        <f t="shared" si="149"/>
        <v>-1.8643587690048655</v>
      </c>
      <c r="M233" s="112">
        <f t="shared" si="150"/>
        <v>179.36535759142862</v>
      </c>
      <c r="N233" s="112">
        <f t="shared" si="151"/>
        <v>4936.2092047161823</v>
      </c>
      <c r="O233" s="112">
        <f t="shared" si="152"/>
        <v>1.0037185098465946</v>
      </c>
      <c r="P233" s="112">
        <f t="shared" si="153"/>
        <v>179.36376223534458</v>
      </c>
      <c r="Q233" s="112">
        <f t="shared" si="154"/>
        <v>23.437636450190293</v>
      </c>
      <c r="R233" s="112">
        <f t="shared" si="155"/>
        <v>23.436315623995871</v>
      </c>
      <c r="S233" s="112">
        <f t="shared" si="141"/>
        <v>179.41624632599675</v>
      </c>
      <c r="T233" s="112">
        <f t="shared" si="156"/>
        <v>0.25304615563979288</v>
      </c>
      <c r="U233" s="112">
        <f t="shared" si="157"/>
        <v>4.3023293267038284E-2</v>
      </c>
      <c r="V233" s="112">
        <f t="shared" si="158"/>
        <v>7.219587183703827</v>
      </c>
      <c r="W233" s="112">
        <f t="shared" si="159"/>
        <v>91.254868172676694</v>
      </c>
      <c r="X233" s="115">
        <f t="shared" si="160"/>
        <v>0.51443084223353897</v>
      </c>
      <c r="Y233" s="115">
        <f t="shared" si="161"/>
        <v>0.26094509730943705</v>
      </c>
      <c r="Z233" s="115">
        <f t="shared" si="162"/>
        <v>0.76791658715764088</v>
      </c>
      <c r="AA233" s="118">
        <f t="shared" si="163"/>
        <v>730.03894538141355</v>
      </c>
      <c r="AB233" s="112">
        <f t="shared" si="164"/>
        <v>1371.2195871837007</v>
      </c>
      <c r="AC233" s="112">
        <f t="shared" si="165"/>
        <v>162.80489679592517</v>
      </c>
      <c r="AD233" s="112">
        <f t="shared" si="166"/>
        <v>138.59584754616969</v>
      </c>
      <c r="AE233" s="112">
        <f t="shared" si="167"/>
        <v>-48.595847546169693</v>
      </c>
      <c r="AF233" s="112">
        <f t="shared" si="168"/>
        <v>5.0876825273825192E-3</v>
      </c>
      <c r="AG233" s="112">
        <f t="shared" si="169"/>
        <v>-48.590759863642312</v>
      </c>
      <c r="AH233" s="112">
        <f t="shared" si="170"/>
        <v>333.44932607193414</v>
      </c>
      <c r="AJ233" s="119">
        <f t="shared" si="171"/>
        <v>0.96666666666666445</v>
      </c>
      <c r="AK233" s="112">
        <f t="shared" si="172"/>
        <v>0</v>
      </c>
      <c r="AL233" s="112">
        <f t="shared" si="173"/>
        <v>0</v>
      </c>
      <c r="AM233" s="116">
        <f t="shared" si="174"/>
        <v>0</v>
      </c>
      <c r="AN233" s="116">
        <f t="shared" si="186"/>
        <v>1.6373343080203115</v>
      </c>
      <c r="AO233" s="116">
        <f t="shared" si="187"/>
        <v>2.0999999999999925</v>
      </c>
      <c r="AQ233" s="131">
        <f t="shared" si="175"/>
        <v>2.0999999999999925</v>
      </c>
      <c r="AR233" s="131">
        <f t="shared" si="176"/>
        <v>1.6373343080203115</v>
      </c>
      <c r="AS233" s="131">
        <f t="shared" si="177"/>
        <v>3.4384020468426422</v>
      </c>
      <c r="AT233" s="131">
        <f t="shared" si="178"/>
        <v>7.2206442983695229</v>
      </c>
      <c r="AU233" s="131">
        <f t="shared" si="179"/>
        <v>15.163353026575944</v>
      </c>
      <c r="AV233" s="131">
        <f t="shared" si="180"/>
        <v>4.4099999999999691</v>
      </c>
      <c r="AW233" s="131">
        <f t="shared" si="181"/>
        <v>9.2609999999999015</v>
      </c>
      <c r="AX233" s="131">
        <f t="shared" si="182"/>
        <v>19.448099999999727</v>
      </c>
      <c r="AY233" s="131">
        <f t="shared" si="183"/>
        <v>40.84100999999928</v>
      </c>
      <c r="AZ233" s="131">
        <f t="shared" si="184"/>
        <v>85.766120999998193</v>
      </c>
      <c r="BE233" s="116">
        <f t="shared" si="142"/>
        <v>1.637334490328975</v>
      </c>
    </row>
    <row r="234" spans="4:57">
      <c r="D234" s="114">
        <f t="shared" si="143"/>
        <v>41173</v>
      </c>
      <c r="E234" s="115">
        <f t="shared" si="185"/>
        <v>0.97083333333333111</v>
      </c>
      <c r="F234" s="116">
        <f t="shared" si="144"/>
        <v>2456192.4708333332</v>
      </c>
      <c r="G234" s="117">
        <f t="shared" si="145"/>
        <v>0.1272408167921481</v>
      </c>
      <c r="I234" s="112">
        <f t="shared" si="146"/>
        <v>181.23382322419911</v>
      </c>
      <c r="J234" s="112">
        <f t="shared" si="147"/>
        <v>4938.0776701527784</v>
      </c>
      <c r="K234" s="112">
        <f t="shared" si="148"/>
        <v>1.6703283126482942E-2</v>
      </c>
      <c r="L234" s="112">
        <f t="shared" si="149"/>
        <v>-1.8643896969662705</v>
      </c>
      <c r="M234" s="112">
        <f t="shared" si="150"/>
        <v>179.36943352723284</v>
      </c>
      <c r="N234" s="112">
        <f t="shared" si="151"/>
        <v>4936.2132804558123</v>
      </c>
      <c r="O234" s="112">
        <f t="shared" si="152"/>
        <v>1.0037173469788461</v>
      </c>
      <c r="P234" s="112">
        <f t="shared" si="153"/>
        <v>179.36783816165155</v>
      </c>
      <c r="Q234" s="112">
        <f t="shared" si="154"/>
        <v>23.437636448706812</v>
      </c>
      <c r="R234" s="112">
        <f t="shared" si="155"/>
        <v>23.436315614067563</v>
      </c>
      <c r="S234" s="112">
        <f t="shared" si="141"/>
        <v>179.41998607189745</v>
      </c>
      <c r="T234" s="112">
        <f t="shared" si="156"/>
        <v>0.25142512297238551</v>
      </c>
      <c r="U234" s="112">
        <f t="shared" si="157"/>
        <v>4.3023293229549751E-2</v>
      </c>
      <c r="V234" s="112">
        <f t="shared" si="158"/>
        <v>7.2210569007890575</v>
      </c>
      <c r="W234" s="112">
        <f t="shared" si="159"/>
        <v>91.253601223400835</v>
      </c>
      <c r="X234" s="115">
        <f t="shared" si="160"/>
        <v>0.51442982159667427</v>
      </c>
      <c r="Y234" s="115">
        <f t="shared" si="161"/>
        <v>0.26094759597611639</v>
      </c>
      <c r="Z234" s="115">
        <f t="shared" si="162"/>
        <v>0.76791204721723216</v>
      </c>
      <c r="AA234" s="118">
        <f t="shared" si="163"/>
        <v>730.02880978720668</v>
      </c>
      <c r="AB234" s="112">
        <f t="shared" si="164"/>
        <v>1377.2210569007859</v>
      </c>
      <c r="AC234" s="112">
        <f t="shared" si="165"/>
        <v>164.30526422519648</v>
      </c>
      <c r="AD234" s="112">
        <f t="shared" si="166"/>
        <v>139.10600603098166</v>
      </c>
      <c r="AE234" s="112">
        <f t="shared" si="167"/>
        <v>-49.106006030981661</v>
      </c>
      <c r="AF234" s="112">
        <f t="shared" si="168"/>
        <v>4.9970722017063651E-3</v>
      </c>
      <c r="AG234" s="112">
        <f t="shared" si="169"/>
        <v>-49.101008958779957</v>
      </c>
      <c r="AH234" s="112">
        <f t="shared" si="170"/>
        <v>335.59367699050949</v>
      </c>
      <c r="AJ234" s="119">
        <f t="shared" si="171"/>
        <v>0.97083333333333111</v>
      </c>
      <c r="AK234" s="112">
        <f t="shared" si="172"/>
        <v>0</v>
      </c>
      <c r="AL234" s="112">
        <f t="shared" si="173"/>
        <v>0</v>
      </c>
      <c r="AM234" s="116">
        <f t="shared" si="174"/>
        <v>0</v>
      </c>
      <c r="AN234" s="116">
        <f t="shared" si="186"/>
        <v>1.6373343080203115</v>
      </c>
      <c r="AO234" s="116">
        <f t="shared" si="187"/>
        <v>2.0999999999999925</v>
      </c>
      <c r="AQ234" s="131">
        <f t="shared" si="175"/>
        <v>2.0999999999999925</v>
      </c>
      <c r="AR234" s="131">
        <f t="shared" si="176"/>
        <v>1.6373343080203115</v>
      </c>
      <c r="AS234" s="131">
        <f t="shared" si="177"/>
        <v>3.4384020468426422</v>
      </c>
      <c r="AT234" s="131">
        <f t="shared" si="178"/>
        <v>7.2206442983695229</v>
      </c>
      <c r="AU234" s="131">
        <f t="shared" si="179"/>
        <v>15.163353026575944</v>
      </c>
      <c r="AV234" s="131">
        <f t="shared" si="180"/>
        <v>4.4099999999999691</v>
      </c>
      <c r="AW234" s="131">
        <f t="shared" si="181"/>
        <v>9.2609999999999015</v>
      </c>
      <c r="AX234" s="131">
        <f t="shared" si="182"/>
        <v>19.448099999999727</v>
      </c>
      <c r="AY234" s="131">
        <f t="shared" si="183"/>
        <v>40.84100999999928</v>
      </c>
      <c r="AZ234" s="131">
        <f t="shared" si="184"/>
        <v>85.766120999998193</v>
      </c>
      <c r="BE234" s="116">
        <f t="shared" si="142"/>
        <v>1.637334490328975</v>
      </c>
    </row>
    <row r="235" spans="4:57">
      <c r="D235" s="114">
        <f t="shared" si="143"/>
        <v>41173</v>
      </c>
      <c r="E235" s="115">
        <f t="shared" si="185"/>
        <v>0.97499999999999776</v>
      </c>
      <c r="F235" s="116">
        <f t="shared" si="144"/>
        <v>2456192.4750000001</v>
      </c>
      <c r="G235" s="117">
        <f t="shared" si="145"/>
        <v>0.12724093086927019</v>
      </c>
      <c r="I235" s="112">
        <f t="shared" si="146"/>
        <v>181.23793008842222</v>
      </c>
      <c r="J235" s="112">
        <f t="shared" si="147"/>
        <v>4938.081776820829</v>
      </c>
      <c r="K235" s="112">
        <f t="shared" si="148"/>
        <v>1.6703283121683805E-2</v>
      </c>
      <c r="L235" s="112">
        <f t="shared" si="149"/>
        <v>-1.8644206154873293</v>
      </c>
      <c r="M235" s="112">
        <f t="shared" si="150"/>
        <v>179.3735094729349</v>
      </c>
      <c r="N235" s="112">
        <f t="shared" si="151"/>
        <v>4936.2173562053413</v>
      </c>
      <c r="O235" s="112">
        <f t="shared" si="152"/>
        <v>1.0037161840906705</v>
      </c>
      <c r="P235" s="112">
        <f t="shared" si="153"/>
        <v>179.37191409785629</v>
      </c>
      <c r="Q235" s="112">
        <f t="shared" si="154"/>
        <v>23.437636447223333</v>
      </c>
      <c r="R235" s="112">
        <f t="shared" si="155"/>
        <v>23.436315604139281</v>
      </c>
      <c r="S235" s="112">
        <f t="shared" si="141"/>
        <v>179.42372582595152</v>
      </c>
      <c r="T235" s="112">
        <f t="shared" si="156"/>
        <v>0.24980408529870332</v>
      </c>
      <c r="U235" s="112">
        <f t="shared" si="157"/>
        <v>4.3023293192061308E-2</v>
      </c>
      <c r="V235" s="112">
        <f t="shared" si="158"/>
        <v>7.22252658965468</v>
      </c>
      <c r="W235" s="112">
        <f t="shared" si="159"/>
        <v>91.252334271986228</v>
      </c>
      <c r="X235" s="115">
        <f t="shared" si="160"/>
        <v>0.51442880097940646</v>
      </c>
      <c r="Y235" s="115">
        <f t="shared" si="161"/>
        <v>0.26095009466833363</v>
      </c>
      <c r="Z235" s="115">
        <f t="shared" si="162"/>
        <v>0.7679075072904793</v>
      </c>
      <c r="AA235" s="118">
        <f t="shared" si="163"/>
        <v>730.01867417588983</v>
      </c>
      <c r="AB235" s="112">
        <f t="shared" si="164"/>
        <v>1383.2225265896516</v>
      </c>
      <c r="AC235" s="112">
        <f t="shared" si="165"/>
        <v>165.80563164741289</v>
      </c>
      <c r="AD235" s="112">
        <f t="shared" si="166"/>
        <v>139.57548072014959</v>
      </c>
      <c r="AE235" s="112">
        <f t="shared" si="167"/>
        <v>-49.575480720149585</v>
      </c>
      <c r="AF235" s="112">
        <f t="shared" si="168"/>
        <v>4.9149141844098878E-3</v>
      </c>
      <c r="AG235" s="112">
        <f t="shared" si="169"/>
        <v>-49.570565805965174</v>
      </c>
      <c r="AH235" s="112">
        <f t="shared" si="170"/>
        <v>337.78086251801938</v>
      </c>
      <c r="AJ235" s="119">
        <f t="shared" si="171"/>
        <v>0.97499999999999776</v>
      </c>
      <c r="AK235" s="112">
        <f t="shared" si="172"/>
        <v>0</v>
      </c>
      <c r="AL235" s="112">
        <f t="shared" si="173"/>
        <v>0</v>
      </c>
      <c r="AM235" s="116">
        <f t="shared" si="174"/>
        <v>0</v>
      </c>
      <c r="AN235" s="116">
        <f t="shared" si="186"/>
        <v>1.6373343080203115</v>
      </c>
      <c r="AO235" s="116">
        <f t="shared" si="187"/>
        <v>2.0999999999999925</v>
      </c>
      <c r="AQ235" s="131">
        <f t="shared" si="175"/>
        <v>2.0999999999999925</v>
      </c>
      <c r="AR235" s="131">
        <f t="shared" si="176"/>
        <v>1.6373343080203115</v>
      </c>
      <c r="AS235" s="131">
        <f t="shared" si="177"/>
        <v>3.4384020468426422</v>
      </c>
      <c r="AT235" s="131">
        <f t="shared" si="178"/>
        <v>7.2206442983695229</v>
      </c>
      <c r="AU235" s="131">
        <f t="shared" si="179"/>
        <v>15.163353026575944</v>
      </c>
      <c r="AV235" s="131">
        <f t="shared" si="180"/>
        <v>4.4099999999999691</v>
      </c>
      <c r="AW235" s="131">
        <f t="shared" si="181"/>
        <v>9.2609999999999015</v>
      </c>
      <c r="AX235" s="131">
        <f t="shared" si="182"/>
        <v>19.448099999999727</v>
      </c>
      <c r="AY235" s="131">
        <f t="shared" si="183"/>
        <v>40.84100999999928</v>
      </c>
      <c r="AZ235" s="131">
        <f t="shared" si="184"/>
        <v>85.766120999998193</v>
      </c>
      <c r="BE235" s="116">
        <f t="shared" si="142"/>
        <v>1.637334490328975</v>
      </c>
    </row>
    <row r="236" spans="4:57">
      <c r="D236" s="114">
        <f t="shared" si="143"/>
        <v>41173</v>
      </c>
      <c r="E236" s="115">
        <f t="shared" si="185"/>
        <v>0.97916666666666441</v>
      </c>
      <c r="F236" s="116">
        <f t="shared" si="144"/>
        <v>2456192.4791666665</v>
      </c>
      <c r="G236" s="117">
        <f t="shared" si="145"/>
        <v>0.1272410449463795</v>
      </c>
      <c r="I236" s="112">
        <f t="shared" si="146"/>
        <v>181.24203695218603</v>
      </c>
      <c r="J236" s="112">
        <f t="shared" si="147"/>
        <v>4938.0858834884193</v>
      </c>
      <c r="K236" s="112">
        <f t="shared" si="148"/>
        <v>1.6703283116884668E-2</v>
      </c>
      <c r="L236" s="112">
        <f t="shared" si="149"/>
        <v>-1.8644515245609226</v>
      </c>
      <c r="M236" s="112">
        <f t="shared" si="150"/>
        <v>179.37758542762509</v>
      </c>
      <c r="N236" s="112">
        <f t="shared" si="151"/>
        <v>4936.2214319638588</v>
      </c>
      <c r="O236" s="112">
        <f t="shared" si="152"/>
        <v>1.0037150211823334</v>
      </c>
      <c r="P236" s="112">
        <f t="shared" si="153"/>
        <v>179.37599004304911</v>
      </c>
      <c r="Q236" s="112">
        <f t="shared" si="154"/>
        <v>23.437636445739855</v>
      </c>
      <c r="R236" s="112">
        <f t="shared" si="155"/>
        <v>23.43631559421102</v>
      </c>
      <c r="S236" s="112">
        <f t="shared" si="141"/>
        <v>179.42746558733023</v>
      </c>
      <c r="T236" s="112">
        <f t="shared" si="156"/>
        <v>0.24818304298744712</v>
      </c>
      <c r="U236" s="112">
        <f t="shared" si="157"/>
        <v>4.3023293154572963E-2</v>
      </c>
      <c r="V236" s="112">
        <f t="shared" si="158"/>
        <v>7.2239962499482013</v>
      </c>
      <c r="W236" s="112">
        <f t="shared" si="159"/>
        <v>91.251067318718398</v>
      </c>
      <c r="X236" s="115">
        <f t="shared" si="160"/>
        <v>0.51442778038198045</v>
      </c>
      <c r="Y236" s="115">
        <f t="shared" si="161"/>
        <v>0.26095259338554044</v>
      </c>
      <c r="Z236" s="115">
        <f t="shared" si="162"/>
        <v>0.76790296737842045</v>
      </c>
      <c r="AA236" s="118">
        <f t="shared" si="163"/>
        <v>730.00853854974719</v>
      </c>
      <c r="AB236" s="112">
        <f t="shared" si="164"/>
        <v>1389.223996249945</v>
      </c>
      <c r="AC236" s="112">
        <f t="shared" si="165"/>
        <v>167.30599906248625</v>
      </c>
      <c r="AD236" s="112">
        <f t="shared" si="166"/>
        <v>140.00279833700125</v>
      </c>
      <c r="AE236" s="112">
        <f t="shared" si="167"/>
        <v>-50.002798337001252</v>
      </c>
      <c r="AF236" s="112">
        <f t="shared" si="168"/>
        <v>4.8411246660221823E-3</v>
      </c>
      <c r="AG236" s="112">
        <f t="shared" si="169"/>
        <v>-49.99795721233523</v>
      </c>
      <c r="AH236" s="112">
        <f t="shared" si="170"/>
        <v>340.00868100905484</v>
      </c>
      <c r="AJ236" s="119">
        <f t="shared" si="171"/>
        <v>0.97916666666666441</v>
      </c>
      <c r="AK236" s="112">
        <f t="shared" si="172"/>
        <v>0</v>
      </c>
      <c r="AL236" s="112">
        <f t="shared" si="173"/>
        <v>0</v>
      </c>
      <c r="AM236" s="116">
        <f t="shared" si="174"/>
        <v>0</v>
      </c>
      <c r="AN236" s="116">
        <f t="shared" si="186"/>
        <v>1.6373343080203115</v>
      </c>
      <c r="AO236" s="116">
        <f t="shared" si="187"/>
        <v>2.0999999999999925</v>
      </c>
      <c r="AQ236" s="131">
        <f t="shared" si="175"/>
        <v>2.0999999999999925</v>
      </c>
      <c r="AR236" s="131">
        <f t="shared" si="176"/>
        <v>1.6373343080203115</v>
      </c>
      <c r="AS236" s="131">
        <f t="shared" si="177"/>
        <v>3.4384020468426422</v>
      </c>
      <c r="AT236" s="131">
        <f t="shared" si="178"/>
        <v>7.2206442983695229</v>
      </c>
      <c r="AU236" s="131">
        <f t="shared" si="179"/>
        <v>15.163353026575944</v>
      </c>
      <c r="AV236" s="131">
        <f t="shared" si="180"/>
        <v>4.4099999999999691</v>
      </c>
      <c r="AW236" s="131">
        <f t="shared" si="181"/>
        <v>9.2609999999999015</v>
      </c>
      <c r="AX236" s="131">
        <f t="shared" si="182"/>
        <v>19.448099999999727</v>
      </c>
      <c r="AY236" s="131">
        <f t="shared" si="183"/>
        <v>40.84100999999928</v>
      </c>
      <c r="AZ236" s="131">
        <f t="shared" si="184"/>
        <v>85.766120999998193</v>
      </c>
      <c r="BE236" s="116">
        <f t="shared" si="142"/>
        <v>1.637334490328975</v>
      </c>
    </row>
    <row r="237" spans="4:57">
      <c r="D237" s="114">
        <f t="shared" si="143"/>
        <v>41173</v>
      </c>
      <c r="E237" s="115">
        <f t="shared" si="185"/>
        <v>0.98333333333333106</v>
      </c>
      <c r="F237" s="116">
        <f t="shared" si="144"/>
        <v>2456192.4833333334</v>
      </c>
      <c r="G237" s="117">
        <f t="shared" si="145"/>
        <v>0.12724115902350158</v>
      </c>
      <c r="I237" s="112">
        <f t="shared" si="146"/>
        <v>181.24614381641004</v>
      </c>
      <c r="J237" s="112">
        <f t="shared" si="147"/>
        <v>4938.0899901564699</v>
      </c>
      <c r="K237" s="112">
        <f t="shared" si="148"/>
        <v>1.6703283112085528E-2</v>
      </c>
      <c r="L237" s="112">
        <f t="shared" si="149"/>
        <v>-1.8644824241937785</v>
      </c>
      <c r="M237" s="112">
        <f t="shared" si="150"/>
        <v>179.38166139221627</v>
      </c>
      <c r="N237" s="112">
        <f t="shared" si="151"/>
        <v>4936.2255077322761</v>
      </c>
      <c r="O237" s="112">
        <f t="shared" si="152"/>
        <v>1.0037138582535805</v>
      </c>
      <c r="P237" s="112">
        <f t="shared" si="153"/>
        <v>179.38006599814287</v>
      </c>
      <c r="Q237" s="112">
        <f t="shared" si="154"/>
        <v>23.437636444256373</v>
      </c>
      <c r="R237" s="112">
        <f t="shared" si="155"/>
        <v>23.43631558428277</v>
      </c>
      <c r="S237" s="112">
        <f t="shared" si="141"/>
        <v>179.4312053568772</v>
      </c>
      <c r="T237" s="112">
        <f t="shared" si="156"/>
        <v>0.24656199568245882</v>
      </c>
      <c r="U237" s="112">
        <f t="shared" si="157"/>
        <v>4.3023293117084645E-2</v>
      </c>
      <c r="V237" s="112">
        <f t="shared" si="158"/>
        <v>7.2254658819743725</v>
      </c>
      <c r="W237" s="112">
        <f t="shared" si="159"/>
        <v>91.249800363316353</v>
      </c>
      <c r="X237" s="115">
        <f t="shared" si="160"/>
        <v>0.5144267598041844</v>
      </c>
      <c r="Y237" s="115">
        <f t="shared" si="161"/>
        <v>0.26095509212830564</v>
      </c>
      <c r="Z237" s="115">
        <f t="shared" si="162"/>
        <v>0.76789842748006309</v>
      </c>
      <c r="AA237" s="118">
        <f t="shared" si="163"/>
        <v>729.99840290653083</v>
      </c>
      <c r="AB237" s="112">
        <f t="shared" si="164"/>
        <v>1395.2254658819711</v>
      </c>
      <c r="AC237" s="112">
        <f t="shared" si="165"/>
        <v>168.80636647049278</v>
      </c>
      <c r="AD237" s="112">
        <f t="shared" si="166"/>
        <v>140.38655795021285</v>
      </c>
      <c r="AE237" s="112">
        <f t="shared" si="167"/>
        <v>-50.386557950212847</v>
      </c>
      <c r="AF237" s="112">
        <f t="shared" si="168"/>
        <v>4.7756396949252032E-3</v>
      </c>
      <c r="AG237" s="112">
        <f t="shared" si="169"/>
        <v>-50.38178231051792</v>
      </c>
      <c r="AH237" s="112">
        <f t="shared" si="170"/>
        <v>342.27447049913735</v>
      </c>
      <c r="AJ237" s="119">
        <f t="shared" si="171"/>
        <v>0.98333333333333106</v>
      </c>
      <c r="AK237" s="112">
        <f t="shared" si="172"/>
        <v>0</v>
      </c>
      <c r="AL237" s="112">
        <f t="shared" si="173"/>
        <v>0</v>
      </c>
      <c r="AM237" s="116">
        <f t="shared" si="174"/>
        <v>0</v>
      </c>
      <c r="AN237" s="116">
        <f t="shared" si="186"/>
        <v>1.6373343080203115</v>
      </c>
      <c r="AO237" s="116">
        <f t="shared" si="187"/>
        <v>2.0999999999999925</v>
      </c>
      <c r="AQ237" s="131">
        <f t="shared" si="175"/>
        <v>2.0999999999999925</v>
      </c>
      <c r="AR237" s="131">
        <f t="shared" si="176"/>
        <v>1.6373343080203115</v>
      </c>
      <c r="AS237" s="131">
        <f t="shared" si="177"/>
        <v>3.4384020468426422</v>
      </c>
      <c r="AT237" s="131">
        <f t="shared" si="178"/>
        <v>7.2206442983695229</v>
      </c>
      <c r="AU237" s="131">
        <f t="shared" si="179"/>
        <v>15.163353026575944</v>
      </c>
      <c r="AV237" s="131">
        <f t="shared" si="180"/>
        <v>4.4099999999999691</v>
      </c>
      <c r="AW237" s="131">
        <f t="shared" si="181"/>
        <v>9.2609999999999015</v>
      </c>
      <c r="AX237" s="131">
        <f t="shared" si="182"/>
        <v>19.448099999999727</v>
      </c>
      <c r="AY237" s="131">
        <f t="shared" si="183"/>
        <v>40.84100999999928</v>
      </c>
      <c r="AZ237" s="131">
        <f t="shared" si="184"/>
        <v>85.766120999998193</v>
      </c>
      <c r="BE237" s="116">
        <f t="shared" si="142"/>
        <v>1.637334490328975</v>
      </c>
    </row>
    <row r="238" spans="4:57">
      <c r="D238" s="114">
        <f t="shared" si="143"/>
        <v>41173</v>
      </c>
      <c r="E238" s="115">
        <f t="shared" si="185"/>
        <v>0.98749999999999771</v>
      </c>
      <c r="F238" s="116">
        <f t="shared" si="144"/>
        <v>2456192.4874999998</v>
      </c>
      <c r="G238" s="117">
        <f t="shared" si="145"/>
        <v>0.12724127310061092</v>
      </c>
      <c r="I238" s="112">
        <f t="shared" si="146"/>
        <v>181.25025068017567</v>
      </c>
      <c r="J238" s="112">
        <f t="shared" si="147"/>
        <v>4938.094096824062</v>
      </c>
      <c r="K238" s="112">
        <f t="shared" si="148"/>
        <v>1.6703283107286391E-2</v>
      </c>
      <c r="L238" s="112">
        <f t="shared" si="149"/>
        <v>-1.8645133143787886</v>
      </c>
      <c r="M238" s="112">
        <f t="shared" si="150"/>
        <v>179.38573736579687</v>
      </c>
      <c r="N238" s="112">
        <f t="shared" si="151"/>
        <v>4936.2295835096829</v>
      </c>
      <c r="O238" s="112">
        <f t="shared" si="152"/>
        <v>1.003712695304678</v>
      </c>
      <c r="P238" s="112">
        <f t="shared" si="153"/>
        <v>179.38414196222598</v>
      </c>
      <c r="Q238" s="112">
        <f t="shared" si="154"/>
        <v>23.437636442772895</v>
      </c>
      <c r="R238" s="112">
        <f t="shared" si="155"/>
        <v>23.436315574354548</v>
      </c>
      <c r="S238" s="112">
        <f t="shared" si="141"/>
        <v>179.434945133762</v>
      </c>
      <c r="T238" s="112">
        <f t="shared" si="156"/>
        <v>0.24494094375318917</v>
      </c>
      <c r="U238" s="112">
        <f t="shared" si="157"/>
        <v>4.3023293079596445E-2</v>
      </c>
      <c r="V238" s="112">
        <f t="shared" si="158"/>
        <v>7.2269354853801318</v>
      </c>
      <c r="W238" s="112">
        <f t="shared" si="159"/>
        <v>91.248533406066201</v>
      </c>
      <c r="X238" s="115">
        <f t="shared" si="160"/>
        <v>0.51442573924626378</v>
      </c>
      <c r="Y238" s="115">
        <f t="shared" si="161"/>
        <v>0.26095759089607989</v>
      </c>
      <c r="Z238" s="115">
        <f t="shared" si="162"/>
        <v>0.76789388759644761</v>
      </c>
      <c r="AA238" s="118">
        <f t="shared" si="163"/>
        <v>729.98826724852961</v>
      </c>
      <c r="AB238" s="112">
        <f t="shared" si="164"/>
        <v>1401.226935485377</v>
      </c>
      <c r="AC238" s="112">
        <f t="shared" si="165"/>
        <v>170.30673387134425</v>
      </c>
      <c r="AD238" s="112">
        <f t="shared" si="166"/>
        <v>140.72545012020922</v>
      </c>
      <c r="AE238" s="112">
        <f t="shared" si="167"/>
        <v>-50.725450120209217</v>
      </c>
      <c r="AF238" s="112">
        <f t="shared" si="168"/>
        <v>4.7184118658829353E-3</v>
      </c>
      <c r="AG238" s="112">
        <f t="shared" si="169"/>
        <v>-50.720731708343337</v>
      </c>
      <c r="AH238" s="112">
        <f t="shared" si="170"/>
        <v>344.57510875623723</v>
      </c>
      <c r="AJ238" s="119">
        <f t="shared" si="171"/>
        <v>0.98749999999999771</v>
      </c>
      <c r="AK238" s="112">
        <f t="shared" si="172"/>
        <v>0</v>
      </c>
      <c r="AL238" s="112">
        <f t="shared" si="173"/>
        <v>0</v>
      </c>
      <c r="AM238" s="116">
        <f t="shared" si="174"/>
        <v>0</v>
      </c>
      <c r="AN238" s="116">
        <f t="shared" si="186"/>
        <v>1.6373343080203115</v>
      </c>
      <c r="AO238" s="116">
        <f t="shared" si="187"/>
        <v>2.0999999999999925</v>
      </c>
      <c r="AQ238" s="131">
        <f t="shared" si="175"/>
        <v>2.0999999999999925</v>
      </c>
      <c r="AR238" s="131">
        <f t="shared" si="176"/>
        <v>1.6373343080203115</v>
      </c>
      <c r="AS238" s="131">
        <f t="shared" si="177"/>
        <v>3.4384020468426422</v>
      </c>
      <c r="AT238" s="131">
        <f t="shared" si="178"/>
        <v>7.2206442983695229</v>
      </c>
      <c r="AU238" s="131">
        <f t="shared" si="179"/>
        <v>15.163353026575944</v>
      </c>
      <c r="AV238" s="131">
        <f t="shared" si="180"/>
        <v>4.4099999999999691</v>
      </c>
      <c r="AW238" s="131">
        <f t="shared" si="181"/>
        <v>9.2609999999999015</v>
      </c>
      <c r="AX238" s="131">
        <f t="shared" si="182"/>
        <v>19.448099999999727</v>
      </c>
      <c r="AY238" s="131">
        <f t="shared" si="183"/>
        <v>40.84100999999928</v>
      </c>
      <c r="AZ238" s="131">
        <f t="shared" si="184"/>
        <v>85.766120999998193</v>
      </c>
      <c r="BE238" s="116">
        <f t="shared" si="142"/>
        <v>1.637334490328975</v>
      </c>
    </row>
    <row r="239" spans="4:57">
      <c r="D239" s="114">
        <f t="shared" si="143"/>
        <v>41173</v>
      </c>
      <c r="E239" s="115">
        <f t="shared" si="185"/>
        <v>0.99166666666666436</v>
      </c>
      <c r="F239" s="116">
        <f t="shared" si="144"/>
        <v>2456192.4916666667</v>
      </c>
      <c r="G239" s="117">
        <f t="shared" si="145"/>
        <v>0.12724138717773301</v>
      </c>
      <c r="I239" s="112">
        <f t="shared" si="146"/>
        <v>181.25435754439877</v>
      </c>
      <c r="J239" s="112">
        <f t="shared" si="147"/>
        <v>4938.0982034921117</v>
      </c>
      <c r="K239" s="112">
        <f t="shared" si="148"/>
        <v>1.6703283102487254E-2</v>
      </c>
      <c r="L239" s="112">
        <f t="shared" si="149"/>
        <v>-1.8645441951226445</v>
      </c>
      <c r="M239" s="112">
        <f t="shared" si="150"/>
        <v>179.38981334927612</v>
      </c>
      <c r="N239" s="112">
        <f t="shared" si="151"/>
        <v>4936.2336592969887</v>
      </c>
      <c r="O239" s="112">
        <f t="shared" si="152"/>
        <v>1.0037115323353718</v>
      </c>
      <c r="P239" s="112">
        <f t="shared" si="153"/>
        <v>179.38821793620767</v>
      </c>
      <c r="Q239" s="112">
        <f t="shared" si="154"/>
        <v>23.437636441289413</v>
      </c>
      <c r="R239" s="112">
        <f t="shared" si="155"/>
        <v>23.436315564426341</v>
      </c>
      <c r="S239" s="112">
        <f t="shared" si="141"/>
        <v>179.43868491882478</v>
      </c>
      <c r="T239" s="112">
        <f t="shared" si="156"/>
        <v>0.24331988684491662</v>
      </c>
      <c r="U239" s="112">
        <f t="shared" si="157"/>
        <v>4.3023293042108279E-2</v>
      </c>
      <c r="V239" s="112">
        <f t="shared" si="158"/>
        <v>7.2284050604688845</v>
      </c>
      <c r="W239" s="112">
        <f t="shared" si="159"/>
        <v>91.247266446688073</v>
      </c>
      <c r="X239" s="115">
        <f t="shared" si="160"/>
        <v>0.51442471870800777</v>
      </c>
      <c r="Y239" s="115">
        <f t="shared" si="161"/>
        <v>0.2609600896894298</v>
      </c>
      <c r="Z239" s="115">
        <f t="shared" si="162"/>
        <v>0.76788934772658579</v>
      </c>
      <c r="AA239" s="118">
        <f t="shared" si="163"/>
        <v>729.97813157350458</v>
      </c>
      <c r="AB239" s="112">
        <f t="shared" si="164"/>
        <v>1407.2284050604655</v>
      </c>
      <c r="AC239" s="112">
        <f t="shared" si="165"/>
        <v>171.80710126511639</v>
      </c>
      <c r="AD239" s="112">
        <f t="shared" si="166"/>
        <v>141.01827618526414</v>
      </c>
      <c r="AE239" s="112">
        <f t="shared" si="167"/>
        <v>-51.018276185264142</v>
      </c>
      <c r="AF239" s="112">
        <f t="shared" si="168"/>
        <v>4.6694072297616233E-3</v>
      </c>
      <c r="AG239" s="112">
        <f t="shared" si="169"/>
        <v>-51.013606778034379</v>
      </c>
      <c r="AH239" s="112">
        <f t="shared" si="170"/>
        <v>346.90702485585905</v>
      </c>
      <c r="AJ239" s="119">
        <f t="shared" si="171"/>
        <v>0.99166666666666436</v>
      </c>
      <c r="AK239" s="112">
        <f t="shared" si="172"/>
        <v>0</v>
      </c>
      <c r="AL239" s="112">
        <f t="shared" si="173"/>
        <v>0</v>
      </c>
      <c r="AM239" s="116">
        <f t="shared" si="174"/>
        <v>0</v>
      </c>
      <c r="AN239" s="116">
        <f t="shared" si="186"/>
        <v>1.6373343080203115</v>
      </c>
      <c r="AO239" s="116">
        <f t="shared" si="187"/>
        <v>2.0999999999999925</v>
      </c>
      <c r="AQ239" s="131">
        <f t="shared" si="175"/>
        <v>2.0999999999999925</v>
      </c>
      <c r="AR239" s="131">
        <f t="shared" si="176"/>
        <v>1.6373343080203115</v>
      </c>
      <c r="AS239" s="131">
        <f t="shared" si="177"/>
        <v>3.4384020468426422</v>
      </c>
      <c r="AT239" s="131">
        <f t="shared" si="178"/>
        <v>7.2206442983695229</v>
      </c>
      <c r="AU239" s="131">
        <f t="shared" si="179"/>
        <v>15.163353026575944</v>
      </c>
      <c r="AV239" s="131">
        <f t="shared" si="180"/>
        <v>4.4099999999999691</v>
      </c>
      <c r="AW239" s="131">
        <f t="shared" si="181"/>
        <v>9.2609999999999015</v>
      </c>
      <c r="AX239" s="131">
        <f t="shared" si="182"/>
        <v>19.448099999999727</v>
      </c>
      <c r="AY239" s="131">
        <f t="shared" si="183"/>
        <v>40.84100999999928</v>
      </c>
      <c r="AZ239" s="131">
        <f t="shared" si="184"/>
        <v>85.766120999998193</v>
      </c>
      <c r="BE239" s="116">
        <f t="shared" si="142"/>
        <v>1.637334490328975</v>
      </c>
    </row>
    <row r="240" spans="4:57">
      <c r="D240" s="114">
        <f t="shared" si="143"/>
        <v>41173</v>
      </c>
      <c r="E240" s="115">
        <f t="shared" si="185"/>
        <v>0.99583333333333102</v>
      </c>
      <c r="F240" s="116">
        <f t="shared" si="144"/>
        <v>2456192.4958333331</v>
      </c>
      <c r="G240" s="117">
        <f t="shared" si="145"/>
        <v>0.12724150125484232</v>
      </c>
      <c r="I240" s="112">
        <f t="shared" si="146"/>
        <v>181.25846440816258</v>
      </c>
      <c r="J240" s="112">
        <f t="shared" si="147"/>
        <v>4938.1023101597029</v>
      </c>
      <c r="K240" s="112">
        <f t="shared" si="148"/>
        <v>1.6703283097688114E-2</v>
      </c>
      <c r="L240" s="112">
        <f t="shared" si="149"/>
        <v>-1.8645750664182557</v>
      </c>
      <c r="M240" s="112">
        <f t="shared" si="150"/>
        <v>179.39388934174431</v>
      </c>
      <c r="N240" s="112">
        <f t="shared" si="151"/>
        <v>4936.2377350932848</v>
      </c>
      <c r="O240" s="112">
        <f t="shared" si="152"/>
        <v>1.0037103693459273</v>
      </c>
      <c r="P240" s="112">
        <f t="shared" si="153"/>
        <v>179.39229391917826</v>
      </c>
      <c r="Q240" s="112">
        <f t="shared" si="154"/>
        <v>23.437636439805935</v>
      </c>
      <c r="R240" s="112">
        <f t="shared" si="155"/>
        <v>23.436315554498155</v>
      </c>
      <c r="S240" s="112">
        <f t="shared" si="141"/>
        <v>179.44242471123695</v>
      </c>
      <c r="T240" s="112">
        <f t="shared" si="156"/>
        <v>0.24169882532634354</v>
      </c>
      <c r="U240" s="112">
        <f t="shared" si="157"/>
        <v>4.3023293004620218E-2</v>
      </c>
      <c r="V240" s="112">
        <f t="shared" si="158"/>
        <v>7.2298746068882496</v>
      </c>
      <c r="W240" s="112">
        <f t="shared" si="159"/>
        <v>91.245999485467479</v>
      </c>
      <c r="X240" s="115">
        <f t="shared" si="160"/>
        <v>0.51442369818966094</v>
      </c>
      <c r="Y240" s="115">
        <f t="shared" si="161"/>
        <v>0.26096258850780685</v>
      </c>
      <c r="Z240" s="115">
        <f t="shared" si="162"/>
        <v>0.76788480787151503</v>
      </c>
      <c r="AA240" s="118">
        <f t="shared" si="163"/>
        <v>729.96799588373983</v>
      </c>
      <c r="AB240" s="112">
        <f t="shared" si="164"/>
        <v>1413.2298746068848</v>
      </c>
      <c r="AC240" s="112">
        <f t="shared" si="165"/>
        <v>173.30746865172119</v>
      </c>
      <c r="AD240" s="112">
        <f t="shared" si="166"/>
        <v>141.26396711012774</v>
      </c>
      <c r="AE240" s="112">
        <f t="shared" si="167"/>
        <v>-51.263967110127737</v>
      </c>
      <c r="AF240" s="112">
        <f t="shared" si="168"/>
        <v>4.6286024536110262E-3</v>
      </c>
      <c r="AG240" s="112">
        <f t="shared" si="169"/>
        <v>-51.259338507674123</v>
      </c>
      <c r="AH240" s="112">
        <f t="shared" si="170"/>
        <v>349.26622324686321</v>
      </c>
      <c r="AJ240" s="119">
        <f t="shared" si="171"/>
        <v>0.99583333333333102</v>
      </c>
      <c r="AK240" s="112">
        <f t="shared" si="172"/>
        <v>0</v>
      </c>
      <c r="AL240" s="112">
        <f t="shared" si="173"/>
        <v>0</v>
      </c>
      <c r="AM240" s="116">
        <f t="shared" si="174"/>
        <v>0</v>
      </c>
      <c r="AN240" s="116">
        <f t="shared" si="186"/>
        <v>1.6373343080203115</v>
      </c>
      <c r="AO240" s="116">
        <f t="shared" si="187"/>
        <v>2.0999999999999925</v>
      </c>
      <c r="AQ240" s="131">
        <f t="shared" si="175"/>
        <v>2.0999999999999925</v>
      </c>
      <c r="AR240" s="131">
        <f t="shared" si="176"/>
        <v>1.6373343080203115</v>
      </c>
      <c r="AS240" s="131">
        <f t="shared" si="177"/>
        <v>3.4384020468426422</v>
      </c>
      <c r="AT240" s="131">
        <f t="shared" si="178"/>
        <v>7.2206442983695229</v>
      </c>
      <c r="AU240" s="131">
        <f t="shared" si="179"/>
        <v>15.163353026575944</v>
      </c>
      <c r="AV240" s="131">
        <f t="shared" si="180"/>
        <v>4.4099999999999691</v>
      </c>
      <c r="AW240" s="131">
        <f t="shared" si="181"/>
        <v>9.2609999999999015</v>
      </c>
      <c r="AX240" s="131">
        <f t="shared" si="182"/>
        <v>19.448099999999727</v>
      </c>
      <c r="AY240" s="131">
        <f t="shared" si="183"/>
        <v>40.84100999999928</v>
      </c>
      <c r="AZ240" s="131">
        <f t="shared" si="184"/>
        <v>85.766120999998193</v>
      </c>
      <c r="BE240" s="116">
        <f t="shared" si="142"/>
        <v>1.637334490328975</v>
      </c>
    </row>
    <row r="241" spans="4:57">
      <c r="D241" s="114">
        <f t="shared" si="143"/>
        <v>41173</v>
      </c>
      <c r="E241" s="115">
        <f t="shared" si="185"/>
        <v>0.99999999999999767</v>
      </c>
      <c r="F241" s="116">
        <f t="shared" si="144"/>
        <v>2456192.5</v>
      </c>
      <c r="G241" s="117">
        <f t="shared" si="145"/>
        <v>0.1272416153319644</v>
      </c>
      <c r="I241" s="112">
        <f t="shared" si="146"/>
        <v>181.26257127238659</v>
      </c>
      <c r="J241" s="112">
        <f t="shared" si="147"/>
        <v>4938.1064168277526</v>
      </c>
      <c r="K241" s="112">
        <f t="shared" si="148"/>
        <v>1.6703283092888977E-2</v>
      </c>
      <c r="L241" s="112">
        <f t="shared" si="149"/>
        <v>-1.8646059282723286</v>
      </c>
      <c r="M241" s="112">
        <f t="shared" si="150"/>
        <v>179.39796534411425</v>
      </c>
      <c r="N241" s="112">
        <f t="shared" si="151"/>
        <v>4936.2418108994807</v>
      </c>
      <c r="O241" s="112">
        <f t="shared" si="152"/>
        <v>1.0037092063360906</v>
      </c>
      <c r="P241" s="112">
        <f t="shared" si="153"/>
        <v>179.39636991205052</v>
      </c>
      <c r="Q241" s="112">
        <f t="shared" si="154"/>
        <v>23.437636438322453</v>
      </c>
      <c r="R241" s="112">
        <f t="shared" si="155"/>
        <v>23.436315544569986</v>
      </c>
      <c r="S241" s="112">
        <f t="shared" si="141"/>
        <v>179.44616451184194</v>
      </c>
      <c r="T241" s="112">
        <f t="shared" si="156"/>
        <v>0.24007775884134161</v>
      </c>
      <c r="U241" s="112">
        <f t="shared" si="157"/>
        <v>4.3023292967132205E-2</v>
      </c>
      <c r="V241" s="112">
        <f t="shared" si="158"/>
        <v>7.2313441249428978</v>
      </c>
      <c r="W241" s="112">
        <f t="shared" si="159"/>
        <v>91.244732522123471</v>
      </c>
      <c r="X241" s="115">
        <f t="shared" si="160"/>
        <v>0.51442267769101191</v>
      </c>
      <c r="Y241" s="115">
        <f t="shared" si="161"/>
        <v>0.26096508735178003</v>
      </c>
      <c r="Z241" s="115">
        <f t="shared" si="162"/>
        <v>0.76788026803024378</v>
      </c>
      <c r="AA241" s="118">
        <f t="shared" si="163"/>
        <v>729.95786017698777</v>
      </c>
      <c r="AB241" s="112">
        <f t="shared" si="164"/>
        <v>1419.2313441249396</v>
      </c>
      <c r="AC241" s="112">
        <f t="shared" si="165"/>
        <v>174.8078360312349</v>
      </c>
      <c r="AD241" s="112">
        <f t="shared" si="166"/>
        <v>141.46160128018329</v>
      </c>
      <c r="AE241" s="112">
        <f t="shared" si="167"/>
        <v>-51.461601280183288</v>
      </c>
      <c r="AF241" s="112">
        <f t="shared" si="168"/>
        <v>4.5959822675868348E-3</v>
      </c>
      <c r="AG241" s="112">
        <f t="shared" si="169"/>
        <v>-51.4570052979157</v>
      </c>
      <c r="AH241" s="112">
        <f t="shared" si="170"/>
        <v>351.64832073022257</v>
      </c>
      <c r="AJ241" s="119">
        <f t="shared" si="171"/>
        <v>0.99999999999999767</v>
      </c>
      <c r="AK241" s="112">
        <f t="shared" si="172"/>
        <v>0</v>
      </c>
      <c r="AL241" s="112">
        <f t="shared" si="173"/>
        <v>0</v>
      </c>
      <c r="AM241" s="116">
        <f t="shared" si="174"/>
        <v>0</v>
      </c>
      <c r="AN241" s="116">
        <f t="shared" si="186"/>
        <v>1.6373343080203115</v>
      </c>
      <c r="AO241" s="116">
        <f t="shared" si="187"/>
        <v>2.0999999999999925</v>
      </c>
      <c r="AQ241" s="131">
        <f t="shared" si="175"/>
        <v>2.0999999999999925</v>
      </c>
      <c r="AR241" s="131">
        <f t="shared" si="176"/>
        <v>1.6373343080203115</v>
      </c>
      <c r="AS241" s="131">
        <f t="shared" si="177"/>
        <v>3.4384020468426422</v>
      </c>
      <c r="AT241" s="131">
        <f t="shared" si="178"/>
        <v>7.2206442983695229</v>
      </c>
      <c r="AU241" s="131">
        <f t="shared" si="179"/>
        <v>15.163353026575944</v>
      </c>
      <c r="AV241" s="131">
        <f t="shared" si="180"/>
        <v>4.4099999999999691</v>
      </c>
      <c r="AW241" s="131">
        <f t="shared" si="181"/>
        <v>9.2609999999999015</v>
      </c>
      <c r="AX241" s="131">
        <f t="shared" si="182"/>
        <v>19.448099999999727</v>
      </c>
      <c r="AY241" s="131">
        <f t="shared" si="183"/>
        <v>40.84100999999928</v>
      </c>
      <c r="AZ241" s="131">
        <f t="shared" si="184"/>
        <v>85.766120999998193</v>
      </c>
      <c r="BE241" s="116">
        <f t="shared" si="142"/>
        <v>1.637334490328975</v>
      </c>
    </row>
  </sheetData>
  <mergeCells count="1">
    <mergeCell ref="A1:C1"/>
  </mergeCells>
  <phoneticPr fontId="33" type="noConversion"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Z249"/>
  <sheetViews>
    <sheetView zoomScale="90" workbookViewId="0">
      <selection activeCell="A28" sqref="A28:XFD28"/>
    </sheetView>
  </sheetViews>
  <sheetFormatPr defaultRowHeight="12.75"/>
  <cols>
    <col min="10" max="11" width="9.28515625" bestFit="1" customWidth="1"/>
    <col min="12" max="12" width="9.28515625" customWidth="1"/>
  </cols>
  <sheetData>
    <row r="1" spans="1:52">
      <c r="A1" s="6"/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1"/>
      <c r="R1" s="102"/>
    </row>
    <row r="2" spans="1:52">
      <c r="A2" s="6"/>
      <c r="B2" s="100"/>
      <c r="C2" s="100"/>
      <c r="X2" s="100"/>
      <c r="Y2" s="100"/>
      <c r="Z2" s="6"/>
      <c r="AA2" s="6"/>
      <c r="AB2" s="100"/>
      <c r="AC2" s="6"/>
      <c r="AD2" s="6"/>
      <c r="AE2" s="6"/>
      <c r="AF2" s="6"/>
      <c r="AG2" s="6"/>
      <c r="AH2" s="6"/>
      <c r="AI2" s="6"/>
      <c r="AJ2" s="6"/>
      <c r="AK2" s="6"/>
      <c r="AL2" s="19"/>
      <c r="AM2" s="5"/>
      <c r="AN2" s="6"/>
      <c r="AO2" s="6"/>
      <c r="AP2" s="6"/>
    </row>
    <row r="3" spans="1:52">
      <c r="A3" s="6"/>
      <c r="B3" s="100"/>
      <c r="C3" s="100"/>
      <c r="D3" s="58"/>
      <c r="E3" s="103"/>
      <c r="F3" s="100"/>
      <c r="G3" s="100"/>
      <c r="H3" s="100"/>
      <c r="I3" s="100"/>
      <c r="J3" s="100"/>
      <c r="K3" s="100"/>
      <c r="M3" s="100"/>
      <c r="N3" s="100"/>
      <c r="O3" s="100"/>
      <c r="P3" s="100"/>
      <c r="Q3" s="17"/>
      <c r="AC3" s="28"/>
      <c r="AD3" s="6"/>
      <c r="AE3" s="6"/>
      <c r="AF3" s="6"/>
      <c r="AG3" s="6"/>
      <c r="AH3" s="6"/>
      <c r="AI3" s="6"/>
      <c r="AJ3" s="6"/>
      <c r="AK3" s="6"/>
      <c r="AL3" s="6"/>
    </row>
    <row r="4" spans="1:52">
      <c r="A4" s="6"/>
      <c r="B4" s="6"/>
      <c r="C4" s="100"/>
      <c r="AC4" s="28"/>
      <c r="AD4" s="6"/>
      <c r="AE4" s="6"/>
      <c r="AF4" s="6"/>
      <c r="AG4" s="6"/>
      <c r="AH4" s="6"/>
      <c r="AI4" s="6"/>
      <c r="AJ4" s="6"/>
      <c r="AK4" s="6"/>
      <c r="AL4" s="6"/>
    </row>
    <row r="5" spans="1:52">
      <c r="A5" s="6"/>
      <c r="B5" s="6"/>
      <c r="C5" s="6"/>
      <c r="AC5" s="28"/>
      <c r="AD5" s="6"/>
      <c r="AE5" s="6"/>
      <c r="AF5" s="6"/>
      <c r="AG5" s="6"/>
      <c r="AH5" s="6"/>
      <c r="AI5" s="6"/>
      <c r="AJ5" s="6"/>
      <c r="AK5" s="6"/>
      <c r="AL5" s="6"/>
    </row>
    <row r="6" spans="1:52">
      <c r="A6" s="6"/>
      <c r="B6" s="6"/>
      <c r="C6" s="100"/>
      <c r="AC6" s="28"/>
      <c r="AD6" s="6"/>
      <c r="AE6" s="6"/>
      <c r="AF6" s="6"/>
      <c r="AG6" s="6"/>
      <c r="AH6" s="6"/>
      <c r="AI6" s="6"/>
      <c r="AJ6" s="6"/>
      <c r="AK6" s="6"/>
      <c r="AL6" s="6"/>
    </row>
    <row r="7" spans="1:52">
      <c r="A7" s="6"/>
      <c r="B7" s="6"/>
      <c r="C7" s="100"/>
      <c r="AC7" s="28"/>
      <c r="AD7" s="6"/>
      <c r="AE7" s="6"/>
      <c r="AF7" s="6"/>
      <c r="AG7" s="6"/>
      <c r="AH7" s="6"/>
      <c r="AI7" s="6"/>
      <c r="AJ7" s="6"/>
      <c r="AK7" s="6"/>
      <c r="AL7" s="6"/>
    </row>
    <row r="8" spans="1:52">
      <c r="A8" s="6"/>
      <c r="B8" s="6"/>
      <c r="C8" s="100"/>
      <c r="AC8" s="28"/>
      <c r="AD8" s="6"/>
      <c r="AE8" s="6"/>
      <c r="AF8" s="6"/>
      <c r="AG8" s="6"/>
      <c r="AH8" s="6"/>
      <c r="AI8" s="6"/>
      <c r="AJ8" s="6"/>
      <c r="AK8" s="6"/>
      <c r="AL8" s="6"/>
    </row>
    <row r="9" spans="1:52">
      <c r="A9" s="6"/>
      <c r="B9" s="6"/>
      <c r="C9" s="104"/>
      <c r="AC9" s="28"/>
      <c r="AD9" s="6"/>
      <c r="AE9" s="6"/>
      <c r="AF9" s="6"/>
      <c r="AG9" s="6"/>
      <c r="AH9" s="6"/>
      <c r="AI9" s="6"/>
      <c r="AJ9" s="6"/>
      <c r="AK9" s="6"/>
      <c r="AL9" s="6"/>
    </row>
    <row r="10" spans="1:52">
      <c r="A10" s="6"/>
      <c r="B10" s="6"/>
      <c r="C10" s="104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</row>
    <row r="11" spans="1:52">
      <c r="A11" s="6"/>
      <c r="B11" s="6"/>
      <c r="C11" s="100"/>
      <c r="X11" s="100"/>
      <c r="Y11" s="100"/>
      <c r="Z11" s="100"/>
      <c r="AA11" s="100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0"/>
      <c r="AX11" s="100"/>
      <c r="AY11" s="100"/>
    </row>
    <row r="12" spans="1:52">
      <c r="A12" s="6"/>
      <c r="B12" s="6"/>
      <c r="C12" s="103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</row>
    <row r="13" spans="1:52">
      <c r="A13" s="6"/>
      <c r="B13" s="6"/>
      <c r="C13" s="103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6"/>
    </row>
    <row r="14" spans="1:52">
      <c r="A14" s="6"/>
      <c r="B14" s="6"/>
      <c r="C14" s="103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6"/>
    </row>
    <row r="15" spans="1:52">
      <c r="A15" s="6"/>
      <c r="B15" s="6"/>
      <c r="C15" s="103"/>
      <c r="X15" s="100"/>
      <c r="Y15" s="100"/>
      <c r="Z15" s="103"/>
      <c r="AA15" s="100"/>
      <c r="AB15" s="103"/>
      <c r="AC15" s="103"/>
      <c r="AD15" s="103"/>
      <c r="AE15" s="103"/>
      <c r="AF15" s="103"/>
      <c r="AG15" s="100"/>
      <c r="AH15" s="103"/>
      <c r="AI15" s="100"/>
      <c r="AJ15" s="103"/>
      <c r="AK15" s="103"/>
      <c r="AL15" s="103"/>
      <c r="AM15" s="103"/>
      <c r="AN15" s="103"/>
      <c r="AO15" s="100"/>
      <c r="AP15" s="103"/>
      <c r="AQ15" s="100"/>
      <c r="AR15" s="103"/>
      <c r="AS15" s="103"/>
      <c r="AT15" s="103"/>
      <c r="AU15" s="103"/>
      <c r="AV15" s="103"/>
      <c r="AW15" s="100"/>
      <c r="AX15" s="100"/>
      <c r="AY15" s="100"/>
      <c r="AZ15" s="6"/>
    </row>
    <row r="16" spans="1:52">
      <c r="A16" s="6"/>
      <c r="B16" s="6"/>
      <c r="C16" s="103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6"/>
    </row>
    <row r="17" spans="1:52">
      <c r="A17" s="6"/>
      <c r="B17" s="6"/>
      <c r="C17" s="103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6"/>
    </row>
    <row r="18" spans="1:52">
      <c r="A18" s="6"/>
      <c r="B18" s="6"/>
      <c r="C18" s="6"/>
      <c r="X18" s="100"/>
      <c r="Y18" s="104"/>
      <c r="Z18" s="104"/>
      <c r="AA18" s="104"/>
      <c r="AB18" s="104"/>
      <c r="AC18" s="104"/>
      <c r="AD18" s="104"/>
      <c r="AE18" s="104"/>
      <c r="AF18" s="104"/>
      <c r="AG18" s="100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104"/>
      <c r="AS18" s="104"/>
      <c r="AT18" s="104"/>
      <c r="AU18" s="104"/>
      <c r="AV18" s="104"/>
      <c r="AW18" s="104"/>
      <c r="AX18" s="100"/>
      <c r="AY18" s="100"/>
      <c r="AZ18" s="6"/>
    </row>
    <row r="19" spans="1:52">
      <c r="A19" s="6"/>
      <c r="B19" s="6"/>
      <c r="C19" s="103"/>
      <c r="D19" s="6" t="s">
        <v>613</v>
      </c>
      <c r="E19" s="6" t="s">
        <v>614</v>
      </c>
      <c r="F19" s="100" t="s">
        <v>600</v>
      </c>
      <c r="G19" s="6" t="s">
        <v>644</v>
      </c>
      <c r="H19" s="6" t="s">
        <v>645</v>
      </c>
      <c r="I19" s="6" t="s">
        <v>646</v>
      </c>
      <c r="J19" s="6" t="s">
        <v>647</v>
      </c>
      <c r="K19" s="6" t="s">
        <v>601</v>
      </c>
      <c r="L19" s="6" t="s">
        <v>648</v>
      </c>
      <c r="M19" s="6" t="s">
        <v>649</v>
      </c>
      <c r="N19" s="6" t="s">
        <v>602</v>
      </c>
      <c r="O19" s="6" t="s">
        <v>642</v>
      </c>
      <c r="P19" s="6" t="s">
        <v>650</v>
      </c>
      <c r="Q19" s="19" t="s">
        <v>651</v>
      </c>
      <c r="R19" s="6" t="s">
        <v>786</v>
      </c>
      <c r="S19" s="5" t="s">
        <v>652</v>
      </c>
      <c r="T19" s="6" t="s">
        <v>653</v>
      </c>
      <c r="U19" s="6" t="s">
        <v>654</v>
      </c>
      <c r="V19" s="6" t="s">
        <v>631</v>
      </c>
      <c r="W19" s="6" t="s">
        <v>802</v>
      </c>
      <c r="X19" s="6" t="s">
        <v>656</v>
      </c>
      <c r="Y19" s="6" t="s">
        <v>655</v>
      </c>
      <c r="Z19" s="6" t="s">
        <v>657</v>
      </c>
      <c r="AA19" s="6" t="s">
        <v>787</v>
      </c>
      <c r="AB19" s="109" t="s">
        <v>668</v>
      </c>
      <c r="AC19" s="3" t="s">
        <v>658</v>
      </c>
      <c r="AD19" s="110" t="s">
        <v>659</v>
      </c>
      <c r="AE19" s="110" t="s">
        <v>660</v>
      </c>
      <c r="AF19" s="110" t="s">
        <v>661</v>
      </c>
      <c r="AG19" s="110" t="s">
        <v>662</v>
      </c>
      <c r="AH19" s="110" t="s">
        <v>663</v>
      </c>
      <c r="AI19" s="110" t="s">
        <v>664</v>
      </c>
      <c r="AJ19" s="110" t="s">
        <v>665</v>
      </c>
      <c r="AK19" s="110" t="s">
        <v>666</v>
      </c>
      <c r="AL19" s="110" t="s">
        <v>667</v>
      </c>
      <c r="AM19" s="110" t="s">
        <v>669</v>
      </c>
      <c r="AN19" s="104"/>
      <c r="AO19" s="100"/>
      <c r="AP19" s="104"/>
      <c r="AQ19" s="104"/>
      <c r="AR19" s="104"/>
      <c r="AS19" s="104"/>
      <c r="AT19" s="104"/>
      <c r="AU19" s="104"/>
      <c r="AV19" s="104"/>
      <c r="AW19" s="104"/>
      <c r="AX19" s="100"/>
      <c r="AY19" s="100"/>
      <c r="AZ19" s="6"/>
    </row>
    <row r="20" spans="1:52">
      <c r="A20" s="6"/>
      <c r="B20" s="6"/>
      <c r="C20" s="103"/>
      <c r="AB20" s="100"/>
      <c r="AC20" s="100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6"/>
    </row>
    <row r="21" spans="1:52">
      <c r="A21" s="6"/>
      <c r="B21" s="6"/>
      <c r="C21" s="103"/>
      <c r="D21" s="1">
        <f>Main!C21</f>
        <v>1.5</v>
      </c>
      <c r="E21" s="103">
        <f>Main!B21</f>
        <v>0.33333333333333326</v>
      </c>
      <c r="F21" s="103">
        <f ca="1">IF(Main!$D$6=1,U21,IF(Main!$D$6=2,N21,IF(Main!$D$6=3,K21,IF(Main!$D$6=4,V21,J21))))</f>
        <v>1687.3335409775245</v>
      </c>
      <c r="G21" s="103">
        <f ca="1">Main!N21</f>
        <v>10</v>
      </c>
      <c r="H21" s="103">
        <f ca="1">Weight!U21</f>
        <v>12.936304787762779</v>
      </c>
      <c r="I21" s="103">
        <f ca="1">Weight!V21</f>
        <v>119.6027712490764</v>
      </c>
      <c r="J21" s="103">
        <f ca="1">Weight!I21</f>
        <v>96.60610818631362</v>
      </c>
      <c r="K21" s="103">
        <f ca="1">Weight!W21</f>
        <v>129.60277124897891</v>
      </c>
      <c r="L21" s="103">
        <f ca="1">'Aerodynamics-Cruise'!BI21</f>
        <v>129.60277124917459</v>
      </c>
      <c r="M21" s="103">
        <f ca="1">'Aerodynamics-Cruise'!BJ21</f>
        <v>8.8897799936810245</v>
      </c>
      <c r="N21" s="103">
        <f ca="1">'Aerodynamics-Cruise'!BK21</f>
        <v>14.578850246158847</v>
      </c>
      <c r="O21" s="103">
        <f ca="1">L21^(3/2)/M21</f>
        <v>165.970315250818</v>
      </c>
      <c r="P21" s="103">
        <f ca="1">'Aerodynamics-Cruise'!H21</f>
        <v>29.912886947189744</v>
      </c>
      <c r="Q21" s="103">
        <f ca="1">'Aerodynamics-Cruise'!I21</f>
        <v>23.460111671384258</v>
      </c>
      <c r="R21" s="1">
        <f ca="1">'Aerodynamics-Speed'!H21</f>
        <v>29.912886947212638</v>
      </c>
      <c r="S21" s="103">
        <f ca="1">'Aerodynamics-Cruise'!W21</f>
        <v>0.9</v>
      </c>
      <c r="T21" s="103">
        <f ca="1">'Aerodynamics-Cruise'!BL21</f>
        <v>265.91898393636961</v>
      </c>
      <c r="U21" s="103">
        <f ca="1">'Propulsion-Cruise'!M21</f>
        <v>299.87269139340134</v>
      </c>
      <c r="V21" s="103">
        <f ca="1">Endurance!AP21</f>
        <v>1687.3335409758272</v>
      </c>
      <c r="W21" s="13">
        <f ca="1">Energy!L21</f>
        <v>1779.6122642251626</v>
      </c>
      <c r="X21" s="13">
        <f ca="1">Energy!D21</f>
        <v>3370.8888104096131</v>
      </c>
      <c r="Y21" s="102">
        <f ca="1">'Aerodynamics-Cruise'!V21</f>
        <v>411432.27905529388</v>
      </c>
      <c r="Z21" s="81">
        <f ca="1">'Aerodynamics-Takeoff'!V21</f>
        <v>335030.18768678309</v>
      </c>
      <c r="AA21" s="81">
        <f ca="1">'Aerodynamics-Speed'!V21</f>
        <v>411432.27905560873</v>
      </c>
      <c r="AB21" s="103">
        <f ca="1">Takeoff!Z21</f>
        <v>66.669791158627689</v>
      </c>
      <c r="AC21" s="103">
        <f ca="1">'RC'!AB21</f>
        <v>-0.91822257240729355</v>
      </c>
      <c r="AD21" s="103">
        <f ca="1">Cruise!AB21</f>
        <v>1</v>
      </c>
      <c r="AE21" s="103">
        <f t="shared" ref="AE21:AE40" si="0">D21*E21</f>
        <v>0.49999999999999989</v>
      </c>
      <c r="AF21" s="103">
        <f t="shared" ref="AF21:AF40" si="1">D21^2/AE21</f>
        <v>4.5000000000000009</v>
      </c>
      <c r="AG21" s="103">
        <f ca="1">'Propulsion-Cruise'!J21</f>
        <v>25.305712353873528</v>
      </c>
      <c r="AH21" s="103">
        <f ca="1">'Propulsion-Takeoff'!J21</f>
        <v>47</v>
      </c>
      <c r="AI21" s="103">
        <f ca="1">Weight!J21</f>
        <v>3.1864901509681021</v>
      </c>
      <c r="AJ21" s="1">
        <f ca="1">Stability!H21</f>
        <v>0.38052583642890464</v>
      </c>
      <c r="AK21" s="103">
        <f ca="1">Stability!N21</f>
        <v>2.2978567222721902E-2</v>
      </c>
      <c r="AL21" s="103">
        <f ca="1">Stability!AH21</f>
        <v>-0.28922976880583656</v>
      </c>
      <c r="AM21" s="103">
        <f ca="1">IF(Energy!$F$11=1,IF(Energy!$R$15=Energy!$U$16,Energy!W21,Energy!AL21),0)</f>
        <v>0</v>
      </c>
      <c r="AN21" s="101"/>
      <c r="AO21" s="103"/>
      <c r="AP21" s="103"/>
      <c r="AQ21" s="103"/>
      <c r="AR21" s="101"/>
      <c r="AS21" s="101"/>
      <c r="AT21" s="101"/>
      <c r="AU21" s="101"/>
      <c r="AV21" s="101"/>
      <c r="AW21" s="105"/>
      <c r="AX21" s="100"/>
      <c r="AY21" s="100"/>
      <c r="AZ21" s="6"/>
    </row>
    <row r="22" spans="1:52">
      <c r="A22" s="6"/>
      <c r="B22" s="6"/>
      <c r="C22" s="103"/>
      <c r="D22" s="1">
        <f>Main!C22</f>
        <v>1.5789473684210527</v>
      </c>
      <c r="E22" s="103">
        <f>Main!B22</f>
        <v>0.33333333333333326</v>
      </c>
      <c r="F22" s="103">
        <f ca="1">IF(Main!$D$6=1,U22,IF(Main!$D$6=2,N22,IF(Main!$D$6=3,K22,IF(Main!$D$6=4,V22,J22))))</f>
        <v>1724.7438960256466</v>
      </c>
      <c r="G22" s="103">
        <f ca="1">Main!N22</f>
        <v>10</v>
      </c>
      <c r="H22" s="103">
        <f ca="1">Weight!U22</f>
        <v>13.331749770175321</v>
      </c>
      <c r="I22" s="103">
        <f ca="1">Weight!V22</f>
        <v>121.99424477485522</v>
      </c>
      <c r="J22" s="103">
        <f ca="1">Weight!I22</f>
        <v>98.602136729679899</v>
      </c>
      <c r="K22" s="103">
        <f ca="1">Weight!W22</f>
        <v>131.99424477474008</v>
      </c>
      <c r="L22" s="103">
        <f ca="1">'Aerodynamics-Cruise'!BI22</f>
        <v>131.99424477497124</v>
      </c>
      <c r="M22" s="103">
        <f ca="1">'Aerodynamics-Cruise'!BJ22</f>
        <v>8.7318421045382735</v>
      </c>
      <c r="N22" s="103">
        <f ca="1">'Aerodynamics-Cruise'!BK22</f>
        <v>15.116425972289257</v>
      </c>
      <c r="O22" s="103">
        <f t="shared" ref="O22:O40" ca="1" si="2">L22^(3/2)/M22</f>
        <v>173.67072581704394</v>
      </c>
      <c r="P22" s="103">
        <f ca="1">'Aerodynamics-Cruise'!H22</f>
        <v>29.421519599178584</v>
      </c>
      <c r="Q22" s="103">
        <f ca="1">'Aerodynamics-Cruise'!I22</f>
        <v>23.078747160529637</v>
      </c>
      <c r="R22" s="1">
        <f ca="1">'Aerodynamics-Speed'!H22</f>
        <v>29.4215195992047</v>
      </c>
      <c r="S22" s="103">
        <f ca="1">'Aerodynamics-Cruise'!W22</f>
        <v>0.9</v>
      </c>
      <c r="T22" s="103">
        <f ca="1">'Aerodynamics-Cruise'!BL22</f>
        <v>256.90406361560559</v>
      </c>
      <c r="U22" s="103">
        <f ca="1">'Propulsion-Cruise'!M22</f>
        <v>306.53258489662142</v>
      </c>
      <c r="V22" s="103">
        <f ca="1">Endurance!AP22</f>
        <v>1724.7438960236409</v>
      </c>
      <c r="W22" s="13">
        <f ca="1">Energy!L22</f>
        <v>1817.0857290090632</v>
      </c>
      <c r="X22" s="13">
        <f ca="1">Energy!D22</f>
        <v>3438.5492329366552</v>
      </c>
      <c r="Y22" s="102">
        <f ca="1">'Aerodynamics-Cruise'!V22</f>
        <v>404673.84118861449</v>
      </c>
      <c r="Z22" s="81">
        <f ca="1">'Aerodynamics-Takeoff'!V22</f>
        <v>329583.58582642203</v>
      </c>
      <c r="AA22" s="81">
        <f ca="1">'Aerodynamics-Speed'!V22</f>
        <v>404673.84118897363</v>
      </c>
      <c r="AB22" s="103">
        <f ca="1">Takeoff!Z22</f>
        <v>65.428027728328871</v>
      </c>
      <c r="AC22" s="103">
        <f ca="1">'RC'!AB22</f>
        <v>-0.79560854311484919</v>
      </c>
      <c r="AD22" s="103">
        <f ca="1">Cruise!AB22</f>
        <v>1</v>
      </c>
      <c r="AE22" s="103">
        <f t="shared" si="0"/>
        <v>0.52631578947368407</v>
      </c>
      <c r="AF22" s="103">
        <f t="shared" si="1"/>
        <v>4.7368421052631593</v>
      </c>
      <c r="AG22" s="103">
        <f ca="1">'Propulsion-Cruise'!J22</f>
        <v>25.867728683259188</v>
      </c>
      <c r="AH22" s="103">
        <f ca="1">'Propulsion-Takeoff'!J22</f>
        <v>47</v>
      </c>
      <c r="AI22" s="103">
        <f ca="1">Weight!J22</f>
        <v>3.1853841352175802</v>
      </c>
      <c r="AJ22" s="1">
        <f ca="1">Stability!H22</f>
        <v>0.3730850699632936</v>
      </c>
      <c r="AK22" s="103">
        <f ca="1">Stability!N22</f>
        <v>2.2145239865508339E-2</v>
      </c>
      <c r="AL22" s="103">
        <f ca="1">Stability!AH22</f>
        <v>-0.29498450130697684</v>
      </c>
      <c r="AM22" s="103">
        <f ca="1">IF(Energy!$F$11=1,IF(Energy!$R$15=Energy!$U$16,Energy!W22,Energy!AL22),0)</f>
        <v>0</v>
      </c>
      <c r="AN22" s="101"/>
      <c r="AO22" s="103"/>
      <c r="AP22" s="103"/>
      <c r="AQ22" s="103"/>
      <c r="AR22" s="101"/>
      <c r="AS22" s="101"/>
      <c r="AT22" s="101"/>
      <c r="AU22" s="101"/>
      <c r="AV22" s="101"/>
      <c r="AW22" s="105"/>
      <c r="AX22" s="100"/>
      <c r="AY22" s="100"/>
      <c r="AZ22" s="6"/>
    </row>
    <row r="23" spans="1:52">
      <c r="A23" s="6"/>
      <c r="B23" s="6"/>
      <c r="C23" s="103"/>
      <c r="D23" s="1">
        <f>Main!C23</f>
        <v>1.6578947368421053</v>
      </c>
      <c r="E23" s="103">
        <f>Main!B23</f>
        <v>0.33333333333333326</v>
      </c>
      <c r="F23" s="103">
        <f ca="1">IF(Main!$D$6=1,U23,IF(Main!$D$6=2,N23,IF(Main!$D$6=3,K23,IF(Main!$D$6=4,V23,J23))))</f>
        <v>1759.4048226359957</v>
      </c>
      <c r="G23" s="103">
        <f ca="1">Main!N23</f>
        <v>10</v>
      </c>
      <c r="H23" s="103">
        <f ca="1">Weight!U23</f>
        <v>13.728526792350607</v>
      </c>
      <c r="I23" s="103">
        <f ca="1">Weight!V23</f>
        <v>124.24051129324812</v>
      </c>
      <c r="J23" s="103">
        <f ca="1">Weight!I23</f>
        <v>100.45162622589751</v>
      </c>
      <c r="K23" s="103">
        <f ca="1">Weight!W23</f>
        <v>134.24051129311465</v>
      </c>
      <c r="L23" s="103">
        <f ca="1">'Aerodynamics-Cruise'!BI23</f>
        <v>134.24051129338261</v>
      </c>
      <c r="M23" s="103">
        <f ca="1">'Aerodynamics-Cruise'!BJ23</f>
        <v>8.5851081776821978</v>
      </c>
      <c r="N23" s="103">
        <f ca="1">'Aerodynamics-Cruise'!BK23</f>
        <v>15.636437947555924</v>
      </c>
      <c r="O23" s="103">
        <f t="shared" ca="1" si="2"/>
        <v>181.16722182136948</v>
      </c>
      <c r="P23" s="103">
        <f ca="1">'Aerodynamics-Cruise'!H23</f>
        <v>28.954278467487942</v>
      </c>
      <c r="Q23" s="103">
        <f ca="1">'Aerodynamics-Cruise'!I23</f>
        <v>22.715913401700096</v>
      </c>
      <c r="R23" s="1">
        <f ca="1">'Aerodynamics-Speed'!H23</f>
        <v>28.954278467517241</v>
      </c>
      <c r="S23" s="103">
        <f ca="1">'Aerodynamics-Cruise'!W23</f>
        <v>0.9</v>
      </c>
      <c r="T23" s="103">
        <f ca="1">'Aerodynamics-Cruise'!BL23</f>
        <v>248.57561285011832</v>
      </c>
      <c r="U23" s="103">
        <f ca="1">'Propulsion-Cruise'!M23</f>
        <v>312.70357364434722</v>
      </c>
      <c r="V23" s="103">
        <f ca="1">Endurance!AP23</f>
        <v>1759.4048226336711</v>
      </c>
      <c r="W23" s="13">
        <f ca="1">Energy!L23</f>
        <v>1851.8080678928982</v>
      </c>
      <c r="X23" s="13">
        <f ca="1">Energy!D23</f>
        <v>3501.2423448108202</v>
      </c>
      <c r="Y23" s="102">
        <f ca="1">'Aerodynamics-Cruise'!V23</f>
        <v>398247.243715116</v>
      </c>
      <c r="Z23" s="81">
        <f ca="1">'Aerodynamics-Takeoff'!V23</f>
        <v>324401.6572237935</v>
      </c>
      <c r="AA23" s="81">
        <f ca="1">'Aerodynamics-Speed'!V23</f>
        <v>398247.24371551903</v>
      </c>
      <c r="AB23" s="103">
        <f ca="1">Takeoff!Z23</f>
        <v>64.203200853005939</v>
      </c>
      <c r="AC23" s="103">
        <f ca="1">'RC'!AB23</f>
        <v>-0.68724720012981866</v>
      </c>
      <c r="AD23" s="103">
        <f ca="1">Cruise!AB23</f>
        <v>1</v>
      </c>
      <c r="AE23" s="103">
        <f t="shared" si="0"/>
        <v>0.55263157894736836</v>
      </c>
      <c r="AF23" s="103">
        <f t="shared" si="1"/>
        <v>4.9736842105263168</v>
      </c>
      <c r="AG23" s="103">
        <f ca="1">'Propulsion-Cruise'!J23</f>
        <v>26.388487227371069</v>
      </c>
      <c r="AH23" s="103">
        <f ca="1">'Propulsion-Takeoff'!J23</f>
        <v>47</v>
      </c>
      <c r="AI23" s="103">
        <f ca="1">Weight!J23</f>
        <v>3.1843526418469028</v>
      </c>
      <c r="AJ23" s="1">
        <f ca="1">Stability!H23</f>
        <v>0.36629805457554726</v>
      </c>
      <c r="AK23" s="103">
        <f ca="1">Stability!N23</f>
        <v>2.1426157146857194E-2</v>
      </c>
      <c r="AL23" s="103">
        <f ca="1">Stability!AH23</f>
        <v>-0.30043813386009655</v>
      </c>
      <c r="AM23" s="103">
        <f ca="1">IF(Energy!$F$11=1,IF(Energy!$R$15=Energy!$U$16,Energy!W23,Energy!AL23),0)</f>
        <v>0</v>
      </c>
      <c r="AN23" s="101"/>
      <c r="AO23" s="103"/>
      <c r="AP23" s="103"/>
      <c r="AQ23" s="103"/>
      <c r="AR23" s="101"/>
      <c r="AS23" s="101"/>
      <c r="AT23" s="101"/>
      <c r="AU23" s="101"/>
      <c r="AV23" s="101"/>
      <c r="AW23" s="105"/>
      <c r="AX23" s="100"/>
      <c r="AY23" s="100"/>
      <c r="AZ23" s="6"/>
    </row>
    <row r="24" spans="1:52">
      <c r="A24" s="6"/>
      <c r="B24" s="6"/>
      <c r="C24" s="6"/>
      <c r="D24" s="1">
        <f>Main!C24</f>
        <v>1.736842105263158</v>
      </c>
      <c r="E24" s="103">
        <f>Main!B24</f>
        <v>0.33333333333333326</v>
      </c>
      <c r="F24" s="103">
        <f ca="1">IF(Main!$D$6=1,U24,IF(Main!$D$6=2,N24,IF(Main!$D$6=3,K24,IF(Main!$D$6=4,V24,J24))))</f>
        <v>1864.9577248278963</v>
      </c>
      <c r="G24" s="103">
        <f ca="1">Main!N24</f>
        <v>10</v>
      </c>
      <c r="H24" s="103">
        <f ca="1">Weight!U24</f>
        <v>13.606633496805074</v>
      </c>
      <c r="I24" s="103">
        <f ca="1">Weight!V24</f>
        <v>116.40792205809124</v>
      </c>
      <c r="J24" s="103">
        <f ca="1">Weight!I24</f>
        <v>92.740930286286172</v>
      </c>
      <c r="K24" s="103">
        <f ca="1">Weight!W24</f>
        <v>126.40792205792529</v>
      </c>
      <c r="L24" s="103">
        <f ca="1">'Aerodynamics-Cruise'!BI24</f>
        <v>126.40792205825834</v>
      </c>
      <c r="M24" s="103">
        <f ca="1">'Aerodynamics-Cruise'!BJ24</f>
        <v>7.8718111409100988</v>
      </c>
      <c r="N24" s="103">
        <f ca="1">'Aerodynamics-Cruise'!BK24</f>
        <v>16.05830218681335</v>
      </c>
      <c r="O24" s="103">
        <f t="shared" ca="1" si="2"/>
        <v>180.54554325969295</v>
      </c>
      <c r="P24" s="103">
        <f ca="1">'Aerodynamics-Cruise'!H24</f>
        <v>27.44967418856622</v>
      </c>
      <c r="Q24" s="103">
        <f ca="1">'Aerodynamics-Cruise'!I24</f>
        <v>21.544426827365353</v>
      </c>
      <c r="R24" s="1">
        <f ca="1">'Aerodynamics-Speed'!H24</f>
        <v>27.449674188602877</v>
      </c>
      <c r="S24" s="103">
        <f ca="1">'Aerodynamics-Cruise'!W24</f>
        <v>0.9</v>
      </c>
      <c r="T24" s="103">
        <f ca="1">'Aerodynamics-Cruise'!BL24</f>
        <v>216.07865109190794</v>
      </c>
      <c r="U24" s="103">
        <f ca="1">'Propulsion-Cruise'!M24</f>
        <v>331.50896534803536</v>
      </c>
      <c r="V24" s="103">
        <f ca="1">Endurance!AP24</f>
        <v>1864.9577248250121</v>
      </c>
      <c r="W24" s="13">
        <f ca="1">Energy!L24</f>
        <v>1658.4256776060638</v>
      </c>
      <c r="X24" s="13">
        <f ca="1">Energy!D24</f>
        <v>3515.0796956828235</v>
      </c>
      <c r="Y24" s="102">
        <f ca="1">'Aerodynamics-Cruise'!V24</f>
        <v>377552.39173890883</v>
      </c>
      <c r="Z24" s="81">
        <f ca="1">'Aerodynamics-Takeoff'!V24</f>
        <v>307670.99765885097</v>
      </c>
      <c r="AA24" s="81">
        <f ca="1">'Aerodynamics-Speed'!V24</f>
        <v>377552.39173941303</v>
      </c>
      <c r="AB24" s="103">
        <f ca="1">Takeoff!Z24</f>
        <v>53.603023634118628</v>
      </c>
      <c r="AC24" s="103">
        <f ca="1">'RC'!AB24</f>
        <v>-0.36087950028243349</v>
      </c>
      <c r="AD24" s="103">
        <f ca="1">Cruise!AB24</f>
        <v>1</v>
      </c>
      <c r="AE24" s="103">
        <f t="shared" si="0"/>
        <v>0.57894736842105254</v>
      </c>
      <c r="AF24" s="103">
        <f t="shared" si="1"/>
        <v>5.2105263157894752</v>
      </c>
      <c r="AG24" s="103">
        <f ca="1">'Propulsion-Cruise'!J24</f>
        <v>27.975440113758253</v>
      </c>
      <c r="AH24" s="103">
        <f ca="1">'Propulsion-Takeoff'!J24</f>
        <v>47</v>
      </c>
      <c r="AI24" s="103">
        <f ca="1">Weight!J24</f>
        <v>3.1817098344201846</v>
      </c>
      <c r="AJ24" s="1">
        <f ca="1">Stability!H24</f>
        <v>0.36378799846911575</v>
      </c>
      <c r="AK24" s="103">
        <f ca="1">Stability!N24</f>
        <v>2.0799966720791683E-2</v>
      </c>
      <c r="AL24" s="103">
        <f ca="1">Stability!AH24</f>
        <v>-0.3025005091817875</v>
      </c>
      <c r="AM24" s="103">
        <f ca="1">IF(Energy!$F$11=1,IF(Energy!$R$15=Energy!$U$16,Energy!W24,Energy!AL24),0)</f>
        <v>0.34375</v>
      </c>
      <c r="AN24" s="101"/>
      <c r="AO24" s="103"/>
      <c r="AP24" s="103"/>
      <c r="AQ24" s="103"/>
      <c r="AR24" s="101"/>
      <c r="AS24" s="101"/>
      <c r="AT24" s="101"/>
      <c r="AU24" s="101"/>
      <c r="AV24" s="101"/>
      <c r="AW24" s="105"/>
      <c r="AX24" s="100"/>
      <c r="AY24" s="100"/>
      <c r="AZ24" s="6"/>
    </row>
    <row r="25" spans="1:52">
      <c r="A25" s="6"/>
      <c r="B25" s="6"/>
      <c r="C25" s="6"/>
      <c r="D25" s="1">
        <f>Main!C25</f>
        <v>1.8157894736842106</v>
      </c>
      <c r="E25" s="103">
        <f>Main!B25</f>
        <v>0.33333333333333326</v>
      </c>
      <c r="F25" s="103">
        <f ca="1">IF(Main!$D$6=1,U25,IF(Main!$D$6=2,N25,IF(Main!$D$6=3,K25,IF(Main!$D$6=4,V25,J25))))</f>
        <v>1892.210641228123</v>
      </c>
      <c r="G25" s="103">
        <f ca="1">Main!N25</f>
        <v>10</v>
      </c>
      <c r="H25" s="103">
        <f ca="1">Weight!U25</f>
        <v>13.991561787663755</v>
      </c>
      <c r="I25" s="103">
        <f ca="1">Weight!V25</f>
        <v>118.23739388407131</v>
      </c>
      <c r="J25" s="103">
        <f ca="1">Weight!I25</f>
        <v>94.185473821407555</v>
      </c>
      <c r="K25" s="103">
        <f ca="1">Weight!W25</f>
        <v>128.23739388388455</v>
      </c>
      <c r="L25" s="103">
        <f ca="1">'Aerodynamics-Cruise'!BI25</f>
        <v>128.23739388425938</v>
      </c>
      <c r="M25" s="103">
        <f ca="1">'Aerodynamics-Cruise'!BJ25</f>
        <v>7.7535752914846618</v>
      </c>
      <c r="N25" s="103">
        <f ca="1">'Aerodynamics-Cruise'!BK25</f>
        <v>16.539130538281569</v>
      </c>
      <c r="O25" s="103">
        <f t="shared" ca="1" si="2"/>
        <v>187.29234043128764</v>
      </c>
      <c r="P25" s="103">
        <f ca="1">'Aerodynamics-Cruise'!H25</f>
        <v>27.03883277583968</v>
      </c>
      <c r="Q25" s="103">
        <f ca="1">'Aerodynamics-Cruise'!I25</f>
        <v>21.22501883276092</v>
      </c>
      <c r="R25" s="1">
        <f ca="1">'Aerodynamics-Speed'!H25</f>
        <v>27.03883277587974</v>
      </c>
      <c r="S25" s="103">
        <f ca="1">'Aerodynamics-Cruise'!W25</f>
        <v>0.9</v>
      </c>
      <c r="T25" s="103">
        <f ca="1">'Aerodynamics-Cruise'!BL25</f>
        <v>209.64762572133617</v>
      </c>
      <c r="U25" s="103">
        <f ca="1">'Propulsion-Cruise'!M25</f>
        <v>336.36288602539298</v>
      </c>
      <c r="V25" s="103">
        <f ca="1">Endurance!AP25</f>
        <v>1892.2106412248818</v>
      </c>
      <c r="W25" s="13">
        <f ca="1">Energy!L25</f>
        <v>1685.5455559622815</v>
      </c>
      <c r="X25" s="13">
        <f ca="1">Energy!D25</f>
        <v>3564.0461427155324</v>
      </c>
      <c r="Y25" s="102">
        <f ca="1">'Aerodynamics-Cruise'!V25</f>
        <v>371901.53566918877</v>
      </c>
      <c r="Z25" s="81">
        <f ca="1">'Aerodynamics-Takeoff'!V25</f>
        <v>303109.30505904608</v>
      </c>
      <c r="AA25" s="81">
        <f ca="1">'Aerodynamics-Speed'!V25</f>
        <v>371901.53566973982</v>
      </c>
      <c r="AB25" s="103">
        <f ca="1">Takeoff!Z25</f>
        <v>52.594847793505416</v>
      </c>
      <c r="AC25" s="103">
        <f ca="1">'RC'!AB25</f>
        <v>-0.28320341167509455</v>
      </c>
      <c r="AD25" s="103">
        <f ca="1">Cruise!AB25</f>
        <v>1</v>
      </c>
      <c r="AE25" s="103">
        <f t="shared" si="0"/>
        <v>0.60526315789473673</v>
      </c>
      <c r="AF25" s="103">
        <f t="shared" si="1"/>
        <v>5.4473684210526327</v>
      </c>
      <c r="AG25" s="103">
        <f ca="1">'Propulsion-Cruise'!J25</f>
        <v>28.385053673028938</v>
      </c>
      <c r="AH25" s="103">
        <f ca="1">'Propulsion-Takeoff'!J25</f>
        <v>47</v>
      </c>
      <c r="AI25" s="103">
        <f ca="1">Weight!J25</f>
        <v>3.1807957508611517</v>
      </c>
      <c r="AJ25" s="1">
        <f ca="1">Stability!H25</f>
        <v>0.35805654333786424</v>
      </c>
      <c r="AK25" s="103">
        <f ca="1">Stability!N25</f>
        <v>2.0250186841530109E-2</v>
      </c>
      <c r="AL25" s="103">
        <f ca="1">Stability!AH25</f>
        <v>-0.30733322801455421</v>
      </c>
      <c r="AM25" s="103">
        <f ca="1">IF(Energy!$F$11=1,IF(Energy!$R$15=Energy!$U$16,Energy!W25,Energy!AL25),0)</f>
        <v>0.34375</v>
      </c>
      <c r="AN25" s="101"/>
      <c r="AO25" s="103"/>
      <c r="AP25" s="103"/>
      <c r="AQ25" s="103"/>
      <c r="AR25" s="101"/>
      <c r="AS25" s="101"/>
      <c r="AT25" s="101"/>
      <c r="AU25" s="101"/>
      <c r="AV25" s="101"/>
      <c r="AW25" s="105"/>
      <c r="AX25" s="100"/>
      <c r="AY25" s="100"/>
      <c r="AZ25" s="6"/>
    </row>
    <row r="26" spans="1:52">
      <c r="A26" s="6"/>
      <c r="B26" s="6"/>
      <c r="C26" s="6"/>
      <c r="D26" s="1">
        <f>Main!C26</f>
        <v>1.8947368421052633</v>
      </c>
      <c r="E26" s="103">
        <f>Main!B26</f>
        <v>0.33333333333333326</v>
      </c>
      <c r="F26" s="103">
        <f ca="1">IF(Main!$D$6=1,U26,IF(Main!$D$6=2,N26,IF(Main!$D$6=3,K26,IF(Main!$D$6=4,V26,J26))))</f>
        <v>1917.588425072672</v>
      </c>
      <c r="G26" s="103">
        <f ca="1">Main!N26</f>
        <v>10</v>
      </c>
      <c r="H26" s="103">
        <f ca="1">Weight!U26</f>
        <v>14.378844052331161</v>
      </c>
      <c r="I26" s="103">
        <f ca="1">Weight!V26</f>
        <v>119.96953292078499</v>
      </c>
      <c r="J26" s="103">
        <f ca="1">Weight!I26</f>
        <v>95.530330593453826</v>
      </c>
      <c r="K26" s="103">
        <f ca="1">Weight!W26</f>
        <v>129.96953292057736</v>
      </c>
      <c r="L26" s="103">
        <f ca="1">'Aerodynamics-Cruise'!BI26</f>
        <v>129.96953292099397</v>
      </c>
      <c r="M26" s="103">
        <f ca="1">'Aerodynamics-Cruise'!BJ26</f>
        <v>7.6434717968746453</v>
      </c>
      <c r="N26" s="103">
        <f ca="1">'Aerodynamics-Cruise'!BK26</f>
        <v>17.003991952209137</v>
      </c>
      <c r="O26" s="103">
        <f t="shared" ca="1" si="2"/>
        <v>193.85261767357852</v>
      </c>
      <c r="P26" s="103">
        <f ca="1">'Aerodynamics-Cruise'!H26</f>
        <v>26.646781908866753</v>
      </c>
      <c r="Q26" s="103">
        <f ca="1">'Aerodynamics-Cruise'!I26</f>
        <v>20.920107320777479</v>
      </c>
      <c r="R26" s="1">
        <f ca="1">'Aerodynamics-Speed'!H26</f>
        <v>26.646781908910036</v>
      </c>
      <c r="S26" s="103">
        <f ca="1">'Aerodynamics-Cruise'!W26</f>
        <v>0.9</v>
      </c>
      <c r="T26" s="103">
        <f ca="1">'Aerodynamics-Cruise'!BL26</f>
        <v>203.67392599789255</v>
      </c>
      <c r="U26" s="103">
        <f ca="1">'Propulsion-Cruise'!M26</f>
        <v>340.88322226642504</v>
      </c>
      <c r="V26" s="103">
        <f ca="1">Endurance!AP26</f>
        <v>1917.5884250690747</v>
      </c>
      <c r="W26" s="13">
        <f ca="1">Energy!L26</f>
        <v>1710.7939137843919</v>
      </c>
      <c r="X26" s="13">
        <f ca="1">Energy!D26</f>
        <v>3609.6334554505465</v>
      </c>
      <c r="Y26" s="102">
        <f ca="1">'Aerodynamics-Cruise'!V26</f>
        <v>366509.13131888147</v>
      </c>
      <c r="Z26" s="81">
        <f ca="1">'Aerodynamics-Takeoff'!V26</f>
        <v>298754.65815877123</v>
      </c>
      <c r="AA26" s="81">
        <f ca="1">'Aerodynamics-Speed'!V26</f>
        <v>366509.13131947682</v>
      </c>
      <c r="AB26" s="103">
        <f ca="1">Takeoff!Z26</f>
        <v>51.613857590643704</v>
      </c>
      <c r="AC26" s="103">
        <f ca="1">'RC'!AB26</f>
        <v>-0.21382804520662768</v>
      </c>
      <c r="AD26" s="103">
        <f ca="1">Cruise!AB26</f>
        <v>1</v>
      </c>
      <c r="AE26" s="103">
        <f t="shared" si="0"/>
        <v>0.63157894736842091</v>
      </c>
      <c r="AF26" s="103">
        <f t="shared" si="1"/>
        <v>5.6842105263157912</v>
      </c>
      <c r="AG26" s="103">
        <f ca="1">'Propulsion-Cruise'!J26</f>
        <v>28.766516646955697</v>
      </c>
      <c r="AH26" s="103">
        <f ca="1">'Propulsion-Takeoff'!J26</f>
        <v>47</v>
      </c>
      <c r="AI26" s="103">
        <f ca="1">Weight!J26</f>
        <v>3.1799316842824408</v>
      </c>
      <c r="AJ26" s="1">
        <f ca="1">Stability!H26</f>
        <v>0.352777287077363</v>
      </c>
      <c r="AK26" s="103">
        <f ca="1">Stability!N26</f>
        <v>1.9763922950445052E-2</v>
      </c>
      <c r="AL26" s="103">
        <f ca="1">Stability!AH26</f>
        <v>-0.31192395160626263</v>
      </c>
      <c r="AM26" s="103">
        <f ca="1">IF(Energy!$F$11=1,IF(Energy!$R$15=Energy!$U$16,Energy!W26,Energy!AL26),0)</f>
        <v>0.34375</v>
      </c>
      <c r="AN26" s="101"/>
      <c r="AO26" s="103"/>
      <c r="AP26" s="103"/>
      <c r="AQ26" s="103"/>
      <c r="AR26" s="101"/>
      <c r="AS26" s="101"/>
      <c r="AT26" s="101"/>
      <c r="AU26" s="101"/>
      <c r="AV26" s="101"/>
      <c r="AW26" s="105"/>
      <c r="AX26" s="100"/>
      <c r="AY26" s="100"/>
      <c r="AZ26" s="6"/>
    </row>
    <row r="27" spans="1:52">
      <c r="A27" s="6"/>
      <c r="B27" s="6"/>
      <c r="C27" s="6"/>
      <c r="D27" s="1">
        <f>Main!C27</f>
        <v>1.9736842105263159</v>
      </c>
      <c r="E27" s="103">
        <f>Main!B27</f>
        <v>0.33333333333333326</v>
      </c>
      <c r="F27" s="103">
        <f ca="1">IF(Main!$D$6=1,U27,IF(Main!$D$6=2,N27,IF(Main!$D$6=3,K27,IF(Main!$D$6=4,V27,J27))))</f>
        <v>1941.2625052635854</v>
      </c>
      <c r="G27" s="103">
        <f ca="1">Main!N27</f>
        <v>10</v>
      </c>
      <c r="H27" s="103">
        <f ca="1">Weight!U27</f>
        <v>14.768727993481406</v>
      </c>
      <c r="I27" s="103">
        <f ca="1">Weight!V27</f>
        <v>121.61371211454065</v>
      </c>
      <c r="J27" s="103">
        <f ca="1">Weight!I27</f>
        <v>96.784625846059242</v>
      </c>
      <c r="K27" s="103">
        <f ca="1">Weight!W27</f>
        <v>131.61371211431475</v>
      </c>
      <c r="L27" s="103">
        <f ca="1">'Aerodynamics-Cruise'!BI27</f>
        <v>131.61371211476813</v>
      </c>
      <c r="M27" s="103">
        <f ca="1">'Aerodynamics-Cruise'!BJ27</f>
        <v>7.540855818595543</v>
      </c>
      <c r="N27" s="103">
        <f ca="1">'Aerodynamics-Cruise'!BK27</f>
        <v>17.453418455530251</v>
      </c>
      <c r="O27" s="103">
        <f t="shared" ca="1" si="2"/>
        <v>200.23088664452544</v>
      </c>
      <c r="P27" s="103">
        <f ca="1">'Aerodynamics-Cruise'!H27</f>
        <v>26.272229755698174</v>
      </c>
      <c r="Q27" s="103">
        <f ca="1">'Aerodynamics-Cruise'!I27</f>
        <v>20.628708852181202</v>
      </c>
      <c r="R27" s="1">
        <f ca="1">'Aerodynamics-Speed'!H27</f>
        <v>26.272229755744029</v>
      </c>
      <c r="S27" s="103">
        <f ca="1">'Aerodynamics-Cruise'!W27</f>
        <v>0.9</v>
      </c>
      <c r="T27" s="103">
        <f ca="1">'Aerodynamics-Cruise'!BL27</f>
        <v>198.11509662073553</v>
      </c>
      <c r="U27" s="103">
        <f ca="1">'Propulsion-Cruise'!M27</f>
        <v>345.10044605700836</v>
      </c>
      <c r="V27" s="103">
        <f ca="1">Endurance!AP27</f>
        <v>1941.262505259675</v>
      </c>
      <c r="W27" s="13">
        <f ca="1">Energy!L27</f>
        <v>1734.3420685103595</v>
      </c>
      <c r="X27" s="13">
        <f ca="1">Energy!D27</f>
        <v>3652.1509570396684</v>
      </c>
      <c r="Y27" s="102">
        <f ca="1">'Aerodynamics-Cruise'!V27</f>
        <v>361357.4103808364</v>
      </c>
      <c r="Z27" s="81">
        <f ca="1">'Aerodynamics-Takeoff'!V27</f>
        <v>294593.00969140412</v>
      </c>
      <c r="AA27" s="81">
        <f ca="1">'Aerodynamics-Speed'!V27</f>
        <v>361357.41038146702</v>
      </c>
      <c r="AB27" s="103">
        <f ca="1">Takeoff!Z27</f>
        <v>50.661628579273106</v>
      </c>
      <c r="AC27" s="103">
        <f ca="1">'RC'!AB27</f>
        <v>-0.15165289691889974</v>
      </c>
      <c r="AD27" s="103">
        <f ca="1">Cruise!AB27</f>
        <v>1</v>
      </c>
      <c r="AE27" s="103">
        <f t="shared" si="0"/>
        <v>0.6578947368421052</v>
      </c>
      <c r="AF27" s="103">
        <f t="shared" si="1"/>
        <v>5.9210526315789487</v>
      </c>
      <c r="AG27" s="103">
        <f ca="1">'Propulsion-Cruise'!J27</f>
        <v>29.122400511139944</v>
      </c>
      <c r="AH27" s="103">
        <f ca="1">'Propulsion-Takeoff'!J27</f>
        <v>47</v>
      </c>
      <c r="AI27" s="103">
        <f ca="1">Weight!J27</f>
        <v>3.1791121251125691</v>
      </c>
      <c r="AJ27" s="1">
        <f ca="1">Stability!H27</f>
        <v>0.34790144440808285</v>
      </c>
      <c r="AK27" s="103">
        <f ca="1">Stability!N27</f>
        <v>1.9330962529173684E-2</v>
      </c>
      <c r="AL27" s="103">
        <f ca="1">Stability!AH27</f>
        <v>-0.31628794058621723</v>
      </c>
      <c r="AM27" s="103">
        <f ca="1">IF(Energy!$F$11=1,IF(Energy!$R$15=Energy!$U$16,Energy!W27,Energy!AL27),0)</f>
        <v>0.34375</v>
      </c>
      <c r="AN27" s="101"/>
      <c r="AO27" s="103"/>
      <c r="AP27" s="103"/>
      <c r="AQ27" s="103"/>
      <c r="AR27" s="101"/>
      <c r="AS27" s="101"/>
      <c r="AT27" s="101"/>
      <c r="AU27" s="101"/>
      <c r="AV27" s="101"/>
      <c r="AW27" s="105"/>
      <c r="AX27" s="100"/>
      <c r="AY27" s="100"/>
      <c r="AZ27" s="6"/>
    </row>
    <row r="28" spans="1:52">
      <c r="A28" s="6"/>
      <c r="B28" s="6"/>
      <c r="C28" s="6"/>
      <c r="D28" s="1">
        <f>Main!C28</f>
        <v>2.0526315789473686</v>
      </c>
      <c r="E28" s="103">
        <f>Main!B28</f>
        <v>0.33333333333333326</v>
      </c>
      <c r="F28" s="103">
        <f ca="1">IF(Main!$D$6=1,U28,IF(Main!$D$6=2,N28,IF(Main!$D$6=3,K28,IF(Main!$D$6=4,V28,J28))))</f>
        <v>1951.8198188226502</v>
      </c>
      <c r="G28" s="103">
        <f ca="1">Main!N28</f>
        <v>10</v>
      </c>
      <c r="H28" s="103">
        <f ca="1">Weight!U28</f>
        <v>15.124613703568272</v>
      </c>
      <c r="I28" s="103">
        <f ca="1">Weight!V28</f>
        <v>122.52501256898603</v>
      </c>
      <c r="J28" s="103">
        <f ca="1">Weight!I28</f>
        <v>97.340040590417757</v>
      </c>
      <c r="K28" s="103">
        <f ca="1">Weight!W28</f>
        <v>132.52501256805863</v>
      </c>
      <c r="L28" s="103">
        <f ca="1">'Aerodynamics-Cruise'!BI28</f>
        <v>132.52501256992099</v>
      </c>
      <c r="M28" s="103">
        <f ca="1">'Aerodynamics-Cruise'!BJ28</f>
        <v>7.4114407994288793</v>
      </c>
      <c r="N28" s="103">
        <f ca="1">'Aerodynamics-Cruise'!BK28</f>
        <v>17.881140274389466</v>
      </c>
      <c r="O28" s="103">
        <f t="shared" ca="1" si="2"/>
        <v>205.84680813380572</v>
      </c>
      <c r="P28" s="103">
        <f ca="1">'Aerodynamics-Cruise'!H28</f>
        <v>25.850372382859632</v>
      </c>
      <c r="Q28" s="103">
        <f ca="1">'Aerodynamics-Cruise'!I28</f>
        <v>20.300306672919298</v>
      </c>
      <c r="R28" s="1">
        <f ca="1">'Aerodynamics-Speed'!H28</f>
        <v>25.850372383044267</v>
      </c>
      <c r="S28" s="103">
        <f ca="1">'Aerodynamics-Cruise'!W28</f>
        <v>0.9</v>
      </c>
      <c r="T28" s="103">
        <f ca="1">'Aerodynamics-Cruise'!BL28</f>
        <v>191.5885045587554</v>
      </c>
      <c r="U28" s="103">
        <f ca="1">'Propulsion-Cruise'!M28</f>
        <v>342.3989551550377</v>
      </c>
      <c r="V28" s="103">
        <f ca="1">Endurance!AP28</f>
        <v>1951.8198188066813</v>
      </c>
      <c r="W28" s="13">
        <f ca="1">Energy!L28</f>
        <v>1744.7694318285294</v>
      </c>
      <c r="X28" s="13">
        <f ca="1">Energy!D28</f>
        <v>3670.9781408303825</v>
      </c>
      <c r="Y28" s="102">
        <f ca="1">'Aerodynamics-Cruise'!V28</f>
        <v>355555.03695396968</v>
      </c>
      <c r="Z28" s="81">
        <f ca="1">'Aerodynamics-Takeoff'!V28</f>
        <v>289902.90741634183</v>
      </c>
      <c r="AA28" s="81">
        <f ca="1">'Aerodynamics-Speed'!V28</f>
        <v>355555.03695650923</v>
      </c>
      <c r="AB28" s="103">
        <f ca="1">Takeoff!Z28</f>
        <v>49.223752657821706</v>
      </c>
      <c r="AC28" s="103">
        <f ca="1">'RC'!AB28</f>
        <v>-8.2682102785507833E-2</v>
      </c>
      <c r="AD28" s="103">
        <f ca="1">Cruise!AB28</f>
        <v>0.99387971403889719</v>
      </c>
      <c r="AE28" s="103">
        <f t="shared" si="0"/>
        <v>0.68421052631578938</v>
      </c>
      <c r="AF28" s="103">
        <f t="shared" si="1"/>
        <v>6.1578947368421071</v>
      </c>
      <c r="AG28" s="103">
        <f ca="1">'Propulsion-Cruise'!J28</f>
        <v>29.072357738453498</v>
      </c>
      <c r="AH28" s="103">
        <f ca="1">'Propulsion-Takeoff'!J28</f>
        <v>47</v>
      </c>
      <c r="AI28" s="103">
        <f ca="1">Weight!J28</f>
        <v>3.1782238406376933</v>
      </c>
      <c r="AJ28" s="1">
        <f ca="1">Stability!H28</f>
        <v>0.34362005646231264</v>
      </c>
      <c r="AK28" s="103">
        <f ca="1">Stability!N28</f>
        <v>1.8943126121086139E-2</v>
      </c>
      <c r="AL28" s="103">
        <f ca="1">Stability!AH28</f>
        <v>-0.32022188545918978</v>
      </c>
      <c r="AM28" s="103">
        <f ca="1">IF(Energy!$F$11=1,IF(Energy!$R$15=Energy!$U$16,Energy!W28,Energy!AL28),0)</f>
        <v>0.34375</v>
      </c>
      <c r="AN28" s="101"/>
      <c r="AO28" s="103"/>
      <c r="AP28" s="103"/>
      <c r="AQ28" s="103"/>
      <c r="AR28" s="101"/>
      <c r="AS28" s="101"/>
      <c r="AT28" s="101"/>
      <c r="AU28" s="101"/>
      <c r="AV28" s="101"/>
      <c r="AW28" s="105"/>
      <c r="AX28" s="100"/>
      <c r="AY28" s="100"/>
      <c r="AZ28" s="6"/>
    </row>
    <row r="29" spans="1:52">
      <c r="A29" s="6"/>
      <c r="B29" s="6"/>
      <c r="C29" s="6"/>
      <c r="D29" s="1">
        <f>Main!C29</f>
        <v>2.1315789473684212</v>
      </c>
      <c r="E29" s="103">
        <f>Main!B29</f>
        <v>0.33333333333333326</v>
      </c>
      <c r="F29" s="103">
        <f ca="1">IF(Main!$D$6=1,U29,IF(Main!$D$6=2,N29,IF(Main!$D$6=3,K29,IF(Main!$D$6=4,V29,J29))))</f>
        <v>1940.7950193182328</v>
      </c>
      <c r="G29" s="103">
        <f ca="1">Main!N29</f>
        <v>10</v>
      </c>
      <c r="H29" s="103">
        <f ca="1">Weight!U29</f>
        <v>15.416722860522214</v>
      </c>
      <c r="I29" s="103">
        <f ca="1">Weight!V29</f>
        <v>122.22241873640721</v>
      </c>
      <c r="J29" s="103">
        <f ca="1">Weight!I29</f>
        <v>96.745337600884994</v>
      </c>
      <c r="K29" s="103">
        <f ca="1">Weight!W29</f>
        <v>132.22241873545346</v>
      </c>
      <c r="L29" s="103">
        <f ca="1">'Aerodynamics-Cruise'!BI29</f>
        <v>132.22241873736857</v>
      </c>
      <c r="M29" s="103">
        <f ca="1">'Aerodynamics-Cruise'!BJ29</f>
        <v>7.2326719010489109</v>
      </c>
      <c r="N29" s="103">
        <f ca="1">'Aerodynamics-Cruise'!BK29</f>
        <v>18.281268740836033</v>
      </c>
      <c r="O29" s="103">
        <f t="shared" ca="1" si="2"/>
        <v>210.21266674716153</v>
      </c>
      <c r="P29" s="103">
        <f ca="1">'Aerodynamics-Cruise'!H29</f>
        <v>25.337550160719807</v>
      </c>
      <c r="Q29" s="103">
        <f ca="1">'Aerodynamics-Cruise'!I29</f>
        <v>19.900844140940418</v>
      </c>
      <c r="R29" s="1">
        <f ca="1">'Aerodynamics-Speed'!H29</f>
        <v>25.337550160906257</v>
      </c>
      <c r="S29" s="103">
        <f ca="1">'Aerodynamics-Cruise'!W29</f>
        <v>0.9</v>
      </c>
      <c r="T29" s="103">
        <f ca="1">'Aerodynamics-Cruise'!BL29</f>
        <v>183.25818708885546</v>
      </c>
      <c r="U29" s="103">
        <f ca="1">'Propulsion-Cruise'!M29</f>
        <v>328.0650685706737</v>
      </c>
      <c r="V29" s="103">
        <f ca="1">Endurance!AP29</f>
        <v>1940.7950193018301</v>
      </c>
      <c r="W29" s="13">
        <f ca="1">Energy!L29</f>
        <v>1733.6044704799842</v>
      </c>
      <c r="X29" s="13">
        <f ca="1">Energy!D29</f>
        <v>3650.8191828407553</v>
      </c>
      <c r="Y29" s="102">
        <f ca="1">'Aerodynamics-Cruise'!V29</f>
        <v>348501.50126623455</v>
      </c>
      <c r="Z29" s="81">
        <f ca="1">'Aerodynamics-Takeoff'!V29</f>
        <v>284197.97549928707</v>
      </c>
      <c r="AA29" s="81">
        <f ca="1">'Aerodynamics-Speed'!V29</f>
        <v>348501.50126879907</v>
      </c>
      <c r="AB29" s="103">
        <f ca="1">Takeoff!Z29</f>
        <v>46.987457218790411</v>
      </c>
      <c r="AC29" s="103">
        <f ca="1">'RC'!AB29</f>
        <v>2.0391533209601818E-3</v>
      </c>
      <c r="AD29" s="103">
        <f ca="1">Cruise!AB29</f>
        <v>0.97703834859053484</v>
      </c>
      <c r="AE29" s="103">
        <f t="shared" si="0"/>
        <v>0.71052631578947356</v>
      </c>
      <c r="AF29" s="103">
        <f t="shared" si="1"/>
        <v>6.3947368421052664</v>
      </c>
      <c r="AG29" s="103">
        <f ca="1">'Propulsion-Cruise'!J29</f>
        <v>28.335444512732877</v>
      </c>
      <c r="AH29" s="103">
        <f ca="1">'Propulsion-Takeoff'!J29</f>
        <v>47</v>
      </c>
      <c r="AI29" s="103">
        <f ca="1">Weight!J29</f>
        <v>3.1771836390460328</v>
      </c>
      <c r="AJ29" s="1">
        <f ca="1">Stability!H29</f>
        <v>0.34006121713764698</v>
      </c>
      <c r="AK29" s="103">
        <f ca="1">Stability!N29</f>
        <v>1.8593794943497555E-2</v>
      </c>
      <c r="AL29" s="103">
        <f ca="1">Stability!AH29</f>
        <v>-0.32356685418466152</v>
      </c>
      <c r="AM29" s="103">
        <f ca="1">IF(Energy!$F$11=1,IF(Energy!$R$15=Energy!$U$16,Energy!W29,Energy!AL29),0)</f>
        <v>0.34375</v>
      </c>
      <c r="AN29" s="101"/>
      <c r="AO29" s="103"/>
      <c r="AP29" s="103"/>
      <c r="AQ29" s="103"/>
      <c r="AR29" s="101"/>
      <c r="AS29" s="101"/>
      <c r="AT29" s="101"/>
      <c r="AU29" s="101"/>
      <c r="AV29" s="101"/>
      <c r="AW29" s="105"/>
      <c r="AX29" s="100"/>
      <c r="AY29" s="100"/>
      <c r="AZ29" s="6"/>
    </row>
    <row r="30" spans="1:52">
      <c r="A30" s="6"/>
      <c r="B30" s="6"/>
      <c r="C30" s="6"/>
      <c r="D30" s="1">
        <f>Main!C30</f>
        <v>2.2105263157894739</v>
      </c>
      <c r="E30" s="103">
        <f>Main!B30</f>
        <v>0.33333333333333326</v>
      </c>
      <c r="F30" s="103">
        <f ca="1">IF(Main!$D$6=1,U30,IF(Main!$D$6=2,N30,IF(Main!$D$6=3,K30,IF(Main!$D$6=4,V30,J30))))</f>
        <v>1931.024893800952</v>
      </c>
      <c r="G30" s="103">
        <f ca="1">Main!N30</f>
        <v>10</v>
      </c>
      <c r="H30" s="103">
        <f ca="1">Weight!U30</f>
        <v>15.716563898319222</v>
      </c>
      <c r="I30" s="103">
        <f ca="1">Weight!V30</f>
        <v>121.99460630550439</v>
      </c>
      <c r="J30" s="103">
        <f ca="1">Weight!I30</f>
        <v>96.21768413218517</v>
      </c>
      <c r="K30" s="103">
        <f ca="1">Weight!W30</f>
        <v>131.99460630452538</v>
      </c>
      <c r="L30" s="103">
        <f ca="1">'Aerodynamics-Cruise'!BI30</f>
        <v>131.99460630649111</v>
      </c>
      <c r="M30" s="103">
        <f ca="1">'Aerodynamics-Cruise'!BJ30</f>
        <v>7.070954097241656</v>
      </c>
      <c r="N30" s="103">
        <f ca="1">'Aerodynamics-Cruise'!BK30</f>
        <v>18.667156439041452</v>
      </c>
      <c r="O30" s="103">
        <f t="shared" ca="1" si="2"/>
        <v>214.46491740009861</v>
      </c>
      <c r="P30" s="103">
        <f ca="1">'Aerodynamics-Cruise'!H30</f>
        <v>24.858990723279437</v>
      </c>
      <c r="Q30" s="103">
        <f ca="1">'Aerodynamics-Cruise'!I30</f>
        <v>19.52798658614757</v>
      </c>
      <c r="R30" s="1">
        <f ca="1">'Aerodynamics-Speed'!H30</f>
        <v>24.858990723467461</v>
      </c>
      <c r="S30" s="103">
        <f ca="1">'Aerodynamics-Cruise'!W30</f>
        <v>0.9</v>
      </c>
      <c r="T30" s="103">
        <f ca="1">'Aerodynamics-Cruise'!BL30</f>
        <v>175.77678230806504</v>
      </c>
      <c r="U30" s="103">
        <f ca="1">'Propulsion-Cruise'!M30</f>
        <v>315.21082261284903</v>
      </c>
      <c r="V30" s="103">
        <f ca="1">Endurance!AP30</f>
        <v>1931.0248937841338</v>
      </c>
      <c r="W30" s="13">
        <f ca="1">Energy!L30</f>
        <v>1723.6982976724057</v>
      </c>
      <c r="X30" s="13">
        <f ca="1">Energy!D30</f>
        <v>3632.9330374945048</v>
      </c>
      <c r="Y30" s="102">
        <f ca="1">'Aerodynamics-Cruise'!V30</f>
        <v>341919.22786824655</v>
      </c>
      <c r="Z30" s="81">
        <f ca="1">'Aerodynamics-Takeoff'!V30</f>
        <v>278873.01138237474</v>
      </c>
      <c r="AA30" s="81">
        <f ca="1">'Aerodynamics-Speed'!V30</f>
        <v>341919.22787083266</v>
      </c>
      <c r="AB30" s="103">
        <f ca="1">Takeoff!Z30</f>
        <v>44.97992427710092</v>
      </c>
      <c r="AC30" s="103">
        <f ca="1">'RC'!AB30</f>
        <v>7.7149405888954331E-2</v>
      </c>
      <c r="AD30" s="103">
        <f ca="1">Cruise!AB30</f>
        <v>0.96148549537759376</v>
      </c>
      <c r="AE30" s="103">
        <f t="shared" si="0"/>
        <v>0.73684210526315785</v>
      </c>
      <c r="AF30" s="103">
        <f t="shared" si="1"/>
        <v>6.631578947368423</v>
      </c>
      <c r="AG30" s="103">
        <f ca="1">'Propulsion-Cruise'!J30</f>
        <v>27.66559614975343</v>
      </c>
      <c r="AH30" s="103">
        <f ca="1">'Propulsion-Takeoff'!J30</f>
        <v>47</v>
      </c>
      <c r="AI30" s="103">
        <f ca="1">Weight!J30</f>
        <v>3.1762020355440868</v>
      </c>
      <c r="AJ30" s="1">
        <f ca="1">Stability!H30</f>
        <v>0.33673284858628677</v>
      </c>
      <c r="AK30" s="103">
        <f ca="1">Stability!N30</f>
        <v>1.8277562238412138E-2</v>
      </c>
      <c r="AL30" s="103">
        <f ca="1">Stability!AH30</f>
        <v>-0.32675940672351028</v>
      </c>
      <c r="AM30" s="103">
        <f ca="1">IF(Energy!$F$11=1,IF(Energy!$R$15=Energy!$U$16,Energy!W30,Energy!AL30),0)</f>
        <v>0.34375</v>
      </c>
      <c r="AN30" s="101"/>
      <c r="AO30" s="103"/>
      <c r="AP30" s="103"/>
      <c r="AQ30" s="103"/>
      <c r="AR30" s="101"/>
      <c r="AS30" s="101"/>
      <c r="AT30" s="101"/>
      <c r="AU30" s="101"/>
      <c r="AV30" s="101"/>
      <c r="AW30" s="105"/>
      <c r="AX30" s="100"/>
      <c r="AY30" s="100"/>
      <c r="AZ30" s="6"/>
    </row>
    <row r="31" spans="1:52">
      <c r="A31" s="6"/>
      <c r="B31" s="6"/>
      <c r="C31" s="6"/>
      <c r="D31" s="1">
        <f>Main!C31</f>
        <v>2.2894736842105265</v>
      </c>
      <c r="E31" s="103">
        <f>Main!B31</f>
        <v>0.33333333333333326</v>
      </c>
      <c r="F31" s="103">
        <f ca="1">IF(Main!$D$6=1,U31,IF(Main!$D$6=2,N31,IF(Main!$D$6=3,K31,IF(Main!$D$6=4,V31,J31))))</f>
        <v>1922.3219846807006</v>
      </c>
      <c r="G31" s="103">
        <f ca="1">Main!N31</f>
        <v>10</v>
      </c>
      <c r="H31" s="103">
        <f ca="1">Weight!U31</f>
        <v>16.023675886546343</v>
      </c>
      <c r="I31" s="103">
        <f ca="1">Weight!V31</f>
        <v>121.83112185491365</v>
      </c>
      <c r="J31" s="103">
        <f ca="1">Weight!I31</f>
        <v>95.747087693367305</v>
      </c>
      <c r="K31" s="103">
        <f ca="1">Weight!W31</f>
        <v>131.83112185391033</v>
      </c>
      <c r="L31" s="103">
        <f ca="1">'Aerodynamics-Cruise'!BI31</f>
        <v>131.83112185592466</v>
      </c>
      <c r="M31" s="103">
        <f ca="1">'Aerodynamics-Cruise'!BJ31</f>
        <v>6.9241502873566816</v>
      </c>
      <c r="N31" s="103">
        <f ca="1">'Aerodynamics-Cruise'!BK31</f>
        <v>19.039321271903191</v>
      </c>
      <c r="O31" s="103">
        <f t="shared" ca="1" si="2"/>
        <v>218.60517373349634</v>
      </c>
      <c r="P31" s="103">
        <f ca="1">'Aerodynamics-Cruise'!H31</f>
        <v>24.411011139810388</v>
      </c>
      <c r="Q31" s="103">
        <f ca="1">'Aerodynamics-Cruise'!I31</f>
        <v>19.17888083682233</v>
      </c>
      <c r="R31" s="1">
        <f ca="1">'Aerodynamics-Speed'!H31</f>
        <v>25.272738494934266</v>
      </c>
      <c r="S31" s="103">
        <f ca="1">'Aerodynamics-Cruise'!W31</f>
        <v>0.9</v>
      </c>
      <c r="T31" s="103">
        <f ca="1">'Aerodynamics-Cruise'!BL31</f>
        <v>169.02550979838526</v>
      </c>
      <c r="U31" s="103">
        <f ca="1">'Propulsion-Cruise'!M31</f>
        <v>303.6280002552229</v>
      </c>
      <c r="V31" s="103">
        <f ca="1">Endurance!AP31</f>
        <v>1922.3219846634868</v>
      </c>
      <c r="W31" s="13">
        <f ca="1">Energy!L31</f>
        <v>1714.8633142559702</v>
      </c>
      <c r="X31" s="13">
        <f ca="1">Energy!D31</f>
        <v>3616.9809841044471</v>
      </c>
      <c r="Y31" s="102">
        <f ca="1">'Aerodynamics-Cruise'!V31</f>
        <v>335757.56044636539</v>
      </c>
      <c r="Z31" s="81">
        <f ca="1">'Aerodynamics-Takeoff'!V31</f>
        <v>273887.26589319156</v>
      </c>
      <c r="AA31" s="81">
        <f ca="1">'Aerodynamics-Speed'!V31</f>
        <v>347610.05901224585</v>
      </c>
      <c r="AB31" s="103">
        <f ca="1">Takeoff!Z31</f>
        <v>43.167824986214228</v>
      </c>
      <c r="AC31" s="103">
        <f ca="1">'RC'!AB31</f>
        <v>0.14397298175268636</v>
      </c>
      <c r="AD31" s="103">
        <f ca="1">Cruise!AB31</f>
        <v>0.94707755469844024</v>
      </c>
      <c r="AE31" s="103">
        <f t="shared" si="0"/>
        <v>0.76315789473684204</v>
      </c>
      <c r="AF31" s="103">
        <f t="shared" si="1"/>
        <v>6.8684210526315805</v>
      </c>
      <c r="AG31" s="103">
        <f ca="1">'Propulsion-Cruise'!J31</f>
        <v>27.054401118821339</v>
      </c>
      <c r="AH31" s="103">
        <f ca="1">'Propulsion-Takeoff'!J31</f>
        <v>47</v>
      </c>
      <c r="AI31" s="103">
        <f ca="1">Weight!J31</f>
        <v>3.1752731250228621</v>
      </c>
      <c r="AJ31" s="1">
        <f ca="1">Stability!H31</f>
        <v>0.33361510434790553</v>
      </c>
      <c r="AK31" s="103">
        <f ca="1">Stability!N31</f>
        <v>1.7989972639883216E-2</v>
      </c>
      <c r="AL31" s="103">
        <f ca="1">Stability!AH31</f>
        <v>-0.3298079010906152</v>
      </c>
      <c r="AM31" s="103">
        <f ca="1">IF(Energy!$F$11=1,IF(Energy!$R$15=Energy!$U$16,Energy!W31,Energy!AL31),0)</f>
        <v>0.34375</v>
      </c>
      <c r="AN31" s="101"/>
      <c r="AO31" s="103"/>
      <c r="AP31" s="103"/>
      <c r="AQ31" s="103"/>
      <c r="AR31" s="101"/>
      <c r="AS31" s="101"/>
      <c r="AT31" s="101"/>
      <c r="AU31" s="101"/>
      <c r="AV31" s="101"/>
      <c r="AW31" s="105"/>
      <c r="AX31" s="100"/>
      <c r="AY31" s="100"/>
      <c r="AZ31" s="6"/>
    </row>
    <row r="32" spans="1:52">
      <c r="A32" s="6"/>
      <c r="B32" s="6"/>
      <c r="C32" s="6"/>
      <c r="D32" s="1">
        <f>Main!C32</f>
        <v>2.3684210526315792</v>
      </c>
      <c r="E32" s="103">
        <f>Main!B32</f>
        <v>0.33333333333333326</v>
      </c>
      <c r="F32" s="103">
        <f ca="1">IF(Main!$D$6=1,U32,IF(Main!$D$6=2,N32,IF(Main!$D$6=3,K32,IF(Main!$D$6=4,V32,J32))))</f>
        <v>1914.5345911960394</v>
      </c>
      <c r="G32" s="103">
        <f ca="1">Main!N32</f>
        <v>10</v>
      </c>
      <c r="H32" s="103">
        <f ca="1">Weight!U32</f>
        <v>16.33767874810853</v>
      </c>
      <c r="I32" s="103">
        <f ca="1">Weight!V32</f>
        <v>121.72349764200382</v>
      </c>
      <c r="J32" s="103">
        <f ca="1">Weight!I32</f>
        <v>95.325460618895292</v>
      </c>
      <c r="K32" s="103">
        <f ca="1">Weight!W32</f>
        <v>131.72349764097771</v>
      </c>
      <c r="L32" s="103">
        <f ca="1">'Aerodynamics-Cruise'!BI32</f>
        <v>131.7234976430376</v>
      </c>
      <c r="M32" s="103">
        <f ca="1">'Aerodynamics-Cruise'!BJ32</f>
        <v>6.7904786277143527</v>
      </c>
      <c r="N32" s="103">
        <f ca="1">'Aerodynamics-Cruise'!BK32</f>
        <v>19.398264078974826</v>
      </c>
      <c r="O32" s="103">
        <f t="shared" ca="1" si="2"/>
        <v>222.63554051457339</v>
      </c>
      <c r="P32" s="103">
        <f ca="1">'Aerodynamics-Cruise'!H32</f>
        <v>23.990482001725344</v>
      </c>
      <c r="Q32" s="103">
        <f ca="1">'Aerodynamics-Cruise'!I32</f>
        <v>18.851101890046259</v>
      </c>
      <c r="R32" s="1">
        <f ca="1">'Aerodynamics-Speed'!H32</f>
        <v>25.81753184746562</v>
      </c>
      <c r="S32" s="103">
        <f ca="1">'Aerodynamics-Cruise'!W32</f>
        <v>0.9</v>
      </c>
      <c r="T32" s="103">
        <f ca="1">'Aerodynamics-Cruise'!BL32</f>
        <v>162.90685530128178</v>
      </c>
      <c r="U32" s="103">
        <f ca="1">'Propulsion-Cruise'!M32</f>
        <v>293.14588953447145</v>
      </c>
      <c r="V32" s="103">
        <f ca="1">Endurance!AP32</f>
        <v>1914.5345911784559</v>
      </c>
      <c r="W32" s="13">
        <f ca="1">Energy!L32</f>
        <v>1706.9476822969789</v>
      </c>
      <c r="X32" s="13">
        <f ca="1">Energy!D32</f>
        <v>3602.6888708458373</v>
      </c>
      <c r="Y32" s="102">
        <f ca="1">'Aerodynamics-Cruise'!V32</f>
        <v>329973.45602351421</v>
      </c>
      <c r="Z32" s="81">
        <f ca="1">'Aerodynamics-Takeoff'!V32</f>
        <v>269206.10505613778</v>
      </c>
      <c r="AA32" s="81">
        <f ca="1">'Aerodynamics-Speed'!V32</f>
        <v>355103.33677717269</v>
      </c>
      <c r="AB32" s="103">
        <f ca="1">Takeoff!Z32</f>
        <v>41.52410987122461</v>
      </c>
      <c r="AC32" s="103">
        <f ca="1">'RC'!AB32</f>
        <v>0.20360478339854196</v>
      </c>
      <c r="AD32" s="103">
        <f ca="1">Cruise!AB32</f>
        <v>0.93369302160100331</v>
      </c>
      <c r="AE32" s="103">
        <f t="shared" si="0"/>
        <v>0.78947368421052622</v>
      </c>
      <c r="AF32" s="103">
        <f t="shared" si="1"/>
        <v>7.1052631578947389</v>
      </c>
      <c r="AG32" s="103">
        <f ca="1">'Propulsion-Cruise'!J32</f>
        <v>26.494842713370744</v>
      </c>
      <c r="AH32" s="103">
        <f ca="1">'Propulsion-Takeoff'!J32</f>
        <v>47</v>
      </c>
      <c r="AI32" s="103">
        <f ca="1">Weight!J32</f>
        <v>3.1743918615759816</v>
      </c>
      <c r="AJ32" s="1">
        <f ca="1">Stability!H32</f>
        <v>0.33069017362429531</v>
      </c>
      <c r="AK32" s="103">
        <f ca="1">Stability!N32</f>
        <v>1.7727325021640358E-2</v>
      </c>
      <c r="AL32" s="103">
        <f ca="1">Stability!AH32</f>
        <v>-0.33272028705543799</v>
      </c>
      <c r="AM32" s="103">
        <f ca="1">IF(Energy!$F$11=1,IF(Energy!$R$15=Energy!$U$16,Energy!W32,Energy!AL32),0)</f>
        <v>0.34375</v>
      </c>
      <c r="AN32" s="101"/>
      <c r="AO32" s="103"/>
      <c r="AP32" s="103"/>
      <c r="AQ32" s="103"/>
      <c r="AR32" s="101"/>
      <c r="AS32" s="101"/>
      <c r="AT32" s="101"/>
      <c r="AU32" s="101"/>
      <c r="AV32" s="101"/>
      <c r="AW32" s="105"/>
      <c r="AX32" s="100"/>
      <c r="AY32" s="100"/>
      <c r="AZ32" s="6"/>
    </row>
    <row r="33" spans="1:52">
      <c r="A33" s="6"/>
      <c r="B33" s="42"/>
      <c r="C33" s="103"/>
      <c r="D33" s="1">
        <f>Main!C33</f>
        <v>2.4473684210526319</v>
      </c>
      <c r="E33" s="103">
        <f>Main!B33</f>
        <v>0.33333333333333326</v>
      </c>
      <c r="F33" s="103">
        <f ca="1">IF(Main!$D$6=1,U33,IF(Main!$D$6=2,N33,IF(Main!$D$6=3,K33,IF(Main!$D$6=4,V33,J33))))</f>
        <v>1907.5386383109562</v>
      </c>
      <c r="G33" s="103">
        <f ca="1">Main!N33</f>
        <v>10</v>
      </c>
      <c r="H33" s="103">
        <f ca="1">Weight!U33</f>
        <v>16.658255827899268</v>
      </c>
      <c r="I33" s="103">
        <f ca="1">Weight!V33</f>
        <v>121.66480106818827</v>
      </c>
      <c r="J33" s="103">
        <f ca="1">Weight!I33</f>
        <v>94.946186965289002</v>
      </c>
      <c r="K33" s="103">
        <f ca="1">Weight!W33</f>
        <v>131.66480106713556</v>
      </c>
      <c r="L33" s="103">
        <f ca="1">'Aerodynamics-Cruise'!BI33</f>
        <v>131.66480106924882</v>
      </c>
      <c r="M33" s="103">
        <f ca="1">'Aerodynamics-Cruise'!BJ33</f>
        <v>6.6684398389235664</v>
      </c>
      <c r="N33" s="103">
        <f ca="1">'Aerodynamics-Cruise'!BK33</f>
        <v>19.744468608792673</v>
      </c>
      <c r="O33" s="103">
        <f t="shared" ca="1" si="2"/>
        <v>226.55846499164778</v>
      </c>
      <c r="P33" s="103">
        <f ca="1">'Aerodynamics-Cruise'!H33</f>
        <v>23.594721425716866</v>
      </c>
      <c r="Q33" s="103">
        <f ca="1">'Aerodynamics-Cruise'!I33</f>
        <v>18.542570992423428</v>
      </c>
      <c r="R33" s="1">
        <f ca="1">'Aerodynamics-Speed'!H33</f>
        <v>26.185424695057158</v>
      </c>
      <c r="S33" s="103">
        <f ca="1">'Aerodynamics-Cruise'!W33</f>
        <v>0.9</v>
      </c>
      <c r="T33" s="103">
        <f ca="1">'Aerodynamics-Cruise'!BL33</f>
        <v>157.3399803435538</v>
      </c>
      <c r="U33" s="103">
        <f ca="1">'Propulsion-Cruise'!M33</f>
        <v>283.62314525468543</v>
      </c>
      <c r="V33" s="103">
        <f ca="1">Endurance!AP33</f>
        <v>1907.5386382929396</v>
      </c>
      <c r="W33" s="13">
        <f ca="1">Energy!L33</f>
        <v>1699.8271939897868</v>
      </c>
      <c r="X33" s="13">
        <f ca="1">Energy!D33</f>
        <v>3589.8324336253072</v>
      </c>
      <c r="Y33" s="102">
        <f ca="1">'Aerodynamics-Cruise'!V33</f>
        <v>324530.0270413878</v>
      </c>
      <c r="Z33" s="81">
        <f ca="1">'Aerodynamics-Takeoff'!V33</f>
        <v>264799.84009686852</v>
      </c>
      <c r="AA33" s="81">
        <f ca="1">'Aerodynamics-Speed'!V33</f>
        <v>360163.46330390859</v>
      </c>
      <c r="AB33" s="103">
        <f ca="1">Takeoff!Z33</f>
        <v>40.026579828843587</v>
      </c>
      <c r="AC33" s="103">
        <f ca="1">'RC'!AB33</f>
        <v>0.25695785861049747</v>
      </c>
      <c r="AD33" s="103">
        <f ca="1">Cruise!AB33</f>
        <v>0.92122818689683839</v>
      </c>
      <c r="AE33" s="103">
        <f t="shared" si="0"/>
        <v>0.8157894736842104</v>
      </c>
      <c r="AF33" s="103">
        <f t="shared" si="1"/>
        <v>7.3421052631578974</v>
      </c>
      <c r="AG33" s="103">
        <f ca="1">'Propulsion-Cruise'!J33</f>
        <v>25.981014235239989</v>
      </c>
      <c r="AH33" s="103">
        <f ca="1">'Propulsion-Takeoff'!J33</f>
        <v>47</v>
      </c>
      <c r="AI33" s="103">
        <f ca="1">Weight!J33</f>
        <v>3.1735538998761981</v>
      </c>
      <c r="AJ33" s="1">
        <f ca="1">Stability!H33</f>
        <v>0.32794205410472455</v>
      </c>
      <c r="AK33" s="103">
        <f ca="1">Stability!N33</f>
        <v>1.7486521721083469E-2</v>
      </c>
      <c r="AL33" s="103">
        <f ca="1">Stability!AH33</f>
        <v>-0.33550409664813946</v>
      </c>
      <c r="AM33" s="103">
        <f ca="1">IF(Energy!$F$11=1,IF(Energy!$R$15=Energy!$U$16,Energy!W33,Energy!AL33),0)</f>
        <v>0.34375</v>
      </c>
      <c r="AN33" s="101"/>
      <c r="AO33" s="103"/>
      <c r="AP33" s="103"/>
      <c r="AQ33" s="103"/>
      <c r="AR33" s="101"/>
      <c r="AS33" s="101"/>
      <c r="AT33" s="101"/>
      <c r="AU33" s="101"/>
      <c r="AV33" s="101"/>
      <c r="AW33" s="105"/>
      <c r="AX33" s="100"/>
      <c r="AY33" s="100"/>
      <c r="AZ33" s="6"/>
    </row>
    <row r="34" spans="1:52">
      <c r="A34" s="6"/>
      <c r="B34" s="42"/>
      <c r="C34" s="103"/>
      <c r="D34" s="1">
        <f>Main!C34</f>
        <v>2.5263157894736845</v>
      </c>
      <c r="E34" s="103">
        <f>Main!B34</f>
        <v>0.33333333333333326</v>
      </c>
      <c r="F34" s="103">
        <f ca="1">IF(Main!$D$6=1,U34,IF(Main!$D$6=2,N34,IF(Main!$D$6=3,K34,IF(Main!$D$6=4,V34,J34))))</f>
        <v>1901.2103179530427</v>
      </c>
      <c r="G34" s="103">
        <f ca="1">Main!N34</f>
        <v>10</v>
      </c>
      <c r="H34" s="103">
        <f ca="1">Weight!U34</f>
        <v>16.985063575430246</v>
      </c>
      <c r="I34" s="103">
        <f ca="1">Weight!V34</f>
        <v>121.64808624958647</v>
      </c>
      <c r="J34" s="103">
        <f ca="1">Weight!I34</f>
        <v>94.602664399156225</v>
      </c>
      <c r="K34" s="103">
        <f ca="1">Weight!W34</f>
        <v>131.64808624850315</v>
      </c>
      <c r="L34" s="103">
        <f ca="1">'Aerodynamics-Cruise'!BI34</f>
        <v>131.64808625067786</v>
      </c>
      <c r="M34" s="103">
        <f ca="1">'Aerodynamics-Cruise'!BJ34</f>
        <v>6.5567071055434125</v>
      </c>
      <c r="N34" s="103">
        <f ca="1">'Aerodynamics-Cruise'!BK34</f>
        <v>20.078384489582444</v>
      </c>
      <c r="O34" s="103">
        <f t="shared" ca="1" si="2"/>
        <v>230.37536779092045</v>
      </c>
      <c r="P34" s="103">
        <f ca="1">'Aerodynamics-Cruise'!H34</f>
        <v>23.221306277971916</v>
      </c>
      <c r="Q34" s="103">
        <f ca="1">'Aerodynamics-Cruise'!I34</f>
        <v>18.251408915267429</v>
      </c>
      <c r="R34" s="1">
        <f ca="1">'Aerodynamics-Speed'!H34</f>
        <v>26.46159793226753</v>
      </c>
      <c r="S34" s="103">
        <f ca="1">'Aerodynamics-Cruise'!W34</f>
        <v>0.9</v>
      </c>
      <c r="T34" s="103">
        <f ca="1">'Aerodynamics-Cruise'!BL34</f>
        <v>152.25530387277831</v>
      </c>
      <c r="U34" s="103">
        <f ca="1">'Propulsion-Cruise'!M34</f>
        <v>274.9382688323771</v>
      </c>
      <c r="V34" s="103">
        <f ca="1">Endurance!AP34</f>
        <v>1901.2103179345254</v>
      </c>
      <c r="W34" s="13">
        <f ca="1">Energy!L34</f>
        <v>1693.37789704488</v>
      </c>
      <c r="X34" s="13">
        <f ca="1">Energy!D34</f>
        <v>3578.1878696979129</v>
      </c>
      <c r="Y34" s="102">
        <f ca="1">'Aerodynamics-Cruise'!V34</f>
        <v>319393.94487246464</v>
      </c>
      <c r="Z34" s="81">
        <f ca="1">'Aerodynamics-Takeoff'!V34</f>
        <v>260641.63195734477</v>
      </c>
      <c r="AA34" s="81">
        <f ca="1">'Aerodynamics-Speed'!V34</f>
        <v>363962.0463226639</v>
      </c>
      <c r="AB34" s="103">
        <f ca="1">Takeoff!Z34</f>
        <v>38.656083306337599</v>
      </c>
      <c r="AC34" s="103">
        <f ca="1">'RC'!AB34</f>
        <v>0.30482096429372307</v>
      </c>
      <c r="AD34" s="103">
        <f ca="1">Cruise!AB34</f>
        <v>0.90958956142527903</v>
      </c>
      <c r="AE34" s="103">
        <f t="shared" si="0"/>
        <v>0.84210526315789469</v>
      </c>
      <c r="AF34" s="103">
        <f t="shared" si="1"/>
        <v>7.5789473684210549</v>
      </c>
      <c r="AG34" s="103">
        <f ca="1">'Propulsion-Cruise'!J34</f>
        <v>25.507704417152389</v>
      </c>
      <c r="AH34" s="103">
        <f ca="1">'Propulsion-Takeoff'!J34</f>
        <v>47</v>
      </c>
      <c r="AI34" s="103">
        <f ca="1">Weight!J34</f>
        <v>3.1727552678468505</v>
      </c>
      <c r="AJ34" s="1">
        <f ca="1">Stability!H34</f>
        <v>0.32535676823777848</v>
      </c>
      <c r="AK34" s="103">
        <f ca="1">Stability!N34</f>
        <v>1.7264952049669213E-2</v>
      </c>
      <c r="AL34" s="103">
        <f ca="1">Stability!AH34</f>
        <v>-0.33816600949220377</v>
      </c>
      <c r="AM34" s="103">
        <f ca="1">IF(Energy!$F$11=1,IF(Energy!$R$15=Energy!$U$16,Energy!W34,Energy!AL34),0)</f>
        <v>0.34375</v>
      </c>
      <c r="AN34" s="101"/>
      <c r="AO34" s="103"/>
      <c r="AP34" s="103"/>
      <c r="AQ34" s="103"/>
      <c r="AR34" s="101"/>
      <c r="AS34" s="101"/>
      <c r="AT34" s="101"/>
      <c r="AU34" s="101"/>
      <c r="AV34" s="101"/>
      <c r="AW34" s="105"/>
      <c r="AX34" s="100"/>
      <c r="AY34" s="100"/>
      <c r="AZ34" s="6"/>
    </row>
    <row r="35" spans="1:52">
      <c r="A35" s="6"/>
      <c r="B35" s="42"/>
      <c r="C35" s="103"/>
      <c r="D35" s="1">
        <f>Main!C35</f>
        <v>2.6052631578947372</v>
      </c>
      <c r="E35" s="103">
        <f>Main!B35</f>
        <v>0.33333333333333326</v>
      </c>
      <c r="F35" s="103">
        <f ca="1">IF(Main!$D$6=1,U35,IF(Main!$D$6=2,N35,IF(Main!$D$6=3,K35,IF(Main!$D$6=4,V35,J35))))</f>
        <v>1895.3836695307116</v>
      </c>
      <c r="G35" s="103">
        <f ca="1">Main!N35</f>
        <v>10</v>
      </c>
      <c r="H35" s="103">
        <f ca="1">Weight!U35</f>
        <v>17.317573760430506</v>
      </c>
      <c r="I35" s="103">
        <f ca="1">Weight!V35</f>
        <v>121.66397514989566</v>
      </c>
      <c r="J35" s="103">
        <f ca="1">Weight!I35</f>
        <v>94.286043114465159</v>
      </c>
      <c r="K35" s="103">
        <f ca="1">Weight!W35</f>
        <v>131.66397514878656</v>
      </c>
      <c r="L35" s="103">
        <f ca="1">'Aerodynamics-Cruise'!BI35</f>
        <v>131.66397515101301</v>
      </c>
      <c r="M35" s="103">
        <f ca="1">'Aerodynamics-Cruise'!BJ35</f>
        <v>6.4539924348214148</v>
      </c>
      <c r="N35" s="103">
        <f ca="1">'Aerodynamics-Cruise'!BK35</f>
        <v>20.400391924949044</v>
      </c>
      <c r="O35" s="103">
        <f t="shared" ca="1" si="2"/>
        <v>234.08414148945928</v>
      </c>
      <c r="P35" s="103">
        <f ca="1">'Aerodynamics-Cruise'!H35</f>
        <v>22.867828371672989</v>
      </c>
      <c r="Q35" s="103">
        <f ca="1">'Aerodynamics-Cruise'!I35</f>
        <v>17.975746070747679</v>
      </c>
      <c r="R35" s="1">
        <f ca="1">'Aerodynamics-Speed'!H35</f>
        <v>26.65013237561713</v>
      </c>
      <c r="S35" s="103">
        <f ca="1">'Aerodynamics-Cruise'!W35</f>
        <v>0.9</v>
      </c>
      <c r="T35" s="103">
        <f ca="1">'Aerodynamics-Cruise'!BL35</f>
        <v>147.58879131157198</v>
      </c>
      <c r="U35" s="103">
        <f ca="1">'Propulsion-Cruise'!M35</f>
        <v>266.97961279681891</v>
      </c>
      <c r="V35" s="103">
        <f ca="1">Endurance!AP35</f>
        <v>1895.3836695117782</v>
      </c>
      <c r="W35" s="13">
        <f ca="1">Energy!L35</f>
        <v>1687.4336450936694</v>
      </c>
      <c r="X35" s="13">
        <f ca="1">Energy!D35</f>
        <v>3567.4551925645392</v>
      </c>
      <c r="Y35" s="102">
        <f ca="1">'Aerodynamics-Cruise'!V35</f>
        <v>314532.08647541265</v>
      </c>
      <c r="Z35" s="81">
        <f ca="1">'Aerodynamics-Takeoff'!V35</f>
        <v>256704.77946346562</v>
      </c>
      <c r="AA35" s="81">
        <f ca="1">'Aerodynamics-Speed'!V35</f>
        <v>366555.21480702626</v>
      </c>
      <c r="AB35" s="103">
        <f ca="1">Takeoff!Z35</f>
        <v>37.394563630893067</v>
      </c>
      <c r="AC35" s="103">
        <f ca="1">'RC'!AB35</f>
        <v>0.34792156823620513</v>
      </c>
      <c r="AD35" s="103">
        <f ca="1">Cruise!AB35</f>
        <v>0.89868409380996639</v>
      </c>
      <c r="AE35" s="103">
        <f t="shared" si="0"/>
        <v>0.86842105263157887</v>
      </c>
      <c r="AF35" s="103">
        <f t="shared" si="1"/>
        <v>7.8157894736842133</v>
      </c>
      <c r="AG35" s="103">
        <f ca="1">'Propulsion-Cruise'!J35</f>
        <v>25.069905304724482</v>
      </c>
      <c r="AH35" s="103">
        <f ca="1">'Propulsion-Takeoff'!J35</f>
        <v>47</v>
      </c>
      <c r="AI35" s="103">
        <f ca="1">Weight!J35</f>
        <v>3.1719919062025048</v>
      </c>
      <c r="AJ35" s="1">
        <f ca="1">Stability!H35</f>
        <v>0.32292292936739403</v>
      </c>
      <c r="AK35" s="103">
        <f ca="1">Stability!N35</f>
        <v>1.7060401434545801E-2</v>
      </c>
      <c r="AL35" s="103">
        <f ca="1">Stability!AH35</f>
        <v>-0.34071104056664281</v>
      </c>
      <c r="AM35" s="103">
        <f ca="1">IF(Energy!$F$11=1,IF(Energy!$R$15=Energy!$U$16,Energy!W35,Energy!AL35),0)</f>
        <v>0.34375</v>
      </c>
      <c r="AN35" s="101"/>
      <c r="AO35" s="103"/>
      <c r="AP35" s="103"/>
      <c r="AQ35" s="103"/>
      <c r="AR35" s="101"/>
      <c r="AS35" s="101"/>
      <c r="AT35" s="101"/>
      <c r="AU35" s="101"/>
      <c r="AV35" s="101"/>
      <c r="AW35" s="105"/>
      <c r="AX35" s="100"/>
      <c r="AY35" s="100"/>
      <c r="AZ35" s="6"/>
    </row>
    <row r="36" spans="1:52">
      <c r="A36" s="6"/>
      <c r="B36" s="42"/>
      <c r="C36" s="103"/>
      <c r="D36" s="1">
        <f>Main!C36</f>
        <v>2.6842105263157898</v>
      </c>
      <c r="E36" s="103">
        <f>Main!B36</f>
        <v>0.33333333333333326</v>
      </c>
      <c r="F36" s="103">
        <f ca="1">IF(Main!$D$6=1,U36,IF(Main!$D$6=2,N36,IF(Main!$D$6=3,K36,IF(Main!$D$6=4,V36,J36))))</f>
        <v>1890.103628518043</v>
      </c>
      <c r="G36" s="103">
        <f ca="1">Main!N36</f>
        <v>10</v>
      </c>
      <c r="H36" s="103">
        <f ca="1">Weight!U36</f>
        <v>17.656010351910766</v>
      </c>
      <c r="I36" s="103">
        <f ca="1">Weight!V36</f>
        <v>121.71508343743108</v>
      </c>
      <c r="J36" s="103">
        <f ca="1">Weight!I36</f>
        <v>93.998714810520312</v>
      </c>
      <c r="K36" s="103">
        <f ca="1">Weight!W36</f>
        <v>131.71508343629725</v>
      </c>
      <c r="L36" s="103">
        <f ca="1">'Aerodynamics-Cruise'!BI36</f>
        <v>131.71508343857323</v>
      </c>
      <c r="M36" s="103">
        <f ca="1">'Aerodynamics-Cruise'!BJ36</f>
        <v>6.3596631127441468</v>
      </c>
      <c r="N36" s="103">
        <f ca="1">'Aerodynamics-Cruise'!BK36</f>
        <v>20.711015835827688</v>
      </c>
      <c r="O36" s="103">
        <f t="shared" ca="1" si="2"/>
        <v>237.69451295281755</v>
      </c>
      <c r="P36" s="103">
        <f ca="1">'Aerodynamics-Cruise'!H36</f>
        <v>22.533115808238001</v>
      </c>
      <c r="Q36" s="103">
        <f ca="1">'Aerodynamics-Cruise'!I36</f>
        <v>17.714676263252194</v>
      </c>
      <c r="R36" s="1">
        <f ca="1">'Aerodynamics-Speed'!H36</f>
        <v>26.669668141824815</v>
      </c>
      <c r="S36" s="103">
        <f ca="1">'Aerodynamics-Cruise'!W36</f>
        <v>0.9</v>
      </c>
      <c r="T36" s="103">
        <f ca="1">'Aerodynamics-Cruise'!BL36</f>
        <v>143.30302542084323</v>
      </c>
      <c r="U36" s="103">
        <f ca="1">'Propulsion-Cruise'!M36</f>
        <v>259.68185977899549</v>
      </c>
      <c r="V36" s="103">
        <f ca="1">Endurance!AP36</f>
        <v>1890.1036284987135</v>
      </c>
      <c r="W36" s="13">
        <f ca="1">Energy!L36</f>
        <v>1682.0393399286177</v>
      </c>
      <c r="X36" s="13">
        <f ca="1">Energy!D36</f>
        <v>3557.7154749061392</v>
      </c>
      <c r="Y36" s="102">
        <f ca="1">'Aerodynamics-Cruise'!V36</f>
        <v>309928.33314843953</v>
      </c>
      <c r="Z36" s="81">
        <f ca="1">'Aerodynamics-Takeoff'!V36</f>
        <v>252976.34010709351</v>
      </c>
      <c r="AA36" s="81">
        <f ca="1">'Aerodynamics-Speed'!V36</f>
        <v>366823.91654845665</v>
      </c>
      <c r="AB36" s="103">
        <f ca="1">Takeoff!Z36</f>
        <v>36.233196136146056</v>
      </c>
      <c r="AC36" s="103">
        <f ca="1">'RC'!AB36</f>
        <v>0.38669638565185616</v>
      </c>
      <c r="AD36" s="103">
        <f ca="1">Cruise!AB36</f>
        <v>0.88846794387596928</v>
      </c>
      <c r="AE36" s="103">
        <f t="shared" si="0"/>
        <v>0.89473684210526305</v>
      </c>
      <c r="AF36" s="103">
        <f t="shared" si="1"/>
        <v>8.0526315789473717</v>
      </c>
      <c r="AG36" s="103">
        <f ca="1">'Propulsion-Cruise'!J36</f>
        <v>24.665021563469821</v>
      </c>
      <c r="AH36" s="103">
        <f ca="1">'Propulsion-Takeoff'!J36</f>
        <v>47</v>
      </c>
      <c r="AI36" s="103">
        <f ca="1">Weight!J36</f>
        <v>3.1712620387002599</v>
      </c>
      <c r="AJ36" s="1">
        <f ca="1">Stability!H36</f>
        <v>0.32062649933659459</v>
      </c>
      <c r="AK36" s="103">
        <f ca="1">Stability!N36</f>
        <v>1.6870979920576692E-2</v>
      </c>
      <c r="AL36" s="103">
        <f ca="1">Stability!AH36</f>
        <v>-0.34314790731950845</v>
      </c>
      <c r="AM36" s="103">
        <f ca="1">IF(Energy!$F$11=1,IF(Energy!$R$15=Energy!$U$16,Energy!W36,Energy!AL36),0)</f>
        <v>0.34375</v>
      </c>
      <c r="AN36" s="101"/>
      <c r="AO36" s="103"/>
      <c r="AP36" s="103"/>
      <c r="AQ36" s="103"/>
      <c r="AR36" s="101"/>
      <c r="AS36" s="101"/>
      <c r="AT36" s="101"/>
      <c r="AU36" s="101"/>
      <c r="AV36" s="101"/>
      <c r="AW36" s="105"/>
      <c r="AX36" s="100"/>
      <c r="AY36" s="100"/>
      <c r="AZ36" s="6"/>
    </row>
    <row r="37" spans="1:52">
      <c r="A37" s="6"/>
      <c r="B37" s="100"/>
      <c r="C37" s="103"/>
      <c r="D37" s="1">
        <f>Main!C37</f>
        <v>2.7631578947368425</v>
      </c>
      <c r="E37" s="103">
        <f>Main!B37</f>
        <v>0.33333333333333326</v>
      </c>
      <c r="F37" s="103">
        <f ca="1">IF(Main!$D$6=1,U37,IF(Main!$D$6=2,N37,IF(Main!$D$6=3,K37,IF(Main!$D$6=4,V37,J37))))</f>
        <v>1885.3075393233294</v>
      </c>
      <c r="G37" s="103">
        <f ca="1">Main!N37</f>
        <v>10</v>
      </c>
      <c r="H37" s="103">
        <f ca="1">Weight!U37</f>
        <v>18.000202945947677</v>
      </c>
      <c r="I37" s="103">
        <f ca="1">Weight!V37</f>
        <v>121.79789717184198</v>
      </c>
      <c r="J37" s="103">
        <f ca="1">Weight!I37</f>
        <v>93.737335950894305</v>
      </c>
      <c r="K37" s="103">
        <f ca="1">Weight!W37</f>
        <v>131.79789717068391</v>
      </c>
      <c r="L37" s="103">
        <f ca="1">'Aerodynamics-Cruise'!BI37</f>
        <v>131.79789717300858</v>
      </c>
      <c r="M37" s="103">
        <f ca="1">'Aerodynamics-Cruise'!BJ37</f>
        <v>6.2729020212602444</v>
      </c>
      <c r="N37" s="103">
        <f ca="1">'Aerodynamics-Cruise'!BK37</f>
        <v>21.010673644561404</v>
      </c>
      <c r="O37" s="103">
        <f t="shared" ca="1" si="2"/>
        <v>241.20939399771746</v>
      </c>
      <c r="P37" s="103">
        <f ca="1">'Aerodynamics-Cruise'!H37</f>
        <v>22.215604931199326</v>
      </c>
      <c r="Q37" s="103">
        <f ca="1">'Aerodynamics-Cruise'!I37</f>
        <v>17.466986276209166</v>
      </c>
      <c r="R37" s="1">
        <f ca="1">'Aerodynamics-Speed'!H37</f>
        <v>26.668804211361664</v>
      </c>
      <c r="S37" s="103">
        <f ca="1">'Aerodynamics-Cruise'!W37</f>
        <v>0.9</v>
      </c>
      <c r="T37" s="103">
        <f ca="1">'Aerodynamics-Cruise'!BL37</f>
        <v>139.35631307643931</v>
      </c>
      <c r="U37" s="103">
        <f ca="1">'Propulsion-Cruise'!M37</f>
        <v>252.9724106949962</v>
      </c>
      <c r="V37" s="103">
        <f ca="1">Endurance!AP37</f>
        <v>1885.3075393036122</v>
      </c>
      <c r="W37" s="13">
        <f ca="1">Energy!L37</f>
        <v>1677.1322099550873</v>
      </c>
      <c r="X37" s="13">
        <f ca="1">Energy!D37</f>
        <v>3548.8553791213035</v>
      </c>
      <c r="Y37" s="102">
        <f ca="1">'Aerodynamics-Cruise'!V37</f>
        <v>305561.17781517137</v>
      </c>
      <c r="Z37" s="81">
        <f ca="1">'Aerodynamics-Takeoff'!V37</f>
        <v>249438.98683847676</v>
      </c>
      <c r="AA37" s="81">
        <f ca="1">'Aerodynamics-Speed'!V37</f>
        <v>366812.03374757461</v>
      </c>
      <c r="AB37" s="103">
        <f ca="1">Takeoff!Z37</f>
        <v>35.160818022798516</v>
      </c>
      <c r="AC37" s="103">
        <f ca="1">'RC'!AB37</f>
        <v>0.42162369893416685</v>
      </c>
      <c r="AD37" s="103">
        <f ca="1">Cruise!AB37</f>
        <v>0.87888150977843837</v>
      </c>
      <c r="AE37" s="103">
        <f t="shared" si="0"/>
        <v>0.92105263157894723</v>
      </c>
      <c r="AF37" s="103">
        <f t="shared" si="1"/>
        <v>8.2894736842105292</v>
      </c>
      <c r="AG37" s="103">
        <f ca="1">'Propulsion-Cruise'!J37</f>
        <v>24.289830337422195</v>
      </c>
      <c r="AH37" s="103">
        <f ca="1">'Propulsion-Takeoff'!J37</f>
        <v>47</v>
      </c>
      <c r="AI37" s="103">
        <f ca="1">Weight!J37</f>
        <v>3.1705630972493255</v>
      </c>
      <c r="AJ37" s="1">
        <f ca="1">Stability!H37</f>
        <v>0.31845692573760426</v>
      </c>
      <c r="AK37" s="103">
        <f ca="1">Stability!N37</f>
        <v>1.6695065438430325E-2</v>
      </c>
      <c r="AL37" s="103">
        <f ca="1">Stability!AH37</f>
        <v>-0.34548252988254824</v>
      </c>
      <c r="AM37" s="103">
        <f ca="1">IF(Energy!$F$11=1,IF(Energy!$R$15=Energy!$U$16,Energy!W37,Energy!AL37),0)</f>
        <v>0.34375</v>
      </c>
      <c r="AN37" s="101"/>
      <c r="AO37" s="100"/>
      <c r="AP37" s="103"/>
      <c r="AQ37" s="103"/>
      <c r="AR37" s="101"/>
      <c r="AS37" s="101"/>
      <c r="AT37" s="101"/>
      <c r="AU37" s="101"/>
      <c r="AV37" s="101"/>
      <c r="AW37" s="100"/>
      <c r="AX37" s="100"/>
      <c r="AY37" s="100"/>
      <c r="AZ37" s="6"/>
    </row>
    <row r="38" spans="1:52">
      <c r="A38" s="6"/>
      <c r="B38" s="100"/>
      <c r="C38" s="103"/>
      <c r="D38" s="1">
        <f>Main!C38</f>
        <v>2.8421052631578951</v>
      </c>
      <c r="E38" s="103">
        <f>Main!B38</f>
        <v>0.33333333333333326</v>
      </c>
      <c r="F38" s="103">
        <f ca="1">IF(Main!$D$6=1,U38,IF(Main!$D$6=2,N38,IF(Main!$D$6=3,K38,IF(Main!$D$6=4,V38,J38))))</f>
        <v>1880.9421163761315</v>
      </c>
      <c r="G38" s="103">
        <f ca="1">Main!N38</f>
        <v>10</v>
      </c>
      <c r="H38" s="103">
        <f ca="1">Weight!U38</f>
        <v>18.350004457882292</v>
      </c>
      <c r="I38" s="103">
        <f ca="1">Weight!V38</f>
        <v>121.90942506193599</v>
      </c>
      <c r="J38" s="103">
        <f ca="1">Weight!I38</f>
        <v>93.4990623290537</v>
      </c>
      <c r="K38" s="103">
        <f ca="1">Weight!W38</f>
        <v>131.9094250607543</v>
      </c>
      <c r="L38" s="103">
        <f ca="1">'Aerodynamics-Cruise'!BI38</f>
        <v>131.90942506312632</v>
      </c>
      <c r="M38" s="103">
        <f ca="1">'Aerodynamics-Cruise'!BJ38</f>
        <v>6.1929984409669618</v>
      </c>
      <c r="N38" s="103">
        <f ca="1">'Aerodynamics-Cruise'!BK38</f>
        <v>21.299767200091569</v>
      </c>
      <c r="O38" s="103">
        <f t="shared" ca="1" si="2"/>
        <v>244.63172092320818</v>
      </c>
      <c r="P38" s="103">
        <f ca="1">'Aerodynamics-Cruise'!H38</f>
        <v>21.913913889377955</v>
      </c>
      <c r="Q38" s="103">
        <f ca="1">'Aerodynamics-Cruise'!I38</f>
        <v>17.231603717842379</v>
      </c>
      <c r="R38" s="1">
        <f ca="1">'Aerodynamics-Speed'!H38</f>
        <v>26.651513055261361</v>
      </c>
      <c r="S38" s="103">
        <f ca="1">'Aerodynamics-Cruise'!W38</f>
        <v>0.9</v>
      </c>
      <c r="T38" s="103">
        <f ca="1">'Aerodynamics-Cruise'!BL38</f>
        <v>135.71283455240192</v>
      </c>
      <c r="U38" s="103">
        <f ca="1">'Propulsion-Cruise'!M38</f>
        <v>246.78894735585047</v>
      </c>
      <c r="V38" s="103">
        <f ca="1">Endurance!AP38</f>
        <v>1880.9421163560398</v>
      </c>
      <c r="W38" s="13">
        <f ca="1">Energy!L38</f>
        <v>1672.6588580041289</v>
      </c>
      <c r="X38" s="13">
        <f ca="1">Energy!D38</f>
        <v>3540.778493654977</v>
      </c>
      <c r="Y38" s="102">
        <f ca="1">'Aerodynamics-Cruise'!V38</f>
        <v>301411.6140125778</v>
      </c>
      <c r="Z38" s="81">
        <f ca="1">'Aerodynamics-Takeoff'!V38</f>
        <v>246077.40387818252</v>
      </c>
      <c r="AA38" s="81">
        <f ca="1">'Aerodynamics-Speed'!V38</f>
        <v>366574.20515635883</v>
      </c>
      <c r="AB38" s="103">
        <f ca="1">Takeoff!Z38</f>
        <v>34.16789030018068</v>
      </c>
      <c r="AC38" s="103">
        <f ca="1">'RC'!AB38</f>
        <v>0.45311603580588716</v>
      </c>
      <c r="AD38" s="103">
        <f ca="1">Cruise!AB38</f>
        <v>0.86987229912149955</v>
      </c>
      <c r="AE38" s="103">
        <f t="shared" si="0"/>
        <v>0.94736842105263153</v>
      </c>
      <c r="AF38" s="103">
        <f t="shared" si="1"/>
        <v>8.5263157894736867</v>
      </c>
      <c r="AG38" s="103">
        <f ca="1">'Propulsion-Cruise'!J38</f>
        <v>23.941527426496698</v>
      </c>
      <c r="AH38" s="103">
        <f ca="1">'Propulsion-Takeoff'!J38</f>
        <v>47</v>
      </c>
      <c r="AI38" s="103">
        <f ca="1">Weight!J38</f>
        <v>3.1698928045328518</v>
      </c>
      <c r="AJ38" s="1">
        <f ca="1">Stability!H38</f>
        <v>0.31640464575784932</v>
      </c>
      <c r="AK38" s="103">
        <f ca="1">Stability!N38</f>
        <v>1.6531258437377776E-2</v>
      </c>
      <c r="AL38" s="103">
        <f ca="1">Stability!AH38</f>
        <v>-0.34772047705830811</v>
      </c>
      <c r="AM38" s="103">
        <f ca="1">IF(Energy!$F$11=1,IF(Energy!$R$15=Energy!$U$16,Energy!W38,Energy!AL38),0)</f>
        <v>0.34375</v>
      </c>
      <c r="AN38" s="101"/>
      <c r="AO38" s="100"/>
      <c r="AP38" s="103"/>
      <c r="AQ38" s="103"/>
      <c r="AR38" s="101"/>
      <c r="AS38" s="101"/>
      <c r="AT38" s="101"/>
      <c r="AU38" s="101"/>
      <c r="AV38" s="101"/>
      <c r="AW38" s="100"/>
      <c r="AX38" s="100"/>
      <c r="AY38" s="100"/>
      <c r="AZ38" s="6"/>
    </row>
    <row r="39" spans="1:52">
      <c r="A39" s="6"/>
      <c r="B39" s="100"/>
      <c r="C39" s="103"/>
      <c r="D39" s="1">
        <f>Main!C39</f>
        <v>2.9210526315789478</v>
      </c>
      <c r="E39" s="103">
        <f>Main!B39</f>
        <v>0.33333333333333326</v>
      </c>
      <c r="F39" s="103">
        <f ca="1">IF(Main!$D$6=1,U39,IF(Main!$D$6=2,N39,IF(Main!$D$6=3,K39,IF(Main!$D$6=4,V39,J39))))</f>
        <v>1876.9617628462152</v>
      </c>
      <c r="G39" s="103">
        <f ca="1">Main!N39</f>
        <v>10</v>
      </c>
      <c r="H39" s="103">
        <f ca="1">Weight!U39</f>
        <v>18.705287293859811</v>
      </c>
      <c r="I39" s="103">
        <f ca="1">Weight!V39</f>
        <v>122.04710507840423</v>
      </c>
      <c r="J39" s="103">
        <f ca="1">Weight!I39</f>
        <v>93.281459509544419</v>
      </c>
      <c r="K39" s="103">
        <f ca="1">Weight!W39</f>
        <v>132.04710507719955</v>
      </c>
      <c r="L39" s="103">
        <f ca="1">'Aerodynamics-Cruise'!BI39</f>
        <v>132.04710507961775</v>
      </c>
      <c r="M39" s="103">
        <f ca="1">'Aerodynamics-Cruise'!BJ39</f>
        <v>6.1193309982709154</v>
      </c>
      <c r="N39" s="103">
        <f ca="1">'Aerodynamics-Cruise'!BK39</f>
        <v>21.578683211764346</v>
      </c>
      <c r="O39" s="103">
        <f t="shared" ca="1" si="2"/>
        <v>247.96442712063347</v>
      </c>
      <c r="P39" s="103">
        <f ca="1">'Aerodynamics-Cruise'!H39</f>
        <v>21.626815672280991</v>
      </c>
      <c r="Q39" s="103">
        <f ca="1">'Aerodynamics-Cruise'!I39</f>
        <v>17.00757615964843</v>
      </c>
      <c r="R39" s="1">
        <f ca="1">'Aerodynamics-Speed'!H39</f>
        <v>26.620857504710564</v>
      </c>
      <c r="S39" s="103">
        <f ca="1">'Aerodynamics-Cruise'!W39</f>
        <v>0.9</v>
      </c>
      <c r="T39" s="103">
        <f ca="1">'Aerodynamics-Cruise'!BL39</f>
        <v>132.34164353728031</v>
      </c>
      <c r="U39" s="103">
        <f ca="1">'Propulsion-Cruise'!M39</f>
        <v>241.07767372733406</v>
      </c>
      <c r="V39" s="103">
        <f ca="1">Endurance!AP39</f>
        <v>1876.9617628257597</v>
      </c>
      <c r="W39" s="13">
        <f ca="1">Energy!L39</f>
        <v>1668.573579954144</v>
      </c>
      <c r="X39" s="13">
        <f ca="1">Energy!D39</f>
        <v>3533.402297176498</v>
      </c>
      <c r="Y39" s="102">
        <f ca="1">'Aerodynamics-Cruise'!V39</f>
        <v>297462.76501042506</v>
      </c>
      <c r="Z39" s="81">
        <f ca="1">'Aerodynamics-Takeoff'!V39</f>
        <v>242877.98876878142</v>
      </c>
      <c r="AA39" s="81">
        <f ca="1">'Aerodynamics-Speed'!V39</f>
        <v>366152.55802309891</v>
      </c>
      <c r="AB39" s="103">
        <f ca="1">Takeoff!Z39</f>
        <v>33.24621017358983</v>
      </c>
      <c r="AC39" s="103">
        <f ca="1">'RC'!AB39</f>
        <v>0.48153111978454011</v>
      </c>
      <c r="AD39" s="103">
        <f ca="1">Cruise!AB39</f>
        <v>0.86139385606442442</v>
      </c>
      <c r="AE39" s="103">
        <f t="shared" si="0"/>
        <v>0.97368421052631571</v>
      </c>
      <c r="AF39" s="103">
        <f t="shared" si="1"/>
        <v>8.763157894736846</v>
      </c>
      <c r="AG39" s="103">
        <f ca="1">'Propulsion-Cruise'!J39</f>
        <v>23.617660312359508</v>
      </c>
      <c r="AH39" s="103">
        <f ca="1">'Propulsion-Takeoff'!J39</f>
        <v>47</v>
      </c>
      <c r="AI39" s="103">
        <f ca="1">Weight!J39</f>
        <v>3.1692491316467288</v>
      </c>
      <c r="AJ39" s="1">
        <f ca="1">Stability!H39</f>
        <v>0.31446097894560193</v>
      </c>
      <c r="AK39" s="103">
        <f ca="1">Stability!N39</f>
        <v>1.6378345339837751E-2</v>
      </c>
      <c r="AL39" s="103">
        <f ca="1">Stability!AH39</f>
        <v>-0.34986698406091055</v>
      </c>
      <c r="AM39" s="103">
        <f ca="1">IF(Energy!$F$11=1,IF(Energy!$R$15=Energy!$U$16,Energy!W39,Energy!AL39),0)</f>
        <v>0.34375</v>
      </c>
      <c r="AN39" s="101"/>
      <c r="AO39" s="100"/>
      <c r="AP39" s="103"/>
      <c r="AQ39" s="103"/>
      <c r="AR39" s="101"/>
      <c r="AS39" s="101"/>
      <c r="AT39" s="101"/>
      <c r="AU39" s="101"/>
      <c r="AV39" s="101"/>
      <c r="AW39" s="100"/>
      <c r="AX39" s="100"/>
      <c r="AY39" s="100"/>
      <c r="AZ39" s="6"/>
    </row>
    <row r="40" spans="1:52">
      <c r="A40" s="6"/>
      <c r="B40" s="100"/>
      <c r="C40" s="103"/>
      <c r="D40" s="1">
        <f>Main!C40</f>
        <v>3</v>
      </c>
      <c r="E40" s="103">
        <f>Main!B40</f>
        <v>0.33333333333333326</v>
      </c>
      <c r="F40" s="103">
        <f ca="1">IF(Main!$D$6=1,U40,IF(Main!$D$6=2,N40,IF(Main!$D$6=3,K40,IF(Main!$D$6=4,V40,J40))))</f>
        <v>1478.5637439615391</v>
      </c>
      <c r="G40" s="103">
        <f ca="1">Main!N40</f>
        <v>10</v>
      </c>
      <c r="H40" s="103">
        <f ca="1">Weight!U40</f>
        <v>17.381810212025215</v>
      </c>
      <c r="I40" s="103">
        <f ca="1">Weight!V40</f>
        <v>99.480166729827189</v>
      </c>
      <c r="J40" s="103">
        <f ca="1">Weight!I40</f>
        <v>72.037998242801976</v>
      </c>
      <c r="K40" s="103">
        <f ca="1">Weight!W40</f>
        <v>109.47797499660557</v>
      </c>
      <c r="L40" s="103">
        <f ca="1">'Aerodynamics-Cruise'!BI40</f>
        <v>109.4823661580773</v>
      </c>
      <c r="M40" s="103">
        <f ca="1">'Aerodynamics-Cruise'!BJ40</f>
        <v>5.1151851622742646</v>
      </c>
      <c r="N40" s="103">
        <f ca="1">'Aerodynamics-Cruise'!BK40</f>
        <v>21.403402356875837</v>
      </c>
      <c r="O40" s="103">
        <f t="shared" ca="1" si="2"/>
        <v>223.95197831455593</v>
      </c>
      <c r="P40" s="103">
        <f ca="1">'Aerodynamics-Cruise'!H40</f>
        <v>19.43145462796252</v>
      </c>
      <c r="Q40" s="103">
        <f ca="1">'Aerodynamics-Cruise'!I40</f>
        <v>15.29262925344913</v>
      </c>
      <c r="R40" s="1">
        <f ca="1">'Aerodynamics-Speed'!H40</f>
        <v>27.017858035551438</v>
      </c>
      <c r="S40" s="103">
        <f ca="1">'Aerodynamics-Cruise'!W40</f>
        <v>0.9</v>
      </c>
      <c r="T40" s="103">
        <f ca="1">'Aerodynamics-Cruise'!BL40</f>
        <v>99.395488394359475</v>
      </c>
      <c r="U40" s="103">
        <f ca="1">'Propulsion-Cruise'!M40</f>
        <v>184.02858008731991</v>
      </c>
      <c r="V40" s="103">
        <f ca="1">Endurance!AP40</f>
        <v>1478.5263015537014</v>
      </c>
      <c r="W40" s="13">
        <f ca="1">Energy!L40</f>
        <v>1269.6734748019255</v>
      </c>
      <c r="X40" s="13">
        <f ca="1">Energy!D40</f>
        <v>2813.233674300559</v>
      </c>
      <c r="Y40" s="102">
        <f ca="1">'Aerodynamics-Cruise'!V40</f>
        <v>267267.00358466222</v>
      </c>
      <c r="Z40" s="81">
        <f ca="1">'Aerodynamics-Takeoff'!V40</f>
        <v>218386.42392976361</v>
      </c>
      <c r="AA40" s="81">
        <f ca="1">'Aerodynamics-Speed'!V40</f>
        <v>371613.04177641874</v>
      </c>
      <c r="AB40" s="103">
        <f ca="1">Takeoff!Z40</f>
        <v>21.868639937711155</v>
      </c>
      <c r="AC40" s="103">
        <f ca="1">'RC'!AB40</f>
        <v>0.90653306043160642</v>
      </c>
      <c r="AD40" s="103">
        <f ca="1">Cruise!AB40</f>
        <v>0.77653607458473251</v>
      </c>
      <c r="AE40" s="103">
        <f t="shared" si="0"/>
        <v>0.99999999999999978</v>
      </c>
      <c r="AF40" s="103">
        <f t="shared" si="1"/>
        <v>9.0000000000000018</v>
      </c>
      <c r="AG40" s="103">
        <f ca="1">'Propulsion-Cruise'!J40</f>
        <v>19.999061684172595</v>
      </c>
      <c r="AH40" s="103">
        <f ca="1">'Propulsion-Takeoff'!J40</f>
        <v>47</v>
      </c>
      <c r="AI40" s="103">
        <f ca="1">Weight!J40</f>
        <v>3.1646720007136961</v>
      </c>
      <c r="AJ40" s="1">
        <f ca="1">Stability!H40</f>
        <v>0.32103197307949699</v>
      </c>
      <c r="AK40" s="103">
        <f ca="1">Stability!N40</f>
        <v>1.6235268898875287E-2</v>
      </c>
      <c r="AL40" s="103">
        <f ca="1">Stability!AH40</f>
        <v>-0.3427048178863647</v>
      </c>
      <c r="AM40" s="103">
        <f ca="1">IF(Energy!$F$11=1,IF(Energy!$R$15=Energy!$U$16,Energy!W40,Energy!AL40),0)</f>
        <v>0.34375</v>
      </c>
      <c r="AN40" s="101"/>
      <c r="AO40" s="100"/>
      <c r="AP40" s="103"/>
      <c r="AQ40" s="103"/>
      <c r="AR40" s="101"/>
      <c r="AS40" s="101"/>
      <c r="AT40" s="101"/>
      <c r="AU40" s="101"/>
      <c r="AV40" s="101"/>
      <c r="AW40" s="100"/>
      <c r="AX40" s="100"/>
      <c r="AY40" s="100"/>
      <c r="AZ40" s="6"/>
    </row>
    <row r="41" spans="1:52">
      <c r="A41" s="6"/>
      <c r="B41" s="100"/>
      <c r="C41" s="100"/>
      <c r="D41" s="1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2"/>
      <c r="W41" s="20"/>
      <c r="X41" s="100"/>
      <c r="Y41" s="100"/>
      <c r="Z41" s="100"/>
      <c r="AA41" s="100"/>
      <c r="AB41" s="100"/>
      <c r="AC41" s="100"/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</row>
    <row r="42" spans="1:52">
      <c r="A42" s="6"/>
      <c r="B42" s="100"/>
      <c r="C42" s="100"/>
      <c r="D42" s="1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2"/>
      <c r="W42" s="20"/>
      <c r="X42" s="100"/>
      <c r="Y42" s="100"/>
      <c r="Z42" s="100"/>
      <c r="AA42" s="100"/>
      <c r="AB42" s="100"/>
      <c r="AC42" s="100"/>
      <c r="AD42" s="100"/>
      <c r="AE42" s="100"/>
      <c r="AF42" s="100"/>
      <c r="AG42" s="100"/>
      <c r="AH42" s="100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</row>
    <row r="43" spans="1:52">
      <c r="A43" s="6"/>
      <c r="B43" s="6"/>
      <c r="C43" s="6"/>
      <c r="D43" s="1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2"/>
      <c r="W43" s="20"/>
      <c r="X43" s="100"/>
      <c r="Y43" s="100"/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</row>
    <row r="44" spans="1:52">
      <c r="A44" s="6"/>
      <c r="B44" s="100"/>
      <c r="C44" s="100"/>
      <c r="D44" s="1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2"/>
      <c r="W44" s="20"/>
      <c r="X44" s="100"/>
      <c r="Y44" s="100"/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</row>
    <row r="45" spans="1:52">
      <c r="A45" s="6"/>
      <c r="B45" s="100"/>
      <c r="C45" s="100"/>
      <c r="D45" s="16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2"/>
      <c r="W45" s="20"/>
      <c r="X45" s="100"/>
      <c r="Y45" s="100"/>
      <c r="Z45" s="100"/>
      <c r="AA45" s="100"/>
      <c r="AB45" s="100"/>
      <c r="AC45" s="100"/>
      <c r="AD45" s="100"/>
      <c r="AE45" s="100"/>
      <c r="AF45" s="100"/>
      <c r="AG45" s="100"/>
      <c r="AH45" s="100"/>
      <c r="AI45" s="100"/>
      <c r="AJ45" s="100"/>
      <c r="AK45" s="100"/>
      <c r="AL45" s="100"/>
      <c r="AM45" s="100"/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</row>
    <row r="46" spans="1:52">
      <c r="A46" s="6"/>
      <c r="B46" s="100"/>
      <c r="C46" s="100"/>
      <c r="D46" s="16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2"/>
      <c r="W46" s="20"/>
      <c r="X46" s="100"/>
      <c r="Y46" s="100"/>
      <c r="Z46" s="100"/>
      <c r="AA46" s="100"/>
      <c r="AB46" s="100"/>
      <c r="AC46" s="100"/>
      <c r="AD46" s="100"/>
      <c r="AE46" s="100"/>
      <c r="AF46" s="100"/>
      <c r="AG46" s="100"/>
      <c r="AH46" s="100"/>
      <c r="AI46" s="100"/>
      <c r="AJ46" s="100"/>
      <c r="AK46" s="100"/>
      <c r="AL46" s="100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</row>
    <row r="47" spans="1:52">
      <c r="A47" s="6"/>
      <c r="B47" s="100"/>
      <c r="C47" s="100"/>
      <c r="D47" s="16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2"/>
      <c r="W47" s="20"/>
      <c r="X47" s="100"/>
      <c r="Y47" s="100"/>
      <c r="Z47" s="100"/>
      <c r="AA47" s="100"/>
      <c r="AB47" s="100"/>
      <c r="AC47" s="100"/>
      <c r="AD47" s="100"/>
      <c r="AE47" s="100"/>
      <c r="AF47" s="100"/>
      <c r="AG47" s="100"/>
      <c r="AH47" s="100"/>
      <c r="AI47" s="100"/>
      <c r="AJ47" s="100"/>
      <c r="AK47" s="100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</row>
    <row r="48" spans="1:52">
      <c r="A48" s="6"/>
      <c r="B48" s="6"/>
      <c r="C48" s="6"/>
      <c r="D48" s="16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2"/>
      <c r="W48" s="20"/>
      <c r="X48" s="100"/>
      <c r="Y48" s="100"/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</row>
    <row r="49" spans="1:51">
      <c r="A49" s="6"/>
      <c r="B49" s="100"/>
      <c r="C49" s="100"/>
      <c r="D49" s="16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2"/>
      <c r="W49" s="20"/>
      <c r="X49" s="100"/>
      <c r="Y49" s="100"/>
      <c r="Z49" s="100"/>
      <c r="AA49" s="100"/>
      <c r="AB49" s="100"/>
      <c r="AC49" s="100"/>
      <c r="AD49" s="100"/>
      <c r="AE49" s="100"/>
      <c r="AF49" s="100"/>
      <c r="AG49" s="100"/>
      <c r="AH49" s="100"/>
      <c r="AI49" s="100"/>
      <c r="AJ49" s="100"/>
      <c r="AK49" s="100"/>
      <c r="AL49" s="100"/>
      <c r="AM49" s="100"/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</row>
    <row r="50" spans="1:51">
      <c r="A50" s="6"/>
      <c r="B50" s="100"/>
      <c r="C50" s="100"/>
      <c r="D50" s="16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2"/>
      <c r="W50" s="2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</row>
    <row r="51" spans="1:51">
      <c r="A51" s="6"/>
      <c r="B51" s="100"/>
      <c r="C51" s="100"/>
      <c r="D51" s="16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2"/>
      <c r="W51" s="2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</row>
    <row r="52" spans="1:51">
      <c r="A52" s="6"/>
      <c r="B52" s="100"/>
      <c r="C52" s="100"/>
      <c r="D52" s="16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2"/>
      <c r="W52" s="2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</row>
    <row r="53" spans="1:51">
      <c r="A53" s="6"/>
      <c r="B53" s="100"/>
      <c r="C53" s="100"/>
      <c r="D53" s="16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2"/>
      <c r="W53" s="20"/>
      <c r="X53" s="100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</row>
    <row r="54" spans="1:51">
      <c r="A54" s="6"/>
      <c r="B54" s="100"/>
      <c r="C54" s="100"/>
      <c r="D54" s="16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2"/>
      <c r="W54" s="20"/>
      <c r="X54" s="100"/>
      <c r="Y54" s="100"/>
      <c r="Z54" s="100"/>
      <c r="AA54" s="100"/>
      <c r="AB54" s="100"/>
      <c r="AC54" s="100"/>
      <c r="AD54" s="100"/>
      <c r="AE54" s="100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</row>
    <row r="55" spans="1:51">
      <c r="A55" s="6"/>
      <c r="B55" s="100"/>
      <c r="C55" s="100"/>
      <c r="D55" s="16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2"/>
      <c r="W55" s="20"/>
      <c r="X55" s="100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</row>
    <row r="56" spans="1:51">
      <c r="A56" s="6"/>
      <c r="B56" s="100"/>
      <c r="C56" s="100"/>
      <c r="D56" s="16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2"/>
      <c r="W56" s="2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</row>
    <row r="57" spans="1:51">
      <c r="A57" s="6"/>
      <c r="B57" s="100"/>
      <c r="C57" s="100"/>
      <c r="D57" s="16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2"/>
      <c r="W57" s="20"/>
      <c r="X57" s="100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</row>
    <row r="58" spans="1:51">
      <c r="A58" s="6"/>
      <c r="B58" s="100"/>
      <c r="C58" s="100"/>
      <c r="D58" s="16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2"/>
      <c r="W58" s="20"/>
      <c r="X58" s="100"/>
      <c r="Y58" s="100"/>
      <c r="Z58" s="100"/>
      <c r="AA58" s="100"/>
      <c r="AB58" s="100"/>
      <c r="AC58" s="100"/>
      <c r="AD58" s="100"/>
      <c r="AE58" s="100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</row>
    <row r="59" spans="1:51">
      <c r="A59" s="6"/>
      <c r="B59" s="100"/>
      <c r="C59" s="100"/>
      <c r="D59" s="16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2"/>
      <c r="W59" s="20"/>
      <c r="X59" s="100"/>
      <c r="Y59" s="100"/>
      <c r="Z59" s="100"/>
      <c r="AA59" s="100"/>
      <c r="AB59" s="100"/>
      <c r="AC59" s="100"/>
      <c r="AD59" s="100"/>
      <c r="AE59" s="100"/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</row>
    <row r="60" spans="1:51">
      <c r="A60" s="6"/>
      <c r="B60" s="100"/>
      <c r="C60" s="100"/>
      <c r="D60" s="16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2"/>
      <c r="W60" s="20"/>
      <c r="X60" s="100"/>
      <c r="Y60" s="100"/>
      <c r="Z60" s="100"/>
      <c r="AA60" s="100"/>
      <c r="AB60" s="100"/>
      <c r="AC60" s="100"/>
      <c r="AD60" s="100"/>
      <c r="AE60" s="100"/>
      <c r="AF60" s="100"/>
      <c r="AG60" s="100"/>
      <c r="AH60" s="100"/>
      <c r="AI60" s="100"/>
      <c r="AJ60" s="100"/>
      <c r="AK60" s="100"/>
      <c r="AL60" s="100"/>
      <c r="AM60" s="100"/>
      <c r="AN60" s="100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</row>
    <row r="61" spans="1:51">
      <c r="A61" s="6"/>
      <c r="B61" s="100"/>
      <c r="C61" s="100"/>
      <c r="D61" s="16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2"/>
      <c r="W61" s="20"/>
      <c r="X61" s="100"/>
      <c r="Y61" s="100"/>
      <c r="Z61" s="100"/>
      <c r="AA61" s="100"/>
      <c r="AB61" s="100"/>
      <c r="AC61" s="100"/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</row>
    <row r="62" spans="1:51">
      <c r="A62" s="6"/>
      <c r="B62" s="100"/>
      <c r="C62" s="100"/>
      <c r="D62" s="16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2"/>
      <c r="W62" s="20"/>
      <c r="X62" s="100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</row>
    <row r="63" spans="1:51">
      <c r="A63" s="6"/>
      <c r="B63" s="6"/>
      <c r="C63" s="6"/>
      <c r="D63" s="16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2"/>
      <c r="W63" s="20"/>
      <c r="X63" s="6"/>
    </row>
    <row r="64" spans="1:51">
      <c r="A64" s="6"/>
      <c r="B64" s="6"/>
      <c r="C64" s="6"/>
      <c r="D64" s="16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2"/>
      <c r="W64" s="20"/>
      <c r="X64" s="6"/>
    </row>
    <row r="65" spans="1:24">
      <c r="A65" s="6"/>
      <c r="B65" s="6"/>
      <c r="C65" s="6"/>
      <c r="D65" s="16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2"/>
      <c r="W65" s="20"/>
      <c r="X65" s="6"/>
    </row>
    <row r="66" spans="1:24">
      <c r="A66" s="6"/>
      <c r="B66" s="6"/>
      <c r="C66" s="6"/>
      <c r="D66" s="16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2"/>
      <c r="W66" s="20"/>
      <c r="X66" s="6"/>
    </row>
    <row r="67" spans="1:24">
      <c r="A67" s="6"/>
      <c r="B67" s="6"/>
      <c r="C67" s="6"/>
      <c r="D67" s="16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2"/>
      <c r="W67" s="20"/>
      <c r="X67" s="6"/>
    </row>
    <row r="68" spans="1:24">
      <c r="A68" s="6"/>
      <c r="B68" s="6"/>
      <c r="C68" s="6"/>
      <c r="D68" s="16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2"/>
      <c r="W68" s="20"/>
      <c r="X68" s="6"/>
    </row>
    <row r="69" spans="1:24">
      <c r="A69" s="6"/>
      <c r="B69" s="6"/>
      <c r="C69" s="6"/>
      <c r="D69" s="16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2"/>
      <c r="W69" s="20"/>
      <c r="X69" s="6"/>
    </row>
    <row r="70" spans="1:24">
      <c r="A70" s="6"/>
      <c r="B70" s="6"/>
      <c r="C70" s="6"/>
      <c r="D70" s="16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2"/>
      <c r="W70" s="20"/>
      <c r="X70" s="6"/>
    </row>
    <row r="71" spans="1:24">
      <c r="A71" s="6"/>
      <c r="B71" s="6"/>
      <c r="C71" s="6"/>
      <c r="D71" s="16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2"/>
      <c r="W71" s="20"/>
      <c r="X71" s="6"/>
    </row>
    <row r="72" spans="1:24">
      <c r="A72" s="6"/>
      <c r="B72" s="6"/>
      <c r="C72" s="6"/>
      <c r="D72" s="16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2"/>
      <c r="W72" s="20"/>
      <c r="X72" s="6"/>
    </row>
    <row r="73" spans="1:24">
      <c r="A73" s="6"/>
      <c r="B73" s="6"/>
      <c r="C73" s="6"/>
      <c r="D73" s="16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2"/>
      <c r="W73" s="20"/>
      <c r="X73" s="6"/>
    </row>
    <row r="74" spans="1:24">
      <c r="A74" s="6"/>
      <c r="B74" s="6"/>
      <c r="C74" s="6"/>
      <c r="D74" s="16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2"/>
      <c r="W74" s="20"/>
      <c r="X74" s="6"/>
    </row>
    <row r="75" spans="1:24">
      <c r="A75" s="6"/>
      <c r="B75" s="6"/>
      <c r="C75" s="6"/>
      <c r="D75" s="16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2"/>
      <c r="W75" s="20"/>
      <c r="X75" s="6"/>
    </row>
    <row r="76" spans="1:24">
      <c r="A76" s="6"/>
      <c r="B76" s="6"/>
      <c r="C76" s="6"/>
      <c r="D76" s="16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2"/>
      <c r="W76" s="20"/>
      <c r="X76" s="6"/>
    </row>
    <row r="77" spans="1:24">
      <c r="A77" s="6"/>
      <c r="B77" s="6"/>
      <c r="C77" s="6"/>
      <c r="D77" s="16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2"/>
      <c r="W77" s="20"/>
      <c r="X77" s="6"/>
    </row>
    <row r="78" spans="1:24">
      <c r="A78" s="6"/>
      <c r="B78" s="6"/>
      <c r="C78" s="6"/>
      <c r="D78" s="16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2"/>
      <c r="W78" s="20"/>
      <c r="X78" s="6"/>
    </row>
    <row r="79" spans="1:24">
      <c r="A79" s="6"/>
      <c r="B79" s="6"/>
      <c r="C79" s="6"/>
      <c r="D79" s="16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2"/>
      <c r="W79" s="20"/>
      <c r="X79" s="6"/>
    </row>
    <row r="80" spans="1:24">
      <c r="A80" s="6"/>
      <c r="B80" s="6"/>
      <c r="C80" s="6"/>
      <c r="D80" s="16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2"/>
      <c r="W80" s="20"/>
      <c r="X80" s="6"/>
    </row>
    <row r="81" spans="1:24">
      <c r="A81" s="6"/>
      <c r="B81" s="6"/>
      <c r="C81" s="6"/>
      <c r="D81" s="16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2"/>
      <c r="W81" s="20"/>
      <c r="X81" s="6"/>
    </row>
    <row r="82" spans="1:24">
      <c r="A82" s="6"/>
      <c r="B82" s="6"/>
      <c r="C82" s="6"/>
      <c r="D82" s="16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2"/>
      <c r="W82" s="20"/>
      <c r="X82" s="6"/>
    </row>
    <row r="83" spans="1:24">
      <c r="A83" s="6"/>
      <c r="B83" s="6"/>
      <c r="C83" s="6"/>
      <c r="D83" s="16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2"/>
      <c r="W83" s="20"/>
      <c r="X83" s="6"/>
    </row>
    <row r="84" spans="1:24">
      <c r="A84" s="6"/>
      <c r="B84" s="6"/>
      <c r="C84" s="6"/>
      <c r="D84" s="16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2"/>
      <c r="W84" s="20"/>
      <c r="X84" s="6"/>
    </row>
    <row r="85" spans="1:24">
      <c r="A85" s="6"/>
      <c r="B85" s="100"/>
      <c r="C85" s="100"/>
      <c r="D85" s="16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2"/>
      <c r="W85" s="20"/>
      <c r="X85" s="6"/>
    </row>
    <row r="86" spans="1:24">
      <c r="A86" s="6"/>
      <c r="B86" s="6"/>
      <c r="C86" s="6"/>
      <c r="D86" s="16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2"/>
      <c r="W86" s="20"/>
      <c r="X86" s="6"/>
    </row>
    <row r="87" spans="1:24">
      <c r="A87" s="6"/>
      <c r="B87" s="6"/>
      <c r="C87" s="6"/>
      <c r="D87" s="16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2"/>
      <c r="W87" s="20"/>
      <c r="X87" s="6"/>
    </row>
    <row r="88" spans="1:24">
      <c r="A88" s="6"/>
      <c r="B88" s="6"/>
      <c r="C88" s="6"/>
      <c r="D88" s="16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2"/>
      <c r="W88" s="20"/>
      <c r="X88" s="6"/>
    </row>
    <row r="89" spans="1:24">
      <c r="A89" s="6"/>
      <c r="B89" s="6"/>
      <c r="C89" s="6"/>
      <c r="D89" s="16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2"/>
      <c r="W89" s="20"/>
      <c r="X89" s="6"/>
    </row>
    <row r="90" spans="1:24">
      <c r="A90" s="6"/>
      <c r="B90" s="6"/>
      <c r="C90" s="6"/>
      <c r="D90" s="16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2"/>
      <c r="W90" s="20"/>
      <c r="X90" s="6"/>
    </row>
    <row r="91" spans="1:24">
      <c r="A91" s="6"/>
      <c r="B91" s="6"/>
      <c r="C91" s="6"/>
      <c r="D91" s="16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2"/>
      <c r="W91" s="20"/>
      <c r="X91" s="6"/>
    </row>
    <row r="92" spans="1:24">
      <c r="A92" s="6"/>
      <c r="B92" s="6"/>
      <c r="C92" s="6"/>
      <c r="D92" s="16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2"/>
      <c r="W92" s="20"/>
      <c r="X92" s="6"/>
    </row>
    <row r="93" spans="1:24">
      <c r="A93" s="6"/>
      <c r="B93" s="6"/>
      <c r="C93" s="6"/>
      <c r="D93" s="16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2"/>
      <c r="W93" s="20"/>
      <c r="X93" s="6"/>
    </row>
    <row r="94" spans="1:24">
      <c r="A94" s="6"/>
      <c r="B94" s="6"/>
      <c r="C94" s="6"/>
      <c r="D94" s="16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2"/>
      <c r="W94" s="20"/>
      <c r="X94" s="6"/>
    </row>
    <row r="95" spans="1:24">
      <c r="A95" s="6"/>
      <c r="B95" s="6"/>
      <c r="C95" s="6"/>
      <c r="D95" s="16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2"/>
      <c r="W95" s="20"/>
      <c r="X95" s="6"/>
    </row>
    <row r="96" spans="1:24">
      <c r="A96" s="6"/>
      <c r="B96" s="6"/>
      <c r="C96" s="6"/>
      <c r="D96" s="16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2"/>
      <c r="W96" s="20"/>
      <c r="X96" s="6"/>
    </row>
    <row r="97" spans="1:24">
      <c r="A97" s="6"/>
      <c r="B97" s="6"/>
      <c r="C97" s="6"/>
      <c r="D97" s="16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2"/>
      <c r="W97" s="20"/>
      <c r="X97" s="6"/>
    </row>
    <row r="98" spans="1:24">
      <c r="A98" s="6"/>
      <c r="B98" s="6"/>
      <c r="C98" s="6"/>
      <c r="D98" s="16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2"/>
      <c r="W98" s="20"/>
      <c r="X98" s="6"/>
    </row>
    <row r="99" spans="1:24">
      <c r="A99" s="6"/>
      <c r="B99" s="6"/>
      <c r="C99" s="6"/>
      <c r="D99" s="16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2"/>
      <c r="W99" s="20"/>
      <c r="X99" s="6"/>
    </row>
    <row r="100" spans="1:24">
      <c r="A100" s="6"/>
      <c r="B100" s="6"/>
      <c r="C100" s="6"/>
      <c r="D100" s="16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2"/>
      <c r="W100" s="20"/>
      <c r="X100" s="6"/>
    </row>
    <row r="101" spans="1:24">
      <c r="A101" s="6"/>
      <c r="B101" s="6"/>
      <c r="C101" s="6"/>
      <c r="D101" s="16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2"/>
      <c r="W101" s="20"/>
      <c r="X101" s="6"/>
    </row>
    <row r="102" spans="1:24">
      <c r="A102" s="6"/>
      <c r="B102" s="6"/>
      <c r="C102" s="6"/>
      <c r="D102" s="16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2"/>
      <c r="W102" s="20"/>
      <c r="X102" s="6"/>
    </row>
    <row r="103" spans="1:24">
      <c r="A103" s="6"/>
      <c r="B103" s="6"/>
      <c r="C103" s="6"/>
      <c r="D103" s="16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2"/>
      <c r="W103" s="20"/>
      <c r="X103" s="6"/>
    </row>
    <row r="104" spans="1:24">
      <c r="A104" s="6"/>
      <c r="B104" s="6"/>
      <c r="C104" s="6"/>
      <c r="D104" s="16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2"/>
      <c r="W104" s="20"/>
      <c r="X104" s="6"/>
    </row>
    <row r="105" spans="1:24">
      <c r="A105" s="6"/>
      <c r="B105" s="6"/>
      <c r="C105" s="6"/>
      <c r="D105" s="16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2"/>
      <c r="W105" s="20"/>
      <c r="X105" s="6"/>
    </row>
    <row r="106" spans="1:24">
      <c r="A106" s="6"/>
      <c r="B106" s="6"/>
      <c r="C106" s="6"/>
      <c r="D106" s="16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2"/>
      <c r="W106" s="20"/>
      <c r="X106" s="6"/>
    </row>
    <row r="107" spans="1:24">
      <c r="A107" s="6"/>
      <c r="B107" s="6"/>
      <c r="C107" s="6"/>
      <c r="D107" s="16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2"/>
      <c r="W107" s="20"/>
      <c r="X107" s="6"/>
    </row>
    <row r="108" spans="1:24">
      <c r="A108" s="6"/>
      <c r="B108" s="6"/>
      <c r="C108" s="6"/>
      <c r="D108" s="16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2"/>
      <c r="W108" s="20"/>
      <c r="X108" s="6"/>
    </row>
    <row r="109" spans="1:24">
      <c r="A109" s="6"/>
      <c r="B109" s="6"/>
      <c r="C109" s="6"/>
      <c r="D109" s="16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2"/>
      <c r="W109" s="20"/>
      <c r="X109" s="6"/>
    </row>
    <row r="110" spans="1:24">
      <c r="A110" s="6"/>
      <c r="B110" s="6"/>
      <c r="C110" s="6"/>
      <c r="D110" s="16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2"/>
      <c r="W110" s="20"/>
      <c r="X110" s="6"/>
    </row>
    <row r="111" spans="1:24">
      <c r="A111" s="6"/>
      <c r="B111" s="6"/>
      <c r="C111" s="6"/>
      <c r="D111" s="16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2"/>
      <c r="W111" s="20"/>
      <c r="X111" s="6"/>
    </row>
    <row r="112" spans="1:24">
      <c r="A112" s="6"/>
      <c r="B112" s="6"/>
      <c r="C112" s="6"/>
      <c r="D112" s="16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2"/>
      <c r="W112" s="20"/>
      <c r="X112" s="6"/>
    </row>
    <row r="113" spans="1:24">
      <c r="A113" s="6"/>
      <c r="B113" s="6"/>
      <c r="C113" s="6"/>
      <c r="D113" s="16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2"/>
      <c r="W113" s="20"/>
      <c r="X113" s="6"/>
    </row>
    <row r="114" spans="1:24">
      <c r="A114" s="6"/>
      <c r="B114" s="6"/>
      <c r="C114" s="6"/>
      <c r="D114" s="16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2"/>
      <c r="W114" s="20"/>
      <c r="X114" s="6"/>
    </row>
    <row r="115" spans="1:24">
      <c r="A115" s="6"/>
      <c r="B115" s="6"/>
      <c r="C115" s="6"/>
      <c r="D115" s="16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2"/>
      <c r="W115" s="20"/>
      <c r="X115" s="6"/>
    </row>
    <row r="116" spans="1:24">
      <c r="A116" s="6"/>
      <c r="B116" s="6"/>
      <c r="C116" s="6"/>
      <c r="D116" s="16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2"/>
      <c r="W116" s="20"/>
      <c r="X116" s="6"/>
    </row>
    <row r="117" spans="1:24">
      <c r="A117" s="6"/>
      <c r="B117" s="6"/>
      <c r="C117" s="6"/>
      <c r="D117" s="16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2"/>
      <c r="W117" s="20"/>
      <c r="X117" s="6"/>
    </row>
    <row r="118" spans="1:24">
      <c r="A118" s="6"/>
      <c r="B118" s="6"/>
      <c r="C118" s="6"/>
      <c r="D118" s="16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2"/>
      <c r="W118" s="20"/>
      <c r="X118" s="6"/>
    </row>
    <row r="119" spans="1:24">
      <c r="A119" s="6"/>
      <c r="B119" s="6"/>
      <c r="C119" s="6"/>
      <c r="D119" s="16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2"/>
      <c r="W119" s="20"/>
      <c r="X119" s="6"/>
    </row>
    <row r="120" spans="1:24">
      <c r="A120" s="6"/>
      <c r="B120" s="6"/>
      <c r="C120" s="6"/>
      <c r="D120" s="16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2"/>
      <c r="W120" s="20"/>
      <c r="X120" s="6"/>
    </row>
    <row r="121" spans="1:24">
      <c r="A121" s="6"/>
      <c r="B121" s="6"/>
      <c r="C121" s="6"/>
      <c r="D121" s="16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2"/>
      <c r="W121" s="20"/>
      <c r="X121" s="6"/>
    </row>
    <row r="122" spans="1:24">
      <c r="A122" s="6"/>
      <c r="B122" s="6"/>
      <c r="C122" s="6"/>
      <c r="D122" s="16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2"/>
      <c r="W122" s="20"/>
      <c r="X122" s="6"/>
    </row>
    <row r="123" spans="1:24">
      <c r="A123" s="6"/>
      <c r="B123" s="6"/>
      <c r="C123" s="6"/>
      <c r="D123" s="16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2"/>
      <c r="W123" s="20"/>
      <c r="X123" s="6"/>
    </row>
    <row r="124" spans="1:24">
      <c r="A124" s="6"/>
      <c r="B124" s="6"/>
      <c r="C124" s="6"/>
      <c r="D124" s="16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2"/>
      <c r="W124" s="20"/>
      <c r="X124" s="6"/>
    </row>
    <row r="125" spans="1:24">
      <c r="A125" s="6"/>
      <c r="B125" s="6"/>
      <c r="C125" s="6"/>
      <c r="D125" s="16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2"/>
      <c r="W125" s="20"/>
      <c r="X125" s="6"/>
    </row>
    <row r="126" spans="1:24">
      <c r="A126" s="6"/>
      <c r="B126" s="6"/>
      <c r="C126" s="6"/>
      <c r="D126" s="16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2"/>
      <c r="W126" s="20"/>
      <c r="X126" s="6"/>
    </row>
    <row r="127" spans="1:24">
      <c r="A127" s="6"/>
      <c r="B127" s="6"/>
      <c r="C127" s="6"/>
      <c r="D127" s="16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2"/>
      <c r="W127" s="20"/>
      <c r="X127" s="6"/>
    </row>
    <row r="128" spans="1:24">
      <c r="A128" s="6"/>
      <c r="B128" s="6"/>
      <c r="C128" s="6"/>
      <c r="D128" s="16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2"/>
      <c r="W128" s="20"/>
      <c r="X128" s="6"/>
    </row>
    <row r="129" spans="1:24">
      <c r="A129" s="6"/>
      <c r="B129" s="6"/>
      <c r="C129" s="6"/>
      <c r="D129" s="16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2"/>
      <c r="W129" s="20"/>
      <c r="X129" s="6"/>
    </row>
    <row r="130" spans="1:24">
      <c r="A130" s="6"/>
      <c r="B130" s="6"/>
      <c r="C130" s="6"/>
      <c r="D130" s="16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2"/>
      <c r="W130" s="20"/>
      <c r="X130" s="6"/>
    </row>
    <row r="131" spans="1:24">
      <c r="A131" s="6"/>
      <c r="B131" s="6"/>
      <c r="C131" s="6"/>
      <c r="D131" s="16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2"/>
      <c r="W131" s="20"/>
      <c r="X131" s="6"/>
    </row>
    <row r="132" spans="1:24">
      <c r="A132" s="6"/>
      <c r="B132" s="6"/>
      <c r="C132" s="6"/>
      <c r="D132" s="16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2"/>
      <c r="W132" s="20"/>
      <c r="X132" s="6"/>
    </row>
    <row r="133" spans="1:24">
      <c r="A133" s="6"/>
      <c r="B133" s="6"/>
      <c r="C133" s="6"/>
      <c r="D133" s="16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2"/>
      <c r="W133" s="20"/>
      <c r="X133" s="6"/>
    </row>
    <row r="134" spans="1:24">
      <c r="A134" s="6"/>
      <c r="B134" s="6"/>
      <c r="C134" s="6"/>
      <c r="D134" s="16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2"/>
      <c r="W134" s="20"/>
      <c r="X134" s="6"/>
    </row>
    <row r="135" spans="1:24">
      <c r="A135" s="6"/>
      <c r="B135" s="6"/>
      <c r="C135" s="6"/>
      <c r="D135" s="16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2"/>
      <c r="W135" s="20"/>
      <c r="X135" s="6"/>
    </row>
    <row r="136" spans="1:24">
      <c r="A136" s="6"/>
      <c r="B136" s="6"/>
      <c r="C136" s="6"/>
      <c r="D136" s="16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2"/>
      <c r="W136" s="20"/>
      <c r="X136" s="6"/>
    </row>
    <row r="137" spans="1:24">
      <c r="A137" s="6"/>
      <c r="B137" s="6"/>
      <c r="C137" s="6"/>
      <c r="D137" s="16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2"/>
      <c r="W137" s="20"/>
      <c r="X137" s="6"/>
    </row>
    <row r="138" spans="1:24">
      <c r="A138" s="6"/>
      <c r="B138" s="6"/>
      <c r="C138" s="6"/>
      <c r="D138" s="16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2"/>
      <c r="W138" s="20"/>
      <c r="X138" s="6"/>
    </row>
    <row r="139" spans="1:24">
      <c r="A139" s="6"/>
      <c r="B139" s="6"/>
      <c r="C139" s="6"/>
      <c r="D139" s="16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2"/>
      <c r="W139" s="20"/>
      <c r="X139" s="6"/>
    </row>
    <row r="140" spans="1:24">
      <c r="A140" s="6"/>
      <c r="B140" s="6"/>
      <c r="C140" s="6"/>
      <c r="D140" s="16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2"/>
      <c r="W140" s="20"/>
      <c r="X140" s="6"/>
    </row>
    <row r="141" spans="1:24">
      <c r="A141" s="6"/>
      <c r="B141" s="6"/>
      <c r="C141" s="6"/>
      <c r="D141" s="16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2"/>
      <c r="W141" s="20"/>
      <c r="X141" s="6"/>
    </row>
    <row r="142" spans="1:24">
      <c r="A142" s="6"/>
      <c r="B142" s="6"/>
      <c r="C142" s="6"/>
      <c r="D142" s="16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2"/>
      <c r="W142" s="20"/>
      <c r="X142" s="6"/>
    </row>
    <row r="143" spans="1:24">
      <c r="A143" s="6"/>
      <c r="B143" s="6"/>
      <c r="C143" s="6"/>
      <c r="D143" s="16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2"/>
      <c r="W143" s="20"/>
      <c r="X143" s="6"/>
    </row>
    <row r="144" spans="1:24">
      <c r="A144" s="6"/>
      <c r="B144" s="6"/>
      <c r="C144" s="6"/>
      <c r="D144" s="16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2"/>
      <c r="W144" s="20"/>
      <c r="X144" s="6"/>
    </row>
    <row r="145" spans="1:24">
      <c r="A145" s="6"/>
      <c r="B145" s="6"/>
      <c r="C145" s="6"/>
      <c r="D145" s="16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2"/>
      <c r="W145" s="20"/>
      <c r="X145" s="6"/>
    </row>
    <row r="146" spans="1:24">
      <c r="A146" s="6"/>
      <c r="B146" s="6"/>
      <c r="C146" s="6"/>
      <c r="D146" s="16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2"/>
      <c r="W146" s="20"/>
      <c r="X146" s="6"/>
    </row>
    <row r="147" spans="1:24">
      <c r="A147" s="6"/>
      <c r="B147" s="6"/>
      <c r="C147" s="6"/>
      <c r="D147" s="16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2"/>
      <c r="W147" s="20"/>
      <c r="X147" s="6"/>
    </row>
    <row r="148" spans="1:24">
      <c r="A148" s="6"/>
      <c r="B148" s="6"/>
      <c r="C148" s="6"/>
      <c r="D148" s="16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2"/>
      <c r="W148" s="20"/>
      <c r="X148" s="6"/>
    </row>
    <row r="149" spans="1:24">
      <c r="A149" s="6"/>
      <c r="B149" s="6"/>
      <c r="C149" s="6"/>
      <c r="D149" s="16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2"/>
      <c r="W149" s="20"/>
      <c r="X149" s="6"/>
    </row>
    <row r="150" spans="1:24">
      <c r="A150" s="6"/>
      <c r="B150" s="6"/>
      <c r="C150" s="6"/>
      <c r="D150" s="16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2"/>
      <c r="W150" s="20"/>
      <c r="X150" s="6"/>
    </row>
    <row r="151" spans="1:24">
      <c r="A151" s="6"/>
      <c r="B151" s="6"/>
      <c r="C151" s="6"/>
      <c r="D151" s="16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2"/>
      <c r="W151" s="20"/>
      <c r="X151" s="6"/>
    </row>
    <row r="152" spans="1:24">
      <c r="A152" s="6"/>
      <c r="B152" s="6"/>
      <c r="C152" s="6"/>
      <c r="D152" s="16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2"/>
      <c r="W152" s="20"/>
      <c r="X152" s="6"/>
    </row>
    <row r="153" spans="1:24">
      <c r="A153" s="6"/>
      <c r="B153" s="6"/>
      <c r="C153" s="6"/>
      <c r="D153" s="16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2"/>
      <c r="W153" s="20"/>
      <c r="X153" s="6"/>
    </row>
    <row r="154" spans="1:24">
      <c r="A154" s="6"/>
      <c r="B154" s="6"/>
      <c r="C154" s="6"/>
      <c r="D154" s="16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2"/>
      <c r="W154" s="20"/>
      <c r="X154" s="6"/>
    </row>
    <row r="155" spans="1:24">
      <c r="A155" s="6"/>
      <c r="B155" s="6"/>
      <c r="C155" s="6"/>
      <c r="D155" s="16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2"/>
      <c r="W155" s="20"/>
      <c r="X155" s="6"/>
    </row>
    <row r="156" spans="1:24">
      <c r="A156" s="6"/>
      <c r="B156" s="6"/>
      <c r="C156" s="6"/>
      <c r="D156" s="16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2"/>
      <c r="W156" s="20"/>
      <c r="X156" s="6"/>
    </row>
    <row r="157" spans="1:24">
      <c r="A157" s="6"/>
      <c r="B157" s="6"/>
      <c r="C157" s="6"/>
      <c r="D157" s="16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2"/>
      <c r="W157" s="20"/>
      <c r="X157" s="6"/>
    </row>
    <row r="158" spans="1:24">
      <c r="A158" s="6"/>
      <c r="B158" s="6"/>
      <c r="C158" s="6"/>
      <c r="D158" s="16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2"/>
      <c r="W158" s="20"/>
      <c r="X158" s="6"/>
    </row>
    <row r="159" spans="1:24">
      <c r="A159" s="6"/>
      <c r="B159" s="6"/>
      <c r="C159" s="6"/>
      <c r="D159" s="16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2"/>
      <c r="W159" s="20"/>
      <c r="X159" s="6"/>
    </row>
    <row r="160" spans="1:24">
      <c r="A160" s="6"/>
      <c r="B160" s="6"/>
      <c r="C160" s="6"/>
      <c r="D160" s="16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2"/>
      <c r="W160" s="20"/>
      <c r="X160" s="6"/>
    </row>
    <row r="161" spans="1:24">
      <c r="A161" s="6"/>
      <c r="B161" s="6"/>
      <c r="C161" s="6"/>
      <c r="D161" s="16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2"/>
      <c r="W161" s="20"/>
      <c r="X161" s="6"/>
    </row>
    <row r="162" spans="1:24">
      <c r="A162" s="6"/>
      <c r="B162" s="6"/>
      <c r="C162" s="6"/>
      <c r="D162" s="16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2"/>
      <c r="W162" s="20"/>
      <c r="X162" s="6"/>
    </row>
    <row r="163" spans="1:24">
      <c r="A163" s="6"/>
      <c r="B163" s="6"/>
      <c r="C163" s="6"/>
      <c r="D163" s="16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2"/>
      <c r="W163" s="20"/>
      <c r="X163" s="6"/>
    </row>
    <row r="164" spans="1:24">
      <c r="A164" s="6"/>
      <c r="B164" s="6"/>
      <c r="C164" s="6"/>
      <c r="D164" s="16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2"/>
      <c r="W164" s="20"/>
      <c r="X164" s="6"/>
    </row>
    <row r="165" spans="1:24">
      <c r="A165" s="6"/>
      <c r="B165" s="6"/>
      <c r="C165" s="6"/>
      <c r="D165" s="16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2"/>
      <c r="W165" s="20"/>
      <c r="X165" s="6"/>
    </row>
    <row r="166" spans="1:24">
      <c r="A166" s="6"/>
      <c r="B166" s="6"/>
      <c r="C166" s="6"/>
      <c r="D166" s="16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2"/>
      <c r="W166" s="20"/>
      <c r="X166" s="6"/>
    </row>
    <row r="167" spans="1:24">
      <c r="A167" s="6"/>
      <c r="B167" s="6"/>
      <c r="C167" s="6"/>
      <c r="D167" s="16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2"/>
      <c r="W167" s="20"/>
      <c r="X167" s="6"/>
    </row>
    <row r="168" spans="1:24">
      <c r="A168" s="6"/>
      <c r="B168" s="6"/>
      <c r="C168" s="6"/>
      <c r="D168" s="16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2"/>
      <c r="W168" s="20"/>
      <c r="X168" s="6"/>
    </row>
    <row r="169" spans="1:24">
      <c r="A169" s="6"/>
      <c r="B169" s="6"/>
      <c r="C169" s="6"/>
      <c r="D169" s="16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2"/>
      <c r="W169" s="20"/>
      <c r="X169" s="6"/>
    </row>
    <row r="170" spans="1:24">
      <c r="A170" s="6"/>
      <c r="B170" s="6"/>
      <c r="C170" s="6"/>
      <c r="D170" s="16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2"/>
      <c r="W170" s="20"/>
      <c r="X170" s="6"/>
    </row>
    <row r="171" spans="1:24">
      <c r="A171" s="6"/>
      <c r="B171" s="6"/>
      <c r="C171" s="6"/>
      <c r="D171" s="16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2"/>
      <c r="W171" s="20"/>
      <c r="X171" s="6"/>
    </row>
    <row r="172" spans="1:24">
      <c r="A172" s="6"/>
      <c r="B172" s="6"/>
      <c r="C172" s="6"/>
      <c r="D172" s="16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2"/>
      <c r="W172" s="20"/>
      <c r="X172" s="6"/>
    </row>
    <row r="173" spans="1:24">
      <c r="A173" s="6"/>
      <c r="B173" s="6"/>
      <c r="C173" s="6"/>
      <c r="D173" s="16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2"/>
      <c r="W173" s="20"/>
      <c r="X173" s="6"/>
    </row>
    <row r="174" spans="1:24">
      <c r="A174" s="6"/>
      <c r="B174" s="6"/>
      <c r="C174" s="6"/>
      <c r="D174" s="16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2"/>
      <c r="W174" s="20"/>
      <c r="X174" s="6"/>
    </row>
    <row r="175" spans="1:24">
      <c r="A175" s="6"/>
      <c r="B175" s="6"/>
      <c r="C175" s="6"/>
      <c r="D175" s="16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2"/>
      <c r="W175" s="20"/>
      <c r="X175" s="6"/>
    </row>
    <row r="176" spans="1:24">
      <c r="A176" s="6"/>
      <c r="B176" s="6"/>
      <c r="C176" s="6"/>
      <c r="D176" s="16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2"/>
      <c r="W176" s="20"/>
      <c r="X176" s="6"/>
    </row>
    <row r="177" spans="1:24">
      <c r="A177" s="6"/>
      <c r="B177" s="6"/>
      <c r="C177" s="6"/>
      <c r="D177" s="16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2"/>
      <c r="W177" s="20"/>
      <c r="X177" s="6"/>
    </row>
    <row r="178" spans="1:24">
      <c r="A178" s="6"/>
      <c r="B178" s="6"/>
      <c r="C178" s="6"/>
      <c r="D178" s="16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2"/>
      <c r="W178" s="20"/>
      <c r="X178" s="6"/>
    </row>
    <row r="179" spans="1:24">
      <c r="A179" s="6"/>
      <c r="B179" s="6"/>
      <c r="C179" s="6"/>
      <c r="D179" s="16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2"/>
      <c r="W179" s="20"/>
      <c r="X179" s="6"/>
    </row>
    <row r="180" spans="1:24">
      <c r="A180" s="6"/>
      <c r="B180" s="6"/>
      <c r="C180" s="6"/>
      <c r="D180" s="16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2"/>
      <c r="W180" s="20"/>
      <c r="X180" s="6"/>
    </row>
    <row r="181" spans="1:24">
      <c r="A181" s="6"/>
      <c r="B181" s="6"/>
      <c r="C181" s="6"/>
      <c r="D181" s="16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2"/>
      <c r="W181" s="20"/>
      <c r="X181" s="6"/>
    </row>
    <row r="182" spans="1:24">
      <c r="A182" s="6"/>
      <c r="B182" s="6"/>
      <c r="C182" s="6"/>
      <c r="D182" s="16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2"/>
      <c r="W182" s="20"/>
      <c r="X182" s="6"/>
    </row>
    <row r="183" spans="1:24">
      <c r="A183" s="6"/>
      <c r="B183" s="6"/>
      <c r="C183" s="6"/>
      <c r="D183" s="16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2"/>
      <c r="W183" s="20"/>
      <c r="X183" s="6"/>
    </row>
    <row r="184" spans="1:24">
      <c r="A184" s="6"/>
      <c r="B184" s="6"/>
      <c r="C184" s="6"/>
      <c r="D184" s="16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2"/>
      <c r="W184" s="20"/>
      <c r="X184" s="6"/>
    </row>
    <row r="185" spans="1:24">
      <c r="A185" s="6"/>
      <c r="B185" s="6"/>
      <c r="C185" s="6"/>
      <c r="D185" s="16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2"/>
      <c r="W185" s="20"/>
      <c r="X185" s="6"/>
    </row>
    <row r="186" spans="1:24">
      <c r="A186" s="6"/>
      <c r="B186" s="6"/>
      <c r="C186" s="6"/>
      <c r="D186" s="16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2"/>
      <c r="W186" s="20"/>
      <c r="X186" s="6"/>
    </row>
    <row r="187" spans="1:24">
      <c r="A187" s="6"/>
      <c r="B187" s="6"/>
      <c r="C187" s="6"/>
      <c r="D187" s="16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2"/>
      <c r="W187" s="20"/>
      <c r="X187" s="6"/>
    </row>
    <row r="188" spans="1:24">
      <c r="A188" s="6"/>
      <c r="B188" s="6"/>
      <c r="C188" s="6"/>
      <c r="D188" s="16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2"/>
      <c r="W188" s="20"/>
      <c r="X188" s="6"/>
    </row>
    <row r="189" spans="1:24">
      <c r="A189" s="6"/>
      <c r="B189" s="6"/>
      <c r="C189" s="6"/>
      <c r="D189" s="16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2"/>
      <c r="W189" s="20"/>
      <c r="X189" s="6"/>
    </row>
    <row r="190" spans="1:24">
      <c r="A190" s="6"/>
      <c r="B190" s="6"/>
      <c r="C190" s="6"/>
      <c r="D190" s="16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2"/>
      <c r="W190" s="20"/>
      <c r="X190" s="6"/>
    </row>
    <row r="191" spans="1:24">
      <c r="A191" s="6"/>
      <c r="B191" s="6"/>
      <c r="C191" s="6"/>
      <c r="D191" s="16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2"/>
      <c r="W191" s="20"/>
      <c r="X191" s="6"/>
    </row>
    <row r="192" spans="1:24">
      <c r="A192" s="6"/>
      <c r="B192" s="6"/>
      <c r="C192" s="6"/>
      <c r="D192" s="16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2"/>
      <c r="W192" s="20"/>
      <c r="X192" s="6"/>
    </row>
    <row r="193" spans="1:24">
      <c r="A193" s="6"/>
      <c r="B193" s="6"/>
      <c r="C193" s="6"/>
      <c r="D193" s="16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2"/>
      <c r="W193" s="20"/>
      <c r="X193" s="6"/>
    </row>
    <row r="194" spans="1:24">
      <c r="A194" s="6"/>
      <c r="B194" s="6"/>
      <c r="C194" s="6"/>
      <c r="D194" s="16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2"/>
      <c r="W194" s="20"/>
      <c r="X194" s="6"/>
    </row>
    <row r="195" spans="1:24">
      <c r="A195" s="6"/>
      <c r="B195" s="6"/>
      <c r="C195" s="6"/>
      <c r="D195" s="16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2"/>
      <c r="W195" s="20"/>
      <c r="X195" s="6"/>
    </row>
    <row r="196" spans="1:24">
      <c r="A196" s="6"/>
      <c r="B196" s="6"/>
      <c r="C196" s="6"/>
      <c r="D196" s="16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2"/>
      <c r="W196" s="20"/>
      <c r="X196" s="6"/>
    </row>
    <row r="197" spans="1:24">
      <c r="A197" s="6"/>
      <c r="B197" s="6"/>
      <c r="C197" s="6"/>
      <c r="D197" s="16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2"/>
      <c r="W197" s="20"/>
      <c r="X197" s="6"/>
    </row>
    <row r="198" spans="1:24">
      <c r="A198" s="6"/>
      <c r="B198" s="6"/>
      <c r="C198" s="6"/>
      <c r="D198" s="16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2"/>
      <c r="W198" s="20"/>
      <c r="X198" s="6"/>
    </row>
    <row r="199" spans="1:24">
      <c r="A199" s="6"/>
      <c r="B199" s="6"/>
      <c r="C199" s="6"/>
      <c r="D199" s="16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2"/>
      <c r="W199" s="20"/>
      <c r="X199" s="6"/>
    </row>
    <row r="200" spans="1:24">
      <c r="A200" s="6"/>
      <c r="B200" s="6"/>
      <c r="C200" s="6"/>
      <c r="D200" s="16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2"/>
      <c r="W200" s="20"/>
      <c r="X200" s="6"/>
    </row>
    <row r="201" spans="1:24">
      <c r="A201" s="6"/>
      <c r="B201" s="6"/>
      <c r="C201" s="6"/>
      <c r="D201" s="16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2"/>
      <c r="W201" s="20"/>
      <c r="X201" s="6"/>
    </row>
    <row r="202" spans="1:24">
      <c r="A202" s="6"/>
      <c r="B202" s="6"/>
      <c r="C202" s="6"/>
      <c r="D202" s="16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2"/>
      <c r="W202" s="20"/>
      <c r="X202" s="6"/>
    </row>
    <row r="203" spans="1:24">
      <c r="A203" s="6"/>
      <c r="B203" s="6"/>
      <c r="C203" s="6"/>
      <c r="D203" s="16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2"/>
      <c r="W203" s="20"/>
      <c r="X203" s="6"/>
    </row>
    <row r="204" spans="1:24">
      <c r="A204" s="6"/>
      <c r="B204" s="100"/>
      <c r="C204" s="100"/>
      <c r="D204" s="100"/>
      <c r="E204" s="103"/>
      <c r="F204" s="100"/>
      <c r="G204" s="6"/>
      <c r="H204" s="100"/>
      <c r="I204" s="100"/>
      <c r="J204" s="100"/>
      <c r="K204" s="100"/>
      <c r="L204" s="100"/>
      <c r="M204" s="100"/>
      <c r="N204" s="100"/>
      <c r="O204" s="103"/>
      <c r="P204" s="100"/>
      <c r="Q204" s="6"/>
      <c r="R204" s="6"/>
      <c r="S204" s="6"/>
      <c r="T204" s="6"/>
      <c r="U204" s="6"/>
      <c r="V204" s="6"/>
      <c r="W204" s="6"/>
      <c r="X204" s="6"/>
    </row>
    <row r="205" spans="1:24">
      <c r="A205" s="6"/>
      <c r="B205" s="6"/>
      <c r="C205" s="100"/>
      <c r="D205" s="16"/>
      <c r="E205" s="16"/>
      <c r="F205" s="103"/>
      <c r="G205" s="16"/>
      <c r="H205" s="16"/>
      <c r="I205" s="16"/>
      <c r="J205" s="16"/>
      <c r="K205" s="16"/>
      <c r="L205" s="16"/>
      <c r="M205" s="16"/>
      <c r="N205" s="16"/>
      <c r="O205" s="103"/>
      <c r="P205" s="16"/>
      <c r="Q205" s="16"/>
      <c r="R205" s="16"/>
      <c r="S205" s="16"/>
      <c r="T205" s="16"/>
      <c r="U205" s="16"/>
      <c r="V205" s="5"/>
      <c r="W205" s="20"/>
      <c r="X205" s="6"/>
    </row>
    <row r="206" spans="1:24">
      <c r="A206" s="6"/>
      <c r="B206" s="100"/>
      <c r="C206" s="100"/>
      <c r="D206" s="6"/>
      <c r="E206" s="103"/>
      <c r="F206" s="103"/>
      <c r="G206" s="16"/>
      <c r="H206" s="100"/>
      <c r="I206" s="100"/>
      <c r="J206" s="100"/>
      <c r="K206" s="100"/>
      <c r="L206" s="103"/>
      <c r="M206" s="103"/>
      <c r="N206" s="100"/>
      <c r="O206" s="103"/>
      <c r="P206" s="100"/>
      <c r="Q206" s="6"/>
      <c r="R206" s="6"/>
      <c r="S206" s="6"/>
      <c r="T206" s="6"/>
      <c r="U206" s="6"/>
      <c r="V206" s="5"/>
      <c r="W206" s="20"/>
      <c r="X206" s="6"/>
    </row>
    <row r="207" spans="1:24">
      <c r="A207" s="6"/>
      <c r="B207" s="6"/>
      <c r="C207" s="100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03"/>
      <c r="P207" s="16"/>
      <c r="Q207" s="16"/>
      <c r="R207" s="16"/>
      <c r="S207" s="16"/>
      <c r="T207" s="16"/>
      <c r="U207" s="16"/>
      <c r="V207" s="5"/>
      <c r="W207" s="20"/>
      <c r="X207" s="6"/>
    </row>
    <row r="208" spans="1:24">
      <c r="A208" s="6"/>
      <c r="B208" s="100"/>
      <c r="C208" s="100"/>
      <c r="D208" s="100"/>
      <c r="E208" s="103"/>
      <c r="F208" s="103"/>
      <c r="G208" s="16"/>
      <c r="H208" s="100"/>
      <c r="I208" s="100"/>
      <c r="J208" s="100"/>
      <c r="K208" s="100"/>
      <c r="L208" s="103"/>
      <c r="M208" s="103"/>
      <c r="N208" s="100"/>
      <c r="O208" s="103"/>
      <c r="P208" s="100"/>
      <c r="Q208" s="6"/>
      <c r="R208" s="6"/>
      <c r="S208" s="6"/>
      <c r="T208" s="6"/>
      <c r="U208" s="6"/>
      <c r="V208" s="5"/>
      <c r="W208" s="20"/>
      <c r="X208" s="6"/>
    </row>
    <row r="209" spans="1:24">
      <c r="A209" s="6"/>
      <c r="B209" s="6"/>
      <c r="C209" s="100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03"/>
      <c r="P209" s="16"/>
      <c r="Q209" s="16"/>
      <c r="R209" s="16"/>
      <c r="S209" s="16"/>
      <c r="T209" s="16"/>
      <c r="U209" s="16"/>
      <c r="V209" s="5"/>
      <c r="W209" s="20"/>
      <c r="X209" s="6"/>
    </row>
    <row r="210" spans="1:24">
      <c r="A210" s="6"/>
      <c r="B210" s="100"/>
      <c r="C210" s="100"/>
      <c r="D210" s="100"/>
      <c r="E210" s="103"/>
      <c r="F210" s="103"/>
      <c r="G210" s="16"/>
      <c r="H210" s="100"/>
      <c r="I210" s="100"/>
      <c r="J210" s="100"/>
      <c r="K210" s="100"/>
      <c r="L210" s="103"/>
      <c r="M210" s="103"/>
      <c r="N210" s="100"/>
      <c r="O210" s="103"/>
      <c r="P210" s="100"/>
      <c r="Q210" s="6"/>
      <c r="R210" s="6"/>
      <c r="S210" s="6"/>
      <c r="T210" s="6"/>
      <c r="U210" s="6"/>
      <c r="V210" s="6"/>
      <c r="W210" s="6"/>
      <c r="X210" s="6"/>
    </row>
    <row r="211" spans="1:24">
      <c r="A211" s="6"/>
      <c r="B211" s="6"/>
      <c r="C211" s="100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03"/>
      <c r="P211" s="16"/>
      <c r="Q211" s="16"/>
      <c r="R211" s="6"/>
      <c r="S211" s="6"/>
      <c r="T211" s="6"/>
      <c r="U211" s="6"/>
      <c r="V211" s="6"/>
      <c r="W211" s="6"/>
      <c r="X211" s="6"/>
    </row>
    <row r="212" spans="1:24">
      <c r="A212" s="6"/>
      <c r="B212" s="6"/>
      <c r="C212" s="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03"/>
      <c r="P212" s="16"/>
      <c r="Q212" s="16"/>
      <c r="R212" s="6"/>
      <c r="S212" s="6"/>
      <c r="T212" s="6"/>
      <c r="U212" s="6"/>
      <c r="V212" s="6"/>
      <c r="W212" s="6"/>
      <c r="X212" s="6"/>
    </row>
    <row r="213" spans="1:24">
      <c r="A213" s="6"/>
      <c r="B213" s="6"/>
      <c r="C213" s="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03"/>
      <c r="P213" s="16"/>
      <c r="Q213" s="16"/>
      <c r="R213" s="6"/>
      <c r="S213" s="6"/>
      <c r="T213" s="6"/>
      <c r="U213" s="6"/>
      <c r="V213" s="6"/>
      <c r="W213" s="6"/>
      <c r="X213" s="6"/>
    </row>
    <row r="214" spans="1:24">
      <c r="A214" s="6"/>
      <c r="B214" s="6"/>
      <c r="C214" s="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03"/>
      <c r="P214" s="16"/>
      <c r="Q214" s="16"/>
      <c r="R214" s="6"/>
      <c r="S214" s="6"/>
      <c r="T214" s="6"/>
      <c r="U214" s="6"/>
      <c r="V214" s="6"/>
      <c r="W214" s="6"/>
      <c r="X214" s="6"/>
    </row>
    <row r="215" spans="1:24">
      <c r="A215" s="6"/>
      <c r="B215" s="6"/>
      <c r="C215" s="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03"/>
      <c r="P215" s="16"/>
      <c r="Q215" s="16"/>
      <c r="R215" s="6"/>
      <c r="S215" s="6"/>
      <c r="T215" s="6"/>
      <c r="U215" s="6"/>
      <c r="V215" s="6"/>
      <c r="W215" s="6"/>
      <c r="X215" s="6"/>
    </row>
    <row r="216" spans="1:24">
      <c r="A216" s="6"/>
      <c r="B216" s="6"/>
      <c r="C216" s="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03"/>
      <c r="P216" s="16"/>
      <c r="Q216" s="16"/>
      <c r="R216" s="6"/>
      <c r="S216" s="6"/>
      <c r="T216" s="6"/>
      <c r="U216" s="6"/>
      <c r="V216" s="6"/>
      <c r="W216" s="6"/>
      <c r="X216" s="6"/>
    </row>
    <row r="217" spans="1:24">
      <c r="A217" s="6"/>
      <c r="B217" s="6"/>
      <c r="C217" s="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03"/>
      <c r="P217" s="16"/>
      <c r="Q217" s="16"/>
      <c r="R217" s="6"/>
      <c r="S217" s="6"/>
      <c r="T217" s="6"/>
      <c r="U217" s="6"/>
      <c r="V217" s="6"/>
      <c r="W217" s="6"/>
      <c r="X217" s="6"/>
    </row>
    <row r="218" spans="1:24">
      <c r="A218" s="6"/>
      <c r="B218" s="6"/>
      <c r="C218" s="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03"/>
      <c r="P218" s="16"/>
      <c r="Q218" s="16"/>
      <c r="R218" s="6"/>
      <c r="S218" s="6"/>
      <c r="T218" s="6"/>
      <c r="U218" s="6"/>
      <c r="V218" s="6"/>
      <c r="W218" s="6"/>
      <c r="X218" s="6"/>
    </row>
    <row r="219" spans="1:24">
      <c r="A219" s="6"/>
      <c r="B219" s="6"/>
      <c r="C219" s="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03"/>
      <c r="P219" s="16"/>
      <c r="Q219" s="16"/>
      <c r="R219" s="6"/>
      <c r="S219" s="6"/>
      <c r="T219" s="6"/>
      <c r="U219" s="6"/>
      <c r="V219" s="6"/>
      <c r="W219" s="6"/>
      <c r="X219" s="6"/>
    </row>
    <row r="220" spans="1:24">
      <c r="A220" s="6"/>
      <c r="B220" s="6"/>
      <c r="C220" s="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03"/>
      <c r="P220" s="16"/>
      <c r="Q220" s="16"/>
      <c r="R220" s="6"/>
      <c r="S220" s="6"/>
      <c r="T220" s="6"/>
      <c r="U220" s="6"/>
      <c r="V220" s="6"/>
      <c r="W220" s="6"/>
      <c r="X220" s="6"/>
    </row>
    <row r="221" spans="1:24">
      <c r="A221" s="6"/>
      <c r="B221" s="100"/>
      <c r="C221" s="100"/>
      <c r="D221" s="100"/>
      <c r="E221" s="103"/>
      <c r="F221" s="103"/>
      <c r="G221" s="16"/>
      <c r="H221" s="100"/>
      <c r="I221" s="100"/>
      <c r="J221" s="100"/>
      <c r="K221" s="100"/>
      <c r="L221" s="103"/>
      <c r="M221" s="103"/>
      <c r="N221" s="100"/>
      <c r="O221" s="103"/>
      <c r="P221" s="100"/>
      <c r="Q221" s="6"/>
      <c r="R221" s="6"/>
      <c r="S221" s="6"/>
      <c r="T221" s="6"/>
      <c r="U221" s="6"/>
      <c r="V221" s="6"/>
      <c r="W221" s="6"/>
      <c r="X221" s="6"/>
    </row>
    <row r="222" spans="1:24">
      <c r="A222" s="6"/>
      <c r="B222" s="6"/>
      <c r="C222" s="100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03"/>
      <c r="P222" s="16"/>
      <c r="Q222" s="16"/>
      <c r="R222" s="6"/>
      <c r="S222" s="6"/>
      <c r="T222" s="6"/>
      <c r="U222" s="6"/>
      <c r="V222" s="6"/>
      <c r="W222" s="6"/>
      <c r="X222" s="6"/>
    </row>
    <row r="223" spans="1:24">
      <c r="A223" s="6"/>
      <c r="B223" s="6"/>
      <c r="C223" s="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03"/>
      <c r="P223" s="16"/>
      <c r="Q223" s="16"/>
      <c r="R223" s="6"/>
      <c r="S223" s="6"/>
      <c r="T223" s="6"/>
      <c r="U223" s="6"/>
      <c r="V223" s="6"/>
      <c r="W223" s="6"/>
      <c r="X223" s="6"/>
    </row>
    <row r="224" spans="1:24">
      <c r="A224" s="6"/>
      <c r="B224" s="6"/>
      <c r="C224" s="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03"/>
      <c r="P224" s="16"/>
      <c r="Q224" s="16"/>
      <c r="R224" s="6"/>
      <c r="S224" s="6"/>
      <c r="T224" s="6"/>
      <c r="U224" s="6"/>
      <c r="V224" s="6"/>
      <c r="W224" s="6"/>
      <c r="X224" s="6"/>
    </row>
    <row r="225" spans="1:24">
      <c r="A225" s="6"/>
      <c r="B225" s="6"/>
      <c r="C225" s="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03"/>
      <c r="P225" s="16"/>
      <c r="Q225" s="16"/>
      <c r="R225" s="6"/>
      <c r="S225" s="6"/>
      <c r="T225" s="6"/>
      <c r="U225" s="6"/>
      <c r="V225" s="6"/>
      <c r="W225" s="6"/>
      <c r="X225" s="6"/>
    </row>
    <row r="226" spans="1:24">
      <c r="A226" s="6"/>
      <c r="B226" s="6"/>
      <c r="C226" s="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03"/>
      <c r="P226" s="16"/>
      <c r="Q226" s="16"/>
      <c r="R226" s="6"/>
      <c r="S226" s="6"/>
      <c r="T226" s="6"/>
      <c r="U226" s="6"/>
      <c r="V226" s="6"/>
      <c r="W226" s="6"/>
      <c r="X226" s="6"/>
    </row>
    <row r="227" spans="1:24">
      <c r="A227" s="6"/>
      <c r="B227" s="6"/>
      <c r="C227" s="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03"/>
      <c r="P227" s="16"/>
      <c r="Q227" s="16"/>
      <c r="R227" s="6"/>
      <c r="S227" s="6"/>
      <c r="T227" s="6"/>
      <c r="U227" s="6"/>
      <c r="V227" s="6"/>
      <c r="W227" s="6"/>
      <c r="X227" s="6"/>
    </row>
    <row r="228" spans="1:24">
      <c r="A228" s="6"/>
      <c r="B228" s="6"/>
      <c r="C228" s="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03"/>
      <c r="P228" s="16"/>
      <c r="Q228" s="16"/>
      <c r="R228" s="6"/>
      <c r="S228" s="6"/>
      <c r="T228" s="6"/>
      <c r="U228" s="6"/>
      <c r="V228" s="6"/>
      <c r="W228" s="6"/>
      <c r="X228" s="6"/>
    </row>
    <row r="229" spans="1:24">
      <c r="A229" s="6"/>
      <c r="B229" s="6"/>
      <c r="C229" s="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03"/>
      <c r="P229" s="16"/>
      <c r="Q229" s="16"/>
      <c r="R229" s="6"/>
      <c r="S229" s="6"/>
      <c r="T229" s="6"/>
      <c r="U229" s="6"/>
      <c r="V229" s="6"/>
      <c r="W229" s="6"/>
      <c r="X229" s="6"/>
    </row>
    <row r="230" spans="1:24">
      <c r="A230" s="6"/>
      <c r="B230" s="6"/>
      <c r="C230" s="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03"/>
      <c r="P230" s="16"/>
      <c r="Q230" s="16"/>
      <c r="R230" s="6"/>
      <c r="S230" s="6"/>
      <c r="T230" s="6"/>
      <c r="U230" s="6"/>
      <c r="V230" s="6"/>
      <c r="W230" s="6"/>
      <c r="X230" s="6"/>
    </row>
    <row r="231" spans="1:24">
      <c r="A231" s="6"/>
      <c r="B231" s="6"/>
      <c r="C231" s="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03"/>
      <c r="P231" s="16"/>
      <c r="Q231" s="16"/>
      <c r="R231" s="6"/>
      <c r="S231" s="6"/>
      <c r="T231" s="6"/>
      <c r="U231" s="6"/>
      <c r="V231" s="6"/>
      <c r="W231" s="6"/>
      <c r="X231" s="6"/>
    </row>
    <row r="232" spans="1:24">
      <c r="A232" s="6"/>
      <c r="B232" s="100"/>
      <c r="C232" s="100"/>
      <c r="D232" s="100"/>
      <c r="E232" s="103"/>
      <c r="F232" s="103"/>
      <c r="G232" s="16"/>
      <c r="H232" s="100"/>
      <c r="I232" s="100"/>
      <c r="J232" s="100"/>
      <c r="K232" s="100"/>
      <c r="L232" s="103"/>
      <c r="M232" s="103"/>
      <c r="N232" s="100"/>
      <c r="O232" s="103"/>
      <c r="P232" s="100"/>
      <c r="Q232" s="6"/>
      <c r="R232" s="6"/>
      <c r="S232" s="6"/>
      <c r="T232" s="6"/>
      <c r="U232" s="6"/>
      <c r="V232" s="6"/>
      <c r="W232" s="6"/>
      <c r="X232" s="6"/>
    </row>
    <row r="233" spans="1:24">
      <c r="A233" s="6"/>
      <c r="B233" s="6"/>
      <c r="C233" s="100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03"/>
      <c r="P233" s="16"/>
      <c r="Q233" s="16"/>
      <c r="R233" s="6"/>
      <c r="S233" s="6"/>
      <c r="T233" s="6"/>
      <c r="U233" s="6"/>
      <c r="V233" s="6"/>
      <c r="W233" s="6"/>
      <c r="X233" s="6"/>
    </row>
    <row r="234" spans="1:24">
      <c r="A234" s="6"/>
      <c r="B234" s="6"/>
      <c r="C234" s="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03"/>
      <c r="P234" s="16"/>
      <c r="Q234" s="16"/>
      <c r="R234" s="6"/>
      <c r="S234" s="6"/>
      <c r="T234" s="6"/>
      <c r="U234" s="6"/>
      <c r="V234" s="6"/>
      <c r="W234" s="6"/>
      <c r="X234" s="6"/>
    </row>
    <row r="235" spans="1:24">
      <c r="A235" s="6"/>
      <c r="B235" s="6"/>
      <c r="C235" s="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03"/>
      <c r="P235" s="16"/>
      <c r="Q235" s="16"/>
      <c r="R235" s="6"/>
      <c r="S235" s="6"/>
      <c r="T235" s="6"/>
      <c r="U235" s="6"/>
      <c r="V235" s="6"/>
      <c r="W235" s="6"/>
      <c r="X235" s="6"/>
    </row>
    <row r="236" spans="1:24">
      <c r="A236" s="6"/>
      <c r="B236" s="6"/>
      <c r="C236" s="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03"/>
      <c r="P236" s="16"/>
      <c r="Q236" s="16"/>
      <c r="R236" s="6"/>
      <c r="S236" s="6"/>
      <c r="T236" s="6"/>
      <c r="U236" s="6"/>
      <c r="V236" s="6"/>
      <c r="W236" s="6"/>
      <c r="X236" s="6"/>
    </row>
    <row r="237" spans="1:24">
      <c r="A237" s="6"/>
      <c r="B237" s="6"/>
      <c r="C237" s="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03"/>
      <c r="P237" s="16"/>
      <c r="Q237" s="16"/>
      <c r="R237" s="6"/>
      <c r="S237" s="6"/>
      <c r="T237" s="6"/>
      <c r="U237" s="6"/>
      <c r="V237" s="6"/>
      <c r="W237" s="6"/>
      <c r="X237" s="6"/>
    </row>
    <row r="238" spans="1:24">
      <c r="A238" s="6"/>
      <c r="B238" s="6"/>
      <c r="C238" s="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03"/>
      <c r="P238" s="16"/>
      <c r="Q238" s="16"/>
      <c r="R238" s="6"/>
      <c r="S238" s="6"/>
      <c r="T238" s="6"/>
      <c r="U238" s="6"/>
      <c r="V238" s="6"/>
      <c r="W238" s="6"/>
      <c r="X238" s="6"/>
    </row>
    <row r="239" spans="1:24">
      <c r="A239" s="6"/>
      <c r="B239" s="6"/>
      <c r="C239" s="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03"/>
      <c r="P239" s="16"/>
      <c r="Q239" s="16"/>
      <c r="R239" s="6"/>
      <c r="S239" s="6"/>
      <c r="T239" s="6"/>
      <c r="U239" s="6"/>
      <c r="V239" s="6"/>
      <c r="W239" s="6"/>
      <c r="X239" s="6"/>
    </row>
    <row r="240" spans="1:24">
      <c r="A240" s="6"/>
      <c r="B240" s="6"/>
      <c r="C240" s="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03"/>
      <c r="P240" s="16"/>
      <c r="Q240" s="16"/>
      <c r="R240" s="6"/>
      <c r="S240" s="6"/>
      <c r="T240" s="6"/>
      <c r="U240" s="6"/>
      <c r="V240" s="6"/>
      <c r="W240" s="6"/>
      <c r="X240" s="6"/>
    </row>
    <row r="241" spans="1:24">
      <c r="A241" s="6"/>
      <c r="B241" s="6"/>
      <c r="C241" s="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03"/>
      <c r="P241" s="16"/>
      <c r="Q241" s="16"/>
      <c r="R241" s="6"/>
      <c r="S241" s="6"/>
      <c r="T241" s="6"/>
      <c r="U241" s="6"/>
      <c r="V241" s="6"/>
      <c r="W241" s="6"/>
      <c r="X241" s="6"/>
    </row>
    <row r="242" spans="1:24">
      <c r="A242" s="6"/>
      <c r="B242" s="6"/>
      <c r="C242" s="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03"/>
      <c r="P242" s="16"/>
      <c r="Q242" s="16"/>
      <c r="R242" s="6"/>
      <c r="S242" s="6"/>
      <c r="T242" s="6"/>
      <c r="U242" s="6"/>
      <c r="V242" s="6"/>
      <c r="W242" s="6"/>
      <c r="X242" s="6"/>
    </row>
    <row r="243" spans="1:24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</row>
    <row r="244" spans="1:2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</row>
    <row r="245" spans="1:24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</row>
    <row r="246" spans="1:24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</row>
    <row r="247" spans="1:24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</row>
    <row r="248" spans="1:24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</row>
    <row r="249" spans="1:24">
      <c r="A249" s="6"/>
      <c r="B249" s="6"/>
      <c r="C249" s="6"/>
    </row>
  </sheetData>
  <phoneticPr fontId="33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O63"/>
  <sheetViews>
    <sheetView zoomScale="140" zoomScaleNormal="140" workbookViewId="0">
      <selection activeCell="AA21" sqref="AA21"/>
    </sheetView>
  </sheetViews>
  <sheetFormatPr defaultRowHeight="12.75"/>
  <cols>
    <col min="29" max="29" width="9.28515625" bestFit="1" customWidth="1"/>
    <col min="42" max="42" width="9.42578125" customWidth="1"/>
  </cols>
  <sheetData>
    <row r="1" spans="1:67">
      <c r="A1" s="17" t="s">
        <v>261</v>
      </c>
    </row>
    <row r="3" spans="1:67">
      <c r="A3" t="s">
        <v>270</v>
      </c>
    </row>
    <row r="4" spans="1:67">
      <c r="A4" s="17"/>
    </row>
    <row r="5" spans="1:67">
      <c r="A5" s="64" t="s">
        <v>28</v>
      </c>
      <c r="B5" s="8">
        <v>0</v>
      </c>
      <c r="C5" s="3" t="s">
        <v>4</v>
      </c>
      <c r="F5" s="6"/>
      <c r="G5" s="6"/>
      <c r="H5" s="6"/>
    </row>
    <row r="6" spans="1:67">
      <c r="A6" s="3" t="s">
        <v>29</v>
      </c>
      <c r="B6" s="1">
        <f>ISA!O8</f>
        <v>1.2249994633486807</v>
      </c>
      <c r="C6" s="3" t="s">
        <v>30</v>
      </c>
      <c r="D6" s="16"/>
      <c r="E6" s="16"/>
      <c r="F6" s="6"/>
      <c r="G6" s="16"/>
      <c r="H6" s="6"/>
    </row>
    <row r="7" spans="1:67">
      <c r="A7" s="64" t="s">
        <v>276</v>
      </c>
      <c r="B7" s="12">
        <v>70</v>
      </c>
      <c r="C7" s="3" t="s">
        <v>4</v>
      </c>
      <c r="D7" t="s">
        <v>290</v>
      </c>
    </row>
    <row r="8" spans="1:67">
      <c r="A8" s="64" t="s">
        <v>289</v>
      </c>
      <c r="B8" s="12">
        <v>30</v>
      </c>
      <c r="C8" s="3" t="s">
        <v>35</v>
      </c>
    </row>
    <row r="9" spans="1:67">
      <c r="A9" s="64" t="s">
        <v>31</v>
      </c>
      <c r="B9" s="12">
        <v>0</v>
      </c>
    </row>
    <row r="10" spans="1:67">
      <c r="A10" s="64" t="s">
        <v>494</v>
      </c>
      <c r="B10" s="12">
        <v>1.2</v>
      </c>
    </row>
    <row r="11" spans="1:67">
      <c r="A11" s="64" t="s">
        <v>496</v>
      </c>
      <c r="B11" s="93">
        <v>0</v>
      </c>
      <c r="C11" s="64" t="s">
        <v>1</v>
      </c>
    </row>
    <row r="15" spans="1:67">
      <c r="B15" t="s">
        <v>279</v>
      </c>
      <c r="F15" t="s">
        <v>273</v>
      </c>
      <c r="H15" t="s">
        <v>277</v>
      </c>
      <c r="J15" t="s">
        <v>278</v>
      </c>
      <c r="T15" t="s">
        <v>286</v>
      </c>
      <c r="X15" t="s">
        <v>268</v>
      </c>
      <c r="Z15" t="s">
        <v>288</v>
      </c>
    </row>
    <row r="16" spans="1:67"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42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</row>
    <row r="17" spans="2:67"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</row>
    <row r="18" spans="2:67">
      <c r="B18" s="9" t="s">
        <v>280</v>
      </c>
      <c r="C18" s="9" t="s">
        <v>281</v>
      </c>
      <c r="D18" s="9" t="s">
        <v>282</v>
      </c>
      <c r="F18" s="9" t="s">
        <v>29</v>
      </c>
      <c r="H18" s="9" t="s">
        <v>34</v>
      </c>
      <c r="J18" s="9" t="s">
        <v>283</v>
      </c>
      <c r="K18" s="9" t="s">
        <v>54</v>
      </c>
      <c r="L18" s="9" t="s">
        <v>284</v>
      </c>
      <c r="M18" s="9" t="s">
        <v>285</v>
      </c>
      <c r="N18" s="9" t="s">
        <v>0</v>
      </c>
      <c r="O18" s="9" t="s">
        <v>55</v>
      </c>
      <c r="P18" s="9" t="s">
        <v>56</v>
      </c>
      <c r="Q18" s="9" t="s">
        <v>57</v>
      </c>
      <c r="R18" s="9" t="s">
        <v>58</v>
      </c>
      <c r="T18" s="9" t="s">
        <v>535</v>
      </c>
      <c r="U18" s="9" t="s">
        <v>198</v>
      </c>
      <c r="V18" s="9" t="s">
        <v>287</v>
      </c>
      <c r="W18" s="9"/>
      <c r="X18" s="9" t="s">
        <v>5</v>
      </c>
      <c r="Y18" s="23"/>
      <c r="Z18" s="23" t="s">
        <v>276</v>
      </c>
      <c r="AA18" s="68" t="s">
        <v>323</v>
      </c>
      <c r="AB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6"/>
      <c r="BE18" s="6"/>
      <c r="BF18" s="23"/>
      <c r="BG18" s="23"/>
      <c r="BH18" s="6"/>
      <c r="BI18" s="23"/>
      <c r="BJ18" s="23"/>
      <c r="BK18" s="23"/>
      <c r="BL18" s="6"/>
      <c r="BM18" s="23"/>
      <c r="BN18" s="23"/>
      <c r="BO18" s="23"/>
    </row>
    <row r="19" spans="2:67">
      <c r="B19" s="9" t="s">
        <v>4</v>
      </c>
      <c r="C19" s="9" t="s">
        <v>4</v>
      </c>
      <c r="D19" s="9" t="s">
        <v>43</v>
      </c>
      <c r="F19" s="9" t="s">
        <v>30</v>
      </c>
      <c r="H19" s="9" t="s">
        <v>35</v>
      </c>
      <c r="J19" s="9"/>
      <c r="K19" s="9"/>
      <c r="L19" s="9"/>
      <c r="M19" s="9"/>
      <c r="N19" s="9"/>
      <c r="P19" s="9" t="s">
        <v>35</v>
      </c>
      <c r="Q19" s="9" t="s">
        <v>35</v>
      </c>
      <c r="R19" s="9"/>
      <c r="T19" s="9" t="s">
        <v>1</v>
      </c>
      <c r="U19" s="9" t="s">
        <v>1</v>
      </c>
      <c r="V19" s="9" t="s">
        <v>1</v>
      </c>
      <c r="X19" s="9" t="s">
        <v>35</v>
      </c>
      <c r="Y19" s="6"/>
      <c r="Z19" s="23" t="s">
        <v>4</v>
      </c>
      <c r="AA19" s="6"/>
      <c r="AB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23"/>
      <c r="BA19" s="23"/>
      <c r="BB19" s="23"/>
      <c r="BC19" s="23"/>
      <c r="BD19" s="6"/>
      <c r="BE19" s="6"/>
      <c r="BF19" s="23"/>
      <c r="BG19" s="23"/>
      <c r="BH19" s="6"/>
      <c r="BI19" s="23"/>
      <c r="BJ19" s="23"/>
      <c r="BK19" s="23"/>
      <c r="BL19" s="6"/>
      <c r="BM19" s="23"/>
      <c r="BN19" s="23"/>
      <c r="BO19" s="23"/>
    </row>
    <row r="20" spans="2:67">
      <c r="Y20" s="6"/>
      <c r="Z20" s="6"/>
      <c r="AA20" s="6"/>
      <c r="AB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</row>
    <row r="21" spans="2:67">
      <c r="B21" s="31">
        <f>Main!C21</f>
        <v>1.5</v>
      </c>
      <c r="C21" s="31">
        <f>Main!B21</f>
        <v>0.33333333333333326</v>
      </c>
      <c r="D21" s="1">
        <f>B21*C21</f>
        <v>0.49999999999999989</v>
      </c>
      <c r="F21" s="1">
        <f>$B$6</f>
        <v>1.2249994633486807</v>
      </c>
      <c r="H21" s="62">
        <f ca="1">Main!AC21</f>
        <v>129.60277124897891</v>
      </c>
      <c r="J21" s="16">
        <f ca="1">'Aerodynamics-Takeoff'!AG21</f>
        <v>1.4237364280530496</v>
      </c>
      <c r="K21" s="16">
        <f ca="1">'Aerodynamics-Takeoff'!BE21</f>
        <v>0.83635417779517474</v>
      </c>
      <c r="L21" s="42">
        <f ca="1">'Aerodynamics-Takeoff'!BF21</f>
        <v>1.8237071229333102E-2</v>
      </c>
      <c r="M21" s="84">
        <v>0</v>
      </c>
      <c r="N21" s="42">
        <f ca="1">(O21-L21)/K21^2</f>
        <v>5.3368071887159113E-2</v>
      </c>
      <c r="O21" s="10">
        <f ca="1">'Aerodynamics-Takeoff'!BH21</f>
        <v>5.5567413679751251E-2</v>
      </c>
      <c r="P21" s="13">
        <f ca="1">0.5*F21*T21^2*D21*K21</f>
        <v>54.816009675428802</v>
      </c>
      <c r="Q21" s="13">
        <f ca="1">0.5*F21*T21^2*D21*O21</f>
        <v>3.6419784425991932</v>
      </c>
      <c r="R21" s="16">
        <f t="shared" ref="R21:R40" ca="1" si="0">P21/Q21</f>
        <v>15.051162586318858</v>
      </c>
      <c r="T21" s="20">
        <f ca="1">IF(ISERROR(V21),10,SQRT((V21^2+$B$11^2)/2))</f>
        <v>14.629202114399924</v>
      </c>
      <c r="U21" s="20">
        <f t="shared" ref="U21:U40" ca="1" si="1">SQRT(H21/(0.5*F21*D21*J21))</f>
        <v>17.240680030728171</v>
      </c>
      <c r="V21" s="13">
        <f t="shared" ref="V21:V40" ca="1" si="2">$B$10*U21</f>
        <v>20.688816036873806</v>
      </c>
      <c r="W21" s="33"/>
      <c r="X21" s="20">
        <f ca="1">'Propulsion-Takeoff'!S21/T21</f>
        <v>16.065410259683514</v>
      </c>
      <c r="Y21" s="42"/>
      <c r="Z21" s="20">
        <f ca="1">H21*(V21^2-$B$11^2)/(2*ISA!$B$5*($B$8+X21-Q21-$B$9*(H21-P21)))</f>
        <v>66.669791203701934</v>
      </c>
      <c r="AA21" s="1">
        <f ca="1">($B$7-Z21)/$B$7</f>
        <v>4.7574411375686666E-2</v>
      </c>
      <c r="AB21" s="57" t="str">
        <f ca="1">IF(Z21&gt;$B$7,"requirement not met","OK")</f>
        <v>OK</v>
      </c>
      <c r="AF21" s="16"/>
      <c r="AG21" s="16"/>
      <c r="AH21" s="42"/>
      <c r="AI21" s="42"/>
      <c r="AJ21" s="42"/>
      <c r="AK21" s="16"/>
      <c r="AL21" s="16"/>
      <c r="AM21" s="16"/>
      <c r="AN21" s="16"/>
      <c r="AO21" s="42"/>
      <c r="AP21" s="42"/>
      <c r="AQ21" s="42"/>
      <c r="AR21" s="16"/>
      <c r="AS21" s="16"/>
      <c r="AT21" s="42"/>
      <c r="AU21" s="42"/>
      <c r="AV21" s="16"/>
      <c r="AW21" s="42"/>
      <c r="AX21" s="42"/>
      <c r="AY21" s="42"/>
      <c r="AZ21" s="20"/>
      <c r="BA21" s="20"/>
      <c r="BB21" s="20"/>
      <c r="BC21" s="19"/>
      <c r="BD21" s="6"/>
      <c r="BE21" s="6"/>
      <c r="BF21" s="16"/>
      <c r="BG21" s="16"/>
      <c r="BH21" s="6"/>
      <c r="BI21" s="16"/>
      <c r="BJ21" s="16"/>
      <c r="BK21" s="16"/>
      <c r="BL21" s="6"/>
      <c r="BM21" s="16"/>
      <c r="BN21" s="16"/>
      <c r="BO21" s="16"/>
    </row>
    <row r="22" spans="2:67">
      <c r="B22" s="31">
        <f>Main!C22</f>
        <v>1.5789473684210527</v>
      </c>
      <c r="C22" s="31">
        <f>Main!B22</f>
        <v>0.33333333333333326</v>
      </c>
      <c r="D22" s="1">
        <f t="shared" ref="D22:D40" si="3">B22*C22</f>
        <v>0.52631578947368407</v>
      </c>
      <c r="F22" s="1">
        <f t="shared" ref="F22:F25" si="4">$B$6</f>
        <v>1.2249994633486807</v>
      </c>
      <c r="H22" s="62">
        <f ca="1">Main!AC22</f>
        <v>131.99424477474008</v>
      </c>
      <c r="J22" s="16">
        <f ca="1">'Aerodynamics-Takeoff'!AG22</f>
        <v>1.4234120634980503</v>
      </c>
      <c r="K22" s="16">
        <f ca="1">'Aerodynamics-Takeoff'!BE22</f>
        <v>0.83670157134867951</v>
      </c>
      <c r="L22" s="42">
        <f ca="1">'Aerodynamics-Takeoff'!BF22</f>
        <v>1.8168031928914859E-2</v>
      </c>
      <c r="M22" s="84">
        <v>0</v>
      </c>
      <c r="N22" s="42">
        <f t="shared" ref="N22:N40" ca="1" si="5">(O22-L22)/K22^2</f>
        <v>5.034233846098389E-2</v>
      </c>
      <c r="O22" s="10">
        <f ca="1">'Aerodynamics-Takeoff'!BH22</f>
        <v>5.341116862559319E-2</v>
      </c>
      <c r="P22" s="13">
        <f t="shared" ref="P22:P40" ca="1" si="6">0.5*F22*T22^2*D22*K22</f>
        <v>55.863408978964586</v>
      </c>
      <c r="Q22" s="13">
        <f t="shared" ref="Q22:Q40" ca="1" si="7">0.5*F22*T22^2*D22*O22</f>
        <v>3.5660623323157847</v>
      </c>
      <c r="R22" s="16">
        <f t="shared" ca="1" si="0"/>
        <v>15.665292351378261</v>
      </c>
      <c r="T22" s="20">
        <f t="shared" ref="T22:T40" ca="1" si="8">IF(ISERROR(V22),10,SQRT((V22^2+$B$11^2)/2))</f>
        <v>14.391374472651204</v>
      </c>
      <c r="U22" s="20">
        <f t="shared" ca="1" si="1"/>
        <v>16.960397467003723</v>
      </c>
      <c r="V22" s="13">
        <f t="shared" ca="1" si="2"/>
        <v>20.352476960404466</v>
      </c>
      <c r="W22" s="33"/>
      <c r="X22" s="20">
        <f ca="1">'Propulsion-Takeoff'!S22/T22</f>
        <v>16.172481764748543</v>
      </c>
      <c r="Y22" s="42"/>
      <c r="Z22" s="20">
        <f ca="1">H22*(V22^2-$B$11^2)/(2*ISA!$B$5*($B$8+X22-Q22-$B$9*(H22-P22)))</f>
        <v>65.428027778054158</v>
      </c>
      <c r="AA22" s="1">
        <f t="shared" ref="AA22:AA40" ca="1" si="9">($B$7-Z22)/$B$7</f>
        <v>6.5313888884940594E-2</v>
      </c>
      <c r="AB22" s="57" t="str">
        <f t="shared" ref="AB22:AB40" ca="1" si="10">IF(Z22&gt;$B$7,"requirement not met","OK")</f>
        <v>OK</v>
      </c>
      <c r="AF22" s="16"/>
      <c r="AG22" s="16"/>
      <c r="AH22" s="42"/>
      <c r="AI22" s="42"/>
      <c r="AJ22" s="42"/>
      <c r="AK22" s="16"/>
      <c r="AL22" s="16"/>
      <c r="AM22" s="16"/>
      <c r="AN22" s="16"/>
      <c r="AO22" s="42"/>
      <c r="AP22" s="42"/>
      <c r="AQ22" s="42"/>
      <c r="AR22" s="16"/>
      <c r="AS22" s="16"/>
      <c r="AT22" s="42"/>
      <c r="AU22" s="42"/>
      <c r="AV22" s="16"/>
      <c r="AW22" s="42"/>
      <c r="AX22" s="42"/>
      <c r="AY22" s="42"/>
      <c r="AZ22" s="20"/>
      <c r="BA22" s="20"/>
      <c r="BB22" s="20"/>
      <c r="BC22" s="19"/>
      <c r="BD22" s="6"/>
      <c r="BE22" s="6"/>
      <c r="BF22" s="16"/>
      <c r="BG22" s="16"/>
      <c r="BH22" s="6"/>
      <c r="BI22" s="16"/>
      <c r="BJ22" s="16"/>
      <c r="BK22" s="16"/>
      <c r="BL22" s="6"/>
      <c r="BM22" s="16"/>
      <c r="BN22" s="16"/>
      <c r="BO22" s="16"/>
    </row>
    <row r="23" spans="2:67">
      <c r="B23" s="31">
        <f>Main!C23</f>
        <v>1.6578947368421053</v>
      </c>
      <c r="C23" s="31">
        <f>Main!B23</f>
        <v>0.33333333333333326</v>
      </c>
      <c r="D23" s="1">
        <f t="shared" si="3"/>
        <v>0.55263157894736836</v>
      </c>
      <c r="F23" s="1">
        <f t="shared" si="4"/>
        <v>1.2249994633486807</v>
      </c>
      <c r="H23" s="62">
        <f ca="1">Main!AC23</f>
        <v>134.24051129311465</v>
      </c>
      <c r="J23" s="16">
        <f ca="1">'Aerodynamics-Takeoff'!AG23</f>
        <v>1.4230985165161496</v>
      </c>
      <c r="K23" s="16">
        <f ca="1">'Aerodynamics-Takeoff'!BE23</f>
        <v>0.83704093503583499</v>
      </c>
      <c r="L23" s="42">
        <f ca="1">'Aerodynamics-Takeoff'!BF23</f>
        <v>1.811553230184839E-2</v>
      </c>
      <c r="M23" s="84">
        <v>0</v>
      </c>
      <c r="N23" s="42">
        <f t="shared" ca="1" si="5"/>
        <v>4.7579922691778173E-2</v>
      </c>
      <c r="O23" s="10">
        <f ca="1">'Aerodynamics-Takeoff'!BH23</f>
        <v>5.1451811667851316E-2</v>
      </c>
      <c r="P23" s="13">
        <f t="shared" ca="1" si="6"/>
        <v>56.84965396829984</v>
      </c>
      <c r="Q23" s="13">
        <f t="shared" ca="1" si="7"/>
        <v>3.494473886434545</v>
      </c>
      <c r="R23" s="16">
        <f t="shared" ca="1" si="0"/>
        <v>16.268444354095386</v>
      </c>
      <c r="T23" s="20">
        <f t="shared" ca="1" si="8"/>
        <v>14.165103874786752</v>
      </c>
      <c r="U23" s="20">
        <f t="shared" ca="1" si="1"/>
        <v>16.693735010114349</v>
      </c>
      <c r="V23" s="13">
        <f t="shared" ca="1" si="2"/>
        <v>20.032482012137219</v>
      </c>
      <c r="W23" s="33"/>
      <c r="X23" s="20">
        <f ca="1">'Propulsion-Takeoff'!S23/T23</f>
        <v>16.274965259086528</v>
      </c>
      <c r="Y23" s="42"/>
      <c r="Z23" s="20">
        <f ca="1">H23*(V23^2-$B$11^2)/(2*ISA!$B$5*($B$8+X23-Q23-$B$9*(H23-P23)))</f>
        <v>64.203200906964398</v>
      </c>
      <c r="AA23" s="1">
        <f t="shared" ca="1" si="9"/>
        <v>8.2811415614794326E-2</v>
      </c>
      <c r="AB23" s="57" t="str">
        <f t="shared" ca="1" si="10"/>
        <v>OK</v>
      </c>
      <c r="AF23" s="16"/>
      <c r="AG23" s="16"/>
      <c r="AH23" s="42"/>
      <c r="AI23" s="42"/>
      <c r="AJ23" s="42"/>
      <c r="AK23" s="16"/>
      <c r="AL23" s="16"/>
      <c r="AM23" s="16"/>
      <c r="AN23" s="16"/>
      <c r="AO23" s="42"/>
      <c r="AP23" s="42"/>
      <c r="AQ23" s="42"/>
      <c r="AR23" s="16"/>
      <c r="AS23" s="16"/>
      <c r="AT23" s="42"/>
      <c r="AU23" s="42"/>
      <c r="AV23" s="16"/>
      <c r="AW23" s="42"/>
      <c r="AX23" s="42"/>
      <c r="AY23" s="42"/>
      <c r="AZ23" s="20"/>
      <c r="BA23" s="20"/>
      <c r="BB23" s="20"/>
      <c r="BC23" s="19"/>
      <c r="BD23" s="6"/>
      <c r="BE23" s="6"/>
      <c r="BF23" s="16"/>
      <c r="BG23" s="16"/>
      <c r="BH23" s="6"/>
      <c r="BI23" s="16"/>
      <c r="BJ23" s="16"/>
      <c r="BK23" s="16"/>
      <c r="BL23" s="6"/>
      <c r="BM23" s="16"/>
      <c r="BN23" s="16"/>
      <c r="BO23" s="16"/>
    </row>
    <row r="24" spans="2:67">
      <c r="B24" s="31">
        <f>Main!C24</f>
        <v>1.736842105263158</v>
      </c>
      <c r="C24" s="31">
        <f>Main!B24</f>
        <v>0.33333333333333326</v>
      </c>
      <c r="D24" s="1">
        <f t="shared" si="3"/>
        <v>0.57894736842105254</v>
      </c>
      <c r="F24" s="1">
        <f t="shared" si="4"/>
        <v>1.2249994633486807</v>
      </c>
      <c r="H24" s="62">
        <f ca="1">Main!AC24</f>
        <v>126.40792205792529</v>
      </c>
      <c r="J24" s="16">
        <f ca="1">'Aerodynamics-Takeoff'!AG24</f>
        <v>1.4220513640801369</v>
      </c>
      <c r="K24" s="16">
        <f ca="1">'Aerodynamics-Takeoff'!BE24</f>
        <v>0.83867242166917999</v>
      </c>
      <c r="L24" s="42">
        <f ca="1">'Aerodynamics-Takeoff'!BF24</f>
        <v>1.8442764917064036E-2</v>
      </c>
      <c r="M24" s="84">
        <v>0</v>
      </c>
      <c r="N24" s="42">
        <f t="shared" ca="1" si="5"/>
        <v>4.5025819287263333E-2</v>
      </c>
      <c r="O24" s="10">
        <f ca="1">'Aerodynamics-Takeoff'!BH24</f>
        <v>5.0112639855052571E-2</v>
      </c>
      <c r="P24" s="13">
        <f t="shared" ca="1" si="6"/>
        <v>53.67646019532274</v>
      </c>
      <c r="Q24" s="13">
        <f t="shared" ca="1" si="7"/>
        <v>3.2072941102662256</v>
      </c>
      <c r="R24" s="16">
        <f t="shared" ca="1" si="0"/>
        <v>16.735746192876356</v>
      </c>
      <c r="T24" s="20">
        <f t="shared" ca="1" si="8"/>
        <v>13.4345541832101</v>
      </c>
      <c r="U24" s="20">
        <f t="shared" ca="1" si="1"/>
        <v>15.832773941932945</v>
      </c>
      <c r="V24" s="13">
        <f t="shared" ca="1" si="2"/>
        <v>18.999328730319533</v>
      </c>
      <c r="W24" s="33"/>
      <c r="X24" s="20">
        <f ca="1">'Propulsion-Takeoff'!S24/T24</f>
        <v>16.609404450984162</v>
      </c>
      <c r="Y24" s="42"/>
      <c r="Z24" s="20">
        <f ca="1">H24*(V24^2-$B$11^2)/(2*ISA!$B$5*($B$8+X24-Q24-$B$9*(H24-P24)))</f>
        <v>53.603023686652882</v>
      </c>
      <c r="AA24" s="1">
        <f t="shared" ca="1" si="9"/>
        <v>0.23424251876210167</v>
      </c>
      <c r="AB24" s="57" t="str">
        <f t="shared" ca="1" si="10"/>
        <v>OK</v>
      </c>
      <c r="AF24" s="16"/>
      <c r="AG24" s="16"/>
      <c r="AH24" s="42"/>
      <c r="AI24" s="42"/>
      <c r="AJ24" s="42"/>
      <c r="AK24" s="16"/>
      <c r="AL24" s="16"/>
      <c r="AM24" s="16"/>
      <c r="AN24" s="16"/>
      <c r="AO24" s="42"/>
      <c r="AP24" s="42"/>
      <c r="AQ24" s="42"/>
      <c r="AR24" s="16"/>
      <c r="AS24" s="16"/>
      <c r="AT24" s="42"/>
      <c r="AU24" s="42"/>
      <c r="AV24" s="16"/>
      <c r="AW24" s="42"/>
      <c r="AX24" s="42"/>
      <c r="AY24" s="42"/>
      <c r="AZ24" s="20"/>
      <c r="BA24" s="20"/>
      <c r="BB24" s="20"/>
      <c r="BC24" s="19"/>
      <c r="BD24" s="6"/>
      <c r="BE24" s="6"/>
      <c r="BF24" s="16"/>
      <c r="BG24" s="16"/>
      <c r="BH24" s="6"/>
      <c r="BI24" s="16"/>
      <c r="BJ24" s="16"/>
      <c r="BK24" s="16"/>
      <c r="BL24" s="6"/>
      <c r="BM24" s="16"/>
      <c r="BN24" s="16"/>
      <c r="BO24" s="16"/>
    </row>
    <row r="25" spans="2:67">
      <c r="B25" s="31">
        <f>Main!C25</f>
        <v>1.8157894736842106</v>
      </c>
      <c r="C25" s="31">
        <f>Main!B25</f>
        <v>0.33333333333333326</v>
      </c>
      <c r="D25" s="1">
        <f t="shared" si="3"/>
        <v>0.60526315789473673</v>
      </c>
      <c r="F25" s="1">
        <f t="shared" si="4"/>
        <v>1.2249994633486807</v>
      </c>
      <c r="H25" s="62">
        <f ca="1">Main!AC25</f>
        <v>128.23739388388455</v>
      </c>
      <c r="J25" s="16">
        <f ca="1">'Aerodynamics-Takeoff'!AG25</f>
        <v>1.4217561027881163</v>
      </c>
      <c r="K25" s="16">
        <f ca="1">'Aerodynamics-Takeoff'!BE25</f>
        <v>0.83899849761583656</v>
      </c>
      <c r="L25" s="42">
        <f ca="1">'Aerodynamics-Takeoff'!BF25</f>
        <v>1.8419588264529854E-2</v>
      </c>
      <c r="M25" s="84">
        <v>0</v>
      </c>
      <c r="N25" s="42">
        <f t="shared" ca="1" si="5"/>
        <v>4.2694740083066209E-2</v>
      </c>
      <c r="O25" s="10">
        <f ca="1">'Aerodynamics-Takeoff'!BH25</f>
        <v>4.8473204765050522E-2</v>
      </c>
      <c r="P25" s="13">
        <f t="shared" ca="1" si="6"/>
        <v>54.485791219163183</v>
      </c>
      <c r="Q25" s="13">
        <f t="shared" ca="1" si="7"/>
        <v>3.1479209105349373</v>
      </c>
      <c r="R25" s="16">
        <f t="shared" ca="1" si="0"/>
        <v>17.308500679549862</v>
      </c>
      <c r="T25" s="20">
        <f t="shared" ca="1" si="8"/>
        <v>13.235366392141556</v>
      </c>
      <c r="U25" s="20">
        <f t="shared" ca="1" si="1"/>
        <v>15.598028878941765</v>
      </c>
      <c r="V25" s="13">
        <f t="shared" ca="1" si="2"/>
        <v>18.717634654730116</v>
      </c>
      <c r="W25" s="33"/>
      <c r="X25" s="20">
        <f ca="1">'Propulsion-Takeoff'!S25/T25</f>
        <v>16.701388851276047</v>
      </c>
      <c r="Y25" s="42"/>
      <c r="Z25" s="20">
        <f ca="1">H25*(V25^2-$B$11^2)/(2*ISA!$B$5*($B$8+X25-Q25-$B$9*(H25-P25)))</f>
        <v>52.594847849017512</v>
      </c>
      <c r="AA25" s="1">
        <f t="shared" ca="1" si="9"/>
        <v>0.24864503072832125</v>
      </c>
      <c r="AB25" s="57" t="str">
        <f t="shared" ca="1" si="10"/>
        <v>OK</v>
      </c>
      <c r="AF25" s="16"/>
      <c r="AG25" s="16"/>
      <c r="AH25" s="42"/>
      <c r="AI25" s="42"/>
      <c r="AJ25" s="42"/>
      <c r="AK25" s="16"/>
      <c r="AL25" s="16"/>
      <c r="AM25" s="16"/>
      <c r="AN25" s="16"/>
      <c r="AO25" s="42"/>
      <c r="AP25" s="42"/>
      <c r="AQ25" s="42"/>
      <c r="AR25" s="16"/>
      <c r="AS25" s="16"/>
      <c r="AT25" s="42"/>
      <c r="AU25" s="42"/>
      <c r="AV25" s="16"/>
      <c r="AW25" s="42"/>
      <c r="AX25" s="42"/>
      <c r="AY25" s="42"/>
      <c r="AZ25" s="20"/>
      <c r="BA25" s="20"/>
      <c r="BB25" s="20"/>
      <c r="BC25" s="19"/>
      <c r="BD25" s="6"/>
      <c r="BE25" s="6"/>
      <c r="BF25" s="16"/>
      <c r="BG25" s="16"/>
      <c r="BH25" s="6"/>
      <c r="BI25" s="16"/>
      <c r="BJ25" s="16"/>
      <c r="BK25" s="16"/>
      <c r="BL25" s="6"/>
      <c r="BM25" s="16"/>
      <c r="BN25" s="16"/>
      <c r="BO25" s="16"/>
    </row>
    <row r="26" spans="2:67">
      <c r="B26" s="31">
        <f>Main!C26</f>
        <v>1.8947368421052633</v>
      </c>
      <c r="C26" s="31">
        <f>Main!B26</f>
        <v>0.33333333333333326</v>
      </c>
      <c r="D26" s="1">
        <f t="shared" si="3"/>
        <v>0.63157894736842091</v>
      </c>
      <c r="F26" s="1">
        <f t="shared" ref="F26:F40" si="11">$B$6</f>
        <v>1.2249994633486807</v>
      </c>
      <c r="H26" s="62">
        <f ca="1">Main!AC26</f>
        <v>129.96953292057736</v>
      </c>
      <c r="J26" s="16">
        <f ca="1">'Aerodynamics-Takeoff'!AG26</f>
        <v>1.4214701259515128</v>
      </c>
      <c r="K26" s="16">
        <f ca="1">'Aerodynamics-Takeoff'!BE26</f>
        <v>0.83931768883159674</v>
      </c>
      <c r="L26" s="42">
        <f ca="1">'Aerodynamics-Takeoff'!BF26</f>
        <v>1.8406684736536252E-2</v>
      </c>
      <c r="M26" s="84">
        <v>0</v>
      </c>
      <c r="N26" s="42">
        <f t="shared" ca="1" si="5"/>
        <v>4.0541581837968528E-2</v>
      </c>
      <c r="O26" s="10">
        <f ca="1">'Aerodynamics-Takeoff'!BH26</f>
        <v>4.6966371638911979E-2</v>
      </c>
      <c r="P26" s="13">
        <f t="shared" ca="1" si="6"/>
        <v>55.253869018216911</v>
      </c>
      <c r="Q26" s="13">
        <f t="shared" ca="1" si="7"/>
        <v>3.0918849695755948</v>
      </c>
      <c r="R26" s="16">
        <f t="shared" ca="1" si="0"/>
        <v>17.870609534934054</v>
      </c>
      <c r="T26" s="20">
        <f t="shared" ca="1" si="8"/>
        <v>13.045219318884961</v>
      </c>
      <c r="U26" s="20">
        <f t="shared" ca="1" si="1"/>
        <v>15.373938404069992</v>
      </c>
      <c r="V26" s="13">
        <f t="shared" ca="1" si="2"/>
        <v>18.44872608488399</v>
      </c>
      <c r="W26" s="33"/>
      <c r="X26" s="20">
        <f ca="1">'Propulsion-Takeoff'!S26/T26</f>
        <v>16.78945960422314</v>
      </c>
      <c r="Y26" s="42"/>
      <c r="Z26" s="20">
        <f ca="1">H26*(V26^2-$B$11^2)/(2*ISA!$B$5*($B$8+X26-Q26-$B$9*(H26-P26)))</f>
        <v>51.613857648702648</v>
      </c>
      <c r="AA26" s="1">
        <f t="shared" ca="1" si="9"/>
        <v>0.26265917644710501</v>
      </c>
      <c r="AB26" s="57" t="str">
        <f t="shared" ca="1" si="10"/>
        <v>OK</v>
      </c>
      <c r="AF26" s="16"/>
      <c r="AG26" s="16"/>
      <c r="AH26" s="42"/>
      <c r="AI26" s="42"/>
      <c r="AJ26" s="42"/>
      <c r="AK26" s="16"/>
      <c r="AL26" s="16"/>
      <c r="AM26" s="16"/>
      <c r="AN26" s="16"/>
      <c r="AO26" s="42"/>
      <c r="AP26" s="42"/>
      <c r="AQ26" s="42"/>
      <c r="AR26" s="16"/>
      <c r="AS26" s="16"/>
      <c r="AT26" s="42"/>
      <c r="AU26" s="42"/>
      <c r="AV26" s="16"/>
      <c r="AW26" s="42"/>
      <c r="AX26" s="42"/>
      <c r="AY26" s="42"/>
      <c r="AZ26" s="20"/>
      <c r="BA26" s="20"/>
      <c r="BB26" s="20"/>
      <c r="BC26" s="19"/>
      <c r="BD26" s="6"/>
      <c r="BE26" s="6"/>
      <c r="BF26" s="16"/>
      <c r="BG26" s="16"/>
      <c r="BH26" s="6"/>
      <c r="BI26" s="16"/>
      <c r="BJ26" s="16"/>
      <c r="BK26" s="16"/>
      <c r="BL26" s="6"/>
      <c r="BM26" s="16"/>
      <c r="BN26" s="16"/>
      <c r="BO26" s="16"/>
    </row>
    <row r="27" spans="2:67">
      <c r="B27" s="31">
        <f>Main!C27</f>
        <v>1.9736842105263159</v>
      </c>
      <c r="C27" s="31">
        <f>Main!B27</f>
        <v>0.33333333333333326</v>
      </c>
      <c r="D27" s="1">
        <f t="shared" si="3"/>
        <v>0.6578947368421052</v>
      </c>
      <c r="F27" s="1">
        <f t="shared" si="11"/>
        <v>1.2249994633486807</v>
      </c>
      <c r="H27" s="62">
        <f ca="1">Main!AC27</f>
        <v>131.61371211431475</v>
      </c>
      <c r="J27" s="16">
        <f ca="1">'Aerodynamics-Takeoff'!AG27</f>
        <v>1.4211929561431456</v>
      </c>
      <c r="K27" s="16">
        <f ca="1">'Aerodynamics-Takeoff'!BE27</f>
        <v>0.83963030169880626</v>
      </c>
      <c r="L27" s="42">
        <f ca="1">'Aerodynamics-Takeoff'!BF27</f>
        <v>1.840263081927241E-2</v>
      </c>
      <c r="M27" s="84">
        <v>0</v>
      </c>
      <c r="N27" s="42">
        <f t="shared" ca="1" si="5"/>
        <v>3.8546615513180629E-2</v>
      </c>
      <c r="O27" s="10">
        <f ca="1">'Aerodynamics-Takeoff'!BH27</f>
        <v>4.5577186954972662E-2</v>
      </c>
      <c r="P27" s="13">
        <f t="shared" ca="1" si="6"/>
        <v>55.984614502713853</v>
      </c>
      <c r="Q27" s="13">
        <f t="shared" ca="1" si="7"/>
        <v>3.038981843115502</v>
      </c>
      <c r="R27" s="16">
        <f t="shared" ca="1" si="0"/>
        <v>18.422161563597751</v>
      </c>
      <c r="T27" s="20">
        <f t="shared" ca="1" si="8"/>
        <v>12.863499584974461</v>
      </c>
      <c r="U27" s="20">
        <f t="shared" ca="1" si="1"/>
        <v>15.159779643863384</v>
      </c>
      <c r="V27" s="13">
        <f t="shared" ca="1" si="2"/>
        <v>18.191735572636059</v>
      </c>
      <c r="W27" s="33"/>
      <c r="X27" s="20">
        <f ca="1">'Propulsion-Takeoff'!S27/T27</f>
        <v>16.873838366155134</v>
      </c>
      <c r="Y27" s="42"/>
      <c r="Z27" s="20">
        <f ca="1">H27*(V27^2-$B$11^2)/(2*ISA!$B$5*($B$8+X27-Q27-$B$9*(H27-P27)))</f>
        <v>50.661628638861139</v>
      </c>
      <c r="AA27" s="1">
        <f t="shared" ca="1" si="9"/>
        <v>0.27626244801626942</v>
      </c>
      <c r="AB27" s="57" t="str">
        <f t="shared" ca="1" si="10"/>
        <v>OK</v>
      </c>
      <c r="AF27" s="16"/>
      <c r="AG27" s="16"/>
      <c r="AH27" s="42"/>
      <c r="AI27" s="42"/>
      <c r="AJ27" s="42"/>
      <c r="AK27" s="16"/>
      <c r="AL27" s="16"/>
      <c r="AM27" s="16"/>
      <c r="AN27" s="16"/>
      <c r="AO27" s="42"/>
      <c r="AP27" s="42"/>
      <c r="AQ27" s="42"/>
      <c r="AR27" s="16"/>
      <c r="AS27" s="16"/>
      <c r="AT27" s="42"/>
      <c r="AU27" s="42"/>
      <c r="AV27" s="16"/>
      <c r="AW27" s="42"/>
      <c r="AX27" s="42"/>
      <c r="AY27" s="42"/>
      <c r="AZ27" s="20"/>
      <c r="BA27" s="20"/>
      <c r="BB27" s="20"/>
      <c r="BC27" s="19"/>
      <c r="BD27" s="6"/>
      <c r="BE27" s="6"/>
      <c r="BF27" s="16"/>
      <c r="BG27" s="16"/>
      <c r="BH27" s="6"/>
      <c r="BI27" s="16"/>
      <c r="BJ27" s="16"/>
      <c r="BK27" s="16"/>
      <c r="BL27" s="6"/>
      <c r="BM27" s="16"/>
      <c r="BN27" s="16"/>
      <c r="BO27" s="16"/>
    </row>
    <row r="28" spans="2:67">
      <c r="B28" s="31">
        <f>Main!C28</f>
        <v>2.0526315789473686</v>
      </c>
      <c r="C28" s="31">
        <f>Main!B28</f>
        <v>0.33333333333333326</v>
      </c>
      <c r="D28" s="1">
        <f t="shared" si="3"/>
        <v>0.68421052631578938</v>
      </c>
      <c r="F28" s="1">
        <f t="shared" si="11"/>
        <v>1.2249994633486807</v>
      </c>
      <c r="H28" s="62">
        <f ca="1">Main!AC28</f>
        <v>132.52501256805863</v>
      </c>
      <c r="J28" s="16">
        <f ca="1">'Aerodynamics-Takeoff'!AG28</f>
        <v>1.4208759249397922</v>
      </c>
      <c r="K28" s="16">
        <f ca="1">'Aerodynamics-Takeoff'!BE28</f>
        <v>0.8400195090043675</v>
      </c>
      <c r="L28" s="42">
        <f ca="1">'Aerodynamics-Takeoff'!BF28</f>
        <v>1.8430911839555891E-2</v>
      </c>
      <c r="M28" s="84">
        <v>0</v>
      </c>
      <c r="N28" s="42">
        <f t="shared" ca="1" si="5"/>
        <v>3.6691875546480367E-2</v>
      </c>
      <c r="O28" s="10">
        <f ca="1">'Aerodynamics-Takeoff'!BH28</f>
        <v>4.432190181990641E-2</v>
      </c>
      <c r="P28" s="13">
        <f t="shared" ca="1" si="6"/>
        <v>56.41096995575591</v>
      </c>
      <c r="Q28" s="13">
        <f t="shared" ca="1" si="7"/>
        <v>2.9764088156810939</v>
      </c>
      <c r="R28" s="16">
        <f t="shared" ca="1" si="0"/>
        <v>18.952695496182148</v>
      </c>
      <c r="T28" s="20">
        <f t="shared" ca="1" si="8"/>
        <v>12.658704743637893</v>
      </c>
      <c r="U28" s="20">
        <f t="shared" ca="1" si="1"/>
        <v>14.918426608722624</v>
      </c>
      <c r="V28" s="13">
        <f t="shared" ca="1" si="2"/>
        <v>17.90211193046715</v>
      </c>
      <c r="W28" s="33"/>
      <c r="X28" s="20">
        <f ca="1">'Propulsion-Takeoff'!S28/T28</f>
        <v>16.969147481472479</v>
      </c>
      <c r="Y28" s="42"/>
      <c r="Z28" s="20">
        <f ca="1">H28*(V28^2-$B$11^2)/(2*ISA!$B$5*($B$8+X28-Q28-$B$9*(H28-P28)))</f>
        <v>49.22375271961571</v>
      </c>
      <c r="AA28" s="1">
        <f t="shared" ca="1" si="9"/>
        <v>0.29680353257691844</v>
      </c>
      <c r="AB28" s="57" t="str">
        <f t="shared" ca="1" si="10"/>
        <v>OK</v>
      </c>
      <c r="AF28" s="16"/>
      <c r="AG28" s="16"/>
      <c r="AH28" s="42"/>
      <c r="AI28" s="42"/>
      <c r="AJ28" s="42"/>
      <c r="AK28" s="16"/>
      <c r="AL28" s="16"/>
      <c r="AM28" s="16"/>
      <c r="AN28" s="16"/>
      <c r="AO28" s="42"/>
      <c r="AP28" s="42"/>
      <c r="AQ28" s="42"/>
      <c r="AR28" s="16"/>
      <c r="AS28" s="16"/>
      <c r="AT28" s="42"/>
      <c r="AU28" s="42"/>
      <c r="AV28" s="16"/>
      <c r="AW28" s="42"/>
      <c r="AX28" s="42"/>
      <c r="AY28" s="42"/>
      <c r="AZ28" s="20"/>
      <c r="BA28" s="20"/>
      <c r="BB28" s="20"/>
      <c r="BC28" s="19"/>
      <c r="BD28" s="6"/>
      <c r="BE28" s="6"/>
      <c r="BF28" s="16"/>
      <c r="BG28" s="16"/>
      <c r="BH28" s="6"/>
      <c r="BI28" s="16"/>
      <c r="BJ28" s="16"/>
      <c r="BK28" s="16"/>
      <c r="BL28" s="6"/>
      <c r="BM28" s="16"/>
      <c r="BN28" s="16"/>
      <c r="BO28" s="16"/>
    </row>
    <row r="29" spans="2:67">
      <c r="B29" s="31">
        <f>Main!C29</f>
        <v>2.1315789473684212</v>
      </c>
      <c r="C29" s="31">
        <f>Main!B29</f>
        <v>0.33333333333333326</v>
      </c>
      <c r="D29" s="1">
        <f t="shared" si="3"/>
        <v>0.71052631578947356</v>
      </c>
      <c r="F29" s="1">
        <f t="shared" si="11"/>
        <v>1.2249994633486807</v>
      </c>
      <c r="H29" s="62">
        <f ca="1">Main!AC29</f>
        <v>132.22241873545346</v>
      </c>
      <c r="J29" s="16">
        <f ca="1">'Aerodynamics-Takeoff'!AG29</f>
        <v>1.4204834065911784</v>
      </c>
      <c r="K29" s="16">
        <f ca="1">'Aerodynamics-Takeoff'!BE29</f>
        <v>0.84054501598674125</v>
      </c>
      <c r="L29" s="42">
        <f ca="1">'Aerodynamics-Takeoff'!BF29</f>
        <v>1.8509356251239437E-2</v>
      </c>
      <c r="M29" s="84">
        <v>0</v>
      </c>
      <c r="N29" s="42">
        <f t="shared" ca="1" si="5"/>
        <v>3.496226792074849E-2</v>
      </c>
      <c r="O29" s="10">
        <f ca="1">'Aerodynamics-Takeoff'!BH29</f>
        <v>4.321075527281356E-2</v>
      </c>
      <c r="P29" s="13">
        <f t="shared" ca="1" si="6"/>
        <v>56.332938547613068</v>
      </c>
      <c r="Q29" s="13">
        <f t="shared" ca="1" si="7"/>
        <v>2.8959648502844142</v>
      </c>
      <c r="R29" s="16">
        <f t="shared" ca="1" si="0"/>
        <v>19.452217640721912</v>
      </c>
      <c r="T29" s="20">
        <f t="shared" ca="1" si="8"/>
        <v>12.409597035941726</v>
      </c>
      <c r="U29" s="20">
        <f t="shared" ca="1" si="1"/>
        <v>14.62485035979242</v>
      </c>
      <c r="V29" s="13">
        <f t="shared" ca="1" si="2"/>
        <v>17.549820431750902</v>
      </c>
      <c r="W29" s="33"/>
      <c r="X29" s="20">
        <f ca="1">'Propulsion-Takeoff'!S29/T29</f>
        <v>17.085337559484902</v>
      </c>
      <c r="Y29" s="42"/>
      <c r="Z29" s="20">
        <f ca="1">H29*(V29^2-$B$11^2)/(2*ISA!$B$5*($B$8+X29-Q29-$B$9*(H29-P29)))</f>
        <v>46.987457285708636</v>
      </c>
      <c r="AA29" s="1">
        <f t="shared" ca="1" si="9"/>
        <v>0.32875061020416235</v>
      </c>
      <c r="AB29" s="57" t="str">
        <f t="shared" ca="1" si="10"/>
        <v>OK</v>
      </c>
      <c r="AF29" s="16"/>
      <c r="AG29" s="16"/>
      <c r="AH29" s="42"/>
      <c r="AI29" s="42"/>
      <c r="AJ29" s="42"/>
      <c r="AK29" s="16"/>
      <c r="AL29" s="16"/>
      <c r="AM29" s="16"/>
      <c r="AN29" s="16"/>
      <c r="AO29" s="42"/>
      <c r="AP29" s="42"/>
      <c r="AQ29" s="42"/>
      <c r="AR29" s="16"/>
      <c r="AS29" s="16"/>
      <c r="AT29" s="42"/>
      <c r="AU29" s="42"/>
      <c r="AV29" s="16"/>
      <c r="AW29" s="42"/>
      <c r="AX29" s="42"/>
      <c r="AY29" s="42"/>
      <c r="AZ29" s="20"/>
      <c r="BA29" s="20"/>
      <c r="BB29" s="20"/>
      <c r="BC29" s="19"/>
      <c r="BD29" s="6"/>
      <c r="BE29" s="6"/>
      <c r="BF29" s="16"/>
      <c r="BG29" s="16"/>
      <c r="BH29" s="6"/>
      <c r="BI29" s="16"/>
      <c r="BJ29" s="16"/>
      <c r="BK29" s="16"/>
      <c r="BL29" s="6"/>
      <c r="BM29" s="16"/>
      <c r="BN29" s="16"/>
      <c r="BO29" s="16"/>
    </row>
    <row r="30" spans="2:67">
      <c r="B30" s="31">
        <f>Main!C30</f>
        <v>2.2105263157894739</v>
      </c>
      <c r="C30" s="31">
        <f>Main!B30</f>
        <v>0.33333333333333326</v>
      </c>
      <c r="D30" s="1">
        <f t="shared" si="3"/>
        <v>0.73684210526315785</v>
      </c>
      <c r="F30" s="1">
        <f t="shared" si="11"/>
        <v>1.2249994633486807</v>
      </c>
      <c r="H30" s="62">
        <f ca="1">Main!AC30</f>
        <v>131.99460630452538</v>
      </c>
      <c r="J30" s="16">
        <f ca="1">'Aerodynamics-Takeoff'!AG30</f>
        <v>1.4201099562958621</v>
      </c>
      <c r="K30" s="16">
        <f ca="1">'Aerodynamics-Takeoff'!BE30</f>
        <v>0.84104341829950191</v>
      </c>
      <c r="L30" s="42">
        <f ca="1">'Aerodynamics-Takeoff'!BF30</f>
        <v>1.8588753306914764E-2</v>
      </c>
      <c r="M30" s="84">
        <v>0</v>
      </c>
      <c r="N30" s="42">
        <f t="shared" ca="1" si="5"/>
        <v>3.3347874459983308E-2</v>
      </c>
      <c r="O30" s="10">
        <f ca="1">'Aerodynamics-Takeoff'!BH30</f>
        <v>4.2177506746878098E-2</v>
      </c>
      <c r="P30" s="13">
        <f t="shared" ca="1" si="6"/>
        <v>56.284022207515086</v>
      </c>
      <c r="Q30" s="13">
        <f t="shared" ca="1" si="7"/>
        <v>2.8225887923820996</v>
      </c>
      <c r="R30" s="16">
        <f t="shared" ca="1" si="0"/>
        <v>19.940567453332324</v>
      </c>
      <c r="T30" s="20">
        <f t="shared" ca="1" si="8"/>
        <v>12.177080745823927</v>
      </c>
      <c r="U30" s="20">
        <f t="shared" ca="1" si="1"/>
        <v>14.350827283994224</v>
      </c>
      <c r="V30" s="13">
        <f t="shared" ca="1" si="2"/>
        <v>17.220992740793069</v>
      </c>
      <c r="W30" s="33"/>
      <c r="X30" s="20">
        <f ca="1">'Propulsion-Takeoff'!S30/T30</f>
        <v>17.193991725355609</v>
      </c>
      <c r="Y30" s="42"/>
      <c r="Z30" s="20">
        <f ca="1">H30*(V30^2-$B$11^2)/(2*ISA!$B$5*($B$8+X30-Q30-$B$9*(H30-P30)))</f>
        <v>44.979924347647994</v>
      </c>
      <c r="AA30" s="1">
        <f t="shared" ca="1" si="9"/>
        <v>0.35742965217645722</v>
      </c>
      <c r="AB30" s="57" t="str">
        <f t="shared" ca="1" si="10"/>
        <v>OK</v>
      </c>
      <c r="AF30" s="16"/>
      <c r="AG30" s="16"/>
      <c r="AH30" s="42"/>
      <c r="AI30" s="42"/>
      <c r="AJ30" s="42"/>
      <c r="AK30" s="16"/>
      <c r="AL30" s="16"/>
      <c r="AM30" s="16"/>
      <c r="AN30" s="16"/>
      <c r="AO30" s="42"/>
      <c r="AP30" s="42"/>
      <c r="AQ30" s="42"/>
      <c r="AR30" s="16"/>
      <c r="AS30" s="16"/>
      <c r="AT30" s="42"/>
      <c r="AU30" s="42"/>
      <c r="AV30" s="16"/>
      <c r="AW30" s="42"/>
      <c r="AX30" s="42"/>
      <c r="AY30" s="42"/>
      <c r="AZ30" s="20"/>
      <c r="BA30" s="20"/>
      <c r="BB30" s="20"/>
      <c r="BC30" s="19"/>
      <c r="BD30" s="6"/>
      <c r="BE30" s="6"/>
      <c r="BF30" s="16"/>
      <c r="BG30" s="16"/>
      <c r="BH30" s="6"/>
      <c r="BI30" s="16"/>
      <c r="BJ30" s="16"/>
      <c r="BK30" s="16"/>
      <c r="BL30" s="6"/>
      <c r="BM30" s="16"/>
      <c r="BN30" s="16"/>
      <c r="BO30" s="16"/>
    </row>
    <row r="31" spans="2:67">
      <c r="B31" s="31">
        <f>Main!C31</f>
        <v>2.2894736842105265</v>
      </c>
      <c r="C31" s="31">
        <f>Main!B31</f>
        <v>0.33333333333333326</v>
      </c>
      <c r="D31" s="1">
        <f t="shared" si="3"/>
        <v>0.76315789473684204</v>
      </c>
      <c r="F31" s="1">
        <f t="shared" si="11"/>
        <v>1.2249994633486807</v>
      </c>
      <c r="H31" s="62">
        <f ca="1">Main!AC31</f>
        <v>131.83112185391033</v>
      </c>
      <c r="J31" s="16">
        <f ca="1">'Aerodynamics-Takeoff'!AG31</f>
        <v>1.4197538662540818</v>
      </c>
      <c r="K31" s="16">
        <f ca="1">'Aerodynamics-Takeoff'!BE31</f>
        <v>0.84151740992216728</v>
      </c>
      <c r="L31" s="42">
        <f ca="1">'Aerodynamics-Takeoff'!BF31</f>
        <v>1.86688856441782E-2</v>
      </c>
      <c r="M31" s="84">
        <v>0</v>
      </c>
      <c r="N31" s="42">
        <f t="shared" ca="1" si="5"/>
        <v>3.1837933161035989E-2</v>
      </c>
      <c r="O31" s="10">
        <f ca="1">'Aerodynamics-Takeoff'!BH31</f>
        <v>4.1214967399149996E-2</v>
      </c>
      <c r="P31" s="13">
        <f t="shared" ca="1" si="6"/>
        <v>56.260098690835527</v>
      </c>
      <c r="Q31" s="13">
        <f t="shared" ca="1" si="7"/>
        <v>2.7554487953258286</v>
      </c>
      <c r="R31" s="16">
        <f t="shared" ca="1" si="0"/>
        <v>20.417762357359589</v>
      </c>
      <c r="T31" s="20">
        <f t="shared" ca="1" si="8"/>
        <v>11.959376547417339</v>
      </c>
      <c r="U31" s="20">
        <f t="shared" ca="1" si="1"/>
        <v>14.094260425683681</v>
      </c>
      <c r="V31" s="13">
        <f t="shared" ca="1" si="2"/>
        <v>16.913112510820415</v>
      </c>
      <c r="W31" s="33"/>
      <c r="X31" s="20">
        <f ca="1">'Propulsion-Takeoff'!S31/T31</f>
        <v>17.29585613123588</v>
      </c>
      <c r="Y31" s="42"/>
      <c r="Z31" s="20">
        <f ca="1">H31*(V31^2-$B$11^2)/(2*ISA!$B$5*($B$8+X31-Q31-$B$9*(H31-P31)))</f>
        <v>43.1678250591902</v>
      </c>
      <c r="AA31" s="1">
        <f t="shared" ca="1" si="9"/>
        <v>0.3833167848687114</v>
      </c>
      <c r="AB31" s="57" t="str">
        <f t="shared" ca="1" si="10"/>
        <v>OK</v>
      </c>
      <c r="AF31" s="16"/>
      <c r="AG31" s="16"/>
      <c r="AH31" s="42"/>
      <c r="AI31" s="42"/>
      <c r="AJ31" s="42"/>
      <c r="AK31" s="16"/>
      <c r="AL31" s="16"/>
      <c r="AM31" s="16"/>
      <c r="AN31" s="16"/>
      <c r="AO31" s="42"/>
      <c r="AP31" s="42"/>
      <c r="AQ31" s="42"/>
      <c r="AR31" s="16"/>
      <c r="AS31" s="16"/>
      <c r="AT31" s="42"/>
      <c r="AU31" s="42"/>
      <c r="AV31" s="16"/>
      <c r="AW31" s="42"/>
      <c r="AX31" s="42"/>
      <c r="AY31" s="42"/>
      <c r="AZ31" s="20"/>
      <c r="BA31" s="20"/>
      <c r="BB31" s="20"/>
      <c r="BC31" s="19"/>
      <c r="BD31" s="6"/>
      <c r="BE31" s="6"/>
      <c r="BF31" s="16"/>
      <c r="BG31" s="16"/>
      <c r="BH31" s="6"/>
      <c r="BI31" s="16"/>
      <c r="BJ31" s="16"/>
      <c r="BK31" s="16"/>
      <c r="BL31" s="6"/>
      <c r="BM31" s="16"/>
      <c r="BN31" s="16"/>
      <c r="BO31" s="16"/>
    </row>
    <row r="32" spans="2:67">
      <c r="B32" s="31">
        <f>Main!C32</f>
        <v>2.3684210526315792</v>
      </c>
      <c r="C32" s="31">
        <f>Main!B32</f>
        <v>0.33333333333333326</v>
      </c>
      <c r="D32" s="1">
        <f t="shared" si="3"/>
        <v>0.78947368421052622</v>
      </c>
      <c r="F32" s="1">
        <f t="shared" si="11"/>
        <v>1.2249994633486807</v>
      </c>
      <c r="H32" s="62">
        <f ca="1">Main!AC32</f>
        <v>131.72349764097771</v>
      </c>
      <c r="J32" s="16">
        <f ca="1">'Aerodynamics-Takeoff'!AG32</f>
        <v>1.419413663290013</v>
      </c>
      <c r="K32" s="16">
        <f ca="1">'Aerodynamics-Takeoff'!BE32</f>
        <v>0.8419692724325637</v>
      </c>
      <c r="L32" s="42">
        <f ca="1">'Aerodynamics-Takeoff'!BF32</f>
        <v>1.8749558657945462E-2</v>
      </c>
      <c r="M32" s="84">
        <v>0</v>
      </c>
      <c r="N32" s="42">
        <f t="shared" ca="1" si="5"/>
        <v>3.0423061173029745E-2</v>
      </c>
      <c r="O32" s="10">
        <f ca="1">'Aerodynamics-Takeoff'!BH32</f>
        <v>4.0316839579964861E-2</v>
      </c>
      <c r="P32" s="13">
        <f t="shared" ca="1" si="6"/>
        <v>56.257834516897944</v>
      </c>
      <c r="Q32" s="13">
        <f t="shared" ca="1" si="7"/>
        <v>2.6938490080297406</v>
      </c>
      <c r="R32" s="16">
        <f t="shared" ca="1" si="0"/>
        <v>20.883811360327307</v>
      </c>
      <c r="T32" s="20">
        <f t="shared" ca="1" si="8"/>
        <v>11.754972136912663</v>
      </c>
      <c r="U32" s="20">
        <f t="shared" ca="1" si="1"/>
        <v>13.853367517729531</v>
      </c>
      <c r="V32" s="13">
        <f t="shared" ca="1" si="2"/>
        <v>16.624041021275435</v>
      </c>
      <c r="W32" s="33"/>
      <c r="X32" s="20">
        <f ca="1">'Propulsion-Takeoff'!S32/T32</f>
        <v>17.391577608653556</v>
      </c>
      <c r="Y32" s="42"/>
      <c r="Z32" s="20">
        <f ca="1">H32*(V32^2-$B$11^2)/(2*ISA!$B$5*($B$8+X32-Q32-$B$9*(H32-P32)))</f>
        <v>41.524109945777866</v>
      </c>
      <c r="AA32" s="1">
        <f t="shared" ca="1" si="9"/>
        <v>0.4067984293460305</v>
      </c>
      <c r="AB32" s="57" t="str">
        <f t="shared" ca="1" si="10"/>
        <v>OK</v>
      </c>
      <c r="AF32" s="16"/>
      <c r="AG32" s="16"/>
      <c r="AH32" s="42"/>
      <c r="AI32" s="42"/>
      <c r="AJ32" s="42"/>
      <c r="AK32" s="16"/>
      <c r="AL32" s="16"/>
      <c r="AM32" s="16"/>
      <c r="AN32" s="16"/>
      <c r="AO32" s="42"/>
      <c r="AP32" s="42"/>
      <c r="AQ32" s="42"/>
      <c r="AR32" s="16"/>
      <c r="AS32" s="16"/>
      <c r="AT32" s="42"/>
      <c r="AU32" s="42"/>
      <c r="AV32" s="16"/>
      <c r="AW32" s="42"/>
      <c r="AX32" s="42"/>
      <c r="AY32" s="42"/>
      <c r="AZ32" s="20"/>
      <c r="BA32" s="20"/>
      <c r="BB32" s="20"/>
      <c r="BC32" s="19"/>
      <c r="BD32" s="6"/>
      <c r="BE32" s="6"/>
      <c r="BF32" s="16"/>
      <c r="BG32" s="16"/>
      <c r="BH32" s="6"/>
      <c r="BI32" s="16"/>
      <c r="BJ32" s="16"/>
      <c r="BK32" s="16"/>
      <c r="BL32" s="6"/>
      <c r="BM32" s="16"/>
      <c r="BN32" s="16"/>
      <c r="BO32" s="16"/>
    </row>
    <row r="33" spans="2:67">
      <c r="B33" s="31">
        <f>Main!C33</f>
        <v>2.4473684210526319</v>
      </c>
      <c r="C33" s="31">
        <f>Main!B33</f>
        <v>0.33333333333333326</v>
      </c>
      <c r="D33" s="1">
        <f t="shared" si="3"/>
        <v>0.8157894736842104</v>
      </c>
      <c r="F33" s="1">
        <f t="shared" si="11"/>
        <v>1.2249994633486807</v>
      </c>
      <c r="H33" s="62">
        <f ca="1">Main!AC33</f>
        <v>131.66480106713556</v>
      </c>
      <c r="J33" s="16">
        <f ca="1">'Aerodynamics-Takeoff'!AG33</f>
        <v>1.4190880659911862</v>
      </c>
      <c r="K33" s="16">
        <f ca="1">'Aerodynamics-Takeoff'!BE33</f>
        <v>0.84240095705371776</v>
      </c>
      <c r="L33" s="42">
        <f ca="1">'Aerodynamics-Takeoff'!BF33</f>
        <v>1.8830599261805893E-2</v>
      </c>
      <c r="M33" s="84">
        <v>0</v>
      </c>
      <c r="N33" s="42">
        <f t="shared" ca="1" si="5"/>
        <v>2.9095030999719506E-2</v>
      </c>
      <c r="O33" s="10">
        <f ca="1">'Aerodynamics-Takeoff'!BH33</f>
        <v>3.9477578801633925E-2</v>
      </c>
      <c r="P33" s="13">
        <f t="shared" ca="1" si="6"/>
        <v>56.274505511078857</v>
      </c>
      <c r="Q33" s="13">
        <f t="shared" ca="1" si="7"/>
        <v>2.6372016879070732</v>
      </c>
      <c r="R33" s="16">
        <f t="shared" ca="1" si="0"/>
        <v>21.338718903876948</v>
      </c>
      <c r="T33" s="20">
        <f t="shared" ca="1" si="8"/>
        <v>11.562571144321561</v>
      </c>
      <c r="U33" s="20">
        <f t="shared" ca="1" si="1"/>
        <v>13.626620773448701</v>
      </c>
      <c r="V33" s="13">
        <f t="shared" ca="1" si="2"/>
        <v>16.35194492813844</v>
      </c>
      <c r="W33" s="33"/>
      <c r="X33" s="20">
        <f ca="1">'Propulsion-Takeoff'!S33/T33</f>
        <v>17.481720106708121</v>
      </c>
      <c r="Y33" s="42"/>
      <c r="Z33" s="20">
        <f ca="1">H33*(V33^2-$B$11^2)/(2*ISA!$B$5*($B$8+X33-Q33-$B$9*(H33-P33)))</f>
        <v>40.026579902674861</v>
      </c>
      <c r="AA33" s="1">
        <f t="shared" ca="1" si="9"/>
        <v>0.42819171567607339</v>
      </c>
      <c r="AB33" s="57" t="str">
        <f t="shared" ca="1" si="10"/>
        <v>OK</v>
      </c>
      <c r="AF33" s="16"/>
      <c r="AG33" s="16"/>
      <c r="AH33" s="42"/>
      <c r="AI33" s="42"/>
      <c r="AJ33" s="42"/>
      <c r="AK33" s="16"/>
      <c r="AL33" s="16"/>
      <c r="AM33" s="16"/>
      <c r="AN33" s="16"/>
      <c r="AO33" s="42"/>
      <c r="AP33" s="42"/>
      <c r="AQ33" s="42"/>
      <c r="AR33" s="16"/>
      <c r="AS33" s="16"/>
      <c r="AT33" s="42"/>
      <c r="AU33" s="42"/>
      <c r="AV33" s="16"/>
      <c r="AW33" s="42"/>
      <c r="AX33" s="42"/>
      <c r="AY33" s="42"/>
      <c r="AZ33" s="20"/>
      <c r="BA33" s="20"/>
      <c r="BB33" s="20"/>
      <c r="BC33" s="19"/>
      <c r="BD33" s="6"/>
      <c r="BE33" s="6"/>
      <c r="BF33" s="16"/>
      <c r="BG33" s="16"/>
      <c r="BH33" s="6"/>
      <c r="BI33" s="16"/>
      <c r="BJ33" s="16"/>
      <c r="BK33" s="16"/>
      <c r="BL33" s="6"/>
      <c r="BM33" s="16"/>
      <c r="BN33" s="16"/>
      <c r="BO33" s="16"/>
    </row>
    <row r="34" spans="2:67">
      <c r="B34" s="31">
        <f>Main!C34</f>
        <v>2.5263157894736845</v>
      </c>
      <c r="C34" s="31">
        <f>Main!B34</f>
        <v>0.33333333333333326</v>
      </c>
      <c r="D34" s="1">
        <f t="shared" si="3"/>
        <v>0.84210526315789469</v>
      </c>
      <c r="F34" s="1">
        <f t="shared" si="11"/>
        <v>1.2249994633486807</v>
      </c>
      <c r="H34" s="62">
        <f ca="1">Main!AC34</f>
        <v>131.64808624850315</v>
      </c>
      <c r="J34" s="16">
        <f ca="1">'Aerodynamics-Takeoff'!AG34</f>
        <v>1.4187758610533638</v>
      </c>
      <c r="K34" s="16">
        <f ca="1">'Aerodynamics-Takeoff'!BE34</f>
        <v>0.84281429854022494</v>
      </c>
      <c r="L34" s="42">
        <f ca="1">'Aerodynamics-Takeoff'!BF34</f>
        <v>1.8911903412312067E-2</v>
      </c>
      <c r="M34" s="84">
        <v>0</v>
      </c>
      <c r="N34" s="42">
        <f t="shared" ca="1" si="5"/>
        <v>2.7846587358297824E-2</v>
      </c>
      <c r="O34" s="10">
        <f ca="1">'Aerodynamics-Takeoff'!BH34</f>
        <v>3.8692335269962699E-2</v>
      </c>
      <c r="P34" s="13">
        <f t="shared" ca="1" si="6"/>
        <v>56.307358060982772</v>
      </c>
      <c r="Q34" s="13">
        <f t="shared" ca="1" si="7"/>
        <v>2.5849860165339864</v>
      </c>
      <c r="R34" s="16">
        <f t="shared" ca="1" si="0"/>
        <v>21.782461375354394</v>
      </c>
      <c r="T34" s="20">
        <f t="shared" ca="1" si="8"/>
        <v>11.381001633445333</v>
      </c>
      <c r="U34" s="20">
        <f t="shared" ca="1" si="1"/>
        <v>13.412639052785819</v>
      </c>
      <c r="V34" s="13">
        <f t="shared" ca="1" si="2"/>
        <v>16.095166863342982</v>
      </c>
      <c r="W34" s="33"/>
      <c r="X34" s="20">
        <f ca="1">'Propulsion-Takeoff'!S34/T34</f>
        <v>17.566803247339021</v>
      </c>
      <c r="Y34" s="42"/>
      <c r="Z34" s="20">
        <f ca="1">H34*(V34^2-$B$11^2)/(2*ISA!$B$5*($B$8+X34-Q34-$B$9*(H34-P34)))</f>
        <v>38.656083378933289</v>
      </c>
      <c r="AA34" s="1">
        <f t="shared" ca="1" si="9"/>
        <v>0.44777023744381017</v>
      </c>
      <c r="AB34" s="57" t="str">
        <f t="shared" ca="1" si="10"/>
        <v>OK</v>
      </c>
      <c r="AF34" s="16"/>
      <c r="AG34" s="16"/>
      <c r="AH34" s="42"/>
      <c r="AI34" s="42"/>
      <c r="AJ34" s="42"/>
      <c r="AK34" s="16"/>
      <c r="AL34" s="16"/>
      <c r="AM34" s="16"/>
      <c r="AN34" s="16"/>
      <c r="AO34" s="42"/>
      <c r="AP34" s="42"/>
      <c r="AQ34" s="42"/>
      <c r="AR34" s="16"/>
      <c r="AS34" s="16"/>
      <c r="AT34" s="42"/>
      <c r="AU34" s="42"/>
      <c r="AV34" s="16"/>
      <c r="AW34" s="42"/>
      <c r="AX34" s="42"/>
      <c r="AY34" s="42"/>
      <c r="AZ34" s="20"/>
      <c r="BA34" s="20"/>
      <c r="BB34" s="20"/>
      <c r="BC34" s="19"/>
      <c r="BD34" s="6"/>
      <c r="BE34" s="6"/>
      <c r="BF34" s="16"/>
      <c r="BG34" s="16"/>
      <c r="BH34" s="6"/>
      <c r="BI34" s="16"/>
      <c r="BJ34" s="16"/>
      <c r="BK34" s="16"/>
      <c r="BL34" s="6"/>
      <c r="BM34" s="16"/>
      <c r="BN34" s="16"/>
      <c r="BO34" s="16"/>
    </row>
    <row r="35" spans="2:67">
      <c r="B35" s="31">
        <f>Main!C35</f>
        <v>2.6052631578947372</v>
      </c>
      <c r="C35" s="31">
        <f>Main!B35</f>
        <v>0.33333333333333326</v>
      </c>
      <c r="D35" s="1">
        <f t="shared" si="3"/>
        <v>0.86842105263157887</v>
      </c>
      <c r="F35" s="1">
        <f t="shared" si="11"/>
        <v>1.2249994633486807</v>
      </c>
      <c r="H35" s="62">
        <f ca="1">Main!AC35</f>
        <v>131.66397514878656</v>
      </c>
      <c r="J35" s="16">
        <f ca="1">'Aerodynamics-Takeoff'!AG35</f>
        <v>1.4184757160011932</v>
      </c>
      <c r="K35" s="16">
        <f ca="1">'Aerodynamics-Takeoff'!BE35</f>
        <v>0.84321132926969167</v>
      </c>
      <c r="L35" s="42">
        <f ca="1">'Aerodynamics-Takeoff'!BF35</f>
        <v>1.89935249691995E-2</v>
      </c>
      <c r="M35" s="84">
        <v>0</v>
      </c>
      <c r="N35" s="42">
        <f t="shared" ca="1" si="5"/>
        <v>2.6671296282974839E-2</v>
      </c>
      <c r="O35" s="10">
        <f ca="1">'Aerodynamics-Takeoff'!BH35</f>
        <v>3.7956959205954176E-2</v>
      </c>
      <c r="P35" s="13">
        <f t="shared" ca="1" si="6"/>
        <v>56.352603757099288</v>
      </c>
      <c r="Q35" s="13">
        <f t="shared" ca="1" si="7"/>
        <v>2.5366991733971247</v>
      </c>
      <c r="R35" s="16">
        <f t="shared" ca="1" si="0"/>
        <v>22.214933622433595</v>
      </c>
      <c r="T35" s="20">
        <f t="shared" ca="1" si="8"/>
        <v>11.209097688832644</v>
      </c>
      <c r="U35" s="20">
        <f t="shared" ca="1" si="1"/>
        <v>13.210048311204789</v>
      </c>
      <c r="V35" s="13">
        <f t="shared" ca="1" si="2"/>
        <v>15.852057973445746</v>
      </c>
      <c r="W35" s="33"/>
      <c r="X35" s="20">
        <f ca="1">'Propulsion-Takeoff'!S35/T35</f>
        <v>17.647353356077812</v>
      </c>
      <c r="Y35" s="42"/>
      <c r="Z35" s="20">
        <f ca="1">H35*(V35^2-$B$11^2)/(2*ISA!$B$5*($B$8+X35-Q35-$B$9*(H35-P35)))</f>
        <v>37.394563702195114</v>
      </c>
      <c r="AA35" s="1">
        <f t="shared" ca="1" si="9"/>
        <v>0.46579194711149835</v>
      </c>
      <c r="AB35" s="57" t="str">
        <f t="shared" ca="1" si="10"/>
        <v>OK</v>
      </c>
      <c r="AF35" s="16"/>
      <c r="AG35" s="16"/>
      <c r="AH35" s="42"/>
      <c r="AI35" s="42"/>
      <c r="AJ35" s="42"/>
      <c r="AK35" s="16"/>
      <c r="AL35" s="16"/>
      <c r="AM35" s="16"/>
      <c r="AN35" s="16"/>
      <c r="AO35" s="42"/>
      <c r="AP35" s="42"/>
      <c r="AQ35" s="42"/>
      <c r="AR35" s="16"/>
      <c r="AS35" s="16"/>
      <c r="AT35" s="42"/>
      <c r="AU35" s="42"/>
      <c r="AV35" s="16"/>
      <c r="AW35" s="42"/>
      <c r="AX35" s="42"/>
      <c r="AY35" s="42"/>
      <c r="AZ35" s="20"/>
      <c r="BA35" s="20"/>
      <c r="BB35" s="20"/>
      <c r="BC35" s="19"/>
      <c r="BD35" s="6"/>
      <c r="BE35" s="6"/>
      <c r="BF35" s="16"/>
      <c r="BG35" s="16"/>
      <c r="BH35" s="6"/>
      <c r="BI35" s="16"/>
      <c r="BJ35" s="16"/>
      <c r="BK35" s="16"/>
      <c r="BL35" s="6"/>
      <c r="BM35" s="16"/>
      <c r="BN35" s="16"/>
      <c r="BO35" s="16"/>
    </row>
    <row r="36" spans="2:67">
      <c r="B36" s="31">
        <f>Main!C36</f>
        <v>2.6842105263157898</v>
      </c>
      <c r="C36" s="31">
        <f>Main!B36</f>
        <v>0.33333333333333326</v>
      </c>
      <c r="D36" s="1">
        <f t="shared" si="3"/>
        <v>0.89473684210526305</v>
      </c>
      <c r="F36" s="1">
        <f t="shared" si="11"/>
        <v>1.2249994633486807</v>
      </c>
      <c r="H36" s="62">
        <f ca="1">Main!AC36</f>
        <v>131.71508343629725</v>
      </c>
      <c r="J36" s="16">
        <f ca="1">'Aerodynamics-Takeoff'!AG36</f>
        <v>1.4181872455857578</v>
      </c>
      <c r="K36" s="16">
        <f ca="1">'Aerodynamics-Takeoff'!BE36</f>
        <v>0.84359250344922609</v>
      </c>
      <c r="L36" s="42">
        <f ca="1">'Aerodynamics-Takeoff'!BF36</f>
        <v>1.9075077546740427E-2</v>
      </c>
      <c r="M36" s="84">
        <v>0</v>
      </c>
      <c r="N36" s="42">
        <f t="shared" ca="1" si="5"/>
        <v>2.5563446774529031E-2</v>
      </c>
      <c r="O36" s="10">
        <f ca="1">'Aerodynamics-Takeoff'!BH36</f>
        <v>3.726726128946483E-2</v>
      </c>
      <c r="P36" s="13">
        <f t="shared" ca="1" si="6"/>
        <v>56.411434579306899</v>
      </c>
      <c r="Q36" s="13">
        <f t="shared" ca="1" si="7"/>
        <v>2.4920796042933477</v>
      </c>
      <c r="R36" s="16">
        <f t="shared" ca="1" si="0"/>
        <v>22.636289178773197</v>
      </c>
      <c r="T36" s="20">
        <f t="shared" ca="1" si="8"/>
        <v>11.046294171655935</v>
      </c>
      <c r="U36" s="20">
        <f t="shared" ca="1" si="1"/>
        <v>13.018182526209944</v>
      </c>
      <c r="V36" s="13">
        <f t="shared" ca="1" si="2"/>
        <v>15.621819031451933</v>
      </c>
      <c r="W36" s="33"/>
      <c r="X36" s="20">
        <f ca="1">'Propulsion-Takeoff'!S36/T36</f>
        <v>17.723622192373199</v>
      </c>
      <c r="Y36" s="42"/>
      <c r="Z36" s="20">
        <f ca="1">H36*(V36^2-$B$11^2)/(2*ISA!$B$5*($B$8+X36-Q36-$B$9*(H36-P36)))</f>
        <v>36.233196206185902</v>
      </c>
      <c r="AA36" s="1">
        <f t="shared" ca="1" si="9"/>
        <v>0.48238291134020139</v>
      </c>
      <c r="AB36" s="57" t="str">
        <f t="shared" ca="1" si="10"/>
        <v>OK</v>
      </c>
      <c r="AF36" s="16"/>
      <c r="AG36" s="16"/>
      <c r="AH36" s="42"/>
      <c r="AI36" s="42"/>
      <c r="AJ36" s="42"/>
      <c r="AK36" s="16"/>
      <c r="AL36" s="16"/>
      <c r="AM36" s="16"/>
      <c r="AN36" s="16"/>
      <c r="AO36" s="42"/>
      <c r="AP36" s="42"/>
      <c r="AQ36" s="42"/>
      <c r="AR36" s="16"/>
      <c r="AS36" s="16"/>
      <c r="AT36" s="42"/>
      <c r="AU36" s="42"/>
      <c r="AV36" s="16"/>
      <c r="AW36" s="42"/>
      <c r="AX36" s="42"/>
      <c r="AY36" s="42"/>
      <c r="AZ36" s="20"/>
      <c r="BA36" s="20"/>
      <c r="BB36" s="20"/>
      <c r="BC36" s="19"/>
      <c r="BD36" s="6"/>
      <c r="BE36" s="6"/>
      <c r="BF36" s="16"/>
      <c r="BG36" s="16"/>
      <c r="BH36" s="6"/>
      <c r="BI36" s="16"/>
      <c r="BJ36" s="16"/>
      <c r="BK36" s="16"/>
      <c r="BL36" s="6"/>
      <c r="BM36" s="16"/>
      <c r="BN36" s="16"/>
      <c r="BO36" s="16"/>
    </row>
    <row r="37" spans="2:67">
      <c r="B37" s="31">
        <f>Main!C37</f>
        <v>2.7631578947368425</v>
      </c>
      <c r="C37" s="31">
        <f>Main!B37</f>
        <v>0.33333333333333326</v>
      </c>
      <c r="D37" s="1">
        <f t="shared" si="3"/>
        <v>0.92105263157894723</v>
      </c>
      <c r="F37" s="1">
        <f t="shared" si="11"/>
        <v>1.2249994633486807</v>
      </c>
      <c r="H37" s="62">
        <f ca="1">Main!AC37</f>
        <v>131.79789717068391</v>
      </c>
      <c r="J37" s="16">
        <f ca="1">'Aerodynamics-Takeoff'!AG37</f>
        <v>1.417909657351841</v>
      </c>
      <c r="K37" s="16">
        <f ca="1">'Aerodynamics-Takeoff'!BE37</f>
        <v>0.84395896687902094</v>
      </c>
      <c r="L37" s="42">
        <f ca="1">'Aerodynamics-Takeoff'!BF37</f>
        <v>1.9156460145454655E-2</v>
      </c>
      <c r="M37" s="84">
        <v>0</v>
      </c>
      <c r="N37" s="42">
        <f t="shared" ca="1" si="5"/>
        <v>2.4517921944922902E-2</v>
      </c>
      <c r="O37" s="10">
        <f ca="1">'Aerodynamics-Takeoff'!BH37</f>
        <v>3.6619760426101239E-2</v>
      </c>
      <c r="P37" s="13">
        <f t="shared" ca="1" si="6"/>
        <v>56.482478923752886</v>
      </c>
      <c r="Q37" s="13">
        <f t="shared" ca="1" si="7"/>
        <v>2.4508002493403676</v>
      </c>
      <c r="R37" s="16">
        <f t="shared" ca="1" si="0"/>
        <v>23.046545282078839</v>
      </c>
      <c r="T37" s="20">
        <f t="shared" ca="1" si="8"/>
        <v>10.891834490652114</v>
      </c>
      <c r="U37" s="20">
        <f t="shared" ca="1" si="1"/>
        <v>12.836150046446731</v>
      </c>
      <c r="V37" s="13">
        <f t="shared" ca="1" si="2"/>
        <v>15.403380055736076</v>
      </c>
      <c r="W37" s="33"/>
      <c r="X37" s="20">
        <f ca="1">'Propulsion-Takeoff'!S37/T37</f>
        <v>17.7959563058191</v>
      </c>
      <c r="Y37" s="42"/>
      <c r="Z37" s="20">
        <f ca="1">H37*(V37^2-$B$11^2)/(2*ISA!$B$5*($B$8+X37-Q37-$B$9*(H37-P37)))</f>
        <v>35.160818091505</v>
      </c>
      <c r="AA37" s="1">
        <f t="shared" ca="1" si="9"/>
        <v>0.49770259869278571</v>
      </c>
      <c r="AB37" s="57" t="str">
        <f t="shared" ca="1" si="10"/>
        <v>OK</v>
      </c>
      <c r="AF37" s="16"/>
      <c r="AG37" s="16"/>
      <c r="AH37" s="42"/>
      <c r="AI37" s="42"/>
      <c r="AJ37" s="42"/>
      <c r="AK37" s="16"/>
      <c r="AL37" s="16"/>
      <c r="AM37" s="16"/>
      <c r="AN37" s="16"/>
      <c r="AO37" s="42"/>
      <c r="AP37" s="42"/>
      <c r="AQ37" s="42"/>
      <c r="AR37" s="16"/>
      <c r="AS37" s="16"/>
      <c r="AT37" s="42"/>
      <c r="AU37" s="42"/>
      <c r="AV37" s="16"/>
      <c r="AW37" s="42"/>
      <c r="AX37" s="42"/>
      <c r="AY37" s="42"/>
      <c r="AZ37" s="20"/>
      <c r="BA37" s="20"/>
      <c r="BB37" s="20"/>
      <c r="BC37" s="19"/>
      <c r="BD37" s="6"/>
      <c r="BE37" s="6"/>
      <c r="BF37" s="16"/>
      <c r="BG37" s="16"/>
      <c r="BH37" s="6"/>
      <c r="BI37" s="16"/>
      <c r="BJ37" s="16"/>
      <c r="BK37" s="16"/>
      <c r="BL37" s="6"/>
      <c r="BM37" s="16"/>
      <c r="BN37" s="16"/>
      <c r="BO37" s="16"/>
    </row>
    <row r="38" spans="2:67">
      <c r="B38" s="31">
        <f>Main!C38</f>
        <v>2.8421052631578951</v>
      </c>
      <c r="C38" s="31">
        <f>Main!B38</f>
        <v>0.33333333333333326</v>
      </c>
      <c r="D38" s="1">
        <f t="shared" si="3"/>
        <v>0.94736842105263153</v>
      </c>
      <c r="F38" s="1">
        <f t="shared" si="11"/>
        <v>1.2249994633486807</v>
      </c>
      <c r="H38" s="62">
        <f ca="1">Main!AC38</f>
        <v>131.9094250607543</v>
      </c>
      <c r="J38" s="16">
        <f ca="1">'Aerodynamics-Takeoff'!AG38</f>
        <v>1.4176422413879795</v>
      </c>
      <c r="K38" s="16">
        <f ca="1">'Aerodynamics-Takeoff'!BE38</f>
        <v>0.84431173499708123</v>
      </c>
      <c r="L38" s="42">
        <f ca="1">'Aerodynamics-Takeoff'!BF38</f>
        <v>1.9237584019295945E-2</v>
      </c>
      <c r="M38" s="84">
        <v>0</v>
      </c>
      <c r="N38" s="42">
        <f t="shared" ca="1" si="5"/>
        <v>2.3530127012477923E-2</v>
      </c>
      <c r="O38" s="10">
        <f ca="1">'Aerodynamics-Takeoff'!BH38</f>
        <v>3.6011324618342104E-2</v>
      </c>
      <c r="P38" s="13">
        <f t="shared" ca="1" si="6"/>
        <v>56.564571826309759</v>
      </c>
      <c r="Q38" s="13">
        <f t="shared" ca="1" si="7"/>
        <v>2.4125747321773403</v>
      </c>
      <c r="R38" s="16">
        <f t="shared" ca="1" si="0"/>
        <v>23.445728363100457</v>
      </c>
      <c r="T38" s="20">
        <f t="shared" ca="1" si="8"/>
        <v>10.745049877330782</v>
      </c>
      <c r="U38" s="20">
        <f t="shared" ca="1" si="1"/>
        <v>12.663162720690806</v>
      </c>
      <c r="V38" s="13">
        <f t="shared" ca="1" si="2"/>
        <v>15.195795264828966</v>
      </c>
      <c r="W38" s="33"/>
      <c r="X38" s="20">
        <f ca="1">'Propulsion-Takeoff'!S38/T38</f>
        <v>17.864664787178828</v>
      </c>
      <c r="Y38" s="42"/>
      <c r="Z38" s="20">
        <f ca="1">H38*(V38^2-$B$11^2)/(2*ISA!$B$5*($B$8+X38-Q38-$B$9*(H38-P38)))</f>
        <v>34.16789036755695</v>
      </c>
      <c r="AA38" s="1">
        <f t="shared" ca="1" si="9"/>
        <v>0.51188728046347209</v>
      </c>
      <c r="AB38" s="57" t="str">
        <f t="shared" ca="1" si="10"/>
        <v>OK</v>
      </c>
      <c r="AF38" s="16"/>
      <c r="AG38" s="16"/>
      <c r="AH38" s="42"/>
      <c r="AI38" s="42"/>
      <c r="AJ38" s="42"/>
      <c r="AK38" s="16"/>
      <c r="AL38" s="16"/>
      <c r="AM38" s="16"/>
      <c r="AN38" s="16"/>
      <c r="AO38" s="42"/>
      <c r="AP38" s="42"/>
      <c r="AQ38" s="42"/>
      <c r="AR38" s="16"/>
      <c r="AS38" s="16"/>
      <c r="AT38" s="42"/>
      <c r="AU38" s="42"/>
      <c r="AV38" s="16"/>
      <c r="AW38" s="42"/>
      <c r="AX38" s="42"/>
      <c r="AY38" s="42"/>
      <c r="AZ38" s="20"/>
      <c r="BA38" s="20"/>
      <c r="BB38" s="20"/>
      <c r="BC38" s="19"/>
      <c r="BD38" s="6"/>
      <c r="BE38" s="6"/>
      <c r="BF38" s="16"/>
      <c r="BG38" s="16"/>
      <c r="BH38" s="6"/>
      <c r="BI38" s="16"/>
      <c r="BJ38" s="16"/>
      <c r="BK38" s="16"/>
      <c r="BL38" s="6"/>
      <c r="BM38" s="16"/>
      <c r="BN38" s="16"/>
      <c r="BO38" s="16"/>
    </row>
    <row r="39" spans="2:67">
      <c r="B39" s="31">
        <f>Main!C39</f>
        <v>2.9210526315789478</v>
      </c>
      <c r="C39" s="31">
        <f>Main!B39</f>
        <v>0.33333333333333326</v>
      </c>
      <c r="D39" s="1">
        <f t="shared" si="3"/>
        <v>0.97368421052631571</v>
      </c>
      <c r="F39" s="1">
        <f t="shared" si="11"/>
        <v>1.2249994633486807</v>
      </c>
      <c r="H39" s="62">
        <f ca="1">Main!AC39</f>
        <v>132.04710507719955</v>
      </c>
      <c r="J39" s="16">
        <f ca="1">'Aerodynamics-Takeoff'!AG39</f>
        <v>1.4173843588443424</v>
      </c>
      <c r="K39" s="16">
        <f ca="1">'Aerodynamics-Takeoff'!BE39</f>
        <v>0.84465171272836725</v>
      </c>
      <c r="L39" s="42">
        <f ca="1">'Aerodynamics-Takeoff'!BF39</f>
        <v>1.931837132582117E-2</v>
      </c>
      <c r="M39" s="84">
        <v>0</v>
      </c>
      <c r="N39" s="42">
        <f t="shared" ca="1" si="5"/>
        <v>2.2595919933879511E-2</v>
      </c>
      <c r="O39" s="10">
        <f ca="1">'Aerodynamics-Takeoff'!BH39</f>
        <v>3.5439125714976247E-2</v>
      </c>
      <c r="P39" s="13">
        <f t="shared" ca="1" si="6"/>
        <v>56.656717844140083</v>
      </c>
      <c r="Q39" s="13">
        <f t="shared" ca="1" si="7"/>
        <v>2.3771508611409522</v>
      </c>
      <c r="R39" s="16">
        <f t="shared" ca="1" si="0"/>
        <v>23.833875573612847</v>
      </c>
      <c r="T39" s="20">
        <f t="shared" ca="1" si="8"/>
        <v>10.605346375964057</v>
      </c>
      <c r="U39" s="20">
        <f t="shared" ca="1" si="1"/>
        <v>12.498520565403993</v>
      </c>
      <c r="V39" s="13">
        <f t="shared" ca="1" si="2"/>
        <v>14.998224678484791</v>
      </c>
      <c r="W39" s="33"/>
      <c r="X39" s="20">
        <f ca="1">'Propulsion-Takeoff'!S39/T39</f>
        <v>17.930024252017642</v>
      </c>
      <c r="Y39" s="42"/>
      <c r="Z39" s="20">
        <f ca="1">H39*(V39^2-$B$11^2)/(2*ISA!$B$5*($B$8+X39-Q39-$B$9*(H39-P39)))</f>
        <v>33.24621023964913</v>
      </c>
      <c r="AA39" s="1">
        <f t="shared" ca="1" si="9"/>
        <v>0.52505413943358381</v>
      </c>
      <c r="AB39" s="57" t="str">
        <f t="shared" ca="1" si="10"/>
        <v>OK</v>
      </c>
      <c r="AF39" s="16"/>
      <c r="AG39" s="16"/>
      <c r="AH39" s="42"/>
      <c r="AI39" s="42"/>
      <c r="AJ39" s="42"/>
      <c r="AK39" s="16"/>
      <c r="AL39" s="16"/>
      <c r="AM39" s="16"/>
      <c r="AN39" s="16"/>
      <c r="AO39" s="42"/>
      <c r="AP39" s="42"/>
      <c r="AQ39" s="42"/>
      <c r="AR39" s="16"/>
      <c r="AS39" s="16"/>
      <c r="AT39" s="42"/>
      <c r="AU39" s="42"/>
      <c r="AV39" s="16"/>
      <c r="AW39" s="42"/>
      <c r="AX39" s="42"/>
      <c r="AY39" s="42"/>
      <c r="AZ39" s="20"/>
      <c r="BA39" s="20"/>
      <c r="BB39" s="20"/>
      <c r="BC39" s="19"/>
      <c r="BD39" s="6"/>
      <c r="BE39" s="6"/>
      <c r="BF39" s="16"/>
      <c r="BG39" s="16"/>
      <c r="BH39" s="6"/>
      <c r="BI39" s="16"/>
      <c r="BJ39" s="16"/>
      <c r="BK39" s="16"/>
      <c r="BL39" s="6"/>
      <c r="BM39" s="16"/>
      <c r="BN39" s="16"/>
      <c r="BO39" s="16"/>
    </row>
    <row r="40" spans="2:67">
      <c r="B40" s="31">
        <f>Main!C40</f>
        <v>3</v>
      </c>
      <c r="C40" s="31">
        <f>Main!B40</f>
        <v>0.33333333333333326</v>
      </c>
      <c r="D40" s="1">
        <f t="shared" si="3"/>
        <v>0.99999999999999978</v>
      </c>
      <c r="F40" s="1">
        <f t="shared" si="11"/>
        <v>1.2249994633486807</v>
      </c>
      <c r="H40" s="62">
        <f ca="1">Main!AC40</f>
        <v>109.47797499660557</v>
      </c>
      <c r="J40" s="16">
        <f ca="1">'Aerodynamics-Takeoff'!AG40</f>
        <v>1.4152917482844229</v>
      </c>
      <c r="K40" s="16">
        <f ca="1">'Aerodynamics-Takeoff'!BE40</f>
        <v>0.84793557049802337</v>
      </c>
      <c r="L40" s="42">
        <f ca="1">'Aerodynamics-Takeoff'!BF40</f>
        <v>2.0487100450732001E-2</v>
      </c>
      <c r="M40" s="84">
        <v>0</v>
      </c>
      <c r="N40" s="42">
        <f t="shared" ca="1" si="5"/>
        <v>2.1677920519267507E-2</v>
      </c>
      <c r="O40" s="10">
        <f ca="1">'Aerodynamics-Takeoff'!BH40</f>
        <v>3.6073541397641525E-2</v>
      </c>
      <c r="P40" s="13">
        <f t="shared" ca="1" si="6"/>
        <v>47.227333911852838</v>
      </c>
      <c r="Q40" s="13">
        <f t="shared" ca="1" si="7"/>
        <v>2.009182353287577</v>
      </c>
      <c r="R40" s="16">
        <f t="shared" ca="1" si="0"/>
        <v>23.505747915103814</v>
      </c>
      <c r="T40" s="20">
        <f t="shared" ca="1" si="8"/>
        <v>9.5358191138899695</v>
      </c>
      <c r="U40" s="20">
        <f t="shared" ca="1" si="1"/>
        <v>11.237958893335264</v>
      </c>
      <c r="V40" s="13">
        <f t="shared" ca="1" si="2"/>
        <v>13.485550672002317</v>
      </c>
      <c r="W40" s="33"/>
      <c r="X40" s="20">
        <f ca="1">'Propulsion-Takeoff'!S40/T40</f>
        <v>18.429671094769883</v>
      </c>
      <c r="Y40" s="42"/>
      <c r="Z40" s="20">
        <f ca="1">H40*(V40^2-$B$11^2)/(2*ISA!$B$5*($B$8+X40-Q40-$B$9*(H40-P40)))</f>
        <v>21.867732177563138</v>
      </c>
      <c r="AA40" s="1">
        <f t="shared" ca="1" si="9"/>
        <v>0.68760382603481229</v>
      </c>
      <c r="AB40" s="57" t="str">
        <f t="shared" ca="1" si="10"/>
        <v>OK</v>
      </c>
      <c r="AF40" s="16"/>
      <c r="AG40" s="16"/>
      <c r="AH40" s="42"/>
      <c r="AI40" s="42"/>
      <c r="AJ40" s="42"/>
      <c r="AK40" s="16"/>
      <c r="AL40" s="16"/>
      <c r="AM40" s="16"/>
      <c r="AN40" s="16"/>
      <c r="AO40" s="42"/>
      <c r="AP40" s="42"/>
      <c r="AQ40" s="42"/>
      <c r="AR40" s="16"/>
      <c r="AS40" s="16"/>
      <c r="AT40" s="42"/>
      <c r="AU40" s="42"/>
      <c r="AV40" s="16"/>
      <c r="AW40" s="42"/>
      <c r="AX40" s="42"/>
      <c r="AY40" s="42"/>
      <c r="AZ40" s="20"/>
      <c r="BA40" s="20"/>
      <c r="BB40" s="20"/>
      <c r="BC40" s="19"/>
      <c r="BD40" s="6"/>
      <c r="BE40" s="6"/>
      <c r="BF40" s="16"/>
      <c r="BG40" s="16"/>
      <c r="BH40" s="6"/>
      <c r="BI40" s="16"/>
      <c r="BJ40" s="16"/>
      <c r="BK40" s="16"/>
      <c r="BL40" s="6"/>
      <c r="BM40" s="16"/>
      <c r="BN40" s="16"/>
      <c r="BO40" s="16"/>
    </row>
    <row r="41" spans="2:67"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</row>
    <row r="42" spans="2:67">
      <c r="D42" s="4"/>
    </row>
    <row r="44" spans="2:67">
      <c r="I44" s="14"/>
      <c r="M44" s="1"/>
      <c r="N44" s="1"/>
      <c r="O44" s="1"/>
      <c r="P44" s="1"/>
    </row>
    <row r="45" spans="2:67">
      <c r="I45" s="14"/>
    </row>
    <row r="46" spans="2:67">
      <c r="I46" s="14"/>
    </row>
    <row r="47" spans="2:67">
      <c r="I47" s="14"/>
    </row>
    <row r="48" spans="2:67">
      <c r="I48" s="14"/>
    </row>
    <row r="49" spans="9:9">
      <c r="I49" s="14"/>
    </row>
    <row r="50" spans="9:9">
      <c r="I50" s="14"/>
    </row>
    <row r="51" spans="9:9">
      <c r="I51" s="14"/>
    </row>
    <row r="52" spans="9:9">
      <c r="I52" s="14"/>
    </row>
    <row r="53" spans="9:9">
      <c r="I53" s="14"/>
    </row>
    <row r="54" spans="9:9">
      <c r="I54" s="14"/>
    </row>
    <row r="55" spans="9:9">
      <c r="I55" s="14"/>
    </row>
    <row r="56" spans="9:9">
      <c r="I56" s="14"/>
    </row>
    <row r="57" spans="9:9">
      <c r="I57" s="14"/>
    </row>
    <row r="58" spans="9:9">
      <c r="I58" s="14"/>
    </row>
    <row r="59" spans="9:9">
      <c r="I59" s="14"/>
    </row>
    <row r="60" spans="9:9">
      <c r="I60" s="14"/>
    </row>
    <row r="61" spans="9:9">
      <c r="I61" s="14"/>
    </row>
    <row r="62" spans="9:9">
      <c r="I62" s="14"/>
    </row>
    <row r="63" spans="9:9">
      <c r="I63" s="14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O63"/>
  <sheetViews>
    <sheetView zoomScale="110" zoomScaleNormal="110" workbookViewId="0">
      <selection activeCell="F7" sqref="F7"/>
    </sheetView>
  </sheetViews>
  <sheetFormatPr defaultRowHeight="12.75"/>
  <cols>
    <col min="42" max="42" width="9.42578125" customWidth="1"/>
  </cols>
  <sheetData>
    <row r="1" spans="1:67">
      <c r="A1" s="17" t="s">
        <v>262</v>
      </c>
    </row>
    <row r="3" spans="1:67">
      <c r="A3" t="s">
        <v>270</v>
      </c>
    </row>
    <row r="4" spans="1:67">
      <c r="A4" s="17"/>
    </row>
    <row r="5" spans="1:67">
      <c r="A5" s="64" t="s">
        <v>292</v>
      </c>
      <c r="B5" s="6">
        <f>B6-Takeoff!B5</f>
        <v>6000</v>
      </c>
      <c r="C5" s="3" t="s">
        <v>4</v>
      </c>
      <c r="F5" s="6"/>
      <c r="G5" s="6"/>
      <c r="H5" s="6"/>
    </row>
    <row r="6" spans="1:67">
      <c r="A6" t="s">
        <v>28</v>
      </c>
      <c r="B6" s="137">
        <v>6000</v>
      </c>
      <c r="C6" t="s">
        <v>4</v>
      </c>
      <c r="E6" s="16"/>
      <c r="F6" s="6"/>
      <c r="G6" s="16"/>
      <c r="H6" s="6"/>
    </row>
    <row r="7" spans="1:67">
      <c r="A7" s="3" t="s">
        <v>29</v>
      </c>
      <c r="B7" s="1">
        <f>ISA!R8</f>
        <v>0.65969672852566186</v>
      </c>
      <c r="C7" s="3" t="s">
        <v>30</v>
      </c>
      <c r="D7" s="16"/>
    </row>
    <row r="8" spans="1:67">
      <c r="A8" s="64" t="s">
        <v>293</v>
      </c>
      <c r="B8" s="12">
        <v>0.5</v>
      </c>
      <c r="C8" s="3" t="s">
        <v>1</v>
      </c>
      <c r="D8" t="s">
        <v>294</v>
      </c>
    </row>
    <row r="10" spans="1:67">
      <c r="A10" s="64"/>
      <c r="B10" s="16"/>
    </row>
    <row r="15" spans="1:67">
      <c r="B15" t="s">
        <v>279</v>
      </c>
      <c r="F15" t="s">
        <v>273</v>
      </c>
      <c r="H15" t="s">
        <v>277</v>
      </c>
      <c r="J15" t="s">
        <v>278</v>
      </c>
      <c r="U15" t="s">
        <v>286</v>
      </c>
      <c r="Z15" t="s">
        <v>268</v>
      </c>
      <c r="AB15" t="s">
        <v>288</v>
      </c>
    </row>
    <row r="16" spans="1:67"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42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</row>
    <row r="17" spans="2:67"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</row>
    <row r="18" spans="2:67">
      <c r="B18" s="9" t="s">
        <v>280</v>
      </c>
      <c r="C18" s="9" t="s">
        <v>281</v>
      </c>
      <c r="D18" s="9" t="s">
        <v>282</v>
      </c>
      <c r="F18" s="9" t="s">
        <v>29</v>
      </c>
      <c r="H18" s="9" t="s">
        <v>34</v>
      </c>
      <c r="J18" s="9" t="s">
        <v>283</v>
      </c>
      <c r="K18" s="9" t="s">
        <v>54</v>
      </c>
      <c r="L18" s="9" t="s">
        <v>284</v>
      </c>
      <c r="M18" s="9" t="s">
        <v>285</v>
      </c>
      <c r="N18" s="9" t="s">
        <v>0</v>
      </c>
      <c r="O18" s="9" t="s">
        <v>55</v>
      </c>
      <c r="P18" s="9" t="s">
        <v>56</v>
      </c>
      <c r="Q18" s="9" t="s">
        <v>57</v>
      </c>
      <c r="R18" s="9" t="s">
        <v>58</v>
      </c>
      <c r="S18" s="9" t="s">
        <v>59</v>
      </c>
      <c r="U18" s="9" t="s">
        <v>198</v>
      </c>
      <c r="V18" s="9" t="s">
        <v>298</v>
      </c>
      <c r="W18" s="9" t="s">
        <v>295</v>
      </c>
      <c r="X18" s="9" t="s">
        <v>40</v>
      </c>
      <c r="Y18" s="9"/>
      <c r="Z18" s="9" t="s">
        <v>141</v>
      </c>
      <c r="AA18" s="23"/>
      <c r="AB18" s="9" t="s">
        <v>293</v>
      </c>
      <c r="AC18" s="68" t="s">
        <v>323</v>
      </c>
      <c r="AD18" s="23"/>
      <c r="AE18" s="23" t="s">
        <v>499</v>
      </c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6"/>
      <c r="BE18" s="6"/>
      <c r="BF18" s="23"/>
      <c r="BG18" s="23"/>
      <c r="BH18" s="6"/>
      <c r="BI18" s="23"/>
      <c r="BJ18" s="23"/>
      <c r="BK18" s="23"/>
      <c r="BL18" s="6"/>
      <c r="BM18" s="23"/>
      <c r="BN18" s="23"/>
      <c r="BO18" s="23"/>
    </row>
    <row r="19" spans="2:67">
      <c r="B19" s="9" t="s">
        <v>4</v>
      </c>
      <c r="C19" s="9" t="s">
        <v>4</v>
      </c>
      <c r="D19" s="9" t="s">
        <v>43</v>
      </c>
      <c r="F19" s="9" t="s">
        <v>30</v>
      </c>
      <c r="H19" s="9" t="s">
        <v>35</v>
      </c>
      <c r="J19" s="9"/>
      <c r="K19" s="9"/>
      <c r="L19" s="9"/>
      <c r="M19" s="9"/>
      <c r="N19" s="9"/>
      <c r="P19" s="9" t="s">
        <v>35</v>
      </c>
      <c r="Q19" s="9" t="s">
        <v>35</v>
      </c>
      <c r="R19" s="9"/>
      <c r="S19" s="9" t="s">
        <v>34</v>
      </c>
      <c r="U19" s="9" t="s">
        <v>1</v>
      </c>
      <c r="W19" s="9" t="s">
        <v>1</v>
      </c>
      <c r="X19" s="9" t="s">
        <v>1</v>
      </c>
      <c r="Z19" s="9" t="s">
        <v>34</v>
      </c>
      <c r="AA19" s="6"/>
      <c r="AB19" s="9" t="s">
        <v>1</v>
      </c>
      <c r="AC19" s="6"/>
      <c r="AD19" s="23"/>
      <c r="AE19" s="23" t="s">
        <v>303</v>
      </c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23"/>
      <c r="BA19" s="23"/>
      <c r="BB19" s="23"/>
      <c r="BC19" s="23"/>
      <c r="BD19" s="6"/>
      <c r="BE19" s="6"/>
      <c r="BF19" s="23"/>
      <c r="BG19" s="23"/>
      <c r="BH19" s="6"/>
      <c r="BI19" s="23"/>
      <c r="BJ19" s="23"/>
      <c r="BK19" s="23"/>
      <c r="BL19" s="6"/>
      <c r="BM19" s="23"/>
      <c r="BN19" s="23"/>
      <c r="BO19" s="23"/>
    </row>
    <row r="20" spans="2:67">
      <c r="AA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</row>
    <row r="21" spans="2:67">
      <c r="B21" s="31">
        <f>Main!C21</f>
        <v>1.5</v>
      </c>
      <c r="C21" s="31">
        <f>Main!B21</f>
        <v>0.33333333333333326</v>
      </c>
      <c r="D21" s="1">
        <f t="shared" ref="D21:D40" si="0">B21*C21</f>
        <v>0.49999999999999989</v>
      </c>
      <c r="F21" s="1">
        <f t="shared" ref="F21:F40" si="1">$B$7</f>
        <v>0.65969672852566186</v>
      </c>
      <c r="H21" s="62">
        <f ca="1">Main!AC21</f>
        <v>129.60277124897891</v>
      </c>
      <c r="J21" s="16">
        <f ca="1">'Aerodynamics-RCmax'!AG21</f>
        <v>1.4278079600608771</v>
      </c>
      <c r="K21" s="16">
        <f ca="1">'Aerodynamics-RCmax'!BE21</f>
        <v>0.87824015425735491</v>
      </c>
      <c r="L21" s="42">
        <f ca="1">'Aerodynamics-RCmax'!BF21</f>
        <v>1.6954527084833058E-2</v>
      </c>
      <c r="M21" s="84">
        <v>0</v>
      </c>
      <c r="N21" s="42">
        <f ca="1">(O21-L21)/K21^2</f>
        <v>6.0971572464708364E-2</v>
      </c>
      <c r="O21" s="10">
        <f ca="1">'Aerodynamics-RCmax'!BH21</f>
        <v>6.3982252644356544E-2</v>
      </c>
      <c r="P21" s="13">
        <f ca="1">0.5*F21*X21^2*D21*K21</f>
        <v>129.60277124917459</v>
      </c>
      <c r="Q21" s="13">
        <f ca="1">0.5*F21*X21^2*D21*O21</f>
        <v>9.4419245274493697</v>
      </c>
      <c r="R21" s="16">
        <f t="shared" ref="R21:R40" ca="1" si="2">P21/Q21</f>
        <v>13.726308749068696</v>
      </c>
      <c r="S21" s="14">
        <f t="shared" ref="S21:S40" ca="1" si="3">Q21*X21</f>
        <v>282.43522095349095</v>
      </c>
      <c r="U21" s="20">
        <f ca="1">SQRT(H21/(0.5*F21*D21*J21))</f>
        <v>23.460111671366672</v>
      </c>
      <c r="V21" s="1">
        <f ca="1">(-M21+SQRT(M21^2+12*N21*L21))/(2*N21)</f>
        <v>0.91335533472053532</v>
      </c>
      <c r="W21" s="20">
        <f ca="1">SQRT(H21/(0.5*F21*D21*V21))</f>
        <v>29.332230531177149</v>
      </c>
      <c r="X21" s="13">
        <f ca="1">'Aerodynamics-RCmax'!H21</f>
        <v>29.912886947178414</v>
      </c>
      <c r="Y21" s="33"/>
      <c r="Z21" s="19">
        <f ca="1">'Propulsion-RCmax'!S21</f>
        <v>163.43103094613951</v>
      </c>
      <c r="AA21" s="42"/>
      <c r="AB21" s="13">
        <f t="shared" ref="AB21:AB40" ca="1" si="4">(Z21-S21)/H21</f>
        <v>-0.91822257240729355</v>
      </c>
      <c r="AC21" s="1">
        <f ca="1">(AB21-$B$8)/$B$8</f>
        <v>-2.8364451448145873</v>
      </c>
      <c r="AD21" s="57" t="str">
        <f ca="1">IF(AB21&gt;$B$8,"OK","reduce payload weight")</f>
        <v>reduce payload weight</v>
      </c>
      <c r="AE21" s="20">
        <f ca="1">DEGREES(ASIN(AB21/X21))</f>
        <v>-1.7590593614817724</v>
      </c>
      <c r="AF21" s="16"/>
      <c r="AG21" s="16"/>
      <c r="AH21" s="42"/>
      <c r="AI21" s="42"/>
      <c r="AJ21" s="42"/>
      <c r="AK21" s="16"/>
      <c r="AL21" s="16"/>
      <c r="AM21" s="16"/>
      <c r="AN21" s="16"/>
      <c r="AO21" s="42"/>
      <c r="AP21" s="42"/>
      <c r="AQ21" s="42"/>
      <c r="AR21" s="16"/>
      <c r="AS21" s="16"/>
      <c r="AT21" s="42"/>
      <c r="AU21" s="42"/>
      <c r="AV21" s="16"/>
      <c r="AW21" s="42"/>
      <c r="AX21" s="42"/>
      <c r="AY21" s="42"/>
      <c r="AZ21" s="20"/>
      <c r="BA21" s="20"/>
      <c r="BB21" s="20"/>
      <c r="BC21" s="19"/>
      <c r="BD21" s="6"/>
      <c r="BE21" s="6"/>
      <c r="BF21" s="16"/>
      <c r="BG21" s="16"/>
      <c r="BH21" s="6"/>
      <c r="BI21" s="16"/>
      <c r="BJ21" s="16"/>
      <c r="BK21" s="16"/>
      <c r="BL21" s="6"/>
      <c r="BM21" s="16"/>
      <c r="BN21" s="16"/>
      <c r="BO21" s="16"/>
    </row>
    <row r="22" spans="2:67">
      <c r="B22" s="31">
        <f>Main!C22</f>
        <v>1.5789473684210527</v>
      </c>
      <c r="C22" s="31">
        <f>Main!B22</f>
        <v>0.33333333333333326</v>
      </c>
      <c r="D22" s="1">
        <f t="shared" si="0"/>
        <v>0.52631578947368407</v>
      </c>
      <c r="F22" s="1">
        <f t="shared" si="1"/>
        <v>0.65969672852566186</v>
      </c>
      <c r="H22" s="62">
        <f ca="1">Main!AC22</f>
        <v>131.99424477474008</v>
      </c>
      <c r="J22" s="16">
        <f ca="1">'Aerodynamics-RCmax'!AG22</f>
        <v>1.4274792472156521</v>
      </c>
      <c r="K22" s="16">
        <f ca="1">'Aerodynamics-RCmax'!BE22</f>
        <v>0.87834283269545022</v>
      </c>
      <c r="L22" s="42">
        <f ca="1">'Aerodynamics-RCmax'!BF22</f>
        <v>1.6874343576777182E-2</v>
      </c>
      <c r="M22" s="84">
        <v>0</v>
      </c>
      <c r="N22" s="42">
        <f t="shared" ref="N22:N40" ca="1" si="5">(O22-L22)/K22^2</f>
        <v>5.8313978949731816E-2</v>
      </c>
      <c r="O22" s="10">
        <f ca="1">'Aerodynamics-RCmax'!BH22</f>
        <v>6.1862769623435787E-2</v>
      </c>
      <c r="P22" s="13">
        <f t="shared" ref="P22:P40" ca="1" si="6">0.5*F22*X22^2*D22*K22</f>
        <v>131.99424477497124</v>
      </c>
      <c r="Q22" s="13">
        <f t="shared" ref="Q22:Q40" ca="1" si="7">0.5*F22*X22^2*D22*O22</f>
        <v>9.2965175466567391</v>
      </c>
      <c r="R22" s="16">
        <f t="shared" ca="1" si="2"/>
        <v>14.198246183318362</v>
      </c>
      <c r="S22" s="14">
        <f t="shared" ca="1" si="3"/>
        <v>273.51767320306885</v>
      </c>
      <c r="U22" s="20">
        <f t="shared" ref="U22:U40" ca="1" si="8">SQRT(H22/(0.5*F22*D22*J22))</f>
        <v>23.078747160509572</v>
      </c>
      <c r="V22" s="1">
        <f t="shared" ref="V22:V40" ca="1" si="9">(-M22+SQRT(M22^2+12*N22*L22))/(2*N22)</f>
        <v>0.93172496700612595</v>
      </c>
      <c r="W22" s="20">
        <f t="shared" ref="W22:W40" ca="1" si="10">SQRT(H22/(0.5*F22*D22*V22))</f>
        <v>28.566252077792274</v>
      </c>
      <c r="X22" s="13">
        <f ca="1">'Aerodynamics-RCmax'!H22</f>
        <v>29.421519599165652</v>
      </c>
      <c r="Y22" s="33"/>
      <c r="Z22" s="19">
        <f ca="1">'Propulsion-RCmax'!S22</f>
        <v>168.5019244182931</v>
      </c>
      <c r="AA22" s="42"/>
      <c r="AB22" s="13">
        <f t="shared" ca="1" si="4"/>
        <v>-0.79560854311484919</v>
      </c>
      <c r="AC22" s="1">
        <f t="shared" ref="AC22:AC40" ca="1" si="11">(AB22-$B$8)/$B$8</f>
        <v>-2.5912170862296984</v>
      </c>
      <c r="AD22" s="57" t="str">
        <f t="shared" ref="AD22:AD40" ca="1" si="12">IF(AB22&gt;$B$8,"OK","reduce payload weight")</f>
        <v>reduce payload weight</v>
      </c>
      <c r="AE22" s="20">
        <f t="shared" ref="AE22:AE40" ca="1" si="13">DEGREES(ASIN(AB22/X22))</f>
        <v>-1.5495654141665431</v>
      </c>
      <c r="AF22" s="16"/>
      <c r="AG22" s="16"/>
      <c r="AH22" s="42"/>
      <c r="AI22" s="42"/>
      <c r="AJ22" s="42"/>
      <c r="AK22" s="16"/>
      <c r="AL22" s="16"/>
      <c r="AM22" s="16"/>
      <c r="AN22" s="16"/>
      <c r="AO22" s="42"/>
      <c r="AP22" s="42"/>
      <c r="AQ22" s="42"/>
      <c r="AR22" s="16"/>
      <c r="AS22" s="16"/>
      <c r="AT22" s="42"/>
      <c r="AU22" s="42"/>
      <c r="AV22" s="16"/>
      <c r="AW22" s="42"/>
      <c r="AX22" s="42"/>
      <c r="AY22" s="42"/>
      <c r="AZ22" s="20"/>
      <c r="BA22" s="20"/>
      <c r="BB22" s="20"/>
      <c r="BC22" s="19"/>
      <c r="BD22" s="6"/>
      <c r="BE22" s="6"/>
      <c r="BF22" s="16"/>
      <c r="BG22" s="16"/>
      <c r="BH22" s="6"/>
      <c r="BI22" s="16"/>
      <c r="BJ22" s="16"/>
      <c r="BK22" s="16"/>
      <c r="BL22" s="6"/>
      <c r="BM22" s="16"/>
      <c r="BN22" s="16"/>
      <c r="BO22" s="16"/>
    </row>
    <row r="23" spans="2:67">
      <c r="B23" s="31">
        <f>Main!C23</f>
        <v>1.6578947368421053</v>
      </c>
      <c r="C23" s="31">
        <f>Main!B23</f>
        <v>0.33333333333333326</v>
      </c>
      <c r="D23" s="1">
        <f t="shared" si="0"/>
        <v>0.55263157894736836</v>
      </c>
      <c r="F23" s="1">
        <f t="shared" si="1"/>
        <v>0.65969672852566186</v>
      </c>
      <c r="H23" s="62">
        <f ca="1">Main!AC23</f>
        <v>134.24051129311465</v>
      </c>
      <c r="J23" s="16">
        <f ca="1">'Aerodynamics-RCmax'!AG23</f>
        <v>1.4271616137554182</v>
      </c>
      <c r="K23" s="16">
        <f ca="1">'Aerodynamics-RCmax'!BE23</f>
        <v>0.87843184395141705</v>
      </c>
      <c r="L23" s="42">
        <f ca="1">'Aerodynamics-RCmax'!BF23</f>
        <v>1.6810232669961865E-2</v>
      </c>
      <c r="M23" s="84">
        <v>0</v>
      </c>
      <c r="N23" s="42">
        <f t="shared" ca="1" si="5"/>
        <v>5.5907560763601011E-2</v>
      </c>
      <c r="O23" s="10">
        <f ca="1">'Aerodynamics-RCmax'!BH23</f>
        <v>5.9950882876200269E-2</v>
      </c>
      <c r="P23" s="13">
        <f t="shared" ca="1" si="6"/>
        <v>134.24051129338261</v>
      </c>
      <c r="Q23" s="13">
        <f t="shared" ca="1" si="7"/>
        <v>9.1615954330498024</v>
      </c>
      <c r="R23" s="16">
        <f t="shared" ca="1" si="2"/>
        <v>14.65252556439237</v>
      </c>
      <c r="S23" s="14">
        <f t="shared" ca="1" si="3"/>
        <v>265.26738537498977</v>
      </c>
      <c r="U23" s="20">
        <f t="shared" ca="1" si="8"/>
        <v>22.715913401677582</v>
      </c>
      <c r="V23" s="1">
        <f t="shared" ca="1" si="9"/>
        <v>0.94975637512692745</v>
      </c>
      <c r="W23" s="20">
        <f t="shared" ca="1" si="10"/>
        <v>27.845862460710027</v>
      </c>
      <c r="X23" s="13">
        <f ca="1">'Aerodynamics-RCmax'!H23</f>
        <v>28.954278467473443</v>
      </c>
      <c r="Y23" s="33"/>
      <c r="Z23" s="19">
        <f ca="1">'Propulsion-RCmax'!S23</f>
        <v>173.01096984480142</v>
      </c>
      <c r="AA23" s="42"/>
      <c r="AB23" s="13">
        <f t="shared" ca="1" si="4"/>
        <v>-0.68724720012981866</v>
      </c>
      <c r="AC23" s="1">
        <f t="shared" ca="1" si="11"/>
        <v>-2.3744944002596373</v>
      </c>
      <c r="AD23" s="57" t="str">
        <f t="shared" ca="1" si="12"/>
        <v>reduce payload weight</v>
      </c>
      <c r="AE23" s="20">
        <f t="shared" ca="1" si="13"/>
        <v>-1.3600774867405165</v>
      </c>
      <c r="AF23" s="16"/>
      <c r="AG23" s="16"/>
      <c r="AH23" s="42"/>
      <c r="AI23" s="42"/>
      <c r="AJ23" s="42"/>
      <c r="AK23" s="16"/>
      <c r="AL23" s="16"/>
      <c r="AM23" s="16"/>
      <c r="AN23" s="16"/>
      <c r="AO23" s="42"/>
      <c r="AP23" s="42"/>
      <c r="AQ23" s="42"/>
      <c r="AR23" s="16"/>
      <c r="AS23" s="16"/>
      <c r="AT23" s="42"/>
      <c r="AU23" s="42"/>
      <c r="AV23" s="16"/>
      <c r="AW23" s="42"/>
      <c r="AX23" s="42"/>
      <c r="AY23" s="42"/>
      <c r="AZ23" s="20"/>
      <c r="BA23" s="20"/>
      <c r="BB23" s="20"/>
      <c r="BC23" s="19"/>
      <c r="BD23" s="6"/>
      <c r="BE23" s="6"/>
      <c r="BF23" s="16"/>
      <c r="BG23" s="16"/>
      <c r="BH23" s="6"/>
      <c r="BI23" s="16"/>
      <c r="BJ23" s="16"/>
      <c r="BK23" s="16"/>
      <c r="BL23" s="6"/>
      <c r="BM23" s="16"/>
      <c r="BN23" s="16"/>
      <c r="BO23" s="16"/>
    </row>
    <row r="24" spans="2:67">
      <c r="B24" s="31">
        <f>Main!C24</f>
        <v>1.736842105263158</v>
      </c>
      <c r="C24" s="31">
        <f>Main!B24</f>
        <v>0.33333333333333326</v>
      </c>
      <c r="D24" s="1">
        <f t="shared" si="0"/>
        <v>0.57894736842105254</v>
      </c>
      <c r="F24" s="1">
        <f t="shared" si="1"/>
        <v>0.65969672852566186</v>
      </c>
      <c r="H24" s="62">
        <f ca="1">Main!AC24</f>
        <v>126.40792205792529</v>
      </c>
      <c r="J24" s="16">
        <f ca="1">'Aerodynamics-RCmax'!AG24</f>
        <v>1.4261032983164139</v>
      </c>
      <c r="K24" s="16">
        <f ca="1">'Aerodynamics-RCmax'!BE24</f>
        <v>0.87850954680811844</v>
      </c>
      <c r="L24" s="42">
        <f ca="1">'Aerodynamics-RCmax'!BF24</f>
        <v>1.7071916482349646E-2</v>
      </c>
      <c r="M24" s="84">
        <v>0</v>
      </c>
      <c r="N24" s="42">
        <f t="shared" ca="1" si="5"/>
        <v>5.3708057995449844E-2</v>
      </c>
      <c r="O24" s="10">
        <f ca="1">'Aerodynamics-RCmax'!BH24</f>
        <v>5.8522669053930769E-2</v>
      </c>
      <c r="P24" s="13">
        <f t="shared" ca="1" si="6"/>
        <v>126.40792205825834</v>
      </c>
      <c r="Q24" s="13">
        <f t="shared" ca="1" si="7"/>
        <v>8.4207724495295881</v>
      </c>
      <c r="R24" s="16">
        <f t="shared" ca="1" si="2"/>
        <v>15.011440199327545</v>
      </c>
      <c r="S24" s="14">
        <f t="shared" ca="1" si="3"/>
        <v>231.14746015564188</v>
      </c>
      <c r="U24" s="20">
        <f t="shared" ca="1" si="8"/>
        <v>21.544426827337173</v>
      </c>
      <c r="V24" s="1">
        <f t="shared" ca="1" si="9"/>
        <v>0.9765220215068392</v>
      </c>
      <c r="W24" s="20">
        <f t="shared" ca="1" si="10"/>
        <v>26.03570942707557</v>
      </c>
      <c r="X24" s="13">
        <f ca="1">'Aerodynamics-RCmax'!H24</f>
        <v>27.44967418854808</v>
      </c>
      <c r="Y24" s="33"/>
      <c r="Z24" s="19">
        <f ca="1">'Propulsion-RCmax'!S24</f>
        <v>185.529432411637</v>
      </c>
      <c r="AA24" s="42"/>
      <c r="AB24" s="13">
        <f t="shared" ca="1" si="4"/>
        <v>-0.36087950028243349</v>
      </c>
      <c r="AC24" s="1">
        <f t="shared" ca="1" si="11"/>
        <v>-1.7217590005648669</v>
      </c>
      <c r="AD24" s="57" t="str">
        <f t="shared" ca="1" si="12"/>
        <v>reduce payload weight</v>
      </c>
      <c r="AE24" s="20">
        <f t="shared" ca="1" si="13"/>
        <v>-0.75328646245381337</v>
      </c>
      <c r="AF24" s="16"/>
      <c r="AG24" s="16"/>
      <c r="AH24" s="42"/>
      <c r="AI24" s="42"/>
      <c r="AJ24" s="42"/>
      <c r="AK24" s="16"/>
      <c r="AL24" s="16"/>
      <c r="AM24" s="16"/>
      <c r="AN24" s="16"/>
      <c r="AO24" s="42"/>
      <c r="AP24" s="42"/>
      <c r="AQ24" s="42"/>
      <c r="AR24" s="16"/>
      <c r="AS24" s="16"/>
      <c r="AT24" s="42"/>
      <c r="AU24" s="42"/>
      <c r="AV24" s="16"/>
      <c r="AW24" s="42"/>
      <c r="AX24" s="42"/>
      <c r="AY24" s="42"/>
      <c r="AZ24" s="20"/>
      <c r="BA24" s="20"/>
      <c r="BB24" s="20"/>
      <c r="BC24" s="19"/>
      <c r="BD24" s="6"/>
      <c r="BE24" s="6"/>
      <c r="BF24" s="16"/>
      <c r="BG24" s="16"/>
      <c r="BH24" s="6"/>
      <c r="BI24" s="16"/>
      <c r="BJ24" s="16"/>
      <c r="BK24" s="16"/>
      <c r="BL24" s="6"/>
      <c r="BM24" s="16"/>
      <c r="BN24" s="16"/>
      <c r="BO24" s="16"/>
    </row>
    <row r="25" spans="2:67">
      <c r="B25" s="31">
        <f>Main!C25</f>
        <v>1.8157894736842106</v>
      </c>
      <c r="C25" s="31">
        <f>Main!B25</f>
        <v>0.33333333333333326</v>
      </c>
      <c r="D25" s="1">
        <f t="shared" si="0"/>
        <v>0.60526315789473673</v>
      </c>
      <c r="F25" s="1">
        <f t="shared" si="1"/>
        <v>0.65969672852566186</v>
      </c>
      <c r="H25" s="62">
        <f ca="1">Main!AC25</f>
        <v>128.23739388388455</v>
      </c>
      <c r="J25" s="16">
        <f ca="1">'Aerodynamics-RCmax'!AG25</f>
        <v>1.425804367798865</v>
      </c>
      <c r="K25" s="16">
        <f ca="1">'Aerodynamics-RCmax'!BE25</f>
        <v>0.87857780875796665</v>
      </c>
      <c r="L25" s="42">
        <f ca="1">'Aerodynamics-RCmax'!BF25</f>
        <v>1.7035882380660582E-2</v>
      </c>
      <c r="M25" s="84">
        <v>0</v>
      </c>
      <c r="N25" s="42">
        <f t="shared" ca="1" si="5"/>
        <v>5.1708058853386717E-2</v>
      </c>
      <c r="O25" s="10">
        <f ca="1">'Aerodynamics-RCmax'!BH25</f>
        <v>5.6949279545508144E-2</v>
      </c>
      <c r="P25" s="13">
        <f t="shared" ca="1" si="6"/>
        <v>128.23739388425938</v>
      </c>
      <c r="Q25" s="13">
        <f t="shared" ca="1" si="7"/>
        <v>8.3123283102566781</v>
      </c>
      <c r="R25" s="16">
        <f t="shared" ca="1" si="2"/>
        <v>15.427373546594133</v>
      </c>
      <c r="S25" s="14">
        <f t="shared" ca="1" si="3"/>
        <v>224.75565515890833</v>
      </c>
      <c r="U25" s="20">
        <f t="shared" ca="1" si="8"/>
        <v>21.225018832730118</v>
      </c>
      <c r="V25" s="1">
        <f t="shared" ca="1" si="9"/>
        <v>0.99417726319230904</v>
      </c>
      <c r="W25" s="20">
        <f t="shared" ca="1" si="10"/>
        <v>25.41827894103594</v>
      </c>
      <c r="X25" s="13">
        <f ca="1">'Aerodynamics-RCmax'!H25</f>
        <v>27.038832775819852</v>
      </c>
      <c r="Y25" s="33"/>
      <c r="Z25" s="19">
        <f ca="1">'Propulsion-RCmax'!S25</f>
        <v>188.43838770666932</v>
      </c>
      <c r="AA25" s="42"/>
      <c r="AB25" s="13">
        <f t="shared" ca="1" si="4"/>
        <v>-0.28320341167509455</v>
      </c>
      <c r="AC25" s="1">
        <f t="shared" ca="1" si="11"/>
        <v>-1.5664068233501891</v>
      </c>
      <c r="AD25" s="57" t="str">
        <f t="shared" ca="1" si="12"/>
        <v>reduce payload weight</v>
      </c>
      <c r="AE25" s="20">
        <f t="shared" ca="1" si="13"/>
        <v>-0.60012416451919637</v>
      </c>
      <c r="AF25" s="16"/>
      <c r="AG25" s="16"/>
      <c r="AH25" s="42"/>
      <c r="AI25" s="42"/>
      <c r="AJ25" s="42"/>
      <c r="AK25" s="16"/>
      <c r="AL25" s="16"/>
      <c r="AM25" s="16"/>
      <c r="AN25" s="16"/>
      <c r="AO25" s="42"/>
      <c r="AP25" s="42"/>
      <c r="AQ25" s="42"/>
      <c r="AR25" s="16"/>
      <c r="AS25" s="16"/>
      <c r="AT25" s="42"/>
      <c r="AU25" s="42"/>
      <c r="AV25" s="16"/>
      <c r="AW25" s="42"/>
      <c r="AX25" s="42"/>
      <c r="AY25" s="42"/>
      <c r="AZ25" s="20"/>
      <c r="BA25" s="20"/>
      <c r="BB25" s="20"/>
      <c r="BC25" s="19"/>
      <c r="BD25" s="6"/>
      <c r="BE25" s="6"/>
      <c r="BF25" s="16"/>
      <c r="BG25" s="16"/>
      <c r="BH25" s="6"/>
      <c r="BI25" s="16"/>
      <c r="BJ25" s="16"/>
      <c r="BK25" s="16"/>
      <c r="BL25" s="6"/>
      <c r="BM25" s="16"/>
      <c r="BN25" s="16"/>
      <c r="BO25" s="16"/>
    </row>
    <row r="26" spans="2:67">
      <c r="B26" s="31">
        <f>Main!C26</f>
        <v>1.8947368421052633</v>
      </c>
      <c r="C26" s="31">
        <f>Main!B26</f>
        <v>0.33333333333333326</v>
      </c>
      <c r="D26" s="1">
        <f t="shared" si="0"/>
        <v>0.63157894736842091</v>
      </c>
      <c r="F26" s="1">
        <f t="shared" si="1"/>
        <v>0.65969672852566186</v>
      </c>
      <c r="H26" s="62">
        <f ca="1">Main!AC26</f>
        <v>129.96953292057736</v>
      </c>
      <c r="J26" s="16">
        <f ca="1">'Aerodynamics-RCmax'!AG26</f>
        <v>1.4255149032946268</v>
      </c>
      <c r="K26" s="16">
        <f ca="1">'Aerodynamics-RCmax'!BE26</f>
        <v>0.87863812429719157</v>
      </c>
      <c r="L26" s="42">
        <f ca="1">'Aerodynamics-RCmax'!BF26</f>
        <v>1.7009927806417788E-2</v>
      </c>
      <c r="M26" s="84">
        <v>0</v>
      </c>
      <c r="N26" s="42">
        <f t="shared" ca="1" si="5"/>
        <v>4.9873698192501641E-2</v>
      </c>
      <c r="O26" s="10">
        <f ca="1">'Aerodynamics-RCmax'!BH26</f>
        <v>5.5512669858699001E-2</v>
      </c>
      <c r="P26" s="13">
        <f t="shared" ca="1" si="6"/>
        <v>129.96953292099397</v>
      </c>
      <c r="Q26" s="13">
        <f t="shared" ca="1" si="7"/>
        <v>8.211521413896735</v>
      </c>
      <c r="R26" s="16">
        <f t="shared" ca="1" si="2"/>
        <v>15.827704315675359</v>
      </c>
      <c r="S26" s="14">
        <f t="shared" ca="1" si="3"/>
        <v>218.81062025609546</v>
      </c>
      <c r="U26" s="20">
        <f t="shared" ca="1" si="8"/>
        <v>20.92010732074419</v>
      </c>
      <c r="V26" s="1">
        <f t="shared" ca="1" si="9"/>
        <v>1.0115237311632845</v>
      </c>
      <c r="W26" s="20">
        <f t="shared" ca="1" si="10"/>
        <v>24.834862001598157</v>
      </c>
      <c r="X26" s="13">
        <f ca="1">'Aerodynamics-RCmax'!H26</f>
        <v>26.646781908845327</v>
      </c>
      <c r="Y26" s="33"/>
      <c r="Z26" s="19">
        <f ca="1">'Propulsion-RCmax'!S26</f>
        <v>191.01948909526996</v>
      </c>
      <c r="AA26" s="42"/>
      <c r="AB26" s="13">
        <f t="shared" ca="1" si="4"/>
        <v>-0.21382804520662768</v>
      </c>
      <c r="AC26" s="1">
        <f t="shared" ca="1" si="11"/>
        <v>-1.4276560904132554</v>
      </c>
      <c r="AD26" s="57" t="str">
        <f t="shared" ca="1" si="12"/>
        <v>reduce payload weight</v>
      </c>
      <c r="AE26" s="20">
        <f t="shared" ca="1" si="13"/>
        <v>-0.45977694651768369</v>
      </c>
      <c r="AF26" s="16"/>
      <c r="AG26" s="16"/>
      <c r="AH26" s="42"/>
      <c r="AI26" s="42"/>
      <c r="AJ26" s="42"/>
      <c r="AK26" s="16"/>
      <c r="AL26" s="16"/>
      <c r="AM26" s="16"/>
      <c r="AN26" s="16"/>
      <c r="AO26" s="42"/>
      <c r="AP26" s="42"/>
      <c r="AQ26" s="42"/>
      <c r="AR26" s="16"/>
      <c r="AS26" s="16"/>
      <c r="AT26" s="42"/>
      <c r="AU26" s="42"/>
      <c r="AV26" s="16"/>
      <c r="AW26" s="42"/>
      <c r="AX26" s="42"/>
      <c r="AY26" s="42"/>
      <c r="AZ26" s="20"/>
      <c r="BA26" s="20"/>
      <c r="BB26" s="20"/>
      <c r="BC26" s="19"/>
      <c r="BD26" s="6"/>
      <c r="BE26" s="6"/>
      <c r="BF26" s="16"/>
      <c r="BG26" s="16"/>
      <c r="BH26" s="6"/>
      <c r="BI26" s="16"/>
      <c r="BJ26" s="16"/>
      <c r="BK26" s="16"/>
      <c r="BL26" s="6"/>
      <c r="BM26" s="16"/>
      <c r="BN26" s="16"/>
      <c r="BO26" s="16"/>
    </row>
    <row r="27" spans="2:67">
      <c r="B27" s="31">
        <f>Main!C27</f>
        <v>1.9736842105263159</v>
      </c>
      <c r="C27" s="31">
        <f>Main!B27</f>
        <v>0.33333333333333326</v>
      </c>
      <c r="D27" s="1">
        <f t="shared" si="0"/>
        <v>0.6578947368421052</v>
      </c>
      <c r="F27" s="1">
        <f t="shared" si="1"/>
        <v>0.65969672852566186</v>
      </c>
      <c r="H27" s="62">
        <f ca="1">Main!AC27</f>
        <v>131.61371211431475</v>
      </c>
      <c r="J27" s="16">
        <f ca="1">'Aerodynamics-RCmax'!AG27</f>
        <v>1.4252344089486764</v>
      </c>
      <c r="K27" s="16">
        <f ca="1">'Aerodynamics-RCmax'!BE27</f>
        <v>0.87869170121049833</v>
      </c>
      <c r="L27" s="42">
        <f ca="1">'Aerodynamics-RCmax'!BF27</f>
        <v>1.6992685606529324E-2</v>
      </c>
      <c r="M27" s="84">
        <v>0</v>
      </c>
      <c r="N27" s="42">
        <f t="shared" ca="1" si="5"/>
        <v>4.8185272421640037E-2</v>
      </c>
      <c r="O27" s="10">
        <f ca="1">'Aerodynamics-RCmax'!BH27</f>
        <v>5.4196491354731327E-2</v>
      </c>
      <c r="P27" s="13">
        <f t="shared" ca="1" si="6"/>
        <v>131.61371211476813</v>
      </c>
      <c r="Q27" s="13">
        <f t="shared" ca="1" si="7"/>
        <v>8.1177521091477285</v>
      </c>
      <c r="R27" s="16">
        <f t="shared" ca="1" si="2"/>
        <v>16.21307356336434</v>
      </c>
      <c r="S27" s="14">
        <f t="shared" ca="1" si="3"/>
        <v>213.27144851133255</v>
      </c>
      <c r="U27" s="20">
        <f t="shared" ca="1" si="8"/>
        <v>20.62870885214592</v>
      </c>
      <c r="V27" s="1">
        <f t="shared" ca="1" si="9"/>
        <v>1.0285714824767027</v>
      </c>
      <c r="W27" s="20">
        <f t="shared" ca="1" si="10"/>
        <v>24.282754896132065</v>
      </c>
      <c r="X27" s="13">
        <f ca="1">'Aerodynamics-RCmax'!H27</f>
        <v>26.272229755675468</v>
      </c>
      <c r="Y27" s="33"/>
      <c r="Z27" s="19">
        <f ca="1">'Propulsion-RCmax'!S27</f>
        <v>193.31184779494663</v>
      </c>
      <c r="AA27" s="42"/>
      <c r="AB27" s="13">
        <f t="shared" ca="1" si="4"/>
        <v>-0.15165289691889974</v>
      </c>
      <c r="AC27" s="1">
        <f t="shared" ca="1" si="11"/>
        <v>-1.3033057938377994</v>
      </c>
      <c r="AD27" s="57" t="str">
        <f t="shared" ca="1" si="12"/>
        <v>reduce payload weight</v>
      </c>
      <c r="AE27" s="20">
        <f t="shared" ca="1" si="13"/>
        <v>-0.33073398335456849</v>
      </c>
      <c r="AF27" s="16"/>
      <c r="AG27" s="16"/>
      <c r="AH27" s="42"/>
      <c r="AI27" s="42"/>
      <c r="AJ27" s="42"/>
      <c r="AK27" s="16"/>
      <c r="AL27" s="16"/>
      <c r="AM27" s="16"/>
      <c r="AN27" s="16"/>
      <c r="AO27" s="42"/>
      <c r="AP27" s="42"/>
      <c r="AQ27" s="42"/>
      <c r="AR27" s="16"/>
      <c r="AS27" s="16"/>
      <c r="AT27" s="42"/>
      <c r="AU27" s="42"/>
      <c r="AV27" s="16"/>
      <c r="AW27" s="42"/>
      <c r="AX27" s="42"/>
      <c r="AY27" s="42"/>
      <c r="AZ27" s="20"/>
      <c r="BA27" s="20"/>
      <c r="BB27" s="20"/>
      <c r="BC27" s="19"/>
      <c r="BD27" s="6"/>
      <c r="BE27" s="6"/>
      <c r="BF27" s="16"/>
      <c r="BG27" s="16"/>
      <c r="BH27" s="6"/>
      <c r="BI27" s="16"/>
      <c r="BJ27" s="16"/>
      <c r="BK27" s="16"/>
      <c r="BL27" s="6"/>
      <c r="BM27" s="16"/>
      <c r="BN27" s="16"/>
      <c r="BO27" s="16"/>
    </row>
    <row r="28" spans="2:67">
      <c r="B28" s="31">
        <f>Main!C28</f>
        <v>2.0526315789473686</v>
      </c>
      <c r="C28" s="31">
        <f>Main!B28</f>
        <v>0.33333333333333326</v>
      </c>
      <c r="D28" s="1">
        <f t="shared" si="0"/>
        <v>0.68421052631578938</v>
      </c>
      <c r="F28" s="1">
        <f t="shared" si="1"/>
        <v>0.65969672852566186</v>
      </c>
      <c r="H28" s="62">
        <f ca="1">Main!AC28</f>
        <v>132.52501256805863</v>
      </c>
      <c r="J28" s="16">
        <f ca="1">'Aerodynamics-RCmax'!AG28</f>
        <v>1.424913727580472</v>
      </c>
      <c r="K28" s="16">
        <f ca="1">'Aerodynamics-RCmax'!BE28</f>
        <v>0.87873952438711112</v>
      </c>
      <c r="L28" s="42">
        <f ca="1">'Aerodynamics-RCmax'!BF28</f>
        <v>1.7004049674992659E-2</v>
      </c>
      <c r="M28" s="84">
        <v>0</v>
      </c>
      <c r="N28" s="42">
        <f t="shared" ca="1" si="5"/>
        <v>4.6625477762803985E-2</v>
      </c>
      <c r="O28" s="10">
        <f ca="1">'Aerodynamics-RCmax'!BH28</f>
        <v>5.3007458044219843E-2</v>
      </c>
      <c r="P28" s="13">
        <f t="shared" ca="1" si="6"/>
        <v>132.52501256992099</v>
      </c>
      <c r="Q28" s="13">
        <f t="shared" ca="1" si="7"/>
        <v>7.9941937839991288</v>
      </c>
      <c r="R28" s="16">
        <f t="shared" ca="1" si="2"/>
        <v>16.577658254316773</v>
      </c>
      <c r="S28" s="14">
        <f t="shared" ca="1" si="3"/>
        <v>206.65288621711923</v>
      </c>
      <c r="U28" s="20">
        <f t="shared" ca="1" si="8"/>
        <v>20.30030667277768</v>
      </c>
      <c r="V28" s="1">
        <f t="shared" ca="1" si="9"/>
        <v>1.0459842915049298</v>
      </c>
      <c r="W28" s="20">
        <f t="shared" ca="1" si="10"/>
        <v>23.693777335019359</v>
      </c>
      <c r="X28" s="13">
        <f ca="1">'Aerodynamics-RCmax'!H28</f>
        <v>25.850372382768445</v>
      </c>
      <c r="Y28" s="33"/>
      <c r="Z28" s="19">
        <f ca="1">'Propulsion-RCmax'!S28</f>
        <v>195.69543950631629</v>
      </c>
      <c r="AA28" s="42"/>
      <c r="AB28" s="13">
        <f t="shared" ca="1" si="4"/>
        <v>-8.2682102785507833E-2</v>
      </c>
      <c r="AC28" s="1">
        <f t="shared" ca="1" si="11"/>
        <v>-1.1653642055710156</v>
      </c>
      <c r="AD28" s="57" t="str">
        <f t="shared" ca="1" si="12"/>
        <v>reduce payload weight</v>
      </c>
      <c r="AE28" s="20">
        <f t="shared" ca="1" si="13"/>
        <v>-0.18326016887420077</v>
      </c>
      <c r="AF28" s="16"/>
      <c r="AG28" s="16"/>
      <c r="AH28" s="42"/>
      <c r="AI28" s="42"/>
      <c r="AJ28" s="42"/>
      <c r="AK28" s="16"/>
      <c r="AL28" s="16"/>
      <c r="AM28" s="16"/>
      <c r="AN28" s="16"/>
      <c r="AO28" s="42"/>
      <c r="AP28" s="42"/>
      <c r="AQ28" s="42"/>
      <c r="AR28" s="16"/>
      <c r="AS28" s="16"/>
      <c r="AT28" s="42"/>
      <c r="AU28" s="42"/>
      <c r="AV28" s="16"/>
      <c r="AW28" s="42"/>
      <c r="AX28" s="42"/>
      <c r="AY28" s="42"/>
      <c r="AZ28" s="20"/>
      <c r="BA28" s="20"/>
      <c r="BB28" s="20"/>
      <c r="BC28" s="19"/>
      <c r="BD28" s="6"/>
      <c r="BE28" s="6"/>
      <c r="BF28" s="16"/>
      <c r="BG28" s="16"/>
      <c r="BH28" s="6"/>
      <c r="BI28" s="16"/>
      <c r="BJ28" s="16"/>
      <c r="BK28" s="16"/>
      <c r="BL28" s="6"/>
      <c r="BM28" s="16"/>
      <c r="BN28" s="16"/>
      <c r="BO28" s="16"/>
    </row>
    <row r="29" spans="2:67">
      <c r="B29" s="31">
        <f>Main!C29</f>
        <v>2.1315789473684212</v>
      </c>
      <c r="C29" s="31">
        <f>Main!B29</f>
        <v>0.33333333333333326</v>
      </c>
      <c r="D29" s="1">
        <f t="shared" si="0"/>
        <v>0.71052631578947356</v>
      </c>
      <c r="F29" s="1">
        <f t="shared" si="1"/>
        <v>0.65969672852566186</v>
      </c>
      <c r="H29" s="62">
        <f ca="1">Main!AC29</f>
        <v>132.22241873545346</v>
      </c>
      <c r="J29" s="16">
        <f ca="1">'Aerodynamics-RCmax'!AG29</f>
        <v>1.424516875005178</v>
      </c>
      <c r="K29" s="16">
        <f ca="1">'Aerodynamics-RCmax'!BE29</f>
        <v>0.87878240362282123</v>
      </c>
      <c r="L29" s="42">
        <f ca="1">'Aerodynamics-RCmax'!BF29</f>
        <v>1.7059095719675205E-2</v>
      </c>
      <c r="M29" s="84">
        <v>0</v>
      </c>
      <c r="N29" s="42">
        <f t="shared" ca="1" si="5"/>
        <v>4.5179677180986998E-2</v>
      </c>
      <c r="O29" s="10">
        <f ca="1">'Aerodynamics-RCmax'!BH29</f>
        <v>5.1949486033435355E-2</v>
      </c>
      <c r="P29" s="13">
        <f t="shared" ca="1" si="6"/>
        <v>132.22241873736857</v>
      </c>
      <c r="Q29" s="13">
        <f t="shared" ca="1" si="7"/>
        <v>7.8163680419483423</v>
      </c>
      <c r="R29" s="16">
        <f t="shared" ca="1" si="2"/>
        <v>16.916094281610903</v>
      </c>
      <c r="S29" s="14">
        <f t="shared" ca="1" si="3"/>
        <v>198.0476173375134</v>
      </c>
      <c r="U29" s="20">
        <f t="shared" ca="1" si="8"/>
        <v>19.900844140797322</v>
      </c>
      <c r="V29" s="1">
        <f t="shared" ca="1" si="9"/>
        <v>1.0643073678961783</v>
      </c>
      <c r="W29" s="20">
        <f t="shared" ca="1" si="10"/>
        <v>23.023522164751075</v>
      </c>
      <c r="X29" s="13">
        <f ca="1">'Aerodynamics-RCmax'!H29</f>
        <v>25.337550160627696</v>
      </c>
      <c r="Y29" s="33"/>
      <c r="Z29" s="19">
        <f ca="1">'Propulsion-RCmax'!S29</f>
        <v>198.31723912178319</v>
      </c>
      <c r="AA29" s="42"/>
      <c r="AB29" s="13">
        <f t="shared" ca="1" si="4"/>
        <v>2.0391533209601818E-3</v>
      </c>
      <c r="AC29" s="1">
        <f t="shared" ca="1" si="11"/>
        <v>-0.99592169335807967</v>
      </c>
      <c r="AD29" s="57" t="str">
        <f t="shared" ca="1" si="12"/>
        <v>reduce payload weight</v>
      </c>
      <c r="AE29" s="20">
        <f t="shared" ca="1" si="13"/>
        <v>4.6111355855854392E-3</v>
      </c>
      <c r="AF29" s="16"/>
      <c r="AG29" s="16"/>
      <c r="AH29" s="42"/>
      <c r="AI29" s="42"/>
      <c r="AJ29" s="42"/>
      <c r="AK29" s="16"/>
      <c r="AL29" s="16"/>
      <c r="AM29" s="16"/>
      <c r="AN29" s="16"/>
      <c r="AO29" s="42"/>
      <c r="AP29" s="42"/>
      <c r="AQ29" s="42"/>
      <c r="AR29" s="16"/>
      <c r="AS29" s="16"/>
      <c r="AT29" s="42"/>
      <c r="AU29" s="42"/>
      <c r="AV29" s="16"/>
      <c r="AW29" s="42"/>
      <c r="AX29" s="42"/>
      <c r="AY29" s="42"/>
      <c r="AZ29" s="20"/>
      <c r="BA29" s="20"/>
      <c r="BB29" s="20"/>
      <c r="BC29" s="19"/>
      <c r="BD29" s="6"/>
      <c r="BE29" s="6"/>
      <c r="BF29" s="16"/>
      <c r="BG29" s="16"/>
      <c r="BH29" s="6"/>
      <c r="BI29" s="16"/>
      <c r="BJ29" s="16"/>
      <c r="BK29" s="16"/>
      <c r="BL29" s="6"/>
      <c r="BM29" s="16"/>
      <c r="BN29" s="16"/>
      <c r="BO29" s="16"/>
    </row>
    <row r="30" spans="2:67">
      <c r="B30" s="31">
        <f>Main!C30</f>
        <v>2.2105263157894739</v>
      </c>
      <c r="C30" s="31">
        <f>Main!B30</f>
        <v>0.33333333333333326</v>
      </c>
      <c r="D30" s="1">
        <f t="shared" si="0"/>
        <v>0.73684210526315785</v>
      </c>
      <c r="F30" s="1">
        <f t="shared" si="1"/>
        <v>0.65969672852566186</v>
      </c>
      <c r="H30" s="62">
        <f ca="1">Main!AC30</f>
        <v>131.99460630452538</v>
      </c>
      <c r="J30" s="16">
        <f ca="1">'Aerodynamics-RCmax'!AG30</f>
        <v>1.4241393266801281</v>
      </c>
      <c r="K30" s="16">
        <f ca="1">'Aerodynamics-RCmax'!BE30</f>
        <v>0.8788210098475151</v>
      </c>
      <c r="L30" s="42">
        <f ca="1">'Aerodynamics-RCmax'!BF30</f>
        <v>1.7115769473716833E-2</v>
      </c>
      <c r="M30" s="84">
        <v>0</v>
      </c>
      <c r="N30" s="42">
        <f t="shared" ca="1" si="5"/>
        <v>4.3836896935908677E-2</v>
      </c>
      <c r="O30" s="10">
        <f ca="1">'Aerodynamics-RCmax'!BH30</f>
        <v>5.0972160839999829E-2</v>
      </c>
      <c r="P30" s="13">
        <f t="shared" ca="1" si="6"/>
        <v>131.99460630649111</v>
      </c>
      <c r="Q30" s="13">
        <f t="shared" ca="1" si="7"/>
        <v>7.6557686118977841</v>
      </c>
      <c r="R30" s="16">
        <f t="shared" ca="1" si="2"/>
        <v>17.241195887419988</v>
      </c>
      <c r="S30" s="14">
        <f t="shared" ca="1" si="3"/>
        <v>190.31468090274092</v>
      </c>
      <c r="U30" s="20">
        <f t="shared" ca="1" si="8"/>
        <v>19.527986586003195</v>
      </c>
      <c r="V30" s="1">
        <f t="shared" ca="1" si="9"/>
        <v>1.082278271673113</v>
      </c>
      <c r="W30" s="20">
        <f t="shared" ca="1" si="10"/>
        <v>22.400836594688489</v>
      </c>
      <c r="X30" s="13">
        <f ca="1">'Aerodynamics-RCmax'!H30</f>
        <v>24.858990723186523</v>
      </c>
      <c r="Y30" s="33"/>
      <c r="Z30" s="19">
        <f ca="1">'Propulsion-RCmax'!S30</f>
        <v>200.49798635968148</v>
      </c>
      <c r="AA30" s="42"/>
      <c r="AB30" s="13">
        <f t="shared" ca="1" si="4"/>
        <v>7.7149405888954331E-2</v>
      </c>
      <c r="AC30" s="1">
        <f t="shared" ca="1" si="11"/>
        <v>-0.84570118822209128</v>
      </c>
      <c r="AD30" s="57" t="str">
        <f t="shared" ca="1" si="12"/>
        <v>reduce payload weight</v>
      </c>
      <c r="AE30" s="20">
        <f t="shared" ca="1" si="13"/>
        <v>0.17781664969606048</v>
      </c>
      <c r="AF30" s="16"/>
      <c r="AG30" s="16"/>
      <c r="AH30" s="42"/>
      <c r="AI30" s="42"/>
      <c r="AJ30" s="42"/>
      <c r="AK30" s="16"/>
      <c r="AL30" s="16"/>
      <c r="AM30" s="16"/>
      <c r="AN30" s="16"/>
      <c r="AO30" s="42"/>
      <c r="AP30" s="42"/>
      <c r="AQ30" s="42"/>
      <c r="AR30" s="16"/>
      <c r="AS30" s="16"/>
      <c r="AT30" s="42"/>
      <c r="AU30" s="42"/>
      <c r="AV30" s="16"/>
      <c r="AW30" s="42"/>
      <c r="AX30" s="42"/>
      <c r="AY30" s="42"/>
      <c r="AZ30" s="20"/>
      <c r="BA30" s="20"/>
      <c r="BB30" s="20"/>
      <c r="BC30" s="19"/>
      <c r="BD30" s="6"/>
      <c r="BE30" s="6"/>
      <c r="BF30" s="16"/>
      <c r="BG30" s="16"/>
      <c r="BH30" s="6"/>
      <c r="BI30" s="16"/>
      <c r="BJ30" s="16"/>
      <c r="BK30" s="16"/>
      <c r="BL30" s="6"/>
      <c r="BM30" s="16"/>
      <c r="BN30" s="16"/>
      <c r="BO30" s="16"/>
    </row>
    <row r="31" spans="2:67">
      <c r="B31" s="31">
        <f>Main!C31</f>
        <v>2.2894736842105265</v>
      </c>
      <c r="C31" s="31">
        <f>Main!B31</f>
        <v>0.33333333333333326</v>
      </c>
      <c r="D31" s="1">
        <f t="shared" si="0"/>
        <v>0.76315789473684204</v>
      </c>
      <c r="F31" s="1">
        <f t="shared" si="1"/>
        <v>0.65969672852566186</v>
      </c>
      <c r="H31" s="62">
        <f ca="1">Main!AC31</f>
        <v>131.83112185391033</v>
      </c>
      <c r="J31" s="16">
        <f ca="1">'Aerodynamics-RCmax'!AG31</f>
        <v>1.4237793515879102</v>
      </c>
      <c r="K31" s="16">
        <f ca="1">'Aerodynamics-RCmax'!BE31</f>
        <v>0.87885590287839077</v>
      </c>
      <c r="L31" s="42">
        <f ca="1">'Aerodynamics-RCmax'!BF31</f>
        <v>1.7173809042808422E-2</v>
      </c>
      <c r="M31" s="84">
        <v>0</v>
      </c>
      <c r="N31" s="42">
        <f t="shared" ca="1" si="5"/>
        <v>4.2586583724016282E-2</v>
      </c>
      <c r="O31" s="10">
        <f ca="1">'Aerodynamics-RCmax'!BH31</f>
        <v>5.0067162412023851E-2</v>
      </c>
      <c r="P31" s="13">
        <f t="shared" ca="1" si="6"/>
        <v>131.83112185592466</v>
      </c>
      <c r="Q31" s="13">
        <f t="shared" ca="1" si="7"/>
        <v>7.5102302519702144</v>
      </c>
      <c r="R31" s="16">
        <f t="shared" ca="1" si="2"/>
        <v>17.553539296793254</v>
      </c>
      <c r="S31" s="14">
        <f t="shared" ca="1" si="3"/>
        <v>183.33231434338589</v>
      </c>
      <c r="U31" s="20">
        <f t="shared" ca="1" si="8"/>
        <v>19.178880836676846</v>
      </c>
      <c r="V31" s="1">
        <f t="shared" ca="1" si="9"/>
        <v>1.0999109886652787</v>
      </c>
      <c r="W31" s="20">
        <f t="shared" ca="1" si="10"/>
        <v>21.82055715616351</v>
      </c>
      <c r="X31" s="13">
        <f ca="1">'Aerodynamics-RCmax'!H31</f>
        <v>24.411011139716784</v>
      </c>
      <c r="Y31" s="33"/>
      <c r="Z31" s="19">
        <f ca="1">'Propulsion-RCmax'!S31</f>
        <v>202.31243404449509</v>
      </c>
      <c r="AA31" s="42"/>
      <c r="AB31" s="13">
        <f t="shared" ca="1" si="4"/>
        <v>0.14397298175268636</v>
      </c>
      <c r="AC31" s="1">
        <f t="shared" ca="1" si="11"/>
        <v>-0.71205403649462728</v>
      </c>
      <c r="AD31" s="57" t="str">
        <f t="shared" ca="1" si="12"/>
        <v>reduce payload weight</v>
      </c>
      <c r="AE31" s="20">
        <f t="shared" ca="1" si="13"/>
        <v>0.33792504519953082</v>
      </c>
      <c r="AF31" s="16"/>
      <c r="AG31" s="16"/>
      <c r="AH31" s="42"/>
      <c r="AI31" s="42"/>
      <c r="AJ31" s="42"/>
      <c r="AK31" s="16"/>
      <c r="AL31" s="16"/>
      <c r="AM31" s="16"/>
      <c r="AN31" s="16"/>
      <c r="AO31" s="42"/>
      <c r="AP31" s="42"/>
      <c r="AQ31" s="42"/>
      <c r="AR31" s="16"/>
      <c r="AS31" s="16"/>
      <c r="AT31" s="42"/>
      <c r="AU31" s="42"/>
      <c r="AV31" s="16"/>
      <c r="AW31" s="42"/>
      <c r="AX31" s="42"/>
      <c r="AY31" s="42"/>
      <c r="AZ31" s="20"/>
      <c r="BA31" s="20"/>
      <c r="BB31" s="20"/>
      <c r="BC31" s="19"/>
      <c r="BD31" s="6"/>
      <c r="BE31" s="6"/>
      <c r="BF31" s="16"/>
      <c r="BG31" s="16"/>
      <c r="BH31" s="6"/>
      <c r="BI31" s="16"/>
      <c r="BJ31" s="16"/>
      <c r="BK31" s="16"/>
      <c r="BL31" s="6"/>
      <c r="BM31" s="16"/>
      <c r="BN31" s="16"/>
      <c r="BO31" s="16"/>
    </row>
    <row r="32" spans="2:67">
      <c r="B32" s="31">
        <f>Main!C32</f>
        <v>2.3684210526315792</v>
      </c>
      <c r="C32" s="31">
        <f>Main!B32</f>
        <v>0.33333333333333326</v>
      </c>
      <c r="D32" s="1">
        <f t="shared" si="0"/>
        <v>0.78947368421052622</v>
      </c>
      <c r="F32" s="1">
        <f t="shared" si="1"/>
        <v>0.65969672852566186</v>
      </c>
      <c r="H32" s="62">
        <f ca="1">Main!AC32</f>
        <v>131.72349764097771</v>
      </c>
      <c r="J32" s="16">
        <f ca="1">'Aerodynamics-RCmax'!AG32</f>
        <v>1.4234354566743255</v>
      </c>
      <c r="K32" s="16">
        <f ca="1">'Aerodynamics-RCmax'!BE32</f>
        <v>0.87888755289437392</v>
      </c>
      <c r="L32" s="42">
        <f ca="1">'Aerodynamics-RCmax'!BF32</f>
        <v>1.7232981452113959E-2</v>
      </c>
      <c r="M32" s="84">
        <v>0</v>
      </c>
      <c r="N32" s="42">
        <f t="shared" ca="1" si="5"/>
        <v>4.1419585281429423E-2</v>
      </c>
      <c r="O32" s="10">
        <f ca="1">'Aerodynamics-RCmax'!BH32</f>
        <v>4.9227263860238624E-2</v>
      </c>
      <c r="P32" s="13">
        <f t="shared" ca="1" si="6"/>
        <v>131.7234976430376</v>
      </c>
      <c r="Q32" s="13">
        <f t="shared" ca="1" si="7"/>
        <v>7.377948810075635</v>
      </c>
      <c r="R32" s="16">
        <f t="shared" ca="1" si="2"/>
        <v>17.853674650486933</v>
      </c>
      <c r="S32" s="14">
        <f t="shared" ca="1" si="3"/>
        <v>177.00054813777044</v>
      </c>
      <c r="U32" s="20">
        <f t="shared" ca="1" si="8"/>
        <v>18.851101889899912</v>
      </c>
      <c r="V32" s="1">
        <f t="shared" ca="1" si="9"/>
        <v>1.1172181038650417</v>
      </c>
      <c r="W32" s="20">
        <f t="shared" ca="1" si="10"/>
        <v>21.278286311905841</v>
      </c>
      <c r="X32" s="13">
        <f ca="1">'Aerodynamics-RCmax'!H32</f>
        <v>23.990482001631204</v>
      </c>
      <c r="Y32" s="33"/>
      <c r="Z32" s="19">
        <f ca="1">'Propulsion-RCmax'!S32</f>
        <v>203.82008234346006</v>
      </c>
      <c r="AA32" s="42"/>
      <c r="AB32" s="13">
        <f t="shared" ca="1" si="4"/>
        <v>0.20360478339854196</v>
      </c>
      <c r="AC32" s="1">
        <f t="shared" ca="1" si="11"/>
        <v>-0.59279043320291613</v>
      </c>
      <c r="AD32" s="57" t="str">
        <f t="shared" ca="1" si="12"/>
        <v>reduce payload weight</v>
      </c>
      <c r="AE32" s="20">
        <f t="shared" ca="1" si="13"/>
        <v>0.48626929725109419</v>
      </c>
      <c r="AF32" s="16"/>
      <c r="AG32" s="16"/>
      <c r="AH32" s="42"/>
      <c r="AI32" s="42"/>
      <c r="AJ32" s="42"/>
      <c r="AK32" s="16"/>
      <c r="AL32" s="16"/>
      <c r="AM32" s="16"/>
      <c r="AN32" s="16"/>
      <c r="AO32" s="42"/>
      <c r="AP32" s="42"/>
      <c r="AQ32" s="42"/>
      <c r="AR32" s="16"/>
      <c r="AS32" s="16"/>
      <c r="AT32" s="42"/>
      <c r="AU32" s="42"/>
      <c r="AV32" s="16"/>
      <c r="AW32" s="42"/>
      <c r="AX32" s="42"/>
      <c r="AY32" s="42"/>
      <c r="AZ32" s="20"/>
      <c r="BA32" s="20"/>
      <c r="BB32" s="20"/>
      <c r="BC32" s="19"/>
      <c r="BD32" s="6"/>
      <c r="BE32" s="6"/>
      <c r="BF32" s="16"/>
      <c r="BG32" s="16"/>
      <c r="BH32" s="6"/>
      <c r="BI32" s="16"/>
      <c r="BJ32" s="16"/>
      <c r="BK32" s="16"/>
      <c r="BL32" s="6"/>
      <c r="BM32" s="16"/>
      <c r="BN32" s="16"/>
      <c r="BO32" s="16"/>
    </row>
    <row r="33" spans="2:67">
      <c r="B33" s="31">
        <f>Main!C33</f>
        <v>2.4473684210526319</v>
      </c>
      <c r="C33" s="31">
        <f>Main!B33</f>
        <v>0.33333333333333326</v>
      </c>
      <c r="D33" s="1">
        <f t="shared" si="0"/>
        <v>0.8157894736842104</v>
      </c>
      <c r="F33" s="1">
        <f t="shared" si="1"/>
        <v>0.65969672852566186</v>
      </c>
      <c r="H33" s="62">
        <f ca="1">Main!AC33</f>
        <v>131.66480106713556</v>
      </c>
      <c r="J33" s="16">
        <f ca="1">'Aerodynamics-RCmax'!AG33</f>
        <v>1.4231063433726094</v>
      </c>
      <c r="K33" s="16">
        <f ca="1">'Aerodynamics-RCmax'!BE33</f>
        <v>0.87891635720682582</v>
      </c>
      <c r="L33" s="42">
        <f ca="1">'Aerodynamics-RCmax'!BF33</f>
        <v>1.7293080141913216E-2</v>
      </c>
      <c r="M33" s="84">
        <v>0</v>
      </c>
      <c r="N33" s="42">
        <f t="shared" ca="1" si="5"/>
        <v>4.0327924961916083E-2</v>
      </c>
      <c r="O33" s="10">
        <f ca="1">'Aerodynamics-RCmax'!BH33</f>
        <v>4.8446158713839546E-2</v>
      </c>
      <c r="P33" s="13">
        <f t="shared" ca="1" si="6"/>
        <v>131.66480106924882</v>
      </c>
      <c r="Q33" s="13">
        <f t="shared" ca="1" si="7"/>
        <v>7.2574071438357812</v>
      </c>
      <c r="R33" s="16">
        <f t="shared" ca="1" si="2"/>
        <v>18.142126858775018</v>
      </c>
      <c r="S33" s="14">
        <f t="shared" ca="1" si="3"/>
        <v>171.23649983181275</v>
      </c>
      <c r="U33" s="20">
        <f t="shared" ca="1" si="8"/>
        <v>18.542570992275675</v>
      </c>
      <c r="V33" s="1">
        <f t="shared" ca="1" si="9"/>
        <v>1.1342110296252441</v>
      </c>
      <c r="W33" s="20">
        <f t="shared" ca="1" si="10"/>
        <v>20.770248594606983</v>
      </c>
      <c r="X33" s="13">
        <f ca="1">'Aerodynamics-RCmax'!H33</f>
        <v>23.594721425621834</v>
      </c>
      <c r="Y33" s="33"/>
      <c r="Z33" s="19">
        <f ca="1">'Propulsion-RCmax'!S33</f>
        <v>205.06880516840104</v>
      </c>
      <c r="AA33" s="42"/>
      <c r="AB33" s="13">
        <f t="shared" ca="1" si="4"/>
        <v>0.25695785861049747</v>
      </c>
      <c r="AC33" s="1">
        <f t="shared" ca="1" si="11"/>
        <v>-0.48608428277900506</v>
      </c>
      <c r="AD33" s="57" t="str">
        <f t="shared" ca="1" si="12"/>
        <v>reduce payload weight</v>
      </c>
      <c r="AE33" s="20">
        <f t="shared" ca="1" si="13"/>
        <v>0.62399091661644512</v>
      </c>
      <c r="AF33" s="16"/>
      <c r="AG33" s="16"/>
      <c r="AH33" s="42"/>
      <c r="AI33" s="42"/>
      <c r="AJ33" s="42"/>
      <c r="AK33" s="16"/>
      <c r="AL33" s="16"/>
      <c r="AM33" s="16"/>
      <c r="AN33" s="16"/>
      <c r="AO33" s="42"/>
      <c r="AP33" s="42"/>
      <c r="AQ33" s="42"/>
      <c r="AR33" s="16"/>
      <c r="AS33" s="16"/>
      <c r="AT33" s="42"/>
      <c r="AU33" s="42"/>
      <c r="AV33" s="16"/>
      <c r="AW33" s="42"/>
      <c r="AX33" s="42"/>
      <c r="AY33" s="42"/>
      <c r="AZ33" s="20"/>
      <c r="BA33" s="20"/>
      <c r="BB33" s="20"/>
      <c r="BC33" s="19"/>
      <c r="BD33" s="6"/>
      <c r="BE33" s="6"/>
      <c r="BF33" s="16"/>
      <c r="BG33" s="16"/>
      <c r="BH33" s="6"/>
      <c r="BI33" s="16"/>
      <c r="BJ33" s="16"/>
      <c r="BK33" s="16"/>
      <c r="BL33" s="6"/>
      <c r="BM33" s="16"/>
      <c r="BN33" s="16"/>
      <c r="BO33" s="16"/>
    </row>
    <row r="34" spans="2:67">
      <c r="B34" s="31">
        <f>Main!C34</f>
        <v>2.5263157894736845</v>
      </c>
      <c r="C34" s="31">
        <f>Main!B34</f>
        <v>0.33333333333333326</v>
      </c>
      <c r="D34" s="1">
        <f t="shared" si="0"/>
        <v>0.84210526315789469</v>
      </c>
      <c r="F34" s="1">
        <f t="shared" si="1"/>
        <v>0.65969672852566186</v>
      </c>
      <c r="H34" s="62">
        <f ca="1">Main!AC34</f>
        <v>131.64808624850315</v>
      </c>
      <c r="J34" s="16">
        <f ca="1">'Aerodynamics-RCmax'!AG34</f>
        <v>1.4227907825829067</v>
      </c>
      <c r="K34" s="16">
        <f ca="1">'Aerodynamics-RCmax'!BE34</f>
        <v>0.87894265347019829</v>
      </c>
      <c r="L34" s="42">
        <f ca="1">'Aerodynamics-RCmax'!BF34</f>
        <v>1.735396427722119E-2</v>
      </c>
      <c r="M34" s="84">
        <v>0</v>
      </c>
      <c r="N34" s="42">
        <f t="shared" ca="1" si="5"/>
        <v>3.9304617494333234E-2</v>
      </c>
      <c r="O34" s="10">
        <f ca="1">'Aerodynamics-RCmax'!BH34</f>
        <v>4.7718360868976725E-2</v>
      </c>
      <c r="P34" s="13">
        <f t="shared" ca="1" si="6"/>
        <v>131.64808625067786</v>
      </c>
      <c r="Q34" s="13">
        <f t="shared" ca="1" si="7"/>
        <v>7.1472591102702916</v>
      </c>
      <c r="R34" s="16">
        <f t="shared" ca="1" si="2"/>
        <v>18.419380663211925</v>
      </c>
      <c r="S34" s="14">
        <f t="shared" ca="1" si="3"/>
        <v>165.96869284761149</v>
      </c>
      <c r="U34" s="20">
        <f t="shared" ca="1" si="8"/>
        <v>18.25140891511775</v>
      </c>
      <c r="V34" s="1">
        <f t="shared" ca="1" si="9"/>
        <v>1.1509015894570565</v>
      </c>
      <c r="W34" s="20">
        <f t="shared" ca="1" si="10"/>
        <v>20.293073201284507</v>
      </c>
      <c r="X34" s="13">
        <f ca="1">'Aerodynamics-RCmax'!H34</f>
        <v>23.221306277875662</v>
      </c>
      <c r="Y34" s="33"/>
      <c r="Z34" s="19">
        <f ca="1">'Propulsion-RCmax'!S34</f>
        <v>206.09778944530345</v>
      </c>
      <c r="AA34" s="42"/>
      <c r="AB34" s="13">
        <f t="shared" ca="1" si="4"/>
        <v>0.30482096429372307</v>
      </c>
      <c r="AC34" s="1">
        <f t="shared" ca="1" si="11"/>
        <v>-0.39035807141255385</v>
      </c>
      <c r="AD34" s="57" t="str">
        <f t="shared" ca="1" si="12"/>
        <v>reduce payload weight</v>
      </c>
      <c r="AE34" s="20">
        <f t="shared" ca="1" si="13"/>
        <v>0.75213065803576773</v>
      </c>
      <c r="AF34" s="16"/>
      <c r="AG34" s="16"/>
      <c r="AH34" s="42"/>
      <c r="AI34" s="42"/>
      <c r="AJ34" s="42"/>
      <c r="AK34" s="16"/>
      <c r="AL34" s="16"/>
      <c r="AM34" s="16"/>
      <c r="AN34" s="16"/>
      <c r="AO34" s="42"/>
      <c r="AP34" s="42"/>
      <c r="AQ34" s="42"/>
      <c r="AR34" s="16"/>
      <c r="AS34" s="16"/>
      <c r="AT34" s="42"/>
      <c r="AU34" s="42"/>
      <c r="AV34" s="16"/>
      <c r="AW34" s="42"/>
      <c r="AX34" s="42"/>
      <c r="AY34" s="42"/>
      <c r="AZ34" s="20"/>
      <c r="BA34" s="20"/>
      <c r="BB34" s="20"/>
      <c r="BC34" s="19"/>
      <c r="BD34" s="6"/>
      <c r="BE34" s="6"/>
      <c r="BF34" s="16"/>
      <c r="BG34" s="16"/>
      <c r="BH34" s="6"/>
      <c r="BI34" s="16"/>
      <c r="BJ34" s="16"/>
      <c r="BK34" s="16"/>
      <c r="BL34" s="6"/>
      <c r="BM34" s="16"/>
      <c r="BN34" s="16"/>
      <c r="BO34" s="16"/>
    </row>
    <row r="35" spans="2:67">
      <c r="B35" s="31">
        <f>Main!C35</f>
        <v>2.6052631578947372</v>
      </c>
      <c r="C35" s="31">
        <f>Main!B35</f>
        <v>0.33333333333333326</v>
      </c>
      <c r="D35" s="1">
        <f t="shared" si="0"/>
        <v>0.86842105263157887</v>
      </c>
      <c r="F35" s="1">
        <f t="shared" si="1"/>
        <v>0.65969672852566186</v>
      </c>
      <c r="H35" s="62">
        <f ca="1">Main!AC35</f>
        <v>131.66397514878656</v>
      </c>
      <c r="J35" s="16">
        <f ca="1">'Aerodynamics-RCmax'!AG35</f>
        <v>1.4224874254367541</v>
      </c>
      <c r="K35" s="16">
        <f ca="1">'Aerodynamics-RCmax'!BE35</f>
        <v>0.87896673017237348</v>
      </c>
      <c r="L35" s="42">
        <f ca="1">'Aerodynamics-RCmax'!BF35</f>
        <v>1.741563349249884E-2</v>
      </c>
      <c r="M35" s="84">
        <v>0</v>
      </c>
      <c r="N35" s="42">
        <f t="shared" ca="1" si="5"/>
        <v>3.8343517276275857E-2</v>
      </c>
      <c r="O35" s="10">
        <f ca="1">'Aerodynamics-RCmax'!BH35</f>
        <v>4.7039164417377863E-2</v>
      </c>
      <c r="P35" s="13">
        <f t="shared" ca="1" si="6"/>
        <v>131.66397515101301</v>
      </c>
      <c r="Q35" s="13">
        <f t="shared" ca="1" si="7"/>
        <v>7.0461863485543743</v>
      </c>
      <c r="R35" s="16">
        <f t="shared" ca="1" si="2"/>
        <v>18.685849144200642</v>
      </c>
      <c r="S35" s="14">
        <f t="shared" ca="1" si="3"/>
        <v>161.13098009356662</v>
      </c>
      <c r="U35" s="20">
        <f t="shared" ca="1" si="8"/>
        <v>17.975746070596774</v>
      </c>
      <c r="V35" s="1">
        <f t="shared" ca="1" si="9"/>
        <v>1.1673048537830772</v>
      </c>
      <c r="W35" s="20">
        <f t="shared" ca="1" si="10"/>
        <v>19.843532957720615</v>
      </c>
      <c r="X35" s="13">
        <f ca="1">'Aerodynamics-RCmax'!H35</f>
        <v>22.867828371575957</v>
      </c>
      <c r="Y35" s="33"/>
      <c r="Z35" s="19">
        <f ca="1">'Propulsion-RCmax'!S35</f>
        <v>206.93971680754518</v>
      </c>
      <c r="AA35" s="42"/>
      <c r="AB35" s="13">
        <f t="shared" ca="1" si="4"/>
        <v>0.34792156823620513</v>
      </c>
      <c r="AC35" s="1">
        <f t="shared" ca="1" si="11"/>
        <v>-0.30415686352758975</v>
      </c>
      <c r="AD35" s="57" t="str">
        <f t="shared" ca="1" si="12"/>
        <v>reduce payload weight</v>
      </c>
      <c r="AE35" s="20">
        <f t="shared" ca="1" si="13"/>
        <v>0.87175775011115963</v>
      </c>
      <c r="AF35" s="16"/>
      <c r="AG35" s="16"/>
      <c r="AH35" s="42"/>
      <c r="AI35" s="42"/>
      <c r="AJ35" s="42"/>
      <c r="AK35" s="16"/>
      <c r="AL35" s="16"/>
      <c r="AM35" s="16"/>
      <c r="AN35" s="16"/>
      <c r="AO35" s="42"/>
      <c r="AP35" s="42"/>
      <c r="AQ35" s="42"/>
      <c r="AR35" s="16"/>
      <c r="AS35" s="16"/>
      <c r="AT35" s="42"/>
      <c r="AU35" s="42"/>
      <c r="AV35" s="16"/>
      <c r="AW35" s="42"/>
      <c r="AX35" s="42"/>
      <c r="AY35" s="42"/>
      <c r="AZ35" s="20"/>
      <c r="BA35" s="20"/>
      <c r="BB35" s="20"/>
      <c r="BC35" s="19"/>
      <c r="BD35" s="6"/>
      <c r="BE35" s="6"/>
      <c r="BF35" s="16"/>
      <c r="BG35" s="16"/>
      <c r="BH35" s="6"/>
      <c r="BI35" s="16"/>
      <c r="BJ35" s="16"/>
      <c r="BK35" s="16"/>
      <c r="BL35" s="6"/>
      <c r="BM35" s="16"/>
      <c r="BN35" s="16"/>
      <c r="BO35" s="16"/>
    </row>
    <row r="36" spans="2:67">
      <c r="B36" s="31">
        <f>Main!C36</f>
        <v>2.6842105263157898</v>
      </c>
      <c r="C36" s="31">
        <f>Main!B36</f>
        <v>0.33333333333333326</v>
      </c>
      <c r="D36" s="1">
        <f t="shared" si="0"/>
        <v>0.89473684210526305</v>
      </c>
      <c r="F36" s="1">
        <f t="shared" si="1"/>
        <v>0.65969672852566186</v>
      </c>
      <c r="H36" s="62">
        <f ca="1">Main!AC36</f>
        <v>131.71508343629725</v>
      </c>
      <c r="J36" s="16">
        <f ca="1">'Aerodynamics-RCmax'!AG36</f>
        <v>1.4221958800465335</v>
      </c>
      <c r="K36" s="16">
        <f ca="1">'Aerodynamics-RCmax'!BE36</f>
        <v>0.87898883502771907</v>
      </c>
      <c r="L36" s="42">
        <f ca="1">'Aerodynamics-RCmax'!BF36</f>
        <v>1.7477717295759782E-2</v>
      </c>
      <c r="M36" s="84">
        <v>0</v>
      </c>
      <c r="N36" s="42">
        <f t="shared" ca="1" si="5"/>
        <v>3.7439207269441721E-2</v>
      </c>
      <c r="O36" s="10">
        <f ca="1">'Aerodynamics-RCmax'!BH36</f>
        <v>4.6404048986639468E-2</v>
      </c>
      <c r="P36" s="13">
        <f t="shared" ca="1" si="6"/>
        <v>131.71508343857323</v>
      </c>
      <c r="Q36" s="13">
        <f t="shared" ca="1" si="7"/>
        <v>6.9535731747606437</v>
      </c>
      <c r="R36" s="16">
        <f t="shared" ca="1" si="2"/>
        <v>18.942071957574118</v>
      </c>
      <c r="S36" s="14">
        <f t="shared" ca="1" si="3"/>
        <v>156.68566962793878</v>
      </c>
      <c r="U36" s="20">
        <f t="shared" ca="1" si="8"/>
        <v>17.71467626310023</v>
      </c>
      <c r="V36" s="1">
        <f t="shared" ca="1" si="9"/>
        <v>1.1834220589788078</v>
      </c>
      <c r="W36" s="20">
        <f t="shared" ca="1" si="10"/>
        <v>19.419725997933089</v>
      </c>
      <c r="X36" s="13">
        <f ca="1">'Aerodynamics-RCmax'!H36</f>
        <v>22.533115808140305</v>
      </c>
      <c r="Y36" s="33"/>
      <c r="Z36" s="19">
        <f ca="1">'Propulsion-RCmax'!S36</f>
        <v>207.61941632858759</v>
      </c>
      <c r="AA36" s="42"/>
      <c r="AB36" s="13">
        <f t="shared" ca="1" si="4"/>
        <v>0.38669638565185616</v>
      </c>
      <c r="AC36" s="1">
        <f t="shared" ca="1" si="11"/>
        <v>-0.22660722869628769</v>
      </c>
      <c r="AD36" s="57" t="str">
        <f t="shared" ca="1" si="12"/>
        <v>reduce payload weight</v>
      </c>
      <c r="AE36" s="20">
        <f t="shared" ca="1" si="13"/>
        <v>0.98331534389479192</v>
      </c>
      <c r="AF36" s="16"/>
      <c r="AG36" s="16"/>
      <c r="AH36" s="42"/>
      <c r="AI36" s="42"/>
      <c r="AJ36" s="42"/>
      <c r="AK36" s="16"/>
      <c r="AL36" s="16"/>
      <c r="AM36" s="16"/>
      <c r="AN36" s="16"/>
      <c r="AO36" s="42"/>
      <c r="AP36" s="42"/>
      <c r="AQ36" s="42"/>
      <c r="AR36" s="16"/>
      <c r="AS36" s="16"/>
      <c r="AT36" s="42"/>
      <c r="AU36" s="42"/>
      <c r="AV36" s="16"/>
      <c r="AW36" s="42"/>
      <c r="AX36" s="42"/>
      <c r="AY36" s="42"/>
      <c r="AZ36" s="20"/>
      <c r="BA36" s="20"/>
      <c r="BB36" s="20"/>
      <c r="BC36" s="19"/>
      <c r="BD36" s="6"/>
      <c r="BE36" s="6"/>
      <c r="BF36" s="16"/>
      <c r="BG36" s="16"/>
      <c r="BH36" s="6"/>
      <c r="BI36" s="16"/>
      <c r="BJ36" s="16"/>
      <c r="BK36" s="16"/>
      <c r="BL36" s="6"/>
      <c r="BM36" s="16"/>
      <c r="BN36" s="16"/>
      <c r="BO36" s="16"/>
    </row>
    <row r="37" spans="2:67">
      <c r="B37" s="31">
        <f>Main!C37</f>
        <v>2.7631578947368425</v>
      </c>
      <c r="C37" s="31">
        <f>Main!B37</f>
        <v>0.33333333333333326</v>
      </c>
      <c r="D37" s="1">
        <f t="shared" si="0"/>
        <v>0.92105263157894723</v>
      </c>
      <c r="F37" s="1">
        <f t="shared" si="1"/>
        <v>0.65969672852566186</v>
      </c>
      <c r="H37" s="62">
        <f ca="1">Main!AC37</f>
        <v>131.79789717068391</v>
      </c>
      <c r="J37" s="16">
        <f ca="1">'Aerodynamics-RCmax'!AG37</f>
        <v>1.4219153437204048</v>
      </c>
      <c r="K37" s="16">
        <f ca="1">'Aerodynamics-RCmax'!BE37</f>
        <v>0.87900918173965281</v>
      </c>
      <c r="L37" s="42">
        <f ca="1">'Aerodynamics-RCmax'!BF37</f>
        <v>1.7540092808050481E-2</v>
      </c>
      <c r="M37" s="84">
        <v>0</v>
      </c>
      <c r="N37" s="42">
        <f t="shared" ca="1" si="5"/>
        <v>3.6586881106790745E-2</v>
      </c>
      <c r="O37" s="10">
        <f ca="1">'Aerodynamics-RCmax'!BH37</f>
        <v>4.5809207783342951E-2</v>
      </c>
      <c r="P37" s="13">
        <f t="shared" ca="1" si="6"/>
        <v>131.79789717300858</v>
      </c>
      <c r="Q37" s="13">
        <f t="shared" ca="1" si="7"/>
        <v>6.8685940743611447</v>
      </c>
      <c r="R37" s="16">
        <f t="shared" ca="1" si="2"/>
        <v>19.188482496728014</v>
      </c>
      <c r="S37" s="14">
        <f t="shared" ca="1" si="3"/>
        <v>152.58997238878391</v>
      </c>
      <c r="U37" s="20">
        <f t="shared" ca="1" si="8"/>
        <v>17.466986276056218</v>
      </c>
      <c r="V37" s="1">
        <f t="shared" ca="1" si="9"/>
        <v>1.1992614574336338</v>
      </c>
      <c r="W37" s="20">
        <f t="shared" ca="1" si="10"/>
        <v>19.019448127649923</v>
      </c>
      <c r="X37" s="13">
        <f ca="1">'Aerodynamics-RCmax'!H37</f>
        <v>22.215604931101009</v>
      </c>
      <c r="Y37" s="33"/>
      <c r="Z37" s="19">
        <f ca="1">'Propulsion-RCmax'!S37</f>
        <v>208.15908930563262</v>
      </c>
      <c r="AA37" s="42"/>
      <c r="AB37" s="13">
        <f t="shared" ca="1" si="4"/>
        <v>0.42162369893416685</v>
      </c>
      <c r="AC37" s="1">
        <f t="shared" ca="1" si="11"/>
        <v>-0.15675260213166631</v>
      </c>
      <c r="AD37" s="57" t="str">
        <f t="shared" ca="1" si="12"/>
        <v>reduce payload weight</v>
      </c>
      <c r="AE37" s="20">
        <f t="shared" ca="1" si="13"/>
        <v>1.0874657255169837</v>
      </c>
      <c r="AF37" s="16"/>
      <c r="AG37" s="16"/>
      <c r="AH37" s="42"/>
      <c r="AI37" s="42"/>
      <c r="AJ37" s="42"/>
      <c r="AK37" s="16"/>
      <c r="AL37" s="16"/>
      <c r="AM37" s="16"/>
      <c r="AN37" s="16"/>
      <c r="AO37" s="42"/>
      <c r="AP37" s="42"/>
      <c r="AQ37" s="42"/>
      <c r="AR37" s="16"/>
      <c r="AS37" s="16"/>
      <c r="AT37" s="42"/>
      <c r="AU37" s="42"/>
      <c r="AV37" s="16"/>
      <c r="AW37" s="42"/>
      <c r="AX37" s="42"/>
      <c r="AY37" s="42"/>
      <c r="AZ37" s="20"/>
      <c r="BA37" s="20"/>
      <c r="BB37" s="20"/>
      <c r="BC37" s="19"/>
      <c r="BD37" s="6"/>
      <c r="BE37" s="6"/>
      <c r="BF37" s="16"/>
      <c r="BG37" s="16"/>
      <c r="BH37" s="6"/>
      <c r="BI37" s="16"/>
      <c r="BJ37" s="16"/>
      <c r="BK37" s="16"/>
      <c r="BL37" s="6"/>
      <c r="BM37" s="16"/>
      <c r="BN37" s="16"/>
      <c r="BO37" s="16"/>
    </row>
    <row r="38" spans="2:67">
      <c r="B38" s="31">
        <f>Main!C38</f>
        <v>2.8421052631578951</v>
      </c>
      <c r="C38" s="31">
        <f>Main!B38</f>
        <v>0.33333333333333326</v>
      </c>
      <c r="D38" s="1">
        <f t="shared" si="0"/>
        <v>0.94736842105263153</v>
      </c>
      <c r="F38" s="1">
        <f t="shared" si="1"/>
        <v>0.65969672852566186</v>
      </c>
      <c r="H38" s="62">
        <f ca="1">Main!AC38</f>
        <v>131.9094250607543</v>
      </c>
      <c r="J38" s="16">
        <f ca="1">'Aerodynamics-RCmax'!AG38</f>
        <v>1.4216450974493022</v>
      </c>
      <c r="K38" s="16">
        <f ca="1">'Aerodynamics-RCmax'!BE38</f>
        <v>0.87902795548563994</v>
      </c>
      <c r="L38" s="42">
        <f ca="1">'Aerodynamics-RCmax'!BF38</f>
        <v>1.7602651398886421E-2</v>
      </c>
      <c r="M38" s="84">
        <v>0</v>
      </c>
      <c r="N38" s="42">
        <f t="shared" ca="1" si="5"/>
        <v>3.5782263662477075E-2</v>
      </c>
      <c r="O38" s="10">
        <f ca="1">'Aerodynamics-RCmax'!BH38</f>
        <v>4.5251253951144085E-2</v>
      </c>
      <c r="P38" s="13">
        <f t="shared" ca="1" si="6"/>
        <v>131.90942506312632</v>
      </c>
      <c r="Q38" s="13">
        <f t="shared" ca="1" si="7"/>
        <v>6.7905313532186655</v>
      </c>
      <c r="R38" s="16">
        <f t="shared" ca="1" si="2"/>
        <v>19.425493853378963</v>
      </c>
      <c r="S38" s="14">
        <f t="shared" ca="1" si="3"/>
        <v>148.80711933755501</v>
      </c>
      <c r="U38" s="20">
        <f t="shared" ca="1" si="8"/>
        <v>17.231603717688547</v>
      </c>
      <c r="V38" s="1">
        <f t="shared" ca="1" si="9"/>
        <v>1.2148307205132696</v>
      </c>
      <c r="W38" s="20">
        <f t="shared" ca="1" si="10"/>
        <v>18.640751262947923</v>
      </c>
      <c r="X38" s="13">
        <f ca="1">'Aerodynamics-RCmax'!H38</f>
        <v>21.91391388927908</v>
      </c>
      <c r="Y38" s="33"/>
      <c r="Z38" s="19">
        <f ca="1">'Propulsion-RCmax'!S38</f>
        <v>208.57739510651774</v>
      </c>
      <c r="AA38" s="42"/>
      <c r="AB38" s="13">
        <f t="shared" ca="1" si="4"/>
        <v>0.45311603580588716</v>
      </c>
      <c r="AC38" s="1">
        <f t="shared" ca="1" si="11"/>
        <v>-9.3767928388225674E-2</v>
      </c>
      <c r="AD38" s="57" t="str">
        <f t="shared" ca="1" si="12"/>
        <v>reduce payload weight</v>
      </c>
      <c r="AE38" s="20">
        <f t="shared" ca="1" si="13"/>
        <v>1.1847945975172465</v>
      </c>
      <c r="AF38" s="16"/>
      <c r="AG38" s="16"/>
      <c r="AH38" s="42"/>
      <c r="AI38" s="42"/>
      <c r="AJ38" s="42"/>
      <c r="AK38" s="16"/>
      <c r="AL38" s="16"/>
      <c r="AM38" s="16"/>
      <c r="AN38" s="16"/>
      <c r="AO38" s="42"/>
      <c r="AP38" s="42"/>
      <c r="AQ38" s="42"/>
      <c r="AR38" s="16"/>
      <c r="AS38" s="16"/>
      <c r="AT38" s="42"/>
      <c r="AU38" s="42"/>
      <c r="AV38" s="16"/>
      <c r="AW38" s="42"/>
      <c r="AX38" s="42"/>
      <c r="AY38" s="42"/>
      <c r="AZ38" s="20"/>
      <c r="BA38" s="20"/>
      <c r="BB38" s="20"/>
      <c r="BC38" s="19"/>
      <c r="BD38" s="6"/>
      <c r="BE38" s="6"/>
      <c r="BF38" s="16"/>
      <c r="BG38" s="16"/>
      <c r="BH38" s="6"/>
      <c r="BI38" s="16"/>
      <c r="BJ38" s="16"/>
      <c r="BK38" s="16"/>
      <c r="BL38" s="6"/>
      <c r="BM38" s="16"/>
      <c r="BN38" s="16"/>
      <c r="BO38" s="16"/>
    </row>
    <row r="39" spans="2:67">
      <c r="B39" s="31">
        <f>Main!C39</f>
        <v>2.9210526315789478</v>
      </c>
      <c r="C39" s="31">
        <f>Main!B39</f>
        <v>0.33333333333333326</v>
      </c>
      <c r="D39" s="1">
        <f t="shared" si="0"/>
        <v>0.97368421052631571</v>
      </c>
      <c r="F39" s="1">
        <f t="shared" si="1"/>
        <v>0.65969672852566186</v>
      </c>
      <c r="H39" s="62">
        <f ca="1">Main!AC39</f>
        <v>132.04710507719955</v>
      </c>
      <c r="J39" s="16">
        <f ca="1">'Aerodynamics-RCmax'!AG39</f>
        <v>1.4213844942604157</v>
      </c>
      <c r="K39" s="16">
        <f ca="1">'Aerodynamics-RCmax'!BE39</f>
        <v>0.87904531739376923</v>
      </c>
      <c r="L39" s="42">
        <f ca="1">'Aerodynamics-RCmax'!BF39</f>
        <v>1.7665297048046473E-2</v>
      </c>
      <c r="M39" s="84">
        <v>0</v>
      </c>
      <c r="N39" s="42">
        <f t="shared" ca="1" si="5"/>
        <v>3.5021539509636872E-2</v>
      </c>
      <c r="O39" s="10">
        <f ca="1">'Aerodynamics-RCmax'!BH39</f>
        <v>4.4727164523370715E-2</v>
      </c>
      <c r="P39" s="13">
        <f t="shared" ca="1" si="6"/>
        <v>132.04710507961775</v>
      </c>
      <c r="Q39" s="13">
        <f t="shared" ca="1" si="7"/>
        <v>6.7187578124430694</v>
      </c>
      <c r="R39" s="16">
        <f t="shared" ca="1" si="2"/>
        <v>19.653499763761076</v>
      </c>
      <c r="S39" s="14">
        <f t="shared" ca="1" si="3"/>
        <v>145.3053367564041</v>
      </c>
      <c r="U39" s="20">
        <f t="shared" ca="1" si="8"/>
        <v>17.007576159493809</v>
      </c>
      <c r="V39" s="1">
        <f t="shared" ca="1" si="9"/>
        <v>1.2301370046823685</v>
      </c>
      <c r="W39" s="20">
        <f t="shared" ca="1" si="10"/>
        <v>18.281905916037974</v>
      </c>
      <c r="X39" s="13">
        <f ca="1">'Aerodynamics-RCmax'!H39</f>
        <v>21.626815672181614</v>
      </c>
      <c r="Y39" s="33"/>
      <c r="Z39" s="19">
        <f ca="1">'Propulsion-RCmax'!S39</f>
        <v>208.89012712853483</v>
      </c>
      <c r="AA39" s="42"/>
      <c r="AB39" s="13">
        <f t="shared" ca="1" si="4"/>
        <v>0.48153111978454011</v>
      </c>
      <c r="AC39" s="1">
        <f t="shared" ca="1" si="11"/>
        <v>-3.6937760430919786E-2</v>
      </c>
      <c r="AD39" s="57" t="str">
        <f t="shared" ca="1" si="12"/>
        <v>reduce payload weight</v>
      </c>
      <c r="AE39" s="20">
        <f t="shared" ca="1" si="13"/>
        <v>1.2758226360384406</v>
      </c>
      <c r="AF39" s="16"/>
      <c r="AG39" s="16"/>
      <c r="AH39" s="42"/>
      <c r="AI39" s="42"/>
      <c r="AJ39" s="42"/>
      <c r="AK39" s="16"/>
      <c r="AL39" s="16"/>
      <c r="AM39" s="16"/>
      <c r="AN39" s="16"/>
      <c r="AO39" s="42"/>
      <c r="AP39" s="42"/>
      <c r="AQ39" s="42"/>
      <c r="AR39" s="16"/>
      <c r="AS39" s="16"/>
      <c r="AT39" s="42"/>
      <c r="AU39" s="42"/>
      <c r="AV39" s="16"/>
      <c r="AW39" s="42"/>
      <c r="AX39" s="42"/>
      <c r="AY39" s="42"/>
      <c r="AZ39" s="20"/>
      <c r="BA39" s="20"/>
      <c r="BB39" s="20"/>
      <c r="BC39" s="19"/>
      <c r="BD39" s="6"/>
      <c r="BE39" s="6"/>
      <c r="BF39" s="16"/>
      <c r="BG39" s="16"/>
      <c r="BH39" s="6"/>
      <c r="BI39" s="16"/>
      <c r="BJ39" s="16"/>
      <c r="BK39" s="16"/>
      <c r="BL39" s="6"/>
      <c r="BM39" s="16"/>
      <c r="BN39" s="16"/>
      <c r="BO39" s="16"/>
    </row>
    <row r="40" spans="2:67">
      <c r="B40" s="31">
        <f>Main!C40</f>
        <v>3</v>
      </c>
      <c r="C40" s="31">
        <f>Main!B40</f>
        <v>0.33333333333333326</v>
      </c>
      <c r="D40" s="1">
        <f t="shared" si="0"/>
        <v>0.99999999999999978</v>
      </c>
      <c r="F40" s="1">
        <f t="shared" si="1"/>
        <v>0.65969672852566186</v>
      </c>
      <c r="H40" s="62">
        <f ca="1">Main!AC40</f>
        <v>109.47797499660557</v>
      </c>
      <c r="J40" s="16">
        <f ca="1">'Aerodynamics-RCmax'!AG40</f>
        <v>1.4192712262506735</v>
      </c>
      <c r="K40" s="16">
        <f ca="1">'Aerodynamics-RCmax'!BE40</f>
        <v>0.87906140821781131</v>
      </c>
      <c r="L40" s="42">
        <f ca="1">'Aerodynamics-RCmax'!BF40</f>
        <v>1.8656590009422949E-2</v>
      </c>
      <c r="M40" s="84">
        <v>0</v>
      </c>
      <c r="N40" s="42">
        <f t="shared" ca="1" si="5"/>
        <v>3.4282235140308662E-2</v>
      </c>
      <c r="O40" s="10">
        <f ca="1">'Aerodynamics-RCmax'!BH40</f>
        <v>4.5148253247383884E-2</v>
      </c>
      <c r="P40" s="13">
        <f t="shared" ca="1" si="6"/>
        <v>109.4823661580773</v>
      </c>
      <c r="Q40" s="13">
        <f t="shared" ca="1" si="7"/>
        <v>5.6229718961828636</v>
      </c>
      <c r="R40" s="16">
        <f t="shared" ca="1" si="2"/>
        <v>19.470551903771572</v>
      </c>
      <c r="S40" s="14">
        <f t="shared" ca="1" si="3"/>
        <v>109.2625232749857</v>
      </c>
      <c r="U40" s="20">
        <f t="shared" ca="1" si="8"/>
        <v>15.292324723042624</v>
      </c>
      <c r="V40" s="1">
        <f t="shared" ca="1" si="9"/>
        <v>1.277739134481664</v>
      </c>
      <c r="W40" s="20">
        <f t="shared" ca="1" si="10"/>
        <v>16.11703363398237</v>
      </c>
      <c r="X40" s="13">
        <f ca="1">'Aerodynamics-RCmax'!H40</f>
        <v>19.43125944445308</v>
      </c>
      <c r="Y40" s="33"/>
      <c r="Z40" s="19">
        <f ca="1">'Propulsion-RCmax'!S40</f>
        <v>208.50792699851343</v>
      </c>
      <c r="AA40" s="42"/>
      <c r="AB40" s="13">
        <f t="shared" ca="1" si="4"/>
        <v>0.90653306043160642</v>
      </c>
      <c r="AC40" s="1">
        <f t="shared" ca="1" si="11"/>
        <v>0.81306612086321284</v>
      </c>
      <c r="AD40" s="57" t="str">
        <f t="shared" ca="1" si="12"/>
        <v>OK</v>
      </c>
      <c r="AE40" s="20">
        <f t="shared" ca="1" si="13"/>
        <v>2.674009818728643</v>
      </c>
      <c r="AF40" s="16"/>
      <c r="AG40" s="16"/>
      <c r="AH40" s="42"/>
      <c r="AI40" s="42"/>
      <c r="AJ40" s="42"/>
      <c r="AK40" s="16"/>
      <c r="AL40" s="16"/>
      <c r="AM40" s="16"/>
      <c r="AN40" s="16"/>
      <c r="AO40" s="42"/>
      <c r="AP40" s="42"/>
      <c r="AQ40" s="42"/>
      <c r="AR40" s="16"/>
      <c r="AS40" s="16"/>
      <c r="AT40" s="42"/>
      <c r="AU40" s="42"/>
      <c r="AV40" s="16"/>
      <c r="AW40" s="42"/>
      <c r="AX40" s="42"/>
      <c r="AY40" s="42"/>
      <c r="AZ40" s="20"/>
      <c r="BA40" s="20"/>
      <c r="BB40" s="20"/>
      <c r="BC40" s="19"/>
      <c r="BD40" s="6"/>
      <c r="BE40" s="6"/>
      <c r="BF40" s="16"/>
      <c r="BG40" s="16"/>
      <c r="BH40" s="6"/>
      <c r="BI40" s="16"/>
      <c r="BJ40" s="16"/>
      <c r="BK40" s="16"/>
      <c r="BL40" s="6"/>
      <c r="BM40" s="16"/>
      <c r="BN40" s="16"/>
      <c r="BO40" s="16"/>
    </row>
    <row r="41" spans="2:67"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</row>
    <row r="42" spans="2:67">
      <c r="D42" s="4"/>
    </row>
    <row r="44" spans="2:67">
      <c r="I44" s="14"/>
      <c r="M44" s="1"/>
      <c r="N44" s="1"/>
      <c r="O44" s="1"/>
      <c r="P44" s="1"/>
    </row>
    <row r="45" spans="2:67">
      <c r="I45" s="14"/>
    </row>
    <row r="46" spans="2:67">
      <c r="I46" s="14"/>
    </row>
    <row r="47" spans="2:67">
      <c r="I47" s="14"/>
    </row>
    <row r="48" spans="2:67">
      <c r="I48" s="14"/>
    </row>
    <row r="49" spans="9:9">
      <c r="I49" s="14"/>
    </row>
    <row r="50" spans="9:9">
      <c r="I50" s="14"/>
    </row>
    <row r="51" spans="9:9">
      <c r="I51" s="14"/>
    </row>
    <row r="52" spans="9:9">
      <c r="I52" s="14"/>
    </row>
    <row r="53" spans="9:9">
      <c r="I53" s="14"/>
    </row>
    <row r="54" spans="9:9">
      <c r="I54" s="14"/>
    </row>
    <row r="55" spans="9:9">
      <c r="I55" s="14"/>
    </row>
    <row r="56" spans="9:9">
      <c r="I56" s="14"/>
    </row>
    <row r="57" spans="9:9">
      <c r="I57" s="14"/>
    </row>
    <row r="58" spans="9:9">
      <c r="I58" s="14"/>
    </row>
    <row r="59" spans="9:9">
      <c r="I59" s="14"/>
    </row>
    <row r="60" spans="9:9">
      <c r="I60" s="14"/>
    </row>
    <row r="61" spans="9:9">
      <c r="I61" s="14"/>
    </row>
    <row r="62" spans="9:9">
      <c r="I62" s="14"/>
    </row>
    <row r="63" spans="9:9">
      <c r="I63" s="14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O63"/>
  <sheetViews>
    <sheetView zoomScale="90" workbookViewId="0">
      <selection activeCell="Z21" sqref="Z21"/>
    </sheetView>
  </sheetViews>
  <sheetFormatPr defaultRowHeight="12.75"/>
  <cols>
    <col min="42" max="42" width="9.42578125" customWidth="1"/>
  </cols>
  <sheetData>
    <row r="1" spans="1:67">
      <c r="A1" s="17" t="s">
        <v>263</v>
      </c>
    </row>
    <row r="3" spans="1:67">
      <c r="A3" t="s">
        <v>270</v>
      </c>
    </row>
    <row r="4" spans="1:67">
      <c r="A4" s="17"/>
    </row>
    <row r="5" spans="1:67">
      <c r="A5" s="64" t="s">
        <v>292</v>
      </c>
      <c r="B5" s="6">
        <f>Cruise!B5</f>
        <v>1000</v>
      </c>
      <c r="C5" s="3" t="s">
        <v>4</v>
      </c>
      <c r="F5" s="6"/>
      <c r="G5" s="6"/>
      <c r="H5" s="6"/>
    </row>
    <row r="6" spans="1:67">
      <c r="A6" t="s">
        <v>28</v>
      </c>
      <c r="B6">
        <f>Takeoff!B5+B5</f>
        <v>1000</v>
      </c>
      <c r="C6" t="s">
        <v>4</v>
      </c>
      <c r="E6" s="16"/>
      <c r="F6" s="6"/>
      <c r="G6" s="16"/>
      <c r="H6" s="6"/>
    </row>
    <row r="7" spans="1:67">
      <c r="A7" s="3" t="s">
        <v>29</v>
      </c>
      <c r="B7" s="1">
        <f>ISA!R8</f>
        <v>0.65969672852566186</v>
      </c>
      <c r="C7" s="3" t="s">
        <v>30</v>
      </c>
      <c r="D7" s="16"/>
    </row>
    <row r="8" spans="1:67">
      <c r="A8" s="64" t="s">
        <v>302</v>
      </c>
      <c r="B8" s="18">
        <v>30</v>
      </c>
      <c r="C8" s="3" t="s">
        <v>303</v>
      </c>
      <c r="D8" t="s">
        <v>294</v>
      </c>
    </row>
    <row r="9" spans="1:67">
      <c r="A9" s="64" t="s">
        <v>304</v>
      </c>
      <c r="B9" s="1">
        <f>1/COS(RADIANS(B8))</f>
        <v>1.1547005383792515</v>
      </c>
      <c r="D9" t="s">
        <v>294</v>
      </c>
    </row>
    <row r="10" spans="1:67">
      <c r="A10" s="64" t="s">
        <v>110</v>
      </c>
      <c r="B10" s="12">
        <v>1</v>
      </c>
      <c r="D10" t="s">
        <v>290</v>
      </c>
    </row>
    <row r="15" spans="1:67">
      <c r="B15" t="s">
        <v>279</v>
      </c>
      <c r="F15" t="s">
        <v>273</v>
      </c>
      <c r="H15" t="s">
        <v>277</v>
      </c>
      <c r="J15" t="s">
        <v>278</v>
      </c>
      <c r="U15" t="s">
        <v>286</v>
      </c>
      <c r="Z15" t="s">
        <v>268</v>
      </c>
      <c r="AB15" t="s">
        <v>288</v>
      </c>
    </row>
    <row r="16" spans="1:67"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42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</row>
    <row r="17" spans="2:67"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</row>
    <row r="18" spans="2:67">
      <c r="B18" s="9" t="s">
        <v>280</v>
      </c>
      <c r="C18" s="9" t="s">
        <v>281</v>
      </c>
      <c r="D18" s="9" t="s">
        <v>282</v>
      </c>
      <c r="F18" s="9" t="s">
        <v>29</v>
      </c>
      <c r="H18" s="9" t="s">
        <v>34</v>
      </c>
      <c r="J18" s="9" t="s">
        <v>283</v>
      </c>
      <c r="K18" s="9" t="s">
        <v>54</v>
      </c>
      <c r="L18" s="9" t="s">
        <v>284</v>
      </c>
      <c r="M18" s="9" t="s">
        <v>285</v>
      </c>
      <c r="N18" s="9" t="s">
        <v>0</v>
      </c>
      <c r="O18" s="9" t="s">
        <v>55</v>
      </c>
      <c r="P18" s="9" t="s">
        <v>56</v>
      </c>
      <c r="Q18" s="9" t="s">
        <v>57</v>
      </c>
      <c r="R18" s="9" t="s">
        <v>58</v>
      </c>
      <c r="S18" s="9" t="s">
        <v>59</v>
      </c>
      <c r="U18" s="9" t="s">
        <v>198</v>
      </c>
      <c r="V18" s="9" t="s">
        <v>305</v>
      </c>
      <c r="W18" s="9" t="s">
        <v>306</v>
      </c>
      <c r="X18" s="9" t="s">
        <v>40</v>
      </c>
      <c r="Y18" s="9"/>
      <c r="Z18" s="9" t="s">
        <v>141</v>
      </c>
      <c r="AA18" s="23"/>
      <c r="AB18" s="9" t="s">
        <v>110</v>
      </c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6"/>
      <c r="BE18" s="6"/>
      <c r="BF18" s="23"/>
      <c r="BG18" s="23"/>
      <c r="BH18" s="6"/>
      <c r="BI18" s="23"/>
      <c r="BJ18" s="23"/>
      <c r="BK18" s="23"/>
      <c r="BL18" s="6"/>
      <c r="BM18" s="23"/>
      <c r="BN18" s="23"/>
      <c r="BO18" s="23"/>
    </row>
    <row r="19" spans="2:67">
      <c r="B19" s="9" t="s">
        <v>4</v>
      </c>
      <c r="C19" s="9" t="s">
        <v>4</v>
      </c>
      <c r="D19" s="9" t="s">
        <v>43</v>
      </c>
      <c r="F19" s="9" t="s">
        <v>30</v>
      </c>
      <c r="H19" s="9" t="s">
        <v>35</v>
      </c>
      <c r="J19" s="9"/>
      <c r="K19" s="9"/>
      <c r="L19" s="9"/>
      <c r="M19" s="9"/>
      <c r="N19" s="9"/>
      <c r="P19" s="9" t="s">
        <v>35</v>
      </c>
      <c r="Q19" s="9" t="s">
        <v>35</v>
      </c>
      <c r="R19" s="9"/>
      <c r="S19" s="9" t="s">
        <v>34</v>
      </c>
      <c r="U19" s="9" t="s">
        <v>1</v>
      </c>
      <c r="W19" s="9" t="s">
        <v>1</v>
      </c>
      <c r="X19" s="9" t="s">
        <v>1</v>
      </c>
      <c r="Z19" s="9" t="s">
        <v>34</v>
      </c>
      <c r="AA19" s="6"/>
      <c r="AB19" s="9"/>
      <c r="AC19" s="6"/>
      <c r="AD19" s="23"/>
      <c r="AE19" s="23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23"/>
      <c r="BA19" s="23"/>
      <c r="BB19" s="23"/>
      <c r="BC19" s="23"/>
      <c r="BD19" s="6"/>
      <c r="BE19" s="6"/>
      <c r="BF19" s="23"/>
      <c r="BG19" s="23"/>
      <c r="BH19" s="6"/>
      <c r="BI19" s="23"/>
      <c r="BJ19" s="23"/>
      <c r="BK19" s="23"/>
      <c r="BL19" s="6"/>
      <c r="BM19" s="23"/>
      <c r="BN19" s="23"/>
      <c r="BO19" s="23"/>
    </row>
    <row r="20" spans="2:67">
      <c r="AA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</row>
    <row r="21" spans="2:67">
      <c r="B21" s="31">
        <f>Main!C21</f>
        <v>1.5</v>
      </c>
      <c r="C21" s="31">
        <f>Main!B21</f>
        <v>0.33333333333333326</v>
      </c>
      <c r="D21" s="1">
        <f t="shared" ref="D21:D40" si="0">B21*C21</f>
        <v>0.49999999999999989</v>
      </c>
      <c r="F21" s="1">
        <f t="shared" ref="F21:F40" si="1">$B$7</f>
        <v>0.65969672852566186</v>
      </c>
      <c r="H21" s="62">
        <f ca="1">Main!AC21</f>
        <v>129.60277124897891</v>
      </c>
      <c r="J21" s="16">
        <f ca="1">'Aerodynamics-Turn'!AG21</f>
        <v>1.4278079600608844</v>
      </c>
      <c r="K21" s="16">
        <f ca="1">'Aerodynamics-Turn'!BE21</f>
        <v>1.0181265791124832</v>
      </c>
      <c r="L21" s="42">
        <f ca="1">'Aerodynamics-Turn'!BF21</f>
        <v>1.8229529468295542E-2</v>
      </c>
      <c r="M21" s="84">
        <v>0</v>
      </c>
      <c r="N21" s="42">
        <f ca="1">(O21-L21)/K21^2</f>
        <v>6.006927692641769E-2</v>
      </c>
      <c r="O21" s="10">
        <f ca="1">'Aerodynamics-Turn'!BH21</f>
        <v>8.0496244530187833E-2</v>
      </c>
      <c r="P21" s="13">
        <f ca="1">0.5*F21*X21^2*D21*K21</f>
        <v>150.24594980754424</v>
      </c>
      <c r="Q21" s="13">
        <f ca="1">0.5*F21*X21^2*D21*O21</f>
        <v>11.878910700790408</v>
      </c>
      <c r="R21" s="16">
        <f t="shared" ref="R21:R40" ca="1" si="2">P21/Q21</f>
        <v>12.64812520204795</v>
      </c>
      <c r="S21" s="14">
        <f ca="1">Q21*X21</f>
        <v>355.3325128486415</v>
      </c>
      <c r="U21" s="20">
        <f t="shared" ref="U21:U40" ca="1" si="3">SQRT(H21/(0.5*F21*D21*J21))</f>
        <v>23.460111671366612</v>
      </c>
      <c r="V21" s="1">
        <f ca="1">SQRT(L21/N21)</f>
        <v>0.55088573598238688</v>
      </c>
      <c r="W21" s="20">
        <f ca="1">SQRT(H21/(0.5*F21*D21*V21))</f>
        <v>37.768889074123557</v>
      </c>
      <c r="X21" s="13">
        <f ca="1">'Aerodynamics-Turn'!H21</f>
        <v>29.912886947189744</v>
      </c>
      <c r="Y21" s="33"/>
      <c r="Z21" s="19">
        <f ca="1">'Propulsion-Turn'!S21</f>
        <v>163.43103094600932</v>
      </c>
      <c r="AA21" s="42"/>
      <c r="AB21" s="13">
        <f ca="1">'Propulsion-Turn'!F21</f>
        <v>1</v>
      </c>
      <c r="AC21" s="1">
        <f ca="1">($B$10-AB21)/$B$10</f>
        <v>0</v>
      </c>
      <c r="AD21" s="57" t="str">
        <f t="shared" ref="AD21:AD40" ca="1" si="4">IF(AB21&lt;$B$10,"OK","reduce payload weight")</f>
        <v>reduce payload weight</v>
      </c>
      <c r="AE21" s="20"/>
      <c r="AF21" s="16"/>
      <c r="AG21" s="16"/>
      <c r="AH21" s="42"/>
      <c r="AI21" s="42"/>
      <c r="AJ21" s="42"/>
      <c r="AK21" s="16"/>
      <c r="AL21" s="16"/>
      <c r="AM21" s="16"/>
      <c r="AN21" s="16"/>
      <c r="AO21" s="42"/>
      <c r="AP21" s="42"/>
      <c r="AQ21" s="42"/>
      <c r="AR21" s="16"/>
      <c r="AS21" s="16"/>
      <c r="AT21" s="42"/>
      <c r="AU21" s="42"/>
      <c r="AV21" s="16"/>
      <c r="AW21" s="42"/>
      <c r="AX21" s="42"/>
      <c r="AY21" s="42"/>
      <c r="AZ21" s="20"/>
      <c r="BA21" s="20"/>
      <c r="BB21" s="20"/>
      <c r="BC21" s="19"/>
      <c r="BD21" s="6"/>
      <c r="BE21" s="6"/>
      <c r="BF21" s="16"/>
      <c r="BG21" s="16"/>
      <c r="BH21" s="6"/>
      <c r="BI21" s="16"/>
      <c r="BJ21" s="16"/>
      <c r="BK21" s="16"/>
      <c r="BL21" s="6"/>
      <c r="BM21" s="16"/>
      <c r="BN21" s="16"/>
      <c r="BO21" s="16"/>
    </row>
    <row r="22" spans="2:67">
      <c r="B22" s="31">
        <f>Main!C22</f>
        <v>1.5789473684210527</v>
      </c>
      <c r="C22" s="31">
        <f>Main!B22</f>
        <v>0.33333333333333326</v>
      </c>
      <c r="D22" s="1">
        <f t="shared" si="0"/>
        <v>0.52631578947368407</v>
      </c>
      <c r="F22" s="1">
        <f t="shared" si="1"/>
        <v>0.65969672852566186</v>
      </c>
      <c r="H22" s="62">
        <f ca="1">Main!AC22</f>
        <v>131.99424477474008</v>
      </c>
      <c r="J22" s="16">
        <f ca="1">'Aerodynamics-Turn'!AG22</f>
        <v>1.4274792472156612</v>
      </c>
      <c r="K22" s="16">
        <f ca="1">'Aerodynamics-Turn'!BE22</f>
        <v>1.0182843755687105</v>
      </c>
      <c r="L22" s="42">
        <f ca="1">'Aerodynamics-Turn'!BF22</f>
        <v>1.8155945489397772E-2</v>
      </c>
      <c r="M22" s="84">
        <v>0</v>
      </c>
      <c r="N22" s="42">
        <f t="shared" ref="N22:N40" ca="1" si="5">(O22-L22)/K22^2</f>
        <v>5.7444586054860386E-2</v>
      </c>
      <c r="O22" s="10">
        <f ca="1">'Aerodynamics-Turn'!BH22</f>
        <v>7.7720413097271818E-2</v>
      </c>
      <c r="P22" s="13">
        <f t="shared" ref="P22:P40" ca="1" si="6">0.5*F22*X22^2*D22*K22</f>
        <v>153.02416336340443</v>
      </c>
      <c r="Q22" s="13">
        <f t="shared" ref="Q22:Q40" ca="1" si="7">0.5*F22*X22^2*D22*O22</f>
        <v>11.679547949290608</v>
      </c>
      <c r="R22" s="16">
        <f t="shared" ca="1" si="2"/>
        <v>13.101890931720417</v>
      </c>
      <c r="S22" s="14">
        <f t="shared" ref="S22:S40" ca="1" si="8">Q22*X22</f>
        <v>343.63004889975161</v>
      </c>
      <c r="U22" s="20">
        <f t="shared" ca="1" si="3"/>
        <v>23.078747160509497</v>
      </c>
      <c r="V22" s="1">
        <f t="shared" ref="V22:V40" ca="1" si="9">SQRT(L22/N22)</f>
        <v>0.56219228692804113</v>
      </c>
      <c r="W22" s="20">
        <f t="shared" ref="W22:W40" ca="1" si="10">SQRT(H22/(0.5*F22*D22*V22))</f>
        <v>36.775170030518069</v>
      </c>
      <c r="X22" s="13">
        <f ca="1">'Aerodynamics-Turn'!H22</f>
        <v>29.421519599178584</v>
      </c>
      <c r="Y22" s="33"/>
      <c r="Z22" s="19">
        <f ca="1">'Propulsion-Turn'!S22</f>
        <v>168.50192441815364</v>
      </c>
      <c r="AA22" s="42"/>
      <c r="AB22" s="13">
        <f ca="1">'Propulsion-Turn'!F22</f>
        <v>1</v>
      </c>
      <c r="AC22" s="1">
        <f t="shared" ref="AC22:AC40" ca="1" si="11">($B$10-AB22)/$B$10</f>
        <v>0</v>
      </c>
      <c r="AD22" s="57" t="str">
        <f t="shared" ca="1" si="4"/>
        <v>reduce payload weight</v>
      </c>
      <c r="AE22" s="20"/>
      <c r="AF22" s="16"/>
      <c r="AG22" s="16"/>
      <c r="AH22" s="42"/>
      <c r="AI22" s="42"/>
      <c r="AJ22" s="42"/>
      <c r="AK22" s="16"/>
      <c r="AL22" s="16"/>
      <c r="AM22" s="16"/>
      <c r="AN22" s="16"/>
      <c r="AO22" s="42"/>
      <c r="AP22" s="42"/>
      <c r="AQ22" s="42"/>
      <c r="AR22" s="16"/>
      <c r="AS22" s="16"/>
      <c r="AT22" s="42"/>
      <c r="AU22" s="42"/>
      <c r="AV22" s="16"/>
      <c r="AW22" s="42"/>
      <c r="AX22" s="42"/>
      <c r="AY22" s="42"/>
      <c r="AZ22" s="20"/>
      <c r="BA22" s="20"/>
      <c r="BB22" s="20"/>
      <c r="BC22" s="19"/>
      <c r="BD22" s="6"/>
      <c r="BE22" s="6"/>
      <c r="BF22" s="16"/>
      <c r="BG22" s="16"/>
      <c r="BH22" s="6"/>
      <c r="BI22" s="16"/>
      <c r="BJ22" s="16"/>
      <c r="BK22" s="16"/>
      <c r="BL22" s="6"/>
      <c r="BM22" s="16"/>
      <c r="BN22" s="16"/>
      <c r="BO22" s="16"/>
    </row>
    <row r="23" spans="2:67">
      <c r="B23" s="31">
        <f>Main!C23</f>
        <v>1.6578947368421053</v>
      </c>
      <c r="C23" s="31">
        <f>Main!B23</f>
        <v>0.33333333333333326</v>
      </c>
      <c r="D23" s="1">
        <f t="shared" si="0"/>
        <v>0.55263157894736836</v>
      </c>
      <c r="F23" s="1">
        <f t="shared" si="1"/>
        <v>0.65969672852566186</v>
      </c>
      <c r="H23" s="62">
        <f ca="1">Main!AC23</f>
        <v>134.24051129311465</v>
      </c>
      <c r="J23" s="16">
        <f ca="1">'Aerodynamics-Turn'!AG23</f>
        <v>1.4271616137554282</v>
      </c>
      <c r="K23" s="16">
        <f ca="1">'Aerodynamics-Turn'!BE23</f>
        <v>1.0184211889921893</v>
      </c>
      <c r="L23" s="42">
        <f ca="1">'Aerodynamics-Turn'!BF23</f>
        <v>1.8098133199702125E-2</v>
      </c>
      <c r="M23" s="84">
        <v>0</v>
      </c>
      <c r="N23" s="42">
        <f t="shared" ca="1" si="5"/>
        <v>5.5068255774923719E-2</v>
      </c>
      <c r="O23" s="10">
        <f ca="1">'Aerodynamics-Turn'!BH23</f>
        <v>7.5213921341825862E-2</v>
      </c>
      <c r="P23" s="13">
        <f t="shared" ca="1" si="6"/>
        <v>155.63345302635122</v>
      </c>
      <c r="Q23" s="13">
        <f t="shared" ca="1" si="7"/>
        <v>11.494067897059935</v>
      </c>
      <c r="R23" s="16">
        <f t="shared" ca="1" si="2"/>
        <v>13.540328317197488</v>
      </c>
      <c r="S23" s="14">
        <f t="shared" ca="1" si="8"/>
        <v>332.80244261585466</v>
      </c>
      <c r="U23" s="20">
        <f t="shared" ca="1" si="3"/>
        <v>22.715913401677504</v>
      </c>
      <c r="V23" s="1">
        <f t="shared" ca="1" si="9"/>
        <v>0.5732792592553988</v>
      </c>
      <c r="W23" s="20">
        <f t="shared" ca="1" si="10"/>
        <v>35.841292901171578</v>
      </c>
      <c r="X23" s="13">
        <f ca="1">'Aerodynamics-Turn'!H23</f>
        <v>28.954278467487942</v>
      </c>
      <c r="Y23" s="33"/>
      <c r="Z23" s="19">
        <f ca="1">'Propulsion-Turn'!S23</f>
        <v>173.01096984465474</v>
      </c>
      <c r="AA23" s="42"/>
      <c r="AB23" s="13">
        <f ca="1">'Propulsion-Turn'!F23</f>
        <v>1</v>
      </c>
      <c r="AC23" s="1">
        <f t="shared" ca="1" si="11"/>
        <v>0</v>
      </c>
      <c r="AD23" s="57" t="str">
        <f t="shared" ca="1" si="4"/>
        <v>reduce payload weight</v>
      </c>
      <c r="AE23" s="20"/>
      <c r="AF23" s="16"/>
      <c r="AG23" s="16"/>
      <c r="AH23" s="42"/>
      <c r="AI23" s="42"/>
      <c r="AJ23" s="42"/>
      <c r="AK23" s="16"/>
      <c r="AL23" s="16"/>
      <c r="AM23" s="16"/>
      <c r="AN23" s="16"/>
      <c r="AO23" s="42"/>
      <c r="AP23" s="42"/>
      <c r="AQ23" s="42"/>
      <c r="AR23" s="16"/>
      <c r="AS23" s="16"/>
      <c r="AT23" s="42"/>
      <c r="AU23" s="42"/>
      <c r="AV23" s="16"/>
      <c r="AW23" s="42"/>
      <c r="AX23" s="42"/>
      <c r="AY23" s="42"/>
      <c r="AZ23" s="20"/>
      <c r="BA23" s="20"/>
      <c r="BB23" s="20"/>
      <c r="BC23" s="19"/>
      <c r="BD23" s="6"/>
      <c r="BE23" s="6"/>
      <c r="BF23" s="16"/>
      <c r="BG23" s="16"/>
      <c r="BH23" s="6"/>
      <c r="BI23" s="16"/>
      <c r="BJ23" s="16"/>
      <c r="BK23" s="16"/>
      <c r="BL23" s="6"/>
      <c r="BM23" s="16"/>
      <c r="BN23" s="16"/>
      <c r="BO23" s="16"/>
    </row>
    <row r="24" spans="2:67">
      <c r="B24" s="31">
        <f>Main!C24</f>
        <v>1.736842105263158</v>
      </c>
      <c r="C24" s="31">
        <f>Main!B24</f>
        <v>0.33333333333333326</v>
      </c>
      <c r="D24" s="1">
        <f t="shared" si="0"/>
        <v>0.57894736842105254</v>
      </c>
      <c r="F24" s="1">
        <f t="shared" si="1"/>
        <v>0.65969672852566186</v>
      </c>
      <c r="H24" s="62">
        <f ca="1">Main!AC24</f>
        <v>126.40792205792529</v>
      </c>
      <c r="J24" s="16">
        <f ca="1">'Aerodynamics-Turn'!AG24</f>
        <v>1.4261032983164272</v>
      </c>
      <c r="K24" s="16">
        <f ca="1">'Aerodynamics-Turn'!BE24</f>
        <v>1.0185406367529577</v>
      </c>
      <c r="L24" s="42">
        <f ca="1">'Aerodynamics-Turn'!BF24</f>
        <v>1.8379493856121466E-2</v>
      </c>
      <c r="M24" s="84">
        <v>0</v>
      </c>
      <c r="N24" s="42">
        <f t="shared" ca="1" si="5"/>
        <v>5.2899950303638664E-2</v>
      </c>
      <c r="O24" s="10">
        <f ca="1">'Aerodynamics-Turn'!BH24</f>
        <v>7.3259226318820397E-2</v>
      </c>
      <c r="P24" s="13">
        <f t="shared" ca="1" si="6"/>
        <v>146.55686542257868</v>
      </c>
      <c r="Q24" s="13">
        <f t="shared" ca="1" si="7"/>
        <v>10.541201975796787</v>
      </c>
      <c r="R24" s="16">
        <f t="shared" ca="1" si="2"/>
        <v>13.903240423538206</v>
      </c>
      <c r="S24" s="14">
        <f t="shared" ca="1" si="8"/>
        <v>289.35255979168483</v>
      </c>
      <c r="U24" s="20">
        <f t="shared" ca="1" si="3"/>
        <v>21.544426827337073</v>
      </c>
      <c r="V24" s="1">
        <f t="shared" ca="1" si="9"/>
        <v>0.58943937227118282</v>
      </c>
      <c r="W24" s="20">
        <f t="shared" ca="1" si="10"/>
        <v>33.511268374153744</v>
      </c>
      <c r="X24" s="13">
        <f ca="1">'Aerodynamics-Turn'!H24</f>
        <v>27.44967418856622</v>
      </c>
      <c r="Y24" s="33"/>
      <c r="Z24" s="19">
        <f ca="1">'Propulsion-Turn'!S24</f>
        <v>185.52943241148938</v>
      </c>
      <c r="AA24" s="42"/>
      <c r="AB24" s="13">
        <f ca="1">'Propulsion-Turn'!F24</f>
        <v>1</v>
      </c>
      <c r="AC24" s="1">
        <f t="shared" ca="1" si="11"/>
        <v>0</v>
      </c>
      <c r="AD24" s="57" t="str">
        <f t="shared" ca="1" si="4"/>
        <v>reduce payload weight</v>
      </c>
      <c r="AE24" s="20"/>
      <c r="AF24" s="16"/>
      <c r="AG24" s="16"/>
      <c r="AH24" s="42"/>
      <c r="AI24" s="42"/>
      <c r="AJ24" s="42"/>
      <c r="AK24" s="16"/>
      <c r="AL24" s="16"/>
      <c r="AM24" s="16"/>
      <c r="AN24" s="16"/>
      <c r="AO24" s="42"/>
      <c r="AP24" s="42"/>
      <c r="AQ24" s="42"/>
      <c r="AR24" s="16"/>
      <c r="AS24" s="16"/>
      <c r="AT24" s="42"/>
      <c r="AU24" s="42"/>
      <c r="AV24" s="16"/>
      <c r="AW24" s="42"/>
      <c r="AX24" s="42"/>
      <c r="AY24" s="42"/>
      <c r="AZ24" s="20"/>
      <c r="BA24" s="20"/>
      <c r="BB24" s="20"/>
      <c r="BC24" s="19"/>
      <c r="BD24" s="6"/>
      <c r="BE24" s="6"/>
      <c r="BF24" s="16"/>
      <c r="BG24" s="16"/>
      <c r="BH24" s="6"/>
      <c r="BI24" s="16"/>
      <c r="BJ24" s="16"/>
      <c r="BK24" s="16"/>
      <c r="BL24" s="6"/>
      <c r="BM24" s="16"/>
      <c r="BN24" s="16"/>
      <c r="BO24" s="16"/>
    </row>
    <row r="25" spans="2:67">
      <c r="B25" s="31">
        <f>Main!C25</f>
        <v>1.8157894736842106</v>
      </c>
      <c r="C25" s="31">
        <f>Main!B25</f>
        <v>0.33333333333333326</v>
      </c>
      <c r="D25" s="1">
        <f t="shared" si="0"/>
        <v>0.60526315789473673</v>
      </c>
      <c r="F25" s="1">
        <f t="shared" si="1"/>
        <v>0.65969672852566186</v>
      </c>
      <c r="H25" s="62">
        <f ca="1">Main!AC25</f>
        <v>128.23739388388455</v>
      </c>
      <c r="J25" s="16">
        <f ca="1">'Aerodynamics-Turn'!AG25</f>
        <v>1.4258043677988799</v>
      </c>
      <c r="K25" s="16">
        <f ca="1">'Aerodynamics-Turn'!BE25</f>
        <v>1.0186455837119339</v>
      </c>
      <c r="L25" s="42">
        <f ca="1">'Aerodynamics-Turn'!BF25</f>
        <v>1.8349158184452444E-2</v>
      </c>
      <c r="M25" s="84">
        <v>0</v>
      </c>
      <c r="N25" s="42">
        <f t="shared" ca="1" si="5"/>
        <v>5.0925381895483027E-2</v>
      </c>
      <c r="O25" s="10">
        <f ca="1">'Aerodynamics-Turn'!BH25</f>
        <v>7.1191311627957984E-2</v>
      </c>
      <c r="P25" s="13">
        <f t="shared" ca="1" si="6"/>
        <v>148.68171452200582</v>
      </c>
      <c r="Q25" s="13">
        <f t="shared" ca="1" si="7"/>
        <v>10.391098180923862</v>
      </c>
      <c r="R25" s="16">
        <f t="shared" ca="1" si="2"/>
        <v>14.308566037318172</v>
      </c>
      <c r="S25" s="14">
        <f t="shared" ca="1" si="8"/>
        <v>280.9631660715396</v>
      </c>
      <c r="U25" s="20">
        <f t="shared" ca="1" si="3"/>
        <v>21.225018832730008</v>
      </c>
      <c r="V25" s="1">
        <f t="shared" ca="1" si="9"/>
        <v>0.60026210249559986</v>
      </c>
      <c r="W25" s="20">
        <f t="shared" ca="1" si="10"/>
        <v>32.71203725256602</v>
      </c>
      <c r="X25" s="13">
        <f ca="1">'Aerodynamics-Turn'!H25</f>
        <v>27.03883277583968</v>
      </c>
      <c r="Y25" s="33"/>
      <c r="Z25" s="19">
        <f ca="1">'Propulsion-Turn'!S25</f>
        <v>188.43838770651962</v>
      </c>
      <c r="AA25" s="42"/>
      <c r="AB25" s="13">
        <f ca="1">'Propulsion-Turn'!F25</f>
        <v>1</v>
      </c>
      <c r="AC25" s="1">
        <f t="shared" ca="1" si="11"/>
        <v>0</v>
      </c>
      <c r="AD25" s="57" t="str">
        <f t="shared" ca="1" si="4"/>
        <v>reduce payload weight</v>
      </c>
      <c r="AE25" s="20"/>
      <c r="AF25" s="16"/>
      <c r="AG25" s="16"/>
      <c r="AH25" s="42"/>
      <c r="AI25" s="42"/>
      <c r="AJ25" s="42"/>
      <c r="AK25" s="16"/>
      <c r="AL25" s="16"/>
      <c r="AM25" s="16"/>
      <c r="AN25" s="16"/>
      <c r="AO25" s="42"/>
      <c r="AP25" s="42"/>
      <c r="AQ25" s="42"/>
      <c r="AR25" s="16"/>
      <c r="AS25" s="16"/>
      <c r="AT25" s="42"/>
      <c r="AU25" s="42"/>
      <c r="AV25" s="16"/>
      <c r="AW25" s="42"/>
      <c r="AX25" s="42"/>
      <c r="AY25" s="42"/>
      <c r="AZ25" s="20"/>
      <c r="BA25" s="20"/>
      <c r="BB25" s="20"/>
      <c r="BC25" s="19"/>
      <c r="BD25" s="6"/>
      <c r="BE25" s="6"/>
      <c r="BF25" s="16"/>
      <c r="BG25" s="16"/>
      <c r="BH25" s="6"/>
      <c r="BI25" s="16"/>
      <c r="BJ25" s="16"/>
      <c r="BK25" s="16"/>
      <c r="BL25" s="6"/>
      <c r="BM25" s="16"/>
      <c r="BN25" s="16"/>
      <c r="BO25" s="16"/>
    </row>
    <row r="26" spans="2:67">
      <c r="B26" s="31">
        <f>Main!C26</f>
        <v>1.8947368421052633</v>
      </c>
      <c r="C26" s="31">
        <f>Main!B26</f>
        <v>0.33333333333333326</v>
      </c>
      <c r="D26" s="1">
        <f t="shared" si="0"/>
        <v>0.63157894736842091</v>
      </c>
      <c r="F26" s="1">
        <f t="shared" si="1"/>
        <v>0.65969672852566186</v>
      </c>
      <c r="H26" s="62">
        <f ca="1">Main!AC26</f>
        <v>129.96953292057736</v>
      </c>
      <c r="J26" s="16">
        <f ca="1">'Aerodynamics-Turn'!AG26</f>
        <v>1.425514903294643</v>
      </c>
      <c r="K26" s="16">
        <f ca="1">'Aerodynamics-Turn'!BE26</f>
        <v>1.0187383231734775</v>
      </c>
      <c r="L26" s="42">
        <f ca="1">'Aerodynamics-Turn'!BF26</f>
        <v>1.8328657590084826E-2</v>
      </c>
      <c r="M26" s="84">
        <v>0</v>
      </c>
      <c r="N26" s="42">
        <f t="shared" ca="1" si="5"/>
        <v>4.9114554356729345E-2</v>
      </c>
      <c r="O26" s="10">
        <f ca="1">'Aerodynamics-Turn'!BH26</f>
        <v>6.9301106066618434E-2</v>
      </c>
      <c r="P26" s="13">
        <f t="shared" ca="1" si="6"/>
        <v>150.69337463326718</v>
      </c>
      <c r="Q26" s="13">
        <f t="shared" ca="1" si="7"/>
        <v>10.251128578794397</v>
      </c>
      <c r="R26" s="16">
        <f t="shared" ca="1" si="2"/>
        <v>14.700174080831767</v>
      </c>
      <c r="S26" s="14">
        <f t="shared" ca="1" si="8"/>
        <v>273.15958755910663</v>
      </c>
      <c r="U26" s="20">
        <f t="shared" ca="1" si="3"/>
        <v>20.920107320744073</v>
      </c>
      <c r="V26" s="1">
        <f t="shared" ca="1" si="9"/>
        <v>0.61088607424362773</v>
      </c>
      <c r="W26" s="20">
        <f t="shared" ca="1" si="10"/>
        <v>31.957270346540746</v>
      </c>
      <c r="X26" s="13">
        <f ca="1">'Aerodynamics-Turn'!H26</f>
        <v>26.646781908866753</v>
      </c>
      <c r="Y26" s="33"/>
      <c r="Z26" s="19">
        <f ca="1">'Propulsion-Turn'!S26</f>
        <v>191.01948909511808</v>
      </c>
      <c r="AA26" s="42"/>
      <c r="AB26" s="13">
        <f ca="1">'Propulsion-Turn'!F26</f>
        <v>1</v>
      </c>
      <c r="AC26" s="1">
        <f t="shared" ca="1" si="11"/>
        <v>0</v>
      </c>
      <c r="AD26" s="57" t="str">
        <f t="shared" ca="1" si="4"/>
        <v>reduce payload weight</v>
      </c>
      <c r="AE26" s="20"/>
      <c r="AF26" s="16"/>
      <c r="AG26" s="16"/>
      <c r="AH26" s="42"/>
      <c r="AI26" s="42"/>
      <c r="AJ26" s="42"/>
      <c r="AK26" s="16"/>
      <c r="AL26" s="16"/>
      <c r="AM26" s="16"/>
      <c r="AN26" s="16"/>
      <c r="AO26" s="42"/>
      <c r="AP26" s="42"/>
      <c r="AQ26" s="42"/>
      <c r="AR26" s="16"/>
      <c r="AS26" s="16"/>
      <c r="AT26" s="42"/>
      <c r="AU26" s="42"/>
      <c r="AV26" s="16"/>
      <c r="AW26" s="42"/>
      <c r="AX26" s="42"/>
      <c r="AY26" s="42"/>
      <c r="AZ26" s="20"/>
      <c r="BA26" s="20"/>
      <c r="BB26" s="20"/>
      <c r="BC26" s="19"/>
      <c r="BD26" s="6"/>
      <c r="BE26" s="6"/>
      <c r="BF26" s="16"/>
      <c r="BG26" s="16"/>
      <c r="BH26" s="6"/>
      <c r="BI26" s="16"/>
      <c r="BJ26" s="16"/>
      <c r="BK26" s="16"/>
      <c r="BL26" s="6"/>
      <c r="BM26" s="16"/>
      <c r="BN26" s="16"/>
      <c r="BO26" s="16"/>
    </row>
    <row r="27" spans="2:67">
      <c r="B27" s="31">
        <f>Main!C27</f>
        <v>1.9736842105263159</v>
      </c>
      <c r="C27" s="31">
        <f>Main!B27</f>
        <v>0.33333333333333326</v>
      </c>
      <c r="D27" s="1">
        <f t="shared" si="0"/>
        <v>0.6578947368421052</v>
      </c>
      <c r="F27" s="1">
        <f t="shared" si="1"/>
        <v>0.65969672852566186</v>
      </c>
      <c r="H27" s="62">
        <f ca="1">Main!AC27</f>
        <v>131.61371211431475</v>
      </c>
      <c r="J27" s="16">
        <f ca="1">'Aerodynamics-Turn'!AG27</f>
        <v>1.4252344089486937</v>
      </c>
      <c r="K27" s="16">
        <f ca="1">'Aerodynamics-Turn'!BE27</f>
        <v>1.0188207089419152</v>
      </c>
      <c r="L27" s="42">
        <f ca="1">'Aerodynamics-Turn'!BF27</f>
        <v>1.831664097012034E-2</v>
      </c>
      <c r="M27" s="84">
        <v>0</v>
      </c>
      <c r="N27" s="42">
        <f t="shared" ca="1" si="5"/>
        <v>4.7447977522858689E-2</v>
      </c>
      <c r="O27" s="10">
        <f ca="1">'Aerodynamics-Turn'!BH27</f>
        <v>6.7567434621646161E-2</v>
      </c>
      <c r="P27" s="13">
        <f t="shared" ca="1" si="6"/>
        <v>152.60275623265028</v>
      </c>
      <c r="Q27" s="13">
        <f t="shared" ca="1" si="7"/>
        <v>10.12050173728894</v>
      </c>
      <c r="R27" s="16">
        <f t="shared" ca="1" si="2"/>
        <v>15.078576160941326</v>
      </c>
      <c r="S27" s="14">
        <f t="shared" ca="1" si="8"/>
        <v>265.88814688522882</v>
      </c>
      <c r="U27" s="20">
        <f t="shared" ca="1" si="3"/>
        <v>20.628708852145795</v>
      </c>
      <c r="V27" s="1">
        <f t="shared" ca="1" si="9"/>
        <v>0.62131818332060085</v>
      </c>
      <c r="W27" s="20">
        <f t="shared" ca="1" si="10"/>
        <v>31.243391003378527</v>
      </c>
      <c r="X27" s="13">
        <f ca="1">'Aerodynamics-Turn'!H27</f>
        <v>26.272229755698174</v>
      </c>
      <c r="Y27" s="33"/>
      <c r="Z27" s="19">
        <f ca="1">'Propulsion-Turn'!S27</f>
        <v>193.31184779479659</v>
      </c>
      <c r="AA27" s="42"/>
      <c r="AB27" s="13">
        <f ca="1">'Propulsion-Turn'!F27</f>
        <v>1</v>
      </c>
      <c r="AC27" s="1">
        <f t="shared" ca="1" si="11"/>
        <v>0</v>
      </c>
      <c r="AD27" s="57" t="str">
        <f t="shared" ca="1" si="4"/>
        <v>reduce payload weight</v>
      </c>
      <c r="AE27" s="20"/>
      <c r="AF27" s="16"/>
      <c r="AG27" s="16"/>
      <c r="AH27" s="42"/>
      <c r="AI27" s="42"/>
      <c r="AJ27" s="42"/>
      <c r="AK27" s="16"/>
      <c r="AL27" s="16"/>
      <c r="AM27" s="16"/>
      <c r="AN27" s="16"/>
      <c r="AO27" s="42"/>
      <c r="AP27" s="42"/>
      <c r="AQ27" s="42"/>
      <c r="AR27" s="16"/>
      <c r="AS27" s="16"/>
      <c r="AT27" s="42"/>
      <c r="AU27" s="42"/>
      <c r="AV27" s="16"/>
      <c r="AW27" s="42"/>
      <c r="AX27" s="42"/>
      <c r="AY27" s="42"/>
      <c r="AZ27" s="20"/>
      <c r="BA27" s="20"/>
      <c r="BB27" s="20"/>
      <c r="BC27" s="19"/>
      <c r="BD27" s="6"/>
      <c r="BE27" s="6"/>
      <c r="BF27" s="16"/>
      <c r="BG27" s="16"/>
      <c r="BH27" s="6"/>
      <c r="BI27" s="16"/>
      <c r="BJ27" s="16"/>
      <c r="BK27" s="16"/>
      <c r="BL27" s="6"/>
      <c r="BM27" s="16"/>
      <c r="BN27" s="16"/>
      <c r="BO27" s="16"/>
    </row>
    <row r="28" spans="2:67">
      <c r="B28" s="31">
        <f>Main!C28</f>
        <v>2.0526315789473686</v>
      </c>
      <c r="C28" s="31">
        <f>Main!B28</f>
        <v>0.33333333333333326</v>
      </c>
      <c r="D28" s="1">
        <f t="shared" si="0"/>
        <v>0.68421052631578938</v>
      </c>
      <c r="F28" s="1">
        <f t="shared" si="1"/>
        <v>0.65969672852566186</v>
      </c>
      <c r="H28" s="62">
        <f ca="1">Main!AC28</f>
        <v>132.52501256805863</v>
      </c>
      <c r="J28" s="16">
        <f ca="1">'Aerodynamics-Turn'!AG28</f>
        <v>1.4249137275805428</v>
      </c>
      <c r="K28" s="16">
        <f ca="1">'Aerodynamics-Turn'!BE28</f>
        <v>1.018894253034897</v>
      </c>
      <c r="L28" s="42">
        <f ca="1">'Aerodynamics-Turn'!BF28</f>
        <v>1.8333867027645806E-2</v>
      </c>
      <c r="M28" s="84">
        <v>0</v>
      </c>
      <c r="N28" s="42">
        <f t="shared" ca="1" si="5"/>
        <v>4.5908743932665225E-2</v>
      </c>
      <c r="O28" s="10">
        <f ca="1">'Aerodynamics-Turn'!BH28</f>
        <v>6.5993822899827678E-2</v>
      </c>
      <c r="P28" s="13">
        <f t="shared" ca="1" si="6"/>
        <v>153.66211481839088</v>
      </c>
      <c r="Q28" s="13">
        <f t="shared" ca="1" si="7"/>
        <v>9.9527015306372082</v>
      </c>
      <c r="R28" s="16">
        <f t="shared" ca="1" si="2"/>
        <v>15.439236708282245</v>
      </c>
      <c r="S28" s="14">
        <f t="shared" ca="1" si="8"/>
        <v>257.28104078334394</v>
      </c>
      <c r="U28" s="20">
        <f t="shared" ca="1" si="3"/>
        <v>20.300306672777175</v>
      </c>
      <c r="V28" s="1">
        <f t="shared" ca="1" si="9"/>
        <v>0.63194507459186866</v>
      </c>
      <c r="W28" s="20">
        <f t="shared" ca="1" si="10"/>
        <v>30.482965696473403</v>
      </c>
      <c r="X28" s="13">
        <f ca="1">'Aerodynamics-Turn'!H28</f>
        <v>25.850372382859632</v>
      </c>
      <c r="Y28" s="33"/>
      <c r="Z28" s="19">
        <f ca="1">'Propulsion-Turn'!S28</f>
        <v>195.69543950574533</v>
      </c>
      <c r="AA28" s="42"/>
      <c r="AB28" s="13">
        <f ca="1">'Propulsion-Turn'!F28</f>
        <v>1</v>
      </c>
      <c r="AC28" s="1">
        <f t="shared" ca="1" si="11"/>
        <v>0</v>
      </c>
      <c r="AD28" s="57" t="str">
        <f t="shared" ca="1" si="4"/>
        <v>reduce payload weight</v>
      </c>
      <c r="AE28" s="20"/>
      <c r="AF28" s="16"/>
      <c r="AG28" s="16"/>
      <c r="AH28" s="42"/>
      <c r="AI28" s="42"/>
      <c r="AJ28" s="42"/>
      <c r="AK28" s="16"/>
      <c r="AL28" s="16"/>
      <c r="AM28" s="16"/>
      <c r="AN28" s="16"/>
      <c r="AO28" s="42"/>
      <c r="AP28" s="42"/>
      <c r="AQ28" s="42"/>
      <c r="AR28" s="16"/>
      <c r="AS28" s="16"/>
      <c r="AT28" s="42"/>
      <c r="AU28" s="42"/>
      <c r="AV28" s="16"/>
      <c r="AW28" s="42"/>
      <c r="AX28" s="42"/>
      <c r="AY28" s="42"/>
      <c r="AZ28" s="20"/>
      <c r="BA28" s="20"/>
      <c r="BB28" s="20"/>
      <c r="BC28" s="19"/>
      <c r="BD28" s="6"/>
      <c r="BE28" s="6"/>
      <c r="BF28" s="16"/>
      <c r="BG28" s="16"/>
      <c r="BH28" s="6"/>
      <c r="BI28" s="16"/>
      <c r="BJ28" s="16"/>
      <c r="BK28" s="16"/>
      <c r="BL28" s="6"/>
      <c r="BM28" s="16"/>
      <c r="BN28" s="16"/>
      <c r="BO28" s="16"/>
    </row>
    <row r="29" spans="2:67">
      <c r="B29" s="31">
        <f>Main!C29</f>
        <v>2.1315789473684212</v>
      </c>
      <c r="C29" s="31">
        <f>Main!B29</f>
        <v>0.33333333333333326</v>
      </c>
      <c r="D29" s="1">
        <f t="shared" si="0"/>
        <v>0.71052631578947356</v>
      </c>
      <c r="F29" s="1">
        <f t="shared" si="1"/>
        <v>0.65969672852566186</v>
      </c>
      <c r="H29" s="62">
        <f ca="1">Main!AC29</f>
        <v>132.22241873545346</v>
      </c>
      <c r="J29" s="16">
        <f ca="1">'Aerodynamics-Turn'!AG29</f>
        <v>1.4245168750052513</v>
      </c>
      <c r="K29" s="16">
        <f ca="1">'Aerodynamics-Turn'!BE29</f>
        <v>1.0189601989060075</v>
      </c>
      <c r="L29" s="42">
        <f ca="1">'Aerodynamics-Turn'!BF29</f>
        <v>1.8396013636558017E-2</v>
      </c>
      <c r="M29" s="84">
        <v>0</v>
      </c>
      <c r="N29" s="42">
        <f t="shared" ca="1" si="5"/>
        <v>4.4482515489597849E-2</v>
      </c>
      <c r="O29" s="10">
        <f ca="1">'Aerodynamics-Turn'!BH29</f>
        <v>6.4581314790389061E-2</v>
      </c>
      <c r="P29" s="13">
        <f t="shared" ca="1" si="6"/>
        <v>153.31370034495663</v>
      </c>
      <c r="Q29" s="13">
        <f t="shared" ca="1" si="7"/>
        <v>9.7169647590625328</v>
      </c>
      <c r="R29" s="16">
        <f t="shared" ca="1" si="2"/>
        <v>15.777941378450356</v>
      </c>
      <c r="S29" s="14">
        <f t="shared" ca="1" si="8"/>
        <v>246.20408199359579</v>
      </c>
      <c r="U29" s="20">
        <f t="shared" ca="1" si="3"/>
        <v>19.90084414079681</v>
      </c>
      <c r="V29" s="1">
        <f t="shared" ca="1" si="9"/>
        <v>0.64308324136095019</v>
      </c>
      <c r="W29" s="20">
        <f t="shared" ca="1" si="10"/>
        <v>29.619089328362922</v>
      </c>
      <c r="X29" s="13">
        <f ca="1">'Aerodynamics-Turn'!H29</f>
        <v>25.337550160719807</v>
      </c>
      <c r="Y29" s="33"/>
      <c r="Z29" s="19">
        <f ca="1">'Propulsion-Turn'!S29</f>
        <v>198.31723912126392</v>
      </c>
      <c r="AA29" s="42"/>
      <c r="AB29" s="13">
        <f ca="1">'Propulsion-Turn'!F29</f>
        <v>1</v>
      </c>
      <c r="AC29" s="1">
        <f t="shared" ca="1" si="11"/>
        <v>0</v>
      </c>
      <c r="AD29" s="57" t="str">
        <f t="shared" ca="1" si="4"/>
        <v>reduce payload weight</v>
      </c>
      <c r="AE29" s="20"/>
      <c r="AF29" s="16"/>
      <c r="AG29" s="16"/>
      <c r="AH29" s="42"/>
      <c r="AI29" s="42"/>
      <c r="AJ29" s="42"/>
      <c r="AK29" s="16"/>
      <c r="AL29" s="16"/>
      <c r="AM29" s="16"/>
      <c r="AN29" s="16"/>
      <c r="AO29" s="42"/>
      <c r="AP29" s="42"/>
      <c r="AQ29" s="42"/>
      <c r="AR29" s="16"/>
      <c r="AS29" s="16"/>
      <c r="AT29" s="42"/>
      <c r="AU29" s="42"/>
      <c r="AV29" s="16"/>
      <c r="AW29" s="42"/>
      <c r="AX29" s="42"/>
      <c r="AY29" s="42"/>
      <c r="AZ29" s="20"/>
      <c r="BA29" s="20"/>
      <c r="BB29" s="20"/>
      <c r="BC29" s="19"/>
      <c r="BD29" s="6"/>
      <c r="BE29" s="6"/>
      <c r="BF29" s="16"/>
      <c r="BG29" s="16"/>
      <c r="BH29" s="6"/>
      <c r="BI29" s="16"/>
      <c r="BJ29" s="16"/>
      <c r="BK29" s="16"/>
      <c r="BL29" s="6"/>
      <c r="BM29" s="16"/>
      <c r="BN29" s="16"/>
      <c r="BO29" s="16"/>
    </row>
    <row r="30" spans="2:67">
      <c r="B30" s="31">
        <f>Main!C30</f>
        <v>2.2105263157894739</v>
      </c>
      <c r="C30" s="31">
        <f>Main!B30</f>
        <v>0.33333333333333326</v>
      </c>
      <c r="D30" s="1">
        <f t="shared" si="0"/>
        <v>0.73684210526315785</v>
      </c>
      <c r="F30" s="1">
        <f t="shared" si="1"/>
        <v>0.65969672852566186</v>
      </c>
      <c r="H30" s="62">
        <f ca="1">Main!AC30</f>
        <v>131.99460630452538</v>
      </c>
      <c r="J30" s="16">
        <f ca="1">'Aerodynamics-Turn'!AG30</f>
        <v>1.4241393266802032</v>
      </c>
      <c r="K30" s="16">
        <f ca="1">'Aerodynamics-Turn'!BE30</f>
        <v>1.0190195769574801</v>
      </c>
      <c r="L30" s="42">
        <f ca="1">'Aerodynamics-Turn'!BF30</f>
        <v>1.8459353372182762E-2</v>
      </c>
      <c r="M30" s="84">
        <v>0</v>
      </c>
      <c r="N30" s="42">
        <f t="shared" ca="1" si="5"/>
        <v>4.3158026419762539E-2</v>
      </c>
      <c r="O30" s="10">
        <f ca="1">'Aerodynamics-Turn'!BH30</f>
        <v>6.3274686771827932E-2</v>
      </c>
      <c r="P30" s="13">
        <f t="shared" ca="1" si="6"/>
        <v>153.05174361211641</v>
      </c>
      <c r="Q30" s="13">
        <f t="shared" ca="1" si="7"/>
        <v>9.5035476804611694</v>
      </c>
      <c r="R30" s="16">
        <f t="shared" ca="1" si="2"/>
        <v>16.104695715557185</v>
      </c>
      <c r="S30" s="14">
        <f t="shared" ca="1" si="8"/>
        <v>236.24860362771801</v>
      </c>
      <c r="U30" s="20">
        <f t="shared" ca="1" si="3"/>
        <v>19.52798658600268</v>
      </c>
      <c r="V30" s="1">
        <f t="shared" ca="1" si="9"/>
        <v>0.6539995561440064</v>
      </c>
      <c r="W30" s="20">
        <f t="shared" ca="1" si="10"/>
        <v>28.816748817538677</v>
      </c>
      <c r="X30" s="13">
        <f ca="1">'Aerodynamics-Turn'!H30</f>
        <v>24.858990723279437</v>
      </c>
      <c r="Y30" s="33"/>
      <c r="Z30" s="19">
        <f ca="1">'Propulsion-Turn'!S30</f>
        <v>200.49798635921096</v>
      </c>
      <c r="AA30" s="42"/>
      <c r="AB30" s="13">
        <f ca="1">'Propulsion-Turn'!F30</f>
        <v>1</v>
      </c>
      <c r="AC30" s="1">
        <f t="shared" ca="1" si="11"/>
        <v>0</v>
      </c>
      <c r="AD30" s="57" t="str">
        <f t="shared" ca="1" si="4"/>
        <v>reduce payload weight</v>
      </c>
      <c r="AE30" s="20"/>
      <c r="AF30" s="16"/>
      <c r="AG30" s="16"/>
      <c r="AH30" s="42"/>
      <c r="AI30" s="42"/>
      <c r="AJ30" s="42"/>
      <c r="AK30" s="16"/>
      <c r="AL30" s="16"/>
      <c r="AM30" s="16"/>
      <c r="AN30" s="16"/>
      <c r="AO30" s="42"/>
      <c r="AP30" s="42"/>
      <c r="AQ30" s="42"/>
      <c r="AR30" s="16"/>
      <c r="AS30" s="16"/>
      <c r="AT30" s="42"/>
      <c r="AU30" s="42"/>
      <c r="AV30" s="16"/>
      <c r="AW30" s="42"/>
      <c r="AX30" s="42"/>
      <c r="AY30" s="42"/>
      <c r="AZ30" s="20"/>
      <c r="BA30" s="20"/>
      <c r="BB30" s="20"/>
      <c r="BC30" s="19"/>
      <c r="BD30" s="6"/>
      <c r="BE30" s="6"/>
      <c r="BF30" s="16"/>
      <c r="BG30" s="16"/>
      <c r="BH30" s="6"/>
      <c r="BI30" s="16"/>
      <c r="BJ30" s="16"/>
      <c r="BK30" s="16"/>
      <c r="BL30" s="6"/>
      <c r="BM30" s="16"/>
      <c r="BN30" s="16"/>
      <c r="BO30" s="16"/>
    </row>
    <row r="31" spans="2:67">
      <c r="B31" s="31">
        <f>Main!C31</f>
        <v>2.2894736842105265</v>
      </c>
      <c r="C31" s="31">
        <f>Main!B31</f>
        <v>0.33333333333333326</v>
      </c>
      <c r="D31" s="1">
        <f t="shared" si="0"/>
        <v>0.76315789473684204</v>
      </c>
      <c r="F31" s="1">
        <f t="shared" si="1"/>
        <v>0.65969672852566186</v>
      </c>
      <c r="H31" s="62">
        <f ca="1">Main!AC31</f>
        <v>131.83112185391033</v>
      </c>
      <c r="J31" s="16">
        <f ca="1">'Aerodynamics-Turn'!AG31</f>
        <v>1.4237793515879875</v>
      </c>
      <c r="K31" s="16">
        <f ca="1">'Aerodynamics-Turn'!BE31</f>
        <v>1.0190732470809725</v>
      </c>
      <c r="L31" s="42">
        <f ca="1">'Aerodynamics-Turn'!BF31</f>
        <v>1.852366427123027E-2</v>
      </c>
      <c r="M31" s="84">
        <v>0</v>
      </c>
      <c r="N31" s="42">
        <f t="shared" ca="1" si="5"/>
        <v>4.1924848958478422E-2</v>
      </c>
      <c r="O31" s="10">
        <f ca="1">'Aerodynamics-Turn'!BH31</f>
        <v>6.206305102417721E-2</v>
      </c>
      <c r="P31" s="13">
        <f t="shared" ca="1" si="6"/>
        <v>152.86416007115602</v>
      </c>
      <c r="Q31" s="13">
        <f t="shared" ca="1" si="7"/>
        <v>9.3096508945154586</v>
      </c>
      <c r="R31" s="16">
        <f t="shared" ca="1" si="2"/>
        <v>16.41996695721555</v>
      </c>
      <c r="S31" s="14">
        <f t="shared" ca="1" si="8"/>
        <v>227.25799169464068</v>
      </c>
      <c r="U31" s="20">
        <f t="shared" ca="1" si="3"/>
        <v>19.178880836676328</v>
      </c>
      <c r="V31" s="1">
        <f t="shared" ca="1" si="9"/>
        <v>0.66470308929742328</v>
      </c>
      <c r="W31" s="20">
        <f t="shared" ca="1" si="10"/>
        <v>28.06924668466328</v>
      </c>
      <c r="X31" s="13">
        <f ca="1">'Aerodynamics-Turn'!H31</f>
        <v>24.411011139810388</v>
      </c>
      <c r="Y31" s="33"/>
      <c r="Z31" s="19">
        <f ca="1">'Propulsion-Turn'!S31</f>
        <v>202.31243404406999</v>
      </c>
      <c r="AA31" s="42"/>
      <c r="AB31" s="13">
        <f ca="1">'Propulsion-Turn'!F31</f>
        <v>1</v>
      </c>
      <c r="AC31" s="1">
        <f t="shared" ca="1" si="11"/>
        <v>0</v>
      </c>
      <c r="AD31" s="57" t="str">
        <f t="shared" ca="1" si="4"/>
        <v>reduce payload weight</v>
      </c>
      <c r="AE31" s="20"/>
      <c r="AF31" s="16"/>
      <c r="AG31" s="16"/>
      <c r="AH31" s="42"/>
      <c r="AI31" s="42"/>
      <c r="AJ31" s="42"/>
      <c r="AK31" s="16"/>
      <c r="AL31" s="16"/>
      <c r="AM31" s="16"/>
      <c r="AN31" s="16"/>
      <c r="AO31" s="42"/>
      <c r="AP31" s="42"/>
      <c r="AQ31" s="42"/>
      <c r="AR31" s="16"/>
      <c r="AS31" s="16"/>
      <c r="AT31" s="42"/>
      <c r="AU31" s="42"/>
      <c r="AV31" s="16"/>
      <c r="AW31" s="42"/>
      <c r="AX31" s="42"/>
      <c r="AY31" s="42"/>
      <c r="AZ31" s="20"/>
      <c r="BA31" s="20"/>
      <c r="BB31" s="20"/>
      <c r="BC31" s="19"/>
      <c r="BD31" s="6"/>
      <c r="BE31" s="6"/>
      <c r="BF31" s="16"/>
      <c r="BG31" s="16"/>
      <c r="BH31" s="6"/>
      <c r="BI31" s="16"/>
      <c r="BJ31" s="16"/>
      <c r="BK31" s="16"/>
      <c r="BL31" s="6"/>
      <c r="BM31" s="16"/>
      <c r="BN31" s="16"/>
      <c r="BO31" s="16"/>
    </row>
    <row r="32" spans="2:67">
      <c r="B32" s="31">
        <f>Main!C32</f>
        <v>2.3684210526315792</v>
      </c>
      <c r="C32" s="31">
        <f>Main!B32</f>
        <v>0.33333333333333326</v>
      </c>
      <c r="D32" s="1">
        <f t="shared" si="0"/>
        <v>0.78947368421052622</v>
      </c>
      <c r="F32" s="1">
        <f t="shared" si="1"/>
        <v>0.65969672852566186</v>
      </c>
      <c r="H32" s="62">
        <f ca="1">Main!AC32</f>
        <v>131.72349764097771</v>
      </c>
      <c r="J32" s="16">
        <f ca="1">'Aerodynamics-Turn'!AG32</f>
        <v>1.4234354566744043</v>
      </c>
      <c r="K32" s="16">
        <f ca="1">'Aerodynamics-Turn'!BE32</f>
        <v>1.019121931583451</v>
      </c>
      <c r="L32" s="42">
        <f ca="1">'Aerodynamics-Turn'!BF32</f>
        <v>1.8588747933118863E-2</v>
      </c>
      <c r="M32" s="84">
        <v>0</v>
      </c>
      <c r="N32" s="42">
        <f t="shared" ca="1" si="5"/>
        <v>4.0773939954074322E-2</v>
      </c>
      <c r="O32" s="10">
        <f ca="1">'Aerodynamics-Turn'!BH32</f>
        <v>6.0936949787946088E-2</v>
      </c>
      <c r="P32" s="13">
        <f t="shared" ca="1" si="6"/>
        <v>152.74116115522642</v>
      </c>
      <c r="Q32" s="13">
        <f t="shared" ca="1" si="7"/>
        <v>9.1329409950064075</v>
      </c>
      <c r="R32" s="16">
        <f t="shared" ca="1" si="2"/>
        <v>16.724203215452754</v>
      </c>
      <c r="S32" s="14">
        <f t="shared" ca="1" si="8"/>
        <v>219.10365656438705</v>
      </c>
      <c r="U32" s="20">
        <f t="shared" ca="1" si="3"/>
        <v>18.85110188989939</v>
      </c>
      <c r="V32" s="1">
        <f t="shared" ca="1" si="9"/>
        <v>0.67520201497201382</v>
      </c>
      <c r="W32" s="20">
        <f t="shared" ca="1" si="10"/>
        <v>27.370880322650834</v>
      </c>
      <c r="X32" s="13">
        <f ca="1">'Aerodynamics-Turn'!H32</f>
        <v>23.990482001725344</v>
      </c>
      <c r="Y32" s="33"/>
      <c r="Z32" s="19">
        <f ca="1">'Propulsion-Turn'!S32</f>
        <v>203.82008234307756</v>
      </c>
      <c r="AA32" s="42"/>
      <c r="AB32" s="13">
        <f ca="1">'Propulsion-Turn'!F32</f>
        <v>1</v>
      </c>
      <c r="AC32" s="1">
        <f t="shared" ca="1" si="11"/>
        <v>0</v>
      </c>
      <c r="AD32" s="57" t="str">
        <f t="shared" ca="1" si="4"/>
        <v>reduce payload weight</v>
      </c>
      <c r="AE32" s="20"/>
      <c r="AF32" s="16"/>
      <c r="AG32" s="16"/>
      <c r="AH32" s="42"/>
      <c r="AI32" s="42"/>
      <c r="AJ32" s="42"/>
      <c r="AK32" s="16"/>
      <c r="AL32" s="16"/>
      <c r="AM32" s="16"/>
      <c r="AN32" s="16"/>
      <c r="AO32" s="42"/>
      <c r="AP32" s="42"/>
      <c r="AQ32" s="42"/>
      <c r="AR32" s="16"/>
      <c r="AS32" s="16"/>
      <c r="AT32" s="42"/>
      <c r="AU32" s="42"/>
      <c r="AV32" s="16"/>
      <c r="AW32" s="42"/>
      <c r="AX32" s="42"/>
      <c r="AY32" s="42"/>
      <c r="AZ32" s="20"/>
      <c r="BA32" s="20"/>
      <c r="BB32" s="20"/>
      <c r="BC32" s="19"/>
      <c r="BD32" s="6"/>
      <c r="BE32" s="6"/>
      <c r="BF32" s="16"/>
      <c r="BG32" s="16"/>
      <c r="BH32" s="6"/>
      <c r="BI32" s="16"/>
      <c r="BJ32" s="16"/>
      <c r="BK32" s="16"/>
      <c r="BL32" s="6"/>
      <c r="BM32" s="16"/>
      <c r="BN32" s="16"/>
      <c r="BO32" s="16"/>
    </row>
    <row r="33" spans="2:67">
      <c r="B33" s="31">
        <f>Main!C33</f>
        <v>2.4473684210526319</v>
      </c>
      <c r="C33" s="31">
        <f>Main!B33</f>
        <v>0.33333333333333326</v>
      </c>
      <c r="D33" s="1">
        <f t="shared" si="0"/>
        <v>0.8157894736842104</v>
      </c>
      <c r="F33" s="1">
        <f t="shared" si="1"/>
        <v>0.65969672852566186</v>
      </c>
      <c r="H33" s="62">
        <f ca="1">Main!AC33</f>
        <v>131.66480106713556</v>
      </c>
      <c r="J33" s="16">
        <f ca="1">'Aerodynamics-Turn'!AG33</f>
        <v>1.4231063433726903</v>
      </c>
      <c r="K33" s="16">
        <f ca="1">'Aerodynamics-Turn'!BE33</f>
        <v>1.0191662409076656</v>
      </c>
      <c r="L33" s="42">
        <f ca="1">'Aerodynamics-Turn'!BF33</f>
        <v>1.8654427971902178E-2</v>
      </c>
      <c r="M33" s="84">
        <v>0</v>
      </c>
      <c r="N33" s="42">
        <f t="shared" ca="1" si="5"/>
        <v>3.9697418100478971E-2</v>
      </c>
      <c r="O33" s="10">
        <f ca="1">'Aerodynamics-Turn'!BH33</f>
        <v>5.9888129269440794E-2</v>
      </c>
      <c r="P33" s="13">
        <f t="shared" ca="1" si="6"/>
        <v>152.67473322847016</v>
      </c>
      <c r="Q33" s="13">
        <f t="shared" ca="1" si="7"/>
        <v>8.9714550902126895</v>
      </c>
      <c r="R33" s="16">
        <f t="shared" ca="1" si="2"/>
        <v>17.017833973780796</v>
      </c>
      <c r="S33" s="14">
        <f t="shared" ca="1" si="8"/>
        <v>211.67898363775694</v>
      </c>
      <c r="U33" s="20">
        <f t="shared" ca="1" si="3"/>
        <v>18.542570992275149</v>
      </c>
      <c r="V33" s="1">
        <f t="shared" ca="1" si="9"/>
        <v>0.68550375391439111</v>
      </c>
      <c r="W33" s="20">
        <f t="shared" ca="1" si="10"/>
        <v>26.71675506788851</v>
      </c>
      <c r="X33" s="13">
        <f ca="1">'Aerodynamics-Turn'!H33</f>
        <v>23.594721425716866</v>
      </c>
      <c r="Y33" s="33"/>
      <c r="Z33" s="19">
        <f ca="1">'Propulsion-Turn'!S33</f>
        <v>205.06880516805654</v>
      </c>
      <c r="AA33" s="42"/>
      <c r="AB33" s="13">
        <f ca="1">'Propulsion-Turn'!F33</f>
        <v>1</v>
      </c>
      <c r="AC33" s="1">
        <f t="shared" ca="1" si="11"/>
        <v>0</v>
      </c>
      <c r="AD33" s="57" t="str">
        <f t="shared" ca="1" si="4"/>
        <v>reduce payload weight</v>
      </c>
      <c r="AE33" s="20"/>
      <c r="AF33" s="16"/>
      <c r="AG33" s="16"/>
      <c r="AH33" s="42"/>
      <c r="AI33" s="42"/>
      <c r="AJ33" s="42"/>
      <c r="AK33" s="16"/>
      <c r="AL33" s="16"/>
      <c r="AM33" s="16"/>
      <c r="AN33" s="16"/>
      <c r="AO33" s="42"/>
      <c r="AP33" s="42"/>
      <c r="AQ33" s="42"/>
      <c r="AR33" s="16"/>
      <c r="AS33" s="16"/>
      <c r="AT33" s="42"/>
      <c r="AU33" s="42"/>
      <c r="AV33" s="16"/>
      <c r="AW33" s="42"/>
      <c r="AX33" s="42"/>
      <c r="AY33" s="42"/>
      <c r="AZ33" s="20"/>
      <c r="BA33" s="20"/>
      <c r="BB33" s="20"/>
      <c r="BC33" s="19"/>
      <c r="BD33" s="6"/>
      <c r="BE33" s="6"/>
      <c r="BF33" s="16"/>
      <c r="BG33" s="16"/>
      <c r="BH33" s="6"/>
      <c r="BI33" s="16"/>
      <c r="BJ33" s="16"/>
      <c r="BK33" s="16"/>
      <c r="BL33" s="6"/>
      <c r="BM33" s="16"/>
      <c r="BN33" s="16"/>
      <c r="BO33" s="16"/>
    </row>
    <row r="34" spans="2:67">
      <c r="B34" s="31">
        <f>Main!C34</f>
        <v>2.5263157894736845</v>
      </c>
      <c r="C34" s="31">
        <f>Main!B34</f>
        <v>0.33333333333333326</v>
      </c>
      <c r="D34" s="1">
        <f t="shared" si="0"/>
        <v>0.84210526315789469</v>
      </c>
      <c r="F34" s="1">
        <f t="shared" si="1"/>
        <v>0.65969672852566186</v>
      </c>
      <c r="H34" s="62">
        <f ca="1">Main!AC34</f>
        <v>131.64808624850315</v>
      </c>
      <c r="J34" s="16">
        <f ca="1">'Aerodynamics-Turn'!AG34</f>
        <v>1.42279078258299</v>
      </c>
      <c r="K34" s="16">
        <f ca="1">'Aerodynamics-Turn'!BE34</f>
        <v>1.0192066938974416</v>
      </c>
      <c r="L34" s="42">
        <f ca="1">'Aerodynamics-Turn'!BF34</f>
        <v>1.8720591548879357E-2</v>
      </c>
      <c r="M34" s="84">
        <v>0</v>
      </c>
      <c r="N34" s="42">
        <f t="shared" ca="1" si="5"/>
        <v>3.8688382204020447E-2</v>
      </c>
      <c r="O34" s="10">
        <f ca="1">'Aerodynamics-Turn'!BH34</f>
        <v>5.8909397613157249E-2</v>
      </c>
      <c r="P34" s="13">
        <f t="shared" ca="1" si="6"/>
        <v>152.65684310216332</v>
      </c>
      <c r="Q34" s="13">
        <f t="shared" ca="1" si="7"/>
        <v>8.8234533019851025</v>
      </c>
      <c r="R34" s="16">
        <f t="shared" ca="1" si="2"/>
        <v>17.301258121671992</v>
      </c>
      <c r="S34" s="14">
        <f t="shared" ca="1" si="8"/>
        <v>204.89211155563424</v>
      </c>
      <c r="U34" s="20">
        <f t="shared" ca="1" si="3"/>
        <v>18.251408915117221</v>
      </c>
      <c r="V34" s="1">
        <f t="shared" ca="1" si="9"/>
        <v>0.69561589807367308</v>
      </c>
      <c r="W34" s="20">
        <f t="shared" ca="1" si="10"/>
        <v>26.102503780485176</v>
      </c>
      <c r="X34" s="13">
        <f ca="1">'Aerodynamics-Turn'!H34</f>
        <v>23.221306277971916</v>
      </c>
      <c r="Y34" s="33"/>
      <c r="Z34" s="19">
        <f ca="1">'Propulsion-Turn'!S34</f>
        <v>204.89211157984033</v>
      </c>
      <c r="AA34" s="42"/>
      <c r="AB34" s="13">
        <f ca="1">'Propulsion-Turn'!F34</f>
        <v>0.99806479388201996</v>
      </c>
      <c r="AC34" s="1">
        <f t="shared" ca="1" si="11"/>
        <v>1.9352061179800373E-3</v>
      </c>
      <c r="AD34" s="57" t="str">
        <f t="shared" ca="1" si="4"/>
        <v>OK</v>
      </c>
      <c r="AE34" s="20"/>
      <c r="AF34" s="16"/>
      <c r="AG34" s="16"/>
      <c r="AH34" s="42"/>
      <c r="AI34" s="42"/>
      <c r="AJ34" s="42"/>
      <c r="AK34" s="16"/>
      <c r="AL34" s="16"/>
      <c r="AM34" s="16"/>
      <c r="AN34" s="16"/>
      <c r="AO34" s="42"/>
      <c r="AP34" s="42"/>
      <c r="AQ34" s="42"/>
      <c r="AR34" s="16"/>
      <c r="AS34" s="16"/>
      <c r="AT34" s="42"/>
      <c r="AU34" s="42"/>
      <c r="AV34" s="16"/>
      <c r="AW34" s="42"/>
      <c r="AX34" s="42"/>
      <c r="AY34" s="42"/>
      <c r="AZ34" s="20"/>
      <c r="BA34" s="20"/>
      <c r="BB34" s="20"/>
      <c r="BC34" s="19"/>
      <c r="BD34" s="6"/>
      <c r="BE34" s="6"/>
      <c r="BF34" s="16"/>
      <c r="BG34" s="16"/>
      <c r="BH34" s="6"/>
      <c r="BI34" s="16"/>
      <c r="BJ34" s="16"/>
      <c r="BK34" s="16"/>
      <c r="BL34" s="6"/>
      <c r="BM34" s="16"/>
      <c r="BN34" s="16"/>
      <c r="BO34" s="16"/>
    </row>
    <row r="35" spans="2:67">
      <c r="B35" s="31">
        <f>Main!C35</f>
        <v>2.6052631578947372</v>
      </c>
      <c r="C35" s="31">
        <f>Main!B35</f>
        <v>0.33333333333333326</v>
      </c>
      <c r="D35" s="1">
        <f t="shared" si="0"/>
        <v>0.86842105263157887</v>
      </c>
      <c r="F35" s="1">
        <f t="shared" si="1"/>
        <v>0.65969672852566186</v>
      </c>
      <c r="H35" s="62">
        <f ca="1">Main!AC35</f>
        <v>131.66397514878656</v>
      </c>
      <c r="J35" s="16">
        <f ca="1">'Aerodynamics-Turn'!AG35</f>
        <v>1.4224874254368394</v>
      </c>
      <c r="K35" s="16">
        <f ca="1">'Aerodynamics-Turn'!BE35</f>
        <v>1.0192437338933535</v>
      </c>
      <c r="L35" s="42">
        <f ca="1">'Aerodynamics-Turn'!BF35</f>
        <v>1.8787267210169142E-2</v>
      </c>
      <c r="M35" s="84">
        <v>0</v>
      </c>
      <c r="N35" s="42">
        <f t="shared" ca="1" si="5"/>
        <v>3.7740761844033917E-2</v>
      </c>
      <c r="O35" s="10">
        <f ca="1">'Aerodynamics-Turn'!BH35</f>
        <v>5.799455161755418E-2</v>
      </c>
      <c r="P35" s="13">
        <f t="shared" ca="1" si="6"/>
        <v>152.67663387781482</v>
      </c>
      <c r="Q35" s="13">
        <f t="shared" ca="1" si="7"/>
        <v>8.6872380273547165</v>
      </c>
      <c r="R35" s="16">
        <f t="shared" ca="1" si="2"/>
        <v>17.57481876254117</v>
      </c>
      <c r="S35" s="14">
        <f t="shared" ca="1" si="8"/>
        <v>198.65826823426784</v>
      </c>
      <c r="U35" s="20">
        <f t="shared" ca="1" si="3"/>
        <v>17.975746070596234</v>
      </c>
      <c r="V35" s="1">
        <f t="shared" ca="1" si="9"/>
        <v>0.7055478533320233</v>
      </c>
      <c r="W35" s="20">
        <f t="shared" ca="1" si="10"/>
        <v>25.523951169460574</v>
      </c>
      <c r="X35" s="13">
        <f ca="1">'Aerodynamics-Turn'!H35</f>
        <v>22.867828371672989</v>
      </c>
      <c r="Y35" s="33"/>
      <c r="Z35" s="19">
        <f ca="1">'Propulsion-Turn'!S35</f>
        <v>198.65826825833889</v>
      </c>
      <c r="AA35" s="42"/>
      <c r="AB35" s="13">
        <f ca="1">'Propulsion-Turn'!F35</f>
        <v>0.98648762831602665</v>
      </c>
      <c r="AC35" s="1">
        <f t="shared" ca="1" si="11"/>
        <v>1.3512371683973345E-2</v>
      </c>
      <c r="AD35" s="57" t="str">
        <f t="shared" ca="1" si="4"/>
        <v>OK</v>
      </c>
      <c r="AE35" s="20"/>
      <c r="AF35" s="16"/>
      <c r="AG35" s="16"/>
      <c r="AH35" s="42"/>
      <c r="AI35" s="42"/>
      <c r="AJ35" s="42"/>
      <c r="AK35" s="16"/>
      <c r="AL35" s="16"/>
      <c r="AM35" s="16"/>
      <c r="AN35" s="16"/>
      <c r="AO35" s="42"/>
      <c r="AP35" s="42"/>
      <c r="AQ35" s="42"/>
      <c r="AR35" s="16"/>
      <c r="AS35" s="16"/>
      <c r="AT35" s="42"/>
      <c r="AU35" s="42"/>
      <c r="AV35" s="16"/>
      <c r="AW35" s="42"/>
      <c r="AX35" s="42"/>
      <c r="AY35" s="42"/>
      <c r="AZ35" s="20"/>
      <c r="BA35" s="20"/>
      <c r="BB35" s="20"/>
      <c r="BC35" s="19"/>
      <c r="BD35" s="6"/>
      <c r="BE35" s="6"/>
      <c r="BF35" s="16"/>
      <c r="BG35" s="16"/>
      <c r="BH35" s="6"/>
      <c r="BI35" s="16"/>
      <c r="BJ35" s="16"/>
      <c r="BK35" s="16"/>
      <c r="BL35" s="6"/>
      <c r="BM35" s="16"/>
      <c r="BN35" s="16"/>
      <c r="BO35" s="16"/>
    </row>
    <row r="36" spans="2:67">
      <c r="B36" s="31">
        <f>Main!C36</f>
        <v>2.6842105263157898</v>
      </c>
      <c r="C36" s="31">
        <f>Main!B36</f>
        <v>0.33333333333333326</v>
      </c>
      <c r="D36" s="1">
        <f t="shared" si="0"/>
        <v>0.89473684210526305</v>
      </c>
      <c r="F36" s="1">
        <f t="shared" si="1"/>
        <v>0.65969672852566186</v>
      </c>
      <c r="H36" s="62">
        <f ca="1">Main!AC36</f>
        <v>131.71508343629725</v>
      </c>
      <c r="J36" s="16">
        <f ca="1">'Aerodynamics-Turn'!AG36</f>
        <v>1.4221958800466206</v>
      </c>
      <c r="K36" s="16">
        <f ca="1">'Aerodynamics-Turn'!BE36</f>
        <v>1.0192777416129453</v>
      </c>
      <c r="L36" s="42">
        <f ca="1">'Aerodynamics-Turn'!BF36</f>
        <v>1.8854097194112119E-2</v>
      </c>
      <c r="M36" s="84">
        <v>0</v>
      </c>
      <c r="N36" s="42">
        <f t="shared" ca="1" si="5"/>
        <v>3.6849203397463462E-2</v>
      </c>
      <c r="O36" s="10">
        <f ca="1">'Aerodynamics-Turn'!BH36</f>
        <v>5.7137733753077624E-2</v>
      </c>
      <c r="P36" s="13">
        <f t="shared" ca="1" si="6"/>
        <v>152.73715368701878</v>
      </c>
      <c r="Q36" s="13">
        <f t="shared" ca="1" si="7"/>
        <v>8.5619988206175695</v>
      </c>
      <c r="R36" s="16">
        <f t="shared" ca="1" si="2"/>
        <v>17.8389599072617</v>
      </c>
      <c r="S36" s="14">
        <f t="shared" ca="1" si="8"/>
        <v>192.92851097581553</v>
      </c>
      <c r="U36" s="20">
        <f t="shared" ca="1" si="3"/>
        <v>17.714676263099687</v>
      </c>
      <c r="V36" s="1">
        <f t="shared" ca="1" si="9"/>
        <v>0.71530097811030247</v>
      </c>
      <c r="W36" s="20">
        <f t="shared" ca="1" si="10"/>
        <v>24.978624457607886</v>
      </c>
      <c r="X36" s="13">
        <f ca="1">'Aerodynamics-Turn'!H36</f>
        <v>22.533115808238001</v>
      </c>
      <c r="Y36" s="33"/>
      <c r="Z36" s="19">
        <f ca="1">'Propulsion-Turn'!S36</f>
        <v>192.9285109997418</v>
      </c>
      <c r="AA36" s="42"/>
      <c r="AB36" s="13">
        <f ca="1">'Propulsion-Turn'!F36</f>
        <v>0.9756508677821889</v>
      </c>
      <c r="AC36" s="1">
        <f t="shared" ca="1" si="11"/>
        <v>2.4349132217811098E-2</v>
      </c>
      <c r="AD36" s="57" t="str">
        <f t="shared" ca="1" si="4"/>
        <v>OK</v>
      </c>
      <c r="AE36" s="20"/>
      <c r="AF36" s="16"/>
      <c r="AG36" s="16"/>
      <c r="AH36" s="42"/>
      <c r="AI36" s="42"/>
      <c r="AJ36" s="42"/>
      <c r="AK36" s="16"/>
      <c r="AL36" s="16"/>
      <c r="AM36" s="16"/>
      <c r="AN36" s="16"/>
      <c r="AO36" s="42"/>
      <c r="AP36" s="42"/>
      <c r="AQ36" s="42"/>
      <c r="AR36" s="16"/>
      <c r="AS36" s="16"/>
      <c r="AT36" s="42"/>
      <c r="AU36" s="42"/>
      <c r="AV36" s="16"/>
      <c r="AW36" s="42"/>
      <c r="AX36" s="42"/>
      <c r="AY36" s="42"/>
      <c r="AZ36" s="20"/>
      <c r="BA36" s="20"/>
      <c r="BB36" s="20"/>
      <c r="BC36" s="19"/>
      <c r="BD36" s="6"/>
      <c r="BE36" s="6"/>
      <c r="BF36" s="16"/>
      <c r="BG36" s="16"/>
      <c r="BH36" s="6"/>
      <c r="BI36" s="16"/>
      <c r="BJ36" s="16"/>
      <c r="BK36" s="16"/>
      <c r="BL36" s="6"/>
      <c r="BM36" s="16"/>
      <c r="BN36" s="16"/>
      <c r="BO36" s="16"/>
    </row>
    <row r="37" spans="2:67">
      <c r="B37" s="31">
        <f>Main!C37</f>
        <v>2.7631578947368425</v>
      </c>
      <c r="C37" s="31">
        <f>Main!B37</f>
        <v>0.33333333333333326</v>
      </c>
      <c r="D37" s="1">
        <f t="shared" si="0"/>
        <v>0.92105263157894723</v>
      </c>
      <c r="F37" s="1">
        <f t="shared" si="1"/>
        <v>0.65969672852566186</v>
      </c>
      <c r="H37" s="62">
        <f ca="1">Main!AC37</f>
        <v>131.79789717068391</v>
      </c>
      <c r="J37" s="16">
        <f ca="1">'Aerodynamics-Turn'!AG37</f>
        <v>1.4219153437204937</v>
      </c>
      <c r="K37" s="16">
        <f ca="1">'Aerodynamics-Turn'!BE37</f>
        <v>1.0193090455305525</v>
      </c>
      <c r="L37" s="42">
        <f ca="1">'Aerodynamics-Turn'!BF37</f>
        <v>1.8920977441520957E-2</v>
      </c>
      <c r="M37" s="84">
        <v>0</v>
      </c>
      <c r="N37" s="42">
        <f t="shared" ca="1" si="5"/>
        <v>3.6008958725133954E-2</v>
      </c>
      <c r="O37" s="10">
        <f ca="1">'Aerodynamics-Turn'!BH37</f>
        <v>5.633395896635511E-2</v>
      </c>
      <c r="P37" s="13">
        <f t="shared" ca="1" si="6"/>
        <v>152.83434071265609</v>
      </c>
      <c r="Q37" s="13">
        <f t="shared" ca="1" si="7"/>
        <v>8.4466664120255146</v>
      </c>
      <c r="R37" s="16">
        <f t="shared" ca="1" si="2"/>
        <v>18.094042460948369</v>
      </c>
      <c r="S37" s="14">
        <f t="shared" ca="1" si="8"/>
        <v>187.64780399602631</v>
      </c>
      <c r="U37" s="20">
        <f t="shared" ca="1" si="3"/>
        <v>17.466986276055671</v>
      </c>
      <c r="V37" s="1">
        <f t="shared" ca="1" si="9"/>
        <v>0.72488064270310804</v>
      </c>
      <c r="W37" s="20">
        <f t="shared" ca="1" si="10"/>
        <v>24.463669345583291</v>
      </c>
      <c r="X37" s="13">
        <f ca="1">'Aerodynamics-Turn'!H37</f>
        <v>22.215604931199326</v>
      </c>
      <c r="Y37" s="33"/>
      <c r="Z37" s="19">
        <f ca="1">'Propulsion-Turn'!S37</f>
        <v>187.64780401983512</v>
      </c>
      <c r="AA37" s="42"/>
      <c r="AB37" s="13">
        <f ca="1">'Propulsion-Turn'!F37</f>
        <v>0.96549008341847409</v>
      </c>
      <c r="AC37" s="1">
        <f t="shared" ca="1" si="11"/>
        <v>3.4509916581525912E-2</v>
      </c>
      <c r="AD37" s="57" t="str">
        <f t="shared" ca="1" si="4"/>
        <v>OK</v>
      </c>
      <c r="AE37" s="20"/>
      <c r="AF37" s="16"/>
      <c r="AG37" s="16"/>
      <c r="AH37" s="42"/>
      <c r="AI37" s="42"/>
      <c r="AJ37" s="42"/>
      <c r="AK37" s="16"/>
      <c r="AL37" s="16"/>
      <c r="AM37" s="16"/>
      <c r="AN37" s="16"/>
      <c r="AO37" s="42"/>
      <c r="AP37" s="42"/>
      <c r="AQ37" s="42"/>
      <c r="AR37" s="16"/>
      <c r="AS37" s="16"/>
      <c r="AT37" s="42"/>
      <c r="AU37" s="42"/>
      <c r="AV37" s="16"/>
      <c r="AW37" s="42"/>
      <c r="AX37" s="42"/>
      <c r="AY37" s="42"/>
      <c r="AZ37" s="20"/>
      <c r="BA37" s="20"/>
      <c r="BB37" s="20"/>
      <c r="BC37" s="19"/>
      <c r="BD37" s="6"/>
      <c r="BE37" s="6"/>
      <c r="BF37" s="16"/>
      <c r="BG37" s="16"/>
      <c r="BH37" s="6"/>
      <c r="BI37" s="16"/>
      <c r="BJ37" s="16"/>
      <c r="BK37" s="16"/>
      <c r="BL37" s="6"/>
      <c r="BM37" s="16"/>
      <c r="BN37" s="16"/>
      <c r="BO37" s="16"/>
    </row>
    <row r="38" spans="2:67">
      <c r="B38" s="31">
        <f>Main!C38</f>
        <v>2.8421052631578951</v>
      </c>
      <c r="C38" s="31">
        <f>Main!B38</f>
        <v>0.33333333333333326</v>
      </c>
      <c r="D38" s="1">
        <f t="shared" si="0"/>
        <v>0.94736842105263153</v>
      </c>
      <c r="F38" s="1">
        <f t="shared" si="1"/>
        <v>0.65969672852566186</v>
      </c>
      <c r="H38" s="62">
        <f ca="1">Main!AC38</f>
        <v>131.9094250607543</v>
      </c>
      <c r="J38" s="16">
        <f ca="1">'Aerodynamics-Turn'!AG38</f>
        <v>1.4216450974493928</v>
      </c>
      <c r="K38" s="16">
        <f ca="1">'Aerodynamics-Turn'!BE38</f>
        <v>1.0193379302975494</v>
      </c>
      <c r="L38" s="42">
        <f ca="1">'Aerodynamics-Turn'!BF38</f>
        <v>1.8987816213098124E-2</v>
      </c>
      <c r="M38" s="84">
        <v>0</v>
      </c>
      <c r="N38" s="42">
        <f t="shared" ca="1" si="5"/>
        <v>3.5215804679259541E-2</v>
      </c>
      <c r="O38" s="10">
        <f ca="1">'Aerodynamics-Turn'!BH38</f>
        <v>5.5578791590275622E-2</v>
      </c>
      <c r="P38" s="13">
        <f t="shared" ca="1" si="6"/>
        <v>152.964737347316</v>
      </c>
      <c r="Q38" s="13">
        <f t="shared" ca="1" si="7"/>
        <v>8.3403109067138033</v>
      </c>
      <c r="R38" s="16">
        <f t="shared" ca="1" si="2"/>
        <v>18.340411893300296</v>
      </c>
      <c r="S38" s="14">
        <f t="shared" ca="1" si="8"/>
        <v>182.76885502119674</v>
      </c>
      <c r="U38" s="20">
        <f t="shared" ca="1" si="3"/>
        <v>17.231603717687999</v>
      </c>
      <c r="V38" s="1">
        <f t="shared" ca="1" si="9"/>
        <v>0.73429183910060891</v>
      </c>
      <c r="W38" s="20">
        <f t="shared" ca="1" si="10"/>
        <v>23.976563865988616</v>
      </c>
      <c r="X38" s="13">
        <f ca="1">'Aerodynamics-Turn'!H38</f>
        <v>21.913913889377955</v>
      </c>
      <c r="Y38" s="33"/>
      <c r="Z38" s="19">
        <f ca="1">'Propulsion-Turn'!S38</f>
        <v>182.768855044898</v>
      </c>
      <c r="AA38" s="42"/>
      <c r="AB38" s="13">
        <f ca="1">'Propulsion-Turn'!F38</f>
        <v>0.95594857670396904</v>
      </c>
      <c r="AC38" s="1">
        <f t="shared" ca="1" si="11"/>
        <v>4.4051423296030956E-2</v>
      </c>
      <c r="AD38" s="57" t="str">
        <f t="shared" ca="1" si="4"/>
        <v>OK</v>
      </c>
      <c r="AE38" s="20"/>
      <c r="AF38" s="16"/>
      <c r="AG38" s="16"/>
      <c r="AH38" s="42"/>
      <c r="AI38" s="42"/>
      <c r="AJ38" s="42"/>
      <c r="AK38" s="16"/>
      <c r="AL38" s="16"/>
      <c r="AM38" s="16"/>
      <c r="AN38" s="16"/>
      <c r="AO38" s="42"/>
      <c r="AP38" s="42"/>
      <c r="AQ38" s="42"/>
      <c r="AR38" s="16"/>
      <c r="AS38" s="16"/>
      <c r="AT38" s="42"/>
      <c r="AU38" s="42"/>
      <c r="AV38" s="16"/>
      <c r="AW38" s="42"/>
      <c r="AX38" s="42"/>
      <c r="AY38" s="42"/>
      <c r="AZ38" s="20"/>
      <c r="BA38" s="20"/>
      <c r="BB38" s="20"/>
      <c r="BC38" s="19"/>
      <c r="BD38" s="6"/>
      <c r="BE38" s="6"/>
      <c r="BF38" s="16"/>
      <c r="BG38" s="16"/>
      <c r="BH38" s="6"/>
      <c r="BI38" s="16"/>
      <c r="BJ38" s="16"/>
      <c r="BK38" s="16"/>
      <c r="BL38" s="6"/>
      <c r="BM38" s="16"/>
      <c r="BN38" s="16"/>
      <c r="BO38" s="16"/>
    </row>
    <row r="39" spans="2:67">
      <c r="B39" s="31">
        <f>Main!C39</f>
        <v>2.9210526315789478</v>
      </c>
      <c r="C39" s="31">
        <f>Main!B39</f>
        <v>0.33333333333333326</v>
      </c>
      <c r="D39" s="1">
        <f t="shared" si="0"/>
        <v>0.97368421052631571</v>
      </c>
      <c r="F39" s="1">
        <f t="shared" si="1"/>
        <v>0.65969672852566186</v>
      </c>
      <c r="H39" s="62">
        <f ca="1">Main!AC39</f>
        <v>132.04710507719955</v>
      </c>
      <c r="J39" s="16">
        <f ca="1">'Aerodynamics-Turn'!AG39</f>
        <v>1.4213844942605081</v>
      </c>
      <c r="K39" s="16">
        <f ca="1">'Aerodynamics-Turn'!BE39</f>
        <v>1.0193646436155313</v>
      </c>
      <c r="L39" s="42">
        <f ca="1">'Aerodynamics-Turn'!BF39</f>
        <v>1.9054532714141273E-2</v>
      </c>
      <c r="M39" s="84">
        <v>0</v>
      </c>
      <c r="N39" s="42">
        <f t="shared" ca="1" si="5"/>
        <v>3.4465972395040179E-2</v>
      </c>
      <c r="O39" s="10">
        <f ca="1">'Aerodynamics-Turn'!BH39</f>
        <v>5.4868272028697443E-2</v>
      </c>
      <c r="P39" s="13">
        <f t="shared" ca="1" si="6"/>
        <v>153.12538221609913</v>
      </c>
      <c r="Q39" s="13">
        <f t="shared" ca="1" si="7"/>
        <v>8.2421194207124522</v>
      </c>
      <c r="R39" s="16">
        <f t="shared" ca="1" si="2"/>
        <v>18.578398880183041</v>
      </c>
      <c r="S39" s="14">
        <f t="shared" ca="1" si="8"/>
        <v>178.25079746150053</v>
      </c>
      <c r="U39" s="20">
        <f t="shared" ca="1" si="3"/>
        <v>17.007576159493254</v>
      </c>
      <c r="V39" s="1">
        <f t="shared" ca="1" si="9"/>
        <v>0.74353922335777278</v>
      </c>
      <c r="W39" s="20">
        <f t="shared" ca="1" si="10"/>
        <v>23.515069647695661</v>
      </c>
      <c r="X39" s="13">
        <f ca="1">'Aerodynamics-Turn'!H39</f>
        <v>21.626815672280991</v>
      </c>
      <c r="Y39" s="33"/>
      <c r="Z39" s="19">
        <f ca="1">'Propulsion-Turn'!S39</f>
        <v>178.25079748510362</v>
      </c>
      <c r="AA39" s="42"/>
      <c r="AB39" s="13">
        <f ca="1">'Propulsion-Turn'!F39</f>
        <v>0.94697620842685581</v>
      </c>
      <c r="AC39" s="1">
        <f t="shared" ca="1" si="11"/>
        <v>5.3023791573144186E-2</v>
      </c>
      <c r="AD39" s="57" t="str">
        <f t="shared" ca="1" si="4"/>
        <v>OK</v>
      </c>
      <c r="AE39" s="20"/>
      <c r="AF39" s="16"/>
      <c r="AG39" s="16"/>
      <c r="AH39" s="42"/>
      <c r="AI39" s="42"/>
      <c r="AJ39" s="42"/>
      <c r="AK39" s="16"/>
      <c r="AL39" s="16"/>
      <c r="AM39" s="16"/>
      <c r="AN39" s="16"/>
      <c r="AO39" s="42"/>
      <c r="AP39" s="42"/>
      <c r="AQ39" s="42"/>
      <c r="AR39" s="16"/>
      <c r="AS39" s="16"/>
      <c r="AT39" s="42"/>
      <c r="AU39" s="42"/>
      <c r="AV39" s="16"/>
      <c r="AW39" s="42"/>
      <c r="AX39" s="42"/>
      <c r="AY39" s="42"/>
      <c r="AZ39" s="20"/>
      <c r="BA39" s="20"/>
      <c r="BB39" s="20"/>
      <c r="BC39" s="19"/>
      <c r="BD39" s="6"/>
      <c r="BE39" s="6"/>
      <c r="BF39" s="16"/>
      <c r="BG39" s="16"/>
      <c r="BH39" s="6"/>
      <c r="BI39" s="16"/>
      <c r="BJ39" s="16"/>
      <c r="BK39" s="16"/>
      <c r="BL39" s="6"/>
      <c r="BM39" s="16"/>
      <c r="BN39" s="16"/>
      <c r="BO39" s="16"/>
    </row>
    <row r="40" spans="2:67">
      <c r="B40" s="31">
        <f>Main!C40</f>
        <v>3</v>
      </c>
      <c r="C40" s="31">
        <f>Main!B40</f>
        <v>0.33333333333333326</v>
      </c>
      <c r="D40" s="1">
        <f t="shared" si="0"/>
        <v>0.99999999999999978</v>
      </c>
      <c r="F40" s="1">
        <f t="shared" si="1"/>
        <v>0.65969672852566186</v>
      </c>
      <c r="H40" s="62">
        <f ca="1">Main!AC40</f>
        <v>109.47797499660557</v>
      </c>
      <c r="J40" s="16">
        <f ca="1">'Aerodynamics-Turn'!AG40</f>
        <v>1.4192714258176737</v>
      </c>
      <c r="K40" s="16">
        <f ca="1">'Aerodynamics-Turn'!BE40</f>
        <v>1.0193894018796357</v>
      </c>
      <c r="L40" s="42">
        <f ca="1">'Aerodynamics-Turn'!BF40</f>
        <v>2.0075900403256283E-2</v>
      </c>
      <c r="M40" s="84">
        <v>0</v>
      </c>
      <c r="N40" s="42">
        <f t="shared" ca="1" si="5"/>
        <v>3.3743635076418976E-2</v>
      </c>
      <c r="O40" s="10">
        <f ca="1">'Aerodynamics-Turn'!BH40</f>
        <v>5.5140864171586049E-2</v>
      </c>
      <c r="P40" s="13">
        <f t="shared" ca="1" si="6"/>
        <v>126.96202182849665</v>
      </c>
      <c r="Q40" s="13">
        <f t="shared" ca="1" si="7"/>
        <v>6.8676362415446173</v>
      </c>
      <c r="R40" s="16">
        <f t="shared" ca="1" si="2"/>
        <v>18.487004460204389</v>
      </c>
      <c r="S40" s="14">
        <f t="shared" ca="1" si="8"/>
        <v>133.44950717028522</v>
      </c>
      <c r="U40" s="20">
        <f t="shared" ca="1" si="3"/>
        <v>15.292323647898215</v>
      </c>
      <c r="V40" s="1">
        <f t="shared" ca="1" si="9"/>
        <v>0.77133241598073188</v>
      </c>
      <c r="W40" s="20">
        <f t="shared" ca="1" si="10"/>
        <v>20.743661590667838</v>
      </c>
      <c r="X40" s="13">
        <f ca="1">'Aerodynamics-Turn'!H40</f>
        <v>19.43145462796252</v>
      </c>
      <c r="Y40" s="33"/>
      <c r="Z40" s="19">
        <f ca="1">'Propulsion-Turn'!S40</f>
        <v>133.48036731671601</v>
      </c>
      <c r="AA40" s="42"/>
      <c r="AB40" s="13">
        <f ca="1">'Propulsion-Turn'!F40</f>
        <v>0.85264605406844718</v>
      </c>
      <c r="AC40" s="1">
        <f t="shared" ca="1" si="11"/>
        <v>0.14735394593155282</v>
      </c>
      <c r="AD40" s="57" t="str">
        <f t="shared" ca="1" si="4"/>
        <v>OK</v>
      </c>
      <c r="AE40" s="20"/>
      <c r="AF40" s="16"/>
      <c r="AG40" s="16"/>
      <c r="AH40" s="42"/>
      <c r="AI40" s="42"/>
      <c r="AJ40" s="42"/>
      <c r="AK40" s="16"/>
      <c r="AL40" s="16"/>
      <c r="AM40" s="16"/>
      <c r="AN40" s="16"/>
      <c r="AO40" s="42"/>
      <c r="AP40" s="42"/>
      <c r="AQ40" s="42"/>
      <c r="AR40" s="16"/>
      <c r="AS40" s="16"/>
      <c r="AT40" s="42"/>
      <c r="AU40" s="42"/>
      <c r="AV40" s="16"/>
      <c r="AW40" s="42"/>
      <c r="AX40" s="42"/>
      <c r="AY40" s="42"/>
      <c r="AZ40" s="20"/>
      <c r="BA40" s="20"/>
      <c r="BB40" s="20"/>
      <c r="BC40" s="19"/>
      <c r="BD40" s="6"/>
      <c r="BE40" s="6"/>
      <c r="BF40" s="16"/>
      <c r="BG40" s="16"/>
      <c r="BH40" s="6"/>
      <c r="BI40" s="16"/>
      <c r="BJ40" s="16"/>
      <c r="BK40" s="16"/>
      <c r="BL40" s="6"/>
      <c r="BM40" s="16"/>
      <c r="BN40" s="16"/>
      <c r="BO40" s="16"/>
    </row>
    <row r="41" spans="2:67"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</row>
    <row r="42" spans="2:67">
      <c r="D42" s="4"/>
    </row>
    <row r="44" spans="2:67">
      <c r="I44" s="14"/>
      <c r="M44" s="1"/>
      <c r="N44" s="1"/>
      <c r="O44" s="1"/>
      <c r="P44" s="1"/>
    </row>
    <row r="45" spans="2:67">
      <c r="I45" s="14"/>
    </row>
    <row r="46" spans="2:67">
      <c r="I46" s="14"/>
    </row>
    <row r="47" spans="2:67">
      <c r="I47" s="14"/>
    </row>
    <row r="48" spans="2:67">
      <c r="I48" s="14"/>
    </row>
    <row r="49" spans="9:9">
      <c r="I49" s="14"/>
    </row>
    <row r="50" spans="9:9">
      <c r="I50" s="14"/>
    </row>
    <row r="51" spans="9:9">
      <c r="I51" s="14"/>
    </row>
    <row r="52" spans="9:9">
      <c r="I52" s="14"/>
    </row>
    <row r="53" spans="9:9">
      <c r="I53" s="14"/>
    </row>
    <row r="54" spans="9:9">
      <c r="I54" s="14"/>
    </row>
    <row r="55" spans="9:9">
      <c r="I55" s="14"/>
    </row>
    <row r="56" spans="9:9">
      <c r="I56" s="14"/>
    </row>
    <row r="57" spans="9:9">
      <c r="I57" s="14"/>
    </row>
    <row r="58" spans="9:9">
      <c r="I58" s="14"/>
    </row>
    <row r="59" spans="9:9">
      <c r="I59" s="14"/>
    </row>
    <row r="60" spans="9:9">
      <c r="I60" s="14"/>
    </row>
    <row r="61" spans="9:9">
      <c r="I61" s="14"/>
    </row>
    <row r="62" spans="9:9">
      <c r="I62" s="14"/>
    </row>
    <row r="63" spans="9:9">
      <c r="I63" s="14"/>
    </row>
  </sheetData>
  <phoneticPr fontId="19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50</vt:i4>
      </vt:variant>
      <vt:variant>
        <vt:lpstr>Charts</vt:lpstr>
      </vt:variant>
      <vt:variant>
        <vt:i4>1</vt:i4>
      </vt:variant>
    </vt:vector>
  </HeadingPairs>
  <TitlesOfParts>
    <vt:vector size="51" baseType="lpstr">
      <vt:lpstr>Main</vt:lpstr>
      <vt:lpstr>Tecplot Battery</vt:lpstr>
      <vt:lpstr>Tecplot Solar</vt:lpstr>
      <vt:lpstr>Tecplot FuelCell</vt:lpstr>
      <vt:lpstr>Tecplot Hybrid</vt:lpstr>
      <vt:lpstr>Summary</vt:lpstr>
      <vt:lpstr>Takeoff</vt:lpstr>
      <vt:lpstr>RC</vt:lpstr>
      <vt:lpstr>Turn</vt:lpstr>
      <vt:lpstr>Cruise</vt:lpstr>
      <vt:lpstr>Endurance</vt:lpstr>
      <vt:lpstr>Descent</vt:lpstr>
      <vt:lpstr>Airfoil 1</vt:lpstr>
      <vt:lpstr>Airfoil 2</vt:lpstr>
      <vt:lpstr>Airfoil-Takeoff</vt:lpstr>
      <vt:lpstr>Airfoil-RCmax</vt:lpstr>
      <vt:lpstr>Airfoil-RC</vt:lpstr>
      <vt:lpstr>Airfoil-Turn</vt:lpstr>
      <vt:lpstr>Airfoil-Cruise</vt:lpstr>
      <vt:lpstr>Airfoil-Speed</vt:lpstr>
      <vt:lpstr>Airfoil-Descent</vt:lpstr>
      <vt:lpstr>Aerodynamics-Constants</vt:lpstr>
      <vt:lpstr>Aerodynamics-Takeoff</vt:lpstr>
      <vt:lpstr>Aerodynamics-RCmax</vt:lpstr>
      <vt:lpstr>Aerodynamics-RC</vt:lpstr>
      <vt:lpstr>Aerodynamics-Turn</vt:lpstr>
      <vt:lpstr>Aerodynamics-Cruise</vt:lpstr>
      <vt:lpstr>Aerodynamics-Speed</vt:lpstr>
      <vt:lpstr>Aerodynamics-Descent</vt:lpstr>
      <vt:lpstr>Weight</vt:lpstr>
      <vt:lpstr>Stability</vt:lpstr>
      <vt:lpstr>Propulsão</vt:lpstr>
      <vt:lpstr>Desempenho</vt:lpstr>
      <vt:lpstr>PropulsãoCombustão</vt:lpstr>
      <vt:lpstr>Energy</vt:lpstr>
      <vt:lpstr>Systems</vt:lpstr>
      <vt:lpstr>Motor</vt:lpstr>
      <vt:lpstr>Propeller</vt:lpstr>
      <vt:lpstr>Folha1</vt:lpstr>
      <vt:lpstr>Propulsion1</vt:lpstr>
      <vt:lpstr>Propulsion2</vt:lpstr>
      <vt:lpstr>Propulsion-Takeoff</vt:lpstr>
      <vt:lpstr>Propulsion-RCmax</vt:lpstr>
      <vt:lpstr>Propulsion-RC</vt:lpstr>
      <vt:lpstr>Propulsion-Turn</vt:lpstr>
      <vt:lpstr>Propulsion-Cruise</vt:lpstr>
      <vt:lpstr>Propulsion-Speed</vt:lpstr>
      <vt:lpstr>Propulsion-Descent</vt:lpstr>
      <vt:lpstr>ISA</vt:lpstr>
      <vt:lpstr>Sun</vt:lpstr>
      <vt:lpstr>Graph-Weight</vt:lpstr>
    </vt:vector>
  </TitlesOfParts>
  <Company>Casa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Gamboa</dc:creator>
  <cp:lastModifiedBy>Pedro Vieira Gamboa</cp:lastModifiedBy>
  <dcterms:created xsi:type="dcterms:W3CDTF">2010-03-14T13:51:57Z</dcterms:created>
  <dcterms:modified xsi:type="dcterms:W3CDTF">2015-10-15T10:33:28Z</dcterms:modified>
</cp:coreProperties>
</file>